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166 ADS-B Data N711JA\"/>
    </mc:Choice>
  </mc:AlternateContent>
  <bookViews>
    <workbookView xWindow="0" yWindow="0" windowWidth="23040" windowHeight="9192"/>
  </bookViews>
  <sheets>
    <sheet name="20200512_A9808D_42607144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W14" i="1"/>
  <c r="A15" i="1"/>
  <c r="C15" i="1"/>
  <c r="S15" i="1"/>
  <c r="T15" i="1"/>
  <c r="U15" i="1"/>
  <c r="BW15" i="1"/>
  <c r="A16" i="1"/>
  <c r="C16" i="1"/>
  <c r="S16" i="1"/>
  <c r="T16" i="1"/>
  <c r="U16" i="1"/>
  <c r="BW16" i="1"/>
  <c r="A17" i="1"/>
  <c r="C17" i="1"/>
  <c r="S17" i="1"/>
  <c r="T17" i="1"/>
  <c r="U17" i="1"/>
  <c r="BW17" i="1"/>
  <c r="A18" i="1"/>
  <c r="C18" i="1"/>
  <c r="S18" i="1"/>
  <c r="T18" i="1"/>
  <c r="U18" i="1"/>
  <c r="BW18" i="1"/>
  <c r="A19" i="1"/>
  <c r="C19" i="1"/>
  <c r="S19" i="1"/>
  <c r="T19" i="1"/>
  <c r="U19" i="1"/>
  <c r="BW19" i="1"/>
  <c r="A20" i="1"/>
  <c r="C20" i="1"/>
  <c r="S20" i="1"/>
  <c r="T20" i="1"/>
  <c r="U20" i="1"/>
  <c r="BW20" i="1"/>
  <c r="A21" i="1"/>
  <c r="C21" i="1"/>
  <c r="S21" i="1"/>
  <c r="T21" i="1"/>
  <c r="U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  <c r="A3761" i="1"/>
  <c r="C3761" i="1"/>
  <c r="S3761" i="1"/>
  <c r="T3761" i="1"/>
  <c r="U3761" i="1"/>
  <c r="BB3761" i="1"/>
  <c r="BW3761" i="1"/>
  <c r="A3762" i="1"/>
  <c r="C3762" i="1"/>
  <c r="S3762" i="1"/>
  <c r="T3762" i="1"/>
  <c r="U3762" i="1"/>
  <c r="BB3762" i="1"/>
  <c r="BW3762" i="1"/>
  <c r="A3763" i="1"/>
  <c r="C3763" i="1"/>
  <c r="S3763" i="1"/>
  <c r="T3763" i="1"/>
  <c r="U3763" i="1"/>
  <c r="BB3763" i="1"/>
  <c r="BW3763" i="1"/>
  <c r="A3764" i="1"/>
  <c r="C3764" i="1"/>
  <c r="S3764" i="1"/>
  <c r="T3764" i="1"/>
  <c r="U3764" i="1"/>
  <c r="BB3764" i="1"/>
  <c r="BW3764" i="1"/>
  <c r="A3765" i="1"/>
  <c r="C3765" i="1"/>
  <c r="S3765" i="1"/>
  <c r="T3765" i="1"/>
  <c r="U3765" i="1"/>
  <c r="BB3765" i="1"/>
  <c r="BW3765" i="1"/>
  <c r="A3766" i="1"/>
  <c r="C3766" i="1"/>
  <c r="S3766" i="1"/>
  <c r="T3766" i="1"/>
  <c r="U3766" i="1"/>
  <c r="BB3766" i="1"/>
  <c r="BW3766" i="1"/>
  <c r="A3767" i="1"/>
  <c r="C3767" i="1"/>
  <c r="S3767" i="1"/>
  <c r="T3767" i="1"/>
  <c r="U3767" i="1"/>
  <c r="BB3767" i="1"/>
  <c r="BW3767" i="1"/>
  <c r="A3768" i="1"/>
  <c r="C3768" i="1"/>
  <c r="S3768" i="1"/>
  <c r="T3768" i="1"/>
  <c r="U3768" i="1"/>
  <c r="BB3768" i="1"/>
  <c r="BW3768" i="1"/>
  <c r="A3769" i="1"/>
  <c r="C3769" i="1"/>
  <c r="S3769" i="1"/>
  <c r="T3769" i="1"/>
  <c r="U3769" i="1"/>
  <c r="BB3769" i="1"/>
  <c r="BW3769" i="1"/>
  <c r="A3770" i="1"/>
  <c r="C3770" i="1"/>
  <c r="S3770" i="1"/>
  <c r="T3770" i="1"/>
  <c r="U3770" i="1"/>
  <c r="BB3770" i="1"/>
  <c r="BW3770" i="1"/>
  <c r="A3771" i="1"/>
  <c r="C3771" i="1"/>
  <c r="S3771" i="1"/>
  <c r="T3771" i="1"/>
  <c r="U3771" i="1"/>
  <c r="BB3771" i="1"/>
  <c r="BW3771" i="1"/>
  <c r="A3772" i="1"/>
  <c r="C3772" i="1"/>
  <c r="S3772" i="1"/>
  <c r="T3772" i="1"/>
  <c r="U3772" i="1"/>
  <c r="BB3772" i="1"/>
  <c r="BW3772" i="1"/>
  <c r="A3773" i="1"/>
  <c r="C3773" i="1"/>
  <c r="S3773" i="1"/>
  <c r="T3773" i="1"/>
  <c r="U3773" i="1"/>
  <c r="BB3773" i="1"/>
  <c r="BW3773" i="1"/>
  <c r="A3774" i="1"/>
  <c r="C3774" i="1"/>
  <c r="S3774" i="1"/>
  <c r="T3774" i="1"/>
  <c r="U3774" i="1"/>
  <c r="BB3774" i="1"/>
  <c r="BW3774" i="1"/>
  <c r="A3775" i="1"/>
  <c r="C3775" i="1"/>
  <c r="S3775" i="1"/>
  <c r="T3775" i="1"/>
  <c r="U3775" i="1"/>
  <c r="BB3775" i="1"/>
  <c r="BW3775" i="1"/>
  <c r="A3776" i="1"/>
  <c r="C3776" i="1"/>
  <c r="S3776" i="1"/>
  <c r="T3776" i="1"/>
  <c r="U3776" i="1"/>
  <c r="BB3776" i="1"/>
  <c r="BW3776" i="1"/>
  <c r="A3777" i="1"/>
  <c r="C3777" i="1"/>
  <c r="S3777" i="1"/>
  <c r="T3777" i="1"/>
  <c r="U3777" i="1"/>
  <c r="BB3777" i="1"/>
  <c r="BW3777" i="1"/>
  <c r="A3778" i="1"/>
  <c r="C3778" i="1"/>
  <c r="S3778" i="1"/>
  <c r="T3778" i="1"/>
  <c r="U3778" i="1"/>
  <c r="BB3778" i="1"/>
  <c r="BW3778" i="1"/>
  <c r="A3779" i="1"/>
  <c r="C3779" i="1"/>
  <c r="S3779" i="1"/>
  <c r="T3779" i="1"/>
  <c r="U3779" i="1"/>
  <c r="BB3779" i="1"/>
  <c r="BW3779" i="1"/>
  <c r="A3780" i="1"/>
  <c r="C3780" i="1"/>
  <c r="S3780" i="1"/>
  <c r="T3780" i="1"/>
  <c r="U3780" i="1"/>
  <c r="BB3780" i="1"/>
  <c r="BW3780" i="1"/>
  <c r="A3781" i="1"/>
  <c r="C3781" i="1"/>
  <c r="S3781" i="1"/>
  <c r="T3781" i="1"/>
  <c r="U3781" i="1"/>
  <c r="BB3781" i="1"/>
  <c r="BW3781" i="1"/>
  <c r="A3782" i="1"/>
  <c r="C3782" i="1"/>
  <c r="S3782" i="1"/>
  <c r="T3782" i="1"/>
  <c r="U3782" i="1"/>
  <c r="BB3782" i="1"/>
  <c r="BW3782" i="1"/>
  <c r="A3783" i="1"/>
  <c r="C3783" i="1"/>
  <c r="S3783" i="1"/>
  <c r="T3783" i="1"/>
  <c r="U3783" i="1"/>
  <c r="BB3783" i="1"/>
  <c r="BW3783" i="1"/>
  <c r="A3784" i="1"/>
  <c r="C3784" i="1"/>
  <c r="S3784" i="1"/>
  <c r="T3784" i="1"/>
  <c r="U3784" i="1"/>
  <c r="BB3784" i="1"/>
  <c r="BW3784" i="1"/>
  <c r="A3785" i="1"/>
  <c r="C3785" i="1"/>
  <c r="S3785" i="1"/>
  <c r="T3785" i="1"/>
  <c r="U3785" i="1"/>
  <c r="BB3785" i="1"/>
  <c r="BW3785" i="1"/>
  <c r="A3786" i="1"/>
  <c r="C3786" i="1"/>
  <c r="S3786" i="1"/>
  <c r="T3786" i="1"/>
  <c r="U3786" i="1"/>
  <c r="BB3786" i="1"/>
  <c r="BW3786" i="1"/>
  <c r="A3787" i="1"/>
  <c r="C3787" i="1"/>
  <c r="S3787" i="1"/>
  <c r="T3787" i="1"/>
  <c r="U3787" i="1"/>
  <c r="BB3787" i="1"/>
  <c r="BW3787" i="1"/>
  <c r="A3788" i="1"/>
  <c r="C3788" i="1"/>
  <c r="S3788" i="1"/>
  <c r="T3788" i="1"/>
  <c r="U3788" i="1"/>
  <c r="BB3788" i="1"/>
  <c r="BW3788" i="1"/>
  <c r="A3789" i="1"/>
  <c r="C3789" i="1"/>
  <c r="S3789" i="1"/>
  <c r="T3789" i="1"/>
  <c r="U3789" i="1"/>
  <c r="BB3789" i="1"/>
  <c r="BW3789" i="1"/>
  <c r="A3790" i="1"/>
  <c r="C3790" i="1"/>
  <c r="S3790" i="1"/>
  <c r="T3790" i="1"/>
  <c r="U3790" i="1"/>
  <c r="BB3790" i="1"/>
  <c r="BW3790" i="1"/>
  <c r="A3791" i="1"/>
  <c r="C3791" i="1"/>
  <c r="S3791" i="1"/>
  <c r="T3791" i="1"/>
  <c r="U3791" i="1"/>
  <c r="BB3791" i="1"/>
  <c r="BW3791" i="1"/>
  <c r="A3792" i="1"/>
  <c r="C3792" i="1"/>
  <c r="S3792" i="1"/>
  <c r="T3792" i="1"/>
  <c r="U3792" i="1"/>
  <c r="BB3792" i="1"/>
  <c r="BW3792" i="1"/>
  <c r="A3793" i="1"/>
  <c r="C3793" i="1"/>
  <c r="S3793" i="1"/>
  <c r="T3793" i="1"/>
  <c r="U3793" i="1"/>
  <c r="BB3793" i="1"/>
  <c r="BW3793" i="1"/>
  <c r="A3794" i="1"/>
  <c r="C3794" i="1"/>
  <c r="S3794" i="1"/>
  <c r="T3794" i="1"/>
  <c r="U3794" i="1"/>
  <c r="BB3794" i="1"/>
  <c r="BW3794" i="1"/>
  <c r="A3795" i="1"/>
  <c r="C3795" i="1"/>
  <c r="S3795" i="1"/>
  <c r="T3795" i="1"/>
  <c r="U3795" i="1"/>
  <c r="BB3795" i="1"/>
  <c r="BW3795" i="1"/>
  <c r="A3796" i="1"/>
  <c r="C3796" i="1"/>
  <c r="S3796" i="1"/>
  <c r="T3796" i="1"/>
  <c r="U3796" i="1"/>
  <c r="BB3796" i="1"/>
  <c r="BW3796" i="1"/>
  <c r="A3797" i="1"/>
  <c r="C3797" i="1"/>
  <c r="S3797" i="1"/>
  <c r="T3797" i="1"/>
  <c r="U3797" i="1"/>
  <c r="BB3797" i="1"/>
  <c r="BW3797" i="1"/>
  <c r="A3798" i="1"/>
  <c r="C3798" i="1"/>
  <c r="S3798" i="1"/>
  <c r="T3798" i="1"/>
  <c r="U3798" i="1"/>
  <c r="BB3798" i="1"/>
  <c r="BW3798" i="1"/>
  <c r="A3799" i="1"/>
  <c r="C3799" i="1"/>
  <c r="S3799" i="1"/>
  <c r="T3799" i="1"/>
  <c r="U3799" i="1"/>
  <c r="BB3799" i="1"/>
  <c r="BW3799" i="1"/>
  <c r="A3800" i="1"/>
  <c r="C3800" i="1"/>
  <c r="S3800" i="1"/>
  <c r="T3800" i="1"/>
  <c r="U3800" i="1"/>
  <c r="BB3800" i="1"/>
  <c r="BW3800" i="1"/>
  <c r="A3801" i="1"/>
  <c r="C3801" i="1"/>
  <c r="S3801" i="1"/>
  <c r="T3801" i="1"/>
  <c r="U3801" i="1"/>
  <c r="BB3801" i="1"/>
  <c r="BW3801" i="1"/>
  <c r="A3802" i="1"/>
  <c r="C3802" i="1"/>
  <c r="S3802" i="1"/>
  <c r="T3802" i="1"/>
  <c r="U3802" i="1"/>
  <c r="BB3802" i="1"/>
  <c r="BW3802" i="1"/>
  <c r="A3803" i="1"/>
  <c r="C3803" i="1"/>
  <c r="S3803" i="1"/>
  <c r="T3803" i="1"/>
  <c r="U3803" i="1"/>
  <c r="BB3803" i="1"/>
  <c r="BW3803" i="1"/>
  <c r="A3804" i="1"/>
  <c r="C3804" i="1"/>
  <c r="S3804" i="1"/>
  <c r="T3804" i="1"/>
  <c r="U3804" i="1"/>
  <c r="BB3804" i="1"/>
  <c r="BW3804" i="1"/>
  <c r="A3805" i="1"/>
  <c r="C3805" i="1"/>
  <c r="S3805" i="1"/>
  <c r="T3805" i="1"/>
  <c r="U3805" i="1"/>
  <c r="BB3805" i="1"/>
  <c r="BW3805" i="1"/>
  <c r="A3806" i="1"/>
  <c r="C3806" i="1"/>
  <c r="S3806" i="1"/>
  <c r="T3806" i="1"/>
  <c r="U3806" i="1"/>
  <c r="BB3806" i="1"/>
  <c r="BW3806" i="1"/>
  <c r="A3807" i="1"/>
  <c r="C3807" i="1"/>
  <c r="S3807" i="1"/>
  <c r="T3807" i="1"/>
  <c r="U3807" i="1"/>
  <c r="BB3807" i="1"/>
  <c r="BW3807" i="1"/>
  <c r="A3808" i="1"/>
  <c r="C3808" i="1"/>
  <c r="S3808" i="1"/>
  <c r="T3808" i="1"/>
  <c r="U3808" i="1"/>
  <c r="BB3808" i="1"/>
  <c r="BW3808" i="1"/>
  <c r="A3809" i="1"/>
  <c r="C3809" i="1"/>
  <c r="S3809" i="1"/>
  <c r="T3809" i="1"/>
  <c r="U3809" i="1"/>
  <c r="BB3809" i="1"/>
  <c r="BW3809" i="1"/>
  <c r="A3810" i="1"/>
  <c r="C3810" i="1"/>
  <c r="S3810" i="1"/>
  <c r="T3810" i="1"/>
  <c r="U3810" i="1"/>
  <c r="BB3810" i="1"/>
  <c r="BW3810" i="1"/>
  <c r="A3811" i="1"/>
  <c r="C3811" i="1"/>
  <c r="S3811" i="1"/>
  <c r="T3811" i="1"/>
  <c r="U3811" i="1"/>
  <c r="BB3811" i="1"/>
  <c r="BW3811" i="1"/>
  <c r="A3812" i="1"/>
  <c r="C3812" i="1"/>
  <c r="S3812" i="1"/>
  <c r="T3812" i="1"/>
  <c r="U3812" i="1"/>
  <c r="BB3812" i="1"/>
  <c r="BW3812" i="1"/>
  <c r="A3813" i="1"/>
  <c r="C3813" i="1"/>
  <c r="S3813" i="1"/>
  <c r="T3813" i="1"/>
  <c r="U3813" i="1"/>
  <c r="BB3813" i="1"/>
  <c r="BW3813" i="1"/>
  <c r="A3814" i="1"/>
  <c r="C3814" i="1"/>
  <c r="S3814" i="1"/>
  <c r="T3814" i="1"/>
  <c r="U3814" i="1"/>
  <c r="BB3814" i="1"/>
  <c r="BW3814" i="1"/>
  <c r="A3815" i="1"/>
  <c r="C3815" i="1"/>
  <c r="S3815" i="1"/>
  <c r="T3815" i="1"/>
  <c r="U3815" i="1"/>
  <c r="BB3815" i="1"/>
  <c r="BW3815" i="1"/>
  <c r="A3816" i="1"/>
  <c r="C3816" i="1"/>
  <c r="S3816" i="1"/>
  <c r="T3816" i="1"/>
  <c r="U3816" i="1"/>
  <c r="BB3816" i="1"/>
  <c r="BW3816" i="1"/>
  <c r="A3817" i="1"/>
  <c r="C3817" i="1"/>
  <c r="S3817" i="1"/>
  <c r="T3817" i="1"/>
  <c r="U3817" i="1"/>
  <c r="BB3817" i="1"/>
  <c r="BW3817" i="1"/>
  <c r="A3818" i="1"/>
  <c r="C3818" i="1"/>
  <c r="S3818" i="1"/>
  <c r="T3818" i="1"/>
  <c r="U3818" i="1"/>
  <c r="BB3818" i="1"/>
  <c r="BW3818" i="1"/>
  <c r="A3819" i="1"/>
  <c r="C3819" i="1"/>
  <c r="S3819" i="1"/>
  <c r="T3819" i="1"/>
  <c r="U3819" i="1"/>
  <c r="BB3819" i="1"/>
  <c r="BW3819" i="1"/>
  <c r="A3820" i="1"/>
  <c r="C3820" i="1"/>
  <c r="S3820" i="1"/>
  <c r="T3820" i="1"/>
  <c r="U3820" i="1"/>
  <c r="BB3820" i="1"/>
  <c r="BW3820" i="1"/>
  <c r="A3821" i="1"/>
  <c r="C3821" i="1"/>
  <c r="S3821" i="1"/>
  <c r="T3821" i="1"/>
  <c r="U3821" i="1"/>
  <c r="BB3821" i="1"/>
  <c r="BW3821" i="1"/>
  <c r="A3822" i="1"/>
  <c r="C3822" i="1"/>
  <c r="S3822" i="1"/>
  <c r="T3822" i="1"/>
  <c r="U3822" i="1"/>
  <c r="BB3822" i="1"/>
  <c r="BW3822" i="1"/>
  <c r="A3823" i="1"/>
  <c r="C3823" i="1"/>
  <c r="S3823" i="1"/>
  <c r="T3823" i="1"/>
  <c r="U3823" i="1"/>
  <c r="BB3823" i="1"/>
  <c r="BW3823" i="1"/>
  <c r="A3824" i="1"/>
  <c r="C3824" i="1"/>
  <c r="S3824" i="1"/>
  <c r="T3824" i="1"/>
  <c r="U3824" i="1"/>
  <c r="BB3824" i="1"/>
  <c r="BW3824" i="1"/>
  <c r="A3825" i="1"/>
  <c r="C3825" i="1"/>
  <c r="S3825" i="1"/>
  <c r="T3825" i="1"/>
  <c r="U3825" i="1"/>
  <c r="BB3825" i="1"/>
  <c r="BW3825" i="1"/>
  <c r="A3826" i="1"/>
  <c r="C3826" i="1"/>
  <c r="S3826" i="1"/>
  <c r="T3826" i="1"/>
  <c r="U3826" i="1"/>
  <c r="BB3826" i="1"/>
  <c r="BW3826" i="1"/>
  <c r="A3827" i="1"/>
  <c r="C3827" i="1"/>
  <c r="S3827" i="1"/>
  <c r="T3827" i="1"/>
  <c r="U3827" i="1"/>
  <c r="BB3827" i="1"/>
  <c r="BW3827" i="1"/>
  <c r="A3828" i="1"/>
  <c r="C3828" i="1"/>
  <c r="S3828" i="1"/>
  <c r="T3828" i="1"/>
  <c r="U3828" i="1"/>
  <c r="BB3828" i="1"/>
  <c r="BW3828" i="1"/>
  <c r="A3829" i="1"/>
  <c r="C3829" i="1"/>
  <c r="S3829" i="1"/>
  <c r="T3829" i="1"/>
  <c r="U3829" i="1"/>
  <c r="BB3829" i="1"/>
  <c r="BW3829" i="1"/>
  <c r="A3830" i="1"/>
  <c r="C3830" i="1"/>
  <c r="S3830" i="1"/>
  <c r="T3830" i="1"/>
  <c r="U3830" i="1"/>
  <c r="BB3830" i="1"/>
  <c r="BW3830" i="1"/>
  <c r="A3831" i="1"/>
  <c r="C3831" i="1"/>
  <c r="S3831" i="1"/>
  <c r="T3831" i="1"/>
  <c r="U3831" i="1"/>
  <c r="BB3831" i="1"/>
  <c r="BW3831" i="1"/>
  <c r="A3832" i="1"/>
  <c r="C3832" i="1"/>
  <c r="S3832" i="1"/>
  <c r="T3832" i="1"/>
  <c r="U3832" i="1"/>
  <c r="BB3832" i="1"/>
  <c r="BW3832" i="1"/>
  <c r="A3833" i="1"/>
  <c r="C3833" i="1"/>
  <c r="S3833" i="1"/>
  <c r="T3833" i="1"/>
  <c r="U3833" i="1"/>
  <c r="BB3833" i="1"/>
  <c r="BW3833" i="1"/>
  <c r="A3834" i="1"/>
  <c r="C3834" i="1"/>
  <c r="S3834" i="1"/>
  <c r="T3834" i="1"/>
  <c r="U3834" i="1"/>
  <c r="BB3834" i="1"/>
  <c r="BW3834" i="1"/>
  <c r="A3835" i="1"/>
  <c r="C3835" i="1"/>
  <c r="S3835" i="1"/>
  <c r="T3835" i="1"/>
  <c r="U3835" i="1"/>
  <c r="BB3835" i="1"/>
  <c r="BW3835" i="1"/>
  <c r="A3836" i="1"/>
  <c r="C3836" i="1"/>
  <c r="S3836" i="1"/>
  <c r="T3836" i="1"/>
  <c r="U3836" i="1"/>
  <c r="BB3836" i="1"/>
  <c r="BW3836" i="1"/>
  <c r="A3837" i="1"/>
  <c r="C3837" i="1"/>
  <c r="S3837" i="1"/>
  <c r="T3837" i="1"/>
  <c r="U3837" i="1"/>
  <c r="BB3837" i="1"/>
  <c r="BW3837" i="1"/>
  <c r="A3838" i="1"/>
  <c r="C3838" i="1"/>
  <c r="S3838" i="1"/>
  <c r="T3838" i="1"/>
  <c r="U3838" i="1"/>
  <c r="BB3838" i="1"/>
  <c r="BW3838" i="1"/>
  <c r="A3839" i="1"/>
  <c r="C3839" i="1"/>
  <c r="S3839" i="1"/>
  <c r="T3839" i="1"/>
  <c r="U3839" i="1"/>
  <c r="BB3839" i="1"/>
  <c r="BW3839" i="1"/>
  <c r="A3840" i="1"/>
  <c r="C3840" i="1"/>
  <c r="S3840" i="1"/>
  <c r="T3840" i="1"/>
  <c r="U3840" i="1"/>
  <c r="BB3840" i="1"/>
  <c r="BW3840" i="1"/>
  <c r="A3841" i="1"/>
  <c r="C3841" i="1"/>
  <c r="S3841" i="1"/>
  <c r="T3841" i="1"/>
  <c r="U3841" i="1"/>
  <c r="BB3841" i="1"/>
  <c r="BW3841" i="1"/>
  <c r="A3842" i="1"/>
  <c r="C3842" i="1"/>
  <c r="S3842" i="1"/>
  <c r="T3842" i="1"/>
  <c r="U3842" i="1"/>
  <c r="BB3842" i="1"/>
  <c r="BW3842" i="1"/>
  <c r="A3843" i="1"/>
  <c r="C3843" i="1"/>
  <c r="S3843" i="1"/>
  <c r="T3843" i="1"/>
  <c r="U3843" i="1"/>
  <c r="BB3843" i="1"/>
  <c r="BW3843" i="1"/>
  <c r="A3844" i="1"/>
  <c r="C3844" i="1"/>
  <c r="S3844" i="1"/>
  <c r="T3844" i="1"/>
  <c r="U3844" i="1"/>
  <c r="BB3844" i="1"/>
  <c r="BW3844" i="1"/>
  <c r="A3845" i="1"/>
  <c r="C3845" i="1"/>
  <c r="S3845" i="1"/>
  <c r="T3845" i="1"/>
  <c r="U3845" i="1"/>
  <c r="BB3845" i="1"/>
  <c r="BW3845" i="1"/>
  <c r="A3846" i="1"/>
  <c r="C3846" i="1"/>
  <c r="S3846" i="1"/>
  <c r="T3846" i="1"/>
  <c r="U3846" i="1"/>
  <c r="BB3846" i="1"/>
  <c r="BW3846" i="1"/>
  <c r="A3847" i="1"/>
  <c r="C3847" i="1"/>
  <c r="S3847" i="1"/>
  <c r="T3847" i="1"/>
  <c r="U3847" i="1"/>
  <c r="BB3847" i="1"/>
  <c r="BW3847" i="1"/>
  <c r="A3848" i="1"/>
  <c r="C3848" i="1"/>
  <c r="S3848" i="1"/>
  <c r="T3848" i="1"/>
  <c r="U3848" i="1"/>
  <c r="BB3848" i="1"/>
  <c r="BW3848" i="1"/>
  <c r="A3849" i="1"/>
  <c r="C3849" i="1"/>
  <c r="S3849" i="1"/>
  <c r="T3849" i="1"/>
  <c r="U3849" i="1"/>
  <c r="BB3849" i="1"/>
  <c r="BW3849" i="1"/>
  <c r="A3850" i="1"/>
  <c r="C3850" i="1"/>
  <c r="S3850" i="1"/>
  <c r="T3850" i="1"/>
  <c r="U3850" i="1"/>
  <c r="BB3850" i="1"/>
  <c r="BW3850" i="1"/>
  <c r="A3851" i="1"/>
  <c r="C3851" i="1"/>
  <c r="S3851" i="1"/>
  <c r="T3851" i="1"/>
  <c r="U3851" i="1"/>
  <c r="BB3851" i="1"/>
  <c r="BW3851" i="1"/>
  <c r="A3852" i="1"/>
  <c r="C3852" i="1"/>
  <c r="S3852" i="1"/>
  <c r="T3852" i="1"/>
  <c r="U3852" i="1"/>
  <c r="BB3852" i="1"/>
  <c r="BW3852" i="1"/>
  <c r="A3853" i="1"/>
  <c r="C3853" i="1"/>
  <c r="S3853" i="1"/>
  <c r="T3853" i="1"/>
  <c r="U3853" i="1"/>
  <c r="BB3853" i="1"/>
  <c r="BW3853" i="1"/>
  <c r="A3854" i="1"/>
  <c r="C3854" i="1"/>
  <c r="S3854" i="1"/>
  <c r="T3854" i="1"/>
  <c r="U3854" i="1"/>
  <c r="BB3854" i="1"/>
  <c r="BW3854" i="1"/>
  <c r="A3855" i="1"/>
  <c r="C3855" i="1"/>
  <c r="S3855" i="1"/>
  <c r="T3855" i="1"/>
  <c r="U3855" i="1"/>
  <c r="BB3855" i="1"/>
  <c r="BW3855" i="1"/>
  <c r="A3856" i="1"/>
  <c r="C3856" i="1"/>
  <c r="S3856" i="1"/>
  <c r="T3856" i="1"/>
  <c r="U3856" i="1"/>
  <c r="BB3856" i="1"/>
  <c r="BW3856" i="1"/>
  <c r="A3857" i="1"/>
  <c r="C3857" i="1"/>
  <c r="S3857" i="1"/>
  <c r="T3857" i="1"/>
  <c r="U3857" i="1"/>
  <c r="BB3857" i="1"/>
  <c r="BW3857" i="1"/>
  <c r="A3858" i="1"/>
  <c r="C3858" i="1"/>
  <c r="S3858" i="1"/>
  <c r="T3858" i="1"/>
  <c r="U3858" i="1"/>
  <c r="BB3858" i="1"/>
  <c r="BW3858" i="1"/>
  <c r="A3859" i="1"/>
  <c r="C3859" i="1"/>
  <c r="S3859" i="1"/>
  <c r="T3859" i="1"/>
  <c r="U3859" i="1"/>
  <c r="BB3859" i="1"/>
  <c r="BW3859" i="1"/>
  <c r="A3860" i="1"/>
  <c r="C3860" i="1"/>
  <c r="S3860" i="1"/>
  <c r="T3860" i="1"/>
  <c r="U3860" i="1"/>
  <c r="BB3860" i="1"/>
  <c r="BW3860" i="1"/>
  <c r="A3861" i="1"/>
  <c r="C3861" i="1"/>
  <c r="S3861" i="1"/>
  <c r="T3861" i="1"/>
  <c r="U3861" i="1"/>
  <c r="BB3861" i="1"/>
  <c r="BW3861" i="1"/>
  <c r="A3862" i="1"/>
  <c r="C3862" i="1"/>
  <c r="S3862" i="1"/>
  <c r="T3862" i="1"/>
  <c r="U3862" i="1"/>
  <c r="BB3862" i="1"/>
  <c r="BW3862" i="1"/>
  <c r="A3863" i="1"/>
  <c r="C3863" i="1"/>
  <c r="S3863" i="1"/>
  <c r="T3863" i="1"/>
  <c r="U3863" i="1"/>
  <c r="BB3863" i="1"/>
  <c r="BW3863" i="1"/>
  <c r="A3864" i="1"/>
  <c r="C3864" i="1"/>
  <c r="S3864" i="1"/>
  <c r="T3864" i="1"/>
  <c r="U3864" i="1"/>
  <c r="BB3864" i="1"/>
  <c r="BW3864" i="1"/>
  <c r="A3865" i="1"/>
  <c r="C3865" i="1"/>
  <c r="S3865" i="1"/>
  <c r="T3865" i="1"/>
  <c r="U3865" i="1"/>
  <c r="BB3865" i="1"/>
  <c r="BW3865" i="1"/>
  <c r="A3866" i="1"/>
  <c r="C3866" i="1"/>
  <c r="S3866" i="1"/>
  <c r="T3866" i="1"/>
  <c r="U3866" i="1"/>
  <c r="BB3866" i="1"/>
  <c r="BW3866" i="1"/>
  <c r="A3867" i="1"/>
  <c r="C3867" i="1"/>
  <c r="S3867" i="1"/>
  <c r="T3867" i="1"/>
  <c r="U3867" i="1"/>
  <c r="BB3867" i="1"/>
  <c r="BW3867" i="1"/>
  <c r="A3868" i="1"/>
  <c r="C3868" i="1"/>
  <c r="S3868" i="1"/>
  <c r="T3868" i="1"/>
  <c r="U3868" i="1"/>
  <c r="BB3868" i="1"/>
  <c r="BW3868" i="1"/>
  <c r="A3869" i="1"/>
  <c r="C3869" i="1"/>
  <c r="S3869" i="1"/>
  <c r="T3869" i="1"/>
  <c r="U3869" i="1"/>
  <c r="BB3869" i="1"/>
  <c r="BW3869" i="1"/>
  <c r="A3870" i="1"/>
  <c r="C3870" i="1"/>
  <c r="S3870" i="1"/>
  <c r="T3870" i="1"/>
  <c r="U3870" i="1"/>
  <c r="BB3870" i="1"/>
  <c r="BW3870" i="1"/>
  <c r="A3871" i="1"/>
  <c r="C3871" i="1"/>
  <c r="S3871" i="1"/>
  <c r="T3871" i="1"/>
  <c r="U3871" i="1"/>
  <c r="BB3871" i="1"/>
  <c r="BW3871" i="1"/>
  <c r="A3872" i="1"/>
  <c r="C3872" i="1"/>
  <c r="S3872" i="1"/>
  <c r="T3872" i="1"/>
  <c r="U3872" i="1"/>
  <c r="BB3872" i="1"/>
  <c r="BW3872" i="1"/>
  <c r="A3873" i="1"/>
  <c r="C3873" i="1"/>
  <c r="S3873" i="1"/>
  <c r="T3873" i="1"/>
  <c r="U3873" i="1"/>
  <c r="BB3873" i="1"/>
  <c r="BW3873" i="1"/>
  <c r="A3874" i="1"/>
  <c r="C3874" i="1"/>
  <c r="S3874" i="1"/>
  <c r="T3874" i="1"/>
  <c r="U3874" i="1"/>
  <c r="BB3874" i="1"/>
  <c r="BW3874" i="1"/>
  <c r="A3875" i="1"/>
  <c r="C3875" i="1"/>
  <c r="S3875" i="1"/>
  <c r="T3875" i="1"/>
  <c r="U3875" i="1"/>
  <c r="BB3875" i="1"/>
  <c r="BW3875" i="1"/>
  <c r="A3876" i="1"/>
  <c r="C3876" i="1"/>
  <c r="S3876" i="1"/>
  <c r="T3876" i="1"/>
  <c r="U3876" i="1"/>
  <c r="BB3876" i="1"/>
  <c r="BW3876" i="1"/>
  <c r="A3877" i="1"/>
  <c r="C3877" i="1"/>
  <c r="S3877" i="1"/>
  <c r="T3877" i="1"/>
  <c r="U3877" i="1"/>
  <c r="BB3877" i="1"/>
  <c r="BW3877" i="1"/>
  <c r="A3878" i="1"/>
  <c r="C3878" i="1"/>
  <c r="S3878" i="1"/>
  <c r="T3878" i="1"/>
  <c r="U3878" i="1"/>
  <c r="BB3878" i="1"/>
  <c r="BW3878" i="1"/>
  <c r="A3879" i="1"/>
  <c r="C3879" i="1"/>
  <c r="S3879" i="1"/>
  <c r="T3879" i="1"/>
  <c r="U3879" i="1"/>
  <c r="BB3879" i="1"/>
  <c r="BW3879" i="1"/>
  <c r="A3880" i="1"/>
  <c r="C3880" i="1"/>
  <c r="S3880" i="1"/>
  <c r="T3880" i="1"/>
  <c r="U3880" i="1"/>
  <c r="BB3880" i="1"/>
  <c r="BW3880" i="1"/>
  <c r="A3881" i="1"/>
  <c r="C3881" i="1"/>
  <c r="S3881" i="1"/>
  <c r="T3881" i="1"/>
  <c r="U3881" i="1"/>
  <c r="BB3881" i="1"/>
  <c r="BW3881" i="1"/>
  <c r="A3882" i="1"/>
  <c r="C3882" i="1"/>
  <c r="S3882" i="1"/>
  <c r="T3882" i="1"/>
  <c r="U3882" i="1"/>
  <c r="BB3882" i="1"/>
  <c r="BW3882" i="1"/>
  <c r="A3883" i="1"/>
  <c r="C3883" i="1"/>
  <c r="S3883" i="1"/>
  <c r="T3883" i="1"/>
  <c r="U3883" i="1"/>
  <c r="BB3883" i="1"/>
  <c r="BW3883" i="1"/>
  <c r="A3884" i="1"/>
  <c r="C3884" i="1"/>
  <c r="S3884" i="1"/>
  <c r="T3884" i="1"/>
  <c r="U3884" i="1"/>
  <c r="BB3884" i="1"/>
  <c r="BW3884" i="1"/>
  <c r="A3885" i="1"/>
  <c r="C3885" i="1"/>
  <c r="S3885" i="1"/>
  <c r="T3885" i="1"/>
  <c r="U3885" i="1"/>
  <c r="BB3885" i="1"/>
  <c r="BW3885" i="1"/>
  <c r="A3886" i="1"/>
  <c r="C3886" i="1"/>
  <c r="S3886" i="1"/>
  <c r="T3886" i="1"/>
  <c r="U3886" i="1"/>
  <c r="BB3886" i="1"/>
  <c r="BW3886" i="1"/>
  <c r="A3887" i="1"/>
  <c r="C3887" i="1"/>
  <c r="S3887" i="1"/>
  <c r="T3887" i="1"/>
  <c r="U3887" i="1"/>
  <c r="BB3887" i="1"/>
  <c r="BW3887" i="1"/>
  <c r="A3888" i="1"/>
  <c r="C3888" i="1"/>
  <c r="S3888" i="1"/>
  <c r="T3888" i="1"/>
  <c r="U3888" i="1"/>
  <c r="BB3888" i="1"/>
  <c r="BW3888" i="1"/>
  <c r="A3889" i="1"/>
  <c r="C3889" i="1"/>
  <c r="S3889" i="1"/>
  <c r="T3889" i="1"/>
  <c r="U3889" i="1"/>
  <c r="BB3889" i="1"/>
  <c r="BW3889" i="1"/>
  <c r="A3890" i="1"/>
  <c r="C3890" i="1"/>
  <c r="S3890" i="1"/>
  <c r="T3890" i="1"/>
  <c r="U3890" i="1"/>
  <c r="BB3890" i="1"/>
  <c r="BW3890" i="1"/>
  <c r="A3891" i="1"/>
  <c r="C3891" i="1"/>
  <c r="S3891" i="1"/>
  <c r="T3891" i="1"/>
  <c r="U3891" i="1"/>
  <c r="BB3891" i="1"/>
  <c r="BW3891" i="1"/>
  <c r="A3892" i="1"/>
  <c r="C3892" i="1"/>
  <c r="S3892" i="1"/>
  <c r="T3892" i="1"/>
  <c r="U3892" i="1"/>
  <c r="BB3892" i="1"/>
  <c r="BW3892" i="1"/>
  <c r="A3893" i="1"/>
  <c r="C3893" i="1"/>
  <c r="S3893" i="1"/>
  <c r="T3893" i="1"/>
  <c r="U3893" i="1"/>
  <c r="BB3893" i="1"/>
  <c r="BW3893" i="1"/>
  <c r="A3894" i="1"/>
  <c r="C3894" i="1"/>
  <c r="S3894" i="1"/>
  <c r="T3894" i="1"/>
  <c r="U3894" i="1"/>
  <c r="BB3894" i="1"/>
  <c r="BW3894" i="1"/>
  <c r="A3895" i="1"/>
  <c r="C3895" i="1"/>
  <c r="S3895" i="1"/>
  <c r="T3895" i="1"/>
  <c r="U3895" i="1"/>
  <c r="BB3895" i="1"/>
  <c r="BW3895" i="1"/>
  <c r="A3896" i="1"/>
  <c r="C3896" i="1"/>
  <c r="S3896" i="1"/>
  <c r="T3896" i="1"/>
  <c r="U3896" i="1"/>
  <c r="BB3896" i="1"/>
  <c r="BW3896" i="1"/>
  <c r="A3897" i="1"/>
  <c r="C3897" i="1"/>
  <c r="S3897" i="1"/>
  <c r="T3897" i="1"/>
  <c r="U3897" i="1"/>
  <c r="BB3897" i="1"/>
  <c r="BW3897" i="1"/>
  <c r="A3898" i="1"/>
  <c r="C3898" i="1"/>
  <c r="S3898" i="1"/>
  <c r="T3898" i="1"/>
  <c r="U3898" i="1"/>
  <c r="BB3898" i="1"/>
  <c r="BW3898" i="1"/>
  <c r="A3899" i="1"/>
  <c r="C3899" i="1"/>
  <c r="S3899" i="1"/>
  <c r="T3899" i="1"/>
  <c r="U3899" i="1"/>
  <c r="BB3899" i="1"/>
  <c r="BW3899" i="1"/>
  <c r="A3900" i="1"/>
  <c r="C3900" i="1"/>
  <c r="S3900" i="1"/>
  <c r="T3900" i="1"/>
  <c r="U3900" i="1"/>
  <c r="BB3900" i="1"/>
  <c r="BW3900" i="1"/>
  <c r="A3901" i="1"/>
  <c r="C3901" i="1"/>
  <c r="S3901" i="1"/>
  <c r="T3901" i="1"/>
  <c r="U3901" i="1"/>
  <c r="BB3901" i="1"/>
  <c r="BW3901" i="1"/>
  <c r="A3902" i="1"/>
  <c r="C3902" i="1"/>
  <c r="S3902" i="1"/>
  <c r="T3902" i="1"/>
  <c r="U3902" i="1"/>
  <c r="BB3902" i="1"/>
  <c r="BW3902" i="1"/>
  <c r="A3903" i="1"/>
  <c r="C3903" i="1"/>
  <c r="S3903" i="1"/>
  <c r="T3903" i="1"/>
  <c r="U3903" i="1"/>
  <c r="BB3903" i="1"/>
  <c r="BW3903" i="1"/>
  <c r="A3904" i="1"/>
  <c r="C3904" i="1"/>
  <c r="S3904" i="1"/>
  <c r="T3904" i="1"/>
  <c r="U3904" i="1"/>
  <c r="BB3904" i="1"/>
  <c r="BW3904" i="1"/>
  <c r="A3905" i="1"/>
  <c r="C3905" i="1"/>
  <c r="S3905" i="1"/>
  <c r="T3905" i="1"/>
  <c r="U3905" i="1"/>
  <c r="BB3905" i="1"/>
  <c r="BW3905" i="1"/>
  <c r="A3906" i="1"/>
  <c r="C3906" i="1"/>
  <c r="S3906" i="1"/>
  <c r="T3906" i="1"/>
  <c r="U3906" i="1"/>
  <c r="BB3906" i="1"/>
  <c r="BW3906" i="1"/>
  <c r="A3907" i="1"/>
  <c r="C3907" i="1"/>
  <c r="S3907" i="1"/>
  <c r="T3907" i="1"/>
  <c r="U3907" i="1"/>
  <c r="BB3907" i="1"/>
  <c r="BW3907" i="1"/>
  <c r="A3908" i="1"/>
  <c r="C3908" i="1"/>
  <c r="S3908" i="1"/>
  <c r="T3908" i="1"/>
  <c r="U3908" i="1"/>
  <c r="BB3908" i="1"/>
  <c r="BW3908" i="1"/>
  <c r="A3909" i="1"/>
  <c r="C3909" i="1"/>
  <c r="S3909" i="1"/>
  <c r="T3909" i="1"/>
  <c r="U3909" i="1"/>
  <c r="BB3909" i="1"/>
  <c r="BW3909" i="1"/>
  <c r="A3910" i="1"/>
  <c r="C3910" i="1"/>
  <c r="S3910" i="1"/>
  <c r="T3910" i="1"/>
  <c r="U3910" i="1"/>
  <c r="BB3910" i="1"/>
  <c r="BW3910" i="1"/>
  <c r="A3911" i="1"/>
  <c r="C3911" i="1"/>
  <c r="S3911" i="1"/>
  <c r="T3911" i="1"/>
  <c r="U3911" i="1"/>
  <c r="BB3911" i="1"/>
  <c r="BW3911" i="1"/>
  <c r="A3912" i="1"/>
  <c r="C3912" i="1"/>
  <c r="S3912" i="1"/>
  <c r="T3912" i="1"/>
  <c r="U3912" i="1"/>
  <c r="BB3912" i="1"/>
  <c r="BW3912" i="1"/>
  <c r="A3913" i="1"/>
  <c r="C3913" i="1"/>
  <c r="S3913" i="1"/>
  <c r="T3913" i="1"/>
  <c r="U3913" i="1"/>
  <c r="BB3913" i="1"/>
  <c r="BW3913" i="1"/>
  <c r="A3914" i="1"/>
  <c r="C3914" i="1"/>
  <c r="S3914" i="1"/>
  <c r="T3914" i="1"/>
  <c r="U3914" i="1"/>
  <c r="BB3914" i="1"/>
  <c r="BW3914" i="1"/>
  <c r="A3915" i="1"/>
  <c r="C3915" i="1"/>
  <c r="S3915" i="1"/>
  <c r="T3915" i="1"/>
  <c r="U3915" i="1"/>
  <c r="BB3915" i="1"/>
  <c r="BW3915" i="1"/>
  <c r="A3916" i="1"/>
  <c r="C3916" i="1"/>
  <c r="S3916" i="1"/>
  <c r="T3916" i="1"/>
  <c r="U3916" i="1"/>
  <c r="BB3916" i="1"/>
  <c r="BW3916" i="1"/>
  <c r="A3917" i="1"/>
  <c r="C3917" i="1"/>
  <c r="S3917" i="1"/>
  <c r="T3917" i="1"/>
  <c r="U3917" i="1"/>
  <c r="BB3917" i="1"/>
  <c r="BW3917" i="1"/>
  <c r="A3918" i="1"/>
  <c r="C3918" i="1"/>
  <c r="S3918" i="1"/>
  <c r="T3918" i="1"/>
  <c r="U3918" i="1"/>
  <c r="BB3918" i="1"/>
  <c r="BW3918" i="1"/>
  <c r="A3919" i="1"/>
  <c r="C3919" i="1"/>
  <c r="S3919" i="1"/>
  <c r="T3919" i="1"/>
  <c r="U3919" i="1"/>
  <c r="BB3919" i="1"/>
  <c r="BW3919" i="1"/>
  <c r="A3920" i="1"/>
  <c r="C3920" i="1"/>
  <c r="S3920" i="1"/>
  <c r="T3920" i="1"/>
  <c r="U3920" i="1"/>
  <c r="BB3920" i="1"/>
  <c r="BW3920" i="1"/>
  <c r="A3921" i="1"/>
  <c r="C3921" i="1"/>
  <c r="S3921" i="1"/>
  <c r="T3921" i="1"/>
  <c r="U3921" i="1"/>
  <c r="BB3921" i="1"/>
  <c r="BW3921" i="1"/>
  <c r="A3922" i="1"/>
  <c r="C3922" i="1"/>
  <c r="S3922" i="1"/>
  <c r="T3922" i="1"/>
  <c r="U3922" i="1"/>
  <c r="BB3922" i="1"/>
  <c r="BW3922" i="1"/>
  <c r="A3923" i="1"/>
  <c r="C3923" i="1"/>
  <c r="S3923" i="1"/>
  <c r="T3923" i="1"/>
  <c r="U3923" i="1"/>
  <c r="BB3923" i="1"/>
  <c r="BW3923" i="1"/>
  <c r="A3924" i="1"/>
  <c r="C3924" i="1"/>
  <c r="S3924" i="1"/>
  <c r="T3924" i="1"/>
  <c r="U3924" i="1"/>
  <c r="BB3924" i="1"/>
  <c r="BW3924" i="1"/>
  <c r="A3925" i="1"/>
  <c r="C3925" i="1"/>
  <c r="S3925" i="1"/>
  <c r="T3925" i="1"/>
  <c r="U3925" i="1"/>
  <c r="BB3925" i="1"/>
  <c r="BW3925" i="1"/>
  <c r="A3926" i="1"/>
  <c r="C3926" i="1"/>
  <c r="S3926" i="1"/>
  <c r="T3926" i="1"/>
  <c r="U3926" i="1"/>
  <c r="BB3926" i="1"/>
  <c r="BW3926" i="1"/>
  <c r="A3927" i="1"/>
  <c r="C3927" i="1"/>
  <c r="S3927" i="1"/>
  <c r="T3927" i="1"/>
  <c r="U3927" i="1"/>
  <c r="BB3927" i="1"/>
  <c r="BW3927" i="1"/>
  <c r="A3928" i="1"/>
  <c r="C3928" i="1"/>
  <c r="S3928" i="1"/>
  <c r="T3928" i="1"/>
  <c r="U3928" i="1"/>
  <c r="BB3928" i="1"/>
  <c r="BW3928" i="1"/>
  <c r="A3929" i="1"/>
  <c r="C3929" i="1"/>
  <c r="S3929" i="1"/>
  <c r="T3929" i="1"/>
  <c r="U3929" i="1"/>
  <c r="BB3929" i="1"/>
  <c r="BW3929" i="1"/>
  <c r="A3930" i="1"/>
  <c r="C3930" i="1"/>
  <c r="S3930" i="1"/>
  <c r="T3930" i="1"/>
  <c r="U3930" i="1"/>
  <c r="BB3930" i="1"/>
  <c r="BW3930" i="1"/>
  <c r="A3931" i="1"/>
  <c r="C3931" i="1"/>
  <c r="S3931" i="1"/>
  <c r="T3931" i="1"/>
  <c r="U3931" i="1"/>
  <c r="BB3931" i="1"/>
  <c r="BW3931" i="1"/>
  <c r="A3932" i="1"/>
  <c r="C3932" i="1"/>
  <c r="S3932" i="1"/>
  <c r="T3932" i="1"/>
  <c r="U3932" i="1"/>
  <c r="BB3932" i="1"/>
  <c r="BW3932" i="1"/>
  <c r="A3933" i="1"/>
  <c r="C3933" i="1"/>
  <c r="S3933" i="1"/>
  <c r="T3933" i="1"/>
  <c r="U3933" i="1"/>
  <c r="BB3933" i="1"/>
  <c r="BW3933" i="1"/>
  <c r="A3934" i="1"/>
  <c r="C3934" i="1"/>
  <c r="S3934" i="1"/>
  <c r="T3934" i="1"/>
  <c r="U3934" i="1"/>
  <c r="BB3934" i="1"/>
  <c r="BW3934" i="1"/>
  <c r="A3935" i="1"/>
  <c r="C3935" i="1"/>
  <c r="S3935" i="1"/>
  <c r="T3935" i="1"/>
  <c r="U3935" i="1"/>
  <c r="BB3935" i="1"/>
  <c r="BW3935" i="1"/>
  <c r="A3936" i="1"/>
  <c r="C3936" i="1"/>
  <c r="S3936" i="1"/>
  <c r="T3936" i="1"/>
  <c r="U3936" i="1"/>
  <c r="BB3936" i="1"/>
  <c r="BW3936" i="1"/>
  <c r="A3937" i="1"/>
  <c r="C3937" i="1"/>
  <c r="S3937" i="1"/>
  <c r="T3937" i="1"/>
  <c r="U3937" i="1"/>
  <c r="BB3937" i="1"/>
  <c r="BW3937" i="1"/>
  <c r="A3938" i="1"/>
  <c r="C3938" i="1"/>
  <c r="S3938" i="1"/>
  <c r="T3938" i="1"/>
  <c r="U3938" i="1"/>
  <c r="BB3938" i="1"/>
  <c r="BW3938" i="1"/>
  <c r="A3939" i="1"/>
  <c r="C3939" i="1"/>
  <c r="S3939" i="1"/>
  <c r="T3939" i="1"/>
  <c r="U3939" i="1"/>
  <c r="BB3939" i="1"/>
  <c r="BW3939" i="1"/>
  <c r="A3940" i="1"/>
  <c r="C3940" i="1"/>
  <c r="S3940" i="1"/>
  <c r="T3940" i="1"/>
  <c r="U3940" i="1"/>
  <c r="BB3940" i="1"/>
  <c r="BW3940" i="1"/>
  <c r="A3941" i="1"/>
  <c r="C3941" i="1"/>
  <c r="S3941" i="1"/>
  <c r="T3941" i="1"/>
  <c r="U3941" i="1"/>
  <c r="BB3941" i="1"/>
  <c r="BW3941" i="1"/>
  <c r="A3942" i="1"/>
  <c r="C3942" i="1"/>
  <c r="S3942" i="1"/>
  <c r="T3942" i="1"/>
  <c r="U3942" i="1"/>
  <c r="BB3942" i="1"/>
  <c r="BW3942" i="1"/>
  <c r="A3943" i="1"/>
  <c r="C3943" i="1"/>
  <c r="S3943" i="1"/>
  <c r="T3943" i="1"/>
  <c r="U3943" i="1"/>
  <c r="BB3943" i="1"/>
  <c r="BW3943" i="1"/>
  <c r="A3944" i="1"/>
  <c r="C3944" i="1"/>
  <c r="S3944" i="1"/>
  <c r="T3944" i="1"/>
  <c r="U3944" i="1"/>
  <c r="BB3944" i="1"/>
  <c r="BW3944" i="1"/>
  <c r="A3945" i="1"/>
  <c r="C3945" i="1"/>
  <c r="S3945" i="1"/>
  <c r="T3945" i="1"/>
  <c r="U3945" i="1"/>
  <c r="BB3945" i="1"/>
  <c r="BW3945" i="1"/>
  <c r="A3946" i="1"/>
  <c r="C3946" i="1"/>
  <c r="S3946" i="1"/>
  <c r="T3946" i="1"/>
  <c r="U3946" i="1"/>
  <c r="BB3946" i="1"/>
  <c r="BW3946" i="1"/>
  <c r="A3947" i="1"/>
  <c r="C3947" i="1"/>
  <c r="S3947" i="1"/>
  <c r="T3947" i="1"/>
  <c r="U3947" i="1"/>
  <c r="BB3947" i="1"/>
  <c r="BW3947" i="1"/>
  <c r="A3948" i="1"/>
  <c r="C3948" i="1"/>
  <c r="S3948" i="1"/>
  <c r="T3948" i="1"/>
  <c r="U3948" i="1"/>
  <c r="BB3948" i="1"/>
  <c r="BW3948" i="1"/>
  <c r="A3949" i="1"/>
  <c r="C3949" i="1"/>
  <c r="S3949" i="1"/>
  <c r="T3949" i="1"/>
  <c r="U3949" i="1"/>
  <c r="BB3949" i="1"/>
  <c r="BW3949" i="1"/>
  <c r="A3950" i="1"/>
  <c r="C3950" i="1"/>
  <c r="S3950" i="1"/>
  <c r="T3950" i="1"/>
  <c r="U3950" i="1"/>
  <c r="BB3950" i="1"/>
  <c r="BW3950" i="1"/>
  <c r="A3951" i="1"/>
  <c r="C3951" i="1"/>
  <c r="S3951" i="1"/>
  <c r="T3951" i="1"/>
  <c r="U3951" i="1"/>
  <c r="BB3951" i="1"/>
  <c r="BW3951" i="1"/>
  <c r="A3952" i="1"/>
  <c r="C3952" i="1"/>
  <c r="S3952" i="1"/>
  <c r="T3952" i="1"/>
  <c r="U3952" i="1"/>
  <c r="BB3952" i="1"/>
  <c r="BW3952" i="1"/>
  <c r="A3953" i="1"/>
  <c r="C3953" i="1"/>
  <c r="S3953" i="1"/>
  <c r="T3953" i="1"/>
  <c r="U3953" i="1"/>
  <c r="BB3953" i="1"/>
  <c r="BW3953" i="1"/>
  <c r="A3954" i="1"/>
  <c r="C3954" i="1"/>
  <c r="S3954" i="1"/>
  <c r="T3954" i="1"/>
  <c r="U3954" i="1"/>
  <c r="BB3954" i="1"/>
  <c r="BW3954" i="1"/>
  <c r="A3955" i="1"/>
  <c r="C3955" i="1"/>
  <c r="S3955" i="1"/>
  <c r="T3955" i="1"/>
  <c r="U3955" i="1"/>
  <c r="BB3955" i="1"/>
  <c r="BW3955" i="1"/>
  <c r="A3956" i="1"/>
  <c r="C3956" i="1"/>
  <c r="S3956" i="1"/>
  <c r="T3956" i="1"/>
  <c r="U3956" i="1"/>
  <c r="BB3956" i="1"/>
  <c r="BW3956" i="1"/>
  <c r="A3957" i="1"/>
  <c r="C3957" i="1"/>
  <c r="S3957" i="1"/>
  <c r="T3957" i="1"/>
  <c r="U3957" i="1"/>
  <c r="BB3957" i="1"/>
  <c r="BW3957" i="1"/>
  <c r="A3958" i="1"/>
  <c r="C3958" i="1"/>
  <c r="S3958" i="1"/>
  <c r="T3958" i="1"/>
  <c r="U3958" i="1"/>
  <c r="BB3958" i="1"/>
  <c r="BW3958" i="1"/>
  <c r="A3959" i="1"/>
  <c r="C3959" i="1"/>
  <c r="S3959" i="1"/>
  <c r="T3959" i="1"/>
  <c r="U3959" i="1"/>
  <c r="BB3959" i="1"/>
  <c r="BW3959" i="1"/>
  <c r="A3960" i="1"/>
  <c r="C3960" i="1"/>
  <c r="S3960" i="1"/>
  <c r="T3960" i="1"/>
  <c r="U3960" i="1"/>
  <c r="BB3960" i="1"/>
  <c r="BW3960" i="1"/>
  <c r="A3961" i="1"/>
  <c r="C3961" i="1"/>
  <c r="S3961" i="1"/>
  <c r="T3961" i="1"/>
  <c r="U3961" i="1"/>
  <c r="BB3961" i="1"/>
  <c r="BW3961" i="1"/>
  <c r="A3962" i="1"/>
  <c r="C3962" i="1"/>
  <c r="S3962" i="1"/>
  <c r="T3962" i="1"/>
  <c r="U3962" i="1"/>
  <c r="BB3962" i="1"/>
  <c r="BW3962" i="1"/>
  <c r="A3963" i="1"/>
  <c r="C3963" i="1"/>
  <c r="S3963" i="1"/>
  <c r="T3963" i="1"/>
  <c r="U3963" i="1"/>
  <c r="BB3963" i="1"/>
  <c r="BW3963" i="1"/>
  <c r="A3964" i="1"/>
  <c r="C3964" i="1"/>
  <c r="S3964" i="1"/>
  <c r="T3964" i="1"/>
  <c r="U3964" i="1"/>
  <c r="BB3964" i="1"/>
  <c r="BW3964" i="1"/>
  <c r="A3965" i="1"/>
  <c r="C3965" i="1"/>
  <c r="S3965" i="1"/>
  <c r="T3965" i="1"/>
  <c r="U3965" i="1"/>
  <c r="BB3965" i="1"/>
  <c r="BW3965" i="1"/>
  <c r="A3966" i="1"/>
  <c r="C3966" i="1"/>
  <c r="S3966" i="1"/>
  <c r="T3966" i="1"/>
  <c r="U3966" i="1"/>
  <c r="BB3966" i="1"/>
  <c r="BW3966" i="1"/>
  <c r="A3967" i="1"/>
  <c r="C3967" i="1"/>
  <c r="S3967" i="1"/>
  <c r="T3967" i="1"/>
  <c r="U3967" i="1"/>
  <c r="BB3967" i="1"/>
  <c r="BW3967" i="1"/>
  <c r="A3968" i="1"/>
  <c r="C3968" i="1"/>
  <c r="S3968" i="1"/>
  <c r="T3968" i="1"/>
  <c r="U3968" i="1"/>
  <c r="BB3968" i="1"/>
  <c r="BW3968" i="1"/>
  <c r="A3969" i="1"/>
  <c r="C3969" i="1"/>
  <c r="S3969" i="1"/>
  <c r="T3969" i="1"/>
  <c r="U3969" i="1"/>
  <c r="BB3969" i="1"/>
  <c r="BW3969" i="1"/>
  <c r="A3970" i="1"/>
  <c r="C3970" i="1"/>
  <c r="S3970" i="1"/>
  <c r="T3970" i="1"/>
  <c r="U3970" i="1"/>
  <c r="BB3970" i="1"/>
  <c r="BW3970" i="1"/>
  <c r="A3971" i="1"/>
  <c r="C3971" i="1"/>
  <c r="S3971" i="1"/>
  <c r="T3971" i="1"/>
  <c r="U3971" i="1"/>
  <c r="BB3971" i="1"/>
  <c r="BW3971" i="1"/>
  <c r="A3972" i="1"/>
  <c r="C3972" i="1"/>
  <c r="S3972" i="1"/>
  <c r="T3972" i="1"/>
  <c r="U3972" i="1"/>
  <c r="BB3972" i="1"/>
  <c r="BW3972" i="1"/>
  <c r="A3973" i="1"/>
  <c r="C3973" i="1"/>
  <c r="S3973" i="1"/>
  <c r="T3973" i="1"/>
  <c r="U3973" i="1"/>
  <c r="BB3973" i="1"/>
  <c r="BW3973" i="1"/>
  <c r="A3974" i="1"/>
  <c r="C3974" i="1"/>
  <c r="S3974" i="1"/>
  <c r="T3974" i="1"/>
  <c r="U3974" i="1"/>
  <c r="BB3974" i="1"/>
  <c r="BW3974" i="1"/>
  <c r="A3975" i="1"/>
  <c r="C3975" i="1"/>
  <c r="S3975" i="1"/>
  <c r="T3975" i="1"/>
  <c r="U3975" i="1"/>
  <c r="BB3975" i="1"/>
  <c r="BW3975" i="1"/>
  <c r="A3976" i="1"/>
  <c r="C3976" i="1"/>
  <c r="S3976" i="1"/>
  <c r="T3976" i="1"/>
  <c r="U3976" i="1"/>
  <c r="BB3976" i="1"/>
  <c r="BW3976" i="1"/>
  <c r="A3977" i="1"/>
  <c r="C3977" i="1"/>
  <c r="S3977" i="1"/>
  <c r="T3977" i="1"/>
  <c r="U3977" i="1"/>
  <c r="BB3977" i="1"/>
  <c r="BW3977" i="1"/>
  <c r="A3978" i="1"/>
  <c r="C3978" i="1"/>
  <c r="S3978" i="1"/>
  <c r="T3978" i="1"/>
  <c r="U3978" i="1"/>
  <c r="BB3978" i="1"/>
  <c r="BW3978" i="1"/>
  <c r="A3979" i="1"/>
  <c r="C3979" i="1"/>
  <c r="S3979" i="1"/>
  <c r="T3979" i="1"/>
  <c r="U3979" i="1"/>
  <c r="BB3979" i="1"/>
  <c r="BW3979" i="1"/>
  <c r="A3980" i="1"/>
  <c r="C3980" i="1"/>
  <c r="S3980" i="1"/>
  <c r="T3980" i="1"/>
  <c r="U3980" i="1"/>
  <c r="BB3980" i="1"/>
  <c r="BW3980" i="1"/>
  <c r="A3981" i="1"/>
  <c r="C3981" i="1"/>
  <c r="S3981" i="1"/>
  <c r="T3981" i="1"/>
  <c r="U3981" i="1"/>
  <c r="BB3981" i="1"/>
  <c r="BW3981" i="1"/>
  <c r="A3982" i="1"/>
  <c r="C3982" i="1"/>
  <c r="S3982" i="1"/>
  <c r="T3982" i="1"/>
  <c r="U3982" i="1"/>
  <c r="BB3982" i="1"/>
  <c r="BW3982" i="1"/>
  <c r="A3983" i="1"/>
  <c r="C3983" i="1"/>
  <c r="S3983" i="1"/>
  <c r="T3983" i="1"/>
  <c r="U3983" i="1"/>
  <c r="BB3983" i="1"/>
  <c r="BW3983" i="1"/>
  <c r="A3984" i="1"/>
  <c r="C3984" i="1"/>
  <c r="S3984" i="1"/>
  <c r="T3984" i="1"/>
  <c r="U3984" i="1"/>
  <c r="BB3984" i="1"/>
  <c r="BW3984" i="1"/>
  <c r="A3985" i="1"/>
  <c r="C3985" i="1"/>
  <c r="S3985" i="1"/>
  <c r="T3985" i="1"/>
  <c r="U3985" i="1"/>
  <c r="BB3985" i="1"/>
  <c r="BW3985" i="1"/>
  <c r="A3986" i="1"/>
  <c r="C3986" i="1"/>
  <c r="S3986" i="1"/>
  <c r="T3986" i="1"/>
  <c r="U3986" i="1"/>
  <c r="BB3986" i="1"/>
  <c r="BW3986" i="1"/>
  <c r="A3987" i="1"/>
  <c r="C3987" i="1"/>
  <c r="S3987" i="1"/>
  <c r="T3987" i="1"/>
  <c r="U3987" i="1"/>
  <c r="BB3987" i="1"/>
  <c r="BW3987" i="1"/>
  <c r="A3988" i="1"/>
  <c r="C3988" i="1"/>
  <c r="S3988" i="1"/>
  <c r="T3988" i="1"/>
  <c r="U3988" i="1"/>
  <c r="BB3988" i="1"/>
  <c r="BW3988" i="1"/>
  <c r="A3989" i="1"/>
  <c r="C3989" i="1"/>
  <c r="S3989" i="1"/>
  <c r="T3989" i="1"/>
  <c r="U3989" i="1"/>
  <c r="BB3989" i="1"/>
  <c r="BW3989" i="1"/>
  <c r="A3990" i="1"/>
  <c r="C3990" i="1"/>
  <c r="S3990" i="1"/>
  <c r="T3990" i="1"/>
  <c r="U3990" i="1"/>
  <c r="BB3990" i="1"/>
  <c r="BW3990" i="1"/>
  <c r="A3991" i="1"/>
  <c r="C3991" i="1"/>
  <c r="S3991" i="1"/>
  <c r="T3991" i="1"/>
  <c r="U3991" i="1"/>
  <c r="BB3991" i="1"/>
  <c r="BW3991" i="1"/>
  <c r="A3992" i="1"/>
  <c r="C3992" i="1"/>
  <c r="S3992" i="1"/>
  <c r="T3992" i="1"/>
  <c r="U3992" i="1"/>
  <c r="BB3992" i="1"/>
  <c r="BW3992" i="1"/>
  <c r="A3993" i="1"/>
  <c r="C3993" i="1"/>
  <c r="S3993" i="1"/>
  <c r="T3993" i="1"/>
  <c r="U3993" i="1"/>
  <c r="BB3993" i="1"/>
  <c r="BW3993" i="1"/>
  <c r="A3994" i="1"/>
  <c r="C3994" i="1"/>
  <c r="S3994" i="1"/>
  <c r="T3994" i="1"/>
  <c r="U3994" i="1"/>
  <c r="BB3994" i="1"/>
  <c r="BW3994" i="1"/>
  <c r="A3995" i="1"/>
  <c r="C3995" i="1"/>
  <c r="S3995" i="1"/>
  <c r="T3995" i="1"/>
  <c r="U3995" i="1"/>
  <c r="BB3995" i="1"/>
  <c r="BW3995" i="1"/>
  <c r="A3996" i="1"/>
  <c r="C3996" i="1"/>
  <c r="S3996" i="1"/>
  <c r="T3996" i="1"/>
  <c r="U3996" i="1"/>
  <c r="BB3996" i="1"/>
  <c r="BW3996" i="1"/>
  <c r="A3997" i="1"/>
  <c r="C3997" i="1"/>
  <c r="S3997" i="1"/>
  <c r="T3997" i="1"/>
  <c r="U3997" i="1"/>
  <c r="BB3997" i="1"/>
  <c r="BW3997" i="1"/>
  <c r="A3998" i="1"/>
  <c r="C3998" i="1"/>
  <c r="S3998" i="1"/>
  <c r="T3998" i="1"/>
  <c r="U3998" i="1"/>
  <c r="BB3998" i="1"/>
  <c r="BW3998" i="1"/>
  <c r="A3999" i="1"/>
  <c r="C3999" i="1"/>
  <c r="S3999" i="1"/>
  <c r="T3999" i="1"/>
  <c r="U3999" i="1"/>
  <c r="BB3999" i="1"/>
  <c r="BW3999" i="1"/>
  <c r="A4000" i="1"/>
  <c r="C4000" i="1"/>
  <c r="S4000" i="1"/>
  <c r="T4000" i="1"/>
  <c r="U4000" i="1"/>
  <c r="BB4000" i="1"/>
  <c r="BW4000" i="1"/>
  <c r="A4001" i="1"/>
  <c r="C4001" i="1"/>
  <c r="S4001" i="1"/>
  <c r="T4001" i="1"/>
  <c r="U4001" i="1"/>
  <c r="BB4001" i="1"/>
  <c r="BW4001" i="1"/>
  <c r="A4002" i="1"/>
  <c r="C4002" i="1"/>
  <c r="S4002" i="1"/>
  <c r="T4002" i="1"/>
  <c r="U4002" i="1"/>
  <c r="BB4002" i="1"/>
  <c r="BW4002" i="1"/>
  <c r="A4003" i="1"/>
  <c r="C4003" i="1"/>
  <c r="S4003" i="1"/>
  <c r="T4003" i="1"/>
  <c r="U4003" i="1"/>
  <c r="BB4003" i="1"/>
  <c r="BW4003" i="1"/>
  <c r="A4004" i="1"/>
  <c r="C4004" i="1"/>
  <c r="S4004" i="1"/>
  <c r="T4004" i="1"/>
  <c r="U4004" i="1"/>
  <c r="BB4004" i="1"/>
  <c r="BW4004" i="1"/>
  <c r="A4005" i="1"/>
  <c r="C4005" i="1"/>
  <c r="S4005" i="1"/>
  <c r="T4005" i="1"/>
  <c r="U4005" i="1"/>
  <c r="BB4005" i="1"/>
  <c r="BW4005" i="1"/>
  <c r="A4006" i="1"/>
  <c r="C4006" i="1"/>
  <c r="S4006" i="1"/>
  <c r="T4006" i="1"/>
  <c r="U4006" i="1"/>
  <c r="BB4006" i="1"/>
  <c r="BW4006" i="1"/>
  <c r="A4007" i="1"/>
  <c r="C4007" i="1"/>
  <c r="S4007" i="1"/>
  <c r="T4007" i="1"/>
  <c r="U4007" i="1"/>
  <c r="BB4007" i="1"/>
  <c r="BW4007" i="1"/>
  <c r="A4008" i="1"/>
  <c r="C4008" i="1"/>
  <c r="S4008" i="1"/>
  <c r="T4008" i="1"/>
  <c r="U4008" i="1"/>
  <c r="BB4008" i="1"/>
  <c r="BW4008" i="1"/>
  <c r="A4009" i="1"/>
  <c r="C4009" i="1"/>
  <c r="S4009" i="1"/>
  <c r="T4009" i="1"/>
  <c r="U4009" i="1"/>
  <c r="BB4009" i="1"/>
  <c r="BW4009" i="1"/>
  <c r="A4010" i="1"/>
  <c r="C4010" i="1"/>
  <c r="S4010" i="1"/>
  <c r="T4010" i="1"/>
  <c r="U4010" i="1"/>
  <c r="BB4010" i="1"/>
  <c r="BW4010" i="1"/>
  <c r="A4011" i="1"/>
  <c r="C4011" i="1"/>
  <c r="S4011" i="1"/>
  <c r="T4011" i="1"/>
  <c r="U4011" i="1"/>
  <c r="BB4011" i="1"/>
  <c r="BW4011" i="1"/>
  <c r="A4012" i="1"/>
  <c r="C4012" i="1"/>
  <c r="S4012" i="1"/>
  <c r="T4012" i="1"/>
  <c r="U4012" i="1"/>
  <c r="BB4012" i="1"/>
  <c r="BW4012" i="1"/>
  <c r="A4013" i="1"/>
  <c r="C4013" i="1"/>
  <c r="S4013" i="1"/>
  <c r="T4013" i="1"/>
  <c r="U4013" i="1"/>
  <c r="BB4013" i="1"/>
  <c r="BW4013" i="1"/>
  <c r="A4014" i="1"/>
  <c r="C4014" i="1"/>
  <c r="S4014" i="1"/>
  <c r="T4014" i="1"/>
  <c r="U4014" i="1"/>
  <c r="BB4014" i="1"/>
  <c r="BW4014" i="1"/>
  <c r="A4015" i="1"/>
  <c r="C4015" i="1"/>
  <c r="S4015" i="1"/>
  <c r="T4015" i="1"/>
  <c r="U4015" i="1"/>
  <c r="BB4015" i="1"/>
  <c r="BW4015" i="1"/>
  <c r="A4016" i="1"/>
  <c r="C4016" i="1"/>
  <c r="S4016" i="1"/>
  <c r="T4016" i="1"/>
  <c r="U4016" i="1"/>
  <c r="BB4016" i="1"/>
  <c r="BW4016" i="1"/>
  <c r="A4017" i="1"/>
  <c r="C4017" i="1"/>
  <c r="S4017" i="1"/>
  <c r="T4017" i="1"/>
  <c r="U4017" i="1"/>
  <c r="BB4017" i="1"/>
  <c r="BW4017" i="1"/>
  <c r="A4018" i="1"/>
  <c r="C4018" i="1"/>
  <c r="S4018" i="1"/>
  <c r="T4018" i="1"/>
  <c r="U4018" i="1"/>
  <c r="BB4018" i="1"/>
  <c r="BW4018" i="1"/>
  <c r="A4019" i="1"/>
  <c r="C4019" i="1"/>
  <c r="S4019" i="1"/>
  <c r="T4019" i="1"/>
  <c r="U4019" i="1"/>
  <c r="BB4019" i="1"/>
  <c r="BW4019" i="1"/>
  <c r="A4020" i="1"/>
  <c r="C4020" i="1"/>
  <c r="S4020" i="1"/>
  <c r="T4020" i="1"/>
  <c r="U4020" i="1"/>
  <c r="BB4020" i="1"/>
  <c r="BW4020" i="1"/>
  <c r="A4021" i="1"/>
  <c r="C4021" i="1"/>
  <c r="S4021" i="1"/>
  <c r="T4021" i="1"/>
  <c r="U4021" i="1"/>
  <c r="BB4021" i="1"/>
  <c r="BW4021" i="1"/>
  <c r="A4022" i="1"/>
  <c r="C4022" i="1"/>
  <c r="S4022" i="1"/>
  <c r="T4022" i="1"/>
  <c r="U4022" i="1"/>
  <c r="BB4022" i="1"/>
  <c r="BW4022" i="1"/>
  <c r="A4023" i="1"/>
  <c r="C4023" i="1"/>
  <c r="S4023" i="1"/>
  <c r="T4023" i="1"/>
  <c r="U4023" i="1"/>
  <c r="BB4023" i="1"/>
  <c r="BW4023" i="1"/>
  <c r="A4024" i="1"/>
  <c r="C4024" i="1"/>
  <c r="S4024" i="1"/>
  <c r="T4024" i="1"/>
  <c r="U4024" i="1"/>
  <c r="BB4024" i="1"/>
  <c r="BW4024" i="1"/>
  <c r="A4025" i="1"/>
  <c r="C4025" i="1"/>
  <c r="S4025" i="1"/>
  <c r="T4025" i="1"/>
  <c r="U4025" i="1"/>
  <c r="BB4025" i="1"/>
  <c r="BW4025" i="1"/>
  <c r="A4026" i="1"/>
  <c r="C4026" i="1"/>
  <c r="S4026" i="1"/>
  <c r="T4026" i="1"/>
  <c r="U4026" i="1"/>
  <c r="BB4026" i="1"/>
  <c r="BW4026" i="1"/>
  <c r="A4027" i="1"/>
  <c r="C4027" i="1"/>
  <c r="S4027" i="1"/>
  <c r="T4027" i="1"/>
  <c r="U4027" i="1"/>
  <c r="BB4027" i="1"/>
  <c r="BW4027" i="1"/>
  <c r="A4028" i="1"/>
  <c r="C4028" i="1"/>
  <c r="S4028" i="1"/>
  <c r="T4028" i="1"/>
  <c r="U4028" i="1"/>
  <c r="BB4028" i="1"/>
  <c r="BW4028" i="1"/>
  <c r="A4029" i="1"/>
  <c r="C4029" i="1"/>
  <c r="S4029" i="1"/>
  <c r="T4029" i="1"/>
  <c r="U4029" i="1"/>
  <c r="BB4029" i="1"/>
  <c r="BW4029" i="1"/>
  <c r="A4030" i="1"/>
  <c r="C4030" i="1"/>
  <c r="S4030" i="1"/>
  <c r="T4030" i="1"/>
  <c r="U4030" i="1"/>
  <c r="BB4030" i="1"/>
  <c r="BW4030" i="1"/>
  <c r="A4031" i="1"/>
  <c r="C4031" i="1"/>
  <c r="S4031" i="1"/>
  <c r="T4031" i="1"/>
  <c r="U4031" i="1"/>
  <c r="BB4031" i="1"/>
  <c r="BW4031" i="1"/>
  <c r="A4032" i="1"/>
  <c r="C4032" i="1"/>
  <c r="S4032" i="1"/>
  <c r="T4032" i="1"/>
  <c r="U4032" i="1"/>
  <c r="BB4032" i="1"/>
  <c r="BW4032" i="1"/>
  <c r="A4033" i="1"/>
  <c r="C4033" i="1"/>
  <c r="S4033" i="1"/>
  <c r="T4033" i="1"/>
  <c r="U4033" i="1"/>
  <c r="BB4033" i="1"/>
  <c r="BW4033" i="1"/>
  <c r="A4034" i="1"/>
  <c r="C4034" i="1"/>
  <c r="S4034" i="1"/>
  <c r="T4034" i="1"/>
  <c r="U4034" i="1"/>
  <c r="BB4034" i="1"/>
  <c r="BW4034" i="1"/>
  <c r="A4035" i="1"/>
  <c r="C4035" i="1"/>
  <c r="S4035" i="1"/>
  <c r="T4035" i="1"/>
  <c r="U4035" i="1"/>
  <c r="BB4035" i="1"/>
  <c r="BW4035" i="1"/>
  <c r="A4036" i="1"/>
  <c r="C4036" i="1"/>
  <c r="S4036" i="1"/>
  <c r="T4036" i="1"/>
  <c r="U4036" i="1"/>
  <c r="BB4036" i="1"/>
  <c r="BW4036" i="1"/>
  <c r="A4037" i="1"/>
  <c r="C4037" i="1"/>
  <c r="S4037" i="1"/>
  <c r="T4037" i="1"/>
  <c r="U4037" i="1"/>
  <c r="BB4037" i="1"/>
  <c r="BW4037" i="1"/>
  <c r="A4038" i="1"/>
  <c r="C4038" i="1"/>
  <c r="S4038" i="1"/>
  <c r="T4038" i="1"/>
  <c r="U4038" i="1"/>
  <c r="BB4038" i="1"/>
  <c r="BW4038" i="1"/>
  <c r="A4039" i="1"/>
  <c r="C4039" i="1"/>
  <c r="S4039" i="1"/>
  <c r="T4039" i="1"/>
  <c r="U4039" i="1"/>
  <c r="BB4039" i="1"/>
  <c r="BW4039" i="1"/>
  <c r="A4040" i="1"/>
  <c r="C4040" i="1"/>
  <c r="S4040" i="1"/>
  <c r="T4040" i="1"/>
  <c r="U4040" i="1"/>
  <c r="BB4040" i="1"/>
  <c r="BW4040" i="1"/>
  <c r="A4041" i="1"/>
  <c r="C4041" i="1"/>
  <c r="S4041" i="1"/>
  <c r="T4041" i="1"/>
  <c r="U4041" i="1"/>
  <c r="BB4041" i="1"/>
  <c r="BW4041" i="1"/>
  <c r="A4042" i="1"/>
  <c r="C4042" i="1"/>
  <c r="S4042" i="1"/>
  <c r="T4042" i="1"/>
  <c r="U4042" i="1"/>
  <c r="BB4042" i="1"/>
  <c r="BW4042" i="1"/>
  <c r="A4043" i="1"/>
  <c r="C4043" i="1"/>
  <c r="S4043" i="1"/>
  <c r="T4043" i="1"/>
  <c r="U4043" i="1"/>
  <c r="BB4043" i="1"/>
  <c r="BW4043" i="1"/>
  <c r="A4044" i="1"/>
  <c r="C4044" i="1"/>
  <c r="S4044" i="1"/>
  <c r="T4044" i="1"/>
  <c r="U4044" i="1"/>
  <c r="BB4044" i="1"/>
  <c r="BW4044" i="1"/>
  <c r="A4045" i="1"/>
  <c r="C4045" i="1"/>
  <c r="S4045" i="1"/>
  <c r="T4045" i="1"/>
  <c r="U4045" i="1"/>
  <c r="BB4045" i="1"/>
  <c r="BW4045" i="1"/>
  <c r="A4046" i="1"/>
  <c r="C4046" i="1"/>
  <c r="S4046" i="1"/>
  <c r="T4046" i="1"/>
  <c r="U4046" i="1"/>
  <c r="BB4046" i="1"/>
  <c r="BW4046" i="1"/>
  <c r="A4047" i="1"/>
  <c r="C4047" i="1"/>
  <c r="S4047" i="1"/>
  <c r="T4047" i="1"/>
  <c r="U4047" i="1"/>
  <c r="BB4047" i="1"/>
  <c r="BW4047" i="1"/>
  <c r="A4048" i="1"/>
  <c r="C4048" i="1"/>
  <c r="S4048" i="1"/>
  <c r="T4048" i="1"/>
  <c r="U4048" i="1"/>
  <c r="BB4048" i="1"/>
  <c r="BW4048" i="1"/>
  <c r="A4049" i="1"/>
  <c r="C4049" i="1"/>
  <c r="S4049" i="1"/>
  <c r="T4049" i="1"/>
  <c r="U4049" i="1"/>
  <c r="BB4049" i="1"/>
  <c r="BW4049" i="1"/>
  <c r="A4050" i="1"/>
  <c r="C4050" i="1"/>
  <c r="S4050" i="1"/>
  <c r="T4050" i="1"/>
  <c r="U4050" i="1"/>
  <c r="BB4050" i="1"/>
  <c r="BW4050" i="1"/>
  <c r="A4051" i="1"/>
  <c r="C4051" i="1"/>
  <c r="S4051" i="1"/>
  <c r="T4051" i="1"/>
  <c r="U4051" i="1"/>
  <c r="BB4051" i="1"/>
  <c r="BW4051" i="1"/>
  <c r="A4052" i="1"/>
  <c r="C4052" i="1"/>
  <c r="S4052" i="1"/>
  <c r="T4052" i="1"/>
  <c r="U4052" i="1"/>
  <c r="BB4052" i="1"/>
  <c r="BW4052" i="1"/>
  <c r="A4053" i="1"/>
  <c r="C4053" i="1"/>
  <c r="S4053" i="1"/>
  <c r="T4053" i="1"/>
  <c r="U4053" i="1"/>
  <c r="BB4053" i="1"/>
  <c r="BW4053" i="1"/>
  <c r="A4054" i="1"/>
  <c r="C4054" i="1"/>
  <c r="S4054" i="1"/>
  <c r="T4054" i="1"/>
  <c r="U4054" i="1"/>
  <c r="BB4054" i="1"/>
  <c r="BW4054" i="1"/>
  <c r="A4055" i="1"/>
  <c r="C4055" i="1"/>
  <c r="S4055" i="1"/>
  <c r="T4055" i="1"/>
  <c r="U4055" i="1"/>
  <c r="BB4055" i="1"/>
  <c r="BW4055" i="1"/>
  <c r="A4056" i="1"/>
  <c r="C4056" i="1"/>
  <c r="S4056" i="1"/>
  <c r="T4056" i="1"/>
  <c r="U4056" i="1"/>
  <c r="BB4056" i="1"/>
  <c r="BW4056" i="1"/>
  <c r="A4057" i="1"/>
  <c r="C4057" i="1"/>
  <c r="S4057" i="1"/>
  <c r="T4057" i="1"/>
  <c r="U4057" i="1"/>
  <c r="BB4057" i="1"/>
  <c r="BW4057" i="1"/>
  <c r="A4058" i="1"/>
  <c r="C4058" i="1"/>
  <c r="S4058" i="1"/>
  <c r="T4058" i="1"/>
  <c r="U4058" i="1"/>
  <c r="BB4058" i="1"/>
  <c r="BW4058" i="1"/>
  <c r="A4059" i="1"/>
  <c r="C4059" i="1"/>
  <c r="S4059" i="1"/>
  <c r="T4059" i="1"/>
  <c r="U4059" i="1"/>
  <c r="BB4059" i="1"/>
  <c r="BW4059" i="1"/>
  <c r="A4060" i="1"/>
  <c r="C4060" i="1"/>
  <c r="S4060" i="1"/>
  <c r="T4060" i="1"/>
  <c r="U4060" i="1"/>
  <c r="BB4060" i="1"/>
  <c r="BW4060" i="1"/>
  <c r="A4061" i="1"/>
  <c r="C4061" i="1"/>
  <c r="S4061" i="1"/>
  <c r="T4061" i="1"/>
  <c r="U4061" i="1"/>
  <c r="BB4061" i="1"/>
  <c r="BW4061" i="1"/>
  <c r="A4062" i="1"/>
  <c r="C4062" i="1"/>
  <c r="S4062" i="1"/>
  <c r="T4062" i="1"/>
  <c r="U4062" i="1"/>
  <c r="BB4062" i="1"/>
  <c r="BW4062" i="1"/>
  <c r="A4063" i="1"/>
  <c r="C4063" i="1"/>
  <c r="S4063" i="1"/>
  <c r="T4063" i="1"/>
  <c r="U4063" i="1"/>
  <c r="BB4063" i="1"/>
  <c r="BW4063" i="1"/>
  <c r="A4064" i="1"/>
  <c r="C4064" i="1"/>
  <c r="S4064" i="1"/>
  <c r="T4064" i="1"/>
  <c r="U4064" i="1"/>
  <c r="BB4064" i="1"/>
  <c r="BW4064" i="1"/>
  <c r="A4065" i="1"/>
  <c r="C4065" i="1"/>
  <c r="S4065" i="1"/>
  <c r="T4065" i="1"/>
  <c r="U4065" i="1"/>
  <c r="BB4065" i="1"/>
  <c r="BW4065" i="1"/>
  <c r="A4066" i="1"/>
  <c r="C4066" i="1"/>
  <c r="S4066" i="1"/>
  <c r="T4066" i="1"/>
  <c r="U4066" i="1"/>
  <c r="BB4066" i="1"/>
  <c r="BW4066" i="1"/>
  <c r="A4067" i="1"/>
  <c r="C4067" i="1"/>
  <c r="S4067" i="1"/>
  <c r="T4067" i="1"/>
  <c r="U4067" i="1"/>
  <c r="BB4067" i="1"/>
  <c r="BW4067" i="1"/>
  <c r="A4068" i="1"/>
  <c r="C4068" i="1"/>
  <c r="S4068" i="1"/>
  <c r="T4068" i="1"/>
  <c r="U4068" i="1"/>
  <c r="BB4068" i="1"/>
  <c r="BW4068" i="1"/>
  <c r="A4069" i="1"/>
  <c r="C4069" i="1"/>
  <c r="S4069" i="1"/>
  <c r="T4069" i="1"/>
  <c r="U4069" i="1"/>
  <c r="BB4069" i="1"/>
  <c r="BW4069" i="1"/>
  <c r="A4070" i="1"/>
  <c r="C4070" i="1"/>
  <c r="S4070" i="1"/>
  <c r="T4070" i="1"/>
  <c r="U4070" i="1"/>
  <c r="BB4070" i="1"/>
  <c r="BW4070" i="1"/>
  <c r="A4071" i="1"/>
  <c r="C4071" i="1"/>
  <c r="S4071" i="1"/>
  <c r="T4071" i="1"/>
  <c r="U4071" i="1"/>
  <c r="BB4071" i="1"/>
  <c r="BW4071" i="1"/>
  <c r="A4072" i="1"/>
  <c r="C4072" i="1"/>
  <c r="S4072" i="1"/>
  <c r="T4072" i="1"/>
  <c r="U4072" i="1"/>
  <c r="BB4072" i="1"/>
  <c r="BW4072" i="1"/>
  <c r="A4073" i="1"/>
  <c r="C4073" i="1"/>
  <c r="S4073" i="1"/>
  <c r="T4073" i="1"/>
  <c r="U4073" i="1"/>
  <c r="BB4073" i="1"/>
  <c r="BW4073" i="1"/>
  <c r="A4074" i="1"/>
  <c r="C4074" i="1"/>
  <c r="S4074" i="1"/>
  <c r="T4074" i="1"/>
  <c r="U4074" i="1"/>
  <c r="BB4074" i="1"/>
  <c r="BW4074" i="1"/>
  <c r="A4075" i="1"/>
  <c r="C4075" i="1"/>
  <c r="S4075" i="1"/>
  <c r="T4075" i="1"/>
  <c r="U4075" i="1"/>
  <c r="BB4075" i="1"/>
  <c r="BW4075" i="1"/>
  <c r="A4076" i="1"/>
  <c r="C4076" i="1"/>
  <c r="S4076" i="1"/>
  <c r="T4076" i="1"/>
  <c r="U4076" i="1"/>
  <c r="BB4076" i="1"/>
  <c r="BW4076" i="1"/>
  <c r="A4077" i="1"/>
  <c r="C4077" i="1"/>
  <c r="S4077" i="1"/>
  <c r="T4077" i="1"/>
  <c r="U4077" i="1"/>
  <c r="BB4077" i="1"/>
  <c r="BW4077" i="1"/>
  <c r="A4078" i="1"/>
  <c r="C4078" i="1"/>
  <c r="S4078" i="1"/>
  <c r="T4078" i="1"/>
  <c r="U4078" i="1"/>
  <c r="BB4078" i="1"/>
  <c r="BW4078" i="1"/>
  <c r="A4079" i="1"/>
  <c r="C4079" i="1"/>
  <c r="S4079" i="1"/>
  <c r="T4079" i="1"/>
  <c r="U4079" i="1"/>
  <c r="BB4079" i="1"/>
  <c r="BW4079" i="1"/>
  <c r="A4080" i="1"/>
  <c r="C4080" i="1"/>
  <c r="S4080" i="1"/>
  <c r="T4080" i="1"/>
  <c r="U4080" i="1"/>
  <c r="BB4080" i="1"/>
  <c r="BW4080" i="1"/>
  <c r="A4081" i="1"/>
  <c r="C4081" i="1"/>
  <c r="S4081" i="1"/>
  <c r="T4081" i="1"/>
  <c r="U4081" i="1"/>
  <c r="BB4081" i="1"/>
  <c r="BW4081" i="1"/>
  <c r="A4082" i="1"/>
  <c r="C4082" i="1"/>
  <c r="S4082" i="1"/>
  <c r="T4082" i="1"/>
  <c r="U4082" i="1"/>
  <c r="BB4082" i="1"/>
  <c r="BW4082" i="1"/>
  <c r="A4083" i="1"/>
  <c r="C4083" i="1"/>
  <c r="S4083" i="1"/>
  <c r="T4083" i="1"/>
  <c r="U4083" i="1"/>
  <c r="BB4083" i="1"/>
  <c r="BW4083" i="1"/>
  <c r="A4084" i="1"/>
  <c r="C4084" i="1"/>
  <c r="S4084" i="1"/>
  <c r="T4084" i="1"/>
  <c r="U4084" i="1"/>
  <c r="BB4084" i="1"/>
  <c r="BW4084" i="1"/>
  <c r="A4085" i="1"/>
  <c r="C4085" i="1"/>
  <c r="S4085" i="1"/>
  <c r="T4085" i="1"/>
  <c r="U4085" i="1"/>
  <c r="BB4085" i="1"/>
  <c r="BW4085" i="1"/>
  <c r="A4086" i="1"/>
  <c r="C4086" i="1"/>
  <c r="S4086" i="1"/>
  <c r="T4086" i="1"/>
  <c r="U4086" i="1"/>
  <c r="BB4086" i="1"/>
  <c r="BW4086" i="1"/>
  <c r="A4087" i="1"/>
  <c r="C4087" i="1"/>
  <c r="S4087" i="1"/>
  <c r="T4087" i="1"/>
  <c r="U4087" i="1"/>
  <c r="BB4087" i="1"/>
  <c r="BW4087" i="1"/>
  <c r="A4088" i="1"/>
  <c r="C4088" i="1"/>
  <c r="S4088" i="1"/>
  <c r="T4088" i="1"/>
  <c r="U4088" i="1"/>
  <c r="BB4088" i="1"/>
  <c r="BW4088" i="1"/>
  <c r="A4089" i="1"/>
  <c r="C4089" i="1"/>
  <c r="S4089" i="1"/>
  <c r="T4089" i="1"/>
  <c r="U4089" i="1"/>
  <c r="BB4089" i="1"/>
  <c r="BW4089" i="1"/>
  <c r="A4090" i="1"/>
  <c r="C4090" i="1"/>
  <c r="S4090" i="1"/>
  <c r="T4090" i="1"/>
  <c r="U4090" i="1"/>
  <c r="BB4090" i="1"/>
  <c r="BW4090" i="1"/>
  <c r="A4091" i="1"/>
  <c r="C4091" i="1"/>
  <c r="S4091" i="1"/>
  <c r="T4091" i="1"/>
  <c r="U4091" i="1"/>
  <c r="BB4091" i="1"/>
  <c r="BW4091" i="1"/>
  <c r="A4092" i="1"/>
  <c r="C4092" i="1"/>
  <c r="S4092" i="1"/>
  <c r="T4092" i="1"/>
  <c r="U4092" i="1"/>
  <c r="BB4092" i="1"/>
  <c r="BW4092" i="1"/>
  <c r="A4093" i="1"/>
  <c r="C4093" i="1"/>
  <c r="S4093" i="1"/>
  <c r="T4093" i="1"/>
  <c r="U4093" i="1"/>
  <c r="BB4093" i="1"/>
  <c r="BW4093" i="1"/>
  <c r="A4094" i="1"/>
  <c r="C4094" i="1"/>
  <c r="S4094" i="1"/>
  <c r="T4094" i="1"/>
  <c r="U4094" i="1"/>
  <c r="BB4094" i="1"/>
  <c r="BW4094" i="1"/>
  <c r="A4095" i="1"/>
  <c r="C4095" i="1"/>
  <c r="S4095" i="1"/>
  <c r="T4095" i="1"/>
  <c r="U4095" i="1"/>
  <c r="BB4095" i="1"/>
  <c r="BW4095" i="1"/>
  <c r="A4096" i="1"/>
  <c r="C4096" i="1"/>
  <c r="S4096" i="1"/>
  <c r="T4096" i="1"/>
  <c r="U4096" i="1"/>
  <c r="BB4096" i="1"/>
  <c r="BW4096" i="1"/>
  <c r="A4097" i="1"/>
  <c r="C4097" i="1"/>
  <c r="S4097" i="1"/>
  <c r="T4097" i="1"/>
  <c r="U4097" i="1"/>
  <c r="BB4097" i="1"/>
  <c r="BW4097" i="1"/>
  <c r="A4098" i="1"/>
  <c r="C4098" i="1"/>
  <c r="S4098" i="1"/>
  <c r="T4098" i="1"/>
  <c r="U4098" i="1"/>
  <c r="BB4098" i="1"/>
  <c r="BW4098" i="1"/>
  <c r="A4099" i="1"/>
  <c r="C4099" i="1"/>
  <c r="S4099" i="1"/>
  <c r="T4099" i="1"/>
  <c r="U4099" i="1"/>
  <c r="BB4099" i="1"/>
  <c r="BW4099" i="1"/>
  <c r="A4100" i="1"/>
  <c r="C4100" i="1"/>
  <c r="S4100" i="1"/>
  <c r="T4100" i="1"/>
  <c r="U4100" i="1"/>
  <c r="BB4100" i="1"/>
  <c r="BW4100" i="1"/>
  <c r="A4101" i="1"/>
  <c r="C4101" i="1"/>
  <c r="S4101" i="1"/>
  <c r="T4101" i="1"/>
  <c r="U4101" i="1"/>
  <c r="BB4101" i="1"/>
  <c r="BW4101" i="1"/>
  <c r="A4102" i="1"/>
  <c r="C4102" i="1"/>
  <c r="S4102" i="1"/>
  <c r="T4102" i="1"/>
  <c r="U4102" i="1"/>
  <c r="BB4102" i="1"/>
  <c r="BW4102" i="1"/>
  <c r="A4103" i="1"/>
  <c r="C4103" i="1"/>
  <c r="S4103" i="1"/>
  <c r="T4103" i="1"/>
  <c r="U4103" i="1"/>
  <c r="BB4103" i="1"/>
  <c r="BW4103" i="1"/>
  <c r="A4104" i="1"/>
  <c r="C4104" i="1"/>
  <c r="S4104" i="1"/>
  <c r="T4104" i="1"/>
  <c r="U4104" i="1"/>
  <c r="BB4104" i="1"/>
  <c r="BW4104" i="1"/>
  <c r="A4105" i="1"/>
  <c r="C4105" i="1"/>
  <c r="S4105" i="1"/>
  <c r="T4105" i="1"/>
  <c r="U4105" i="1"/>
  <c r="BB4105" i="1"/>
  <c r="BW4105" i="1"/>
  <c r="A4106" i="1"/>
  <c r="C4106" i="1"/>
  <c r="S4106" i="1"/>
  <c r="T4106" i="1"/>
  <c r="U4106" i="1"/>
  <c r="BB4106" i="1"/>
  <c r="BW4106" i="1"/>
  <c r="A4107" i="1"/>
  <c r="C4107" i="1"/>
  <c r="S4107" i="1"/>
  <c r="T4107" i="1"/>
  <c r="U4107" i="1"/>
  <c r="BB4107" i="1"/>
  <c r="BW4107" i="1"/>
  <c r="A4108" i="1"/>
  <c r="C4108" i="1"/>
  <c r="S4108" i="1"/>
  <c r="T4108" i="1"/>
  <c r="U4108" i="1"/>
  <c r="BB4108" i="1"/>
  <c r="BW4108" i="1"/>
  <c r="A4109" i="1"/>
  <c r="C4109" i="1"/>
  <c r="S4109" i="1"/>
  <c r="T4109" i="1"/>
  <c r="U4109" i="1"/>
  <c r="BB4109" i="1"/>
  <c r="BW4109" i="1"/>
  <c r="A4110" i="1"/>
  <c r="C4110" i="1"/>
  <c r="S4110" i="1"/>
  <c r="T4110" i="1"/>
  <c r="U4110" i="1"/>
  <c r="BB4110" i="1"/>
  <c r="BW4110" i="1"/>
  <c r="A4111" i="1"/>
  <c r="C4111" i="1"/>
  <c r="S4111" i="1"/>
  <c r="T4111" i="1"/>
  <c r="U4111" i="1"/>
  <c r="BB4111" i="1"/>
  <c r="BW4111" i="1"/>
  <c r="A4112" i="1"/>
  <c r="C4112" i="1"/>
  <c r="S4112" i="1"/>
  <c r="T4112" i="1"/>
  <c r="U4112" i="1"/>
  <c r="BB4112" i="1"/>
  <c r="BW4112" i="1"/>
  <c r="A4113" i="1"/>
  <c r="C4113" i="1"/>
  <c r="S4113" i="1"/>
  <c r="T4113" i="1"/>
  <c r="U4113" i="1"/>
  <c r="BB4113" i="1"/>
  <c r="BW4113" i="1"/>
  <c r="A4114" i="1"/>
  <c r="C4114" i="1"/>
  <c r="S4114" i="1"/>
  <c r="T4114" i="1"/>
  <c r="U4114" i="1"/>
  <c r="BB4114" i="1"/>
  <c r="BW4114" i="1"/>
  <c r="A4115" i="1"/>
  <c r="C4115" i="1"/>
  <c r="S4115" i="1"/>
  <c r="T4115" i="1"/>
  <c r="U4115" i="1"/>
  <c r="BB4115" i="1"/>
  <c r="BW4115" i="1"/>
  <c r="A4116" i="1"/>
  <c r="C4116" i="1"/>
  <c r="S4116" i="1"/>
  <c r="T4116" i="1"/>
  <c r="U4116" i="1"/>
  <c r="BB4116" i="1"/>
  <c r="BW4116" i="1"/>
  <c r="A4117" i="1"/>
  <c r="C4117" i="1"/>
  <c r="S4117" i="1"/>
  <c r="T4117" i="1"/>
  <c r="U4117" i="1"/>
  <c r="BB4117" i="1"/>
  <c r="BW4117" i="1"/>
  <c r="A4118" i="1"/>
  <c r="C4118" i="1"/>
  <c r="S4118" i="1"/>
  <c r="T4118" i="1"/>
  <c r="U4118" i="1"/>
  <c r="BB4118" i="1"/>
  <c r="BW4118" i="1"/>
  <c r="A4119" i="1"/>
  <c r="C4119" i="1"/>
  <c r="S4119" i="1"/>
  <c r="T4119" i="1"/>
  <c r="U4119" i="1"/>
  <c r="BB4119" i="1"/>
  <c r="BW4119" i="1"/>
  <c r="A4120" i="1"/>
  <c r="C4120" i="1"/>
  <c r="S4120" i="1"/>
  <c r="T4120" i="1"/>
  <c r="U4120" i="1"/>
  <c r="BB4120" i="1"/>
  <c r="BW4120" i="1"/>
  <c r="A4121" i="1"/>
  <c r="C4121" i="1"/>
  <c r="S4121" i="1"/>
  <c r="T4121" i="1"/>
  <c r="U4121" i="1"/>
  <c r="BB4121" i="1"/>
  <c r="BW4121" i="1"/>
  <c r="A4122" i="1"/>
  <c r="C4122" i="1"/>
  <c r="S4122" i="1"/>
  <c r="T4122" i="1"/>
  <c r="U4122" i="1"/>
  <c r="BB4122" i="1"/>
  <c r="BW4122" i="1"/>
  <c r="A4123" i="1"/>
  <c r="C4123" i="1"/>
  <c r="S4123" i="1"/>
  <c r="T4123" i="1"/>
  <c r="U4123" i="1"/>
  <c r="BB4123" i="1"/>
  <c r="BW4123" i="1"/>
  <c r="A4124" i="1"/>
  <c r="C4124" i="1"/>
  <c r="S4124" i="1"/>
  <c r="T4124" i="1"/>
  <c r="U4124" i="1"/>
  <c r="BB4124" i="1"/>
  <c r="BW4124" i="1"/>
  <c r="A4125" i="1"/>
  <c r="C4125" i="1"/>
  <c r="S4125" i="1"/>
  <c r="T4125" i="1"/>
  <c r="U4125" i="1"/>
  <c r="BB4125" i="1"/>
  <c r="BW4125" i="1"/>
  <c r="A4126" i="1"/>
  <c r="C4126" i="1"/>
  <c r="S4126" i="1"/>
  <c r="T4126" i="1"/>
  <c r="U4126" i="1"/>
  <c r="BB4126" i="1"/>
  <c r="BW4126" i="1"/>
  <c r="A4127" i="1"/>
  <c r="C4127" i="1"/>
  <c r="S4127" i="1"/>
  <c r="T4127" i="1"/>
  <c r="U4127" i="1"/>
  <c r="BB4127" i="1"/>
  <c r="BW4127" i="1"/>
  <c r="A4128" i="1"/>
  <c r="C4128" i="1"/>
  <c r="S4128" i="1"/>
  <c r="T4128" i="1"/>
  <c r="U4128" i="1"/>
  <c r="BB4128" i="1"/>
  <c r="BW4128" i="1"/>
  <c r="A4129" i="1"/>
  <c r="C4129" i="1"/>
  <c r="S4129" i="1"/>
  <c r="T4129" i="1"/>
  <c r="U4129" i="1"/>
  <c r="BB4129" i="1"/>
  <c r="BW4129" i="1"/>
  <c r="A4130" i="1"/>
  <c r="C4130" i="1"/>
  <c r="S4130" i="1"/>
  <c r="T4130" i="1"/>
  <c r="U4130" i="1"/>
  <c r="BB4130" i="1"/>
  <c r="BW4130" i="1"/>
  <c r="A4131" i="1"/>
  <c r="C4131" i="1"/>
  <c r="S4131" i="1"/>
  <c r="T4131" i="1"/>
  <c r="U4131" i="1"/>
  <c r="BB4131" i="1"/>
  <c r="BW4131" i="1"/>
  <c r="A4132" i="1"/>
  <c r="C4132" i="1"/>
  <c r="S4132" i="1"/>
  <c r="T4132" i="1"/>
  <c r="U4132" i="1"/>
  <c r="BB4132" i="1"/>
  <c r="BW4132" i="1"/>
  <c r="A4133" i="1"/>
  <c r="C4133" i="1"/>
  <c r="S4133" i="1"/>
  <c r="T4133" i="1"/>
  <c r="U4133" i="1"/>
  <c r="BB4133" i="1"/>
  <c r="BW4133" i="1"/>
  <c r="A4134" i="1"/>
  <c r="C4134" i="1"/>
  <c r="S4134" i="1"/>
  <c r="T4134" i="1"/>
  <c r="U4134" i="1"/>
  <c r="BB4134" i="1"/>
  <c r="BW4134" i="1"/>
  <c r="A4135" i="1"/>
  <c r="C4135" i="1"/>
  <c r="S4135" i="1"/>
  <c r="T4135" i="1"/>
  <c r="U4135" i="1"/>
  <c r="BB4135" i="1"/>
  <c r="BW4135" i="1"/>
  <c r="A4136" i="1"/>
  <c r="C4136" i="1"/>
  <c r="S4136" i="1"/>
  <c r="T4136" i="1"/>
  <c r="U4136" i="1"/>
  <c r="BB4136" i="1"/>
  <c r="BW4136" i="1"/>
  <c r="A4137" i="1"/>
  <c r="C4137" i="1"/>
  <c r="S4137" i="1"/>
  <c r="T4137" i="1"/>
  <c r="U4137" i="1"/>
  <c r="BB4137" i="1"/>
  <c r="BW4137" i="1"/>
  <c r="A4138" i="1"/>
  <c r="C4138" i="1"/>
  <c r="S4138" i="1"/>
  <c r="T4138" i="1"/>
  <c r="U4138" i="1"/>
  <c r="BB4138" i="1"/>
  <c r="BW4138" i="1"/>
  <c r="A4139" i="1"/>
  <c r="C4139" i="1"/>
  <c r="S4139" i="1"/>
  <c r="T4139" i="1"/>
  <c r="U4139" i="1"/>
  <c r="BB4139" i="1"/>
  <c r="BW4139" i="1"/>
  <c r="A4140" i="1"/>
  <c r="C4140" i="1"/>
  <c r="S4140" i="1"/>
  <c r="T4140" i="1"/>
  <c r="U4140" i="1"/>
  <c r="BB4140" i="1"/>
  <c r="BW4140" i="1"/>
  <c r="A4141" i="1"/>
  <c r="C4141" i="1"/>
  <c r="S4141" i="1"/>
  <c r="T4141" i="1"/>
  <c r="U4141" i="1"/>
  <c r="BB4141" i="1"/>
  <c r="BW4141" i="1"/>
  <c r="A4142" i="1"/>
  <c r="C4142" i="1"/>
  <c r="S4142" i="1"/>
  <c r="T4142" i="1"/>
  <c r="U4142" i="1"/>
  <c r="BB4142" i="1"/>
  <c r="BW4142" i="1"/>
  <c r="A4143" i="1"/>
  <c r="C4143" i="1"/>
  <c r="S4143" i="1"/>
  <c r="T4143" i="1"/>
  <c r="U4143" i="1"/>
  <c r="BB4143" i="1"/>
  <c r="BW4143" i="1"/>
  <c r="A4144" i="1"/>
  <c r="C4144" i="1"/>
  <c r="S4144" i="1"/>
  <c r="T4144" i="1"/>
  <c r="U4144" i="1"/>
  <c r="BB4144" i="1"/>
  <c r="BW4144" i="1"/>
  <c r="A4145" i="1"/>
  <c r="C4145" i="1"/>
  <c r="S4145" i="1"/>
  <c r="T4145" i="1"/>
  <c r="U4145" i="1"/>
  <c r="BB4145" i="1"/>
  <c r="BW4145" i="1"/>
  <c r="A4146" i="1"/>
  <c r="C4146" i="1"/>
  <c r="S4146" i="1"/>
  <c r="T4146" i="1"/>
  <c r="U4146" i="1"/>
  <c r="BB4146" i="1"/>
  <c r="BW4146" i="1"/>
  <c r="A4147" i="1"/>
  <c r="C4147" i="1"/>
  <c r="S4147" i="1"/>
  <c r="T4147" i="1"/>
  <c r="U4147" i="1"/>
  <c r="BB4147" i="1"/>
  <c r="BW4147" i="1"/>
  <c r="A4148" i="1"/>
  <c r="C4148" i="1"/>
  <c r="S4148" i="1"/>
  <c r="T4148" i="1"/>
  <c r="U4148" i="1"/>
  <c r="BB4148" i="1"/>
  <c r="BW4148" i="1"/>
  <c r="A4149" i="1"/>
  <c r="C4149" i="1"/>
  <c r="S4149" i="1"/>
  <c r="T4149" i="1"/>
  <c r="U4149" i="1"/>
  <c r="BB4149" i="1"/>
  <c r="BW4149" i="1"/>
  <c r="A4150" i="1"/>
  <c r="C4150" i="1"/>
  <c r="S4150" i="1"/>
  <c r="T4150" i="1"/>
  <c r="U4150" i="1"/>
  <c r="BB4150" i="1"/>
  <c r="BW4150" i="1"/>
  <c r="A4151" i="1"/>
  <c r="C4151" i="1"/>
  <c r="S4151" i="1"/>
  <c r="T4151" i="1"/>
  <c r="U4151" i="1"/>
  <c r="BB4151" i="1"/>
  <c r="BW4151" i="1"/>
  <c r="A4152" i="1"/>
  <c r="C4152" i="1"/>
  <c r="S4152" i="1"/>
  <c r="T4152" i="1"/>
  <c r="U4152" i="1"/>
  <c r="BB4152" i="1"/>
  <c r="BW4152" i="1"/>
  <c r="A4153" i="1"/>
  <c r="C4153" i="1"/>
  <c r="S4153" i="1"/>
  <c r="T4153" i="1"/>
  <c r="U4153" i="1"/>
  <c r="BB4153" i="1"/>
  <c r="BW4153" i="1"/>
  <c r="A4154" i="1"/>
  <c r="C4154" i="1"/>
  <c r="S4154" i="1"/>
  <c r="T4154" i="1"/>
  <c r="U4154" i="1"/>
  <c r="BB4154" i="1"/>
  <c r="BW4154" i="1"/>
  <c r="A4155" i="1"/>
  <c r="C4155" i="1"/>
  <c r="S4155" i="1"/>
  <c r="T4155" i="1"/>
  <c r="U4155" i="1"/>
  <c r="BB4155" i="1"/>
  <c r="BW4155" i="1"/>
  <c r="A4156" i="1"/>
  <c r="C4156" i="1"/>
  <c r="S4156" i="1"/>
  <c r="T4156" i="1"/>
  <c r="U4156" i="1"/>
  <c r="BB4156" i="1"/>
  <c r="BW4156" i="1"/>
  <c r="A4157" i="1"/>
  <c r="C4157" i="1"/>
  <c r="S4157" i="1"/>
  <c r="T4157" i="1"/>
  <c r="U4157" i="1"/>
  <c r="BB4157" i="1"/>
  <c r="BW4157" i="1"/>
  <c r="A4158" i="1"/>
  <c r="C4158" i="1"/>
  <c r="S4158" i="1"/>
  <c r="T4158" i="1"/>
  <c r="U4158" i="1"/>
  <c r="BB4158" i="1"/>
  <c r="BW4158" i="1"/>
  <c r="A4159" i="1"/>
  <c r="C4159" i="1"/>
  <c r="S4159" i="1"/>
  <c r="T4159" i="1"/>
  <c r="U4159" i="1"/>
  <c r="BB4159" i="1"/>
  <c r="BW4159" i="1"/>
  <c r="A4160" i="1"/>
  <c r="C4160" i="1"/>
  <c r="S4160" i="1"/>
  <c r="T4160" i="1"/>
  <c r="U4160" i="1"/>
  <c r="BB4160" i="1"/>
  <c r="BW4160" i="1"/>
  <c r="A4161" i="1"/>
  <c r="C4161" i="1"/>
  <c r="S4161" i="1"/>
  <c r="T4161" i="1"/>
  <c r="U4161" i="1"/>
  <c r="BB4161" i="1"/>
  <c r="BW4161" i="1"/>
  <c r="A4162" i="1"/>
  <c r="C4162" i="1"/>
  <c r="S4162" i="1"/>
  <c r="T4162" i="1"/>
  <c r="U4162" i="1"/>
  <c r="BB4162" i="1"/>
  <c r="BW4162" i="1"/>
  <c r="A4163" i="1"/>
  <c r="C4163" i="1"/>
  <c r="S4163" i="1"/>
  <c r="T4163" i="1"/>
  <c r="U4163" i="1"/>
  <c r="BB4163" i="1"/>
  <c r="BW4163" i="1"/>
  <c r="A4164" i="1"/>
  <c r="C4164" i="1"/>
  <c r="S4164" i="1"/>
  <c r="T4164" i="1"/>
  <c r="U4164" i="1"/>
  <c r="BB4164" i="1"/>
  <c r="BW4164" i="1"/>
  <c r="A4165" i="1"/>
  <c r="C4165" i="1"/>
  <c r="S4165" i="1"/>
  <c r="T4165" i="1"/>
  <c r="U4165" i="1"/>
  <c r="BB4165" i="1"/>
  <c r="BW4165" i="1"/>
  <c r="A4166" i="1"/>
  <c r="C4166" i="1"/>
  <c r="S4166" i="1"/>
  <c r="T4166" i="1"/>
  <c r="U4166" i="1"/>
  <c r="BB4166" i="1"/>
  <c r="BW4166" i="1"/>
  <c r="A4167" i="1"/>
  <c r="C4167" i="1"/>
  <c r="S4167" i="1"/>
  <c r="T4167" i="1"/>
  <c r="U4167" i="1"/>
  <c r="BB4167" i="1"/>
  <c r="BW4167" i="1"/>
  <c r="A4168" i="1"/>
  <c r="C4168" i="1"/>
  <c r="S4168" i="1"/>
  <c r="T4168" i="1"/>
  <c r="U4168" i="1"/>
  <c r="BB4168" i="1"/>
  <c r="BW4168" i="1"/>
  <c r="A4169" i="1"/>
  <c r="C4169" i="1"/>
  <c r="S4169" i="1"/>
  <c r="T4169" i="1"/>
  <c r="U4169" i="1"/>
  <c r="BB4169" i="1"/>
  <c r="BW4169" i="1"/>
  <c r="A4170" i="1"/>
  <c r="C4170" i="1"/>
  <c r="S4170" i="1"/>
  <c r="T4170" i="1"/>
  <c r="U4170" i="1"/>
  <c r="BB4170" i="1"/>
  <c r="BW4170" i="1"/>
  <c r="A4171" i="1"/>
  <c r="C4171" i="1"/>
  <c r="S4171" i="1"/>
  <c r="T4171" i="1"/>
  <c r="U4171" i="1"/>
  <c r="BB4171" i="1"/>
  <c r="BW4171" i="1"/>
  <c r="A4172" i="1"/>
  <c r="C4172" i="1"/>
  <c r="S4172" i="1"/>
  <c r="T4172" i="1"/>
  <c r="U4172" i="1"/>
  <c r="BB4172" i="1"/>
  <c r="BW4172" i="1"/>
  <c r="A4173" i="1"/>
  <c r="C4173" i="1"/>
  <c r="S4173" i="1"/>
  <c r="T4173" i="1"/>
  <c r="U4173" i="1"/>
  <c r="BB4173" i="1"/>
  <c r="BW4173" i="1"/>
  <c r="A4174" i="1"/>
  <c r="C4174" i="1"/>
  <c r="S4174" i="1"/>
  <c r="T4174" i="1"/>
  <c r="U4174" i="1"/>
  <c r="BB4174" i="1"/>
  <c r="BW4174" i="1"/>
  <c r="A4175" i="1"/>
  <c r="C4175" i="1"/>
  <c r="S4175" i="1"/>
  <c r="T4175" i="1"/>
  <c r="U4175" i="1"/>
  <c r="BB4175" i="1"/>
  <c r="BW4175" i="1"/>
  <c r="A4176" i="1"/>
  <c r="C4176" i="1"/>
  <c r="S4176" i="1"/>
  <c r="T4176" i="1"/>
  <c r="U4176" i="1"/>
  <c r="BB4176" i="1"/>
  <c r="BW4176" i="1"/>
  <c r="A4177" i="1"/>
  <c r="C4177" i="1"/>
  <c r="S4177" i="1"/>
  <c r="T4177" i="1"/>
  <c r="U4177" i="1"/>
  <c r="BB4177" i="1"/>
  <c r="BW4177" i="1"/>
  <c r="A4178" i="1"/>
  <c r="C4178" i="1"/>
  <c r="S4178" i="1"/>
  <c r="T4178" i="1"/>
  <c r="U4178" i="1"/>
  <c r="BB4178" i="1"/>
  <c r="BW4178" i="1"/>
  <c r="A4179" i="1"/>
  <c r="C4179" i="1"/>
  <c r="S4179" i="1"/>
  <c r="T4179" i="1"/>
  <c r="U4179" i="1"/>
  <c r="BB4179" i="1"/>
  <c r="BW4179" i="1"/>
  <c r="A4180" i="1"/>
  <c r="C4180" i="1"/>
  <c r="S4180" i="1"/>
  <c r="T4180" i="1"/>
  <c r="U4180" i="1"/>
  <c r="BB4180" i="1"/>
  <c r="BW4180" i="1"/>
  <c r="A4181" i="1"/>
  <c r="C4181" i="1"/>
  <c r="S4181" i="1"/>
  <c r="T4181" i="1"/>
  <c r="U4181" i="1"/>
  <c r="BB4181" i="1"/>
  <c r="BW4181" i="1"/>
  <c r="A4182" i="1"/>
  <c r="C4182" i="1"/>
  <c r="S4182" i="1"/>
  <c r="T4182" i="1"/>
  <c r="U4182" i="1"/>
  <c r="BB4182" i="1"/>
  <c r="BW4182" i="1"/>
  <c r="A4183" i="1"/>
  <c r="C4183" i="1"/>
  <c r="S4183" i="1"/>
  <c r="T4183" i="1"/>
  <c r="U4183" i="1"/>
  <c r="BB4183" i="1"/>
  <c r="BW4183" i="1"/>
  <c r="A4184" i="1"/>
  <c r="C4184" i="1"/>
  <c r="S4184" i="1"/>
  <c r="T4184" i="1"/>
  <c r="U4184" i="1"/>
  <c r="BB4184" i="1"/>
  <c r="BW4184" i="1"/>
  <c r="A4185" i="1"/>
  <c r="C4185" i="1"/>
  <c r="S4185" i="1"/>
  <c r="T4185" i="1"/>
  <c r="U4185" i="1"/>
  <c r="BB4185" i="1"/>
  <c r="BW4185" i="1"/>
  <c r="A4186" i="1"/>
  <c r="C4186" i="1"/>
  <c r="S4186" i="1"/>
  <c r="T4186" i="1"/>
  <c r="U4186" i="1"/>
  <c r="BB4186" i="1"/>
  <c r="BW4186" i="1"/>
  <c r="A4187" i="1"/>
  <c r="C4187" i="1"/>
  <c r="S4187" i="1"/>
  <c r="T4187" i="1"/>
  <c r="U4187" i="1"/>
  <c r="BB4187" i="1"/>
  <c r="BW4187" i="1"/>
  <c r="A4188" i="1"/>
  <c r="C4188" i="1"/>
  <c r="S4188" i="1"/>
  <c r="T4188" i="1"/>
  <c r="U4188" i="1"/>
  <c r="BB4188" i="1"/>
  <c r="BW4188" i="1"/>
  <c r="A4189" i="1"/>
  <c r="C4189" i="1"/>
  <c r="S4189" i="1"/>
  <c r="T4189" i="1"/>
  <c r="U4189" i="1"/>
  <c r="BB4189" i="1"/>
  <c r="BW4189" i="1"/>
  <c r="A4190" i="1"/>
  <c r="C4190" i="1"/>
  <c r="S4190" i="1"/>
  <c r="T4190" i="1"/>
  <c r="U4190" i="1"/>
  <c r="BB4190" i="1"/>
  <c r="BW4190" i="1"/>
  <c r="A4191" i="1"/>
  <c r="C4191" i="1"/>
  <c r="S4191" i="1"/>
  <c r="T4191" i="1"/>
  <c r="U4191" i="1"/>
  <c r="BB4191" i="1"/>
  <c r="BW4191" i="1"/>
  <c r="A4192" i="1"/>
  <c r="C4192" i="1"/>
  <c r="S4192" i="1"/>
  <c r="T4192" i="1"/>
  <c r="U4192" i="1"/>
  <c r="BB4192" i="1"/>
  <c r="BW4192" i="1"/>
  <c r="A4193" i="1"/>
  <c r="C4193" i="1"/>
  <c r="S4193" i="1"/>
  <c r="T4193" i="1"/>
  <c r="U4193" i="1"/>
  <c r="BB4193" i="1"/>
  <c r="BW4193" i="1"/>
  <c r="A4194" i="1"/>
  <c r="C4194" i="1"/>
  <c r="S4194" i="1"/>
  <c r="T4194" i="1"/>
  <c r="U4194" i="1"/>
  <c r="BB4194" i="1"/>
  <c r="BW4194" i="1"/>
  <c r="A4195" i="1"/>
  <c r="C4195" i="1"/>
  <c r="S4195" i="1"/>
  <c r="T4195" i="1"/>
  <c r="U4195" i="1"/>
  <c r="BB4195" i="1"/>
  <c r="BW4195" i="1"/>
  <c r="A4196" i="1"/>
  <c r="C4196" i="1"/>
  <c r="S4196" i="1"/>
  <c r="T4196" i="1"/>
  <c r="U4196" i="1"/>
  <c r="BB4196" i="1"/>
  <c r="BW4196" i="1"/>
  <c r="A4197" i="1"/>
  <c r="C4197" i="1"/>
  <c r="S4197" i="1"/>
  <c r="T4197" i="1"/>
  <c r="U4197" i="1"/>
  <c r="BB4197" i="1"/>
  <c r="BW4197" i="1"/>
  <c r="A4198" i="1"/>
  <c r="C4198" i="1"/>
  <c r="S4198" i="1"/>
  <c r="T4198" i="1"/>
  <c r="U4198" i="1"/>
  <c r="BB4198" i="1"/>
  <c r="BW4198" i="1"/>
  <c r="A4199" i="1"/>
  <c r="C4199" i="1"/>
  <c r="S4199" i="1"/>
  <c r="T4199" i="1"/>
  <c r="U4199" i="1"/>
  <c r="BB4199" i="1"/>
  <c r="BW4199" i="1"/>
  <c r="A4200" i="1"/>
  <c r="C4200" i="1"/>
  <c r="S4200" i="1"/>
  <c r="T4200" i="1"/>
  <c r="U4200" i="1"/>
  <c r="BB4200" i="1"/>
  <c r="BW4200" i="1"/>
  <c r="A4201" i="1"/>
  <c r="C4201" i="1"/>
  <c r="S4201" i="1"/>
  <c r="T4201" i="1"/>
  <c r="U4201" i="1"/>
  <c r="BB4201" i="1"/>
  <c r="BW4201" i="1"/>
  <c r="A4202" i="1"/>
  <c r="C4202" i="1"/>
  <c r="S4202" i="1"/>
  <c r="T4202" i="1"/>
  <c r="U4202" i="1"/>
  <c r="BB4202" i="1"/>
  <c r="BW4202" i="1"/>
  <c r="A4203" i="1"/>
  <c r="C4203" i="1"/>
  <c r="S4203" i="1"/>
  <c r="T4203" i="1"/>
  <c r="U4203" i="1"/>
  <c r="BB4203" i="1"/>
  <c r="BW4203" i="1"/>
  <c r="A4204" i="1"/>
  <c r="C4204" i="1"/>
  <c r="S4204" i="1"/>
  <c r="T4204" i="1"/>
  <c r="U4204" i="1"/>
  <c r="BB4204" i="1"/>
  <c r="BW4204" i="1"/>
  <c r="A4205" i="1"/>
  <c r="C4205" i="1"/>
  <c r="S4205" i="1"/>
  <c r="T4205" i="1"/>
  <c r="U4205" i="1"/>
  <c r="BB4205" i="1"/>
  <c r="BW4205" i="1"/>
  <c r="A4206" i="1"/>
  <c r="C4206" i="1"/>
  <c r="S4206" i="1"/>
  <c r="T4206" i="1"/>
  <c r="U4206" i="1"/>
  <c r="BB4206" i="1"/>
  <c r="BW4206" i="1"/>
  <c r="A4207" i="1"/>
  <c r="C4207" i="1"/>
  <c r="S4207" i="1"/>
  <c r="T4207" i="1"/>
  <c r="U4207" i="1"/>
  <c r="BB4207" i="1"/>
  <c r="BW4207" i="1"/>
  <c r="A4208" i="1"/>
  <c r="C4208" i="1"/>
  <c r="S4208" i="1"/>
  <c r="T4208" i="1"/>
  <c r="U4208" i="1"/>
  <c r="BB4208" i="1"/>
  <c r="BW4208" i="1"/>
  <c r="A4209" i="1"/>
  <c r="C4209" i="1"/>
  <c r="S4209" i="1"/>
  <c r="T4209" i="1"/>
  <c r="U4209" i="1"/>
  <c r="BB4209" i="1"/>
  <c r="BW4209" i="1"/>
  <c r="A4210" i="1"/>
  <c r="C4210" i="1"/>
  <c r="S4210" i="1"/>
  <c r="T4210" i="1"/>
  <c r="U4210" i="1"/>
  <c r="BB4210" i="1"/>
  <c r="BW4210" i="1"/>
  <c r="A4211" i="1"/>
  <c r="C4211" i="1"/>
  <c r="S4211" i="1"/>
  <c r="T4211" i="1"/>
  <c r="U4211" i="1"/>
  <c r="BB4211" i="1"/>
  <c r="BW4211" i="1"/>
  <c r="A4212" i="1"/>
  <c r="C4212" i="1"/>
  <c r="S4212" i="1"/>
  <c r="T4212" i="1"/>
  <c r="U4212" i="1"/>
  <c r="BB4212" i="1"/>
  <c r="BW4212" i="1"/>
  <c r="A4213" i="1"/>
  <c r="C4213" i="1"/>
  <c r="S4213" i="1"/>
  <c r="T4213" i="1"/>
  <c r="U4213" i="1"/>
  <c r="BB4213" i="1"/>
  <c r="BW4213" i="1"/>
  <c r="A4214" i="1"/>
  <c r="C4214" i="1"/>
  <c r="S4214" i="1"/>
  <c r="T4214" i="1"/>
  <c r="U4214" i="1"/>
  <c r="BB4214" i="1"/>
  <c r="BW4214" i="1"/>
  <c r="A4215" i="1"/>
  <c r="C4215" i="1"/>
  <c r="S4215" i="1"/>
  <c r="T4215" i="1"/>
  <c r="U4215" i="1"/>
  <c r="BB4215" i="1"/>
  <c r="BW4215" i="1"/>
  <c r="A4216" i="1"/>
  <c r="C4216" i="1"/>
  <c r="S4216" i="1"/>
  <c r="T4216" i="1"/>
  <c r="U4216" i="1"/>
  <c r="BB4216" i="1"/>
  <c r="BW4216" i="1"/>
  <c r="A4217" i="1"/>
  <c r="C4217" i="1"/>
  <c r="S4217" i="1"/>
  <c r="T4217" i="1"/>
  <c r="U4217" i="1"/>
  <c r="BB4217" i="1"/>
  <c r="BW4217" i="1"/>
  <c r="A4218" i="1"/>
  <c r="C4218" i="1"/>
  <c r="S4218" i="1"/>
  <c r="T4218" i="1"/>
  <c r="U4218" i="1"/>
  <c r="BB4218" i="1"/>
  <c r="BW4218" i="1"/>
  <c r="A4219" i="1"/>
  <c r="C4219" i="1"/>
  <c r="S4219" i="1"/>
  <c r="T4219" i="1"/>
  <c r="U4219" i="1"/>
  <c r="BB4219" i="1"/>
  <c r="BW4219" i="1"/>
  <c r="A4220" i="1"/>
  <c r="C4220" i="1"/>
  <c r="S4220" i="1"/>
  <c r="T4220" i="1"/>
  <c r="U4220" i="1"/>
  <c r="BB4220" i="1"/>
  <c r="BW4220" i="1"/>
  <c r="A4221" i="1"/>
  <c r="C4221" i="1"/>
  <c r="S4221" i="1"/>
  <c r="T4221" i="1"/>
  <c r="U4221" i="1"/>
  <c r="BB4221" i="1"/>
  <c r="BW4221" i="1"/>
  <c r="A4222" i="1"/>
  <c r="C4222" i="1"/>
  <c r="S4222" i="1"/>
  <c r="T4222" i="1"/>
  <c r="U4222" i="1"/>
  <c r="BB4222" i="1"/>
  <c r="BW4222" i="1"/>
  <c r="A4223" i="1"/>
  <c r="C4223" i="1"/>
  <c r="S4223" i="1"/>
  <c r="T4223" i="1"/>
  <c r="U4223" i="1"/>
  <c r="BB4223" i="1"/>
  <c r="BW4223" i="1"/>
  <c r="A4224" i="1"/>
  <c r="C4224" i="1"/>
  <c r="S4224" i="1"/>
  <c r="T4224" i="1"/>
  <c r="U4224" i="1"/>
  <c r="BB4224" i="1"/>
  <c r="BW4224" i="1"/>
  <c r="A4225" i="1"/>
  <c r="C4225" i="1"/>
  <c r="S4225" i="1"/>
  <c r="T4225" i="1"/>
  <c r="U4225" i="1"/>
  <c r="BB4225" i="1"/>
  <c r="BW4225" i="1"/>
  <c r="A4226" i="1"/>
  <c r="C4226" i="1"/>
  <c r="S4226" i="1"/>
  <c r="T4226" i="1"/>
  <c r="U4226" i="1"/>
  <c r="BB4226" i="1"/>
  <c r="BW4226" i="1"/>
  <c r="A4227" i="1"/>
  <c r="C4227" i="1"/>
  <c r="S4227" i="1"/>
  <c r="T4227" i="1"/>
  <c r="U4227" i="1"/>
  <c r="BB4227" i="1"/>
  <c r="BW4227" i="1"/>
  <c r="A4228" i="1"/>
  <c r="C4228" i="1"/>
  <c r="S4228" i="1"/>
  <c r="T4228" i="1"/>
  <c r="U4228" i="1"/>
  <c r="BB4228" i="1"/>
  <c r="BW4228" i="1"/>
  <c r="A4229" i="1"/>
  <c r="C4229" i="1"/>
  <c r="S4229" i="1"/>
  <c r="T4229" i="1"/>
  <c r="U4229" i="1"/>
  <c r="BB4229" i="1"/>
  <c r="BW4229" i="1"/>
  <c r="A4230" i="1"/>
  <c r="C4230" i="1"/>
  <c r="S4230" i="1"/>
  <c r="T4230" i="1"/>
  <c r="U4230" i="1"/>
  <c r="BB4230" i="1"/>
  <c r="BW4230" i="1"/>
  <c r="A4231" i="1"/>
  <c r="C4231" i="1"/>
  <c r="S4231" i="1"/>
  <c r="T4231" i="1"/>
  <c r="U4231" i="1"/>
  <c r="BB4231" i="1"/>
  <c r="BW4231" i="1"/>
  <c r="A4232" i="1"/>
  <c r="C4232" i="1"/>
  <c r="S4232" i="1"/>
  <c r="T4232" i="1"/>
  <c r="U4232" i="1"/>
  <c r="BB4232" i="1"/>
  <c r="BW4232" i="1"/>
  <c r="A4233" i="1"/>
  <c r="C4233" i="1"/>
  <c r="S4233" i="1"/>
  <c r="T4233" i="1"/>
  <c r="U4233" i="1"/>
  <c r="BB4233" i="1"/>
  <c r="BW4233" i="1"/>
  <c r="A4234" i="1"/>
  <c r="C4234" i="1"/>
  <c r="S4234" i="1"/>
  <c r="T4234" i="1"/>
  <c r="U4234" i="1"/>
  <c r="BB4234" i="1"/>
  <c r="BW4234" i="1"/>
  <c r="A4235" i="1"/>
  <c r="C4235" i="1"/>
  <c r="S4235" i="1"/>
  <c r="T4235" i="1"/>
  <c r="U4235" i="1"/>
  <c r="BB4235" i="1"/>
  <c r="BW4235" i="1"/>
  <c r="A4236" i="1"/>
  <c r="C4236" i="1"/>
  <c r="S4236" i="1"/>
  <c r="T4236" i="1"/>
  <c r="U4236" i="1"/>
  <c r="BB4236" i="1"/>
  <c r="BW4236" i="1"/>
  <c r="A4237" i="1"/>
  <c r="C4237" i="1"/>
  <c r="S4237" i="1"/>
  <c r="T4237" i="1"/>
  <c r="U4237" i="1"/>
  <c r="BB4237" i="1"/>
  <c r="BW4237" i="1"/>
  <c r="A4238" i="1"/>
  <c r="C4238" i="1"/>
  <c r="S4238" i="1"/>
  <c r="T4238" i="1"/>
  <c r="U4238" i="1"/>
  <c r="BB4238" i="1"/>
  <c r="BW4238" i="1"/>
  <c r="A4239" i="1"/>
  <c r="C4239" i="1"/>
  <c r="S4239" i="1"/>
  <c r="T4239" i="1"/>
  <c r="U4239" i="1"/>
  <c r="BB4239" i="1"/>
  <c r="BW4239" i="1"/>
  <c r="A4240" i="1"/>
  <c r="C4240" i="1"/>
  <c r="S4240" i="1"/>
  <c r="T4240" i="1"/>
  <c r="U4240" i="1"/>
  <c r="BB4240" i="1"/>
  <c r="BW4240" i="1"/>
  <c r="A4241" i="1"/>
  <c r="C4241" i="1"/>
  <c r="S4241" i="1"/>
  <c r="T4241" i="1"/>
  <c r="U4241" i="1"/>
  <c r="BB4241" i="1"/>
  <c r="BW4241" i="1"/>
  <c r="A4242" i="1"/>
  <c r="C4242" i="1"/>
  <c r="S4242" i="1"/>
  <c r="T4242" i="1"/>
  <c r="U4242" i="1"/>
  <c r="BB4242" i="1"/>
  <c r="BW4242" i="1"/>
  <c r="A4243" i="1"/>
  <c r="C4243" i="1"/>
  <c r="S4243" i="1"/>
  <c r="T4243" i="1"/>
  <c r="U4243" i="1"/>
  <c r="BB4243" i="1"/>
  <c r="BW4243" i="1"/>
  <c r="A4244" i="1"/>
  <c r="C4244" i="1"/>
  <c r="S4244" i="1"/>
  <c r="T4244" i="1"/>
  <c r="U4244" i="1"/>
  <c r="BB4244" i="1"/>
  <c r="BW4244" i="1"/>
  <c r="A4245" i="1"/>
  <c r="C4245" i="1"/>
  <c r="S4245" i="1"/>
  <c r="T4245" i="1"/>
  <c r="U4245" i="1"/>
  <c r="BB4245" i="1"/>
  <c r="BW4245" i="1"/>
  <c r="A4246" i="1"/>
  <c r="C4246" i="1"/>
  <c r="S4246" i="1"/>
  <c r="T4246" i="1"/>
  <c r="U4246" i="1"/>
  <c r="BB4246" i="1"/>
  <c r="BW4246" i="1"/>
  <c r="A4247" i="1"/>
  <c r="C4247" i="1"/>
  <c r="S4247" i="1"/>
  <c r="T4247" i="1"/>
  <c r="U4247" i="1"/>
  <c r="BB4247" i="1"/>
  <c r="BW4247" i="1"/>
  <c r="A4248" i="1"/>
  <c r="C4248" i="1"/>
  <c r="S4248" i="1"/>
  <c r="T4248" i="1"/>
  <c r="U4248" i="1"/>
  <c r="BB4248" i="1"/>
  <c r="BW4248" i="1"/>
  <c r="A4249" i="1"/>
  <c r="C4249" i="1"/>
  <c r="S4249" i="1"/>
  <c r="T4249" i="1"/>
  <c r="U4249" i="1"/>
  <c r="BB4249" i="1"/>
  <c r="BW4249" i="1"/>
  <c r="A4250" i="1"/>
  <c r="C4250" i="1"/>
  <c r="S4250" i="1"/>
  <c r="T4250" i="1"/>
  <c r="U4250" i="1"/>
  <c r="BB4250" i="1"/>
  <c r="BW4250" i="1"/>
  <c r="A4251" i="1"/>
  <c r="C4251" i="1"/>
  <c r="S4251" i="1"/>
  <c r="T4251" i="1"/>
  <c r="U4251" i="1"/>
  <c r="BB4251" i="1"/>
  <c r="BW4251" i="1"/>
  <c r="A4252" i="1"/>
  <c r="C4252" i="1"/>
  <c r="S4252" i="1"/>
  <c r="T4252" i="1"/>
  <c r="U4252" i="1"/>
  <c r="BB4252" i="1"/>
  <c r="BW4252" i="1"/>
  <c r="A4253" i="1"/>
  <c r="C4253" i="1"/>
  <c r="S4253" i="1"/>
  <c r="T4253" i="1"/>
  <c r="U4253" i="1"/>
  <c r="BB4253" i="1"/>
  <c r="BW4253" i="1"/>
  <c r="A4254" i="1"/>
  <c r="C4254" i="1"/>
  <c r="S4254" i="1"/>
  <c r="T4254" i="1"/>
  <c r="U4254" i="1"/>
  <c r="BB4254" i="1"/>
  <c r="BW4254" i="1"/>
  <c r="A4255" i="1"/>
  <c r="C4255" i="1"/>
  <c r="S4255" i="1"/>
  <c r="T4255" i="1"/>
  <c r="U4255" i="1"/>
  <c r="BB4255" i="1"/>
  <c r="BW4255" i="1"/>
  <c r="A4256" i="1"/>
  <c r="C4256" i="1"/>
  <c r="S4256" i="1"/>
  <c r="T4256" i="1"/>
  <c r="U4256" i="1"/>
  <c r="BB4256" i="1"/>
  <c r="BW4256" i="1"/>
  <c r="A4257" i="1"/>
  <c r="C4257" i="1"/>
  <c r="S4257" i="1"/>
  <c r="T4257" i="1"/>
  <c r="U4257" i="1"/>
  <c r="BB4257" i="1"/>
  <c r="BW4257" i="1"/>
  <c r="A4258" i="1"/>
  <c r="C4258" i="1"/>
  <c r="S4258" i="1"/>
  <c r="T4258" i="1"/>
  <c r="U4258" i="1"/>
  <c r="BB4258" i="1"/>
  <c r="BW4258" i="1"/>
  <c r="A4259" i="1"/>
  <c r="C4259" i="1"/>
  <c r="S4259" i="1"/>
  <c r="T4259" i="1"/>
  <c r="U4259" i="1"/>
  <c r="BB4259" i="1"/>
  <c r="BW4259" i="1"/>
  <c r="A4260" i="1"/>
  <c r="C4260" i="1"/>
  <c r="S4260" i="1"/>
  <c r="T4260" i="1"/>
  <c r="U4260" i="1"/>
  <c r="BB4260" i="1"/>
  <c r="BW4260" i="1"/>
  <c r="A4261" i="1"/>
  <c r="C4261" i="1"/>
  <c r="S4261" i="1"/>
  <c r="T4261" i="1"/>
  <c r="U4261" i="1"/>
  <c r="BB4261" i="1"/>
  <c r="BW4261" i="1"/>
  <c r="A4262" i="1"/>
  <c r="C4262" i="1"/>
  <c r="S4262" i="1"/>
  <c r="T4262" i="1"/>
  <c r="U4262" i="1"/>
  <c r="BB4262" i="1"/>
  <c r="BW4262" i="1"/>
  <c r="A4263" i="1"/>
  <c r="C4263" i="1"/>
  <c r="S4263" i="1"/>
  <c r="T4263" i="1"/>
  <c r="U4263" i="1"/>
  <c r="BB4263" i="1"/>
  <c r="BW4263" i="1"/>
  <c r="A4264" i="1"/>
  <c r="C4264" i="1"/>
  <c r="S4264" i="1"/>
  <c r="T4264" i="1"/>
  <c r="U4264" i="1"/>
  <c r="BB4264" i="1"/>
  <c r="BW4264" i="1"/>
  <c r="A4265" i="1"/>
  <c r="C4265" i="1"/>
  <c r="S4265" i="1"/>
  <c r="T4265" i="1"/>
  <c r="U4265" i="1"/>
  <c r="BB4265" i="1"/>
  <c r="BW4265" i="1"/>
  <c r="A4266" i="1"/>
  <c r="C4266" i="1"/>
  <c r="S4266" i="1"/>
  <c r="T4266" i="1"/>
  <c r="U4266" i="1"/>
  <c r="BB4266" i="1"/>
  <c r="BW4266" i="1"/>
  <c r="A4267" i="1"/>
  <c r="C4267" i="1"/>
  <c r="S4267" i="1"/>
  <c r="T4267" i="1"/>
  <c r="U4267" i="1"/>
  <c r="BB4267" i="1"/>
  <c r="BW4267" i="1"/>
  <c r="A4268" i="1"/>
  <c r="C4268" i="1"/>
  <c r="S4268" i="1"/>
  <c r="T4268" i="1"/>
  <c r="U4268" i="1"/>
  <c r="BB4268" i="1"/>
  <c r="BW4268" i="1"/>
  <c r="A4269" i="1"/>
  <c r="C4269" i="1"/>
  <c r="S4269" i="1"/>
  <c r="T4269" i="1"/>
  <c r="U4269" i="1"/>
  <c r="BB4269" i="1"/>
  <c r="BW4269" i="1"/>
  <c r="A4270" i="1"/>
  <c r="C4270" i="1"/>
  <c r="S4270" i="1"/>
  <c r="T4270" i="1"/>
  <c r="U4270" i="1"/>
  <c r="BB4270" i="1"/>
  <c r="BW4270" i="1"/>
  <c r="A4271" i="1"/>
  <c r="C4271" i="1"/>
  <c r="S4271" i="1"/>
  <c r="T4271" i="1"/>
  <c r="U4271" i="1"/>
  <c r="BB4271" i="1"/>
  <c r="BW4271" i="1"/>
  <c r="A4272" i="1"/>
  <c r="C4272" i="1"/>
  <c r="S4272" i="1"/>
  <c r="T4272" i="1"/>
  <c r="U4272" i="1"/>
  <c r="BB4272" i="1"/>
  <c r="BW4272" i="1"/>
  <c r="A4273" i="1"/>
  <c r="C4273" i="1"/>
  <c r="S4273" i="1"/>
  <c r="T4273" i="1"/>
  <c r="U4273" i="1"/>
  <c r="BB4273" i="1"/>
  <c r="BW4273" i="1"/>
  <c r="A4274" i="1"/>
  <c r="C4274" i="1"/>
  <c r="S4274" i="1"/>
  <c r="T4274" i="1"/>
  <c r="U4274" i="1"/>
  <c r="BB4274" i="1"/>
  <c r="BW4274" i="1"/>
  <c r="A4275" i="1"/>
  <c r="C4275" i="1"/>
  <c r="S4275" i="1"/>
  <c r="T4275" i="1"/>
  <c r="U4275" i="1"/>
  <c r="BB4275" i="1"/>
  <c r="BW4275" i="1"/>
  <c r="A4276" i="1"/>
  <c r="C4276" i="1"/>
  <c r="S4276" i="1"/>
  <c r="T4276" i="1"/>
  <c r="U4276" i="1"/>
  <c r="BB4276" i="1"/>
  <c r="BW4276" i="1"/>
  <c r="A4277" i="1"/>
  <c r="C4277" i="1"/>
  <c r="S4277" i="1"/>
  <c r="T4277" i="1"/>
  <c r="U4277" i="1"/>
  <c r="BB4277" i="1"/>
  <c r="BW4277" i="1"/>
  <c r="A4278" i="1"/>
  <c r="C4278" i="1"/>
  <c r="S4278" i="1"/>
  <c r="T4278" i="1"/>
  <c r="U4278" i="1"/>
  <c r="BB4278" i="1"/>
  <c r="BW4278" i="1"/>
  <c r="A4279" i="1"/>
  <c r="C4279" i="1"/>
  <c r="S4279" i="1"/>
  <c r="T4279" i="1"/>
  <c r="U4279" i="1"/>
  <c r="BB4279" i="1"/>
  <c r="BW4279" i="1"/>
  <c r="A4280" i="1"/>
  <c r="C4280" i="1"/>
  <c r="S4280" i="1"/>
  <c r="T4280" i="1"/>
  <c r="U4280" i="1"/>
  <c r="BB4280" i="1"/>
  <c r="BW4280" i="1"/>
  <c r="A4281" i="1"/>
  <c r="C4281" i="1"/>
  <c r="S4281" i="1"/>
  <c r="T4281" i="1"/>
  <c r="U4281" i="1"/>
  <c r="BB4281" i="1"/>
  <c r="BW4281" i="1"/>
  <c r="A4282" i="1"/>
  <c r="C4282" i="1"/>
  <c r="S4282" i="1"/>
  <c r="T4282" i="1"/>
  <c r="U4282" i="1"/>
  <c r="BB4282" i="1"/>
  <c r="BW4282" i="1"/>
  <c r="A4283" i="1"/>
  <c r="C4283" i="1"/>
  <c r="S4283" i="1"/>
  <c r="T4283" i="1"/>
  <c r="U4283" i="1"/>
  <c r="BB4283" i="1"/>
  <c r="BW4283" i="1"/>
  <c r="A4284" i="1"/>
  <c r="C4284" i="1"/>
  <c r="S4284" i="1"/>
  <c r="T4284" i="1"/>
  <c r="U4284" i="1"/>
  <c r="BB4284" i="1"/>
  <c r="BW4284" i="1"/>
  <c r="A4285" i="1"/>
  <c r="C4285" i="1"/>
  <c r="S4285" i="1"/>
  <c r="T4285" i="1"/>
  <c r="U4285" i="1"/>
  <c r="BB4285" i="1"/>
  <c r="BW4285" i="1"/>
  <c r="A4286" i="1"/>
  <c r="C4286" i="1"/>
  <c r="S4286" i="1"/>
  <c r="T4286" i="1"/>
  <c r="U4286" i="1"/>
  <c r="BB4286" i="1"/>
  <c r="BW4286" i="1"/>
  <c r="A4287" i="1"/>
  <c r="C4287" i="1"/>
  <c r="S4287" i="1"/>
  <c r="T4287" i="1"/>
  <c r="U4287" i="1"/>
  <c r="BB4287" i="1"/>
  <c r="BW4287" i="1"/>
  <c r="A4288" i="1"/>
  <c r="C4288" i="1"/>
  <c r="S4288" i="1"/>
  <c r="T4288" i="1"/>
  <c r="U4288" i="1"/>
  <c r="BB4288" i="1"/>
  <c r="BW4288" i="1"/>
  <c r="A4289" i="1"/>
  <c r="C4289" i="1"/>
  <c r="S4289" i="1"/>
  <c r="T4289" i="1"/>
  <c r="U4289" i="1"/>
  <c r="BB4289" i="1"/>
  <c r="BW4289" i="1"/>
  <c r="A4290" i="1"/>
  <c r="C4290" i="1"/>
  <c r="S4290" i="1"/>
  <c r="T4290" i="1"/>
  <c r="U4290" i="1"/>
  <c r="BB4290" i="1"/>
  <c r="BW4290" i="1"/>
  <c r="A4291" i="1"/>
  <c r="C4291" i="1"/>
  <c r="S4291" i="1"/>
  <c r="T4291" i="1"/>
  <c r="U4291" i="1"/>
  <c r="BB4291" i="1"/>
  <c r="BW4291" i="1"/>
  <c r="A4292" i="1"/>
  <c r="C4292" i="1"/>
  <c r="S4292" i="1"/>
  <c r="T4292" i="1"/>
  <c r="U4292" i="1"/>
  <c r="BB4292" i="1"/>
  <c r="BW4292" i="1"/>
  <c r="A4293" i="1"/>
  <c r="C4293" i="1"/>
  <c r="S4293" i="1"/>
  <c r="T4293" i="1"/>
  <c r="U4293" i="1"/>
  <c r="BB4293" i="1"/>
  <c r="BW4293" i="1"/>
  <c r="A4294" i="1"/>
  <c r="C4294" i="1"/>
  <c r="S4294" i="1"/>
  <c r="T4294" i="1"/>
  <c r="U4294" i="1"/>
  <c r="BB4294" i="1"/>
  <c r="BW4294" i="1"/>
  <c r="A4295" i="1"/>
  <c r="C4295" i="1"/>
  <c r="S4295" i="1"/>
  <c r="T4295" i="1"/>
  <c r="U4295" i="1"/>
  <c r="BB4295" i="1"/>
  <c r="BW4295" i="1"/>
  <c r="A4296" i="1"/>
  <c r="C4296" i="1"/>
  <c r="S4296" i="1"/>
  <c r="T4296" i="1"/>
  <c r="U4296" i="1"/>
  <c r="BB4296" i="1"/>
  <c r="BW4296" i="1"/>
  <c r="A4297" i="1"/>
  <c r="C4297" i="1"/>
  <c r="S4297" i="1"/>
  <c r="T4297" i="1"/>
  <c r="U4297" i="1"/>
  <c r="BB4297" i="1"/>
  <c r="BW4297" i="1"/>
  <c r="A4298" i="1"/>
  <c r="C4298" i="1"/>
  <c r="S4298" i="1"/>
  <c r="T4298" i="1"/>
  <c r="U4298" i="1"/>
  <c r="BB4298" i="1"/>
  <c r="BW4298" i="1"/>
  <c r="A4299" i="1"/>
  <c r="C4299" i="1"/>
  <c r="S4299" i="1"/>
  <c r="T4299" i="1"/>
  <c r="U4299" i="1"/>
  <c r="BB4299" i="1"/>
  <c r="BW4299" i="1"/>
  <c r="A4300" i="1"/>
  <c r="C4300" i="1"/>
  <c r="S4300" i="1"/>
  <c r="T4300" i="1"/>
  <c r="U4300" i="1"/>
  <c r="BB4300" i="1"/>
  <c r="BW4300" i="1"/>
  <c r="A4301" i="1"/>
  <c r="C4301" i="1"/>
  <c r="S4301" i="1"/>
  <c r="T4301" i="1"/>
  <c r="U4301" i="1"/>
  <c r="BB4301" i="1"/>
  <c r="BW4301" i="1"/>
  <c r="A4302" i="1"/>
  <c r="C4302" i="1"/>
  <c r="S4302" i="1"/>
  <c r="T4302" i="1"/>
  <c r="U4302" i="1"/>
  <c r="BB4302" i="1"/>
  <c r="BW4302" i="1"/>
  <c r="A4303" i="1"/>
  <c r="C4303" i="1"/>
  <c r="S4303" i="1"/>
  <c r="T4303" i="1"/>
  <c r="U4303" i="1"/>
  <c r="BB4303" i="1"/>
  <c r="BW4303" i="1"/>
  <c r="A4304" i="1"/>
  <c r="C4304" i="1"/>
  <c r="S4304" i="1"/>
  <c r="T4304" i="1"/>
  <c r="U4304" i="1"/>
  <c r="BB4304" i="1"/>
  <c r="BW4304" i="1"/>
  <c r="A4305" i="1"/>
  <c r="C4305" i="1"/>
  <c r="S4305" i="1"/>
  <c r="T4305" i="1"/>
  <c r="U4305" i="1"/>
  <c r="BB4305" i="1"/>
  <c r="BW4305" i="1"/>
  <c r="A4306" i="1"/>
  <c r="C4306" i="1"/>
  <c r="S4306" i="1"/>
  <c r="T4306" i="1"/>
  <c r="U4306" i="1"/>
  <c r="BB4306" i="1"/>
  <c r="BW4306" i="1"/>
  <c r="A4307" i="1"/>
  <c r="C4307" i="1"/>
  <c r="S4307" i="1"/>
  <c r="T4307" i="1"/>
  <c r="U4307" i="1"/>
  <c r="BB4307" i="1"/>
  <c r="BW4307" i="1"/>
  <c r="A4308" i="1"/>
  <c r="C4308" i="1"/>
  <c r="S4308" i="1"/>
  <c r="T4308" i="1"/>
  <c r="U4308" i="1"/>
  <c r="BB4308" i="1"/>
  <c r="BW4308" i="1"/>
  <c r="A4309" i="1"/>
  <c r="C4309" i="1"/>
  <c r="S4309" i="1"/>
  <c r="T4309" i="1"/>
  <c r="U4309" i="1"/>
  <c r="BB4309" i="1"/>
  <c r="BW4309" i="1"/>
  <c r="A4310" i="1"/>
  <c r="C4310" i="1"/>
  <c r="S4310" i="1"/>
  <c r="T4310" i="1"/>
  <c r="U4310" i="1"/>
  <c r="BB4310" i="1"/>
  <c r="BW4310" i="1"/>
  <c r="A4311" i="1"/>
  <c r="C4311" i="1"/>
  <c r="S4311" i="1"/>
  <c r="T4311" i="1"/>
  <c r="U4311" i="1"/>
  <c r="BB4311" i="1"/>
  <c r="BW4311" i="1"/>
  <c r="A4312" i="1"/>
  <c r="C4312" i="1"/>
  <c r="S4312" i="1"/>
  <c r="T4312" i="1"/>
  <c r="U4312" i="1"/>
  <c r="BB4312" i="1"/>
  <c r="BW4312" i="1"/>
  <c r="A4313" i="1"/>
  <c r="C4313" i="1"/>
  <c r="S4313" i="1"/>
  <c r="T4313" i="1"/>
  <c r="U4313" i="1"/>
  <c r="BB4313" i="1"/>
  <c r="BW4313" i="1"/>
  <c r="A4314" i="1"/>
  <c r="C4314" i="1"/>
  <c r="S4314" i="1"/>
  <c r="T4314" i="1"/>
  <c r="U4314" i="1"/>
  <c r="BB4314" i="1"/>
  <c r="BW4314" i="1"/>
  <c r="A4315" i="1"/>
  <c r="C4315" i="1"/>
  <c r="S4315" i="1"/>
  <c r="T4315" i="1"/>
  <c r="U4315" i="1"/>
  <c r="BB4315" i="1"/>
  <c r="BW4315" i="1"/>
  <c r="A4316" i="1"/>
  <c r="C4316" i="1"/>
  <c r="S4316" i="1"/>
  <c r="T4316" i="1"/>
  <c r="U4316" i="1"/>
  <c r="BB4316" i="1"/>
  <c r="BW4316" i="1"/>
  <c r="A4317" i="1"/>
  <c r="C4317" i="1"/>
  <c r="S4317" i="1"/>
  <c r="T4317" i="1"/>
  <c r="U4317" i="1"/>
  <c r="BB4317" i="1"/>
  <c r="BW4317" i="1"/>
  <c r="A4318" i="1"/>
  <c r="C4318" i="1"/>
  <c r="S4318" i="1"/>
  <c r="T4318" i="1"/>
  <c r="U4318" i="1"/>
  <c r="BB4318" i="1"/>
  <c r="BW4318" i="1"/>
  <c r="A4319" i="1"/>
  <c r="C4319" i="1"/>
  <c r="S4319" i="1"/>
  <c r="T4319" i="1"/>
  <c r="U4319" i="1"/>
  <c r="BB4319" i="1"/>
  <c r="BW4319" i="1"/>
  <c r="A4320" i="1"/>
  <c r="C4320" i="1"/>
  <c r="S4320" i="1"/>
  <c r="T4320" i="1"/>
  <c r="U4320" i="1"/>
  <c r="BB4320" i="1"/>
  <c r="BW4320" i="1"/>
  <c r="A4321" i="1"/>
  <c r="C4321" i="1"/>
  <c r="S4321" i="1"/>
  <c r="T4321" i="1"/>
  <c r="U4321" i="1"/>
  <c r="BB4321" i="1"/>
  <c r="BW4321" i="1"/>
  <c r="A4322" i="1"/>
  <c r="C4322" i="1"/>
  <c r="S4322" i="1"/>
  <c r="T4322" i="1"/>
  <c r="U4322" i="1"/>
  <c r="BB4322" i="1"/>
  <c r="BW4322" i="1"/>
  <c r="A4323" i="1"/>
  <c r="C4323" i="1"/>
  <c r="S4323" i="1"/>
  <c r="T4323" i="1"/>
  <c r="U4323" i="1"/>
  <c r="BB4323" i="1"/>
  <c r="BW4323" i="1"/>
  <c r="A4324" i="1"/>
  <c r="C4324" i="1"/>
  <c r="S4324" i="1"/>
  <c r="T4324" i="1"/>
  <c r="U4324" i="1"/>
  <c r="BB4324" i="1"/>
  <c r="BW4324" i="1"/>
  <c r="A4325" i="1"/>
  <c r="C4325" i="1"/>
  <c r="S4325" i="1"/>
  <c r="T4325" i="1"/>
  <c r="U4325" i="1"/>
  <c r="BB4325" i="1"/>
  <c r="BW4325" i="1"/>
  <c r="A4326" i="1"/>
  <c r="C4326" i="1"/>
  <c r="S4326" i="1"/>
  <c r="T4326" i="1"/>
  <c r="U4326" i="1"/>
  <c r="BB4326" i="1"/>
  <c r="BW4326" i="1"/>
  <c r="A4327" i="1"/>
  <c r="C4327" i="1"/>
  <c r="S4327" i="1"/>
  <c r="T4327" i="1"/>
  <c r="U4327" i="1"/>
  <c r="BB4327" i="1"/>
  <c r="BW4327" i="1"/>
  <c r="A4328" i="1"/>
  <c r="C4328" i="1"/>
  <c r="S4328" i="1"/>
  <c r="T4328" i="1"/>
  <c r="U4328" i="1"/>
  <c r="BB4328" i="1"/>
  <c r="BW4328" i="1"/>
  <c r="A4329" i="1"/>
  <c r="C4329" i="1"/>
  <c r="S4329" i="1"/>
  <c r="T4329" i="1"/>
  <c r="U4329" i="1"/>
  <c r="BB4329" i="1"/>
  <c r="BW4329" i="1"/>
  <c r="A4330" i="1"/>
  <c r="C4330" i="1"/>
  <c r="S4330" i="1"/>
  <c r="T4330" i="1"/>
  <c r="U4330" i="1"/>
  <c r="BB4330" i="1"/>
  <c r="BW4330" i="1"/>
  <c r="A4331" i="1"/>
  <c r="C4331" i="1"/>
  <c r="S4331" i="1"/>
  <c r="T4331" i="1"/>
  <c r="U4331" i="1"/>
  <c r="BB4331" i="1"/>
  <c r="BW4331" i="1"/>
  <c r="A4332" i="1"/>
  <c r="C4332" i="1"/>
  <c r="S4332" i="1"/>
  <c r="T4332" i="1"/>
  <c r="U4332" i="1"/>
  <c r="BB4332" i="1"/>
  <c r="BW4332" i="1"/>
  <c r="A4333" i="1"/>
  <c r="C4333" i="1"/>
  <c r="S4333" i="1"/>
  <c r="T4333" i="1"/>
  <c r="U4333" i="1"/>
  <c r="BB4333" i="1"/>
  <c r="BW4333" i="1"/>
  <c r="A4334" i="1"/>
  <c r="C4334" i="1"/>
  <c r="S4334" i="1"/>
  <c r="T4334" i="1"/>
  <c r="U4334" i="1"/>
  <c r="BB4334" i="1"/>
  <c r="BW4334" i="1"/>
  <c r="A4335" i="1"/>
  <c r="C4335" i="1"/>
  <c r="S4335" i="1"/>
  <c r="T4335" i="1"/>
  <c r="U4335" i="1"/>
  <c r="BB4335" i="1"/>
  <c r="BW4335" i="1"/>
  <c r="A4336" i="1"/>
  <c r="C4336" i="1"/>
  <c r="S4336" i="1"/>
  <c r="T4336" i="1"/>
  <c r="U4336" i="1"/>
  <c r="BB4336" i="1"/>
  <c r="BW4336" i="1"/>
  <c r="A4337" i="1"/>
  <c r="C4337" i="1"/>
  <c r="S4337" i="1"/>
  <c r="T4337" i="1"/>
  <c r="U4337" i="1"/>
  <c r="BB4337" i="1"/>
  <c r="BW4337" i="1"/>
  <c r="A4338" i="1"/>
  <c r="C4338" i="1"/>
  <c r="S4338" i="1"/>
  <c r="T4338" i="1"/>
  <c r="U4338" i="1"/>
  <c r="BB4338" i="1"/>
  <c r="BW4338" i="1"/>
  <c r="A4339" i="1"/>
  <c r="C4339" i="1"/>
  <c r="S4339" i="1"/>
  <c r="T4339" i="1"/>
  <c r="U4339" i="1"/>
  <c r="BB4339" i="1"/>
  <c r="BW4339" i="1"/>
  <c r="A4340" i="1"/>
  <c r="C4340" i="1"/>
  <c r="S4340" i="1"/>
  <c r="T4340" i="1"/>
  <c r="U4340" i="1"/>
  <c r="BB4340" i="1"/>
  <c r="BW4340" i="1"/>
  <c r="A4341" i="1"/>
  <c r="C4341" i="1"/>
  <c r="S4341" i="1"/>
  <c r="T4341" i="1"/>
  <c r="U4341" i="1"/>
  <c r="BB4341" i="1"/>
  <c r="BW4341" i="1"/>
  <c r="A4342" i="1"/>
  <c r="C4342" i="1"/>
  <c r="S4342" i="1"/>
  <c r="T4342" i="1"/>
  <c r="U4342" i="1"/>
  <c r="BB4342" i="1"/>
  <c r="BW4342" i="1"/>
  <c r="A4343" i="1"/>
  <c r="C4343" i="1"/>
  <c r="S4343" i="1"/>
  <c r="T4343" i="1"/>
  <c r="U4343" i="1"/>
  <c r="BB4343" i="1"/>
  <c r="BW4343" i="1"/>
  <c r="A4344" i="1"/>
  <c r="C4344" i="1"/>
  <c r="S4344" i="1"/>
  <c r="T4344" i="1"/>
  <c r="U4344" i="1"/>
  <c r="BB4344" i="1"/>
  <c r="BW4344" i="1"/>
  <c r="A4345" i="1"/>
  <c r="C4345" i="1"/>
  <c r="S4345" i="1"/>
  <c r="T4345" i="1"/>
  <c r="U4345" i="1"/>
  <c r="BB4345" i="1"/>
  <c r="BW4345" i="1"/>
  <c r="A4346" i="1"/>
  <c r="C4346" i="1"/>
  <c r="S4346" i="1"/>
  <c r="T4346" i="1"/>
  <c r="U4346" i="1"/>
  <c r="BB4346" i="1"/>
  <c r="BW4346" i="1"/>
  <c r="A4347" i="1"/>
  <c r="C4347" i="1"/>
  <c r="S4347" i="1"/>
  <c r="T4347" i="1"/>
  <c r="U4347" i="1"/>
  <c r="BB4347" i="1"/>
  <c r="BW4347" i="1"/>
  <c r="A4348" i="1"/>
  <c r="C4348" i="1"/>
  <c r="S4348" i="1"/>
  <c r="T4348" i="1"/>
  <c r="U4348" i="1"/>
  <c r="BB4348" i="1"/>
  <c r="BW4348" i="1"/>
  <c r="A4349" i="1"/>
  <c r="C4349" i="1"/>
  <c r="S4349" i="1"/>
  <c r="T4349" i="1"/>
  <c r="U4349" i="1"/>
  <c r="BB4349" i="1"/>
  <c r="BW4349" i="1"/>
  <c r="A4350" i="1"/>
  <c r="C4350" i="1"/>
  <c r="S4350" i="1"/>
  <c r="T4350" i="1"/>
  <c r="U4350" i="1"/>
  <c r="BB4350" i="1"/>
  <c r="BW4350" i="1"/>
  <c r="A4351" i="1"/>
  <c r="C4351" i="1"/>
  <c r="S4351" i="1"/>
  <c r="T4351" i="1"/>
  <c r="U4351" i="1"/>
  <c r="BB4351" i="1"/>
  <c r="BW4351" i="1"/>
  <c r="A4352" i="1"/>
  <c r="C4352" i="1"/>
  <c r="S4352" i="1"/>
  <c r="T4352" i="1"/>
  <c r="U4352" i="1"/>
  <c r="BB4352" i="1"/>
  <c r="BW4352" i="1"/>
  <c r="A4353" i="1"/>
  <c r="C4353" i="1"/>
  <c r="S4353" i="1"/>
  <c r="T4353" i="1"/>
  <c r="U4353" i="1"/>
  <c r="BB4353" i="1"/>
  <c r="BW4353" i="1"/>
  <c r="A4354" i="1"/>
  <c r="C4354" i="1"/>
  <c r="S4354" i="1"/>
  <c r="T4354" i="1"/>
  <c r="U4354" i="1"/>
  <c r="BB4354" i="1"/>
  <c r="BW4354" i="1"/>
  <c r="A4355" i="1"/>
  <c r="C4355" i="1"/>
  <c r="S4355" i="1"/>
  <c r="T4355" i="1"/>
  <c r="U4355" i="1"/>
  <c r="BB4355" i="1"/>
  <c r="BW4355" i="1"/>
  <c r="A4356" i="1"/>
  <c r="C4356" i="1"/>
  <c r="S4356" i="1"/>
  <c r="T4356" i="1"/>
  <c r="U4356" i="1"/>
  <c r="BB4356" i="1"/>
  <c r="BW4356" i="1"/>
  <c r="A4357" i="1"/>
  <c r="C4357" i="1"/>
  <c r="S4357" i="1"/>
  <c r="T4357" i="1"/>
  <c r="U4357" i="1"/>
  <c r="BB4357" i="1"/>
  <c r="BW4357" i="1"/>
  <c r="A4358" i="1"/>
  <c r="C4358" i="1"/>
  <c r="S4358" i="1"/>
  <c r="T4358" i="1"/>
  <c r="U4358" i="1"/>
  <c r="BB4358" i="1"/>
  <c r="BW4358" i="1"/>
  <c r="A4359" i="1"/>
  <c r="C4359" i="1"/>
  <c r="S4359" i="1"/>
  <c r="T4359" i="1"/>
  <c r="U4359" i="1"/>
  <c r="BB4359" i="1"/>
  <c r="BW4359" i="1"/>
  <c r="A4360" i="1"/>
  <c r="C4360" i="1"/>
  <c r="S4360" i="1"/>
  <c r="T4360" i="1"/>
  <c r="U4360" i="1"/>
  <c r="BB4360" i="1"/>
  <c r="BW4360" i="1"/>
  <c r="A4361" i="1"/>
  <c r="C4361" i="1"/>
  <c r="S4361" i="1"/>
  <c r="T4361" i="1"/>
  <c r="U4361" i="1"/>
  <c r="BB4361" i="1"/>
  <c r="BW4361" i="1"/>
  <c r="A4362" i="1"/>
  <c r="C4362" i="1"/>
  <c r="S4362" i="1"/>
  <c r="T4362" i="1"/>
  <c r="U4362" i="1"/>
  <c r="BB4362" i="1"/>
  <c r="BW4362" i="1"/>
  <c r="A4363" i="1"/>
  <c r="C4363" i="1"/>
  <c r="S4363" i="1"/>
  <c r="T4363" i="1"/>
  <c r="U4363" i="1"/>
  <c r="BB4363" i="1"/>
  <c r="BW4363" i="1"/>
  <c r="A4364" i="1"/>
  <c r="C4364" i="1"/>
  <c r="S4364" i="1"/>
  <c r="T4364" i="1"/>
  <c r="U4364" i="1"/>
  <c r="BB4364" i="1"/>
  <c r="BW4364" i="1"/>
  <c r="A4365" i="1"/>
  <c r="C4365" i="1"/>
  <c r="S4365" i="1"/>
  <c r="T4365" i="1"/>
  <c r="U4365" i="1"/>
  <c r="BB4365" i="1"/>
  <c r="BW4365" i="1"/>
  <c r="A4366" i="1"/>
  <c r="C4366" i="1"/>
  <c r="S4366" i="1"/>
  <c r="T4366" i="1"/>
  <c r="U4366" i="1"/>
  <c r="BB4366" i="1"/>
  <c r="BW4366" i="1"/>
  <c r="A4367" i="1"/>
  <c r="C4367" i="1"/>
  <c r="S4367" i="1"/>
  <c r="T4367" i="1"/>
  <c r="U4367" i="1"/>
  <c r="BB4367" i="1"/>
  <c r="BW4367" i="1"/>
  <c r="A4368" i="1"/>
  <c r="C4368" i="1"/>
  <c r="S4368" i="1"/>
  <c r="T4368" i="1"/>
  <c r="U4368" i="1"/>
  <c r="BB4368" i="1"/>
  <c r="BW4368" i="1"/>
  <c r="A4369" i="1"/>
  <c r="C4369" i="1"/>
  <c r="S4369" i="1"/>
  <c r="T4369" i="1"/>
  <c r="U4369" i="1"/>
  <c r="BB4369" i="1"/>
  <c r="BW4369" i="1"/>
  <c r="A4370" i="1"/>
  <c r="C4370" i="1"/>
  <c r="S4370" i="1"/>
  <c r="T4370" i="1"/>
  <c r="U4370" i="1"/>
  <c r="BB4370" i="1"/>
  <c r="BW4370" i="1"/>
  <c r="A4371" i="1"/>
  <c r="C4371" i="1"/>
  <c r="S4371" i="1"/>
  <c r="T4371" i="1"/>
  <c r="U4371" i="1"/>
  <c r="BB4371" i="1"/>
  <c r="BW4371" i="1"/>
  <c r="A4372" i="1"/>
  <c r="C4372" i="1"/>
  <c r="S4372" i="1"/>
  <c r="T4372" i="1"/>
  <c r="U4372" i="1"/>
  <c r="BB4372" i="1"/>
  <c r="BW4372" i="1"/>
  <c r="A4373" i="1"/>
  <c r="C4373" i="1"/>
  <c r="S4373" i="1"/>
  <c r="T4373" i="1"/>
  <c r="U4373" i="1"/>
  <c r="BB4373" i="1"/>
  <c r="BW4373" i="1"/>
  <c r="A4374" i="1"/>
  <c r="C4374" i="1"/>
  <c r="S4374" i="1"/>
  <c r="T4374" i="1"/>
  <c r="U4374" i="1"/>
  <c r="BB4374" i="1"/>
  <c r="BW4374" i="1"/>
  <c r="A4375" i="1"/>
  <c r="C4375" i="1"/>
  <c r="S4375" i="1"/>
  <c r="T4375" i="1"/>
  <c r="U4375" i="1"/>
  <c r="BB4375" i="1"/>
  <c r="BW4375" i="1"/>
  <c r="A4376" i="1"/>
  <c r="C4376" i="1"/>
  <c r="S4376" i="1"/>
  <c r="T4376" i="1"/>
  <c r="U4376" i="1"/>
  <c r="BB4376" i="1"/>
  <c r="BW4376" i="1"/>
  <c r="A4377" i="1"/>
  <c r="C4377" i="1"/>
  <c r="S4377" i="1"/>
  <c r="T4377" i="1"/>
  <c r="U4377" i="1"/>
  <c r="BB4377" i="1"/>
  <c r="BW4377" i="1"/>
  <c r="A4378" i="1"/>
  <c r="C4378" i="1"/>
  <c r="S4378" i="1"/>
  <c r="T4378" i="1"/>
  <c r="U4378" i="1"/>
  <c r="BB4378" i="1"/>
  <c r="BW4378" i="1"/>
  <c r="A4379" i="1"/>
  <c r="C4379" i="1"/>
  <c r="S4379" i="1"/>
  <c r="T4379" i="1"/>
  <c r="U4379" i="1"/>
  <c r="BB4379" i="1"/>
  <c r="BW4379" i="1"/>
  <c r="A4380" i="1"/>
  <c r="C4380" i="1"/>
  <c r="S4380" i="1"/>
  <c r="T4380" i="1"/>
  <c r="U4380" i="1"/>
  <c r="BB4380" i="1"/>
  <c r="BW4380" i="1"/>
  <c r="A4381" i="1"/>
  <c r="C4381" i="1"/>
  <c r="S4381" i="1"/>
  <c r="T4381" i="1"/>
  <c r="U4381" i="1"/>
  <c r="BB4381" i="1"/>
  <c r="BW4381" i="1"/>
  <c r="A4382" i="1"/>
  <c r="C4382" i="1"/>
  <c r="S4382" i="1"/>
  <c r="T4382" i="1"/>
  <c r="U4382" i="1"/>
  <c r="BB4382" i="1"/>
  <c r="BW4382" i="1"/>
  <c r="A4383" i="1"/>
  <c r="C4383" i="1"/>
  <c r="S4383" i="1"/>
  <c r="T4383" i="1"/>
  <c r="U4383" i="1"/>
  <c r="BB4383" i="1"/>
  <c r="BW4383" i="1"/>
  <c r="A4384" i="1"/>
  <c r="C4384" i="1"/>
  <c r="S4384" i="1"/>
  <c r="T4384" i="1"/>
  <c r="U4384" i="1"/>
  <c r="BB4384" i="1"/>
  <c r="BW4384" i="1"/>
  <c r="A4385" i="1"/>
  <c r="C4385" i="1"/>
  <c r="S4385" i="1"/>
  <c r="T4385" i="1"/>
  <c r="U4385" i="1"/>
  <c r="BB4385" i="1"/>
  <c r="BW4385" i="1"/>
  <c r="A4386" i="1"/>
  <c r="C4386" i="1"/>
  <c r="S4386" i="1"/>
  <c r="T4386" i="1"/>
  <c r="U4386" i="1"/>
  <c r="BB4386" i="1"/>
  <c r="BW4386" i="1"/>
  <c r="A4387" i="1"/>
  <c r="C4387" i="1"/>
  <c r="S4387" i="1"/>
  <c r="T4387" i="1"/>
  <c r="U4387" i="1"/>
  <c r="BB4387" i="1"/>
  <c r="BW4387" i="1"/>
  <c r="A4388" i="1"/>
  <c r="C4388" i="1"/>
  <c r="S4388" i="1"/>
  <c r="T4388" i="1"/>
  <c r="U4388" i="1"/>
  <c r="BB4388" i="1"/>
  <c r="BW4388" i="1"/>
  <c r="A4389" i="1"/>
  <c r="C4389" i="1"/>
  <c r="S4389" i="1"/>
  <c r="T4389" i="1"/>
  <c r="U4389" i="1"/>
  <c r="BB4389" i="1"/>
  <c r="BW4389" i="1"/>
  <c r="A4390" i="1"/>
  <c r="C4390" i="1"/>
  <c r="S4390" i="1"/>
  <c r="T4390" i="1"/>
  <c r="U4390" i="1"/>
  <c r="BB4390" i="1"/>
  <c r="BW4390" i="1"/>
  <c r="A4391" i="1"/>
  <c r="C4391" i="1"/>
  <c r="S4391" i="1"/>
  <c r="T4391" i="1"/>
  <c r="U4391" i="1"/>
  <c r="BB4391" i="1"/>
  <c r="BW4391" i="1"/>
  <c r="A4392" i="1"/>
  <c r="C4392" i="1"/>
  <c r="S4392" i="1"/>
  <c r="T4392" i="1"/>
  <c r="U4392" i="1"/>
  <c r="BB4392" i="1"/>
  <c r="BW4392" i="1"/>
  <c r="A4393" i="1"/>
  <c r="C4393" i="1"/>
  <c r="S4393" i="1"/>
  <c r="T4393" i="1"/>
  <c r="U4393" i="1"/>
  <c r="BB4393" i="1"/>
  <c r="BW4393" i="1"/>
  <c r="A4394" i="1"/>
  <c r="C4394" i="1"/>
  <c r="S4394" i="1"/>
  <c r="T4394" i="1"/>
  <c r="U4394" i="1"/>
  <c r="BB4394" i="1"/>
  <c r="BW4394" i="1"/>
  <c r="A4395" i="1"/>
  <c r="C4395" i="1"/>
  <c r="S4395" i="1"/>
  <c r="T4395" i="1"/>
  <c r="U4395" i="1"/>
  <c r="BB4395" i="1"/>
  <c r="BW4395" i="1"/>
  <c r="A4396" i="1"/>
  <c r="C4396" i="1"/>
  <c r="S4396" i="1"/>
  <c r="T4396" i="1"/>
  <c r="U4396" i="1"/>
  <c r="BB4396" i="1"/>
  <c r="BW4396" i="1"/>
  <c r="A4397" i="1"/>
  <c r="C4397" i="1"/>
  <c r="S4397" i="1"/>
  <c r="T4397" i="1"/>
  <c r="U4397" i="1"/>
  <c r="BB4397" i="1"/>
  <c r="BW4397" i="1"/>
  <c r="A4398" i="1"/>
  <c r="C4398" i="1"/>
  <c r="S4398" i="1"/>
  <c r="T4398" i="1"/>
  <c r="U4398" i="1"/>
  <c r="BB4398" i="1"/>
  <c r="BW4398" i="1"/>
  <c r="A4399" i="1"/>
  <c r="C4399" i="1"/>
  <c r="S4399" i="1"/>
  <c r="T4399" i="1"/>
  <c r="U4399" i="1"/>
  <c r="BB4399" i="1"/>
  <c r="BW4399" i="1"/>
  <c r="A4400" i="1"/>
  <c r="C4400" i="1"/>
  <c r="S4400" i="1"/>
  <c r="T4400" i="1"/>
  <c r="U4400" i="1"/>
  <c r="BB4400" i="1"/>
  <c r="BW4400" i="1"/>
  <c r="A4401" i="1"/>
  <c r="C4401" i="1"/>
  <c r="S4401" i="1"/>
  <c r="T4401" i="1"/>
  <c r="U4401" i="1"/>
  <c r="BB4401" i="1"/>
  <c r="BW4401" i="1"/>
  <c r="A4402" i="1"/>
  <c r="C4402" i="1"/>
  <c r="S4402" i="1"/>
  <c r="T4402" i="1"/>
  <c r="U4402" i="1"/>
  <c r="BB4402" i="1"/>
  <c r="BW4402" i="1"/>
  <c r="A4403" i="1"/>
  <c r="C4403" i="1"/>
  <c r="S4403" i="1"/>
  <c r="T4403" i="1"/>
  <c r="U4403" i="1"/>
  <c r="BB4403" i="1"/>
  <c r="BW4403" i="1"/>
  <c r="A4404" i="1"/>
  <c r="C4404" i="1"/>
  <c r="S4404" i="1"/>
  <c r="T4404" i="1"/>
  <c r="U4404" i="1"/>
  <c r="BB4404" i="1"/>
  <c r="BW4404" i="1"/>
  <c r="A4405" i="1"/>
  <c r="C4405" i="1"/>
  <c r="S4405" i="1"/>
  <c r="T4405" i="1"/>
  <c r="U4405" i="1"/>
  <c r="BB4405" i="1"/>
  <c r="BW4405" i="1"/>
  <c r="A4406" i="1"/>
  <c r="C4406" i="1"/>
  <c r="S4406" i="1"/>
  <c r="T4406" i="1"/>
  <c r="U4406" i="1"/>
  <c r="BB4406" i="1"/>
  <c r="BW4406" i="1"/>
  <c r="A4407" i="1"/>
  <c r="C4407" i="1"/>
  <c r="S4407" i="1"/>
  <c r="T4407" i="1"/>
  <c r="U4407" i="1"/>
  <c r="BB4407" i="1"/>
  <c r="BW4407" i="1"/>
  <c r="A4408" i="1"/>
  <c r="C4408" i="1"/>
  <c r="S4408" i="1"/>
  <c r="T4408" i="1"/>
  <c r="U4408" i="1"/>
  <c r="BB4408" i="1"/>
  <c r="BW4408" i="1"/>
  <c r="A4409" i="1"/>
  <c r="C4409" i="1"/>
  <c r="S4409" i="1"/>
  <c r="T4409" i="1"/>
  <c r="U4409" i="1"/>
  <c r="BB4409" i="1"/>
  <c r="BW4409" i="1"/>
  <c r="A4410" i="1"/>
  <c r="C4410" i="1"/>
  <c r="S4410" i="1"/>
  <c r="T4410" i="1"/>
  <c r="U4410" i="1"/>
  <c r="BB4410" i="1"/>
  <c r="BW4410" i="1"/>
  <c r="A4411" i="1"/>
  <c r="C4411" i="1"/>
  <c r="S4411" i="1"/>
  <c r="T4411" i="1"/>
  <c r="U4411" i="1"/>
  <c r="BB4411" i="1"/>
  <c r="BW4411" i="1"/>
  <c r="A4412" i="1"/>
  <c r="C4412" i="1"/>
  <c r="S4412" i="1"/>
  <c r="T4412" i="1"/>
  <c r="U4412" i="1"/>
  <c r="BB4412" i="1"/>
  <c r="BW4412" i="1"/>
  <c r="A4413" i="1"/>
  <c r="C4413" i="1"/>
  <c r="S4413" i="1"/>
  <c r="T4413" i="1"/>
  <c r="U4413" i="1"/>
  <c r="BB4413" i="1"/>
  <c r="BW4413" i="1"/>
  <c r="A4414" i="1"/>
  <c r="C4414" i="1"/>
  <c r="S4414" i="1"/>
  <c r="T4414" i="1"/>
  <c r="U4414" i="1"/>
  <c r="BB4414" i="1"/>
  <c r="BW4414" i="1"/>
  <c r="A4415" i="1"/>
  <c r="C4415" i="1"/>
  <c r="S4415" i="1"/>
  <c r="T4415" i="1"/>
  <c r="U4415" i="1"/>
  <c r="BB4415" i="1"/>
  <c r="BW4415" i="1"/>
  <c r="A4416" i="1"/>
  <c r="C4416" i="1"/>
  <c r="S4416" i="1"/>
  <c r="T4416" i="1"/>
  <c r="U4416" i="1"/>
  <c r="BB4416" i="1"/>
  <c r="BW4416" i="1"/>
  <c r="A4417" i="1"/>
  <c r="C4417" i="1"/>
  <c r="S4417" i="1"/>
  <c r="T4417" i="1"/>
  <c r="U4417" i="1"/>
  <c r="BB4417" i="1"/>
  <c r="BW4417" i="1"/>
  <c r="A4418" i="1"/>
  <c r="C4418" i="1"/>
  <c r="S4418" i="1"/>
  <c r="T4418" i="1"/>
  <c r="U4418" i="1"/>
  <c r="BB4418" i="1"/>
  <c r="BW4418" i="1"/>
  <c r="A4419" i="1"/>
  <c r="C4419" i="1"/>
  <c r="S4419" i="1"/>
  <c r="T4419" i="1"/>
  <c r="U4419" i="1"/>
  <c r="BB4419" i="1"/>
  <c r="BW4419" i="1"/>
  <c r="A4420" i="1"/>
  <c r="C4420" i="1"/>
  <c r="S4420" i="1"/>
  <c r="T4420" i="1"/>
  <c r="U4420" i="1"/>
  <c r="BB4420" i="1"/>
  <c r="BW4420" i="1"/>
  <c r="A4421" i="1"/>
  <c r="C4421" i="1"/>
  <c r="S4421" i="1"/>
  <c r="T4421" i="1"/>
  <c r="U4421" i="1"/>
  <c r="BB4421" i="1"/>
  <c r="BW4421" i="1"/>
  <c r="A4422" i="1"/>
  <c r="C4422" i="1"/>
  <c r="S4422" i="1"/>
  <c r="T4422" i="1"/>
  <c r="U4422" i="1"/>
  <c r="BB4422" i="1"/>
  <c r="BW4422" i="1"/>
  <c r="A4423" i="1"/>
  <c r="C4423" i="1"/>
  <c r="S4423" i="1"/>
  <c r="T4423" i="1"/>
  <c r="U4423" i="1"/>
  <c r="BB4423" i="1"/>
  <c r="BW4423" i="1"/>
  <c r="A4424" i="1"/>
  <c r="C4424" i="1"/>
  <c r="S4424" i="1"/>
  <c r="T4424" i="1"/>
  <c r="U4424" i="1"/>
  <c r="BB4424" i="1"/>
  <c r="BW4424" i="1"/>
  <c r="A4425" i="1"/>
  <c r="C4425" i="1"/>
  <c r="S4425" i="1"/>
  <c r="T4425" i="1"/>
  <c r="U4425" i="1"/>
  <c r="BB4425" i="1"/>
  <c r="BW4425" i="1"/>
  <c r="A4426" i="1"/>
  <c r="C4426" i="1"/>
  <c r="S4426" i="1"/>
  <c r="T4426" i="1"/>
  <c r="U4426" i="1"/>
  <c r="BB4426" i="1"/>
  <c r="BW4426" i="1"/>
  <c r="A4427" i="1"/>
  <c r="C4427" i="1"/>
  <c r="S4427" i="1"/>
  <c r="T4427" i="1"/>
  <c r="U4427" i="1"/>
  <c r="BB4427" i="1"/>
  <c r="BW4427" i="1"/>
  <c r="A4428" i="1"/>
  <c r="C4428" i="1"/>
  <c r="S4428" i="1"/>
  <c r="T4428" i="1"/>
  <c r="U4428" i="1"/>
  <c r="BB4428" i="1"/>
  <c r="BW4428" i="1"/>
  <c r="A4429" i="1"/>
  <c r="C4429" i="1"/>
  <c r="S4429" i="1"/>
  <c r="T4429" i="1"/>
  <c r="U4429" i="1"/>
  <c r="BB4429" i="1"/>
  <c r="BW4429" i="1"/>
  <c r="A4430" i="1"/>
  <c r="C4430" i="1"/>
  <c r="S4430" i="1"/>
  <c r="T4430" i="1"/>
  <c r="U4430" i="1"/>
  <c r="BB4430" i="1"/>
  <c r="BW4430" i="1"/>
  <c r="A4431" i="1"/>
  <c r="C4431" i="1"/>
  <c r="S4431" i="1"/>
  <c r="T4431" i="1"/>
  <c r="U4431" i="1"/>
  <c r="BB4431" i="1"/>
  <c r="BW4431" i="1"/>
  <c r="A4432" i="1"/>
  <c r="C4432" i="1"/>
  <c r="S4432" i="1"/>
  <c r="T4432" i="1"/>
  <c r="U4432" i="1"/>
  <c r="BB4432" i="1"/>
  <c r="BW4432" i="1"/>
  <c r="A4433" i="1"/>
  <c r="C4433" i="1"/>
  <c r="S4433" i="1"/>
  <c r="T4433" i="1"/>
  <c r="U4433" i="1"/>
  <c r="BB4433" i="1"/>
  <c r="BW4433" i="1"/>
  <c r="A4434" i="1"/>
  <c r="C4434" i="1"/>
  <c r="S4434" i="1"/>
  <c r="T4434" i="1"/>
  <c r="U4434" i="1"/>
  <c r="BB4434" i="1"/>
  <c r="BW4434" i="1"/>
  <c r="A4435" i="1"/>
  <c r="C4435" i="1"/>
  <c r="S4435" i="1"/>
  <c r="T4435" i="1"/>
  <c r="U4435" i="1"/>
  <c r="BB4435" i="1"/>
  <c r="BW4435" i="1"/>
  <c r="A4436" i="1"/>
  <c r="C4436" i="1"/>
  <c r="S4436" i="1"/>
  <c r="T4436" i="1"/>
  <c r="U4436" i="1"/>
  <c r="BB4436" i="1"/>
  <c r="BW4436" i="1"/>
  <c r="A4437" i="1"/>
  <c r="C4437" i="1"/>
  <c r="S4437" i="1"/>
  <c r="T4437" i="1"/>
  <c r="U4437" i="1"/>
  <c r="BB4437" i="1"/>
  <c r="BW4437" i="1"/>
  <c r="A4438" i="1"/>
  <c r="C4438" i="1"/>
  <c r="S4438" i="1"/>
  <c r="T4438" i="1"/>
  <c r="U4438" i="1"/>
  <c r="BB4438" i="1"/>
  <c r="BW4438" i="1"/>
  <c r="A4439" i="1"/>
  <c r="C4439" i="1"/>
  <c r="S4439" i="1"/>
  <c r="T4439" i="1"/>
  <c r="U4439" i="1"/>
  <c r="BB4439" i="1"/>
  <c r="BW4439" i="1"/>
  <c r="A4440" i="1"/>
  <c r="C4440" i="1"/>
  <c r="S4440" i="1"/>
  <c r="T4440" i="1"/>
  <c r="U4440" i="1"/>
  <c r="BB4440" i="1"/>
  <c r="BW4440" i="1"/>
  <c r="A4441" i="1"/>
  <c r="C4441" i="1"/>
  <c r="S4441" i="1"/>
  <c r="T4441" i="1"/>
  <c r="U4441" i="1"/>
  <c r="BB4441" i="1"/>
  <c r="BW4441" i="1"/>
  <c r="A4442" i="1"/>
  <c r="C4442" i="1"/>
  <c r="S4442" i="1"/>
  <c r="T4442" i="1"/>
  <c r="U4442" i="1"/>
  <c r="BB4442" i="1"/>
  <c r="BW4442" i="1"/>
  <c r="A4443" i="1"/>
  <c r="C4443" i="1"/>
  <c r="S4443" i="1"/>
  <c r="T4443" i="1"/>
  <c r="U4443" i="1"/>
  <c r="BB4443" i="1"/>
  <c r="BW4443" i="1"/>
  <c r="A4444" i="1"/>
  <c r="C4444" i="1"/>
  <c r="S4444" i="1"/>
  <c r="T4444" i="1"/>
  <c r="U4444" i="1"/>
  <c r="BB4444" i="1"/>
  <c r="BW4444" i="1"/>
  <c r="A4445" i="1"/>
  <c r="C4445" i="1"/>
  <c r="S4445" i="1"/>
  <c r="T4445" i="1"/>
  <c r="U4445" i="1"/>
  <c r="BB4445" i="1"/>
  <c r="BW4445" i="1"/>
  <c r="A4446" i="1"/>
  <c r="C4446" i="1"/>
  <c r="S4446" i="1"/>
  <c r="T4446" i="1"/>
  <c r="U4446" i="1"/>
  <c r="BB4446" i="1"/>
  <c r="BW4446" i="1"/>
  <c r="A4447" i="1"/>
  <c r="C4447" i="1"/>
  <c r="S4447" i="1"/>
  <c r="T4447" i="1"/>
  <c r="U4447" i="1"/>
  <c r="BB4447" i="1"/>
  <c r="BW4447" i="1"/>
  <c r="A4448" i="1"/>
  <c r="C4448" i="1"/>
  <c r="S4448" i="1"/>
  <c r="T4448" i="1"/>
  <c r="U4448" i="1"/>
  <c r="BB4448" i="1"/>
  <c r="BW4448" i="1"/>
  <c r="A4449" i="1"/>
  <c r="C4449" i="1"/>
  <c r="S4449" i="1"/>
  <c r="T4449" i="1"/>
  <c r="U4449" i="1"/>
  <c r="BB4449" i="1"/>
  <c r="BW4449" i="1"/>
  <c r="A4450" i="1"/>
  <c r="C4450" i="1"/>
  <c r="S4450" i="1"/>
  <c r="T4450" i="1"/>
  <c r="U4450" i="1"/>
  <c r="BB4450" i="1"/>
  <c r="BW4450" i="1"/>
  <c r="A4451" i="1"/>
  <c r="C4451" i="1"/>
  <c r="S4451" i="1"/>
  <c r="T4451" i="1"/>
  <c r="U4451" i="1"/>
  <c r="BB4451" i="1"/>
  <c r="BW4451" i="1"/>
  <c r="A4452" i="1"/>
  <c r="C4452" i="1"/>
  <c r="S4452" i="1"/>
  <c r="T4452" i="1"/>
  <c r="U4452" i="1"/>
  <c r="BB4452" i="1"/>
  <c r="BW4452" i="1"/>
  <c r="A4453" i="1"/>
  <c r="C4453" i="1"/>
  <c r="S4453" i="1"/>
  <c r="T4453" i="1"/>
  <c r="U4453" i="1"/>
  <c r="BB4453" i="1"/>
  <c r="BW4453" i="1"/>
  <c r="A4454" i="1"/>
  <c r="C4454" i="1"/>
  <c r="S4454" i="1"/>
  <c r="T4454" i="1"/>
  <c r="U4454" i="1"/>
  <c r="BB4454" i="1"/>
  <c r="BW4454" i="1"/>
  <c r="A4455" i="1"/>
  <c r="C4455" i="1"/>
  <c r="S4455" i="1"/>
  <c r="T4455" i="1"/>
  <c r="U4455" i="1"/>
  <c r="BB4455" i="1"/>
  <c r="BW4455" i="1"/>
  <c r="A4456" i="1"/>
  <c r="C4456" i="1"/>
  <c r="S4456" i="1"/>
  <c r="T4456" i="1"/>
  <c r="U4456" i="1"/>
  <c r="BB4456" i="1"/>
  <c r="BW4456" i="1"/>
  <c r="A4457" i="1"/>
  <c r="C4457" i="1"/>
  <c r="S4457" i="1"/>
  <c r="T4457" i="1"/>
  <c r="U4457" i="1"/>
  <c r="BB4457" i="1"/>
  <c r="BW4457" i="1"/>
  <c r="A4458" i="1"/>
  <c r="C4458" i="1"/>
  <c r="S4458" i="1"/>
  <c r="T4458" i="1"/>
  <c r="U4458" i="1"/>
  <c r="BB4458" i="1"/>
  <c r="BW4458" i="1"/>
  <c r="A4459" i="1"/>
  <c r="C4459" i="1"/>
  <c r="S4459" i="1"/>
  <c r="T4459" i="1"/>
  <c r="U4459" i="1"/>
  <c r="BB4459" i="1"/>
  <c r="BW4459" i="1"/>
  <c r="A4460" i="1"/>
  <c r="C4460" i="1"/>
  <c r="S4460" i="1"/>
  <c r="T4460" i="1"/>
  <c r="U4460" i="1"/>
  <c r="BB4460" i="1"/>
  <c r="BW4460" i="1"/>
  <c r="A4461" i="1"/>
  <c r="C4461" i="1"/>
  <c r="S4461" i="1"/>
  <c r="T4461" i="1"/>
  <c r="U4461" i="1"/>
  <c r="BB4461" i="1"/>
  <c r="BW4461" i="1"/>
  <c r="A4462" i="1"/>
  <c r="C4462" i="1"/>
  <c r="S4462" i="1"/>
  <c r="T4462" i="1"/>
  <c r="U4462" i="1"/>
  <c r="BB4462" i="1"/>
  <c r="BW4462" i="1"/>
  <c r="A4463" i="1"/>
  <c r="C4463" i="1"/>
  <c r="S4463" i="1"/>
  <c r="T4463" i="1"/>
  <c r="U4463" i="1"/>
  <c r="BB4463" i="1"/>
  <c r="BW4463" i="1"/>
  <c r="A4464" i="1"/>
  <c r="C4464" i="1"/>
  <c r="S4464" i="1"/>
  <c r="T4464" i="1"/>
  <c r="U4464" i="1"/>
  <c r="BB4464" i="1"/>
  <c r="BW4464" i="1"/>
  <c r="A4465" i="1"/>
  <c r="C4465" i="1"/>
  <c r="S4465" i="1"/>
  <c r="T4465" i="1"/>
  <c r="U4465" i="1"/>
  <c r="BB4465" i="1"/>
  <c r="BW4465" i="1"/>
  <c r="A4466" i="1"/>
  <c r="C4466" i="1"/>
  <c r="S4466" i="1"/>
  <c r="T4466" i="1"/>
  <c r="U4466" i="1"/>
  <c r="BB4466" i="1"/>
  <c r="BW4466" i="1"/>
  <c r="A4467" i="1"/>
  <c r="C4467" i="1"/>
  <c r="S4467" i="1"/>
  <c r="T4467" i="1"/>
  <c r="U4467" i="1"/>
  <c r="BB4467" i="1"/>
  <c r="BW4467" i="1"/>
  <c r="A4468" i="1"/>
  <c r="C4468" i="1"/>
  <c r="S4468" i="1"/>
  <c r="T4468" i="1"/>
  <c r="U4468" i="1"/>
  <c r="BB4468" i="1"/>
  <c r="BW4468" i="1"/>
  <c r="A4469" i="1"/>
  <c r="C4469" i="1"/>
  <c r="S4469" i="1"/>
  <c r="T4469" i="1"/>
  <c r="U4469" i="1"/>
  <c r="BB4469" i="1"/>
  <c r="BW4469" i="1"/>
  <c r="A4470" i="1"/>
  <c r="C4470" i="1"/>
  <c r="S4470" i="1"/>
  <c r="T4470" i="1"/>
  <c r="U4470" i="1"/>
  <c r="BB4470" i="1"/>
  <c r="BW4470" i="1"/>
  <c r="A4471" i="1"/>
  <c r="C4471" i="1"/>
  <c r="S4471" i="1"/>
  <c r="T4471" i="1"/>
  <c r="U4471" i="1"/>
  <c r="BB4471" i="1"/>
  <c r="BW4471" i="1"/>
  <c r="A4472" i="1"/>
  <c r="C4472" i="1"/>
  <c r="S4472" i="1"/>
  <c r="T4472" i="1"/>
  <c r="U4472" i="1"/>
  <c r="BB4472" i="1"/>
  <c r="BW4472" i="1"/>
  <c r="A4473" i="1"/>
  <c r="C4473" i="1"/>
  <c r="S4473" i="1"/>
  <c r="T4473" i="1"/>
  <c r="U4473" i="1"/>
  <c r="BB4473" i="1"/>
  <c r="BW4473" i="1"/>
  <c r="A4474" i="1"/>
  <c r="C4474" i="1"/>
  <c r="S4474" i="1"/>
  <c r="T4474" i="1"/>
  <c r="U4474" i="1"/>
  <c r="BB4474" i="1"/>
  <c r="BW4474" i="1"/>
  <c r="A4475" i="1"/>
  <c r="C4475" i="1"/>
  <c r="S4475" i="1"/>
  <c r="T4475" i="1"/>
  <c r="U4475" i="1"/>
  <c r="BB4475" i="1"/>
  <c r="BW4475" i="1"/>
  <c r="A4476" i="1"/>
  <c r="C4476" i="1"/>
  <c r="S4476" i="1"/>
  <c r="T4476" i="1"/>
  <c r="U4476" i="1"/>
  <c r="BB4476" i="1"/>
  <c r="BW4476" i="1"/>
  <c r="A4477" i="1"/>
  <c r="C4477" i="1"/>
  <c r="S4477" i="1"/>
  <c r="T4477" i="1"/>
  <c r="U4477" i="1"/>
  <c r="BB4477" i="1"/>
  <c r="BW4477" i="1"/>
  <c r="A4478" i="1"/>
  <c r="C4478" i="1"/>
  <c r="S4478" i="1"/>
  <c r="T4478" i="1"/>
  <c r="U4478" i="1"/>
  <c r="BB4478" i="1"/>
  <c r="BW4478" i="1"/>
  <c r="A4479" i="1"/>
  <c r="C4479" i="1"/>
  <c r="S4479" i="1"/>
  <c r="T4479" i="1"/>
  <c r="U4479" i="1"/>
  <c r="BB4479" i="1"/>
  <c r="BW4479" i="1"/>
  <c r="A4480" i="1"/>
  <c r="C4480" i="1"/>
  <c r="S4480" i="1"/>
  <c r="T4480" i="1"/>
  <c r="U4480" i="1"/>
  <c r="BB4480" i="1"/>
  <c r="BW4480" i="1"/>
  <c r="A4481" i="1"/>
  <c r="C4481" i="1"/>
  <c r="S4481" i="1"/>
  <c r="T4481" i="1"/>
  <c r="U4481" i="1"/>
  <c r="BB4481" i="1"/>
  <c r="BW4481" i="1"/>
  <c r="A4482" i="1"/>
  <c r="C4482" i="1"/>
  <c r="S4482" i="1"/>
  <c r="T4482" i="1"/>
  <c r="U4482" i="1"/>
  <c r="BB4482" i="1"/>
  <c r="BW4482" i="1"/>
  <c r="A4483" i="1"/>
  <c r="C4483" i="1"/>
  <c r="S4483" i="1"/>
  <c r="T4483" i="1"/>
  <c r="U4483" i="1"/>
  <c r="BB4483" i="1"/>
  <c r="BW4483" i="1"/>
  <c r="A4484" i="1"/>
  <c r="C4484" i="1"/>
  <c r="S4484" i="1"/>
  <c r="T4484" i="1"/>
  <c r="U4484" i="1"/>
  <c r="BB4484" i="1"/>
  <c r="BW4484" i="1"/>
  <c r="A4485" i="1"/>
  <c r="C4485" i="1"/>
  <c r="S4485" i="1"/>
  <c r="T4485" i="1"/>
  <c r="U4485" i="1"/>
  <c r="BB4485" i="1"/>
  <c r="BW4485" i="1"/>
  <c r="A4486" i="1"/>
  <c r="C4486" i="1"/>
  <c r="S4486" i="1"/>
  <c r="T4486" i="1"/>
  <c r="U4486" i="1"/>
  <c r="BB4486" i="1"/>
  <c r="BW4486" i="1"/>
  <c r="A4487" i="1"/>
  <c r="C4487" i="1"/>
  <c r="S4487" i="1"/>
  <c r="T4487" i="1"/>
  <c r="U4487" i="1"/>
  <c r="BB4487" i="1"/>
  <c r="BW4487" i="1"/>
  <c r="A4488" i="1"/>
  <c r="C4488" i="1"/>
  <c r="S4488" i="1"/>
  <c r="T4488" i="1"/>
  <c r="U4488" i="1"/>
  <c r="BB4488" i="1"/>
  <c r="BW4488" i="1"/>
  <c r="A4489" i="1"/>
  <c r="C4489" i="1"/>
  <c r="S4489" i="1"/>
  <c r="T4489" i="1"/>
  <c r="U4489" i="1"/>
  <c r="BB4489" i="1"/>
  <c r="BW4489" i="1"/>
  <c r="A4490" i="1"/>
  <c r="C4490" i="1"/>
  <c r="S4490" i="1"/>
  <c r="T4490" i="1"/>
  <c r="U4490" i="1"/>
  <c r="BB4490" i="1"/>
  <c r="BW4490" i="1"/>
  <c r="A4491" i="1"/>
  <c r="C4491" i="1"/>
  <c r="S4491" i="1"/>
  <c r="T4491" i="1"/>
  <c r="U4491" i="1"/>
  <c r="BB4491" i="1"/>
  <c r="BW4491" i="1"/>
  <c r="A4492" i="1"/>
  <c r="C4492" i="1"/>
  <c r="S4492" i="1"/>
  <c r="T4492" i="1"/>
  <c r="U4492" i="1"/>
  <c r="BB4492" i="1"/>
  <c r="BW4492" i="1"/>
  <c r="A4493" i="1"/>
  <c r="C4493" i="1"/>
  <c r="S4493" i="1"/>
  <c r="T4493" i="1"/>
  <c r="U4493" i="1"/>
  <c r="BB4493" i="1"/>
  <c r="BW4493" i="1"/>
  <c r="A4494" i="1"/>
  <c r="C4494" i="1"/>
  <c r="S4494" i="1"/>
  <c r="T4494" i="1"/>
  <c r="U4494" i="1"/>
  <c r="BB4494" i="1"/>
  <c r="BW4494" i="1"/>
  <c r="A4495" i="1"/>
  <c r="C4495" i="1"/>
  <c r="S4495" i="1"/>
  <c r="T4495" i="1"/>
  <c r="U4495" i="1"/>
  <c r="BB4495" i="1"/>
  <c r="BW4495" i="1"/>
  <c r="A4496" i="1"/>
  <c r="C4496" i="1"/>
  <c r="S4496" i="1"/>
  <c r="T4496" i="1"/>
  <c r="U4496" i="1"/>
  <c r="BB4496" i="1"/>
  <c r="BW4496" i="1"/>
  <c r="A4497" i="1"/>
  <c r="C4497" i="1"/>
  <c r="S4497" i="1"/>
  <c r="T4497" i="1"/>
  <c r="U4497" i="1"/>
  <c r="BB4497" i="1"/>
  <c r="BW4497" i="1"/>
  <c r="A4498" i="1"/>
  <c r="C4498" i="1"/>
  <c r="S4498" i="1"/>
  <c r="T4498" i="1"/>
  <c r="U4498" i="1"/>
  <c r="BB4498" i="1"/>
  <c r="BW4498" i="1"/>
  <c r="A4499" i="1"/>
  <c r="C4499" i="1"/>
  <c r="S4499" i="1"/>
  <c r="T4499" i="1"/>
  <c r="U4499" i="1"/>
  <c r="BB4499" i="1"/>
  <c r="BW4499" i="1"/>
  <c r="A4500" i="1"/>
  <c r="C4500" i="1"/>
  <c r="S4500" i="1"/>
  <c r="T4500" i="1"/>
  <c r="U4500" i="1"/>
  <c r="BB4500" i="1"/>
  <c r="BW4500" i="1"/>
  <c r="A4501" i="1"/>
  <c r="C4501" i="1"/>
  <c r="S4501" i="1"/>
  <c r="T4501" i="1"/>
  <c r="U4501" i="1"/>
  <c r="BB4501" i="1"/>
  <c r="BW4501" i="1"/>
  <c r="A4502" i="1"/>
  <c r="C4502" i="1"/>
  <c r="S4502" i="1"/>
  <c r="T4502" i="1"/>
  <c r="U4502" i="1"/>
  <c r="BB4502" i="1"/>
  <c r="BW4502" i="1"/>
  <c r="A4503" i="1"/>
  <c r="C4503" i="1"/>
  <c r="S4503" i="1"/>
  <c r="T4503" i="1"/>
  <c r="U4503" i="1"/>
  <c r="BB4503" i="1"/>
  <c r="BW4503" i="1"/>
  <c r="A4504" i="1"/>
  <c r="C4504" i="1"/>
  <c r="S4504" i="1"/>
  <c r="T4504" i="1"/>
  <c r="U4504" i="1"/>
  <c r="BB4504" i="1"/>
  <c r="BW4504" i="1"/>
  <c r="A4505" i="1"/>
  <c r="C4505" i="1"/>
  <c r="S4505" i="1"/>
  <c r="T4505" i="1"/>
  <c r="U4505" i="1"/>
  <c r="BB4505" i="1"/>
  <c r="BW4505" i="1"/>
  <c r="A4506" i="1"/>
  <c r="C4506" i="1"/>
  <c r="S4506" i="1"/>
  <c r="T4506" i="1"/>
  <c r="U4506" i="1"/>
  <c r="BB4506" i="1"/>
  <c r="BW4506" i="1"/>
  <c r="A4507" i="1"/>
  <c r="C4507" i="1"/>
  <c r="S4507" i="1"/>
  <c r="T4507" i="1"/>
  <c r="U4507" i="1"/>
  <c r="BB4507" i="1"/>
  <c r="BW4507" i="1"/>
  <c r="A4508" i="1"/>
  <c r="C4508" i="1"/>
  <c r="S4508" i="1"/>
  <c r="T4508" i="1"/>
  <c r="U4508" i="1"/>
  <c r="BB4508" i="1"/>
  <c r="BW4508" i="1"/>
  <c r="A4509" i="1"/>
  <c r="C4509" i="1"/>
  <c r="S4509" i="1"/>
  <c r="T4509" i="1"/>
  <c r="U4509" i="1"/>
  <c r="BB4509" i="1"/>
  <c r="BW4509" i="1"/>
  <c r="A4510" i="1"/>
  <c r="C4510" i="1"/>
  <c r="S4510" i="1"/>
  <c r="T4510" i="1"/>
  <c r="U4510" i="1"/>
  <c r="BB4510" i="1"/>
  <c r="BW4510" i="1"/>
  <c r="A4511" i="1"/>
  <c r="C4511" i="1"/>
  <c r="S4511" i="1"/>
  <c r="T4511" i="1"/>
  <c r="U4511" i="1"/>
  <c r="BB4511" i="1"/>
  <c r="BW4511" i="1"/>
  <c r="A4512" i="1"/>
  <c r="C4512" i="1"/>
  <c r="S4512" i="1"/>
  <c r="T4512" i="1"/>
  <c r="U4512" i="1"/>
  <c r="BB4512" i="1"/>
  <c r="BW4512" i="1"/>
  <c r="A4513" i="1"/>
  <c r="C4513" i="1"/>
  <c r="S4513" i="1"/>
  <c r="T4513" i="1"/>
  <c r="U4513" i="1"/>
  <c r="BB4513" i="1"/>
  <c r="BW4513" i="1"/>
  <c r="A4514" i="1"/>
  <c r="C4514" i="1"/>
  <c r="S4514" i="1"/>
  <c r="T4514" i="1"/>
  <c r="U4514" i="1"/>
  <c r="BB4514" i="1"/>
  <c r="BW4514" i="1"/>
  <c r="A4515" i="1"/>
  <c r="C4515" i="1"/>
  <c r="S4515" i="1"/>
  <c r="T4515" i="1"/>
  <c r="U4515" i="1"/>
  <c r="BB4515" i="1"/>
  <c r="BW4515" i="1"/>
  <c r="A4516" i="1"/>
  <c r="C4516" i="1"/>
  <c r="S4516" i="1"/>
  <c r="T4516" i="1"/>
  <c r="U4516" i="1"/>
  <c r="BB4516" i="1"/>
  <c r="BW4516" i="1"/>
  <c r="A4517" i="1"/>
  <c r="C4517" i="1"/>
  <c r="S4517" i="1"/>
  <c r="T4517" i="1"/>
  <c r="U4517" i="1"/>
  <c r="BB4517" i="1"/>
  <c r="BW4517" i="1"/>
  <c r="A4518" i="1"/>
  <c r="C4518" i="1"/>
  <c r="S4518" i="1"/>
  <c r="T4518" i="1"/>
  <c r="U4518" i="1"/>
  <c r="BB4518" i="1"/>
  <c r="BW4518" i="1"/>
  <c r="A4519" i="1"/>
  <c r="C4519" i="1"/>
  <c r="S4519" i="1"/>
  <c r="T4519" i="1"/>
  <c r="U4519" i="1"/>
  <c r="BB4519" i="1"/>
  <c r="BW4519" i="1"/>
  <c r="A4520" i="1"/>
  <c r="C4520" i="1"/>
  <c r="S4520" i="1"/>
  <c r="T4520" i="1"/>
  <c r="U4520" i="1"/>
  <c r="BB4520" i="1"/>
  <c r="BW4520" i="1"/>
  <c r="A4521" i="1"/>
  <c r="C4521" i="1"/>
  <c r="S4521" i="1"/>
  <c r="T4521" i="1"/>
  <c r="U4521" i="1"/>
  <c r="BB4521" i="1"/>
  <c r="BW4521" i="1"/>
  <c r="A4522" i="1"/>
  <c r="C4522" i="1"/>
  <c r="S4522" i="1"/>
  <c r="T4522" i="1"/>
  <c r="U4522" i="1"/>
  <c r="BB4522" i="1"/>
  <c r="BW4522" i="1"/>
  <c r="A4523" i="1"/>
  <c r="C4523" i="1"/>
  <c r="S4523" i="1"/>
  <c r="T4523" i="1"/>
  <c r="U4523" i="1"/>
  <c r="BB4523" i="1"/>
  <c r="BW4523" i="1"/>
  <c r="A4524" i="1"/>
  <c r="C4524" i="1"/>
  <c r="S4524" i="1"/>
  <c r="T4524" i="1"/>
  <c r="U4524" i="1"/>
  <c r="BB4524" i="1"/>
  <c r="BW4524" i="1"/>
  <c r="A4525" i="1"/>
  <c r="C4525" i="1"/>
  <c r="S4525" i="1"/>
  <c r="T4525" i="1"/>
  <c r="U4525" i="1"/>
  <c r="BB4525" i="1"/>
  <c r="BW4525" i="1"/>
  <c r="A4526" i="1"/>
  <c r="C4526" i="1"/>
  <c r="S4526" i="1"/>
  <c r="T4526" i="1"/>
  <c r="U4526" i="1"/>
  <c r="BB4526" i="1"/>
  <c r="BW4526" i="1"/>
  <c r="A4527" i="1"/>
  <c r="C4527" i="1"/>
  <c r="S4527" i="1"/>
  <c r="T4527" i="1"/>
  <c r="U4527" i="1"/>
  <c r="BB4527" i="1"/>
  <c r="BW4527" i="1"/>
  <c r="A4528" i="1"/>
  <c r="C4528" i="1"/>
  <c r="S4528" i="1"/>
  <c r="T4528" i="1"/>
  <c r="U4528" i="1"/>
  <c r="BB4528" i="1"/>
  <c r="BW4528" i="1"/>
  <c r="A4529" i="1"/>
  <c r="C4529" i="1"/>
  <c r="S4529" i="1"/>
  <c r="T4529" i="1"/>
  <c r="U4529" i="1"/>
  <c r="BB4529" i="1"/>
  <c r="BW4529" i="1"/>
  <c r="A4530" i="1"/>
  <c r="C4530" i="1"/>
  <c r="S4530" i="1"/>
  <c r="T4530" i="1"/>
  <c r="U4530" i="1"/>
  <c r="BB4530" i="1"/>
  <c r="BW4530" i="1"/>
  <c r="A4531" i="1"/>
  <c r="C4531" i="1"/>
  <c r="S4531" i="1"/>
  <c r="T4531" i="1"/>
  <c r="U4531" i="1"/>
  <c r="BB4531" i="1"/>
  <c r="BW4531" i="1"/>
  <c r="A4532" i="1"/>
  <c r="C4532" i="1"/>
  <c r="S4532" i="1"/>
  <c r="T4532" i="1"/>
  <c r="U4532" i="1"/>
  <c r="BB4532" i="1"/>
  <c r="BW4532" i="1"/>
  <c r="A4533" i="1"/>
  <c r="C4533" i="1"/>
  <c r="S4533" i="1"/>
  <c r="T4533" i="1"/>
  <c r="U4533" i="1"/>
  <c r="BB4533" i="1"/>
  <c r="BW4533" i="1"/>
  <c r="A4534" i="1"/>
  <c r="C4534" i="1"/>
  <c r="S4534" i="1"/>
  <c r="T4534" i="1"/>
  <c r="U4534" i="1"/>
  <c r="BB4534" i="1"/>
  <c r="BW4534" i="1"/>
  <c r="A4535" i="1"/>
  <c r="C4535" i="1"/>
  <c r="S4535" i="1"/>
  <c r="T4535" i="1"/>
  <c r="U4535" i="1"/>
  <c r="BB4535" i="1"/>
  <c r="BW4535" i="1"/>
  <c r="A4536" i="1"/>
  <c r="C4536" i="1"/>
  <c r="S4536" i="1"/>
  <c r="T4536" i="1"/>
  <c r="U4536" i="1"/>
  <c r="BB4536" i="1"/>
  <c r="BW4536" i="1"/>
  <c r="A4537" i="1"/>
  <c r="C4537" i="1"/>
  <c r="S4537" i="1"/>
  <c r="T4537" i="1"/>
  <c r="U4537" i="1"/>
  <c r="BB4537" i="1"/>
  <c r="BW4537" i="1"/>
  <c r="A4538" i="1"/>
  <c r="C4538" i="1"/>
  <c r="S4538" i="1"/>
  <c r="T4538" i="1"/>
  <c r="U4538" i="1"/>
  <c r="BB4538" i="1"/>
  <c r="BW4538" i="1"/>
  <c r="A4539" i="1"/>
  <c r="C4539" i="1"/>
  <c r="S4539" i="1"/>
  <c r="T4539" i="1"/>
  <c r="U4539" i="1"/>
  <c r="BB4539" i="1"/>
  <c r="BW4539" i="1"/>
  <c r="A4540" i="1"/>
  <c r="C4540" i="1"/>
  <c r="S4540" i="1"/>
  <c r="T4540" i="1"/>
  <c r="U4540" i="1"/>
  <c r="BB4540" i="1"/>
  <c r="BW4540" i="1"/>
  <c r="A4541" i="1"/>
  <c r="C4541" i="1"/>
  <c r="S4541" i="1"/>
  <c r="T4541" i="1"/>
  <c r="U4541" i="1"/>
  <c r="BB4541" i="1"/>
  <c r="BW4541" i="1"/>
  <c r="A4542" i="1"/>
  <c r="C4542" i="1"/>
  <c r="S4542" i="1"/>
  <c r="T4542" i="1"/>
  <c r="U4542" i="1"/>
  <c r="BB4542" i="1"/>
  <c r="BW4542" i="1"/>
  <c r="A4543" i="1"/>
  <c r="C4543" i="1"/>
  <c r="S4543" i="1"/>
  <c r="T4543" i="1"/>
  <c r="U4543" i="1"/>
  <c r="BB4543" i="1"/>
  <c r="BW4543" i="1"/>
  <c r="A4544" i="1"/>
  <c r="C4544" i="1"/>
  <c r="S4544" i="1"/>
  <c r="T4544" i="1"/>
  <c r="U4544" i="1"/>
  <c r="BB4544" i="1"/>
  <c r="BW4544" i="1"/>
  <c r="A4545" i="1"/>
  <c r="C4545" i="1"/>
  <c r="S4545" i="1"/>
  <c r="T4545" i="1"/>
  <c r="U4545" i="1"/>
  <c r="BB4545" i="1"/>
  <c r="BW4545" i="1"/>
  <c r="A4546" i="1"/>
  <c r="C4546" i="1"/>
  <c r="S4546" i="1"/>
  <c r="T4546" i="1"/>
  <c r="U4546" i="1"/>
  <c r="BB4546" i="1"/>
  <c r="BW4546" i="1"/>
  <c r="A4547" i="1"/>
  <c r="C4547" i="1"/>
  <c r="S4547" i="1"/>
  <c r="T4547" i="1"/>
  <c r="U4547" i="1"/>
  <c r="BB4547" i="1"/>
  <c r="BW4547" i="1"/>
  <c r="A4548" i="1"/>
  <c r="C4548" i="1"/>
  <c r="S4548" i="1"/>
  <c r="T4548" i="1"/>
  <c r="U4548" i="1"/>
  <c r="BB4548" i="1"/>
  <c r="BW4548" i="1"/>
  <c r="A4549" i="1"/>
  <c r="C4549" i="1"/>
  <c r="S4549" i="1"/>
  <c r="T4549" i="1"/>
  <c r="U4549" i="1"/>
  <c r="BB4549" i="1"/>
  <c r="BW4549" i="1"/>
  <c r="A4550" i="1"/>
  <c r="C4550" i="1"/>
  <c r="S4550" i="1"/>
  <c r="T4550" i="1"/>
  <c r="U4550" i="1"/>
  <c r="BB4550" i="1"/>
  <c r="BW4550" i="1"/>
  <c r="A4551" i="1"/>
  <c r="C4551" i="1"/>
  <c r="S4551" i="1"/>
  <c r="T4551" i="1"/>
  <c r="U4551" i="1"/>
  <c r="BB4551" i="1"/>
  <c r="BW4551" i="1"/>
  <c r="A4552" i="1"/>
  <c r="C4552" i="1"/>
  <c r="S4552" i="1"/>
  <c r="T4552" i="1"/>
  <c r="U4552" i="1"/>
  <c r="BB4552" i="1"/>
  <c r="BW4552" i="1"/>
  <c r="A4553" i="1"/>
  <c r="C4553" i="1"/>
  <c r="S4553" i="1"/>
  <c r="T4553" i="1"/>
  <c r="U4553" i="1"/>
  <c r="BB4553" i="1"/>
  <c r="BW4553" i="1"/>
  <c r="A4554" i="1"/>
  <c r="C4554" i="1"/>
  <c r="S4554" i="1"/>
  <c r="T4554" i="1"/>
  <c r="U4554" i="1"/>
  <c r="BB4554" i="1"/>
  <c r="BW4554" i="1"/>
  <c r="A4555" i="1"/>
  <c r="C4555" i="1"/>
  <c r="S4555" i="1"/>
  <c r="T4555" i="1"/>
  <c r="U4555" i="1"/>
  <c r="BB4555" i="1"/>
  <c r="BW4555" i="1"/>
  <c r="A4556" i="1"/>
  <c r="C4556" i="1"/>
  <c r="S4556" i="1"/>
  <c r="T4556" i="1"/>
  <c r="U4556" i="1"/>
  <c r="BB4556" i="1"/>
  <c r="BW4556" i="1"/>
  <c r="A4557" i="1"/>
  <c r="C4557" i="1"/>
  <c r="S4557" i="1"/>
  <c r="T4557" i="1"/>
  <c r="U4557" i="1"/>
  <c r="BB4557" i="1"/>
  <c r="BW4557" i="1"/>
  <c r="A4558" i="1"/>
  <c r="C4558" i="1"/>
  <c r="S4558" i="1"/>
  <c r="T4558" i="1"/>
  <c r="U4558" i="1"/>
  <c r="BB4558" i="1"/>
  <c r="BW4558" i="1"/>
  <c r="A4559" i="1"/>
  <c r="C4559" i="1"/>
  <c r="S4559" i="1"/>
  <c r="T4559" i="1"/>
  <c r="U4559" i="1"/>
  <c r="BB4559" i="1"/>
  <c r="BW4559" i="1"/>
  <c r="A4560" i="1"/>
  <c r="C4560" i="1"/>
  <c r="S4560" i="1"/>
  <c r="T4560" i="1"/>
  <c r="U4560" i="1"/>
  <c r="BB4560" i="1"/>
  <c r="BW4560" i="1"/>
  <c r="A4561" i="1"/>
  <c r="C4561" i="1"/>
  <c r="S4561" i="1"/>
  <c r="T4561" i="1"/>
  <c r="U4561" i="1"/>
  <c r="BB4561" i="1"/>
  <c r="BW4561" i="1"/>
  <c r="A4562" i="1"/>
  <c r="C4562" i="1"/>
  <c r="S4562" i="1"/>
  <c r="T4562" i="1"/>
  <c r="U4562" i="1"/>
  <c r="BB4562" i="1"/>
  <c r="BW4562" i="1"/>
  <c r="A4563" i="1"/>
  <c r="C4563" i="1"/>
  <c r="S4563" i="1"/>
  <c r="T4563" i="1"/>
  <c r="U4563" i="1"/>
  <c r="BB4563" i="1"/>
  <c r="BW4563" i="1"/>
  <c r="A4564" i="1"/>
  <c r="C4564" i="1"/>
  <c r="S4564" i="1"/>
  <c r="T4564" i="1"/>
  <c r="U4564" i="1"/>
  <c r="BB4564" i="1"/>
  <c r="BW4564" i="1"/>
  <c r="A4565" i="1"/>
  <c r="C4565" i="1"/>
  <c r="S4565" i="1"/>
  <c r="T4565" i="1"/>
  <c r="U4565" i="1"/>
  <c r="BB4565" i="1"/>
  <c r="BW4565" i="1"/>
  <c r="A4566" i="1"/>
  <c r="C4566" i="1"/>
  <c r="S4566" i="1"/>
  <c r="T4566" i="1"/>
  <c r="U4566" i="1"/>
  <c r="BB4566" i="1"/>
  <c r="BW4566" i="1"/>
  <c r="A4567" i="1"/>
  <c r="C4567" i="1"/>
  <c r="S4567" i="1"/>
  <c r="T4567" i="1"/>
  <c r="U4567" i="1"/>
  <c r="BB4567" i="1"/>
  <c r="BW4567" i="1"/>
  <c r="A4568" i="1"/>
  <c r="C4568" i="1"/>
  <c r="S4568" i="1"/>
  <c r="T4568" i="1"/>
  <c r="U4568" i="1"/>
  <c r="BB4568" i="1"/>
  <c r="BW4568" i="1"/>
  <c r="A4569" i="1"/>
  <c r="C4569" i="1"/>
  <c r="S4569" i="1"/>
  <c r="T4569" i="1"/>
  <c r="U4569" i="1"/>
  <c r="BB4569" i="1"/>
  <c r="BW4569" i="1"/>
  <c r="A4570" i="1"/>
  <c r="C4570" i="1"/>
  <c r="S4570" i="1"/>
  <c r="T4570" i="1"/>
  <c r="U4570" i="1"/>
  <c r="BB4570" i="1"/>
  <c r="BW4570" i="1"/>
  <c r="A4571" i="1"/>
  <c r="C4571" i="1"/>
  <c r="S4571" i="1"/>
  <c r="T4571" i="1"/>
  <c r="U4571" i="1"/>
  <c r="BB4571" i="1"/>
  <c r="BW4571" i="1"/>
  <c r="A4572" i="1"/>
  <c r="C4572" i="1"/>
  <c r="S4572" i="1"/>
  <c r="T4572" i="1"/>
  <c r="U4572" i="1"/>
  <c r="BB4572" i="1"/>
  <c r="BW4572" i="1"/>
  <c r="A4573" i="1"/>
  <c r="C4573" i="1"/>
  <c r="S4573" i="1"/>
  <c r="T4573" i="1"/>
  <c r="U4573" i="1"/>
  <c r="BB4573" i="1"/>
  <c r="BW4573" i="1"/>
  <c r="A4574" i="1"/>
  <c r="C4574" i="1"/>
  <c r="S4574" i="1"/>
  <c r="T4574" i="1"/>
  <c r="U4574" i="1"/>
  <c r="BB4574" i="1"/>
  <c r="BW4574" i="1"/>
  <c r="A4575" i="1"/>
  <c r="C4575" i="1"/>
  <c r="S4575" i="1"/>
  <c r="T4575" i="1"/>
  <c r="U4575" i="1"/>
  <c r="BB4575" i="1"/>
  <c r="BW4575" i="1"/>
  <c r="A4576" i="1"/>
  <c r="C4576" i="1"/>
  <c r="S4576" i="1"/>
  <c r="T4576" i="1"/>
  <c r="U4576" i="1"/>
  <c r="BB4576" i="1"/>
  <c r="BW4576" i="1"/>
  <c r="A4577" i="1"/>
  <c r="C4577" i="1"/>
  <c r="S4577" i="1"/>
  <c r="T4577" i="1"/>
  <c r="U4577" i="1"/>
  <c r="BB4577" i="1"/>
  <c r="BW4577" i="1"/>
  <c r="A4578" i="1"/>
  <c r="C4578" i="1"/>
  <c r="S4578" i="1"/>
  <c r="T4578" i="1"/>
  <c r="U4578" i="1"/>
  <c r="BB4578" i="1"/>
  <c r="BW4578" i="1"/>
  <c r="A4579" i="1"/>
  <c r="C4579" i="1"/>
  <c r="S4579" i="1"/>
  <c r="T4579" i="1"/>
  <c r="U4579" i="1"/>
  <c r="BB4579" i="1"/>
  <c r="BW4579" i="1"/>
  <c r="A4580" i="1"/>
  <c r="C4580" i="1"/>
  <c r="S4580" i="1"/>
  <c r="T4580" i="1"/>
  <c r="U4580" i="1"/>
  <c r="BB4580" i="1"/>
  <c r="BW4580" i="1"/>
  <c r="A4581" i="1"/>
  <c r="C4581" i="1"/>
  <c r="S4581" i="1"/>
  <c r="T4581" i="1"/>
  <c r="U4581" i="1"/>
  <c r="BB4581" i="1"/>
  <c r="BW4581" i="1"/>
  <c r="A4582" i="1"/>
  <c r="C4582" i="1"/>
  <c r="S4582" i="1"/>
  <c r="T4582" i="1"/>
  <c r="U4582" i="1"/>
  <c r="BB4582" i="1"/>
  <c r="BW4582" i="1"/>
  <c r="A4583" i="1"/>
  <c r="C4583" i="1"/>
  <c r="S4583" i="1"/>
  <c r="T4583" i="1"/>
  <c r="U4583" i="1"/>
  <c r="BB4583" i="1"/>
  <c r="BW4583" i="1"/>
  <c r="A4584" i="1"/>
  <c r="C4584" i="1"/>
  <c r="S4584" i="1"/>
  <c r="T4584" i="1"/>
  <c r="U4584" i="1"/>
  <c r="BB4584" i="1"/>
  <c r="BW4584" i="1"/>
  <c r="A4585" i="1"/>
  <c r="C4585" i="1"/>
  <c r="S4585" i="1"/>
  <c r="T4585" i="1"/>
  <c r="U4585" i="1"/>
  <c r="BB4585" i="1"/>
  <c r="BW4585" i="1"/>
  <c r="A4586" i="1"/>
  <c r="C4586" i="1"/>
  <c r="S4586" i="1"/>
  <c r="T4586" i="1"/>
  <c r="U4586" i="1"/>
  <c r="BB4586" i="1"/>
  <c r="BW4586" i="1"/>
  <c r="A4587" i="1"/>
  <c r="C4587" i="1"/>
  <c r="S4587" i="1"/>
  <c r="T4587" i="1"/>
  <c r="U4587" i="1"/>
  <c r="BB4587" i="1"/>
  <c r="BW4587" i="1"/>
  <c r="A4588" i="1"/>
  <c r="C4588" i="1"/>
  <c r="S4588" i="1"/>
  <c r="T4588" i="1"/>
  <c r="U4588" i="1"/>
  <c r="BB4588" i="1"/>
  <c r="BW4588" i="1"/>
  <c r="A4589" i="1"/>
  <c r="C4589" i="1"/>
  <c r="S4589" i="1"/>
  <c r="T4589" i="1"/>
  <c r="U4589" i="1"/>
  <c r="BB4589" i="1"/>
  <c r="BW4589" i="1"/>
  <c r="A4590" i="1"/>
  <c r="C4590" i="1"/>
  <c r="S4590" i="1"/>
  <c r="T4590" i="1"/>
  <c r="U4590" i="1"/>
  <c r="BB4590" i="1"/>
  <c r="BW4590" i="1"/>
  <c r="A4591" i="1"/>
  <c r="C4591" i="1"/>
  <c r="S4591" i="1"/>
  <c r="T4591" i="1"/>
  <c r="U4591" i="1"/>
  <c r="BB4591" i="1"/>
  <c r="BW4591" i="1"/>
  <c r="A4592" i="1"/>
  <c r="C4592" i="1"/>
  <c r="S4592" i="1"/>
  <c r="T4592" i="1"/>
  <c r="U4592" i="1"/>
  <c r="BB4592" i="1"/>
  <c r="BW4592" i="1"/>
  <c r="A4593" i="1"/>
  <c r="C4593" i="1"/>
  <c r="S4593" i="1"/>
  <c r="T4593" i="1"/>
  <c r="U4593" i="1"/>
  <c r="BB4593" i="1"/>
  <c r="BW4593" i="1"/>
  <c r="A4594" i="1"/>
  <c r="C4594" i="1"/>
  <c r="S4594" i="1"/>
  <c r="T4594" i="1"/>
  <c r="U4594" i="1"/>
  <c r="BB4594" i="1"/>
  <c r="BW4594" i="1"/>
  <c r="A4595" i="1"/>
  <c r="C4595" i="1"/>
  <c r="S4595" i="1"/>
  <c r="T4595" i="1"/>
  <c r="U4595" i="1"/>
  <c r="BB4595" i="1"/>
  <c r="BW4595" i="1"/>
  <c r="A4596" i="1"/>
  <c r="C4596" i="1"/>
  <c r="S4596" i="1"/>
  <c r="T4596" i="1"/>
  <c r="U4596" i="1"/>
  <c r="BB4596" i="1"/>
  <c r="BW4596" i="1"/>
  <c r="A4597" i="1"/>
  <c r="C4597" i="1"/>
  <c r="S4597" i="1"/>
  <c r="T4597" i="1"/>
  <c r="U4597" i="1"/>
  <c r="BB4597" i="1"/>
  <c r="BW4597" i="1"/>
  <c r="A4598" i="1"/>
  <c r="C4598" i="1"/>
  <c r="S4598" i="1"/>
  <c r="T4598" i="1"/>
  <c r="U4598" i="1"/>
  <c r="BB4598" i="1"/>
  <c r="BW4598" i="1"/>
  <c r="A4599" i="1"/>
  <c r="C4599" i="1"/>
  <c r="S4599" i="1"/>
  <c r="T4599" i="1"/>
  <c r="U4599" i="1"/>
  <c r="BB4599" i="1"/>
  <c r="BW4599" i="1"/>
  <c r="A4600" i="1"/>
  <c r="C4600" i="1"/>
  <c r="S4600" i="1"/>
  <c r="T4600" i="1"/>
  <c r="U4600" i="1"/>
  <c r="BB4600" i="1"/>
  <c r="BW4600" i="1"/>
  <c r="A4601" i="1"/>
  <c r="C4601" i="1"/>
  <c r="S4601" i="1"/>
  <c r="T4601" i="1"/>
  <c r="U4601" i="1"/>
  <c r="BB4601" i="1"/>
  <c r="BW4601" i="1"/>
  <c r="A4602" i="1"/>
  <c r="C4602" i="1"/>
  <c r="S4602" i="1"/>
  <c r="T4602" i="1"/>
  <c r="U4602" i="1"/>
  <c r="BB4602" i="1"/>
  <c r="BW4602" i="1"/>
  <c r="A4603" i="1"/>
  <c r="C4603" i="1"/>
  <c r="S4603" i="1"/>
  <c r="T4603" i="1"/>
  <c r="U4603" i="1"/>
  <c r="BB4603" i="1"/>
  <c r="BW4603" i="1"/>
  <c r="A4604" i="1"/>
  <c r="C4604" i="1"/>
  <c r="S4604" i="1"/>
  <c r="T4604" i="1"/>
  <c r="U4604" i="1"/>
  <c r="BB4604" i="1"/>
  <c r="BW4604" i="1"/>
  <c r="A4605" i="1"/>
  <c r="C4605" i="1"/>
  <c r="S4605" i="1"/>
  <c r="T4605" i="1"/>
  <c r="U4605" i="1"/>
  <c r="BB4605" i="1"/>
  <c r="BW4605" i="1"/>
  <c r="A4606" i="1"/>
  <c r="C4606" i="1"/>
  <c r="S4606" i="1"/>
  <c r="T4606" i="1"/>
  <c r="U4606" i="1"/>
  <c r="BB4606" i="1"/>
  <c r="BW4606" i="1"/>
  <c r="A4607" i="1"/>
  <c r="C4607" i="1"/>
  <c r="S4607" i="1"/>
  <c r="T4607" i="1"/>
  <c r="U4607" i="1"/>
  <c r="BB4607" i="1"/>
  <c r="BW4607" i="1"/>
  <c r="A4608" i="1"/>
  <c r="C4608" i="1"/>
  <c r="S4608" i="1"/>
  <c r="T4608" i="1"/>
  <c r="U4608" i="1"/>
  <c r="BB4608" i="1"/>
  <c r="BW4608" i="1"/>
  <c r="A4609" i="1"/>
  <c r="C4609" i="1"/>
  <c r="S4609" i="1"/>
  <c r="T4609" i="1"/>
  <c r="U4609" i="1"/>
  <c r="BB4609" i="1"/>
  <c r="BW4609" i="1"/>
  <c r="A4610" i="1"/>
  <c r="C4610" i="1"/>
  <c r="S4610" i="1"/>
  <c r="T4610" i="1"/>
  <c r="U4610" i="1"/>
  <c r="BB4610" i="1"/>
  <c r="BW4610" i="1"/>
  <c r="A4611" i="1"/>
  <c r="C4611" i="1"/>
  <c r="S4611" i="1"/>
  <c r="T4611" i="1"/>
  <c r="U4611" i="1"/>
  <c r="BB4611" i="1"/>
  <c r="BW4611" i="1"/>
  <c r="A4612" i="1"/>
  <c r="C4612" i="1"/>
  <c r="S4612" i="1"/>
  <c r="T4612" i="1"/>
  <c r="U4612" i="1"/>
  <c r="BB4612" i="1"/>
  <c r="BW4612" i="1"/>
  <c r="A4613" i="1"/>
  <c r="C4613" i="1"/>
  <c r="S4613" i="1"/>
  <c r="T4613" i="1"/>
  <c r="U4613" i="1"/>
  <c r="BB4613" i="1"/>
  <c r="BW4613" i="1"/>
  <c r="A4614" i="1"/>
  <c r="C4614" i="1"/>
  <c r="S4614" i="1"/>
  <c r="T4614" i="1"/>
  <c r="U4614" i="1"/>
  <c r="BB4614" i="1"/>
  <c r="BW4614" i="1"/>
  <c r="A4615" i="1"/>
  <c r="C4615" i="1"/>
  <c r="S4615" i="1"/>
  <c r="T4615" i="1"/>
  <c r="U4615" i="1"/>
  <c r="BB4615" i="1"/>
  <c r="BW4615" i="1"/>
  <c r="A4616" i="1"/>
  <c r="C4616" i="1"/>
  <c r="S4616" i="1"/>
  <c r="T4616" i="1"/>
  <c r="U4616" i="1"/>
  <c r="BB4616" i="1"/>
  <c r="BW4616" i="1"/>
  <c r="A4617" i="1"/>
  <c r="C4617" i="1"/>
  <c r="S4617" i="1"/>
  <c r="T4617" i="1"/>
  <c r="U4617" i="1"/>
  <c r="BB4617" i="1"/>
  <c r="BW4617" i="1"/>
  <c r="A4618" i="1"/>
  <c r="C4618" i="1"/>
  <c r="S4618" i="1"/>
  <c r="T4618" i="1"/>
  <c r="U4618" i="1"/>
  <c r="BB4618" i="1"/>
  <c r="BW4618" i="1"/>
  <c r="A4619" i="1"/>
  <c r="C4619" i="1"/>
  <c r="S4619" i="1"/>
  <c r="T4619" i="1"/>
  <c r="U4619" i="1"/>
  <c r="BB4619" i="1"/>
  <c r="BW4619" i="1"/>
  <c r="A4620" i="1"/>
  <c r="C4620" i="1"/>
  <c r="S4620" i="1"/>
  <c r="T4620" i="1"/>
  <c r="U4620" i="1"/>
  <c r="BB4620" i="1"/>
  <c r="BW4620" i="1"/>
  <c r="A4621" i="1"/>
  <c r="C4621" i="1"/>
  <c r="S4621" i="1"/>
  <c r="T4621" i="1"/>
  <c r="U4621" i="1"/>
  <c r="BB4621" i="1"/>
  <c r="BW4621" i="1"/>
  <c r="A4622" i="1"/>
  <c r="C4622" i="1"/>
  <c r="S4622" i="1"/>
  <c r="T4622" i="1"/>
  <c r="U4622" i="1"/>
  <c r="BB4622" i="1"/>
  <c r="BW4622" i="1"/>
  <c r="A4623" i="1"/>
  <c r="C4623" i="1"/>
  <c r="S4623" i="1"/>
  <c r="T4623" i="1"/>
  <c r="U4623" i="1"/>
  <c r="BB4623" i="1"/>
  <c r="BW4623" i="1"/>
  <c r="A4624" i="1"/>
  <c r="C4624" i="1"/>
  <c r="S4624" i="1"/>
  <c r="T4624" i="1"/>
  <c r="U4624" i="1"/>
  <c r="BB4624" i="1"/>
  <c r="BW4624" i="1"/>
  <c r="A4625" i="1"/>
  <c r="C4625" i="1"/>
  <c r="S4625" i="1"/>
  <c r="T4625" i="1"/>
  <c r="U4625" i="1"/>
  <c r="BB4625" i="1"/>
  <c r="BW4625" i="1"/>
  <c r="A4626" i="1"/>
  <c r="C4626" i="1"/>
  <c r="S4626" i="1"/>
  <c r="T4626" i="1"/>
  <c r="U4626" i="1"/>
  <c r="BB4626" i="1"/>
  <c r="BW4626" i="1"/>
  <c r="A4627" i="1"/>
  <c r="C4627" i="1"/>
  <c r="S4627" i="1"/>
  <c r="T4627" i="1"/>
  <c r="U4627" i="1"/>
  <c r="BB4627" i="1"/>
  <c r="BW4627" i="1"/>
  <c r="A4628" i="1"/>
  <c r="C4628" i="1"/>
  <c r="S4628" i="1"/>
  <c r="T4628" i="1"/>
  <c r="U4628" i="1"/>
  <c r="BB4628" i="1"/>
  <c r="BW4628" i="1"/>
  <c r="A4629" i="1"/>
  <c r="C4629" i="1"/>
  <c r="S4629" i="1"/>
  <c r="T4629" i="1"/>
  <c r="U4629" i="1"/>
  <c r="BB4629" i="1"/>
  <c r="BW4629" i="1"/>
  <c r="A4630" i="1"/>
  <c r="C4630" i="1"/>
  <c r="S4630" i="1"/>
  <c r="T4630" i="1"/>
  <c r="U4630" i="1"/>
  <c r="BB4630" i="1"/>
  <c r="BW4630" i="1"/>
  <c r="A4631" i="1"/>
  <c r="C4631" i="1"/>
  <c r="S4631" i="1"/>
  <c r="T4631" i="1"/>
  <c r="U4631" i="1"/>
  <c r="BB4631" i="1"/>
  <c r="BW4631" i="1"/>
  <c r="A4632" i="1"/>
  <c r="C4632" i="1"/>
  <c r="S4632" i="1"/>
  <c r="T4632" i="1"/>
  <c r="U4632" i="1"/>
  <c r="BB4632" i="1"/>
  <c r="BW4632" i="1"/>
  <c r="A4633" i="1"/>
  <c r="C4633" i="1"/>
  <c r="S4633" i="1"/>
  <c r="T4633" i="1"/>
  <c r="U4633" i="1"/>
  <c r="BB4633" i="1"/>
  <c r="BW4633" i="1"/>
  <c r="A4634" i="1"/>
  <c r="C4634" i="1"/>
  <c r="S4634" i="1"/>
  <c r="T4634" i="1"/>
  <c r="U4634" i="1"/>
  <c r="BB4634" i="1"/>
  <c r="BW4634" i="1"/>
  <c r="A4635" i="1"/>
  <c r="C4635" i="1"/>
  <c r="S4635" i="1"/>
  <c r="T4635" i="1"/>
  <c r="U4635" i="1"/>
  <c r="BB4635" i="1"/>
  <c r="BW4635" i="1"/>
  <c r="A4636" i="1"/>
  <c r="C4636" i="1"/>
  <c r="S4636" i="1"/>
  <c r="T4636" i="1"/>
  <c r="U4636" i="1"/>
  <c r="BB4636" i="1"/>
  <c r="BW4636" i="1"/>
  <c r="A4637" i="1"/>
  <c r="C4637" i="1"/>
  <c r="S4637" i="1"/>
  <c r="T4637" i="1"/>
  <c r="U4637" i="1"/>
  <c r="BB4637" i="1"/>
  <c r="BW4637" i="1"/>
  <c r="A4638" i="1"/>
  <c r="C4638" i="1"/>
  <c r="S4638" i="1"/>
  <c r="T4638" i="1"/>
  <c r="U4638" i="1"/>
  <c r="BB4638" i="1"/>
  <c r="BW4638" i="1"/>
  <c r="A4639" i="1"/>
  <c r="C4639" i="1"/>
  <c r="S4639" i="1"/>
  <c r="T4639" i="1"/>
  <c r="U4639" i="1"/>
  <c r="BB4639" i="1"/>
  <c r="BW4639" i="1"/>
  <c r="A4640" i="1"/>
  <c r="C4640" i="1"/>
  <c r="S4640" i="1"/>
  <c r="T4640" i="1"/>
  <c r="U4640" i="1"/>
  <c r="BB4640" i="1"/>
  <c r="BW4640" i="1"/>
  <c r="A4641" i="1"/>
  <c r="C4641" i="1"/>
  <c r="S4641" i="1"/>
  <c r="T4641" i="1"/>
  <c r="U4641" i="1"/>
  <c r="BB4641" i="1"/>
  <c r="BW4641" i="1"/>
  <c r="A4642" i="1"/>
  <c r="C4642" i="1"/>
  <c r="S4642" i="1"/>
  <c r="T4642" i="1"/>
  <c r="U4642" i="1"/>
  <c r="BB4642" i="1"/>
  <c r="BW4642" i="1"/>
  <c r="A4643" i="1"/>
  <c r="C4643" i="1"/>
  <c r="S4643" i="1"/>
  <c r="T4643" i="1"/>
  <c r="U4643" i="1"/>
  <c r="BB4643" i="1"/>
  <c r="BW4643" i="1"/>
  <c r="A4644" i="1"/>
  <c r="C4644" i="1"/>
  <c r="S4644" i="1"/>
  <c r="T4644" i="1"/>
  <c r="U4644" i="1"/>
  <c r="BB4644" i="1"/>
  <c r="BW4644" i="1"/>
  <c r="A4645" i="1"/>
  <c r="C4645" i="1"/>
  <c r="S4645" i="1"/>
  <c r="T4645" i="1"/>
  <c r="U4645" i="1"/>
  <c r="BB4645" i="1"/>
  <c r="BW4645" i="1"/>
  <c r="A4646" i="1"/>
  <c r="C4646" i="1"/>
  <c r="S4646" i="1"/>
  <c r="T4646" i="1"/>
  <c r="U4646" i="1"/>
  <c r="BB4646" i="1"/>
  <c r="BW4646" i="1"/>
  <c r="A4647" i="1"/>
  <c r="C4647" i="1"/>
  <c r="S4647" i="1"/>
  <c r="T4647" i="1"/>
  <c r="U4647" i="1"/>
  <c r="BB4647" i="1"/>
  <c r="BW4647" i="1"/>
  <c r="A4648" i="1"/>
  <c r="C4648" i="1"/>
  <c r="S4648" i="1"/>
  <c r="T4648" i="1"/>
  <c r="U4648" i="1"/>
  <c r="BB4648" i="1"/>
  <c r="BW4648" i="1"/>
  <c r="A4649" i="1"/>
  <c r="C4649" i="1"/>
  <c r="S4649" i="1"/>
  <c r="T4649" i="1"/>
  <c r="U4649" i="1"/>
  <c r="BB4649" i="1"/>
  <c r="BW4649" i="1"/>
  <c r="A4650" i="1"/>
  <c r="C4650" i="1"/>
  <c r="S4650" i="1"/>
  <c r="T4650" i="1"/>
  <c r="U4650" i="1"/>
  <c r="BB4650" i="1"/>
  <c r="BW4650" i="1"/>
  <c r="A4651" i="1"/>
  <c r="C4651" i="1"/>
  <c r="S4651" i="1"/>
  <c r="T4651" i="1"/>
  <c r="U4651" i="1"/>
  <c r="BB4651" i="1"/>
  <c r="BW4651" i="1"/>
  <c r="A4652" i="1"/>
  <c r="C4652" i="1"/>
  <c r="S4652" i="1"/>
  <c r="T4652" i="1"/>
  <c r="U4652" i="1"/>
  <c r="BB4652" i="1"/>
  <c r="BW4652" i="1"/>
  <c r="A4653" i="1"/>
  <c r="C4653" i="1"/>
  <c r="S4653" i="1"/>
  <c r="T4653" i="1"/>
  <c r="U4653" i="1"/>
  <c r="BB4653" i="1"/>
  <c r="BW4653" i="1"/>
  <c r="A4654" i="1"/>
  <c r="C4654" i="1"/>
  <c r="S4654" i="1"/>
  <c r="T4654" i="1"/>
  <c r="U4654" i="1"/>
  <c r="BB4654" i="1"/>
  <c r="BW4654" i="1"/>
  <c r="A4655" i="1"/>
  <c r="C4655" i="1"/>
  <c r="S4655" i="1"/>
  <c r="T4655" i="1"/>
  <c r="U4655" i="1"/>
  <c r="BB4655" i="1"/>
  <c r="BW4655" i="1"/>
  <c r="A4656" i="1"/>
  <c r="C4656" i="1"/>
  <c r="S4656" i="1"/>
  <c r="T4656" i="1"/>
  <c r="U4656" i="1"/>
  <c r="BB4656" i="1"/>
  <c r="BW4656" i="1"/>
  <c r="A4657" i="1"/>
  <c r="C4657" i="1"/>
  <c r="S4657" i="1"/>
  <c r="T4657" i="1"/>
  <c r="U4657" i="1"/>
  <c r="BB4657" i="1"/>
  <c r="BW4657" i="1"/>
  <c r="A4658" i="1"/>
  <c r="C4658" i="1"/>
  <c r="S4658" i="1"/>
  <c r="T4658" i="1"/>
  <c r="U4658" i="1"/>
  <c r="BB4658" i="1"/>
  <c r="BW4658" i="1"/>
  <c r="A4659" i="1"/>
  <c r="C4659" i="1"/>
  <c r="S4659" i="1"/>
  <c r="T4659" i="1"/>
  <c r="U4659" i="1"/>
  <c r="BB4659" i="1"/>
  <c r="BW4659" i="1"/>
  <c r="A4660" i="1"/>
  <c r="C4660" i="1"/>
  <c r="S4660" i="1"/>
  <c r="T4660" i="1"/>
  <c r="U4660" i="1"/>
  <c r="BB4660" i="1"/>
  <c r="BW4660" i="1"/>
  <c r="A4661" i="1"/>
  <c r="C4661" i="1"/>
  <c r="S4661" i="1"/>
  <c r="T4661" i="1"/>
  <c r="U4661" i="1"/>
  <c r="BB4661" i="1"/>
  <c r="BW4661" i="1"/>
  <c r="A4662" i="1"/>
  <c r="C4662" i="1"/>
  <c r="S4662" i="1"/>
  <c r="T4662" i="1"/>
  <c r="U4662" i="1"/>
  <c r="BB4662" i="1"/>
  <c r="BW4662" i="1"/>
  <c r="A4663" i="1"/>
  <c r="C4663" i="1"/>
  <c r="S4663" i="1"/>
  <c r="T4663" i="1"/>
  <c r="U4663" i="1"/>
  <c r="BB4663" i="1"/>
  <c r="BW4663" i="1"/>
  <c r="A4664" i="1"/>
  <c r="C4664" i="1"/>
  <c r="S4664" i="1"/>
  <c r="T4664" i="1"/>
  <c r="U4664" i="1"/>
  <c r="BB4664" i="1"/>
  <c r="BW4664" i="1"/>
  <c r="A4665" i="1"/>
  <c r="C4665" i="1"/>
  <c r="S4665" i="1"/>
  <c r="T4665" i="1"/>
  <c r="U4665" i="1"/>
  <c r="BB4665" i="1"/>
  <c r="BW4665" i="1"/>
  <c r="A4666" i="1"/>
  <c r="C4666" i="1"/>
  <c r="S4666" i="1"/>
  <c r="T4666" i="1"/>
  <c r="U4666" i="1"/>
  <c r="BB4666" i="1"/>
  <c r="BW4666" i="1"/>
  <c r="A4667" i="1"/>
  <c r="C4667" i="1"/>
  <c r="S4667" i="1"/>
  <c r="T4667" i="1"/>
  <c r="U4667" i="1"/>
  <c r="BB4667" i="1"/>
  <c r="BW4667" i="1"/>
  <c r="A4668" i="1"/>
  <c r="C4668" i="1"/>
  <c r="S4668" i="1"/>
  <c r="T4668" i="1"/>
  <c r="U4668" i="1"/>
  <c r="BB4668" i="1"/>
  <c r="BW4668" i="1"/>
  <c r="A4669" i="1"/>
  <c r="C4669" i="1"/>
  <c r="S4669" i="1"/>
  <c r="T4669" i="1"/>
  <c r="U4669" i="1"/>
  <c r="BB4669" i="1"/>
  <c r="BW4669" i="1"/>
  <c r="A4670" i="1"/>
  <c r="C4670" i="1"/>
  <c r="S4670" i="1"/>
  <c r="T4670" i="1"/>
  <c r="U4670" i="1"/>
  <c r="BB4670" i="1"/>
  <c r="BW4670" i="1"/>
  <c r="A4671" i="1"/>
  <c r="C4671" i="1"/>
  <c r="S4671" i="1"/>
  <c r="T4671" i="1"/>
  <c r="U4671" i="1"/>
  <c r="BB4671" i="1"/>
  <c r="BW4671" i="1"/>
  <c r="A4672" i="1"/>
  <c r="C4672" i="1"/>
  <c r="S4672" i="1"/>
  <c r="T4672" i="1"/>
  <c r="U4672" i="1"/>
  <c r="BB4672" i="1"/>
  <c r="BW4672" i="1"/>
  <c r="A4673" i="1"/>
  <c r="C4673" i="1"/>
  <c r="S4673" i="1"/>
  <c r="T4673" i="1"/>
  <c r="U4673" i="1"/>
  <c r="BB4673" i="1"/>
  <c r="BW4673" i="1"/>
  <c r="A4674" i="1"/>
  <c r="C4674" i="1"/>
  <c r="S4674" i="1"/>
  <c r="T4674" i="1"/>
  <c r="U4674" i="1"/>
  <c r="BB4674" i="1"/>
  <c r="BW4674" i="1"/>
  <c r="A4675" i="1"/>
  <c r="C4675" i="1"/>
  <c r="S4675" i="1"/>
  <c r="T4675" i="1"/>
  <c r="U4675" i="1"/>
  <c r="BB4675" i="1"/>
  <c r="BW4675" i="1"/>
  <c r="A4676" i="1"/>
  <c r="C4676" i="1"/>
  <c r="S4676" i="1"/>
  <c r="T4676" i="1"/>
  <c r="U4676" i="1"/>
  <c r="BB4676" i="1"/>
  <c r="BW4676" i="1"/>
  <c r="A4677" i="1"/>
  <c r="C4677" i="1"/>
  <c r="S4677" i="1"/>
  <c r="T4677" i="1"/>
  <c r="U4677" i="1"/>
  <c r="BB4677" i="1"/>
  <c r="BW4677" i="1"/>
  <c r="A4678" i="1"/>
  <c r="C4678" i="1"/>
  <c r="S4678" i="1"/>
  <c r="T4678" i="1"/>
  <c r="U4678" i="1"/>
  <c r="BB4678" i="1"/>
  <c r="BW4678" i="1"/>
  <c r="A4679" i="1"/>
  <c r="C4679" i="1"/>
  <c r="S4679" i="1"/>
  <c r="T4679" i="1"/>
  <c r="U4679" i="1"/>
  <c r="BB4679" i="1"/>
  <c r="BW4679" i="1"/>
  <c r="A4680" i="1"/>
  <c r="C4680" i="1"/>
  <c r="S4680" i="1"/>
  <c r="T4680" i="1"/>
  <c r="U4680" i="1"/>
  <c r="BB4680" i="1"/>
  <c r="BW4680" i="1"/>
  <c r="A4681" i="1"/>
  <c r="C4681" i="1"/>
  <c r="S4681" i="1"/>
  <c r="T4681" i="1"/>
  <c r="U4681" i="1"/>
  <c r="BB4681" i="1"/>
  <c r="BW4681" i="1"/>
  <c r="A4682" i="1"/>
  <c r="C4682" i="1"/>
  <c r="S4682" i="1"/>
  <c r="T4682" i="1"/>
  <c r="U4682" i="1"/>
  <c r="BB4682" i="1"/>
  <c r="BW4682" i="1"/>
  <c r="A4683" i="1"/>
  <c r="C4683" i="1"/>
  <c r="S4683" i="1"/>
  <c r="T4683" i="1"/>
  <c r="U4683" i="1"/>
  <c r="BB4683" i="1"/>
  <c r="BW4683" i="1"/>
  <c r="A4684" i="1"/>
  <c r="C4684" i="1"/>
  <c r="S4684" i="1"/>
  <c r="T4684" i="1"/>
  <c r="U4684" i="1"/>
  <c r="BB4684" i="1"/>
  <c r="BW4684" i="1"/>
  <c r="A4685" i="1"/>
  <c r="C4685" i="1"/>
  <c r="S4685" i="1"/>
  <c r="T4685" i="1"/>
  <c r="U4685" i="1"/>
  <c r="BB4685" i="1"/>
  <c r="BW4685" i="1"/>
  <c r="A4686" i="1"/>
  <c r="C4686" i="1"/>
  <c r="S4686" i="1"/>
  <c r="T4686" i="1"/>
  <c r="U4686" i="1"/>
  <c r="BB4686" i="1"/>
  <c r="BW4686" i="1"/>
  <c r="A4687" i="1"/>
  <c r="C4687" i="1"/>
  <c r="S4687" i="1"/>
  <c r="T4687" i="1"/>
  <c r="U4687" i="1"/>
  <c r="BB4687" i="1"/>
  <c r="BW4687" i="1"/>
  <c r="A4688" i="1"/>
  <c r="C4688" i="1"/>
  <c r="S4688" i="1"/>
  <c r="T4688" i="1"/>
  <c r="U4688" i="1"/>
  <c r="BB4688" i="1"/>
  <c r="BW4688" i="1"/>
  <c r="A4689" i="1"/>
  <c r="C4689" i="1"/>
  <c r="S4689" i="1"/>
  <c r="T4689" i="1"/>
  <c r="U4689" i="1"/>
  <c r="BB4689" i="1"/>
  <c r="BW4689" i="1"/>
  <c r="A4690" i="1"/>
  <c r="C4690" i="1"/>
  <c r="S4690" i="1"/>
  <c r="T4690" i="1"/>
  <c r="U4690" i="1"/>
  <c r="BB4690" i="1"/>
  <c r="BW4690" i="1"/>
  <c r="A4691" i="1"/>
  <c r="C4691" i="1"/>
  <c r="S4691" i="1"/>
  <c r="T4691" i="1"/>
  <c r="U4691" i="1"/>
  <c r="BB4691" i="1"/>
  <c r="BW4691" i="1"/>
  <c r="A4692" i="1"/>
  <c r="C4692" i="1"/>
  <c r="S4692" i="1"/>
  <c r="T4692" i="1"/>
  <c r="U4692" i="1"/>
  <c r="BB4692" i="1"/>
  <c r="BW4692" i="1"/>
  <c r="A4693" i="1"/>
  <c r="C4693" i="1"/>
  <c r="S4693" i="1"/>
  <c r="T4693" i="1"/>
  <c r="U4693" i="1"/>
  <c r="BB4693" i="1"/>
  <c r="BW4693" i="1"/>
  <c r="A4694" i="1"/>
  <c r="C4694" i="1"/>
  <c r="S4694" i="1"/>
  <c r="T4694" i="1"/>
  <c r="U4694" i="1"/>
  <c r="BB4694" i="1"/>
  <c r="BW4694" i="1"/>
  <c r="A4695" i="1"/>
  <c r="C4695" i="1"/>
  <c r="S4695" i="1"/>
  <c r="T4695" i="1"/>
  <c r="U4695" i="1"/>
  <c r="BB4695" i="1"/>
  <c r="BW4695" i="1"/>
  <c r="A4696" i="1"/>
  <c r="C4696" i="1"/>
  <c r="S4696" i="1"/>
  <c r="T4696" i="1"/>
  <c r="U4696" i="1"/>
  <c r="BB4696" i="1"/>
  <c r="BW4696" i="1"/>
  <c r="A4697" i="1"/>
  <c r="C4697" i="1"/>
  <c r="S4697" i="1"/>
  <c r="T4697" i="1"/>
  <c r="U4697" i="1"/>
  <c r="BB4697" i="1"/>
  <c r="BW4697" i="1"/>
  <c r="A4698" i="1"/>
  <c r="C4698" i="1"/>
  <c r="S4698" i="1"/>
  <c r="T4698" i="1"/>
  <c r="U4698" i="1"/>
  <c r="BB4698" i="1"/>
  <c r="BW4698" i="1"/>
  <c r="A4699" i="1"/>
  <c r="C4699" i="1"/>
  <c r="S4699" i="1"/>
  <c r="T4699" i="1"/>
  <c r="U4699" i="1"/>
  <c r="BB4699" i="1"/>
  <c r="BW4699" i="1"/>
  <c r="A4700" i="1"/>
  <c r="C4700" i="1"/>
  <c r="S4700" i="1"/>
  <c r="T4700" i="1"/>
  <c r="U4700" i="1"/>
  <c r="BB4700" i="1"/>
  <c r="BW4700" i="1"/>
  <c r="A4701" i="1"/>
  <c r="C4701" i="1"/>
  <c r="S4701" i="1"/>
  <c r="T4701" i="1"/>
  <c r="U4701" i="1"/>
  <c r="BB4701" i="1"/>
  <c r="BW4701" i="1"/>
  <c r="A4702" i="1"/>
  <c r="C4702" i="1"/>
  <c r="S4702" i="1"/>
  <c r="T4702" i="1"/>
  <c r="U4702" i="1"/>
  <c r="BB4702" i="1"/>
  <c r="BW4702" i="1"/>
  <c r="A4703" i="1"/>
  <c r="C4703" i="1"/>
  <c r="S4703" i="1"/>
  <c r="T4703" i="1"/>
  <c r="U4703" i="1"/>
  <c r="BB4703" i="1"/>
  <c r="BW4703" i="1"/>
  <c r="A4704" i="1"/>
  <c r="C4704" i="1"/>
  <c r="S4704" i="1"/>
  <c r="T4704" i="1"/>
  <c r="U4704" i="1"/>
  <c r="BB4704" i="1"/>
  <c r="BW4704" i="1"/>
  <c r="A4705" i="1"/>
  <c r="C4705" i="1"/>
  <c r="S4705" i="1"/>
  <c r="T4705" i="1"/>
  <c r="U4705" i="1"/>
  <c r="BB4705" i="1"/>
  <c r="BW4705" i="1"/>
  <c r="A4706" i="1"/>
  <c r="C4706" i="1"/>
  <c r="S4706" i="1"/>
  <c r="T4706" i="1"/>
  <c r="U4706" i="1"/>
  <c r="BB4706" i="1"/>
  <c r="BW4706" i="1"/>
  <c r="A4707" i="1"/>
  <c r="C4707" i="1"/>
  <c r="S4707" i="1"/>
  <c r="T4707" i="1"/>
  <c r="U4707" i="1"/>
  <c r="BB4707" i="1"/>
  <c r="BW4707" i="1"/>
  <c r="A4708" i="1"/>
  <c r="C4708" i="1"/>
  <c r="S4708" i="1"/>
  <c r="T4708" i="1"/>
  <c r="U4708" i="1"/>
  <c r="BB4708" i="1"/>
  <c r="BW4708" i="1"/>
  <c r="A4709" i="1"/>
  <c r="C4709" i="1"/>
  <c r="S4709" i="1"/>
  <c r="T4709" i="1"/>
  <c r="U4709" i="1"/>
  <c r="BB4709" i="1"/>
  <c r="BW4709" i="1"/>
  <c r="A4710" i="1"/>
  <c r="C4710" i="1"/>
  <c r="S4710" i="1"/>
  <c r="T4710" i="1"/>
  <c r="U4710" i="1"/>
  <c r="BB4710" i="1"/>
  <c r="BW4710" i="1"/>
  <c r="A4711" i="1"/>
  <c r="C4711" i="1"/>
  <c r="S4711" i="1"/>
  <c r="T4711" i="1"/>
  <c r="U4711" i="1"/>
  <c r="BB4711" i="1"/>
  <c r="BW4711" i="1"/>
  <c r="A4712" i="1"/>
  <c r="C4712" i="1"/>
  <c r="S4712" i="1"/>
  <c r="T4712" i="1"/>
  <c r="U4712" i="1"/>
  <c r="BB4712" i="1"/>
  <c r="BW4712" i="1"/>
  <c r="A4713" i="1"/>
  <c r="C4713" i="1"/>
  <c r="S4713" i="1"/>
  <c r="T4713" i="1"/>
  <c r="U4713" i="1"/>
  <c r="BB4713" i="1"/>
  <c r="BW4713" i="1"/>
  <c r="A4714" i="1"/>
  <c r="C4714" i="1"/>
  <c r="S4714" i="1"/>
  <c r="T4714" i="1"/>
  <c r="U4714" i="1"/>
  <c r="BB4714" i="1"/>
  <c r="BW4714" i="1"/>
  <c r="A4715" i="1"/>
  <c r="C4715" i="1"/>
  <c r="S4715" i="1"/>
  <c r="T4715" i="1"/>
  <c r="U4715" i="1"/>
  <c r="BB4715" i="1"/>
  <c r="BW4715" i="1"/>
  <c r="A4716" i="1"/>
  <c r="C4716" i="1"/>
  <c r="S4716" i="1"/>
  <c r="T4716" i="1"/>
  <c r="U4716" i="1"/>
  <c r="BB4716" i="1"/>
  <c r="BW4716" i="1"/>
  <c r="A4717" i="1"/>
  <c r="C4717" i="1"/>
  <c r="S4717" i="1"/>
  <c r="T4717" i="1"/>
  <c r="U4717" i="1"/>
  <c r="BB4717" i="1"/>
  <c r="BW4717" i="1"/>
  <c r="A4718" i="1"/>
  <c r="C4718" i="1"/>
  <c r="S4718" i="1"/>
  <c r="T4718" i="1"/>
  <c r="U4718" i="1"/>
  <c r="BB4718" i="1"/>
  <c r="BW4718" i="1"/>
  <c r="A4719" i="1"/>
  <c r="C4719" i="1"/>
  <c r="S4719" i="1"/>
  <c r="T4719" i="1"/>
  <c r="U4719" i="1"/>
  <c r="BB4719" i="1"/>
  <c r="BW4719" i="1"/>
  <c r="A4720" i="1"/>
  <c r="C4720" i="1"/>
  <c r="S4720" i="1"/>
  <c r="T4720" i="1"/>
  <c r="U4720" i="1"/>
  <c r="BB4720" i="1"/>
  <c r="BW4720" i="1"/>
  <c r="A4721" i="1"/>
  <c r="C4721" i="1"/>
  <c r="S4721" i="1"/>
  <c r="T4721" i="1"/>
  <c r="U4721" i="1"/>
  <c r="BB4721" i="1"/>
  <c r="BW4721" i="1"/>
  <c r="A4722" i="1"/>
  <c r="C4722" i="1"/>
  <c r="S4722" i="1"/>
  <c r="T4722" i="1"/>
  <c r="U4722" i="1"/>
  <c r="BB4722" i="1"/>
  <c r="BW4722" i="1"/>
  <c r="A4723" i="1"/>
  <c r="C4723" i="1"/>
  <c r="S4723" i="1"/>
  <c r="T4723" i="1"/>
  <c r="U4723" i="1"/>
  <c r="BB4723" i="1"/>
  <c r="BW4723" i="1"/>
  <c r="A4724" i="1"/>
  <c r="C4724" i="1"/>
  <c r="S4724" i="1"/>
  <c r="T4724" i="1"/>
  <c r="U4724" i="1"/>
  <c r="BB4724" i="1"/>
  <c r="BW4724" i="1"/>
  <c r="A4725" i="1"/>
  <c r="C4725" i="1"/>
  <c r="S4725" i="1"/>
  <c r="T4725" i="1"/>
  <c r="U4725" i="1"/>
  <c r="BB4725" i="1"/>
  <c r="BW4725" i="1"/>
  <c r="A4726" i="1"/>
  <c r="C4726" i="1"/>
  <c r="S4726" i="1"/>
  <c r="T4726" i="1"/>
  <c r="U4726" i="1"/>
  <c r="BB4726" i="1"/>
  <c r="BW4726" i="1"/>
  <c r="A4727" i="1"/>
  <c r="C4727" i="1"/>
  <c r="S4727" i="1"/>
  <c r="T4727" i="1"/>
  <c r="U4727" i="1"/>
  <c r="BB4727" i="1"/>
  <c r="BW4727" i="1"/>
  <c r="A4728" i="1"/>
  <c r="C4728" i="1"/>
  <c r="S4728" i="1"/>
  <c r="T4728" i="1"/>
  <c r="U4728" i="1"/>
  <c r="BB4728" i="1"/>
  <c r="BW4728" i="1"/>
  <c r="A4729" i="1"/>
  <c r="C4729" i="1"/>
  <c r="S4729" i="1"/>
  <c r="T4729" i="1"/>
  <c r="U4729" i="1"/>
  <c r="BB4729" i="1"/>
  <c r="BW4729" i="1"/>
  <c r="A4730" i="1"/>
  <c r="C4730" i="1"/>
  <c r="S4730" i="1"/>
  <c r="T4730" i="1"/>
  <c r="U4730" i="1"/>
  <c r="BB4730" i="1"/>
  <c r="BW4730" i="1"/>
  <c r="A4731" i="1"/>
  <c r="C4731" i="1"/>
  <c r="S4731" i="1"/>
  <c r="T4731" i="1"/>
  <c r="U4731" i="1"/>
  <c r="BB4731" i="1"/>
  <c r="BW4731" i="1"/>
  <c r="A4732" i="1"/>
  <c r="C4732" i="1"/>
  <c r="S4732" i="1"/>
  <c r="T4732" i="1"/>
  <c r="U4732" i="1"/>
  <c r="BB4732" i="1"/>
  <c r="BW4732" i="1"/>
  <c r="A4733" i="1"/>
  <c r="C4733" i="1"/>
  <c r="S4733" i="1"/>
  <c r="T4733" i="1"/>
  <c r="U4733" i="1"/>
  <c r="BB4733" i="1"/>
  <c r="BW4733" i="1"/>
  <c r="A4734" i="1"/>
  <c r="C4734" i="1"/>
  <c r="S4734" i="1"/>
  <c r="T4734" i="1"/>
  <c r="U4734" i="1"/>
  <c r="BB4734" i="1"/>
  <c r="BW4734" i="1"/>
  <c r="A4735" i="1"/>
  <c r="C4735" i="1"/>
  <c r="S4735" i="1"/>
  <c r="T4735" i="1"/>
  <c r="U4735" i="1"/>
  <c r="BB4735" i="1"/>
  <c r="BW4735" i="1"/>
  <c r="A4736" i="1"/>
  <c r="C4736" i="1"/>
  <c r="S4736" i="1"/>
  <c r="T4736" i="1"/>
  <c r="U4736" i="1"/>
  <c r="BB4736" i="1"/>
  <c r="BW4736" i="1"/>
  <c r="A4737" i="1"/>
  <c r="C4737" i="1"/>
  <c r="S4737" i="1"/>
  <c r="T4737" i="1"/>
  <c r="U4737" i="1"/>
  <c r="BB4737" i="1"/>
  <c r="BW4737" i="1"/>
  <c r="A4738" i="1"/>
  <c r="C4738" i="1"/>
  <c r="S4738" i="1"/>
  <c r="T4738" i="1"/>
  <c r="U4738" i="1"/>
  <c r="BB4738" i="1"/>
  <c r="BW4738" i="1"/>
  <c r="A4739" i="1"/>
  <c r="C4739" i="1"/>
  <c r="S4739" i="1"/>
  <c r="T4739" i="1"/>
  <c r="U4739" i="1"/>
  <c r="BB4739" i="1"/>
  <c r="BW4739" i="1"/>
  <c r="A4740" i="1"/>
  <c r="C4740" i="1"/>
  <c r="S4740" i="1"/>
  <c r="T4740" i="1"/>
  <c r="U4740" i="1"/>
  <c r="BB4740" i="1"/>
  <c r="BW4740" i="1"/>
  <c r="A4741" i="1"/>
  <c r="C4741" i="1"/>
  <c r="S4741" i="1"/>
  <c r="T4741" i="1"/>
  <c r="U4741" i="1"/>
  <c r="BB4741" i="1"/>
  <c r="BW4741" i="1"/>
  <c r="A4742" i="1"/>
  <c r="C4742" i="1"/>
  <c r="S4742" i="1"/>
  <c r="T4742" i="1"/>
  <c r="U4742" i="1"/>
  <c r="BB4742" i="1"/>
  <c r="BW4742" i="1"/>
  <c r="A4743" i="1"/>
  <c r="C4743" i="1"/>
  <c r="S4743" i="1"/>
  <c r="T4743" i="1"/>
  <c r="U4743" i="1"/>
  <c r="BB4743" i="1"/>
  <c r="BW4743" i="1"/>
  <c r="A4744" i="1"/>
  <c r="C4744" i="1"/>
  <c r="S4744" i="1"/>
  <c r="T4744" i="1"/>
  <c r="U4744" i="1"/>
  <c r="BB4744" i="1"/>
  <c r="BW4744" i="1"/>
  <c r="A4745" i="1"/>
  <c r="C4745" i="1"/>
  <c r="S4745" i="1"/>
  <c r="T4745" i="1"/>
  <c r="U4745" i="1"/>
  <c r="BB4745" i="1"/>
  <c r="BW4745" i="1"/>
  <c r="A4746" i="1"/>
  <c r="C4746" i="1"/>
  <c r="S4746" i="1"/>
  <c r="T4746" i="1"/>
  <c r="U4746" i="1"/>
  <c r="BB4746" i="1"/>
  <c r="BW4746" i="1"/>
  <c r="A4747" i="1"/>
  <c r="C4747" i="1"/>
  <c r="S4747" i="1"/>
  <c r="T4747" i="1"/>
  <c r="U4747" i="1"/>
  <c r="BB4747" i="1"/>
  <c r="BW4747" i="1"/>
  <c r="A4748" i="1"/>
  <c r="C4748" i="1"/>
  <c r="S4748" i="1"/>
  <c r="T4748" i="1"/>
  <c r="U4748" i="1"/>
  <c r="BB4748" i="1"/>
  <c r="BW4748" i="1"/>
  <c r="A4749" i="1"/>
  <c r="C4749" i="1"/>
  <c r="S4749" i="1"/>
  <c r="T4749" i="1"/>
  <c r="U4749" i="1"/>
  <c r="BB4749" i="1"/>
  <c r="BW4749" i="1"/>
  <c r="A4750" i="1"/>
  <c r="C4750" i="1"/>
  <c r="S4750" i="1"/>
  <c r="T4750" i="1"/>
  <c r="U4750" i="1"/>
  <c r="BB4750" i="1"/>
  <c r="BW4750" i="1"/>
  <c r="A4751" i="1"/>
  <c r="C4751" i="1"/>
  <c r="S4751" i="1"/>
  <c r="T4751" i="1"/>
  <c r="U4751" i="1"/>
  <c r="BB4751" i="1"/>
  <c r="BW4751" i="1"/>
  <c r="A4752" i="1"/>
  <c r="C4752" i="1"/>
  <c r="S4752" i="1"/>
  <c r="T4752" i="1"/>
  <c r="U4752" i="1"/>
  <c r="BB4752" i="1"/>
  <c r="BW4752" i="1"/>
  <c r="A4753" i="1"/>
  <c r="C4753" i="1"/>
  <c r="S4753" i="1"/>
  <c r="T4753" i="1"/>
  <c r="U4753" i="1"/>
  <c r="BB4753" i="1"/>
  <c r="BW4753" i="1"/>
  <c r="A4754" i="1"/>
  <c r="C4754" i="1"/>
  <c r="S4754" i="1"/>
  <c r="T4754" i="1"/>
  <c r="U4754" i="1"/>
  <c r="BB4754" i="1"/>
  <c r="BW4754" i="1"/>
  <c r="A4755" i="1"/>
  <c r="C4755" i="1"/>
  <c r="S4755" i="1"/>
  <c r="T4755" i="1"/>
  <c r="U4755" i="1"/>
  <c r="BB4755" i="1"/>
  <c r="BW4755" i="1"/>
  <c r="A4756" i="1"/>
  <c r="C4756" i="1"/>
  <c r="S4756" i="1"/>
  <c r="T4756" i="1"/>
  <c r="U4756" i="1"/>
  <c r="BB4756" i="1"/>
  <c r="BW4756" i="1"/>
  <c r="A4757" i="1"/>
  <c r="C4757" i="1"/>
  <c r="S4757" i="1"/>
  <c r="T4757" i="1"/>
  <c r="U4757" i="1"/>
  <c r="BB4757" i="1"/>
  <c r="BW4757" i="1"/>
  <c r="A4758" i="1"/>
  <c r="C4758" i="1"/>
  <c r="S4758" i="1"/>
  <c r="T4758" i="1"/>
  <c r="U4758" i="1"/>
  <c r="BB4758" i="1"/>
  <c r="BW4758" i="1"/>
  <c r="A4759" i="1"/>
  <c r="C4759" i="1"/>
  <c r="S4759" i="1"/>
  <c r="T4759" i="1"/>
  <c r="U4759" i="1"/>
  <c r="BB4759" i="1"/>
  <c r="BW4759" i="1"/>
  <c r="A4760" i="1"/>
  <c r="C4760" i="1"/>
  <c r="S4760" i="1"/>
  <c r="T4760" i="1"/>
  <c r="U4760" i="1"/>
  <c r="BB4760" i="1"/>
  <c r="BW4760" i="1"/>
  <c r="A4761" i="1"/>
  <c r="C4761" i="1"/>
  <c r="S4761" i="1"/>
  <c r="T4761" i="1"/>
  <c r="U4761" i="1"/>
  <c r="BB4761" i="1"/>
  <c r="BW4761" i="1"/>
  <c r="A4762" i="1"/>
  <c r="C4762" i="1"/>
  <c r="S4762" i="1"/>
  <c r="T4762" i="1"/>
  <c r="U4762" i="1"/>
  <c r="BB4762" i="1"/>
  <c r="BW4762" i="1"/>
  <c r="A4763" i="1"/>
  <c r="C4763" i="1"/>
  <c r="S4763" i="1"/>
  <c r="T4763" i="1"/>
  <c r="U4763" i="1"/>
  <c r="BB4763" i="1"/>
  <c r="BW4763" i="1"/>
  <c r="A4764" i="1"/>
  <c r="C4764" i="1"/>
  <c r="S4764" i="1"/>
  <c r="T4764" i="1"/>
  <c r="U4764" i="1"/>
  <c r="BB4764" i="1"/>
  <c r="BW4764" i="1"/>
  <c r="A4765" i="1"/>
  <c r="C4765" i="1"/>
  <c r="S4765" i="1"/>
  <c r="T4765" i="1"/>
  <c r="U4765" i="1"/>
  <c r="BB4765" i="1"/>
  <c r="BW4765" i="1"/>
  <c r="A4766" i="1"/>
  <c r="C4766" i="1"/>
  <c r="S4766" i="1"/>
  <c r="T4766" i="1"/>
  <c r="U4766" i="1"/>
  <c r="BB4766" i="1"/>
  <c r="BW4766" i="1"/>
  <c r="A4767" i="1"/>
  <c r="C4767" i="1"/>
  <c r="S4767" i="1"/>
  <c r="T4767" i="1"/>
  <c r="U4767" i="1"/>
  <c r="BB4767" i="1"/>
  <c r="BW4767" i="1"/>
  <c r="A4768" i="1"/>
  <c r="C4768" i="1"/>
  <c r="S4768" i="1"/>
  <c r="T4768" i="1"/>
  <c r="U4768" i="1"/>
  <c r="BB4768" i="1"/>
  <c r="BW4768" i="1"/>
  <c r="A4769" i="1"/>
  <c r="C4769" i="1"/>
  <c r="S4769" i="1"/>
  <c r="T4769" i="1"/>
  <c r="U4769" i="1"/>
  <c r="BB4769" i="1"/>
  <c r="BW4769" i="1"/>
  <c r="A4770" i="1"/>
  <c r="C4770" i="1"/>
  <c r="S4770" i="1"/>
  <c r="T4770" i="1"/>
  <c r="U4770" i="1"/>
  <c r="BB4770" i="1"/>
  <c r="BW4770" i="1"/>
  <c r="A4771" i="1"/>
  <c r="C4771" i="1"/>
  <c r="S4771" i="1"/>
  <c r="T4771" i="1"/>
  <c r="U4771" i="1"/>
  <c r="BB4771" i="1"/>
  <c r="BW4771" i="1"/>
  <c r="A4772" i="1"/>
  <c r="C4772" i="1"/>
  <c r="S4772" i="1"/>
  <c r="T4772" i="1"/>
  <c r="U4772" i="1"/>
  <c r="BB4772" i="1"/>
  <c r="BW4772" i="1"/>
  <c r="A4773" i="1"/>
  <c r="C4773" i="1"/>
  <c r="S4773" i="1"/>
  <c r="T4773" i="1"/>
  <c r="U4773" i="1"/>
  <c r="BB4773" i="1"/>
  <c r="BW4773" i="1"/>
  <c r="A4774" i="1"/>
  <c r="C4774" i="1"/>
  <c r="S4774" i="1"/>
  <c r="T4774" i="1"/>
  <c r="U4774" i="1"/>
  <c r="BB4774" i="1"/>
  <c r="BW4774" i="1"/>
  <c r="A4775" i="1"/>
  <c r="C4775" i="1"/>
  <c r="S4775" i="1"/>
  <c r="T4775" i="1"/>
  <c r="U4775" i="1"/>
  <c r="BB4775" i="1"/>
  <c r="BW4775" i="1"/>
  <c r="A4776" i="1"/>
  <c r="C4776" i="1"/>
  <c r="S4776" i="1"/>
  <c r="T4776" i="1"/>
  <c r="U4776" i="1"/>
  <c r="BB4776" i="1"/>
  <c r="BW4776" i="1"/>
  <c r="A4777" i="1"/>
  <c r="C4777" i="1"/>
  <c r="S4777" i="1"/>
  <c r="T4777" i="1"/>
  <c r="U4777" i="1"/>
  <c r="BB4777" i="1"/>
  <c r="BW4777" i="1"/>
  <c r="A4778" i="1"/>
  <c r="C4778" i="1"/>
  <c r="S4778" i="1"/>
  <c r="T4778" i="1"/>
  <c r="U4778" i="1"/>
  <c r="BB4778" i="1"/>
  <c r="BW4778" i="1"/>
  <c r="A4779" i="1"/>
  <c r="C4779" i="1"/>
  <c r="S4779" i="1"/>
  <c r="T4779" i="1"/>
  <c r="U4779" i="1"/>
  <c r="BB4779" i="1"/>
  <c r="BW4779" i="1"/>
  <c r="A4780" i="1"/>
  <c r="C4780" i="1"/>
  <c r="S4780" i="1"/>
  <c r="T4780" i="1"/>
  <c r="U4780" i="1"/>
  <c r="BB4780" i="1"/>
  <c r="BW4780" i="1"/>
  <c r="A4781" i="1"/>
  <c r="C4781" i="1"/>
  <c r="S4781" i="1"/>
  <c r="T4781" i="1"/>
  <c r="U4781" i="1"/>
  <c r="BB4781" i="1"/>
  <c r="BW4781" i="1"/>
  <c r="A4782" i="1"/>
  <c r="C4782" i="1"/>
  <c r="S4782" i="1"/>
  <c r="T4782" i="1"/>
  <c r="U4782" i="1"/>
  <c r="BB4782" i="1"/>
  <c r="BW4782" i="1"/>
  <c r="A4783" i="1"/>
  <c r="C4783" i="1"/>
  <c r="S4783" i="1"/>
  <c r="T4783" i="1"/>
  <c r="U4783" i="1"/>
  <c r="BB4783" i="1"/>
  <c r="BW4783" i="1"/>
  <c r="A4784" i="1"/>
  <c r="C4784" i="1"/>
  <c r="S4784" i="1"/>
  <c r="T4784" i="1"/>
  <c r="U4784" i="1"/>
  <c r="BB4784" i="1"/>
  <c r="BW4784" i="1"/>
  <c r="A4785" i="1"/>
  <c r="C4785" i="1"/>
  <c r="S4785" i="1"/>
  <c r="T4785" i="1"/>
  <c r="U4785" i="1"/>
  <c r="BB4785" i="1"/>
  <c r="BW4785" i="1"/>
  <c r="A4786" i="1"/>
  <c r="C4786" i="1"/>
  <c r="S4786" i="1"/>
  <c r="T4786" i="1"/>
  <c r="U4786" i="1"/>
  <c r="BB4786" i="1"/>
  <c r="BW4786" i="1"/>
  <c r="A4787" i="1"/>
  <c r="C4787" i="1"/>
  <c r="S4787" i="1"/>
  <c r="T4787" i="1"/>
  <c r="U4787" i="1"/>
  <c r="BB4787" i="1"/>
  <c r="BW4787" i="1"/>
  <c r="A4788" i="1"/>
  <c r="C4788" i="1"/>
  <c r="S4788" i="1"/>
  <c r="T4788" i="1"/>
  <c r="U4788" i="1"/>
  <c r="BB4788" i="1"/>
  <c r="BW4788" i="1"/>
  <c r="A4789" i="1"/>
  <c r="C4789" i="1"/>
  <c r="S4789" i="1"/>
  <c r="T4789" i="1"/>
  <c r="U4789" i="1"/>
  <c r="BB4789" i="1"/>
  <c r="BW4789" i="1"/>
  <c r="A4790" i="1"/>
  <c r="C4790" i="1"/>
  <c r="S4790" i="1"/>
  <c r="T4790" i="1"/>
  <c r="U4790" i="1"/>
  <c r="BB4790" i="1"/>
  <c r="BW4790" i="1"/>
  <c r="A4791" i="1"/>
  <c r="C4791" i="1"/>
  <c r="S4791" i="1"/>
  <c r="T4791" i="1"/>
  <c r="U4791" i="1"/>
  <c r="BB4791" i="1"/>
  <c r="BW4791" i="1"/>
  <c r="A4792" i="1"/>
  <c r="C4792" i="1"/>
  <c r="S4792" i="1"/>
  <c r="T4792" i="1"/>
  <c r="U4792" i="1"/>
  <c r="BB4792" i="1"/>
  <c r="BW4792" i="1"/>
  <c r="A4793" i="1"/>
  <c r="C4793" i="1"/>
  <c r="S4793" i="1"/>
  <c r="T4793" i="1"/>
  <c r="U4793" i="1"/>
  <c r="BB4793" i="1"/>
  <c r="BW4793" i="1"/>
  <c r="A4794" i="1"/>
  <c r="C4794" i="1"/>
  <c r="S4794" i="1"/>
  <c r="T4794" i="1"/>
  <c r="U4794" i="1"/>
  <c r="BB4794" i="1"/>
  <c r="BW4794" i="1"/>
  <c r="A4795" i="1"/>
  <c r="C4795" i="1"/>
  <c r="S4795" i="1"/>
  <c r="T4795" i="1"/>
  <c r="U4795" i="1"/>
  <c r="BB4795" i="1"/>
  <c r="BW4795" i="1"/>
  <c r="A4796" i="1"/>
  <c r="C4796" i="1"/>
  <c r="S4796" i="1"/>
  <c r="T4796" i="1"/>
  <c r="U4796" i="1"/>
  <c r="BB4796" i="1"/>
  <c r="BW4796" i="1"/>
  <c r="A4797" i="1"/>
  <c r="C4797" i="1"/>
  <c r="S4797" i="1"/>
  <c r="T4797" i="1"/>
  <c r="U4797" i="1"/>
  <c r="BB4797" i="1"/>
  <c r="BW4797" i="1"/>
  <c r="A4798" i="1"/>
  <c r="C4798" i="1"/>
  <c r="S4798" i="1"/>
  <c r="T4798" i="1"/>
  <c r="U4798" i="1"/>
  <c r="BB4798" i="1"/>
  <c r="BW4798" i="1"/>
  <c r="A4799" i="1"/>
  <c r="C4799" i="1"/>
  <c r="S4799" i="1"/>
  <c r="T4799" i="1"/>
  <c r="U4799" i="1"/>
  <c r="BB4799" i="1"/>
  <c r="BW4799" i="1"/>
  <c r="A4800" i="1"/>
  <c r="C4800" i="1"/>
  <c r="S4800" i="1"/>
  <c r="T4800" i="1"/>
  <c r="U4800" i="1"/>
  <c r="BB4800" i="1"/>
  <c r="BW4800" i="1"/>
  <c r="A4801" i="1"/>
  <c r="C4801" i="1"/>
  <c r="S4801" i="1"/>
  <c r="T4801" i="1"/>
  <c r="U4801" i="1"/>
  <c r="BB4801" i="1"/>
  <c r="BW4801" i="1"/>
  <c r="A4802" i="1"/>
  <c r="C4802" i="1"/>
  <c r="S4802" i="1"/>
  <c r="T4802" i="1"/>
  <c r="U4802" i="1"/>
  <c r="BB4802" i="1"/>
  <c r="BW4802" i="1"/>
  <c r="A4803" i="1"/>
  <c r="C4803" i="1"/>
  <c r="S4803" i="1"/>
  <c r="T4803" i="1"/>
  <c r="U4803" i="1"/>
  <c r="BB4803" i="1"/>
  <c r="BW4803" i="1"/>
  <c r="A4804" i="1"/>
  <c r="C4804" i="1"/>
  <c r="S4804" i="1"/>
  <c r="T4804" i="1"/>
  <c r="U4804" i="1"/>
  <c r="BB4804" i="1"/>
  <c r="BW4804" i="1"/>
  <c r="A4805" i="1"/>
  <c r="C4805" i="1"/>
  <c r="S4805" i="1"/>
  <c r="T4805" i="1"/>
  <c r="U4805" i="1"/>
  <c r="BB4805" i="1"/>
  <c r="BW4805" i="1"/>
  <c r="A4806" i="1"/>
  <c r="C4806" i="1"/>
  <c r="S4806" i="1"/>
  <c r="T4806" i="1"/>
  <c r="U4806" i="1"/>
  <c r="BB4806" i="1"/>
  <c r="BW4806" i="1"/>
  <c r="A4807" i="1"/>
  <c r="C4807" i="1"/>
  <c r="S4807" i="1"/>
  <c r="T4807" i="1"/>
  <c r="U4807" i="1"/>
  <c r="BB4807" i="1"/>
  <c r="BW4807" i="1"/>
  <c r="A4808" i="1"/>
  <c r="C4808" i="1"/>
  <c r="S4808" i="1"/>
  <c r="T4808" i="1"/>
  <c r="U4808" i="1"/>
  <c r="BB4808" i="1"/>
  <c r="BW4808" i="1"/>
  <c r="A4809" i="1"/>
  <c r="C4809" i="1"/>
  <c r="S4809" i="1"/>
  <c r="T4809" i="1"/>
  <c r="U4809" i="1"/>
  <c r="BB4809" i="1"/>
  <c r="BW4809" i="1"/>
  <c r="A4810" i="1"/>
  <c r="C4810" i="1"/>
  <c r="S4810" i="1"/>
  <c r="T4810" i="1"/>
  <c r="U4810" i="1"/>
  <c r="BB4810" i="1"/>
  <c r="BW4810" i="1"/>
  <c r="A4811" i="1"/>
  <c r="C4811" i="1"/>
  <c r="S4811" i="1"/>
  <c r="T4811" i="1"/>
  <c r="U4811" i="1"/>
  <c r="BB4811" i="1"/>
  <c r="BW4811" i="1"/>
  <c r="A4812" i="1"/>
  <c r="C4812" i="1"/>
  <c r="S4812" i="1"/>
  <c r="T4812" i="1"/>
  <c r="U4812" i="1"/>
  <c r="BB4812" i="1"/>
  <c r="BW4812" i="1"/>
  <c r="A4813" i="1"/>
  <c r="C4813" i="1"/>
  <c r="S4813" i="1"/>
  <c r="T4813" i="1"/>
  <c r="U4813" i="1"/>
  <c r="BB4813" i="1"/>
  <c r="BW4813" i="1"/>
  <c r="A4814" i="1"/>
  <c r="C4814" i="1"/>
  <c r="S4814" i="1"/>
  <c r="T4814" i="1"/>
  <c r="U4814" i="1"/>
  <c r="BB4814" i="1"/>
  <c r="BW4814" i="1"/>
  <c r="A4815" i="1"/>
  <c r="C4815" i="1"/>
  <c r="S4815" i="1"/>
  <c r="T4815" i="1"/>
  <c r="U4815" i="1"/>
  <c r="BB4815" i="1"/>
  <c r="BW4815" i="1"/>
  <c r="A4816" i="1"/>
  <c r="C4816" i="1"/>
  <c r="S4816" i="1"/>
  <c r="T4816" i="1"/>
  <c r="U4816" i="1"/>
  <c r="BB4816" i="1"/>
  <c r="BW4816" i="1"/>
  <c r="A4817" i="1"/>
  <c r="C4817" i="1"/>
  <c r="S4817" i="1"/>
  <c r="T4817" i="1"/>
  <c r="U4817" i="1"/>
  <c r="BB4817" i="1"/>
  <c r="BW4817" i="1"/>
  <c r="A4818" i="1"/>
  <c r="C4818" i="1"/>
  <c r="S4818" i="1"/>
  <c r="T4818" i="1"/>
  <c r="U4818" i="1"/>
  <c r="BB4818" i="1"/>
  <c r="BW4818" i="1"/>
  <c r="A4819" i="1"/>
  <c r="C4819" i="1"/>
  <c r="S4819" i="1"/>
  <c r="T4819" i="1"/>
  <c r="U4819" i="1"/>
  <c r="BB4819" i="1"/>
  <c r="BW4819" i="1"/>
  <c r="A4820" i="1"/>
  <c r="C4820" i="1"/>
  <c r="S4820" i="1"/>
  <c r="T4820" i="1"/>
  <c r="U4820" i="1"/>
  <c r="BB4820" i="1"/>
  <c r="BW4820" i="1"/>
  <c r="A4821" i="1"/>
  <c r="C4821" i="1"/>
  <c r="S4821" i="1"/>
  <c r="T4821" i="1"/>
  <c r="U4821" i="1"/>
  <c r="BB4821" i="1"/>
  <c r="BW4821" i="1"/>
  <c r="A4822" i="1"/>
  <c r="C4822" i="1"/>
  <c r="S4822" i="1"/>
  <c r="T4822" i="1"/>
  <c r="U4822" i="1"/>
  <c r="BB4822" i="1"/>
  <c r="BW4822" i="1"/>
  <c r="A4823" i="1"/>
  <c r="C4823" i="1"/>
  <c r="S4823" i="1"/>
  <c r="T4823" i="1"/>
  <c r="U4823" i="1"/>
  <c r="BB4823" i="1"/>
  <c r="BW4823" i="1"/>
  <c r="A4824" i="1"/>
  <c r="C4824" i="1"/>
  <c r="S4824" i="1"/>
  <c r="T4824" i="1"/>
  <c r="U4824" i="1"/>
  <c r="BB4824" i="1"/>
  <c r="BW4824" i="1"/>
  <c r="A4825" i="1"/>
  <c r="C4825" i="1"/>
  <c r="S4825" i="1"/>
  <c r="T4825" i="1"/>
  <c r="U4825" i="1"/>
  <c r="BB4825" i="1"/>
  <c r="BW4825" i="1"/>
  <c r="A4826" i="1"/>
  <c r="C4826" i="1"/>
  <c r="S4826" i="1"/>
  <c r="T4826" i="1"/>
  <c r="U4826" i="1"/>
  <c r="BB4826" i="1"/>
  <c r="BW4826" i="1"/>
  <c r="A4827" i="1"/>
  <c r="C4827" i="1"/>
  <c r="S4827" i="1"/>
  <c r="T4827" i="1"/>
  <c r="U4827" i="1"/>
  <c r="BB4827" i="1"/>
  <c r="BW4827" i="1"/>
  <c r="A4828" i="1"/>
  <c r="C4828" i="1"/>
  <c r="S4828" i="1"/>
  <c r="T4828" i="1"/>
  <c r="U4828" i="1"/>
  <c r="BB4828" i="1"/>
  <c r="BW4828" i="1"/>
  <c r="A4829" i="1"/>
  <c r="C4829" i="1"/>
  <c r="S4829" i="1"/>
  <c r="T4829" i="1"/>
  <c r="U4829" i="1"/>
  <c r="BB4829" i="1"/>
  <c r="BW4829" i="1"/>
  <c r="A4830" i="1"/>
  <c r="C4830" i="1"/>
  <c r="S4830" i="1"/>
  <c r="T4830" i="1"/>
  <c r="U4830" i="1"/>
  <c r="BB4830" i="1"/>
  <c r="BW4830" i="1"/>
  <c r="A4831" i="1"/>
  <c r="C4831" i="1"/>
  <c r="S4831" i="1"/>
  <c r="T4831" i="1"/>
  <c r="U4831" i="1"/>
  <c r="BB4831" i="1"/>
  <c r="BW4831" i="1"/>
  <c r="A4832" i="1"/>
  <c r="C4832" i="1"/>
  <c r="S4832" i="1"/>
  <c r="T4832" i="1"/>
  <c r="U4832" i="1"/>
  <c r="BB4832" i="1"/>
  <c r="BW4832" i="1"/>
  <c r="A4833" i="1"/>
  <c r="C4833" i="1"/>
  <c r="S4833" i="1"/>
  <c r="T4833" i="1"/>
  <c r="U4833" i="1"/>
  <c r="BB4833" i="1"/>
  <c r="BW4833" i="1"/>
  <c r="A4834" i="1"/>
  <c r="C4834" i="1"/>
  <c r="S4834" i="1"/>
  <c r="T4834" i="1"/>
  <c r="U4834" i="1"/>
  <c r="BB4834" i="1"/>
  <c r="BW4834" i="1"/>
  <c r="A4835" i="1"/>
  <c r="C4835" i="1"/>
  <c r="S4835" i="1"/>
  <c r="T4835" i="1"/>
  <c r="U4835" i="1"/>
  <c r="BB4835" i="1"/>
  <c r="BW4835" i="1"/>
  <c r="A4836" i="1"/>
  <c r="C4836" i="1"/>
  <c r="S4836" i="1"/>
  <c r="T4836" i="1"/>
  <c r="U4836" i="1"/>
  <c r="BB4836" i="1"/>
  <c r="BW4836" i="1"/>
  <c r="A4837" i="1"/>
  <c r="C4837" i="1"/>
  <c r="S4837" i="1"/>
  <c r="T4837" i="1"/>
  <c r="U4837" i="1"/>
  <c r="BB4837" i="1"/>
  <c r="BW4837" i="1"/>
  <c r="A4838" i="1"/>
  <c r="C4838" i="1"/>
  <c r="S4838" i="1"/>
  <c r="T4838" i="1"/>
  <c r="U4838" i="1"/>
  <c r="BB4838" i="1"/>
  <c r="BW4838" i="1"/>
  <c r="A4839" i="1"/>
  <c r="C4839" i="1"/>
  <c r="S4839" i="1"/>
  <c r="T4839" i="1"/>
  <c r="U4839" i="1"/>
  <c r="BB4839" i="1"/>
  <c r="BW4839" i="1"/>
  <c r="A4840" i="1"/>
  <c r="C4840" i="1"/>
  <c r="S4840" i="1"/>
  <c r="T4840" i="1"/>
  <c r="U4840" i="1"/>
  <c r="BB4840" i="1"/>
  <c r="BW4840" i="1"/>
  <c r="A4841" i="1"/>
  <c r="C4841" i="1"/>
  <c r="S4841" i="1"/>
  <c r="T4841" i="1"/>
  <c r="U4841" i="1"/>
  <c r="BB4841" i="1"/>
  <c r="BW4841" i="1"/>
  <c r="A4842" i="1"/>
  <c r="C4842" i="1"/>
  <c r="S4842" i="1"/>
  <c r="T4842" i="1"/>
  <c r="U4842" i="1"/>
  <c r="BB4842" i="1"/>
  <c r="BW4842" i="1"/>
  <c r="A4843" i="1"/>
  <c r="C4843" i="1"/>
  <c r="S4843" i="1"/>
  <c r="T4843" i="1"/>
  <c r="U4843" i="1"/>
  <c r="BB4843" i="1"/>
  <c r="BW4843" i="1"/>
  <c r="A4844" i="1"/>
  <c r="C4844" i="1"/>
  <c r="S4844" i="1"/>
  <c r="T4844" i="1"/>
  <c r="U4844" i="1"/>
  <c r="BB4844" i="1"/>
  <c r="BW4844" i="1"/>
  <c r="A4845" i="1"/>
  <c r="C4845" i="1"/>
  <c r="S4845" i="1"/>
  <c r="T4845" i="1"/>
  <c r="U4845" i="1"/>
  <c r="BB4845" i="1"/>
  <c r="BW4845" i="1"/>
  <c r="A4846" i="1"/>
  <c r="C4846" i="1"/>
  <c r="S4846" i="1"/>
  <c r="T4846" i="1"/>
  <c r="U4846" i="1"/>
  <c r="BB4846" i="1"/>
  <c r="BW4846" i="1"/>
  <c r="A4847" i="1"/>
  <c r="C4847" i="1"/>
  <c r="S4847" i="1"/>
  <c r="T4847" i="1"/>
  <c r="U4847" i="1"/>
  <c r="BB4847" i="1"/>
  <c r="BW4847" i="1"/>
  <c r="A4848" i="1"/>
  <c r="C4848" i="1"/>
  <c r="S4848" i="1"/>
  <c r="T4848" i="1"/>
  <c r="U4848" i="1"/>
  <c r="BB4848" i="1"/>
  <c r="BW4848" i="1"/>
  <c r="A4849" i="1"/>
  <c r="C4849" i="1"/>
  <c r="S4849" i="1"/>
  <c r="T4849" i="1"/>
  <c r="U4849" i="1"/>
  <c r="BB4849" i="1"/>
  <c r="BW4849" i="1"/>
  <c r="A4850" i="1"/>
  <c r="C4850" i="1"/>
  <c r="S4850" i="1"/>
  <c r="T4850" i="1"/>
  <c r="U4850" i="1"/>
  <c r="BB4850" i="1"/>
  <c r="BW4850" i="1"/>
  <c r="A4851" i="1"/>
  <c r="C4851" i="1"/>
  <c r="S4851" i="1"/>
  <c r="T4851" i="1"/>
  <c r="U4851" i="1"/>
  <c r="BB4851" i="1"/>
  <c r="BW4851" i="1"/>
  <c r="A4852" i="1"/>
  <c r="C4852" i="1"/>
  <c r="S4852" i="1"/>
  <c r="T4852" i="1"/>
  <c r="U4852" i="1"/>
  <c r="BB4852" i="1"/>
  <c r="BW4852" i="1"/>
  <c r="A4853" i="1"/>
  <c r="C4853" i="1"/>
  <c r="S4853" i="1"/>
  <c r="T4853" i="1"/>
  <c r="U4853" i="1"/>
  <c r="BB4853" i="1"/>
  <c r="BW4853" i="1"/>
  <c r="A4854" i="1"/>
  <c r="C4854" i="1"/>
  <c r="S4854" i="1"/>
  <c r="T4854" i="1"/>
  <c r="U4854" i="1"/>
  <c r="BB4854" i="1"/>
  <c r="BW4854" i="1"/>
  <c r="A4855" i="1"/>
  <c r="C4855" i="1"/>
  <c r="S4855" i="1"/>
  <c r="T4855" i="1"/>
  <c r="U4855" i="1"/>
  <c r="BB4855" i="1"/>
  <c r="BW4855" i="1"/>
  <c r="A4856" i="1"/>
  <c r="C4856" i="1"/>
  <c r="S4856" i="1"/>
  <c r="T4856" i="1"/>
  <c r="U4856" i="1"/>
  <c r="BB4856" i="1"/>
  <c r="BW4856" i="1"/>
  <c r="A4857" i="1"/>
  <c r="C4857" i="1"/>
  <c r="S4857" i="1"/>
  <c r="T4857" i="1"/>
  <c r="U4857" i="1"/>
  <c r="BB4857" i="1"/>
  <c r="BW4857" i="1"/>
  <c r="A4858" i="1"/>
  <c r="C4858" i="1"/>
  <c r="S4858" i="1"/>
  <c r="T4858" i="1"/>
  <c r="U4858" i="1"/>
  <c r="BB4858" i="1"/>
  <c r="BW4858" i="1"/>
  <c r="A4859" i="1"/>
  <c r="C4859" i="1"/>
  <c r="S4859" i="1"/>
  <c r="T4859" i="1"/>
  <c r="U4859" i="1"/>
  <c r="BB4859" i="1"/>
  <c r="BW4859" i="1"/>
  <c r="A4860" i="1"/>
  <c r="C4860" i="1"/>
  <c r="S4860" i="1"/>
  <c r="T4860" i="1"/>
  <c r="U4860" i="1"/>
  <c r="BB4860" i="1"/>
  <c r="BW4860" i="1"/>
  <c r="A4861" i="1"/>
  <c r="C4861" i="1"/>
  <c r="S4861" i="1"/>
  <c r="T4861" i="1"/>
  <c r="U4861" i="1"/>
  <c r="BB4861" i="1"/>
  <c r="BW4861" i="1"/>
  <c r="A4862" i="1"/>
  <c r="C4862" i="1"/>
  <c r="S4862" i="1"/>
  <c r="T4862" i="1"/>
  <c r="U4862" i="1"/>
  <c r="BB4862" i="1"/>
  <c r="BW4862" i="1"/>
  <c r="A4863" i="1"/>
  <c r="C4863" i="1"/>
  <c r="S4863" i="1"/>
  <c r="T4863" i="1"/>
  <c r="U4863" i="1"/>
  <c r="BB4863" i="1"/>
  <c r="BW4863" i="1"/>
  <c r="A4864" i="1"/>
  <c r="C4864" i="1"/>
  <c r="S4864" i="1"/>
  <c r="T4864" i="1"/>
  <c r="U4864" i="1"/>
  <c r="BB4864" i="1"/>
  <c r="BW4864" i="1"/>
  <c r="A4865" i="1"/>
  <c r="C4865" i="1"/>
  <c r="S4865" i="1"/>
  <c r="T4865" i="1"/>
  <c r="U4865" i="1"/>
  <c r="BB4865" i="1"/>
  <c r="BW4865" i="1"/>
  <c r="A4866" i="1"/>
  <c r="C4866" i="1"/>
  <c r="S4866" i="1"/>
  <c r="T4866" i="1"/>
  <c r="U4866" i="1"/>
  <c r="BB4866" i="1"/>
  <c r="BW4866" i="1"/>
  <c r="A4867" i="1"/>
  <c r="C4867" i="1"/>
  <c r="S4867" i="1"/>
  <c r="T4867" i="1"/>
  <c r="U4867" i="1"/>
  <c r="BB4867" i="1"/>
  <c r="BW4867" i="1"/>
  <c r="A4868" i="1"/>
  <c r="C4868" i="1"/>
  <c r="S4868" i="1"/>
  <c r="T4868" i="1"/>
  <c r="U4868" i="1"/>
  <c r="BB4868" i="1"/>
  <c r="BW4868" i="1"/>
  <c r="A4869" i="1"/>
  <c r="C4869" i="1"/>
  <c r="S4869" i="1"/>
  <c r="T4869" i="1"/>
  <c r="U4869" i="1"/>
  <c r="BB4869" i="1"/>
  <c r="BW4869" i="1"/>
  <c r="A4870" i="1"/>
  <c r="C4870" i="1"/>
  <c r="S4870" i="1"/>
  <c r="T4870" i="1"/>
  <c r="U4870" i="1"/>
  <c r="BB4870" i="1"/>
  <c r="BW4870" i="1"/>
  <c r="A4871" i="1"/>
  <c r="C4871" i="1"/>
  <c r="S4871" i="1"/>
  <c r="T4871" i="1"/>
  <c r="U4871" i="1"/>
  <c r="BB4871" i="1"/>
  <c r="BW4871" i="1"/>
  <c r="A4872" i="1"/>
  <c r="C4872" i="1"/>
  <c r="S4872" i="1"/>
  <c r="T4872" i="1"/>
  <c r="U4872" i="1"/>
  <c r="BB4872" i="1"/>
  <c r="BW4872" i="1"/>
  <c r="A4873" i="1"/>
  <c r="C4873" i="1"/>
  <c r="S4873" i="1"/>
  <c r="T4873" i="1"/>
  <c r="U4873" i="1"/>
  <c r="BB4873" i="1"/>
  <c r="BW4873" i="1"/>
  <c r="A4874" i="1"/>
  <c r="C4874" i="1"/>
  <c r="S4874" i="1"/>
  <c r="T4874" i="1"/>
  <c r="U4874" i="1"/>
  <c r="BB4874" i="1"/>
  <c r="BW4874" i="1"/>
  <c r="A4875" i="1"/>
  <c r="C4875" i="1"/>
  <c r="S4875" i="1"/>
  <c r="T4875" i="1"/>
  <c r="U4875" i="1"/>
  <c r="BB4875" i="1"/>
  <c r="BW4875" i="1"/>
  <c r="A4876" i="1"/>
  <c r="C4876" i="1"/>
  <c r="S4876" i="1"/>
  <c r="T4876" i="1"/>
  <c r="U4876" i="1"/>
  <c r="BB4876" i="1"/>
  <c r="BW4876" i="1"/>
  <c r="A4877" i="1"/>
  <c r="C4877" i="1"/>
  <c r="S4877" i="1"/>
  <c r="T4877" i="1"/>
  <c r="U4877" i="1"/>
  <c r="BB4877" i="1"/>
  <c r="BW4877" i="1"/>
  <c r="A4878" i="1"/>
  <c r="C4878" i="1"/>
  <c r="S4878" i="1"/>
  <c r="T4878" i="1"/>
  <c r="U4878" i="1"/>
  <c r="BB4878" i="1"/>
  <c r="BW4878" i="1"/>
  <c r="A4879" i="1"/>
  <c r="C4879" i="1"/>
  <c r="S4879" i="1"/>
  <c r="T4879" i="1"/>
  <c r="U4879" i="1"/>
  <c r="BB4879" i="1"/>
  <c r="BW4879" i="1"/>
  <c r="A4880" i="1"/>
  <c r="C4880" i="1"/>
  <c r="S4880" i="1"/>
  <c r="T4880" i="1"/>
  <c r="U4880" i="1"/>
  <c r="BB4880" i="1"/>
  <c r="BW4880" i="1"/>
  <c r="A4881" i="1"/>
  <c r="C4881" i="1"/>
  <c r="S4881" i="1"/>
  <c r="T4881" i="1"/>
  <c r="U4881" i="1"/>
  <c r="BB4881" i="1"/>
  <c r="BW4881" i="1"/>
  <c r="A4882" i="1"/>
  <c r="C4882" i="1"/>
  <c r="S4882" i="1"/>
  <c r="T4882" i="1"/>
  <c r="U4882" i="1"/>
  <c r="BB4882" i="1"/>
  <c r="BW4882" i="1"/>
  <c r="A4883" i="1"/>
  <c r="C4883" i="1"/>
  <c r="S4883" i="1"/>
  <c r="T4883" i="1"/>
  <c r="U4883" i="1"/>
  <c r="BB4883" i="1"/>
  <c r="BW4883" i="1"/>
  <c r="A4884" i="1"/>
  <c r="C4884" i="1"/>
  <c r="S4884" i="1"/>
  <c r="T4884" i="1"/>
  <c r="U4884" i="1"/>
  <c r="BB4884" i="1"/>
  <c r="BW4884" i="1"/>
  <c r="A4885" i="1"/>
  <c r="C4885" i="1"/>
  <c r="S4885" i="1"/>
  <c r="T4885" i="1"/>
  <c r="U4885" i="1"/>
  <c r="BB4885" i="1"/>
  <c r="BW4885" i="1"/>
  <c r="A4886" i="1"/>
  <c r="C4886" i="1"/>
  <c r="S4886" i="1"/>
  <c r="T4886" i="1"/>
  <c r="U4886" i="1"/>
  <c r="BB4886" i="1"/>
  <c r="BW4886" i="1"/>
  <c r="A4887" i="1"/>
  <c r="C4887" i="1"/>
  <c r="S4887" i="1"/>
  <c r="T4887" i="1"/>
  <c r="U4887" i="1"/>
  <c r="BB4887" i="1"/>
  <c r="BW4887" i="1"/>
  <c r="A4888" i="1"/>
  <c r="C4888" i="1"/>
  <c r="S4888" i="1"/>
  <c r="T4888" i="1"/>
  <c r="U4888" i="1"/>
  <c r="BB4888" i="1"/>
  <c r="BW4888" i="1"/>
  <c r="A4889" i="1"/>
  <c r="C4889" i="1"/>
  <c r="S4889" i="1"/>
  <c r="T4889" i="1"/>
  <c r="U4889" i="1"/>
  <c r="BB4889" i="1"/>
  <c r="BW4889" i="1"/>
  <c r="A4890" i="1"/>
  <c r="C4890" i="1"/>
  <c r="S4890" i="1"/>
  <c r="T4890" i="1"/>
  <c r="U4890" i="1"/>
  <c r="BB4890" i="1"/>
  <c r="BW4890" i="1"/>
  <c r="A4891" i="1"/>
  <c r="C4891" i="1"/>
  <c r="S4891" i="1"/>
  <c r="T4891" i="1"/>
  <c r="U4891" i="1"/>
  <c r="BB4891" i="1"/>
  <c r="BW4891" i="1"/>
  <c r="A4892" i="1"/>
  <c r="C4892" i="1"/>
  <c r="S4892" i="1"/>
  <c r="T4892" i="1"/>
  <c r="U4892" i="1"/>
  <c r="BB4892" i="1"/>
  <c r="BW4892" i="1"/>
  <c r="A4893" i="1"/>
  <c r="C4893" i="1"/>
  <c r="S4893" i="1"/>
  <c r="T4893" i="1"/>
  <c r="U4893" i="1"/>
  <c r="BB4893" i="1"/>
  <c r="BW4893" i="1"/>
  <c r="A4894" i="1"/>
  <c r="C4894" i="1"/>
  <c r="S4894" i="1"/>
  <c r="T4894" i="1"/>
  <c r="U4894" i="1"/>
  <c r="BB4894" i="1"/>
  <c r="BW4894" i="1"/>
  <c r="A4895" i="1"/>
  <c r="C4895" i="1"/>
  <c r="S4895" i="1"/>
  <c r="T4895" i="1"/>
  <c r="U4895" i="1"/>
  <c r="BB4895" i="1"/>
  <c r="BW4895" i="1"/>
  <c r="A4896" i="1"/>
  <c r="C4896" i="1"/>
  <c r="S4896" i="1"/>
  <c r="T4896" i="1"/>
  <c r="U4896" i="1"/>
  <c r="BB4896" i="1"/>
  <c r="BW4896" i="1"/>
  <c r="A4897" i="1"/>
  <c r="C4897" i="1"/>
  <c r="S4897" i="1"/>
  <c r="T4897" i="1"/>
  <c r="U4897" i="1"/>
  <c r="BB4897" i="1"/>
  <c r="BW4897" i="1"/>
  <c r="A4898" i="1"/>
  <c r="C4898" i="1"/>
  <c r="S4898" i="1"/>
  <c r="T4898" i="1"/>
  <c r="U4898" i="1"/>
  <c r="BB4898" i="1"/>
  <c r="BW4898" i="1"/>
  <c r="A4899" i="1"/>
  <c r="C4899" i="1"/>
  <c r="S4899" i="1"/>
  <c r="T4899" i="1"/>
  <c r="U4899" i="1"/>
  <c r="BB4899" i="1"/>
  <c r="BW4899" i="1"/>
  <c r="A4900" i="1"/>
  <c r="C4900" i="1"/>
  <c r="S4900" i="1"/>
  <c r="T4900" i="1"/>
  <c r="U4900" i="1"/>
  <c r="BB4900" i="1"/>
  <c r="BW4900" i="1"/>
  <c r="A4901" i="1"/>
  <c r="C4901" i="1"/>
  <c r="S4901" i="1"/>
  <c r="T4901" i="1"/>
  <c r="U4901" i="1"/>
  <c r="BB4901" i="1"/>
  <c r="BW4901" i="1"/>
  <c r="A4902" i="1"/>
  <c r="C4902" i="1"/>
  <c r="S4902" i="1"/>
  <c r="T4902" i="1"/>
  <c r="U4902" i="1"/>
  <c r="BB4902" i="1"/>
  <c r="BW4902" i="1"/>
  <c r="A4903" i="1"/>
  <c r="C4903" i="1"/>
  <c r="S4903" i="1"/>
  <c r="T4903" i="1"/>
  <c r="U4903" i="1"/>
  <c r="BB4903" i="1"/>
  <c r="BW4903" i="1"/>
  <c r="A4904" i="1"/>
  <c r="C4904" i="1"/>
  <c r="S4904" i="1"/>
  <c r="T4904" i="1"/>
  <c r="U4904" i="1"/>
  <c r="BB4904" i="1"/>
  <c r="BW4904" i="1"/>
  <c r="A4905" i="1"/>
  <c r="C4905" i="1"/>
  <c r="S4905" i="1"/>
  <c r="T4905" i="1"/>
  <c r="U4905" i="1"/>
  <c r="BB4905" i="1"/>
  <c r="BW4905" i="1"/>
  <c r="A4906" i="1"/>
  <c r="C4906" i="1"/>
  <c r="S4906" i="1"/>
  <c r="T4906" i="1"/>
  <c r="U4906" i="1"/>
  <c r="BB4906" i="1"/>
  <c r="BW4906" i="1"/>
  <c r="A4907" i="1"/>
  <c r="C4907" i="1"/>
  <c r="S4907" i="1"/>
  <c r="T4907" i="1"/>
  <c r="U4907" i="1"/>
  <c r="BB4907" i="1"/>
  <c r="BW4907" i="1"/>
  <c r="A4908" i="1"/>
  <c r="C4908" i="1"/>
  <c r="S4908" i="1"/>
  <c r="T4908" i="1"/>
  <c r="U4908" i="1"/>
  <c r="BB4908" i="1"/>
  <c r="BW4908" i="1"/>
  <c r="A4909" i="1"/>
  <c r="C4909" i="1"/>
  <c r="S4909" i="1"/>
  <c r="T4909" i="1"/>
  <c r="U4909" i="1"/>
  <c r="BB4909" i="1"/>
  <c r="BW4909" i="1"/>
  <c r="A4910" i="1"/>
  <c r="C4910" i="1"/>
  <c r="S4910" i="1"/>
  <c r="T4910" i="1"/>
  <c r="U4910" i="1"/>
  <c r="BB4910" i="1"/>
  <c r="BW4910" i="1"/>
  <c r="A4911" i="1"/>
  <c r="C4911" i="1"/>
  <c r="S4911" i="1"/>
  <c r="T4911" i="1"/>
  <c r="U4911" i="1"/>
  <c r="BB4911" i="1"/>
  <c r="BW4911" i="1"/>
  <c r="A4912" i="1"/>
  <c r="C4912" i="1"/>
  <c r="S4912" i="1"/>
  <c r="T4912" i="1"/>
  <c r="U4912" i="1"/>
  <c r="BB4912" i="1"/>
  <c r="BW4912" i="1"/>
  <c r="A4913" i="1"/>
  <c r="C4913" i="1"/>
  <c r="S4913" i="1"/>
  <c r="T4913" i="1"/>
  <c r="U4913" i="1"/>
  <c r="BB4913" i="1"/>
  <c r="BW4913" i="1"/>
  <c r="A4914" i="1"/>
  <c r="C4914" i="1"/>
  <c r="S4914" i="1"/>
  <c r="T4914" i="1"/>
  <c r="U4914" i="1"/>
  <c r="BB4914" i="1"/>
  <c r="BW4914" i="1"/>
  <c r="A4915" i="1"/>
  <c r="C4915" i="1"/>
  <c r="S4915" i="1"/>
  <c r="T4915" i="1"/>
  <c r="U4915" i="1"/>
  <c r="BB4915" i="1"/>
  <c r="BW4915" i="1"/>
  <c r="A4916" i="1"/>
  <c r="C4916" i="1"/>
  <c r="S4916" i="1"/>
  <c r="T4916" i="1"/>
  <c r="U4916" i="1"/>
  <c r="BB4916" i="1"/>
  <c r="BW4916" i="1"/>
  <c r="A4917" i="1"/>
  <c r="C4917" i="1"/>
  <c r="S4917" i="1"/>
  <c r="T4917" i="1"/>
  <c r="U4917" i="1"/>
  <c r="BB4917" i="1"/>
  <c r="BW4917" i="1"/>
  <c r="A4918" i="1"/>
  <c r="C4918" i="1"/>
  <c r="S4918" i="1"/>
  <c r="T4918" i="1"/>
  <c r="U4918" i="1"/>
  <c r="BB4918" i="1"/>
  <c r="BW4918" i="1"/>
  <c r="A4919" i="1"/>
  <c r="C4919" i="1"/>
  <c r="S4919" i="1"/>
  <c r="T4919" i="1"/>
  <c r="U4919" i="1"/>
  <c r="BB4919" i="1"/>
  <c r="BW4919" i="1"/>
  <c r="A4920" i="1"/>
  <c r="C4920" i="1"/>
  <c r="S4920" i="1"/>
  <c r="T4920" i="1"/>
  <c r="U4920" i="1"/>
  <c r="BB4920" i="1"/>
  <c r="BW4920" i="1"/>
  <c r="A4921" i="1"/>
  <c r="C4921" i="1"/>
  <c r="S4921" i="1"/>
  <c r="T4921" i="1"/>
  <c r="U4921" i="1"/>
  <c r="BB4921" i="1"/>
  <c r="BW4921" i="1"/>
  <c r="A4922" i="1"/>
  <c r="C4922" i="1"/>
  <c r="S4922" i="1"/>
  <c r="T4922" i="1"/>
  <c r="U4922" i="1"/>
  <c r="BB4922" i="1"/>
  <c r="BW4922" i="1"/>
  <c r="A4923" i="1"/>
  <c r="C4923" i="1"/>
  <c r="S4923" i="1"/>
  <c r="T4923" i="1"/>
  <c r="U4923" i="1"/>
  <c r="BB4923" i="1"/>
  <c r="BW4923" i="1"/>
  <c r="A4924" i="1"/>
  <c r="C4924" i="1"/>
  <c r="S4924" i="1"/>
  <c r="T4924" i="1"/>
  <c r="U4924" i="1"/>
  <c r="BB4924" i="1"/>
  <c r="BW4924" i="1"/>
  <c r="A4925" i="1"/>
  <c r="C4925" i="1"/>
  <c r="S4925" i="1"/>
  <c r="T4925" i="1"/>
  <c r="U4925" i="1"/>
  <c r="BB4925" i="1"/>
  <c r="BW4925" i="1"/>
  <c r="A4926" i="1"/>
  <c r="C4926" i="1"/>
  <c r="S4926" i="1"/>
  <c r="T4926" i="1"/>
  <c r="U4926" i="1"/>
  <c r="BB4926" i="1"/>
  <c r="BW4926" i="1"/>
  <c r="A4927" i="1"/>
  <c r="C4927" i="1"/>
  <c r="S4927" i="1"/>
  <c r="T4927" i="1"/>
  <c r="U4927" i="1"/>
  <c r="BB4927" i="1"/>
  <c r="BW4927" i="1"/>
  <c r="A4928" i="1"/>
  <c r="C4928" i="1"/>
  <c r="S4928" i="1"/>
  <c r="T4928" i="1"/>
  <c r="U4928" i="1"/>
  <c r="BB4928" i="1"/>
  <c r="BW4928" i="1"/>
  <c r="A4929" i="1"/>
  <c r="C4929" i="1"/>
  <c r="S4929" i="1"/>
  <c r="T4929" i="1"/>
  <c r="U4929" i="1"/>
  <c r="BB4929" i="1"/>
  <c r="BW4929" i="1"/>
  <c r="A4930" i="1"/>
  <c r="C4930" i="1"/>
  <c r="S4930" i="1"/>
  <c r="T4930" i="1"/>
  <c r="U4930" i="1"/>
  <c r="BB4930" i="1"/>
  <c r="BW4930" i="1"/>
  <c r="A4931" i="1"/>
  <c r="C4931" i="1"/>
  <c r="S4931" i="1"/>
  <c r="T4931" i="1"/>
  <c r="U4931" i="1"/>
  <c r="BB4931" i="1"/>
  <c r="BW4931" i="1"/>
  <c r="A4932" i="1"/>
  <c r="C4932" i="1"/>
  <c r="S4932" i="1"/>
  <c r="T4932" i="1"/>
  <c r="U4932" i="1"/>
  <c r="BB4932" i="1"/>
  <c r="BW4932" i="1"/>
  <c r="A4933" i="1"/>
  <c r="C4933" i="1"/>
  <c r="S4933" i="1"/>
  <c r="T4933" i="1"/>
  <c r="U4933" i="1"/>
  <c r="BB4933" i="1"/>
  <c r="BW4933" i="1"/>
  <c r="A4934" i="1"/>
  <c r="C4934" i="1"/>
  <c r="S4934" i="1"/>
  <c r="T4934" i="1"/>
  <c r="U4934" i="1"/>
  <c r="BB4934" i="1"/>
  <c r="BW4934" i="1"/>
  <c r="A4935" i="1"/>
  <c r="C4935" i="1"/>
  <c r="S4935" i="1"/>
  <c r="T4935" i="1"/>
  <c r="U4935" i="1"/>
  <c r="BB4935" i="1"/>
  <c r="BW4935" i="1"/>
  <c r="A4936" i="1"/>
  <c r="C4936" i="1"/>
  <c r="S4936" i="1"/>
  <c r="T4936" i="1"/>
  <c r="U4936" i="1"/>
  <c r="BB4936" i="1"/>
  <c r="BW4936" i="1"/>
  <c r="A4937" i="1"/>
  <c r="C4937" i="1"/>
  <c r="S4937" i="1"/>
  <c r="T4937" i="1"/>
  <c r="U4937" i="1"/>
  <c r="BB4937" i="1"/>
  <c r="BW4937" i="1"/>
  <c r="A4938" i="1"/>
  <c r="C4938" i="1"/>
  <c r="S4938" i="1"/>
  <c r="T4938" i="1"/>
  <c r="U4938" i="1"/>
  <c r="BB4938" i="1"/>
  <c r="BW4938" i="1"/>
  <c r="A4939" i="1"/>
  <c r="C4939" i="1"/>
  <c r="S4939" i="1"/>
  <c r="T4939" i="1"/>
  <c r="U4939" i="1"/>
  <c r="BB4939" i="1"/>
  <c r="BW4939" i="1"/>
  <c r="A4940" i="1"/>
  <c r="C4940" i="1"/>
  <c r="S4940" i="1"/>
  <c r="T4940" i="1"/>
  <c r="U4940" i="1"/>
  <c r="BB4940" i="1"/>
  <c r="BW4940" i="1"/>
  <c r="A4941" i="1"/>
  <c r="C4941" i="1"/>
  <c r="S4941" i="1"/>
  <c r="T4941" i="1"/>
  <c r="U4941" i="1"/>
  <c r="BB4941" i="1"/>
  <c r="BW4941" i="1"/>
  <c r="A4942" i="1"/>
  <c r="C4942" i="1"/>
  <c r="S4942" i="1"/>
  <c r="T4942" i="1"/>
  <c r="U4942" i="1"/>
  <c r="BB4942" i="1"/>
  <c r="BW4942" i="1"/>
  <c r="A4943" i="1"/>
  <c r="C4943" i="1"/>
  <c r="S4943" i="1"/>
  <c r="T4943" i="1"/>
  <c r="U4943" i="1"/>
  <c r="BB4943" i="1"/>
  <c r="BW4943" i="1"/>
  <c r="A4944" i="1"/>
  <c r="C4944" i="1"/>
  <c r="S4944" i="1"/>
  <c r="T4944" i="1"/>
  <c r="U4944" i="1"/>
  <c r="BB4944" i="1"/>
  <c r="BW4944" i="1"/>
  <c r="A4945" i="1"/>
  <c r="C4945" i="1"/>
  <c r="S4945" i="1"/>
  <c r="T4945" i="1"/>
  <c r="U4945" i="1"/>
  <c r="BB4945" i="1"/>
  <c r="BW4945" i="1"/>
  <c r="A4946" i="1"/>
  <c r="C4946" i="1"/>
  <c r="S4946" i="1"/>
  <c r="T4946" i="1"/>
  <c r="U4946" i="1"/>
  <c r="BB4946" i="1"/>
  <c r="BW4946" i="1"/>
  <c r="A4947" i="1"/>
  <c r="C4947" i="1"/>
  <c r="S4947" i="1"/>
  <c r="T4947" i="1"/>
  <c r="U4947" i="1"/>
  <c r="BB4947" i="1"/>
  <c r="BW4947" i="1"/>
  <c r="A4948" i="1"/>
  <c r="C4948" i="1"/>
  <c r="S4948" i="1"/>
  <c r="T4948" i="1"/>
  <c r="U4948" i="1"/>
  <c r="BB4948" i="1"/>
  <c r="BW4948" i="1"/>
  <c r="A4949" i="1"/>
  <c r="C4949" i="1"/>
  <c r="S4949" i="1"/>
  <c r="T4949" i="1"/>
  <c r="U4949" i="1"/>
  <c r="BB4949" i="1"/>
  <c r="BW4949" i="1"/>
  <c r="A4950" i="1"/>
  <c r="C4950" i="1"/>
  <c r="S4950" i="1"/>
  <c r="T4950" i="1"/>
  <c r="U4950" i="1"/>
  <c r="BB4950" i="1"/>
  <c r="BW4950" i="1"/>
  <c r="A4951" i="1"/>
  <c r="C4951" i="1"/>
  <c r="S4951" i="1"/>
  <c r="T4951" i="1"/>
  <c r="U4951" i="1"/>
  <c r="BB4951" i="1"/>
  <c r="BW4951" i="1"/>
  <c r="A4952" i="1"/>
  <c r="C4952" i="1"/>
  <c r="S4952" i="1"/>
  <c r="T4952" i="1"/>
  <c r="U4952" i="1"/>
  <c r="BB4952" i="1"/>
  <c r="BW4952" i="1"/>
  <c r="A4953" i="1"/>
  <c r="C4953" i="1"/>
  <c r="S4953" i="1"/>
  <c r="T4953" i="1"/>
  <c r="U4953" i="1"/>
  <c r="BB4953" i="1"/>
  <c r="BW4953" i="1"/>
  <c r="A4954" i="1"/>
  <c r="C4954" i="1"/>
  <c r="S4954" i="1"/>
  <c r="T4954" i="1"/>
  <c r="U4954" i="1"/>
  <c r="BB4954" i="1"/>
  <c r="BW4954" i="1"/>
  <c r="A4955" i="1"/>
  <c r="C4955" i="1"/>
  <c r="S4955" i="1"/>
  <c r="T4955" i="1"/>
  <c r="U4955" i="1"/>
  <c r="BB4955" i="1"/>
  <c r="BW4955" i="1"/>
  <c r="A4956" i="1"/>
  <c r="C4956" i="1"/>
  <c r="S4956" i="1"/>
  <c r="T4956" i="1"/>
  <c r="U4956" i="1"/>
  <c r="BB4956" i="1"/>
  <c r="BW4956" i="1"/>
  <c r="A4957" i="1"/>
  <c r="C4957" i="1"/>
  <c r="S4957" i="1"/>
  <c r="T4957" i="1"/>
  <c r="U4957" i="1"/>
  <c r="BB4957" i="1"/>
  <c r="BW4957" i="1"/>
  <c r="A4958" i="1"/>
  <c r="C4958" i="1"/>
  <c r="S4958" i="1"/>
  <c r="T4958" i="1"/>
  <c r="U4958" i="1"/>
  <c r="BB4958" i="1"/>
  <c r="BW4958" i="1"/>
  <c r="A4959" i="1"/>
  <c r="C4959" i="1"/>
  <c r="S4959" i="1"/>
  <c r="T4959" i="1"/>
  <c r="U4959" i="1"/>
  <c r="BB4959" i="1"/>
  <c r="BW4959" i="1"/>
  <c r="A4960" i="1"/>
  <c r="C4960" i="1"/>
  <c r="S4960" i="1"/>
  <c r="T4960" i="1"/>
  <c r="U4960" i="1"/>
  <c r="BB4960" i="1"/>
  <c r="BW4960" i="1"/>
  <c r="A4961" i="1"/>
  <c r="C4961" i="1"/>
  <c r="S4961" i="1"/>
  <c r="T4961" i="1"/>
  <c r="U4961" i="1"/>
  <c r="BB4961" i="1"/>
  <c r="BW4961" i="1"/>
  <c r="A4962" i="1"/>
  <c r="C4962" i="1"/>
  <c r="S4962" i="1"/>
  <c r="T4962" i="1"/>
  <c r="U4962" i="1"/>
  <c r="BB4962" i="1"/>
  <c r="BW4962" i="1"/>
  <c r="A4963" i="1"/>
  <c r="C4963" i="1"/>
  <c r="S4963" i="1"/>
  <c r="T4963" i="1"/>
  <c r="U4963" i="1"/>
  <c r="BB4963" i="1"/>
  <c r="BW4963" i="1"/>
  <c r="A4964" i="1"/>
  <c r="C4964" i="1"/>
  <c r="S4964" i="1"/>
  <c r="T4964" i="1"/>
  <c r="U4964" i="1"/>
  <c r="BB4964" i="1"/>
  <c r="BW4964" i="1"/>
  <c r="A4965" i="1"/>
  <c r="C4965" i="1"/>
  <c r="S4965" i="1"/>
  <c r="T4965" i="1"/>
  <c r="U4965" i="1"/>
  <c r="BB4965" i="1"/>
  <c r="BW4965" i="1"/>
  <c r="A4966" i="1"/>
  <c r="C4966" i="1"/>
  <c r="S4966" i="1"/>
  <c r="T4966" i="1"/>
  <c r="U4966" i="1"/>
  <c r="BB4966" i="1"/>
  <c r="BW4966" i="1"/>
  <c r="A4967" i="1"/>
  <c r="C4967" i="1"/>
  <c r="S4967" i="1"/>
  <c r="T4967" i="1"/>
  <c r="U4967" i="1"/>
  <c r="BB4967" i="1"/>
  <c r="BW4967" i="1"/>
  <c r="A4968" i="1"/>
  <c r="C4968" i="1"/>
  <c r="S4968" i="1"/>
  <c r="T4968" i="1"/>
  <c r="U4968" i="1"/>
  <c r="BB4968" i="1"/>
  <c r="BW4968" i="1"/>
  <c r="A4969" i="1"/>
  <c r="C4969" i="1"/>
  <c r="S4969" i="1"/>
  <c r="T4969" i="1"/>
  <c r="U4969" i="1"/>
  <c r="BB4969" i="1"/>
  <c r="BW4969" i="1"/>
  <c r="A4970" i="1"/>
  <c r="C4970" i="1"/>
  <c r="S4970" i="1"/>
  <c r="T4970" i="1"/>
  <c r="U4970" i="1"/>
  <c r="BB4970" i="1"/>
  <c r="BW4970" i="1"/>
  <c r="A4971" i="1"/>
  <c r="C4971" i="1"/>
  <c r="S4971" i="1"/>
  <c r="T4971" i="1"/>
  <c r="U4971" i="1"/>
  <c r="BB4971" i="1"/>
  <c r="BW4971" i="1"/>
  <c r="A4972" i="1"/>
  <c r="C4972" i="1"/>
  <c r="S4972" i="1"/>
  <c r="T4972" i="1"/>
  <c r="U4972" i="1"/>
  <c r="BB4972" i="1"/>
  <c r="BW4972" i="1"/>
  <c r="A4973" i="1"/>
  <c r="C4973" i="1"/>
  <c r="S4973" i="1"/>
  <c r="T4973" i="1"/>
  <c r="U4973" i="1"/>
  <c r="BB4973" i="1"/>
  <c r="BW4973" i="1"/>
  <c r="A4974" i="1"/>
  <c r="C4974" i="1"/>
  <c r="S4974" i="1"/>
  <c r="T4974" i="1"/>
  <c r="U4974" i="1"/>
  <c r="BB4974" i="1"/>
  <c r="BW4974" i="1"/>
  <c r="A4975" i="1"/>
  <c r="C4975" i="1"/>
  <c r="S4975" i="1"/>
  <c r="T4975" i="1"/>
  <c r="U4975" i="1"/>
  <c r="BB4975" i="1"/>
  <c r="BW4975" i="1"/>
  <c r="A4976" i="1"/>
  <c r="C4976" i="1"/>
  <c r="S4976" i="1"/>
  <c r="T4976" i="1"/>
  <c r="U4976" i="1"/>
  <c r="BB4976" i="1"/>
  <c r="BW4976" i="1"/>
  <c r="A4977" i="1"/>
  <c r="C4977" i="1"/>
  <c r="S4977" i="1"/>
  <c r="T4977" i="1"/>
  <c r="U4977" i="1"/>
  <c r="BB4977" i="1"/>
  <c r="BW4977" i="1"/>
  <c r="A4978" i="1"/>
  <c r="C4978" i="1"/>
  <c r="S4978" i="1"/>
  <c r="T4978" i="1"/>
  <c r="U4978" i="1"/>
  <c r="BB4978" i="1"/>
  <c r="BW4978" i="1"/>
  <c r="A4979" i="1"/>
  <c r="C4979" i="1"/>
  <c r="S4979" i="1"/>
  <c r="T4979" i="1"/>
  <c r="U4979" i="1"/>
  <c r="BB4979" i="1"/>
  <c r="BW4979" i="1"/>
  <c r="A4980" i="1"/>
  <c r="C4980" i="1"/>
  <c r="S4980" i="1"/>
  <c r="T4980" i="1"/>
  <c r="U4980" i="1"/>
  <c r="BB4980" i="1"/>
  <c r="BW4980" i="1"/>
  <c r="A4981" i="1"/>
  <c r="C4981" i="1"/>
  <c r="S4981" i="1"/>
  <c r="T4981" i="1"/>
  <c r="U4981" i="1"/>
  <c r="BB4981" i="1"/>
  <c r="BW4981" i="1"/>
  <c r="A4982" i="1"/>
  <c r="C4982" i="1"/>
  <c r="S4982" i="1"/>
  <c r="T4982" i="1"/>
  <c r="U4982" i="1"/>
  <c r="BB4982" i="1"/>
  <c r="BW4982" i="1"/>
  <c r="A4983" i="1"/>
  <c r="C4983" i="1"/>
  <c r="S4983" i="1"/>
  <c r="T4983" i="1"/>
  <c r="U4983" i="1"/>
  <c r="BB4983" i="1"/>
  <c r="BW4983" i="1"/>
  <c r="A4984" i="1"/>
  <c r="C4984" i="1"/>
  <c r="S4984" i="1"/>
  <c r="T4984" i="1"/>
  <c r="U4984" i="1"/>
  <c r="BB4984" i="1"/>
  <c r="BW4984" i="1"/>
  <c r="A4985" i="1"/>
  <c r="C4985" i="1"/>
  <c r="S4985" i="1"/>
  <c r="T4985" i="1"/>
  <c r="U4985" i="1"/>
  <c r="BB4985" i="1"/>
  <c r="BW4985" i="1"/>
  <c r="A4986" i="1"/>
  <c r="C4986" i="1"/>
  <c r="S4986" i="1"/>
  <c r="T4986" i="1"/>
  <c r="U4986" i="1"/>
  <c r="BB4986" i="1"/>
  <c r="BW4986" i="1"/>
  <c r="A4987" i="1"/>
  <c r="C4987" i="1"/>
  <c r="S4987" i="1"/>
  <c r="T4987" i="1"/>
  <c r="U4987" i="1"/>
  <c r="BB4987" i="1"/>
  <c r="BW4987" i="1"/>
  <c r="A4988" i="1"/>
  <c r="C4988" i="1"/>
  <c r="S4988" i="1"/>
  <c r="T4988" i="1"/>
  <c r="U4988" i="1"/>
  <c r="BB4988" i="1"/>
  <c r="BW4988" i="1"/>
  <c r="A4989" i="1"/>
  <c r="C4989" i="1"/>
  <c r="S4989" i="1"/>
  <c r="T4989" i="1"/>
  <c r="U4989" i="1"/>
  <c r="BB4989" i="1"/>
  <c r="BW4989" i="1"/>
  <c r="A4990" i="1"/>
  <c r="C4990" i="1"/>
  <c r="S4990" i="1"/>
  <c r="T4990" i="1"/>
  <c r="U4990" i="1"/>
  <c r="BB4990" i="1"/>
  <c r="BW4990" i="1"/>
  <c r="A4991" i="1"/>
  <c r="C4991" i="1"/>
  <c r="S4991" i="1"/>
  <c r="T4991" i="1"/>
  <c r="U4991" i="1"/>
  <c r="BB4991" i="1"/>
  <c r="BW4991" i="1"/>
  <c r="A4992" i="1"/>
  <c r="C4992" i="1"/>
  <c r="S4992" i="1"/>
  <c r="T4992" i="1"/>
  <c r="U4992" i="1"/>
  <c r="BB4992" i="1"/>
  <c r="BW4992" i="1"/>
  <c r="A4993" i="1"/>
  <c r="C4993" i="1"/>
  <c r="S4993" i="1"/>
  <c r="T4993" i="1"/>
  <c r="U4993" i="1"/>
  <c r="BB4993" i="1"/>
  <c r="BW4993" i="1"/>
  <c r="A4994" i="1"/>
  <c r="C4994" i="1"/>
  <c r="S4994" i="1"/>
  <c r="T4994" i="1"/>
  <c r="U4994" i="1"/>
  <c r="BB4994" i="1"/>
  <c r="BW4994" i="1"/>
  <c r="A4995" i="1"/>
  <c r="C4995" i="1"/>
  <c r="S4995" i="1"/>
  <c r="T4995" i="1"/>
  <c r="U4995" i="1"/>
  <c r="BB4995" i="1"/>
  <c r="BW4995" i="1"/>
  <c r="A4996" i="1"/>
  <c r="C4996" i="1"/>
  <c r="S4996" i="1"/>
  <c r="T4996" i="1"/>
  <c r="U4996" i="1"/>
  <c r="BB4996" i="1"/>
  <c r="BW4996" i="1"/>
  <c r="A4997" i="1"/>
  <c r="C4997" i="1"/>
  <c r="S4997" i="1"/>
  <c r="T4997" i="1"/>
  <c r="U4997" i="1"/>
  <c r="BB4997" i="1"/>
  <c r="BW4997" i="1"/>
  <c r="A4998" i="1"/>
  <c r="C4998" i="1"/>
  <c r="S4998" i="1"/>
  <c r="T4998" i="1"/>
  <c r="U4998" i="1"/>
  <c r="BB4998" i="1"/>
  <c r="BW4998" i="1"/>
  <c r="A4999" i="1"/>
  <c r="C4999" i="1"/>
  <c r="S4999" i="1"/>
  <c r="T4999" i="1"/>
  <c r="U4999" i="1"/>
  <c r="BB4999" i="1"/>
  <c r="BW4999" i="1"/>
  <c r="A5000" i="1"/>
  <c r="C5000" i="1"/>
  <c r="S5000" i="1"/>
  <c r="T5000" i="1"/>
  <c r="U5000" i="1"/>
  <c r="BB5000" i="1"/>
  <c r="BW5000" i="1"/>
  <c r="A5001" i="1"/>
  <c r="C5001" i="1"/>
  <c r="S5001" i="1"/>
  <c r="T5001" i="1"/>
  <c r="U5001" i="1"/>
  <c r="BB5001" i="1"/>
  <c r="BW5001" i="1"/>
  <c r="A5002" i="1"/>
  <c r="C5002" i="1"/>
  <c r="S5002" i="1"/>
  <c r="T5002" i="1"/>
  <c r="U5002" i="1"/>
  <c r="BB5002" i="1"/>
  <c r="BW5002" i="1"/>
  <c r="A5003" i="1"/>
  <c r="C5003" i="1"/>
  <c r="S5003" i="1"/>
  <c r="T5003" i="1"/>
  <c r="U5003" i="1"/>
  <c r="BB5003" i="1"/>
  <c r="BW5003" i="1"/>
  <c r="A5004" i="1"/>
  <c r="C5004" i="1"/>
  <c r="S5004" i="1"/>
  <c r="T5004" i="1"/>
  <c r="U5004" i="1"/>
  <c r="BB5004" i="1"/>
  <c r="BW5004" i="1"/>
  <c r="A5005" i="1"/>
  <c r="C5005" i="1"/>
  <c r="S5005" i="1"/>
  <c r="T5005" i="1"/>
  <c r="U5005" i="1"/>
  <c r="BB5005" i="1"/>
  <c r="BW5005" i="1"/>
  <c r="A5006" i="1"/>
  <c r="C5006" i="1"/>
  <c r="S5006" i="1"/>
  <c r="T5006" i="1"/>
  <c r="U5006" i="1"/>
  <c r="BB5006" i="1"/>
  <c r="BW5006" i="1"/>
  <c r="A5007" i="1"/>
  <c r="C5007" i="1"/>
  <c r="S5007" i="1"/>
  <c r="T5007" i="1"/>
  <c r="U5007" i="1"/>
  <c r="BB5007" i="1"/>
  <c r="BW5007" i="1"/>
  <c r="A5008" i="1"/>
  <c r="C5008" i="1"/>
  <c r="S5008" i="1"/>
  <c r="T5008" i="1"/>
  <c r="U5008" i="1"/>
  <c r="BB5008" i="1"/>
  <c r="BW5008" i="1"/>
  <c r="A5009" i="1"/>
  <c r="C5009" i="1"/>
  <c r="S5009" i="1"/>
  <c r="T5009" i="1"/>
  <c r="U5009" i="1"/>
  <c r="BB5009" i="1"/>
  <c r="BW5009" i="1"/>
  <c r="A5010" i="1"/>
  <c r="C5010" i="1"/>
  <c r="S5010" i="1"/>
  <c r="T5010" i="1"/>
  <c r="U5010" i="1"/>
  <c r="BB5010" i="1"/>
  <c r="BW5010" i="1"/>
  <c r="A5011" i="1"/>
  <c r="C5011" i="1"/>
  <c r="S5011" i="1"/>
  <c r="T5011" i="1"/>
  <c r="U5011" i="1"/>
  <c r="BB5011" i="1"/>
  <c r="BW5011" i="1"/>
  <c r="A5012" i="1"/>
  <c r="C5012" i="1"/>
  <c r="S5012" i="1"/>
  <c r="T5012" i="1"/>
  <c r="U5012" i="1"/>
  <c r="BB5012" i="1"/>
  <c r="BW5012" i="1"/>
  <c r="A5013" i="1"/>
  <c r="C5013" i="1"/>
  <c r="S5013" i="1"/>
  <c r="T5013" i="1"/>
  <c r="U5013" i="1"/>
  <c r="BB5013" i="1"/>
  <c r="BW5013" i="1"/>
  <c r="A5014" i="1"/>
  <c r="C5014" i="1"/>
  <c r="S5014" i="1"/>
  <c r="T5014" i="1"/>
  <c r="U5014" i="1"/>
  <c r="BB5014" i="1"/>
  <c r="BW5014" i="1"/>
  <c r="A5015" i="1"/>
  <c r="C5015" i="1"/>
  <c r="S5015" i="1"/>
  <c r="T5015" i="1"/>
  <c r="U5015" i="1"/>
  <c r="BB5015" i="1"/>
  <c r="BW5015" i="1"/>
  <c r="A5016" i="1"/>
  <c r="C5016" i="1"/>
  <c r="S5016" i="1"/>
  <c r="T5016" i="1"/>
  <c r="U5016" i="1"/>
  <c r="BB5016" i="1"/>
  <c r="BW5016" i="1"/>
  <c r="A5017" i="1"/>
  <c r="C5017" i="1"/>
  <c r="S5017" i="1"/>
  <c r="T5017" i="1"/>
  <c r="U5017" i="1"/>
  <c r="BB5017" i="1"/>
  <c r="BW5017" i="1"/>
  <c r="A5018" i="1"/>
  <c r="C5018" i="1"/>
  <c r="S5018" i="1"/>
  <c r="T5018" i="1"/>
  <c r="U5018" i="1"/>
  <c r="BB5018" i="1"/>
  <c r="BW5018" i="1"/>
  <c r="A5019" i="1"/>
  <c r="C5019" i="1"/>
  <c r="S5019" i="1"/>
  <c r="T5019" i="1"/>
  <c r="U5019" i="1"/>
  <c r="BB5019" i="1"/>
  <c r="BW5019" i="1"/>
  <c r="A5020" i="1"/>
  <c r="C5020" i="1"/>
  <c r="S5020" i="1"/>
  <c r="T5020" i="1"/>
  <c r="U5020" i="1"/>
  <c r="BB5020" i="1"/>
  <c r="BW5020" i="1"/>
  <c r="A5021" i="1"/>
  <c r="C5021" i="1"/>
  <c r="S5021" i="1"/>
  <c r="T5021" i="1"/>
  <c r="U5021" i="1"/>
  <c r="BB5021" i="1"/>
  <c r="BW5021" i="1"/>
  <c r="A5022" i="1"/>
  <c r="C5022" i="1"/>
  <c r="S5022" i="1"/>
  <c r="T5022" i="1"/>
  <c r="U5022" i="1"/>
  <c r="BB5022" i="1"/>
  <c r="BW5022" i="1"/>
  <c r="A5023" i="1"/>
  <c r="C5023" i="1"/>
  <c r="S5023" i="1"/>
  <c r="T5023" i="1"/>
  <c r="U5023" i="1"/>
  <c r="BB5023" i="1"/>
  <c r="BW5023" i="1"/>
  <c r="A5024" i="1"/>
  <c r="C5024" i="1"/>
  <c r="S5024" i="1"/>
  <c r="T5024" i="1"/>
  <c r="U5024" i="1"/>
  <c r="BB5024" i="1"/>
  <c r="BW5024" i="1"/>
  <c r="A5025" i="1"/>
  <c r="C5025" i="1"/>
  <c r="S5025" i="1"/>
  <c r="T5025" i="1"/>
  <c r="U5025" i="1"/>
  <c r="BB5025" i="1"/>
  <c r="BW5025" i="1"/>
  <c r="A5026" i="1"/>
  <c r="C5026" i="1"/>
  <c r="S5026" i="1"/>
  <c r="T5026" i="1"/>
  <c r="U5026" i="1"/>
  <c r="BB5026" i="1"/>
  <c r="BW5026" i="1"/>
  <c r="A5027" i="1"/>
  <c r="C5027" i="1"/>
  <c r="S5027" i="1"/>
  <c r="T5027" i="1"/>
  <c r="U5027" i="1"/>
  <c r="BB5027" i="1"/>
  <c r="BW5027" i="1"/>
  <c r="A5028" i="1"/>
  <c r="C5028" i="1"/>
  <c r="S5028" i="1"/>
  <c r="T5028" i="1"/>
  <c r="U5028" i="1"/>
  <c r="BB5028" i="1"/>
  <c r="BW5028" i="1"/>
  <c r="A5029" i="1"/>
  <c r="C5029" i="1"/>
  <c r="S5029" i="1"/>
  <c r="T5029" i="1"/>
  <c r="U5029" i="1"/>
  <c r="BB5029" i="1"/>
  <c r="BW5029" i="1"/>
  <c r="A5030" i="1"/>
  <c r="C5030" i="1"/>
  <c r="S5030" i="1"/>
  <c r="T5030" i="1"/>
  <c r="U5030" i="1"/>
  <c r="BB5030" i="1"/>
  <c r="BW5030" i="1"/>
  <c r="A5031" i="1"/>
  <c r="C5031" i="1"/>
  <c r="S5031" i="1"/>
  <c r="T5031" i="1"/>
  <c r="U5031" i="1"/>
  <c r="BB5031" i="1"/>
  <c r="BW5031" i="1"/>
  <c r="A5032" i="1"/>
  <c r="C5032" i="1"/>
  <c r="S5032" i="1"/>
  <c r="T5032" i="1"/>
  <c r="U5032" i="1"/>
  <c r="BB5032" i="1"/>
  <c r="BW5032" i="1"/>
  <c r="A5033" i="1"/>
  <c r="C5033" i="1"/>
  <c r="S5033" i="1"/>
  <c r="T5033" i="1"/>
  <c r="U5033" i="1"/>
  <c r="BB5033" i="1"/>
  <c r="BW5033" i="1"/>
  <c r="A5034" i="1"/>
  <c r="C5034" i="1"/>
  <c r="S5034" i="1"/>
  <c r="T5034" i="1"/>
  <c r="U5034" i="1"/>
  <c r="BB5034" i="1"/>
  <c r="BW5034" i="1"/>
  <c r="A5035" i="1"/>
  <c r="C5035" i="1"/>
  <c r="S5035" i="1"/>
  <c r="T5035" i="1"/>
  <c r="U5035" i="1"/>
  <c r="BB5035" i="1"/>
  <c r="BW5035" i="1"/>
  <c r="A5036" i="1"/>
  <c r="C5036" i="1"/>
  <c r="S5036" i="1"/>
  <c r="T5036" i="1"/>
  <c r="U5036" i="1"/>
  <c r="BB5036" i="1"/>
  <c r="BW5036" i="1"/>
  <c r="A5037" i="1"/>
  <c r="C5037" i="1"/>
  <c r="S5037" i="1"/>
  <c r="T5037" i="1"/>
  <c r="U5037" i="1"/>
  <c r="BB5037" i="1"/>
  <c r="BW5037" i="1"/>
  <c r="A5038" i="1"/>
  <c r="C5038" i="1"/>
  <c r="S5038" i="1"/>
  <c r="T5038" i="1"/>
  <c r="U5038" i="1"/>
  <c r="BB5038" i="1"/>
  <c r="BW5038" i="1"/>
  <c r="A5039" i="1"/>
  <c r="C5039" i="1"/>
  <c r="S5039" i="1"/>
  <c r="T5039" i="1"/>
  <c r="U5039" i="1"/>
  <c r="BB5039" i="1"/>
  <c r="BW5039" i="1"/>
  <c r="A5040" i="1"/>
  <c r="C5040" i="1"/>
  <c r="S5040" i="1"/>
  <c r="T5040" i="1"/>
  <c r="U5040" i="1"/>
  <c r="BB5040" i="1"/>
  <c r="BW5040" i="1"/>
  <c r="A5041" i="1"/>
  <c r="C5041" i="1"/>
  <c r="S5041" i="1"/>
  <c r="T5041" i="1"/>
  <c r="U5041" i="1"/>
  <c r="BB5041" i="1"/>
  <c r="BW5041" i="1"/>
  <c r="A5042" i="1"/>
  <c r="C5042" i="1"/>
  <c r="S5042" i="1"/>
  <c r="T5042" i="1"/>
  <c r="U5042" i="1"/>
  <c r="BB5042" i="1"/>
  <c r="BW5042" i="1"/>
  <c r="A5043" i="1"/>
  <c r="C5043" i="1"/>
  <c r="S5043" i="1"/>
  <c r="T5043" i="1"/>
  <c r="U5043" i="1"/>
  <c r="BB5043" i="1"/>
  <c r="BW5043" i="1"/>
  <c r="A5044" i="1"/>
  <c r="C5044" i="1"/>
  <c r="S5044" i="1"/>
  <c r="T5044" i="1"/>
  <c r="U5044" i="1"/>
  <c r="BB5044" i="1"/>
  <c r="BW5044" i="1"/>
  <c r="A5045" i="1"/>
  <c r="C5045" i="1"/>
  <c r="S5045" i="1"/>
  <c r="T5045" i="1"/>
  <c r="U5045" i="1"/>
  <c r="BB5045" i="1"/>
  <c r="BW5045" i="1"/>
  <c r="A5046" i="1"/>
  <c r="C5046" i="1"/>
  <c r="S5046" i="1"/>
  <c r="T5046" i="1"/>
  <c r="U5046" i="1"/>
  <c r="BB5046" i="1"/>
  <c r="BW5046" i="1"/>
  <c r="A5047" i="1"/>
  <c r="C5047" i="1"/>
  <c r="S5047" i="1"/>
  <c r="T5047" i="1"/>
  <c r="U5047" i="1"/>
  <c r="BB5047" i="1"/>
  <c r="BW5047" i="1"/>
  <c r="A5048" i="1"/>
  <c r="C5048" i="1"/>
  <c r="S5048" i="1"/>
  <c r="T5048" i="1"/>
  <c r="U5048" i="1"/>
  <c r="BB5048" i="1"/>
  <c r="BW5048" i="1"/>
  <c r="A5049" i="1"/>
  <c r="C5049" i="1"/>
  <c r="S5049" i="1"/>
  <c r="T5049" i="1"/>
  <c r="U5049" i="1"/>
  <c r="BB5049" i="1"/>
  <c r="BW5049" i="1"/>
  <c r="A5050" i="1"/>
  <c r="C5050" i="1"/>
  <c r="S5050" i="1"/>
  <c r="T5050" i="1"/>
  <c r="U5050" i="1"/>
  <c r="BB5050" i="1"/>
  <c r="BW5050" i="1"/>
  <c r="A5051" i="1"/>
  <c r="C5051" i="1"/>
  <c r="S5051" i="1"/>
  <c r="T5051" i="1"/>
  <c r="U5051" i="1"/>
  <c r="BB5051" i="1"/>
  <c r="BW5051" i="1"/>
  <c r="A5052" i="1"/>
  <c r="C5052" i="1"/>
  <c r="S5052" i="1"/>
  <c r="T5052" i="1"/>
  <c r="U5052" i="1"/>
  <c r="BB5052" i="1"/>
  <c r="BW5052" i="1"/>
  <c r="A5053" i="1"/>
  <c r="C5053" i="1"/>
  <c r="S5053" i="1"/>
  <c r="T5053" i="1"/>
  <c r="U5053" i="1"/>
  <c r="BB5053" i="1"/>
  <c r="BW5053" i="1"/>
  <c r="A5054" i="1"/>
  <c r="C5054" i="1"/>
  <c r="S5054" i="1"/>
  <c r="T5054" i="1"/>
  <c r="U5054" i="1"/>
  <c r="BB5054" i="1"/>
  <c r="BW5054" i="1"/>
  <c r="A5055" i="1"/>
  <c r="C5055" i="1"/>
  <c r="S5055" i="1"/>
  <c r="T5055" i="1"/>
  <c r="U5055" i="1"/>
  <c r="BB5055" i="1"/>
  <c r="BW5055" i="1"/>
  <c r="A5056" i="1"/>
  <c r="C5056" i="1"/>
  <c r="S5056" i="1"/>
  <c r="T5056" i="1"/>
  <c r="U5056" i="1"/>
  <c r="BB5056" i="1"/>
  <c r="BW5056" i="1"/>
  <c r="A5057" i="1"/>
  <c r="C5057" i="1"/>
  <c r="S5057" i="1"/>
  <c r="T5057" i="1"/>
  <c r="U5057" i="1"/>
  <c r="BB5057" i="1"/>
  <c r="BW5057" i="1"/>
  <c r="A5058" i="1"/>
  <c r="C5058" i="1"/>
  <c r="S5058" i="1"/>
  <c r="T5058" i="1"/>
  <c r="U5058" i="1"/>
  <c r="BB5058" i="1"/>
  <c r="BW5058" i="1"/>
  <c r="A5059" i="1"/>
  <c r="C5059" i="1"/>
  <c r="S5059" i="1"/>
  <c r="T5059" i="1"/>
  <c r="U5059" i="1"/>
  <c r="BB5059" i="1"/>
  <c r="BW5059" i="1"/>
  <c r="A5060" i="1"/>
  <c r="C5060" i="1"/>
  <c r="S5060" i="1"/>
  <c r="T5060" i="1"/>
  <c r="U5060" i="1"/>
  <c r="BB5060" i="1"/>
  <c r="BW5060" i="1"/>
  <c r="A5061" i="1"/>
  <c r="C5061" i="1"/>
  <c r="S5061" i="1"/>
  <c r="T5061" i="1"/>
  <c r="U5061" i="1"/>
  <c r="BB5061" i="1"/>
  <c r="BW5061" i="1"/>
  <c r="A5062" i="1"/>
  <c r="C5062" i="1"/>
  <c r="S5062" i="1"/>
  <c r="T5062" i="1"/>
  <c r="U5062" i="1"/>
  <c r="BB5062" i="1"/>
  <c r="BW5062" i="1"/>
  <c r="A5063" i="1"/>
  <c r="C5063" i="1"/>
  <c r="S5063" i="1"/>
  <c r="T5063" i="1"/>
  <c r="U5063" i="1"/>
  <c r="BB5063" i="1"/>
  <c r="BW5063" i="1"/>
  <c r="A5064" i="1"/>
  <c r="C5064" i="1"/>
  <c r="S5064" i="1"/>
  <c r="T5064" i="1"/>
  <c r="U5064" i="1"/>
  <c r="BB5064" i="1"/>
  <c r="BW5064" i="1"/>
  <c r="A5065" i="1"/>
  <c r="C5065" i="1"/>
  <c r="S5065" i="1"/>
  <c r="T5065" i="1"/>
  <c r="U5065" i="1"/>
  <c r="BB5065" i="1"/>
  <c r="BW5065" i="1"/>
  <c r="A5066" i="1"/>
  <c r="C5066" i="1"/>
  <c r="S5066" i="1"/>
  <c r="T5066" i="1"/>
  <c r="U5066" i="1"/>
  <c r="BB5066" i="1"/>
  <c r="BW5066" i="1"/>
  <c r="A5067" i="1"/>
  <c r="C5067" i="1"/>
  <c r="S5067" i="1"/>
  <c r="T5067" i="1"/>
  <c r="U5067" i="1"/>
  <c r="BB5067" i="1"/>
  <c r="BW5067" i="1"/>
  <c r="A5068" i="1"/>
  <c r="C5068" i="1"/>
  <c r="S5068" i="1"/>
  <c r="T5068" i="1"/>
  <c r="U5068" i="1"/>
  <c r="BB5068" i="1"/>
  <c r="BW5068" i="1"/>
  <c r="A5069" i="1"/>
  <c r="C5069" i="1"/>
  <c r="S5069" i="1"/>
  <c r="T5069" i="1"/>
  <c r="U5069" i="1"/>
  <c r="BB5069" i="1"/>
  <c r="BW5069" i="1"/>
  <c r="A5070" i="1"/>
  <c r="C5070" i="1"/>
  <c r="S5070" i="1"/>
  <c r="T5070" i="1"/>
  <c r="U5070" i="1"/>
  <c r="BB5070" i="1"/>
  <c r="BW5070" i="1"/>
  <c r="A5071" i="1"/>
  <c r="C5071" i="1"/>
  <c r="S5071" i="1"/>
  <c r="T5071" i="1"/>
  <c r="U5071" i="1"/>
  <c r="BB5071" i="1"/>
  <c r="BW5071" i="1"/>
  <c r="A5072" i="1"/>
  <c r="C5072" i="1"/>
  <c r="S5072" i="1"/>
  <c r="T5072" i="1"/>
  <c r="U5072" i="1"/>
  <c r="BB5072" i="1"/>
  <c r="BW5072" i="1"/>
  <c r="A5073" i="1"/>
  <c r="C5073" i="1"/>
  <c r="S5073" i="1"/>
  <c r="T5073" i="1"/>
  <c r="U5073" i="1"/>
  <c r="BB5073" i="1"/>
  <c r="BW5073" i="1"/>
  <c r="A5074" i="1"/>
  <c r="C5074" i="1"/>
  <c r="S5074" i="1"/>
  <c r="T5074" i="1"/>
  <c r="U5074" i="1"/>
  <c r="BB5074" i="1"/>
  <c r="BW5074" i="1"/>
  <c r="A5075" i="1"/>
  <c r="C5075" i="1"/>
  <c r="S5075" i="1"/>
  <c r="T5075" i="1"/>
  <c r="U5075" i="1"/>
  <c r="BB5075" i="1"/>
  <c r="BW5075" i="1"/>
  <c r="A5076" i="1"/>
  <c r="C5076" i="1"/>
  <c r="S5076" i="1"/>
  <c r="T5076" i="1"/>
  <c r="U5076" i="1"/>
  <c r="BB5076" i="1"/>
  <c r="BW5076" i="1"/>
  <c r="A5077" i="1"/>
  <c r="C5077" i="1"/>
  <c r="S5077" i="1"/>
  <c r="T5077" i="1"/>
  <c r="U5077" i="1"/>
  <c r="BB5077" i="1"/>
  <c r="BW5077" i="1"/>
  <c r="A5078" i="1"/>
  <c r="C5078" i="1"/>
  <c r="S5078" i="1"/>
  <c r="T5078" i="1"/>
  <c r="U5078" i="1"/>
  <c r="BB5078" i="1"/>
  <c r="BW5078" i="1"/>
  <c r="A5079" i="1"/>
  <c r="C5079" i="1"/>
  <c r="S5079" i="1"/>
  <c r="T5079" i="1"/>
  <c r="U5079" i="1"/>
  <c r="BB5079" i="1"/>
  <c r="BW5079" i="1"/>
  <c r="A5080" i="1"/>
  <c r="C5080" i="1"/>
  <c r="S5080" i="1"/>
  <c r="T5080" i="1"/>
  <c r="U5080" i="1"/>
  <c r="BB5080" i="1"/>
  <c r="BW5080" i="1"/>
  <c r="A5081" i="1"/>
  <c r="C5081" i="1"/>
  <c r="S5081" i="1"/>
  <c r="T5081" i="1"/>
  <c r="U5081" i="1"/>
  <c r="BB5081" i="1"/>
  <c r="BW5081" i="1"/>
  <c r="A5082" i="1"/>
  <c r="C5082" i="1"/>
  <c r="S5082" i="1"/>
  <c r="T5082" i="1"/>
  <c r="U5082" i="1"/>
  <c r="BB5082" i="1"/>
  <c r="BW5082" i="1"/>
  <c r="A5083" i="1"/>
  <c r="C5083" i="1"/>
  <c r="S5083" i="1"/>
  <c r="T5083" i="1"/>
  <c r="U5083" i="1"/>
  <c r="BB5083" i="1"/>
  <c r="BW5083" i="1"/>
  <c r="A5084" i="1"/>
  <c r="C5084" i="1"/>
  <c r="S5084" i="1"/>
  <c r="T5084" i="1"/>
  <c r="U5084" i="1"/>
  <c r="BB5084" i="1"/>
  <c r="BW5084" i="1"/>
  <c r="A5085" i="1"/>
  <c r="C5085" i="1"/>
  <c r="S5085" i="1"/>
  <c r="T5085" i="1"/>
  <c r="U5085" i="1"/>
  <c r="BB5085" i="1"/>
  <c r="BW5085" i="1"/>
  <c r="A5086" i="1"/>
  <c r="C5086" i="1"/>
  <c r="S5086" i="1"/>
  <c r="T5086" i="1"/>
  <c r="U5086" i="1"/>
  <c r="BB5086" i="1"/>
  <c r="BW5086" i="1"/>
  <c r="A5087" i="1"/>
  <c r="C5087" i="1"/>
  <c r="S5087" i="1"/>
  <c r="T5087" i="1"/>
  <c r="U5087" i="1"/>
  <c r="BB5087" i="1"/>
  <c r="BW5087" i="1"/>
  <c r="A5088" i="1"/>
  <c r="C5088" i="1"/>
  <c r="S5088" i="1"/>
  <c r="T5088" i="1"/>
  <c r="U5088" i="1"/>
  <c r="BB5088" i="1"/>
  <c r="BW5088" i="1"/>
  <c r="A5089" i="1"/>
  <c r="C5089" i="1"/>
  <c r="S5089" i="1"/>
  <c r="T5089" i="1"/>
  <c r="U5089" i="1"/>
  <c r="BB5089" i="1"/>
  <c r="BW5089" i="1"/>
  <c r="A5090" i="1"/>
  <c r="C5090" i="1"/>
  <c r="S5090" i="1"/>
  <c r="T5090" i="1"/>
  <c r="U5090" i="1"/>
  <c r="BB5090" i="1"/>
  <c r="BW5090" i="1"/>
  <c r="A5091" i="1"/>
  <c r="C5091" i="1"/>
  <c r="S5091" i="1"/>
  <c r="T5091" i="1"/>
  <c r="U5091" i="1"/>
  <c r="BB5091" i="1"/>
  <c r="BW5091" i="1"/>
  <c r="A5092" i="1"/>
  <c r="C5092" i="1"/>
  <c r="S5092" i="1"/>
  <c r="T5092" i="1"/>
  <c r="U5092" i="1"/>
  <c r="BB5092" i="1"/>
  <c r="BW5092" i="1"/>
  <c r="A5093" i="1"/>
  <c r="C5093" i="1"/>
  <c r="S5093" i="1"/>
  <c r="T5093" i="1"/>
  <c r="U5093" i="1"/>
  <c r="BB5093" i="1"/>
  <c r="BW5093" i="1"/>
  <c r="A5094" i="1"/>
  <c r="C5094" i="1"/>
  <c r="S5094" i="1"/>
  <c r="T5094" i="1"/>
  <c r="U5094" i="1"/>
  <c r="BB5094" i="1"/>
  <c r="BW5094" i="1"/>
  <c r="A5095" i="1"/>
  <c r="C5095" i="1"/>
  <c r="S5095" i="1"/>
  <c r="T5095" i="1"/>
  <c r="U5095" i="1"/>
  <c r="BB5095" i="1"/>
  <c r="BW5095" i="1"/>
  <c r="A5096" i="1"/>
  <c r="C5096" i="1"/>
  <c r="S5096" i="1"/>
  <c r="T5096" i="1"/>
  <c r="U5096" i="1"/>
  <c r="BB5096" i="1"/>
  <c r="BW5096" i="1"/>
  <c r="A5097" i="1"/>
  <c r="C5097" i="1"/>
  <c r="S5097" i="1"/>
  <c r="T5097" i="1"/>
  <c r="U5097" i="1"/>
  <c r="BB5097" i="1"/>
  <c r="BW5097" i="1"/>
  <c r="A5098" i="1"/>
  <c r="C5098" i="1"/>
  <c r="S5098" i="1"/>
  <c r="T5098" i="1"/>
  <c r="U5098" i="1"/>
  <c r="BB5098" i="1"/>
  <c r="BW5098" i="1"/>
  <c r="A5099" i="1"/>
  <c r="C5099" i="1"/>
  <c r="S5099" i="1"/>
  <c r="T5099" i="1"/>
  <c r="U5099" i="1"/>
  <c r="BB5099" i="1"/>
  <c r="BW5099" i="1"/>
  <c r="A5100" i="1"/>
  <c r="C5100" i="1"/>
  <c r="S5100" i="1"/>
  <c r="T5100" i="1"/>
  <c r="U5100" i="1"/>
  <c r="BB5100" i="1"/>
  <c r="BW5100" i="1"/>
  <c r="A5101" i="1"/>
  <c r="C5101" i="1"/>
  <c r="S5101" i="1"/>
  <c r="T5101" i="1"/>
  <c r="U5101" i="1"/>
  <c r="BB5101" i="1"/>
  <c r="BW5101" i="1"/>
  <c r="A5102" i="1"/>
  <c r="C5102" i="1"/>
  <c r="S5102" i="1"/>
  <c r="T5102" i="1"/>
  <c r="U5102" i="1"/>
  <c r="BB5102" i="1"/>
  <c r="BW5102" i="1"/>
  <c r="A5103" i="1"/>
  <c r="C5103" i="1"/>
  <c r="S5103" i="1"/>
  <c r="T5103" i="1"/>
  <c r="U5103" i="1"/>
  <c r="BB5103" i="1"/>
  <c r="BW5103" i="1"/>
  <c r="A5104" i="1"/>
  <c r="C5104" i="1"/>
  <c r="S5104" i="1"/>
  <c r="T5104" i="1"/>
  <c r="U5104" i="1"/>
  <c r="BB5104" i="1"/>
  <c r="BW5104" i="1"/>
  <c r="A5105" i="1"/>
  <c r="C5105" i="1"/>
  <c r="S5105" i="1"/>
  <c r="T5105" i="1"/>
  <c r="U5105" i="1"/>
  <c r="BB5105" i="1"/>
  <c r="BW5105" i="1"/>
  <c r="A5106" i="1"/>
  <c r="C5106" i="1"/>
  <c r="S5106" i="1"/>
  <c r="T5106" i="1"/>
  <c r="U5106" i="1"/>
  <c r="BB5106" i="1"/>
  <c r="BW5106" i="1"/>
  <c r="A5107" i="1"/>
  <c r="C5107" i="1"/>
  <c r="S5107" i="1"/>
  <c r="T5107" i="1"/>
  <c r="U5107" i="1"/>
  <c r="BB5107" i="1"/>
  <c r="BW5107" i="1"/>
  <c r="A5108" i="1"/>
  <c r="C5108" i="1"/>
  <c r="S5108" i="1"/>
  <c r="T5108" i="1"/>
  <c r="U5108" i="1"/>
  <c r="BB5108" i="1"/>
  <c r="BW5108" i="1"/>
  <c r="A5109" i="1"/>
  <c r="C5109" i="1"/>
  <c r="S5109" i="1"/>
  <c r="T5109" i="1"/>
  <c r="U5109" i="1"/>
  <c r="BB5109" i="1"/>
  <c r="BW5109" i="1"/>
  <c r="A5110" i="1"/>
  <c r="C5110" i="1"/>
  <c r="S5110" i="1"/>
  <c r="T5110" i="1"/>
  <c r="U5110" i="1"/>
  <c r="BB5110" i="1"/>
  <c r="BW5110" i="1"/>
  <c r="A5111" i="1"/>
  <c r="C5111" i="1"/>
  <c r="S5111" i="1"/>
  <c r="T5111" i="1"/>
  <c r="U5111" i="1"/>
  <c r="BB5111" i="1"/>
  <c r="BW5111" i="1"/>
  <c r="A5112" i="1"/>
  <c r="C5112" i="1"/>
  <c r="S5112" i="1"/>
  <c r="T5112" i="1"/>
  <c r="U5112" i="1"/>
  <c r="BB5112" i="1"/>
  <c r="BW5112" i="1"/>
  <c r="A5113" i="1"/>
  <c r="C5113" i="1"/>
  <c r="S5113" i="1"/>
  <c r="T5113" i="1"/>
  <c r="U5113" i="1"/>
  <c r="BB5113" i="1"/>
  <c r="BW5113" i="1"/>
  <c r="A5114" i="1"/>
  <c r="C5114" i="1"/>
  <c r="S5114" i="1"/>
  <c r="T5114" i="1"/>
  <c r="U5114" i="1"/>
  <c r="BB5114" i="1"/>
  <c r="BW5114" i="1"/>
  <c r="A5115" i="1"/>
  <c r="C5115" i="1"/>
  <c r="S5115" i="1"/>
  <c r="T5115" i="1"/>
  <c r="U5115" i="1"/>
  <c r="BB5115" i="1"/>
  <c r="BW5115" i="1"/>
  <c r="A5116" i="1"/>
  <c r="C5116" i="1"/>
  <c r="S5116" i="1"/>
  <c r="T5116" i="1"/>
  <c r="U5116" i="1"/>
  <c r="BB5116" i="1"/>
  <c r="BW5116" i="1"/>
  <c r="A5117" i="1"/>
  <c r="C5117" i="1"/>
  <c r="S5117" i="1"/>
  <c r="T5117" i="1"/>
  <c r="U5117" i="1"/>
  <c r="BB5117" i="1"/>
  <c r="BW5117" i="1"/>
  <c r="A5118" i="1"/>
  <c r="C5118" i="1"/>
  <c r="S5118" i="1"/>
  <c r="T5118" i="1"/>
  <c r="U5118" i="1"/>
  <c r="BB5118" i="1"/>
  <c r="BW5118" i="1"/>
  <c r="A5119" i="1"/>
  <c r="C5119" i="1"/>
  <c r="S5119" i="1"/>
  <c r="T5119" i="1"/>
  <c r="U5119" i="1"/>
  <c r="BB5119" i="1"/>
  <c r="BW5119" i="1"/>
  <c r="A5120" i="1"/>
  <c r="C5120" i="1"/>
  <c r="S5120" i="1"/>
  <c r="T5120" i="1"/>
  <c r="U5120" i="1"/>
  <c r="BB5120" i="1"/>
  <c r="BW5120" i="1"/>
  <c r="A5121" i="1"/>
  <c r="C5121" i="1"/>
  <c r="S5121" i="1"/>
  <c r="T5121" i="1"/>
  <c r="U5121" i="1"/>
  <c r="BB5121" i="1"/>
  <c r="BW5121" i="1"/>
  <c r="A5122" i="1"/>
  <c r="C5122" i="1"/>
  <c r="S5122" i="1"/>
  <c r="T5122" i="1"/>
  <c r="U5122" i="1"/>
  <c r="BB5122" i="1"/>
  <c r="BW5122" i="1"/>
  <c r="A5123" i="1"/>
  <c r="C5123" i="1"/>
  <c r="S5123" i="1"/>
  <c r="T5123" i="1"/>
  <c r="U5123" i="1"/>
  <c r="BB5123" i="1"/>
  <c r="BW5123" i="1"/>
  <c r="A5124" i="1"/>
  <c r="C5124" i="1"/>
  <c r="S5124" i="1"/>
  <c r="T5124" i="1"/>
  <c r="U5124" i="1"/>
  <c r="BB5124" i="1"/>
  <c r="BW5124" i="1"/>
  <c r="A5125" i="1"/>
  <c r="C5125" i="1"/>
  <c r="S5125" i="1"/>
  <c r="T5125" i="1"/>
  <c r="U5125" i="1"/>
  <c r="BB5125" i="1"/>
  <c r="BW5125" i="1"/>
  <c r="A5126" i="1"/>
  <c r="C5126" i="1"/>
  <c r="S5126" i="1"/>
  <c r="T5126" i="1"/>
  <c r="U5126" i="1"/>
  <c r="BB5126" i="1"/>
  <c r="BW5126" i="1"/>
  <c r="A5127" i="1"/>
  <c r="C5127" i="1"/>
  <c r="S5127" i="1"/>
  <c r="T5127" i="1"/>
  <c r="U5127" i="1"/>
  <c r="BB5127" i="1"/>
  <c r="BW5127" i="1"/>
  <c r="A5128" i="1"/>
  <c r="C5128" i="1"/>
  <c r="S5128" i="1"/>
  <c r="T5128" i="1"/>
  <c r="U5128" i="1"/>
  <c r="BB5128" i="1"/>
  <c r="BW5128" i="1"/>
  <c r="A5129" i="1"/>
  <c r="C5129" i="1"/>
  <c r="S5129" i="1"/>
  <c r="T5129" i="1"/>
  <c r="U5129" i="1"/>
  <c r="BB5129" i="1"/>
  <c r="BW5129" i="1"/>
  <c r="A5130" i="1"/>
  <c r="C5130" i="1"/>
  <c r="S5130" i="1"/>
  <c r="T5130" i="1"/>
  <c r="U5130" i="1"/>
  <c r="BB5130" i="1"/>
  <c r="BW5130" i="1"/>
  <c r="A5131" i="1"/>
  <c r="C5131" i="1"/>
  <c r="S5131" i="1"/>
  <c r="T5131" i="1"/>
  <c r="U5131" i="1"/>
  <c r="BB5131" i="1"/>
  <c r="BW5131" i="1"/>
  <c r="A5132" i="1"/>
  <c r="C5132" i="1"/>
  <c r="S5132" i="1"/>
  <c r="T5132" i="1"/>
  <c r="U5132" i="1"/>
  <c r="BB5132" i="1"/>
  <c r="BW5132" i="1"/>
  <c r="A5133" i="1"/>
  <c r="C5133" i="1"/>
  <c r="S5133" i="1"/>
  <c r="T5133" i="1"/>
  <c r="U5133" i="1"/>
  <c r="BB5133" i="1"/>
  <c r="BW5133" i="1"/>
  <c r="A5134" i="1"/>
  <c r="C5134" i="1"/>
  <c r="S5134" i="1"/>
  <c r="T5134" i="1"/>
  <c r="U5134" i="1"/>
  <c r="BB5134" i="1"/>
  <c r="BW5134" i="1"/>
  <c r="A5135" i="1"/>
  <c r="C5135" i="1"/>
  <c r="S5135" i="1"/>
  <c r="T5135" i="1"/>
  <c r="U5135" i="1"/>
  <c r="BB5135" i="1"/>
  <c r="BW5135" i="1"/>
  <c r="A5136" i="1"/>
  <c r="C5136" i="1"/>
  <c r="S5136" i="1"/>
  <c r="T5136" i="1"/>
  <c r="U5136" i="1"/>
  <c r="BB5136" i="1"/>
  <c r="BW5136" i="1"/>
  <c r="A5137" i="1"/>
  <c r="C5137" i="1"/>
  <c r="S5137" i="1"/>
  <c r="T5137" i="1"/>
  <c r="U5137" i="1"/>
  <c r="BB5137" i="1"/>
  <c r="BW5137" i="1"/>
  <c r="A5138" i="1"/>
  <c r="C5138" i="1"/>
  <c r="S5138" i="1"/>
  <c r="T5138" i="1"/>
  <c r="U5138" i="1"/>
  <c r="BB5138" i="1"/>
  <c r="BW5138" i="1"/>
  <c r="A5139" i="1"/>
  <c r="C5139" i="1"/>
  <c r="S5139" i="1"/>
  <c r="T5139" i="1"/>
  <c r="U5139" i="1"/>
  <c r="BB5139" i="1"/>
  <c r="BW5139" i="1"/>
  <c r="A5140" i="1"/>
  <c r="C5140" i="1"/>
  <c r="S5140" i="1"/>
  <c r="T5140" i="1"/>
  <c r="U5140" i="1"/>
  <c r="BB5140" i="1"/>
  <c r="BW5140" i="1"/>
  <c r="A5141" i="1"/>
  <c r="C5141" i="1"/>
  <c r="S5141" i="1"/>
  <c r="T5141" i="1"/>
  <c r="U5141" i="1"/>
  <c r="BB5141" i="1"/>
  <c r="BW5141" i="1"/>
  <c r="A5142" i="1"/>
  <c r="C5142" i="1"/>
  <c r="S5142" i="1"/>
  <c r="T5142" i="1"/>
  <c r="U5142" i="1"/>
  <c r="BB5142" i="1"/>
  <c r="BW5142" i="1"/>
  <c r="A5143" i="1"/>
  <c r="C5143" i="1"/>
  <c r="S5143" i="1"/>
  <c r="T5143" i="1"/>
  <c r="U5143" i="1"/>
  <c r="BB5143" i="1"/>
  <c r="BW5143" i="1"/>
  <c r="A5144" i="1"/>
  <c r="C5144" i="1"/>
  <c r="S5144" i="1"/>
  <c r="T5144" i="1"/>
  <c r="U5144" i="1"/>
  <c r="BB5144" i="1"/>
  <c r="BW5144" i="1"/>
  <c r="A5145" i="1"/>
  <c r="C5145" i="1"/>
  <c r="S5145" i="1"/>
  <c r="T5145" i="1"/>
  <c r="U5145" i="1"/>
  <c r="BB5145" i="1"/>
  <c r="BW5145" i="1"/>
  <c r="A5146" i="1"/>
  <c r="C5146" i="1"/>
  <c r="S5146" i="1"/>
  <c r="T5146" i="1"/>
  <c r="U5146" i="1"/>
  <c r="BB5146" i="1"/>
  <c r="BW5146" i="1"/>
  <c r="A5147" i="1"/>
  <c r="C5147" i="1"/>
  <c r="S5147" i="1"/>
  <c r="T5147" i="1"/>
  <c r="U5147" i="1"/>
  <c r="BB5147" i="1"/>
  <c r="BW5147" i="1"/>
  <c r="A5148" i="1"/>
  <c r="C5148" i="1"/>
  <c r="S5148" i="1"/>
  <c r="T5148" i="1"/>
  <c r="U5148" i="1"/>
  <c r="BB5148" i="1"/>
  <c r="BW5148" i="1"/>
  <c r="A5149" i="1"/>
  <c r="C5149" i="1"/>
  <c r="S5149" i="1"/>
  <c r="T5149" i="1"/>
  <c r="U5149" i="1"/>
  <c r="BB5149" i="1"/>
  <c r="BW5149" i="1"/>
  <c r="A5150" i="1"/>
  <c r="C5150" i="1"/>
  <c r="S5150" i="1"/>
  <c r="T5150" i="1"/>
  <c r="U5150" i="1"/>
  <c r="BB5150" i="1"/>
  <c r="BW5150" i="1"/>
  <c r="A5151" i="1"/>
  <c r="C5151" i="1"/>
  <c r="S5151" i="1"/>
  <c r="T5151" i="1"/>
  <c r="U5151" i="1"/>
  <c r="BB5151" i="1"/>
  <c r="BW5151" i="1"/>
  <c r="A5152" i="1"/>
  <c r="C5152" i="1"/>
  <c r="S5152" i="1"/>
  <c r="T5152" i="1"/>
  <c r="U5152" i="1"/>
  <c r="BB5152" i="1"/>
  <c r="BW5152" i="1"/>
  <c r="A5153" i="1"/>
  <c r="C5153" i="1"/>
  <c r="S5153" i="1"/>
  <c r="T5153" i="1"/>
  <c r="U5153" i="1"/>
  <c r="BB5153" i="1"/>
  <c r="BW5153" i="1"/>
  <c r="A5154" i="1"/>
  <c r="C5154" i="1"/>
  <c r="S5154" i="1"/>
  <c r="T5154" i="1"/>
  <c r="U5154" i="1"/>
  <c r="BB5154" i="1"/>
  <c r="BW5154" i="1"/>
  <c r="A5155" i="1"/>
  <c r="C5155" i="1"/>
  <c r="S5155" i="1"/>
  <c r="T5155" i="1"/>
  <c r="U5155" i="1"/>
  <c r="BB5155" i="1"/>
  <c r="BW5155" i="1"/>
  <c r="A5156" i="1"/>
  <c r="C5156" i="1"/>
  <c r="S5156" i="1"/>
  <c r="T5156" i="1"/>
  <c r="U5156" i="1"/>
  <c r="BB5156" i="1"/>
  <c r="BW5156" i="1"/>
  <c r="A5157" i="1"/>
  <c r="C5157" i="1"/>
  <c r="S5157" i="1"/>
  <c r="T5157" i="1"/>
  <c r="U5157" i="1"/>
  <c r="BB5157" i="1"/>
  <c r="BW5157" i="1"/>
  <c r="A5158" i="1"/>
  <c r="C5158" i="1"/>
  <c r="S5158" i="1"/>
  <c r="T5158" i="1"/>
  <c r="U5158" i="1"/>
  <c r="BB5158" i="1"/>
  <c r="BW5158" i="1"/>
  <c r="A5159" i="1"/>
  <c r="C5159" i="1"/>
  <c r="S5159" i="1"/>
  <c r="T5159" i="1"/>
  <c r="U5159" i="1"/>
  <c r="BB5159" i="1"/>
  <c r="BW5159" i="1"/>
  <c r="A5160" i="1"/>
  <c r="C5160" i="1"/>
  <c r="S5160" i="1"/>
  <c r="T5160" i="1"/>
  <c r="U5160" i="1"/>
  <c r="BB5160" i="1"/>
  <c r="BW5160" i="1"/>
  <c r="A5161" i="1"/>
  <c r="C5161" i="1"/>
  <c r="S5161" i="1"/>
  <c r="T5161" i="1"/>
  <c r="U5161" i="1"/>
  <c r="BB5161" i="1"/>
  <c r="BW5161" i="1"/>
  <c r="A5162" i="1"/>
  <c r="C5162" i="1"/>
  <c r="S5162" i="1"/>
  <c r="T5162" i="1"/>
  <c r="U5162" i="1"/>
  <c r="BB5162" i="1"/>
  <c r="BW5162" i="1"/>
  <c r="A5163" i="1"/>
  <c r="C5163" i="1"/>
  <c r="S5163" i="1"/>
  <c r="T5163" i="1"/>
  <c r="U5163" i="1"/>
  <c r="BB5163" i="1"/>
  <c r="BW5163" i="1"/>
  <c r="A5164" i="1"/>
  <c r="C5164" i="1"/>
  <c r="S5164" i="1"/>
  <c r="T5164" i="1"/>
  <c r="U5164" i="1"/>
  <c r="BB5164" i="1"/>
  <c r="BW5164" i="1"/>
  <c r="A5165" i="1"/>
  <c r="C5165" i="1"/>
  <c r="S5165" i="1"/>
  <c r="T5165" i="1"/>
  <c r="U5165" i="1"/>
  <c r="BB5165" i="1"/>
  <c r="BW5165" i="1"/>
  <c r="A5166" i="1"/>
  <c r="C5166" i="1"/>
  <c r="S5166" i="1"/>
  <c r="T5166" i="1"/>
  <c r="U5166" i="1"/>
  <c r="BB5166" i="1"/>
  <c r="BW5166" i="1"/>
  <c r="A5167" i="1"/>
  <c r="C5167" i="1"/>
  <c r="S5167" i="1"/>
  <c r="T5167" i="1"/>
  <c r="U5167" i="1"/>
  <c r="BB5167" i="1"/>
  <c r="BW5167" i="1"/>
  <c r="A5168" i="1"/>
  <c r="C5168" i="1"/>
  <c r="S5168" i="1"/>
  <c r="T5168" i="1"/>
  <c r="U5168" i="1"/>
  <c r="BB5168" i="1"/>
  <c r="BW5168" i="1"/>
  <c r="A5169" i="1"/>
  <c r="C5169" i="1"/>
  <c r="S5169" i="1"/>
  <c r="T5169" i="1"/>
  <c r="U5169" i="1"/>
  <c r="BB5169" i="1"/>
  <c r="BW5169" i="1"/>
  <c r="A5170" i="1"/>
  <c r="C5170" i="1"/>
  <c r="S5170" i="1"/>
  <c r="T5170" i="1"/>
  <c r="U5170" i="1"/>
  <c r="BB5170" i="1"/>
  <c r="BW5170" i="1"/>
  <c r="A5171" i="1"/>
  <c r="C5171" i="1"/>
  <c r="S5171" i="1"/>
  <c r="T5171" i="1"/>
  <c r="U5171" i="1"/>
  <c r="BB5171" i="1"/>
  <c r="BW5171" i="1"/>
  <c r="A5172" i="1"/>
  <c r="C5172" i="1"/>
  <c r="S5172" i="1"/>
  <c r="T5172" i="1"/>
  <c r="U5172" i="1"/>
  <c r="BB5172" i="1"/>
  <c r="BW5172" i="1"/>
  <c r="A5173" i="1"/>
  <c r="C5173" i="1"/>
  <c r="S5173" i="1"/>
  <c r="T5173" i="1"/>
  <c r="U5173" i="1"/>
  <c r="BB5173" i="1"/>
  <c r="BW5173" i="1"/>
  <c r="A5174" i="1"/>
  <c r="C5174" i="1"/>
  <c r="S5174" i="1"/>
  <c r="T5174" i="1"/>
  <c r="U5174" i="1"/>
  <c r="BB5174" i="1"/>
  <c r="BW5174" i="1"/>
  <c r="A5175" i="1"/>
  <c r="C5175" i="1"/>
  <c r="S5175" i="1"/>
  <c r="T5175" i="1"/>
  <c r="U5175" i="1"/>
  <c r="BB5175" i="1"/>
  <c r="BW5175" i="1"/>
  <c r="A5176" i="1"/>
  <c r="C5176" i="1"/>
  <c r="S5176" i="1"/>
  <c r="T5176" i="1"/>
  <c r="U5176" i="1"/>
  <c r="BB5176" i="1"/>
  <c r="BW5176" i="1"/>
  <c r="A5177" i="1"/>
  <c r="C5177" i="1"/>
  <c r="S5177" i="1"/>
  <c r="T5177" i="1"/>
  <c r="U5177" i="1"/>
  <c r="BB5177" i="1"/>
  <c r="BW5177" i="1"/>
  <c r="A5178" i="1"/>
  <c r="C5178" i="1"/>
  <c r="S5178" i="1"/>
  <c r="T5178" i="1"/>
  <c r="U5178" i="1"/>
  <c r="BB5178" i="1"/>
  <c r="BW5178" i="1"/>
  <c r="A5179" i="1"/>
  <c r="C5179" i="1"/>
  <c r="S5179" i="1"/>
  <c r="T5179" i="1"/>
  <c r="U5179" i="1"/>
  <c r="BB5179" i="1"/>
  <c r="BW5179" i="1"/>
  <c r="A5180" i="1"/>
  <c r="C5180" i="1"/>
  <c r="S5180" i="1"/>
  <c r="T5180" i="1"/>
  <c r="U5180" i="1"/>
  <c r="BB5180" i="1"/>
  <c r="BW5180" i="1"/>
  <c r="A5181" i="1"/>
  <c r="C5181" i="1"/>
  <c r="S5181" i="1"/>
  <c r="T5181" i="1"/>
  <c r="U5181" i="1"/>
  <c r="BB5181" i="1"/>
  <c r="BW5181" i="1"/>
  <c r="A5182" i="1"/>
  <c r="C5182" i="1"/>
  <c r="S5182" i="1"/>
  <c r="T5182" i="1"/>
  <c r="U5182" i="1"/>
  <c r="BB5182" i="1"/>
  <c r="BW5182" i="1"/>
  <c r="A5183" i="1"/>
  <c r="C5183" i="1"/>
  <c r="S5183" i="1"/>
  <c r="T5183" i="1"/>
  <c r="U5183" i="1"/>
  <c r="BB5183" i="1"/>
  <c r="BW5183" i="1"/>
  <c r="A5184" i="1"/>
  <c r="C5184" i="1"/>
  <c r="S5184" i="1"/>
  <c r="T5184" i="1"/>
  <c r="U5184" i="1"/>
  <c r="BB5184" i="1"/>
  <c r="BW5184" i="1"/>
  <c r="A5185" i="1"/>
  <c r="C5185" i="1"/>
  <c r="S5185" i="1"/>
  <c r="T5185" i="1"/>
  <c r="U5185" i="1"/>
  <c r="BB5185" i="1"/>
  <c r="BW5185" i="1"/>
  <c r="A5186" i="1"/>
  <c r="C5186" i="1"/>
  <c r="S5186" i="1"/>
  <c r="T5186" i="1"/>
  <c r="U5186" i="1"/>
  <c r="BB5186" i="1"/>
  <c r="BW5186" i="1"/>
  <c r="A5187" i="1"/>
  <c r="C5187" i="1"/>
  <c r="S5187" i="1"/>
  <c r="T5187" i="1"/>
  <c r="U5187" i="1"/>
  <c r="BB5187" i="1"/>
  <c r="BW5187" i="1"/>
  <c r="A5188" i="1"/>
  <c r="C5188" i="1"/>
  <c r="S5188" i="1"/>
  <c r="T5188" i="1"/>
  <c r="U5188" i="1"/>
  <c r="BB5188" i="1"/>
  <c r="BW5188" i="1"/>
  <c r="A5189" i="1"/>
  <c r="C5189" i="1"/>
  <c r="S5189" i="1"/>
  <c r="T5189" i="1"/>
  <c r="U5189" i="1"/>
  <c r="BB5189" i="1"/>
  <c r="BW5189" i="1"/>
  <c r="A5190" i="1"/>
  <c r="C5190" i="1"/>
  <c r="S5190" i="1"/>
  <c r="T5190" i="1"/>
  <c r="U5190" i="1"/>
  <c r="BB5190" i="1"/>
  <c r="BW5190" i="1"/>
  <c r="A5191" i="1"/>
  <c r="C5191" i="1"/>
  <c r="S5191" i="1"/>
  <c r="T5191" i="1"/>
  <c r="U5191" i="1"/>
  <c r="BB5191" i="1"/>
  <c r="BW5191" i="1"/>
  <c r="A5192" i="1"/>
  <c r="C5192" i="1"/>
  <c r="S5192" i="1"/>
  <c r="T5192" i="1"/>
  <c r="U5192" i="1"/>
  <c r="BB5192" i="1"/>
  <c r="BW5192" i="1"/>
  <c r="A5193" i="1"/>
  <c r="C5193" i="1"/>
  <c r="S5193" i="1"/>
  <c r="T5193" i="1"/>
  <c r="U5193" i="1"/>
  <c r="BB5193" i="1"/>
  <c r="BW5193" i="1"/>
  <c r="A5194" i="1"/>
  <c r="C5194" i="1"/>
  <c r="S5194" i="1"/>
  <c r="T5194" i="1"/>
  <c r="U5194" i="1"/>
  <c r="BB5194" i="1"/>
  <c r="BW5194" i="1"/>
  <c r="A5195" i="1"/>
  <c r="C5195" i="1"/>
  <c r="S5195" i="1"/>
  <c r="T5195" i="1"/>
  <c r="U5195" i="1"/>
  <c r="BB5195" i="1"/>
  <c r="BW5195" i="1"/>
  <c r="A5196" i="1"/>
  <c r="C5196" i="1"/>
  <c r="S5196" i="1"/>
  <c r="T5196" i="1"/>
  <c r="U5196" i="1"/>
  <c r="BB5196" i="1"/>
  <c r="BW5196" i="1"/>
  <c r="A5197" i="1"/>
  <c r="C5197" i="1"/>
  <c r="S5197" i="1"/>
  <c r="T5197" i="1"/>
  <c r="U5197" i="1"/>
  <c r="BB5197" i="1"/>
  <c r="BW5197" i="1"/>
  <c r="A5198" i="1"/>
  <c r="C5198" i="1"/>
  <c r="S5198" i="1"/>
  <c r="T5198" i="1"/>
  <c r="U5198" i="1"/>
  <c r="BB5198" i="1"/>
  <c r="BW5198" i="1"/>
  <c r="A5199" i="1"/>
  <c r="C5199" i="1"/>
  <c r="S5199" i="1"/>
  <c r="T5199" i="1"/>
  <c r="U5199" i="1"/>
  <c r="BB5199" i="1"/>
  <c r="BW5199" i="1"/>
  <c r="A5200" i="1"/>
  <c r="C5200" i="1"/>
  <c r="S5200" i="1"/>
  <c r="T5200" i="1"/>
  <c r="U5200" i="1"/>
  <c r="BB5200" i="1"/>
  <c r="BW5200" i="1"/>
  <c r="A5201" i="1"/>
  <c r="C5201" i="1"/>
  <c r="S5201" i="1"/>
  <c r="T5201" i="1"/>
  <c r="U5201" i="1"/>
  <c r="BB5201" i="1"/>
  <c r="BW5201" i="1"/>
  <c r="A5202" i="1"/>
  <c r="C5202" i="1"/>
  <c r="S5202" i="1"/>
  <c r="T5202" i="1"/>
  <c r="U5202" i="1"/>
  <c r="BB5202" i="1"/>
  <c r="BW5202" i="1"/>
  <c r="A5203" i="1"/>
  <c r="C5203" i="1"/>
  <c r="S5203" i="1"/>
  <c r="T5203" i="1"/>
  <c r="U5203" i="1"/>
  <c r="BB5203" i="1"/>
  <c r="BW5203" i="1"/>
  <c r="A5204" i="1"/>
  <c r="C5204" i="1"/>
  <c r="S5204" i="1"/>
  <c r="T5204" i="1"/>
  <c r="U5204" i="1"/>
  <c r="BB5204" i="1"/>
  <c r="BW5204" i="1"/>
  <c r="A5205" i="1"/>
  <c r="C5205" i="1"/>
  <c r="S5205" i="1"/>
  <c r="T5205" i="1"/>
  <c r="U5205" i="1"/>
  <c r="BB5205" i="1"/>
  <c r="BW5205" i="1"/>
  <c r="A5206" i="1"/>
  <c r="C5206" i="1"/>
  <c r="S5206" i="1"/>
  <c r="T5206" i="1"/>
  <c r="U5206" i="1"/>
  <c r="BB5206" i="1"/>
  <c r="BW5206" i="1"/>
  <c r="A5207" i="1"/>
  <c r="C5207" i="1"/>
  <c r="S5207" i="1"/>
  <c r="T5207" i="1"/>
  <c r="U5207" i="1"/>
  <c r="BB5207" i="1"/>
  <c r="BW5207" i="1"/>
  <c r="A5208" i="1"/>
  <c r="C5208" i="1"/>
  <c r="S5208" i="1"/>
  <c r="T5208" i="1"/>
  <c r="U5208" i="1"/>
  <c r="BB5208" i="1"/>
  <c r="BW5208" i="1"/>
  <c r="A5209" i="1"/>
  <c r="C5209" i="1"/>
  <c r="S5209" i="1"/>
  <c r="T5209" i="1"/>
  <c r="U5209" i="1"/>
  <c r="BB5209" i="1"/>
  <c r="BW5209" i="1"/>
  <c r="A5210" i="1"/>
  <c r="C5210" i="1"/>
  <c r="S5210" i="1"/>
  <c r="T5210" i="1"/>
  <c r="U5210" i="1"/>
  <c r="BB5210" i="1"/>
  <c r="BW5210" i="1"/>
  <c r="A5211" i="1"/>
  <c r="C5211" i="1"/>
  <c r="S5211" i="1"/>
  <c r="T5211" i="1"/>
  <c r="U5211" i="1"/>
  <c r="BB5211" i="1"/>
  <c r="BW5211" i="1"/>
  <c r="A5212" i="1"/>
  <c r="C5212" i="1"/>
  <c r="S5212" i="1"/>
  <c r="T5212" i="1"/>
  <c r="U5212" i="1"/>
  <c r="BB5212" i="1"/>
  <c r="BW5212" i="1"/>
  <c r="A5213" i="1"/>
  <c r="C5213" i="1"/>
  <c r="S5213" i="1"/>
  <c r="T5213" i="1"/>
  <c r="U5213" i="1"/>
  <c r="BB5213" i="1"/>
  <c r="BW5213" i="1"/>
  <c r="A5214" i="1"/>
  <c r="C5214" i="1"/>
  <c r="S5214" i="1"/>
  <c r="T5214" i="1"/>
  <c r="U5214" i="1"/>
  <c r="BB5214" i="1"/>
  <c r="BW5214" i="1"/>
  <c r="A5215" i="1"/>
  <c r="C5215" i="1"/>
  <c r="S5215" i="1"/>
  <c r="T5215" i="1"/>
  <c r="U5215" i="1"/>
  <c r="BB5215" i="1"/>
  <c r="BW5215" i="1"/>
  <c r="A5216" i="1"/>
  <c r="C5216" i="1"/>
  <c r="S5216" i="1"/>
  <c r="T5216" i="1"/>
  <c r="U5216" i="1"/>
  <c r="BB5216" i="1"/>
  <c r="BW5216" i="1"/>
  <c r="A5217" i="1"/>
  <c r="C5217" i="1"/>
  <c r="S5217" i="1"/>
  <c r="T5217" i="1"/>
  <c r="U5217" i="1"/>
  <c r="BB5217" i="1"/>
  <c r="BW5217" i="1"/>
  <c r="A5218" i="1"/>
  <c r="C5218" i="1"/>
  <c r="S5218" i="1"/>
  <c r="T5218" i="1"/>
  <c r="U5218" i="1"/>
  <c r="BB5218" i="1"/>
  <c r="BW5218" i="1"/>
  <c r="A5219" i="1"/>
  <c r="C5219" i="1"/>
  <c r="S5219" i="1"/>
  <c r="T5219" i="1"/>
  <c r="U5219" i="1"/>
  <c r="BB5219" i="1"/>
  <c r="BW5219" i="1"/>
  <c r="A5220" i="1"/>
  <c r="C5220" i="1"/>
  <c r="S5220" i="1"/>
  <c r="T5220" i="1"/>
  <c r="U5220" i="1"/>
  <c r="BB5220" i="1"/>
  <c r="BW5220" i="1"/>
  <c r="A5221" i="1"/>
  <c r="C5221" i="1"/>
  <c r="S5221" i="1"/>
  <c r="T5221" i="1"/>
  <c r="U5221" i="1"/>
  <c r="BB5221" i="1"/>
  <c r="BW5221" i="1"/>
  <c r="A5222" i="1"/>
  <c r="C5222" i="1"/>
  <c r="S5222" i="1"/>
  <c r="T5222" i="1"/>
  <c r="U5222" i="1"/>
  <c r="BB5222" i="1"/>
  <c r="BW5222" i="1"/>
  <c r="A5223" i="1"/>
  <c r="C5223" i="1"/>
  <c r="S5223" i="1"/>
  <c r="T5223" i="1"/>
  <c r="U5223" i="1"/>
  <c r="BB5223" i="1"/>
  <c r="BW5223" i="1"/>
  <c r="A5224" i="1"/>
  <c r="C5224" i="1"/>
  <c r="S5224" i="1"/>
  <c r="T5224" i="1"/>
  <c r="U5224" i="1"/>
  <c r="BB5224" i="1"/>
  <c r="BW5224" i="1"/>
  <c r="A5225" i="1"/>
  <c r="C5225" i="1"/>
  <c r="S5225" i="1"/>
  <c r="T5225" i="1"/>
  <c r="U5225" i="1"/>
  <c r="BB5225" i="1"/>
  <c r="BW5225" i="1"/>
  <c r="A5226" i="1"/>
  <c r="C5226" i="1"/>
  <c r="S5226" i="1"/>
  <c r="T5226" i="1"/>
  <c r="U5226" i="1"/>
  <c r="BB5226" i="1"/>
  <c r="BW5226" i="1"/>
  <c r="A5227" i="1"/>
  <c r="C5227" i="1"/>
  <c r="S5227" i="1"/>
  <c r="T5227" i="1"/>
  <c r="U5227" i="1"/>
  <c r="BB5227" i="1"/>
  <c r="BW5227" i="1"/>
  <c r="A5228" i="1"/>
  <c r="C5228" i="1"/>
  <c r="S5228" i="1"/>
  <c r="T5228" i="1"/>
  <c r="U5228" i="1"/>
  <c r="BB5228" i="1"/>
  <c r="BW5228" i="1"/>
  <c r="A5229" i="1"/>
  <c r="C5229" i="1"/>
  <c r="S5229" i="1"/>
  <c r="T5229" i="1"/>
  <c r="U5229" i="1"/>
  <c r="BB5229" i="1"/>
  <c r="BW5229" i="1"/>
  <c r="A5230" i="1"/>
  <c r="C5230" i="1"/>
  <c r="S5230" i="1"/>
  <c r="T5230" i="1"/>
  <c r="U5230" i="1"/>
  <c r="BB5230" i="1"/>
  <c r="BW5230" i="1"/>
  <c r="A5231" i="1"/>
  <c r="C5231" i="1"/>
  <c r="S5231" i="1"/>
  <c r="T5231" i="1"/>
  <c r="U5231" i="1"/>
  <c r="BB5231" i="1"/>
  <c r="BW5231" i="1"/>
  <c r="A5232" i="1"/>
  <c r="C5232" i="1"/>
  <c r="S5232" i="1"/>
  <c r="T5232" i="1"/>
  <c r="U5232" i="1"/>
  <c r="BB5232" i="1"/>
  <c r="BW5232" i="1"/>
  <c r="A5233" i="1"/>
  <c r="C5233" i="1"/>
  <c r="S5233" i="1"/>
  <c r="T5233" i="1"/>
  <c r="U5233" i="1"/>
  <c r="BB5233" i="1"/>
  <c r="BW5233" i="1"/>
  <c r="A5234" i="1"/>
  <c r="C5234" i="1"/>
  <c r="S5234" i="1"/>
  <c r="T5234" i="1"/>
  <c r="U5234" i="1"/>
  <c r="BB5234" i="1"/>
  <c r="BW5234" i="1"/>
  <c r="A5235" i="1"/>
  <c r="C5235" i="1"/>
  <c r="S5235" i="1"/>
  <c r="T5235" i="1"/>
  <c r="U5235" i="1"/>
  <c r="BB5235" i="1"/>
  <c r="BW5235" i="1"/>
  <c r="A5236" i="1"/>
  <c r="C5236" i="1"/>
  <c r="S5236" i="1"/>
  <c r="T5236" i="1"/>
  <c r="U5236" i="1"/>
  <c r="BB5236" i="1"/>
  <c r="BW5236" i="1"/>
  <c r="A5237" i="1"/>
  <c r="C5237" i="1"/>
  <c r="S5237" i="1"/>
  <c r="T5237" i="1"/>
  <c r="U5237" i="1"/>
  <c r="BB5237" i="1"/>
  <c r="BW5237" i="1"/>
  <c r="A5238" i="1"/>
  <c r="C5238" i="1"/>
  <c r="S5238" i="1"/>
  <c r="T5238" i="1"/>
  <c r="U5238" i="1"/>
  <c r="BB5238" i="1"/>
  <c r="BW5238" i="1"/>
  <c r="A5239" i="1"/>
  <c r="C5239" i="1"/>
  <c r="S5239" i="1"/>
  <c r="T5239" i="1"/>
  <c r="U5239" i="1"/>
  <c r="BB5239" i="1"/>
  <c r="BW5239" i="1"/>
  <c r="A5240" i="1"/>
  <c r="C5240" i="1"/>
  <c r="S5240" i="1"/>
  <c r="T5240" i="1"/>
  <c r="U5240" i="1"/>
  <c r="BB5240" i="1"/>
  <c r="BW5240" i="1"/>
  <c r="A5241" i="1"/>
  <c r="C5241" i="1"/>
  <c r="S5241" i="1"/>
  <c r="T5241" i="1"/>
  <c r="U5241" i="1"/>
  <c r="BB5241" i="1"/>
  <c r="BW5241" i="1"/>
  <c r="A5242" i="1"/>
  <c r="C5242" i="1"/>
  <c r="S5242" i="1"/>
  <c r="T5242" i="1"/>
  <c r="U5242" i="1"/>
  <c r="BB5242" i="1"/>
  <c r="BW5242" i="1"/>
  <c r="A5243" i="1"/>
  <c r="C5243" i="1"/>
  <c r="S5243" i="1"/>
  <c r="T5243" i="1"/>
  <c r="U5243" i="1"/>
  <c r="BB5243" i="1"/>
  <c r="BW5243" i="1"/>
  <c r="A5244" i="1"/>
  <c r="C5244" i="1"/>
  <c r="S5244" i="1"/>
  <c r="T5244" i="1"/>
  <c r="U5244" i="1"/>
  <c r="BB5244" i="1"/>
  <c r="BW5244" i="1"/>
  <c r="A5245" i="1"/>
  <c r="C5245" i="1"/>
  <c r="S5245" i="1"/>
  <c r="T5245" i="1"/>
  <c r="U5245" i="1"/>
  <c r="BB5245" i="1"/>
  <c r="BW5245" i="1"/>
  <c r="A5246" i="1"/>
  <c r="C5246" i="1"/>
  <c r="S5246" i="1"/>
  <c r="T5246" i="1"/>
  <c r="U5246" i="1"/>
  <c r="BB5246" i="1"/>
  <c r="BW5246" i="1"/>
  <c r="A5247" i="1"/>
  <c r="C5247" i="1"/>
  <c r="S5247" i="1"/>
  <c r="T5247" i="1"/>
  <c r="U5247" i="1"/>
  <c r="BB5247" i="1"/>
  <c r="BW5247" i="1"/>
  <c r="A5248" i="1"/>
  <c r="C5248" i="1"/>
  <c r="S5248" i="1"/>
  <c r="T5248" i="1"/>
  <c r="U5248" i="1"/>
  <c r="BB5248" i="1"/>
  <c r="BW5248" i="1"/>
  <c r="A5249" i="1"/>
  <c r="C5249" i="1"/>
  <c r="S5249" i="1"/>
  <c r="T5249" i="1"/>
  <c r="U5249" i="1"/>
  <c r="BB5249" i="1"/>
  <c r="BW5249" i="1"/>
  <c r="A5250" i="1"/>
  <c r="C5250" i="1"/>
  <c r="S5250" i="1"/>
  <c r="T5250" i="1"/>
  <c r="U5250" i="1"/>
  <c r="BB5250" i="1"/>
  <c r="BW5250" i="1"/>
  <c r="A5251" i="1"/>
  <c r="C5251" i="1"/>
  <c r="S5251" i="1"/>
  <c r="T5251" i="1"/>
  <c r="U5251" i="1"/>
  <c r="BB5251" i="1"/>
  <c r="BW5251" i="1"/>
  <c r="A5252" i="1"/>
  <c r="C5252" i="1"/>
  <c r="S5252" i="1"/>
  <c r="T5252" i="1"/>
  <c r="U5252" i="1"/>
  <c r="BB5252" i="1"/>
  <c r="BW5252" i="1"/>
  <c r="A5253" i="1"/>
  <c r="C5253" i="1"/>
  <c r="S5253" i="1"/>
  <c r="T5253" i="1"/>
  <c r="U5253" i="1"/>
  <c r="BB5253" i="1"/>
  <c r="BW5253" i="1"/>
  <c r="A5254" i="1"/>
  <c r="C5254" i="1"/>
  <c r="S5254" i="1"/>
  <c r="T5254" i="1"/>
  <c r="U5254" i="1"/>
  <c r="BB5254" i="1"/>
  <c r="BW5254" i="1"/>
  <c r="A5255" i="1"/>
  <c r="C5255" i="1"/>
  <c r="S5255" i="1"/>
  <c r="T5255" i="1"/>
  <c r="U5255" i="1"/>
  <c r="BB5255" i="1"/>
  <c r="BW5255" i="1"/>
  <c r="A5256" i="1"/>
  <c r="C5256" i="1"/>
  <c r="S5256" i="1"/>
  <c r="T5256" i="1"/>
  <c r="U5256" i="1"/>
  <c r="BB5256" i="1"/>
  <c r="BW5256" i="1"/>
  <c r="A5257" i="1"/>
  <c r="C5257" i="1"/>
  <c r="S5257" i="1"/>
  <c r="T5257" i="1"/>
  <c r="U5257" i="1"/>
  <c r="BB5257" i="1"/>
  <c r="BW5257" i="1"/>
  <c r="A5258" i="1"/>
  <c r="C5258" i="1"/>
  <c r="S5258" i="1"/>
  <c r="T5258" i="1"/>
  <c r="U5258" i="1"/>
  <c r="BB5258" i="1"/>
  <c r="BW5258" i="1"/>
  <c r="A5259" i="1"/>
  <c r="C5259" i="1"/>
  <c r="S5259" i="1"/>
  <c r="T5259" i="1"/>
  <c r="U5259" i="1"/>
  <c r="BB5259" i="1"/>
  <c r="BW5259" i="1"/>
  <c r="A5260" i="1"/>
  <c r="C5260" i="1"/>
  <c r="S5260" i="1"/>
  <c r="T5260" i="1"/>
  <c r="U5260" i="1"/>
  <c r="BB5260" i="1"/>
  <c r="BW5260" i="1"/>
  <c r="A5261" i="1"/>
  <c r="C5261" i="1"/>
  <c r="S5261" i="1"/>
  <c r="T5261" i="1"/>
  <c r="U5261" i="1"/>
  <c r="BB5261" i="1"/>
  <c r="BW5261" i="1"/>
  <c r="A5262" i="1"/>
  <c r="C5262" i="1"/>
  <c r="S5262" i="1"/>
  <c r="T5262" i="1"/>
  <c r="U5262" i="1"/>
  <c r="BB5262" i="1"/>
  <c r="BW5262" i="1"/>
  <c r="A5263" i="1"/>
  <c r="C5263" i="1"/>
  <c r="S5263" i="1"/>
  <c r="T5263" i="1"/>
  <c r="U5263" i="1"/>
  <c r="BB5263" i="1"/>
  <c r="BW5263" i="1"/>
  <c r="A5264" i="1"/>
  <c r="C5264" i="1"/>
  <c r="S5264" i="1"/>
  <c r="T5264" i="1"/>
  <c r="U5264" i="1"/>
  <c r="BB5264" i="1"/>
  <c r="BW5264" i="1"/>
  <c r="A5265" i="1"/>
  <c r="C5265" i="1"/>
  <c r="S5265" i="1"/>
  <c r="T5265" i="1"/>
  <c r="U5265" i="1"/>
  <c r="BB5265" i="1"/>
  <c r="BW5265" i="1"/>
  <c r="A5266" i="1"/>
  <c r="C5266" i="1"/>
  <c r="S5266" i="1"/>
  <c r="T5266" i="1"/>
  <c r="U5266" i="1"/>
  <c r="BB5266" i="1"/>
  <c r="BW5266" i="1"/>
  <c r="A5267" i="1"/>
  <c r="C5267" i="1"/>
  <c r="S5267" i="1"/>
  <c r="T5267" i="1"/>
  <c r="U5267" i="1"/>
  <c r="BB5267" i="1"/>
  <c r="BW5267" i="1"/>
  <c r="A5268" i="1"/>
  <c r="C5268" i="1"/>
  <c r="S5268" i="1"/>
  <c r="T5268" i="1"/>
  <c r="U5268" i="1"/>
  <c r="BB5268" i="1"/>
  <c r="BW5268" i="1"/>
  <c r="A5269" i="1"/>
  <c r="C5269" i="1"/>
  <c r="S5269" i="1"/>
  <c r="T5269" i="1"/>
  <c r="U5269" i="1"/>
  <c r="BB5269" i="1"/>
  <c r="BW5269" i="1"/>
  <c r="A5270" i="1"/>
  <c r="C5270" i="1"/>
  <c r="S5270" i="1"/>
  <c r="T5270" i="1"/>
  <c r="U5270" i="1"/>
  <c r="BB5270" i="1"/>
  <c r="BW5270" i="1"/>
  <c r="A5271" i="1"/>
  <c r="C5271" i="1"/>
  <c r="S5271" i="1"/>
  <c r="T5271" i="1"/>
  <c r="U5271" i="1"/>
  <c r="BB5271" i="1"/>
  <c r="BW5271" i="1"/>
  <c r="A5272" i="1"/>
  <c r="C5272" i="1"/>
  <c r="S5272" i="1"/>
  <c r="T5272" i="1"/>
  <c r="U5272" i="1"/>
  <c r="BB5272" i="1"/>
  <c r="BW5272" i="1"/>
  <c r="A5273" i="1"/>
  <c r="C5273" i="1"/>
  <c r="S5273" i="1"/>
  <c r="T5273" i="1"/>
  <c r="U5273" i="1"/>
  <c r="BB5273" i="1"/>
  <c r="BW5273" i="1"/>
  <c r="A5274" i="1"/>
  <c r="C5274" i="1"/>
  <c r="S5274" i="1"/>
  <c r="T5274" i="1"/>
  <c r="U5274" i="1"/>
  <c r="BB5274" i="1"/>
  <c r="BW5274" i="1"/>
  <c r="A5275" i="1"/>
  <c r="C5275" i="1"/>
  <c r="S5275" i="1"/>
  <c r="T5275" i="1"/>
  <c r="U5275" i="1"/>
  <c r="BB5275" i="1"/>
  <c r="BW5275" i="1"/>
  <c r="A5276" i="1"/>
  <c r="C5276" i="1"/>
  <c r="S5276" i="1"/>
  <c r="T5276" i="1"/>
  <c r="U5276" i="1"/>
  <c r="BB5276" i="1"/>
  <c r="BW5276" i="1"/>
  <c r="A5277" i="1"/>
  <c r="C5277" i="1"/>
  <c r="S5277" i="1"/>
  <c r="T5277" i="1"/>
  <c r="U5277" i="1"/>
  <c r="BB5277" i="1"/>
  <c r="BW5277" i="1"/>
  <c r="A5278" i="1"/>
  <c r="C5278" i="1"/>
  <c r="S5278" i="1"/>
  <c r="T5278" i="1"/>
  <c r="U5278" i="1"/>
  <c r="BB5278" i="1"/>
  <c r="BW5278" i="1"/>
  <c r="A5279" i="1"/>
  <c r="C5279" i="1"/>
  <c r="S5279" i="1"/>
  <c r="T5279" i="1"/>
  <c r="U5279" i="1"/>
  <c r="BB5279" i="1"/>
  <c r="BW5279" i="1"/>
  <c r="A5280" i="1"/>
  <c r="C5280" i="1"/>
  <c r="S5280" i="1"/>
  <c r="T5280" i="1"/>
  <c r="U5280" i="1"/>
  <c r="BB5280" i="1"/>
  <c r="BW5280" i="1"/>
  <c r="A5281" i="1"/>
  <c r="C5281" i="1"/>
  <c r="S5281" i="1"/>
  <c r="T5281" i="1"/>
  <c r="U5281" i="1"/>
  <c r="BB5281" i="1"/>
  <c r="BW5281" i="1"/>
  <c r="A5282" i="1"/>
  <c r="C5282" i="1"/>
  <c r="S5282" i="1"/>
  <c r="T5282" i="1"/>
  <c r="U5282" i="1"/>
  <c r="BB5282" i="1"/>
  <c r="BW5282" i="1"/>
  <c r="A5283" i="1"/>
  <c r="C5283" i="1"/>
  <c r="S5283" i="1"/>
  <c r="T5283" i="1"/>
  <c r="U5283" i="1"/>
  <c r="BB5283" i="1"/>
  <c r="BW5283" i="1"/>
  <c r="A5284" i="1"/>
  <c r="C5284" i="1"/>
  <c r="S5284" i="1"/>
  <c r="T5284" i="1"/>
  <c r="U5284" i="1"/>
  <c r="BB5284" i="1"/>
  <c r="BW5284" i="1"/>
  <c r="A5285" i="1"/>
  <c r="C5285" i="1"/>
  <c r="S5285" i="1"/>
  <c r="T5285" i="1"/>
  <c r="U5285" i="1"/>
  <c r="BB5285" i="1"/>
  <c r="BW5285" i="1"/>
  <c r="A5286" i="1"/>
  <c r="C5286" i="1"/>
  <c r="S5286" i="1"/>
  <c r="T5286" i="1"/>
  <c r="U5286" i="1"/>
  <c r="BB5286" i="1"/>
  <c r="BW5286" i="1"/>
  <c r="A5287" i="1"/>
  <c r="C5287" i="1"/>
  <c r="S5287" i="1"/>
  <c r="T5287" i="1"/>
  <c r="U5287" i="1"/>
  <c r="BB5287" i="1"/>
  <c r="BW5287" i="1"/>
  <c r="A5288" i="1"/>
  <c r="C5288" i="1"/>
  <c r="S5288" i="1"/>
  <c r="T5288" i="1"/>
  <c r="U5288" i="1"/>
  <c r="BB5288" i="1"/>
  <c r="BW5288" i="1"/>
  <c r="A5289" i="1"/>
  <c r="C5289" i="1"/>
  <c r="S5289" i="1"/>
  <c r="T5289" i="1"/>
  <c r="U5289" i="1"/>
  <c r="BB5289" i="1"/>
  <c r="BW5289" i="1"/>
  <c r="A5290" i="1"/>
  <c r="C5290" i="1"/>
  <c r="S5290" i="1"/>
  <c r="T5290" i="1"/>
  <c r="U5290" i="1"/>
  <c r="BB5290" i="1"/>
  <c r="BW5290" i="1"/>
  <c r="A5291" i="1"/>
  <c r="C5291" i="1"/>
  <c r="S5291" i="1"/>
  <c r="T5291" i="1"/>
  <c r="U5291" i="1"/>
  <c r="BB5291" i="1"/>
  <c r="BW5291" i="1"/>
  <c r="A5292" i="1"/>
  <c r="C5292" i="1"/>
  <c r="S5292" i="1"/>
  <c r="T5292" i="1"/>
  <c r="U5292" i="1"/>
  <c r="BB5292" i="1"/>
  <c r="BW5292" i="1"/>
  <c r="A5293" i="1"/>
  <c r="C5293" i="1"/>
  <c r="S5293" i="1"/>
  <c r="T5293" i="1"/>
  <c r="U5293" i="1"/>
  <c r="BB5293" i="1"/>
  <c r="BW5293" i="1"/>
  <c r="A5294" i="1"/>
  <c r="C5294" i="1"/>
  <c r="S5294" i="1"/>
  <c r="T5294" i="1"/>
  <c r="U5294" i="1"/>
  <c r="BB5294" i="1"/>
  <c r="BW5294" i="1"/>
  <c r="A5295" i="1"/>
  <c r="C5295" i="1"/>
  <c r="S5295" i="1"/>
  <c r="T5295" i="1"/>
  <c r="U5295" i="1"/>
  <c r="BB5295" i="1"/>
  <c r="BW5295" i="1"/>
  <c r="A5296" i="1"/>
  <c r="C5296" i="1"/>
  <c r="S5296" i="1"/>
  <c r="T5296" i="1"/>
  <c r="U5296" i="1"/>
  <c r="BB5296" i="1"/>
  <c r="BW5296" i="1"/>
  <c r="A5297" i="1"/>
  <c r="C5297" i="1"/>
  <c r="S5297" i="1"/>
  <c r="T5297" i="1"/>
  <c r="U5297" i="1"/>
  <c r="BB5297" i="1"/>
  <c r="BW5297" i="1"/>
  <c r="A5298" i="1"/>
  <c r="C5298" i="1"/>
  <c r="S5298" i="1"/>
  <c r="T5298" i="1"/>
  <c r="U5298" i="1"/>
  <c r="BB5298" i="1"/>
  <c r="BW5298" i="1"/>
  <c r="A5299" i="1"/>
  <c r="C5299" i="1"/>
  <c r="S5299" i="1"/>
  <c r="T5299" i="1"/>
  <c r="U5299" i="1"/>
  <c r="BB5299" i="1"/>
  <c r="BW5299" i="1"/>
  <c r="A5300" i="1"/>
  <c r="C5300" i="1"/>
  <c r="S5300" i="1"/>
  <c r="T5300" i="1"/>
  <c r="U5300" i="1"/>
  <c r="BB5300" i="1"/>
  <c r="BW5300" i="1"/>
  <c r="A5301" i="1"/>
  <c r="C5301" i="1"/>
  <c r="S5301" i="1"/>
  <c r="T5301" i="1"/>
  <c r="U5301" i="1"/>
  <c r="BB5301" i="1"/>
  <c r="BW5301" i="1"/>
  <c r="A5302" i="1"/>
  <c r="C5302" i="1"/>
  <c r="S5302" i="1"/>
  <c r="T5302" i="1"/>
  <c r="U5302" i="1"/>
  <c r="BB5302" i="1"/>
  <c r="BW5302" i="1"/>
  <c r="A5303" i="1"/>
  <c r="C5303" i="1"/>
  <c r="S5303" i="1"/>
  <c r="T5303" i="1"/>
  <c r="U5303" i="1"/>
  <c r="BB5303" i="1"/>
  <c r="BW5303" i="1"/>
  <c r="A5304" i="1"/>
  <c r="C5304" i="1"/>
  <c r="S5304" i="1"/>
  <c r="T5304" i="1"/>
  <c r="U5304" i="1"/>
  <c r="BB5304" i="1"/>
  <c r="BW5304" i="1"/>
  <c r="A5305" i="1"/>
  <c r="C5305" i="1"/>
  <c r="S5305" i="1"/>
  <c r="T5305" i="1"/>
  <c r="U5305" i="1"/>
  <c r="BB5305" i="1"/>
  <c r="BW5305" i="1"/>
  <c r="A5306" i="1"/>
  <c r="C5306" i="1"/>
  <c r="S5306" i="1"/>
  <c r="T5306" i="1"/>
  <c r="U5306" i="1"/>
  <c r="BB5306" i="1"/>
  <c r="BW5306" i="1"/>
  <c r="A5307" i="1"/>
  <c r="C5307" i="1"/>
  <c r="S5307" i="1"/>
  <c r="T5307" i="1"/>
  <c r="U5307" i="1"/>
  <c r="BB5307" i="1"/>
  <c r="BW5307" i="1"/>
  <c r="A5308" i="1"/>
  <c r="C5308" i="1"/>
  <c r="S5308" i="1"/>
  <c r="T5308" i="1"/>
  <c r="U5308" i="1"/>
  <c r="BB5308" i="1"/>
  <c r="BW5308" i="1"/>
  <c r="A5309" i="1"/>
  <c r="C5309" i="1"/>
  <c r="S5309" i="1"/>
  <c r="T5309" i="1"/>
  <c r="U5309" i="1"/>
  <c r="BB5309" i="1"/>
  <c r="BW5309" i="1"/>
  <c r="A5310" i="1"/>
  <c r="C5310" i="1"/>
  <c r="S5310" i="1"/>
  <c r="T5310" i="1"/>
  <c r="U5310" i="1"/>
  <c r="BB5310" i="1"/>
  <c r="BW5310" i="1"/>
  <c r="A5311" i="1"/>
  <c r="C5311" i="1"/>
  <c r="S5311" i="1"/>
  <c r="T5311" i="1"/>
  <c r="U5311" i="1"/>
  <c r="BB5311" i="1"/>
  <c r="BW5311" i="1"/>
  <c r="A5312" i="1"/>
  <c r="C5312" i="1"/>
  <c r="S5312" i="1"/>
  <c r="T5312" i="1"/>
  <c r="U5312" i="1"/>
  <c r="BB5312" i="1"/>
  <c r="BW5312" i="1"/>
  <c r="A5313" i="1"/>
  <c r="C5313" i="1"/>
  <c r="S5313" i="1"/>
  <c r="T5313" i="1"/>
  <c r="U5313" i="1"/>
  <c r="BB5313" i="1"/>
  <c r="BW5313" i="1"/>
  <c r="A5314" i="1"/>
  <c r="C5314" i="1"/>
  <c r="S5314" i="1"/>
  <c r="T5314" i="1"/>
  <c r="U5314" i="1"/>
  <c r="BB5314" i="1"/>
  <c r="BW5314" i="1"/>
  <c r="A5315" i="1"/>
  <c r="C5315" i="1"/>
  <c r="S5315" i="1"/>
  <c r="T5315" i="1"/>
  <c r="U5315" i="1"/>
  <c r="BB5315" i="1"/>
  <c r="BW5315" i="1"/>
  <c r="A5316" i="1"/>
  <c r="C5316" i="1"/>
  <c r="S5316" i="1"/>
  <c r="T5316" i="1"/>
  <c r="U5316" i="1"/>
  <c r="BB5316" i="1"/>
  <c r="BW5316" i="1"/>
  <c r="A5317" i="1"/>
  <c r="C5317" i="1"/>
  <c r="S5317" i="1"/>
  <c r="T5317" i="1"/>
  <c r="U5317" i="1"/>
  <c r="BB5317" i="1"/>
  <c r="BW5317" i="1"/>
  <c r="A5318" i="1"/>
  <c r="C5318" i="1"/>
  <c r="S5318" i="1"/>
  <c r="T5318" i="1"/>
  <c r="U5318" i="1"/>
  <c r="BB5318" i="1"/>
  <c r="BW5318" i="1"/>
  <c r="A5319" i="1"/>
  <c r="C5319" i="1"/>
  <c r="S5319" i="1"/>
  <c r="T5319" i="1"/>
  <c r="U5319" i="1"/>
  <c r="BB5319" i="1"/>
  <c r="BW5319" i="1"/>
  <c r="A5320" i="1"/>
  <c r="C5320" i="1"/>
  <c r="S5320" i="1"/>
  <c r="T5320" i="1"/>
  <c r="U5320" i="1"/>
  <c r="BB5320" i="1"/>
  <c r="BW5320" i="1"/>
  <c r="A5321" i="1"/>
  <c r="C5321" i="1"/>
  <c r="S5321" i="1"/>
  <c r="T5321" i="1"/>
  <c r="U5321" i="1"/>
  <c r="BB5321" i="1"/>
  <c r="BW5321" i="1"/>
  <c r="A5322" i="1"/>
  <c r="C5322" i="1"/>
  <c r="S5322" i="1"/>
  <c r="T5322" i="1"/>
  <c r="U5322" i="1"/>
  <c r="BB5322" i="1"/>
  <c r="BW5322" i="1"/>
  <c r="A5323" i="1"/>
  <c r="C5323" i="1"/>
  <c r="S5323" i="1"/>
  <c r="T5323" i="1"/>
  <c r="U5323" i="1"/>
  <c r="BB5323" i="1"/>
  <c r="BW5323" i="1"/>
  <c r="A5324" i="1"/>
  <c r="C5324" i="1"/>
  <c r="S5324" i="1"/>
  <c r="T5324" i="1"/>
  <c r="U5324" i="1"/>
  <c r="BB5324" i="1"/>
  <c r="BW5324" i="1"/>
  <c r="A5325" i="1"/>
  <c r="C5325" i="1"/>
  <c r="S5325" i="1"/>
  <c r="T5325" i="1"/>
  <c r="U5325" i="1"/>
  <c r="BB5325" i="1"/>
  <c r="BW5325" i="1"/>
  <c r="A5326" i="1"/>
  <c r="C5326" i="1"/>
  <c r="S5326" i="1"/>
  <c r="T5326" i="1"/>
  <c r="U5326" i="1"/>
  <c r="BB5326" i="1"/>
  <c r="BW5326" i="1"/>
  <c r="A5327" i="1"/>
  <c r="C5327" i="1"/>
  <c r="S5327" i="1"/>
  <c r="T5327" i="1"/>
  <c r="U5327" i="1"/>
  <c r="BB5327" i="1"/>
  <c r="BW5327" i="1"/>
  <c r="A5328" i="1"/>
  <c r="C5328" i="1"/>
  <c r="S5328" i="1"/>
  <c r="T5328" i="1"/>
  <c r="U5328" i="1"/>
  <c r="BB5328" i="1"/>
  <c r="BW5328" i="1"/>
  <c r="A5329" i="1"/>
  <c r="C5329" i="1"/>
  <c r="S5329" i="1"/>
  <c r="T5329" i="1"/>
  <c r="U5329" i="1"/>
  <c r="BB5329" i="1"/>
  <c r="BW5329" i="1"/>
  <c r="A5330" i="1"/>
  <c r="C5330" i="1"/>
  <c r="S5330" i="1"/>
  <c r="T5330" i="1"/>
  <c r="U5330" i="1"/>
  <c r="BB5330" i="1"/>
  <c r="BW5330" i="1"/>
  <c r="A5331" i="1"/>
  <c r="C5331" i="1"/>
  <c r="S5331" i="1"/>
  <c r="T5331" i="1"/>
  <c r="U5331" i="1"/>
  <c r="BB5331" i="1"/>
  <c r="BW5331" i="1"/>
  <c r="A5332" i="1"/>
  <c r="C5332" i="1"/>
  <c r="S5332" i="1"/>
  <c r="T5332" i="1"/>
  <c r="U5332" i="1"/>
  <c r="BB5332" i="1"/>
  <c r="BW5332" i="1"/>
  <c r="A5333" i="1"/>
  <c r="C5333" i="1"/>
  <c r="S5333" i="1"/>
  <c r="T5333" i="1"/>
  <c r="U5333" i="1"/>
  <c r="BB5333" i="1"/>
  <c r="BW5333" i="1"/>
  <c r="A5334" i="1"/>
  <c r="C5334" i="1"/>
  <c r="S5334" i="1"/>
  <c r="T5334" i="1"/>
  <c r="U5334" i="1"/>
  <c r="BB5334" i="1"/>
  <c r="BW5334" i="1"/>
  <c r="A5335" i="1"/>
  <c r="C5335" i="1"/>
  <c r="S5335" i="1"/>
  <c r="T5335" i="1"/>
  <c r="U5335" i="1"/>
  <c r="BB5335" i="1"/>
  <c r="BW5335" i="1"/>
  <c r="A5336" i="1"/>
  <c r="C5336" i="1"/>
  <c r="S5336" i="1"/>
  <c r="T5336" i="1"/>
  <c r="U5336" i="1"/>
  <c r="BB5336" i="1"/>
  <c r="BW5336" i="1"/>
  <c r="A5337" i="1"/>
  <c r="C5337" i="1"/>
  <c r="S5337" i="1"/>
  <c r="T5337" i="1"/>
  <c r="U5337" i="1"/>
  <c r="BB5337" i="1"/>
  <c r="BW5337" i="1"/>
  <c r="A5338" i="1"/>
  <c r="C5338" i="1"/>
  <c r="S5338" i="1"/>
  <c r="T5338" i="1"/>
  <c r="U5338" i="1"/>
  <c r="BB5338" i="1"/>
  <c r="BW5338" i="1"/>
  <c r="A5339" i="1"/>
  <c r="C5339" i="1"/>
  <c r="S5339" i="1"/>
  <c r="T5339" i="1"/>
  <c r="U5339" i="1"/>
  <c r="BB5339" i="1"/>
  <c r="BW5339" i="1"/>
  <c r="A5340" i="1"/>
  <c r="C5340" i="1"/>
  <c r="S5340" i="1"/>
  <c r="T5340" i="1"/>
  <c r="U5340" i="1"/>
  <c r="BB5340" i="1"/>
  <c r="BW5340" i="1"/>
  <c r="A5341" i="1"/>
  <c r="C5341" i="1"/>
  <c r="S5341" i="1"/>
  <c r="T5341" i="1"/>
  <c r="U5341" i="1"/>
  <c r="BB5341" i="1"/>
  <c r="BW5341" i="1"/>
  <c r="A5342" i="1"/>
  <c r="C5342" i="1"/>
  <c r="S5342" i="1"/>
  <c r="T5342" i="1"/>
  <c r="U5342" i="1"/>
  <c r="BB5342" i="1"/>
  <c r="BW5342" i="1"/>
  <c r="A5343" i="1"/>
  <c r="C5343" i="1"/>
  <c r="S5343" i="1"/>
  <c r="T5343" i="1"/>
  <c r="U5343" i="1"/>
  <c r="BB5343" i="1"/>
  <c r="BW5343" i="1"/>
  <c r="A5344" i="1"/>
  <c r="C5344" i="1"/>
  <c r="S5344" i="1"/>
  <c r="T5344" i="1"/>
  <c r="U5344" i="1"/>
  <c r="BB5344" i="1"/>
  <c r="BW5344" i="1"/>
  <c r="A5345" i="1"/>
  <c r="C5345" i="1"/>
  <c r="S5345" i="1"/>
  <c r="T5345" i="1"/>
  <c r="U5345" i="1"/>
  <c r="BB5345" i="1"/>
  <c r="BW5345" i="1"/>
  <c r="A5346" i="1"/>
  <c r="C5346" i="1"/>
  <c r="S5346" i="1"/>
  <c r="T5346" i="1"/>
  <c r="U5346" i="1"/>
  <c r="BB5346" i="1"/>
  <c r="BW5346" i="1"/>
  <c r="A5347" i="1"/>
  <c r="C5347" i="1"/>
  <c r="S5347" i="1"/>
  <c r="T5347" i="1"/>
  <c r="U5347" i="1"/>
  <c r="BB5347" i="1"/>
  <c r="BW5347" i="1"/>
  <c r="A5348" i="1"/>
  <c r="C5348" i="1"/>
  <c r="S5348" i="1"/>
  <c r="T5348" i="1"/>
  <c r="U5348" i="1"/>
  <c r="BB5348" i="1"/>
  <c r="BW5348" i="1"/>
  <c r="A5349" i="1"/>
  <c r="C5349" i="1"/>
  <c r="S5349" i="1"/>
  <c r="T5349" i="1"/>
  <c r="U5349" i="1"/>
  <c r="BB5349" i="1"/>
  <c r="BW5349" i="1"/>
  <c r="A5350" i="1"/>
  <c r="C5350" i="1"/>
  <c r="S5350" i="1"/>
  <c r="T5350" i="1"/>
  <c r="U5350" i="1"/>
  <c r="BB5350" i="1"/>
  <c r="BW5350" i="1"/>
  <c r="A5351" i="1"/>
  <c r="C5351" i="1"/>
  <c r="S5351" i="1"/>
  <c r="T5351" i="1"/>
  <c r="U5351" i="1"/>
  <c r="BB5351" i="1"/>
  <c r="BW5351" i="1"/>
  <c r="A5352" i="1"/>
  <c r="C5352" i="1"/>
  <c r="S5352" i="1"/>
  <c r="T5352" i="1"/>
  <c r="U5352" i="1"/>
  <c r="BB5352" i="1"/>
  <c r="BW5352" i="1"/>
  <c r="A5353" i="1"/>
  <c r="C5353" i="1"/>
  <c r="S5353" i="1"/>
  <c r="T5353" i="1"/>
  <c r="U5353" i="1"/>
  <c r="BB5353" i="1"/>
  <c r="BW5353" i="1"/>
  <c r="A5354" i="1"/>
  <c r="C5354" i="1"/>
  <c r="S5354" i="1"/>
  <c r="T5354" i="1"/>
  <c r="U5354" i="1"/>
  <c r="BB5354" i="1"/>
  <c r="BW5354" i="1"/>
  <c r="A5355" i="1"/>
  <c r="C5355" i="1"/>
  <c r="S5355" i="1"/>
  <c r="T5355" i="1"/>
  <c r="U5355" i="1"/>
  <c r="BB5355" i="1"/>
  <c r="BW5355" i="1"/>
  <c r="A5356" i="1"/>
  <c r="C5356" i="1"/>
  <c r="S5356" i="1"/>
  <c r="T5356" i="1"/>
  <c r="U5356" i="1"/>
  <c r="BB5356" i="1"/>
  <c r="BW5356" i="1"/>
  <c r="A5357" i="1"/>
  <c r="C5357" i="1"/>
  <c r="S5357" i="1"/>
  <c r="T5357" i="1"/>
  <c r="U5357" i="1"/>
  <c r="BB5357" i="1"/>
  <c r="BW5357" i="1"/>
  <c r="A5358" i="1"/>
  <c r="C5358" i="1"/>
  <c r="S5358" i="1"/>
  <c r="T5358" i="1"/>
  <c r="U5358" i="1"/>
  <c r="BB5358" i="1"/>
  <c r="BW5358" i="1"/>
  <c r="A5359" i="1"/>
  <c r="C5359" i="1"/>
  <c r="S5359" i="1"/>
  <c r="T5359" i="1"/>
  <c r="U5359" i="1"/>
  <c r="BB5359" i="1"/>
  <c r="BW5359" i="1"/>
  <c r="A5360" i="1"/>
  <c r="C5360" i="1"/>
  <c r="S5360" i="1"/>
  <c r="T5360" i="1"/>
  <c r="U5360" i="1"/>
  <c r="BB5360" i="1"/>
  <c r="BW5360" i="1"/>
  <c r="A5361" i="1"/>
  <c r="C5361" i="1"/>
  <c r="S5361" i="1"/>
  <c r="T5361" i="1"/>
  <c r="U5361" i="1"/>
  <c r="BB5361" i="1"/>
  <c r="BW5361" i="1"/>
  <c r="A5362" i="1"/>
  <c r="C5362" i="1"/>
  <c r="S5362" i="1"/>
  <c r="T5362" i="1"/>
  <c r="U5362" i="1"/>
  <c r="BB5362" i="1"/>
  <c r="BW5362" i="1"/>
  <c r="A5363" i="1"/>
  <c r="C5363" i="1"/>
  <c r="S5363" i="1"/>
  <c r="T5363" i="1"/>
  <c r="U5363" i="1"/>
  <c r="BB5363" i="1"/>
  <c r="BW5363" i="1"/>
  <c r="A5364" i="1"/>
  <c r="C5364" i="1"/>
  <c r="S5364" i="1"/>
  <c r="T5364" i="1"/>
  <c r="U5364" i="1"/>
  <c r="BB5364" i="1"/>
  <c r="BW5364" i="1"/>
  <c r="A5365" i="1"/>
  <c r="C5365" i="1"/>
  <c r="S5365" i="1"/>
  <c r="T5365" i="1"/>
  <c r="U5365" i="1"/>
  <c r="BB5365" i="1"/>
  <c r="BW5365" i="1"/>
  <c r="A5366" i="1"/>
  <c r="C5366" i="1"/>
  <c r="S5366" i="1"/>
  <c r="T5366" i="1"/>
  <c r="U5366" i="1"/>
  <c r="BB5366" i="1"/>
  <c r="BW5366" i="1"/>
  <c r="A5367" i="1"/>
  <c r="C5367" i="1"/>
  <c r="S5367" i="1"/>
  <c r="T5367" i="1"/>
  <c r="U5367" i="1"/>
  <c r="BB5367" i="1"/>
  <c r="BW5367" i="1"/>
  <c r="A5368" i="1"/>
  <c r="C5368" i="1"/>
  <c r="S5368" i="1"/>
  <c r="T5368" i="1"/>
  <c r="U5368" i="1"/>
  <c r="BB5368" i="1"/>
  <c r="BW5368" i="1"/>
  <c r="A5369" i="1"/>
  <c r="C5369" i="1"/>
  <c r="S5369" i="1"/>
  <c r="T5369" i="1"/>
  <c r="U5369" i="1"/>
  <c r="BB5369" i="1"/>
  <c r="BW5369" i="1"/>
  <c r="A5370" i="1"/>
  <c r="C5370" i="1"/>
  <c r="S5370" i="1"/>
  <c r="T5370" i="1"/>
  <c r="U5370" i="1"/>
  <c r="BB5370" i="1"/>
  <c r="BW5370" i="1"/>
  <c r="A5371" i="1"/>
  <c r="C5371" i="1"/>
  <c r="S5371" i="1"/>
  <c r="T5371" i="1"/>
  <c r="U5371" i="1"/>
  <c r="BB5371" i="1"/>
  <c r="BW5371" i="1"/>
  <c r="A5372" i="1"/>
  <c r="C5372" i="1"/>
  <c r="S5372" i="1"/>
  <c r="T5372" i="1"/>
  <c r="U5372" i="1"/>
  <c r="BB5372" i="1"/>
  <c r="BW5372" i="1"/>
  <c r="A5373" i="1"/>
  <c r="C5373" i="1"/>
  <c r="S5373" i="1"/>
  <c r="T5373" i="1"/>
  <c r="U5373" i="1"/>
  <c r="BB5373" i="1"/>
  <c r="BW5373" i="1"/>
  <c r="A5374" i="1"/>
  <c r="C5374" i="1"/>
  <c r="S5374" i="1"/>
  <c r="T5374" i="1"/>
  <c r="U5374" i="1"/>
  <c r="BB5374" i="1"/>
  <c r="BW5374" i="1"/>
  <c r="A5375" i="1"/>
  <c r="C5375" i="1"/>
  <c r="S5375" i="1"/>
  <c r="T5375" i="1"/>
  <c r="U5375" i="1"/>
  <c r="BB5375" i="1"/>
  <c r="BW5375" i="1"/>
  <c r="A5376" i="1"/>
  <c r="C5376" i="1"/>
  <c r="S5376" i="1"/>
  <c r="T5376" i="1"/>
  <c r="U5376" i="1"/>
  <c r="BB5376" i="1"/>
  <c r="BW5376" i="1"/>
  <c r="A5377" i="1"/>
  <c r="C5377" i="1"/>
  <c r="S5377" i="1"/>
  <c r="T5377" i="1"/>
  <c r="U5377" i="1"/>
  <c r="BB5377" i="1"/>
  <c r="BW5377" i="1"/>
  <c r="A5378" i="1"/>
  <c r="C5378" i="1"/>
  <c r="S5378" i="1"/>
  <c r="T5378" i="1"/>
  <c r="U5378" i="1"/>
  <c r="BB5378" i="1"/>
  <c r="BW5378" i="1"/>
  <c r="A5379" i="1"/>
  <c r="C5379" i="1"/>
  <c r="S5379" i="1"/>
  <c r="T5379" i="1"/>
  <c r="U5379" i="1"/>
  <c r="BB5379" i="1"/>
  <c r="BW5379" i="1"/>
  <c r="A5380" i="1"/>
  <c r="C5380" i="1"/>
  <c r="S5380" i="1"/>
  <c r="T5380" i="1"/>
  <c r="U5380" i="1"/>
  <c r="BB5380" i="1"/>
  <c r="BW5380" i="1"/>
  <c r="A5381" i="1"/>
  <c r="C5381" i="1"/>
  <c r="S5381" i="1"/>
  <c r="T5381" i="1"/>
  <c r="U5381" i="1"/>
  <c r="BB5381" i="1"/>
  <c r="BW5381" i="1"/>
  <c r="A5382" i="1"/>
  <c r="C5382" i="1"/>
  <c r="S5382" i="1"/>
  <c r="T5382" i="1"/>
  <c r="U5382" i="1"/>
  <c r="BB5382" i="1"/>
  <c r="BW5382" i="1"/>
  <c r="A5383" i="1"/>
  <c r="C5383" i="1"/>
  <c r="S5383" i="1"/>
  <c r="T5383" i="1"/>
  <c r="U5383" i="1"/>
  <c r="BB5383" i="1"/>
  <c r="BW5383" i="1"/>
  <c r="A5384" i="1"/>
  <c r="C5384" i="1"/>
  <c r="S5384" i="1"/>
  <c r="T5384" i="1"/>
  <c r="U5384" i="1"/>
  <c r="BB5384" i="1"/>
  <c r="BW5384" i="1"/>
  <c r="A5385" i="1"/>
  <c r="C5385" i="1"/>
  <c r="S5385" i="1"/>
  <c r="T5385" i="1"/>
  <c r="U5385" i="1"/>
  <c r="BB5385" i="1"/>
  <c r="BW5385" i="1"/>
  <c r="A5386" i="1"/>
  <c r="C5386" i="1"/>
  <c r="S5386" i="1"/>
  <c r="T5386" i="1"/>
  <c r="U5386" i="1"/>
  <c r="BB5386" i="1"/>
  <c r="BW5386" i="1"/>
  <c r="A5387" i="1"/>
  <c r="C5387" i="1"/>
  <c r="S5387" i="1"/>
  <c r="T5387" i="1"/>
  <c r="U5387" i="1"/>
  <c r="BB5387" i="1"/>
  <c r="BW5387" i="1"/>
  <c r="A5388" i="1"/>
  <c r="C5388" i="1"/>
  <c r="S5388" i="1"/>
  <c r="T5388" i="1"/>
  <c r="U5388" i="1"/>
  <c r="BB5388" i="1"/>
  <c r="BW5388" i="1"/>
  <c r="A5389" i="1"/>
  <c r="C5389" i="1"/>
  <c r="S5389" i="1"/>
  <c r="T5389" i="1"/>
  <c r="U5389" i="1"/>
  <c r="BB5389" i="1"/>
  <c r="BW5389" i="1"/>
  <c r="A5390" i="1"/>
  <c r="C5390" i="1"/>
  <c r="S5390" i="1"/>
  <c r="T5390" i="1"/>
  <c r="U5390" i="1"/>
  <c r="BB5390" i="1"/>
  <c r="BW5390" i="1"/>
  <c r="A5391" i="1"/>
  <c r="C5391" i="1"/>
  <c r="S5391" i="1"/>
  <c r="T5391" i="1"/>
  <c r="U5391" i="1"/>
  <c r="BB5391" i="1"/>
  <c r="BW5391" i="1"/>
  <c r="A5392" i="1"/>
  <c r="C5392" i="1"/>
  <c r="S5392" i="1"/>
  <c r="T5392" i="1"/>
  <c r="U5392" i="1"/>
  <c r="BB5392" i="1"/>
  <c r="BW5392" i="1"/>
  <c r="A5393" i="1"/>
  <c r="C5393" i="1"/>
  <c r="S5393" i="1"/>
  <c r="T5393" i="1"/>
  <c r="U5393" i="1"/>
  <c r="BB5393" i="1"/>
  <c r="BW5393" i="1"/>
  <c r="A5394" i="1"/>
  <c r="C5394" i="1"/>
  <c r="S5394" i="1"/>
  <c r="T5394" i="1"/>
  <c r="U5394" i="1"/>
  <c r="BB5394" i="1"/>
  <c r="BW5394" i="1"/>
  <c r="A5395" i="1"/>
  <c r="C5395" i="1"/>
  <c r="S5395" i="1"/>
  <c r="T5395" i="1"/>
  <c r="U5395" i="1"/>
  <c r="BB5395" i="1"/>
  <c r="BW5395" i="1"/>
  <c r="A5396" i="1"/>
  <c r="C5396" i="1"/>
  <c r="S5396" i="1"/>
  <c r="T5396" i="1"/>
  <c r="U5396" i="1"/>
  <c r="BB5396" i="1"/>
  <c r="BW5396" i="1"/>
  <c r="A5397" i="1"/>
  <c r="C5397" i="1"/>
  <c r="S5397" i="1"/>
  <c r="T5397" i="1"/>
  <c r="U5397" i="1"/>
  <c r="BB5397" i="1"/>
  <c r="BW5397" i="1"/>
  <c r="A5398" i="1"/>
  <c r="C5398" i="1"/>
  <c r="S5398" i="1"/>
  <c r="T5398" i="1"/>
  <c r="U5398" i="1"/>
  <c r="BB5398" i="1"/>
  <c r="BW5398" i="1"/>
  <c r="A5399" i="1"/>
  <c r="C5399" i="1"/>
  <c r="S5399" i="1"/>
  <c r="T5399" i="1"/>
  <c r="U5399" i="1"/>
  <c r="BB5399" i="1"/>
  <c r="BW5399" i="1"/>
  <c r="A5400" i="1"/>
  <c r="C5400" i="1"/>
  <c r="S5400" i="1"/>
  <c r="T5400" i="1"/>
  <c r="U5400" i="1"/>
  <c r="BB5400" i="1"/>
  <c r="BW5400" i="1"/>
  <c r="A5401" i="1"/>
  <c r="C5401" i="1"/>
  <c r="S5401" i="1"/>
  <c r="T5401" i="1"/>
  <c r="U5401" i="1"/>
  <c r="BB5401" i="1"/>
  <c r="BW5401" i="1"/>
  <c r="A5402" i="1"/>
  <c r="C5402" i="1"/>
  <c r="S5402" i="1"/>
  <c r="T5402" i="1"/>
  <c r="U5402" i="1"/>
  <c r="BB5402" i="1"/>
  <c r="BW5402" i="1"/>
  <c r="A5403" i="1"/>
  <c r="C5403" i="1"/>
  <c r="S5403" i="1"/>
  <c r="T5403" i="1"/>
  <c r="U5403" i="1"/>
  <c r="BB5403" i="1"/>
  <c r="BW5403" i="1"/>
  <c r="A5404" i="1"/>
  <c r="C5404" i="1"/>
  <c r="S5404" i="1"/>
  <c r="T5404" i="1"/>
  <c r="U5404" i="1"/>
  <c r="BB5404" i="1"/>
  <c r="BW5404" i="1"/>
  <c r="A5405" i="1"/>
  <c r="C5405" i="1"/>
  <c r="S5405" i="1"/>
  <c r="T5405" i="1"/>
  <c r="U5405" i="1"/>
  <c r="BB5405" i="1"/>
  <c r="BW5405" i="1"/>
  <c r="A5406" i="1"/>
  <c r="C5406" i="1"/>
  <c r="S5406" i="1"/>
  <c r="T5406" i="1"/>
  <c r="U5406" i="1"/>
  <c r="BB5406" i="1"/>
  <c r="BW5406" i="1"/>
  <c r="A5407" i="1"/>
  <c r="C5407" i="1"/>
  <c r="S5407" i="1"/>
  <c r="T5407" i="1"/>
  <c r="U5407" i="1"/>
  <c r="BB5407" i="1"/>
  <c r="BW5407" i="1"/>
  <c r="A5408" i="1"/>
  <c r="C5408" i="1"/>
  <c r="S5408" i="1"/>
  <c r="T5408" i="1"/>
  <c r="U5408" i="1"/>
  <c r="BB5408" i="1"/>
  <c r="BW5408" i="1"/>
  <c r="A5409" i="1"/>
  <c r="C5409" i="1"/>
  <c r="S5409" i="1"/>
  <c r="T5409" i="1"/>
  <c r="U5409" i="1"/>
  <c r="BB5409" i="1"/>
  <c r="BW5409" i="1"/>
  <c r="A5410" i="1"/>
  <c r="C5410" i="1"/>
  <c r="S5410" i="1"/>
  <c r="T5410" i="1"/>
  <c r="U5410" i="1"/>
  <c r="BB5410" i="1"/>
  <c r="BW5410" i="1"/>
  <c r="A5411" i="1"/>
  <c r="C5411" i="1"/>
  <c r="S5411" i="1"/>
  <c r="T5411" i="1"/>
  <c r="U5411" i="1"/>
  <c r="BB5411" i="1"/>
  <c r="BW5411" i="1"/>
  <c r="A5412" i="1"/>
  <c r="C5412" i="1"/>
  <c r="S5412" i="1"/>
  <c r="T5412" i="1"/>
  <c r="U5412" i="1"/>
  <c r="BB5412" i="1"/>
  <c r="BW5412" i="1"/>
  <c r="A5413" i="1"/>
  <c r="C5413" i="1"/>
  <c r="S5413" i="1"/>
  <c r="T5413" i="1"/>
  <c r="U5413" i="1"/>
  <c r="BB5413" i="1"/>
  <c r="BW5413" i="1"/>
  <c r="A5414" i="1"/>
  <c r="C5414" i="1"/>
  <c r="S5414" i="1"/>
  <c r="T5414" i="1"/>
  <c r="U5414" i="1"/>
  <c r="BB5414" i="1"/>
  <c r="BW5414" i="1"/>
  <c r="A5415" i="1"/>
  <c r="C5415" i="1"/>
  <c r="S5415" i="1"/>
  <c r="T5415" i="1"/>
  <c r="U5415" i="1"/>
  <c r="BB5415" i="1"/>
  <c r="BW5415" i="1"/>
  <c r="A5416" i="1"/>
  <c r="C5416" i="1"/>
  <c r="S5416" i="1"/>
  <c r="T5416" i="1"/>
  <c r="U5416" i="1"/>
  <c r="BB5416" i="1"/>
  <c r="BW5416" i="1"/>
  <c r="A5417" i="1"/>
  <c r="C5417" i="1"/>
  <c r="S5417" i="1"/>
  <c r="T5417" i="1"/>
  <c r="U5417" i="1"/>
  <c r="BB5417" i="1"/>
  <c r="BW5417" i="1"/>
  <c r="A5418" i="1"/>
  <c r="C5418" i="1"/>
  <c r="S5418" i="1"/>
  <c r="T5418" i="1"/>
  <c r="U5418" i="1"/>
  <c r="BB5418" i="1"/>
  <c r="BW5418" i="1"/>
  <c r="A5419" i="1"/>
  <c r="C5419" i="1"/>
  <c r="S5419" i="1"/>
  <c r="T5419" i="1"/>
  <c r="U5419" i="1"/>
  <c r="BB5419" i="1"/>
  <c r="BW5419" i="1"/>
  <c r="A5420" i="1"/>
  <c r="C5420" i="1"/>
  <c r="S5420" i="1"/>
  <c r="T5420" i="1"/>
  <c r="U5420" i="1"/>
  <c r="BB5420" i="1"/>
  <c r="BW5420" i="1"/>
  <c r="A5421" i="1"/>
  <c r="C5421" i="1"/>
  <c r="S5421" i="1"/>
  <c r="T5421" i="1"/>
  <c r="U5421" i="1"/>
  <c r="BB5421" i="1"/>
  <c r="BW5421" i="1"/>
  <c r="A5422" i="1"/>
  <c r="C5422" i="1"/>
  <c r="S5422" i="1"/>
  <c r="T5422" i="1"/>
  <c r="U5422" i="1"/>
  <c r="BB5422" i="1"/>
  <c r="BW5422" i="1"/>
  <c r="A5423" i="1"/>
  <c r="C5423" i="1"/>
  <c r="S5423" i="1"/>
  <c r="T5423" i="1"/>
  <c r="U5423" i="1"/>
  <c r="BB5423" i="1"/>
  <c r="BW5423" i="1"/>
  <c r="A5424" i="1"/>
  <c r="C5424" i="1"/>
  <c r="S5424" i="1"/>
  <c r="T5424" i="1"/>
  <c r="U5424" i="1"/>
  <c r="BB5424" i="1"/>
  <c r="BW5424" i="1"/>
  <c r="A5425" i="1"/>
  <c r="C5425" i="1"/>
  <c r="S5425" i="1"/>
  <c r="T5425" i="1"/>
  <c r="U5425" i="1"/>
  <c r="BB5425" i="1"/>
  <c r="BW5425" i="1"/>
  <c r="A5426" i="1"/>
  <c r="C5426" i="1"/>
  <c r="S5426" i="1"/>
  <c r="T5426" i="1"/>
  <c r="U5426" i="1"/>
  <c r="BB5426" i="1"/>
  <c r="BW5426" i="1"/>
  <c r="A5427" i="1"/>
  <c r="C5427" i="1"/>
  <c r="S5427" i="1"/>
  <c r="T5427" i="1"/>
  <c r="U5427" i="1"/>
  <c r="BB5427" i="1"/>
  <c r="BW5427" i="1"/>
  <c r="A5428" i="1"/>
  <c r="C5428" i="1"/>
  <c r="S5428" i="1"/>
  <c r="T5428" i="1"/>
  <c r="U5428" i="1"/>
  <c r="BB5428" i="1"/>
  <c r="BW5428" i="1"/>
  <c r="A5429" i="1"/>
  <c r="C5429" i="1"/>
  <c r="S5429" i="1"/>
  <c r="T5429" i="1"/>
  <c r="U5429" i="1"/>
  <c r="BB5429" i="1"/>
  <c r="BW5429" i="1"/>
  <c r="A5430" i="1"/>
  <c r="C5430" i="1"/>
  <c r="S5430" i="1"/>
  <c r="T5430" i="1"/>
  <c r="U5430" i="1"/>
  <c r="BB5430" i="1"/>
  <c r="BW5430" i="1"/>
  <c r="A5431" i="1"/>
  <c r="C5431" i="1"/>
  <c r="S5431" i="1"/>
  <c r="T5431" i="1"/>
  <c r="U5431" i="1"/>
  <c r="BB5431" i="1"/>
  <c r="BW5431" i="1"/>
  <c r="A5432" i="1"/>
  <c r="C5432" i="1"/>
  <c r="S5432" i="1"/>
  <c r="T5432" i="1"/>
  <c r="U5432" i="1"/>
  <c r="BB5432" i="1"/>
  <c r="BW5432" i="1"/>
  <c r="A5433" i="1"/>
  <c r="C5433" i="1"/>
  <c r="S5433" i="1"/>
  <c r="T5433" i="1"/>
  <c r="U5433" i="1"/>
  <c r="BB5433" i="1"/>
  <c r="BW5433" i="1"/>
  <c r="A5434" i="1"/>
  <c r="C5434" i="1"/>
  <c r="S5434" i="1"/>
  <c r="T5434" i="1"/>
  <c r="U5434" i="1"/>
  <c r="BB5434" i="1"/>
  <c r="BW5434" i="1"/>
  <c r="A5435" i="1"/>
  <c r="C5435" i="1"/>
  <c r="S5435" i="1"/>
  <c r="T5435" i="1"/>
  <c r="U5435" i="1"/>
  <c r="BB5435" i="1"/>
  <c r="BW5435" i="1"/>
  <c r="A5436" i="1"/>
  <c r="C5436" i="1"/>
  <c r="S5436" i="1"/>
  <c r="T5436" i="1"/>
  <c r="U5436" i="1"/>
  <c r="BB5436" i="1"/>
  <c r="BW5436" i="1"/>
  <c r="A5437" i="1"/>
  <c r="C5437" i="1"/>
  <c r="S5437" i="1"/>
  <c r="T5437" i="1"/>
  <c r="U5437" i="1"/>
  <c r="BB5437" i="1"/>
  <c r="BW5437" i="1"/>
  <c r="A5438" i="1"/>
  <c r="C5438" i="1"/>
  <c r="S5438" i="1"/>
  <c r="T5438" i="1"/>
  <c r="U5438" i="1"/>
  <c r="BB5438" i="1"/>
  <c r="BW5438" i="1"/>
  <c r="A5439" i="1"/>
  <c r="C5439" i="1"/>
  <c r="S5439" i="1"/>
  <c r="T5439" i="1"/>
  <c r="U5439" i="1"/>
  <c r="BB5439" i="1"/>
  <c r="BW5439" i="1"/>
  <c r="A5440" i="1"/>
  <c r="C5440" i="1"/>
  <c r="S5440" i="1"/>
  <c r="T5440" i="1"/>
  <c r="U5440" i="1"/>
  <c r="BB5440" i="1"/>
  <c r="BW5440" i="1"/>
  <c r="A5441" i="1"/>
  <c r="C5441" i="1"/>
  <c r="S5441" i="1"/>
  <c r="T5441" i="1"/>
  <c r="U5441" i="1"/>
  <c r="BB5441" i="1"/>
  <c r="BW5441" i="1"/>
  <c r="A5442" i="1"/>
  <c r="C5442" i="1"/>
  <c r="S5442" i="1"/>
  <c r="T5442" i="1"/>
  <c r="U5442" i="1"/>
  <c r="BB5442" i="1"/>
  <c r="BW5442" i="1"/>
  <c r="A5443" i="1"/>
  <c r="C5443" i="1"/>
  <c r="S5443" i="1"/>
  <c r="T5443" i="1"/>
  <c r="U5443" i="1"/>
  <c r="BB5443" i="1"/>
  <c r="BW5443" i="1"/>
  <c r="A5444" i="1"/>
  <c r="C5444" i="1"/>
  <c r="S5444" i="1"/>
  <c r="T5444" i="1"/>
  <c r="U5444" i="1"/>
  <c r="BB5444" i="1"/>
  <c r="BW5444" i="1"/>
  <c r="A5445" i="1"/>
  <c r="C5445" i="1"/>
  <c r="S5445" i="1"/>
  <c r="T5445" i="1"/>
  <c r="U5445" i="1"/>
  <c r="BB5445" i="1"/>
  <c r="BW5445" i="1"/>
  <c r="A5446" i="1"/>
  <c r="C5446" i="1"/>
  <c r="S5446" i="1"/>
  <c r="T5446" i="1"/>
  <c r="U5446" i="1"/>
  <c r="BB5446" i="1"/>
  <c r="BW5446" i="1"/>
  <c r="A5447" i="1"/>
  <c r="C5447" i="1"/>
  <c r="S5447" i="1"/>
  <c r="T5447" i="1"/>
  <c r="U5447" i="1"/>
  <c r="BB5447" i="1"/>
  <c r="BW5447" i="1"/>
  <c r="A5448" i="1"/>
  <c r="C5448" i="1"/>
  <c r="S5448" i="1"/>
  <c r="T5448" i="1"/>
  <c r="U5448" i="1"/>
  <c r="BB5448" i="1"/>
  <c r="BW5448" i="1"/>
  <c r="A5449" i="1"/>
  <c r="C5449" i="1"/>
  <c r="S5449" i="1"/>
  <c r="T5449" i="1"/>
  <c r="U5449" i="1"/>
  <c r="BB5449" i="1"/>
  <c r="BW5449" i="1"/>
  <c r="A5450" i="1"/>
  <c r="C5450" i="1"/>
  <c r="S5450" i="1"/>
  <c r="T5450" i="1"/>
  <c r="U5450" i="1"/>
  <c r="BB5450" i="1"/>
  <c r="BW5450" i="1"/>
  <c r="A5451" i="1"/>
  <c r="C5451" i="1"/>
  <c r="S5451" i="1"/>
  <c r="T5451" i="1"/>
  <c r="U5451" i="1"/>
  <c r="BB5451" i="1"/>
  <c r="BW5451" i="1"/>
  <c r="A5452" i="1"/>
  <c r="C5452" i="1"/>
  <c r="S5452" i="1"/>
  <c r="T5452" i="1"/>
  <c r="U5452" i="1"/>
  <c r="BB5452" i="1"/>
  <c r="BW5452" i="1"/>
  <c r="A5453" i="1"/>
  <c r="C5453" i="1"/>
  <c r="S5453" i="1"/>
  <c r="T5453" i="1"/>
  <c r="U5453" i="1"/>
  <c r="BB5453" i="1"/>
  <c r="BW5453" i="1"/>
  <c r="A5454" i="1"/>
  <c r="C5454" i="1"/>
  <c r="S5454" i="1"/>
  <c r="T5454" i="1"/>
  <c r="U5454" i="1"/>
  <c r="BB5454" i="1"/>
  <c r="BW5454" i="1"/>
  <c r="A5455" i="1"/>
  <c r="C5455" i="1"/>
  <c r="S5455" i="1"/>
  <c r="T5455" i="1"/>
  <c r="U5455" i="1"/>
  <c r="BB5455" i="1"/>
  <c r="BW5455" i="1"/>
  <c r="A5456" i="1"/>
  <c r="C5456" i="1"/>
  <c r="S5456" i="1"/>
  <c r="T5456" i="1"/>
  <c r="U5456" i="1"/>
  <c r="BB5456" i="1"/>
  <c r="BW5456" i="1"/>
  <c r="A5457" i="1"/>
  <c r="C5457" i="1"/>
  <c r="S5457" i="1"/>
  <c r="T5457" i="1"/>
  <c r="U5457" i="1"/>
  <c r="BB5457" i="1"/>
  <c r="BW5457" i="1"/>
  <c r="A5458" i="1"/>
  <c r="C5458" i="1"/>
  <c r="S5458" i="1"/>
  <c r="T5458" i="1"/>
  <c r="U5458" i="1"/>
  <c r="BB5458" i="1"/>
  <c r="BW5458" i="1"/>
  <c r="A5459" i="1"/>
  <c r="C5459" i="1"/>
  <c r="S5459" i="1"/>
  <c r="T5459" i="1"/>
  <c r="U5459" i="1"/>
  <c r="BB5459" i="1"/>
  <c r="BW5459" i="1"/>
  <c r="A5460" i="1"/>
  <c r="C5460" i="1"/>
  <c r="S5460" i="1"/>
  <c r="T5460" i="1"/>
  <c r="U5460" i="1"/>
  <c r="BB5460" i="1"/>
  <c r="BW5460" i="1"/>
  <c r="A5461" i="1"/>
  <c r="C5461" i="1"/>
  <c r="S5461" i="1"/>
  <c r="T5461" i="1"/>
  <c r="U5461" i="1"/>
  <c r="BB5461" i="1"/>
  <c r="BW5461" i="1"/>
  <c r="A5462" i="1"/>
  <c r="C5462" i="1"/>
  <c r="S5462" i="1"/>
  <c r="T5462" i="1"/>
  <c r="U5462" i="1"/>
  <c r="BB5462" i="1"/>
  <c r="BW5462" i="1"/>
  <c r="A5463" i="1"/>
  <c r="C5463" i="1"/>
  <c r="S5463" i="1"/>
  <c r="T5463" i="1"/>
  <c r="U5463" i="1"/>
  <c r="BB5463" i="1"/>
  <c r="BW5463" i="1"/>
  <c r="A5464" i="1"/>
  <c r="C5464" i="1"/>
  <c r="S5464" i="1"/>
  <c r="T5464" i="1"/>
  <c r="U5464" i="1"/>
  <c r="BB5464" i="1"/>
  <c r="BW5464" i="1"/>
  <c r="A5465" i="1"/>
  <c r="C5465" i="1"/>
  <c r="S5465" i="1"/>
  <c r="T5465" i="1"/>
  <c r="U5465" i="1"/>
  <c r="BB5465" i="1"/>
  <c r="BW5465" i="1"/>
  <c r="A5466" i="1"/>
  <c r="C5466" i="1"/>
  <c r="S5466" i="1"/>
  <c r="T5466" i="1"/>
  <c r="U5466" i="1"/>
  <c r="BB5466" i="1"/>
  <c r="BW5466" i="1"/>
  <c r="A5467" i="1"/>
  <c r="C5467" i="1"/>
  <c r="S5467" i="1"/>
  <c r="T5467" i="1"/>
  <c r="U5467" i="1"/>
  <c r="BB5467" i="1"/>
  <c r="BW5467" i="1"/>
  <c r="A5468" i="1"/>
  <c r="C5468" i="1"/>
  <c r="S5468" i="1"/>
  <c r="T5468" i="1"/>
  <c r="U5468" i="1"/>
  <c r="BB5468" i="1"/>
  <c r="BW5468" i="1"/>
  <c r="A5469" i="1"/>
  <c r="C5469" i="1"/>
  <c r="S5469" i="1"/>
  <c r="T5469" i="1"/>
  <c r="U5469" i="1"/>
  <c r="BB5469" i="1"/>
  <c r="BW5469" i="1"/>
  <c r="A5470" i="1"/>
  <c r="C5470" i="1"/>
  <c r="S5470" i="1"/>
  <c r="T5470" i="1"/>
  <c r="U5470" i="1"/>
  <c r="BB5470" i="1"/>
  <c r="BW5470" i="1"/>
  <c r="A5471" i="1"/>
  <c r="C5471" i="1"/>
  <c r="S5471" i="1"/>
  <c r="T5471" i="1"/>
  <c r="U5471" i="1"/>
  <c r="BB5471" i="1"/>
  <c r="BW5471" i="1"/>
  <c r="A5472" i="1"/>
  <c r="C5472" i="1"/>
  <c r="S5472" i="1"/>
  <c r="T5472" i="1"/>
  <c r="U5472" i="1"/>
  <c r="BB5472" i="1"/>
  <c r="BW5472" i="1"/>
  <c r="A5473" i="1"/>
  <c r="C5473" i="1"/>
  <c r="S5473" i="1"/>
  <c r="T5473" i="1"/>
  <c r="U5473" i="1"/>
  <c r="BB5473" i="1"/>
  <c r="BW5473" i="1"/>
  <c r="A5474" i="1"/>
  <c r="C5474" i="1"/>
  <c r="S5474" i="1"/>
  <c r="T5474" i="1"/>
  <c r="U5474" i="1"/>
  <c r="BB5474" i="1"/>
  <c r="BW5474" i="1"/>
  <c r="A5475" i="1"/>
  <c r="C5475" i="1"/>
  <c r="S5475" i="1"/>
  <c r="T5475" i="1"/>
  <c r="U5475" i="1"/>
  <c r="BB5475" i="1"/>
  <c r="BW5475" i="1"/>
  <c r="A5476" i="1"/>
  <c r="C5476" i="1"/>
  <c r="S5476" i="1"/>
  <c r="T5476" i="1"/>
  <c r="U5476" i="1"/>
  <c r="BB5476" i="1"/>
  <c r="BW5476" i="1"/>
  <c r="A5477" i="1"/>
  <c r="C5477" i="1"/>
  <c r="S5477" i="1"/>
  <c r="T5477" i="1"/>
  <c r="U5477" i="1"/>
  <c r="BB5477" i="1"/>
  <c r="BW5477" i="1"/>
  <c r="A5478" i="1"/>
  <c r="C5478" i="1"/>
  <c r="S5478" i="1"/>
  <c r="T5478" i="1"/>
  <c r="U5478" i="1"/>
  <c r="BB5478" i="1"/>
  <c r="BW5478" i="1"/>
  <c r="A5479" i="1"/>
  <c r="C5479" i="1"/>
  <c r="S5479" i="1"/>
  <c r="T5479" i="1"/>
  <c r="U5479" i="1"/>
  <c r="BB5479" i="1"/>
  <c r="BW5479" i="1"/>
  <c r="A5480" i="1"/>
  <c r="C5480" i="1"/>
  <c r="S5480" i="1"/>
  <c r="T5480" i="1"/>
  <c r="U5480" i="1"/>
  <c r="BB5480" i="1"/>
  <c r="BW5480" i="1"/>
  <c r="A5481" i="1"/>
  <c r="C5481" i="1"/>
  <c r="S5481" i="1"/>
  <c r="T5481" i="1"/>
  <c r="U5481" i="1"/>
  <c r="BB5481" i="1"/>
  <c r="BW5481" i="1"/>
  <c r="A5482" i="1"/>
  <c r="C5482" i="1"/>
  <c r="S5482" i="1"/>
  <c r="T5482" i="1"/>
  <c r="U5482" i="1"/>
  <c r="BB5482" i="1"/>
  <c r="BW5482" i="1"/>
  <c r="A5483" i="1"/>
  <c r="C5483" i="1"/>
  <c r="S5483" i="1"/>
  <c r="T5483" i="1"/>
  <c r="U5483" i="1"/>
  <c r="BB5483" i="1"/>
  <c r="BW5483" i="1"/>
  <c r="A5484" i="1"/>
  <c r="C5484" i="1"/>
  <c r="S5484" i="1"/>
  <c r="T5484" i="1"/>
  <c r="U5484" i="1"/>
  <c r="BB5484" i="1"/>
  <c r="BW5484" i="1"/>
  <c r="A5485" i="1"/>
  <c r="C5485" i="1"/>
  <c r="S5485" i="1"/>
  <c r="T5485" i="1"/>
  <c r="U5485" i="1"/>
  <c r="BB5485" i="1"/>
  <c r="BW5485" i="1"/>
  <c r="A5486" i="1"/>
  <c r="C5486" i="1"/>
  <c r="S5486" i="1"/>
  <c r="T5486" i="1"/>
  <c r="U5486" i="1"/>
  <c r="BB5486" i="1"/>
  <c r="BW5486" i="1"/>
  <c r="A5487" i="1"/>
  <c r="C5487" i="1"/>
  <c r="S5487" i="1"/>
  <c r="T5487" i="1"/>
  <c r="U5487" i="1"/>
  <c r="BB5487" i="1"/>
  <c r="BW5487" i="1"/>
  <c r="A5488" i="1"/>
  <c r="C5488" i="1"/>
  <c r="S5488" i="1"/>
  <c r="T5488" i="1"/>
  <c r="U5488" i="1"/>
  <c r="BB5488" i="1"/>
  <c r="BW5488" i="1"/>
  <c r="A5489" i="1"/>
  <c r="C5489" i="1"/>
  <c r="S5489" i="1"/>
  <c r="T5489" i="1"/>
  <c r="U5489" i="1"/>
  <c r="BB5489" i="1"/>
  <c r="BW5489" i="1"/>
  <c r="A5490" i="1"/>
  <c r="C5490" i="1"/>
  <c r="S5490" i="1"/>
  <c r="T5490" i="1"/>
  <c r="U5490" i="1"/>
  <c r="BB5490" i="1"/>
  <c r="BW5490" i="1"/>
  <c r="A5491" i="1"/>
  <c r="C5491" i="1"/>
  <c r="S5491" i="1"/>
  <c r="T5491" i="1"/>
  <c r="U5491" i="1"/>
  <c r="BB5491" i="1"/>
  <c r="BW5491" i="1"/>
  <c r="A5492" i="1"/>
  <c r="C5492" i="1"/>
  <c r="S5492" i="1"/>
  <c r="T5492" i="1"/>
  <c r="U5492" i="1"/>
  <c r="BB5492" i="1"/>
  <c r="BW5492" i="1"/>
  <c r="A5493" i="1"/>
  <c r="C5493" i="1"/>
  <c r="S5493" i="1"/>
  <c r="T5493" i="1"/>
  <c r="U5493" i="1"/>
  <c r="BB5493" i="1"/>
  <c r="BW5493" i="1"/>
  <c r="A5494" i="1"/>
  <c r="C5494" i="1"/>
  <c r="S5494" i="1"/>
  <c r="T5494" i="1"/>
  <c r="U5494" i="1"/>
  <c r="BB5494" i="1"/>
  <c r="BW5494" i="1"/>
  <c r="A5495" i="1"/>
  <c r="C5495" i="1"/>
  <c r="S5495" i="1"/>
  <c r="T5495" i="1"/>
  <c r="U5495" i="1"/>
  <c r="BB5495" i="1"/>
  <c r="BW5495" i="1"/>
  <c r="A5496" i="1"/>
  <c r="C5496" i="1"/>
  <c r="S5496" i="1"/>
  <c r="T5496" i="1"/>
  <c r="U5496" i="1"/>
  <c r="BB5496" i="1"/>
  <c r="BW5496" i="1"/>
  <c r="A5497" i="1"/>
  <c r="C5497" i="1"/>
  <c r="S5497" i="1"/>
  <c r="T5497" i="1"/>
  <c r="U5497" i="1"/>
  <c r="BB5497" i="1"/>
  <c r="BW5497" i="1"/>
  <c r="A5498" i="1"/>
  <c r="C5498" i="1"/>
  <c r="S5498" i="1"/>
  <c r="T5498" i="1"/>
  <c r="U5498" i="1"/>
  <c r="BB5498" i="1"/>
  <c r="BW5498" i="1"/>
  <c r="A5499" i="1"/>
  <c r="C5499" i="1"/>
  <c r="S5499" i="1"/>
  <c r="T5499" i="1"/>
  <c r="U5499" i="1"/>
  <c r="BB5499" i="1"/>
  <c r="BW5499" i="1"/>
  <c r="A5500" i="1"/>
  <c r="C5500" i="1"/>
  <c r="S5500" i="1"/>
  <c r="T5500" i="1"/>
  <c r="U5500" i="1"/>
  <c r="BB5500" i="1"/>
  <c r="BW5500" i="1"/>
  <c r="A5501" i="1"/>
  <c r="C5501" i="1"/>
  <c r="S5501" i="1"/>
  <c r="T5501" i="1"/>
  <c r="U5501" i="1"/>
  <c r="BB5501" i="1"/>
  <c r="BW5501" i="1"/>
  <c r="A5502" i="1"/>
  <c r="C5502" i="1"/>
  <c r="S5502" i="1"/>
  <c r="T5502" i="1"/>
  <c r="U5502" i="1"/>
  <c r="BB5502" i="1"/>
  <c r="BW5502" i="1"/>
  <c r="A5503" i="1"/>
  <c r="C5503" i="1"/>
  <c r="S5503" i="1"/>
  <c r="T5503" i="1"/>
  <c r="U5503" i="1"/>
  <c r="BB5503" i="1"/>
  <c r="BW5503" i="1"/>
  <c r="A5504" i="1"/>
  <c r="C5504" i="1"/>
  <c r="S5504" i="1"/>
  <c r="T5504" i="1"/>
  <c r="U5504" i="1"/>
  <c r="BB5504" i="1"/>
  <c r="BW5504" i="1"/>
  <c r="A5505" i="1"/>
  <c r="C5505" i="1"/>
  <c r="S5505" i="1"/>
  <c r="T5505" i="1"/>
  <c r="U5505" i="1"/>
  <c r="BB5505" i="1"/>
  <c r="BW5505" i="1"/>
  <c r="A5506" i="1"/>
  <c r="C5506" i="1"/>
  <c r="S5506" i="1"/>
  <c r="T5506" i="1"/>
  <c r="U5506" i="1"/>
  <c r="BB5506" i="1"/>
  <c r="BW5506" i="1"/>
  <c r="A5507" i="1"/>
  <c r="C5507" i="1"/>
  <c r="S5507" i="1"/>
  <c r="T5507" i="1"/>
  <c r="U5507" i="1"/>
  <c r="BB5507" i="1"/>
  <c r="BW5507" i="1"/>
  <c r="A5508" i="1"/>
  <c r="C5508" i="1"/>
  <c r="S5508" i="1"/>
  <c r="T5508" i="1"/>
  <c r="U5508" i="1"/>
  <c r="BB5508" i="1"/>
  <c r="BW5508" i="1"/>
  <c r="A5509" i="1"/>
  <c r="C5509" i="1"/>
  <c r="S5509" i="1"/>
  <c r="T5509" i="1"/>
  <c r="U5509" i="1"/>
  <c r="BB5509" i="1"/>
  <c r="BW5509" i="1"/>
  <c r="A5510" i="1"/>
  <c r="C5510" i="1"/>
  <c r="S5510" i="1"/>
  <c r="T5510" i="1"/>
  <c r="U5510" i="1"/>
  <c r="BB5510" i="1"/>
  <c r="BW5510" i="1"/>
  <c r="A5511" i="1"/>
  <c r="C5511" i="1"/>
  <c r="S5511" i="1"/>
  <c r="T5511" i="1"/>
  <c r="U5511" i="1"/>
  <c r="BB5511" i="1"/>
  <c r="BW5511" i="1"/>
  <c r="A5512" i="1"/>
  <c r="C5512" i="1"/>
  <c r="S5512" i="1"/>
  <c r="T5512" i="1"/>
  <c r="U5512" i="1"/>
  <c r="BB5512" i="1"/>
  <c r="BW5512" i="1"/>
  <c r="A5513" i="1"/>
  <c r="C5513" i="1"/>
  <c r="S5513" i="1"/>
  <c r="T5513" i="1"/>
  <c r="U5513" i="1"/>
  <c r="BB5513" i="1"/>
  <c r="BW5513" i="1"/>
  <c r="A5514" i="1"/>
  <c r="C5514" i="1"/>
  <c r="S5514" i="1"/>
  <c r="T5514" i="1"/>
  <c r="U5514" i="1"/>
  <c r="BB5514" i="1"/>
  <c r="BW5514" i="1"/>
  <c r="A5515" i="1"/>
  <c r="C5515" i="1"/>
  <c r="S5515" i="1"/>
  <c r="T5515" i="1"/>
  <c r="U5515" i="1"/>
  <c r="BB5515" i="1"/>
  <c r="BW5515" i="1"/>
  <c r="A5516" i="1"/>
  <c r="C5516" i="1"/>
  <c r="S5516" i="1"/>
  <c r="T5516" i="1"/>
  <c r="U5516" i="1"/>
  <c r="BB5516" i="1"/>
  <c r="BW5516" i="1"/>
  <c r="A5517" i="1"/>
  <c r="C5517" i="1"/>
  <c r="S5517" i="1"/>
  <c r="T5517" i="1"/>
  <c r="U5517" i="1"/>
  <c r="BB5517" i="1"/>
  <c r="BW5517" i="1"/>
  <c r="A5518" i="1"/>
  <c r="C5518" i="1"/>
  <c r="S5518" i="1"/>
  <c r="T5518" i="1"/>
  <c r="U5518" i="1"/>
  <c r="BB5518" i="1"/>
  <c r="BW5518" i="1"/>
  <c r="A5519" i="1"/>
  <c r="C5519" i="1"/>
  <c r="S5519" i="1"/>
  <c r="T5519" i="1"/>
  <c r="U5519" i="1"/>
  <c r="BB5519" i="1"/>
  <c r="BW5519" i="1"/>
  <c r="A5520" i="1"/>
  <c r="C5520" i="1"/>
  <c r="S5520" i="1"/>
  <c r="T5520" i="1"/>
  <c r="U5520" i="1"/>
  <c r="BB5520" i="1"/>
  <c r="BW5520" i="1"/>
  <c r="A5521" i="1"/>
  <c r="C5521" i="1"/>
  <c r="S5521" i="1"/>
  <c r="T5521" i="1"/>
  <c r="U5521" i="1"/>
  <c r="BB5521" i="1"/>
  <c r="BW5521" i="1"/>
  <c r="A5522" i="1"/>
  <c r="C5522" i="1"/>
  <c r="S5522" i="1"/>
  <c r="T5522" i="1"/>
  <c r="U5522" i="1"/>
  <c r="BB5522" i="1"/>
  <c r="BW5522" i="1"/>
  <c r="A5523" i="1"/>
  <c r="C5523" i="1"/>
  <c r="S5523" i="1"/>
  <c r="T5523" i="1"/>
  <c r="U5523" i="1"/>
  <c r="BB5523" i="1"/>
  <c r="BW5523" i="1"/>
  <c r="A5524" i="1"/>
  <c r="C5524" i="1"/>
  <c r="S5524" i="1"/>
  <c r="T5524" i="1"/>
  <c r="U5524" i="1"/>
  <c r="BB5524" i="1"/>
  <c r="BW5524" i="1"/>
  <c r="A5525" i="1"/>
  <c r="C5525" i="1"/>
  <c r="S5525" i="1"/>
  <c r="T5525" i="1"/>
  <c r="U5525" i="1"/>
  <c r="BB5525" i="1"/>
  <c r="BW5525" i="1"/>
  <c r="A5526" i="1"/>
  <c r="C5526" i="1"/>
  <c r="S5526" i="1"/>
  <c r="T5526" i="1"/>
  <c r="U5526" i="1"/>
  <c r="BB5526" i="1"/>
  <c r="BW5526" i="1"/>
  <c r="A5527" i="1"/>
  <c r="C5527" i="1"/>
  <c r="S5527" i="1"/>
  <c r="T5527" i="1"/>
  <c r="U5527" i="1"/>
  <c r="BB5527" i="1"/>
  <c r="BW5527" i="1"/>
  <c r="A5528" i="1"/>
  <c r="C5528" i="1"/>
  <c r="S5528" i="1"/>
  <c r="T5528" i="1"/>
  <c r="U5528" i="1"/>
  <c r="BB5528" i="1"/>
  <c r="BW5528" i="1"/>
  <c r="A5529" i="1"/>
  <c r="C5529" i="1"/>
  <c r="S5529" i="1"/>
  <c r="T5529" i="1"/>
  <c r="U5529" i="1"/>
  <c r="BB5529" i="1"/>
  <c r="BW5529" i="1"/>
  <c r="A5530" i="1"/>
  <c r="C5530" i="1"/>
  <c r="S5530" i="1"/>
  <c r="T5530" i="1"/>
  <c r="U5530" i="1"/>
  <c r="BB5530" i="1"/>
  <c r="BW5530" i="1"/>
  <c r="A5531" i="1"/>
  <c r="C5531" i="1"/>
  <c r="S5531" i="1"/>
  <c r="T5531" i="1"/>
  <c r="U5531" i="1"/>
  <c r="BB5531" i="1"/>
  <c r="BW5531" i="1"/>
  <c r="A5532" i="1"/>
  <c r="C5532" i="1"/>
  <c r="S5532" i="1"/>
  <c r="T5532" i="1"/>
  <c r="U5532" i="1"/>
  <c r="BB5532" i="1"/>
  <c r="BW5532" i="1"/>
  <c r="A5533" i="1"/>
  <c r="C5533" i="1"/>
  <c r="S5533" i="1"/>
  <c r="T5533" i="1"/>
  <c r="U5533" i="1"/>
  <c r="BB5533" i="1"/>
  <c r="BW5533" i="1"/>
  <c r="A5534" i="1"/>
  <c r="C5534" i="1"/>
  <c r="S5534" i="1"/>
  <c r="T5534" i="1"/>
  <c r="U5534" i="1"/>
  <c r="BB5534" i="1"/>
  <c r="BW5534" i="1"/>
  <c r="A5535" i="1"/>
  <c r="C5535" i="1"/>
  <c r="S5535" i="1"/>
  <c r="T5535" i="1"/>
  <c r="U5535" i="1"/>
  <c r="BB5535" i="1"/>
  <c r="BW5535" i="1"/>
  <c r="A5536" i="1"/>
  <c r="C5536" i="1"/>
  <c r="S5536" i="1"/>
  <c r="T5536" i="1"/>
  <c r="U5536" i="1"/>
  <c r="BB5536" i="1"/>
  <c r="BW5536" i="1"/>
  <c r="A5537" i="1"/>
  <c r="C5537" i="1"/>
  <c r="S5537" i="1"/>
  <c r="T5537" i="1"/>
  <c r="U5537" i="1"/>
  <c r="BB5537" i="1"/>
  <c r="BW5537" i="1"/>
  <c r="A5538" i="1"/>
  <c r="C5538" i="1"/>
  <c r="S5538" i="1"/>
  <c r="T5538" i="1"/>
  <c r="U5538" i="1"/>
  <c r="BB5538" i="1"/>
  <c r="BW5538" i="1"/>
  <c r="A5539" i="1"/>
  <c r="C5539" i="1"/>
  <c r="S5539" i="1"/>
  <c r="T5539" i="1"/>
  <c r="U5539" i="1"/>
  <c r="BB5539" i="1"/>
  <c r="BW5539" i="1"/>
  <c r="A5540" i="1"/>
  <c r="C5540" i="1"/>
  <c r="S5540" i="1"/>
  <c r="T5540" i="1"/>
  <c r="U5540" i="1"/>
  <c r="BB5540" i="1"/>
  <c r="BW5540" i="1"/>
  <c r="A5541" i="1"/>
  <c r="C5541" i="1"/>
  <c r="S5541" i="1"/>
  <c r="T5541" i="1"/>
  <c r="U5541" i="1"/>
  <c r="BB5541" i="1"/>
  <c r="BW5541" i="1"/>
  <c r="A5542" i="1"/>
  <c r="C5542" i="1"/>
  <c r="S5542" i="1"/>
  <c r="T5542" i="1"/>
  <c r="U5542" i="1"/>
  <c r="BB5542" i="1"/>
  <c r="BW5542" i="1"/>
  <c r="A5543" i="1"/>
  <c r="C5543" i="1"/>
  <c r="S5543" i="1"/>
  <c r="T5543" i="1"/>
  <c r="U5543" i="1"/>
  <c r="BB5543" i="1"/>
  <c r="BW5543" i="1"/>
  <c r="A5544" i="1"/>
  <c r="C5544" i="1"/>
  <c r="S5544" i="1"/>
  <c r="T5544" i="1"/>
  <c r="U5544" i="1"/>
  <c r="BB5544" i="1"/>
  <c r="BW5544" i="1"/>
  <c r="A5545" i="1"/>
  <c r="C5545" i="1"/>
  <c r="S5545" i="1"/>
  <c r="T5545" i="1"/>
  <c r="U5545" i="1"/>
  <c r="BB5545" i="1"/>
  <c r="BW5545" i="1"/>
  <c r="A5546" i="1"/>
  <c r="C5546" i="1"/>
  <c r="S5546" i="1"/>
  <c r="T5546" i="1"/>
  <c r="U5546" i="1"/>
  <c r="BB5546" i="1"/>
  <c r="BW5546" i="1"/>
  <c r="A5547" i="1"/>
  <c r="C5547" i="1"/>
  <c r="S5547" i="1"/>
  <c r="T5547" i="1"/>
  <c r="U5547" i="1"/>
  <c r="BB5547" i="1"/>
  <c r="BW5547" i="1"/>
  <c r="A5548" i="1"/>
  <c r="C5548" i="1"/>
  <c r="S5548" i="1"/>
  <c r="T5548" i="1"/>
  <c r="U5548" i="1"/>
  <c r="BB5548" i="1"/>
  <c r="BW5548" i="1"/>
  <c r="A5549" i="1"/>
  <c r="C5549" i="1"/>
  <c r="S5549" i="1"/>
  <c r="T5549" i="1"/>
  <c r="U5549" i="1"/>
  <c r="BB5549" i="1"/>
  <c r="BW5549" i="1"/>
  <c r="A5550" i="1"/>
  <c r="C5550" i="1"/>
  <c r="S5550" i="1"/>
  <c r="T5550" i="1"/>
  <c r="U5550" i="1"/>
  <c r="BB5550" i="1"/>
  <c r="BW5550" i="1"/>
  <c r="A5551" i="1"/>
  <c r="C5551" i="1"/>
  <c r="S5551" i="1"/>
  <c r="T5551" i="1"/>
  <c r="U5551" i="1"/>
  <c r="BB5551" i="1"/>
  <c r="BW5551" i="1"/>
  <c r="A5552" i="1"/>
  <c r="C5552" i="1"/>
  <c r="S5552" i="1"/>
  <c r="T5552" i="1"/>
  <c r="U5552" i="1"/>
  <c r="BB5552" i="1"/>
  <c r="BW5552" i="1"/>
  <c r="A5553" i="1"/>
  <c r="C5553" i="1"/>
  <c r="S5553" i="1"/>
  <c r="T5553" i="1"/>
  <c r="U5553" i="1"/>
  <c r="BB5553" i="1"/>
  <c r="BW5553" i="1"/>
  <c r="A5554" i="1"/>
  <c r="C5554" i="1"/>
  <c r="S5554" i="1"/>
  <c r="T5554" i="1"/>
  <c r="U5554" i="1"/>
  <c r="BB5554" i="1"/>
  <c r="BW5554" i="1"/>
  <c r="A5555" i="1"/>
  <c r="C5555" i="1"/>
  <c r="S5555" i="1"/>
  <c r="T5555" i="1"/>
  <c r="U5555" i="1"/>
  <c r="BB5555" i="1"/>
  <c r="BW5555" i="1"/>
  <c r="A5556" i="1"/>
  <c r="C5556" i="1"/>
  <c r="S5556" i="1"/>
  <c r="T5556" i="1"/>
  <c r="U5556" i="1"/>
  <c r="BB5556" i="1"/>
  <c r="BW5556" i="1"/>
  <c r="A5557" i="1"/>
  <c r="C5557" i="1"/>
  <c r="S5557" i="1"/>
  <c r="T5557" i="1"/>
  <c r="U5557" i="1"/>
  <c r="BB5557" i="1"/>
  <c r="BW5557" i="1"/>
  <c r="A5558" i="1"/>
  <c r="C5558" i="1"/>
  <c r="S5558" i="1"/>
  <c r="T5558" i="1"/>
  <c r="U5558" i="1"/>
  <c r="BB5558" i="1"/>
  <c r="BW5558" i="1"/>
  <c r="A5559" i="1"/>
  <c r="C5559" i="1"/>
  <c r="S5559" i="1"/>
  <c r="T5559" i="1"/>
  <c r="U5559" i="1"/>
  <c r="BB5559" i="1"/>
  <c r="BW5559" i="1"/>
  <c r="A5560" i="1"/>
  <c r="C5560" i="1"/>
  <c r="S5560" i="1"/>
  <c r="T5560" i="1"/>
  <c r="U5560" i="1"/>
  <c r="BB5560" i="1"/>
  <c r="BW5560" i="1"/>
  <c r="A5561" i="1"/>
  <c r="C5561" i="1"/>
  <c r="S5561" i="1"/>
  <c r="T5561" i="1"/>
  <c r="U5561" i="1"/>
  <c r="BB5561" i="1"/>
  <c r="BW5561" i="1"/>
  <c r="A5562" i="1"/>
  <c r="C5562" i="1"/>
  <c r="S5562" i="1"/>
  <c r="T5562" i="1"/>
  <c r="U5562" i="1"/>
  <c r="BB5562" i="1"/>
  <c r="BW5562" i="1"/>
  <c r="A5563" i="1"/>
  <c r="C5563" i="1"/>
  <c r="S5563" i="1"/>
  <c r="T5563" i="1"/>
  <c r="U5563" i="1"/>
  <c r="BB5563" i="1"/>
  <c r="BW5563" i="1"/>
  <c r="A5564" i="1"/>
  <c r="C5564" i="1"/>
  <c r="S5564" i="1"/>
  <c r="T5564" i="1"/>
  <c r="U5564" i="1"/>
  <c r="BB5564" i="1"/>
  <c r="BW5564" i="1"/>
  <c r="A5565" i="1"/>
  <c r="C5565" i="1"/>
  <c r="S5565" i="1"/>
  <c r="T5565" i="1"/>
  <c r="U5565" i="1"/>
  <c r="BB5565" i="1"/>
  <c r="BW5565" i="1"/>
  <c r="A5566" i="1"/>
  <c r="C5566" i="1"/>
  <c r="S5566" i="1"/>
  <c r="T5566" i="1"/>
  <c r="U5566" i="1"/>
  <c r="BB5566" i="1"/>
  <c r="BW5566" i="1"/>
  <c r="A5567" i="1"/>
  <c r="C5567" i="1"/>
  <c r="S5567" i="1"/>
  <c r="T5567" i="1"/>
  <c r="U5567" i="1"/>
  <c r="BB5567" i="1"/>
  <c r="BW5567" i="1"/>
  <c r="A5568" i="1"/>
  <c r="C5568" i="1"/>
  <c r="S5568" i="1"/>
  <c r="T5568" i="1"/>
  <c r="U5568" i="1"/>
  <c r="BB5568" i="1"/>
  <c r="BW5568" i="1"/>
  <c r="A5569" i="1"/>
  <c r="C5569" i="1"/>
  <c r="S5569" i="1"/>
  <c r="T5569" i="1"/>
  <c r="U5569" i="1"/>
  <c r="BB5569" i="1"/>
  <c r="BW5569" i="1"/>
  <c r="A5570" i="1"/>
  <c r="C5570" i="1"/>
  <c r="S5570" i="1"/>
  <c r="T5570" i="1"/>
  <c r="U5570" i="1"/>
  <c r="BB5570" i="1"/>
  <c r="BW5570" i="1"/>
  <c r="A5571" i="1"/>
  <c r="C5571" i="1"/>
  <c r="S5571" i="1"/>
  <c r="T5571" i="1"/>
  <c r="U5571" i="1"/>
  <c r="BB5571" i="1"/>
  <c r="BW5571" i="1"/>
  <c r="A5572" i="1"/>
  <c r="C5572" i="1"/>
  <c r="S5572" i="1"/>
  <c r="T5572" i="1"/>
  <c r="U5572" i="1"/>
  <c r="BB5572" i="1"/>
  <c r="BW5572" i="1"/>
  <c r="A5573" i="1"/>
  <c r="C5573" i="1"/>
  <c r="S5573" i="1"/>
  <c r="T5573" i="1"/>
  <c r="U5573" i="1"/>
  <c r="BB5573" i="1"/>
  <c r="BW5573" i="1"/>
  <c r="A5574" i="1"/>
  <c r="C5574" i="1"/>
  <c r="S5574" i="1"/>
  <c r="T5574" i="1"/>
  <c r="U5574" i="1"/>
  <c r="BB5574" i="1"/>
  <c r="BW5574" i="1"/>
  <c r="A5575" i="1"/>
  <c r="C5575" i="1"/>
  <c r="S5575" i="1"/>
  <c r="T5575" i="1"/>
  <c r="U5575" i="1"/>
  <c r="BB5575" i="1"/>
  <c r="BW5575" i="1"/>
  <c r="A5576" i="1"/>
  <c r="C5576" i="1"/>
  <c r="S5576" i="1"/>
  <c r="T5576" i="1"/>
  <c r="U5576" i="1"/>
  <c r="BB5576" i="1"/>
  <c r="BW5576" i="1"/>
  <c r="A5577" i="1"/>
  <c r="C5577" i="1"/>
  <c r="S5577" i="1"/>
  <c r="T5577" i="1"/>
  <c r="U5577" i="1"/>
  <c r="BB5577" i="1"/>
  <c r="BW5577" i="1"/>
  <c r="A5578" i="1"/>
  <c r="C5578" i="1"/>
  <c r="S5578" i="1"/>
  <c r="T5578" i="1"/>
  <c r="U5578" i="1"/>
  <c r="BB5578" i="1"/>
  <c r="BW5578" i="1"/>
  <c r="A5579" i="1"/>
  <c r="C5579" i="1"/>
  <c r="S5579" i="1"/>
  <c r="T5579" i="1"/>
  <c r="U5579" i="1"/>
  <c r="BB5579" i="1"/>
  <c r="BW5579" i="1"/>
  <c r="A5580" i="1"/>
  <c r="C5580" i="1"/>
  <c r="S5580" i="1"/>
  <c r="T5580" i="1"/>
  <c r="U5580" i="1"/>
  <c r="BB5580" i="1"/>
  <c r="BW5580" i="1"/>
  <c r="A5581" i="1"/>
  <c r="C5581" i="1"/>
  <c r="S5581" i="1"/>
  <c r="T5581" i="1"/>
  <c r="U5581" i="1"/>
  <c r="BB5581" i="1"/>
  <c r="BW5581" i="1"/>
  <c r="A5582" i="1"/>
  <c r="C5582" i="1"/>
  <c r="S5582" i="1"/>
  <c r="T5582" i="1"/>
  <c r="U5582" i="1"/>
  <c r="BB5582" i="1"/>
  <c r="BW5582" i="1"/>
  <c r="A5583" i="1"/>
  <c r="C5583" i="1"/>
  <c r="S5583" i="1"/>
  <c r="T5583" i="1"/>
  <c r="U5583" i="1"/>
  <c r="BB5583" i="1"/>
  <c r="BW5583" i="1"/>
  <c r="A5584" i="1"/>
  <c r="C5584" i="1"/>
  <c r="S5584" i="1"/>
  <c r="T5584" i="1"/>
  <c r="U5584" i="1"/>
  <c r="BB5584" i="1"/>
  <c r="BW5584" i="1"/>
  <c r="A5585" i="1"/>
  <c r="C5585" i="1"/>
  <c r="S5585" i="1"/>
  <c r="T5585" i="1"/>
  <c r="U5585" i="1"/>
  <c r="BB5585" i="1"/>
  <c r="BW5585" i="1"/>
  <c r="A5586" i="1"/>
  <c r="C5586" i="1"/>
  <c r="S5586" i="1"/>
  <c r="T5586" i="1"/>
  <c r="U5586" i="1"/>
  <c r="BB5586" i="1"/>
  <c r="BW5586" i="1"/>
  <c r="A5587" i="1"/>
  <c r="C5587" i="1"/>
  <c r="S5587" i="1"/>
  <c r="T5587" i="1"/>
  <c r="U5587" i="1"/>
  <c r="BB5587" i="1"/>
  <c r="BW5587" i="1"/>
  <c r="A5588" i="1"/>
  <c r="C5588" i="1"/>
  <c r="S5588" i="1"/>
  <c r="T5588" i="1"/>
  <c r="U5588" i="1"/>
  <c r="BB5588" i="1"/>
  <c r="BW5588" i="1"/>
  <c r="A5589" i="1"/>
  <c r="C5589" i="1"/>
  <c r="S5589" i="1"/>
  <c r="T5589" i="1"/>
  <c r="U5589" i="1"/>
  <c r="BB5589" i="1"/>
  <c r="BW5589" i="1"/>
  <c r="A5590" i="1"/>
  <c r="C5590" i="1"/>
  <c r="S5590" i="1"/>
  <c r="T5590" i="1"/>
  <c r="U5590" i="1"/>
  <c r="BB5590" i="1"/>
  <c r="BW5590" i="1"/>
  <c r="A5591" i="1"/>
  <c r="C5591" i="1"/>
  <c r="S5591" i="1"/>
  <c r="T5591" i="1"/>
  <c r="U5591" i="1"/>
  <c r="BB5591" i="1"/>
  <c r="BW5591" i="1"/>
  <c r="A5592" i="1"/>
  <c r="C5592" i="1"/>
  <c r="S5592" i="1"/>
  <c r="T5592" i="1"/>
  <c r="U5592" i="1"/>
  <c r="BB5592" i="1"/>
  <c r="BW5592" i="1"/>
  <c r="A5593" i="1"/>
  <c r="C5593" i="1"/>
  <c r="S5593" i="1"/>
  <c r="T5593" i="1"/>
  <c r="U5593" i="1"/>
  <c r="BB5593" i="1"/>
  <c r="BW5593" i="1"/>
  <c r="A5594" i="1"/>
  <c r="C5594" i="1"/>
  <c r="S5594" i="1"/>
  <c r="T5594" i="1"/>
  <c r="U5594" i="1"/>
  <c r="BB5594" i="1"/>
  <c r="BW5594" i="1"/>
  <c r="A5595" i="1"/>
  <c r="C5595" i="1"/>
  <c r="S5595" i="1"/>
  <c r="T5595" i="1"/>
  <c r="U5595" i="1"/>
  <c r="BB5595" i="1"/>
  <c r="BW5595" i="1"/>
  <c r="A5596" i="1"/>
  <c r="C5596" i="1"/>
  <c r="S5596" i="1"/>
  <c r="T5596" i="1"/>
  <c r="U5596" i="1"/>
  <c r="BB5596" i="1"/>
  <c r="BW5596" i="1"/>
  <c r="A5597" i="1"/>
  <c r="C5597" i="1"/>
  <c r="S5597" i="1"/>
  <c r="T5597" i="1"/>
  <c r="U5597" i="1"/>
  <c r="BB5597" i="1"/>
  <c r="BW5597" i="1"/>
  <c r="A5598" i="1"/>
  <c r="C5598" i="1"/>
  <c r="S5598" i="1"/>
  <c r="T5598" i="1"/>
  <c r="U5598" i="1"/>
  <c r="BB5598" i="1"/>
  <c r="BW5598" i="1"/>
  <c r="A5599" i="1"/>
  <c r="C5599" i="1"/>
  <c r="S5599" i="1"/>
  <c r="T5599" i="1"/>
  <c r="U5599" i="1"/>
  <c r="BB5599" i="1"/>
  <c r="BW5599" i="1"/>
  <c r="A5600" i="1"/>
  <c r="C5600" i="1"/>
  <c r="S5600" i="1"/>
  <c r="T5600" i="1"/>
  <c r="U5600" i="1"/>
  <c r="BB5600" i="1"/>
  <c r="BW5600" i="1"/>
  <c r="A5601" i="1"/>
  <c r="C5601" i="1"/>
  <c r="S5601" i="1"/>
  <c r="T5601" i="1"/>
  <c r="U5601" i="1"/>
  <c r="BB5601" i="1"/>
  <c r="BW5601" i="1"/>
  <c r="A5602" i="1"/>
  <c r="C5602" i="1"/>
  <c r="S5602" i="1"/>
  <c r="T5602" i="1"/>
  <c r="U5602" i="1"/>
  <c r="BB5602" i="1"/>
  <c r="BW5602" i="1"/>
  <c r="A5603" i="1"/>
  <c r="C5603" i="1"/>
  <c r="S5603" i="1"/>
  <c r="T5603" i="1"/>
  <c r="U5603" i="1"/>
  <c r="BB5603" i="1"/>
  <c r="BW5603" i="1"/>
  <c r="A5604" i="1"/>
  <c r="C5604" i="1"/>
  <c r="S5604" i="1"/>
  <c r="T5604" i="1"/>
  <c r="U5604" i="1"/>
  <c r="BB5604" i="1"/>
  <c r="BW5604" i="1"/>
  <c r="A5605" i="1"/>
  <c r="C5605" i="1"/>
  <c r="S5605" i="1"/>
  <c r="T5605" i="1"/>
  <c r="U5605" i="1"/>
  <c r="BB5605" i="1"/>
  <c r="BW5605" i="1"/>
  <c r="A5606" i="1"/>
  <c r="C5606" i="1"/>
  <c r="S5606" i="1"/>
  <c r="T5606" i="1"/>
  <c r="U5606" i="1"/>
  <c r="BB5606" i="1"/>
  <c r="BW5606" i="1"/>
  <c r="A5607" i="1"/>
  <c r="C5607" i="1"/>
  <c r="S5607" i="1"/>
  <c r="T5607" i="1"/>
  <c r="U5607" i="1"/>
  <c r="BB5607" i="1"/>
  <c r="BW5607" i="1"/>
  <c r="A5608" i="1"/>
  <c r="C5608" i="1"/>
  <c r="S5608" i="1"/>
  <c r="T5608" i="1"/>
  <c r="U5608" i="1"/>
  <c r="BB5608" i="1"/>
  <c r="BW5608" i="1"/>
  <c r="A5609" i="1"/>
  <c r="C5609" i="1"/>
  <c r="S5609" i="1"/>
  <c r="T5609" i="1"/>
  <c r="U5609" i="1"/>
  <c r="BB5609" i="1"/>
  <c r="BW5609" i="1"/>
  <c r="A5610" i="1"/>
  <c r="C5610" i="1"/>
  <c r="S5610" i="1"/>
  <c r="T5610" i="1"/>
  <c r="U5610" i="1"/>
  <c r="BB5610" i="1"/>
  <c r="BW5610" i="1"/>
  <c r="A5611" i="1"/>
  <c r="C5611" i="1"/>
  <c r="S5611" i="1"/>
  <c r="T5611" i="1"/>
  <c r="U5611" i="1"/>
  <c r="BB5611" i="1"/>
  <c r="BW5611" i="1"/>
  <c r="A5612" i="1"/>
  <c r="C5612" i="1"/>
  <c r="S5612" i="1"/>
  <c r="T5612" i="1"/>
  <c r="U5612" i="1"/>
  <c r="BB5612" i="1"/>
  <c r="BW5612" i="1"/>
  <c r="A5613" i="1"/>
  <c r="C5613" i="1"/>
  <c r="S5613" i="1"/>
  <c r="T5613" i="1"/>
  <c r="U5613" i="1"/>
  <c r="BB5613" i="1"/>
  <c r="BW5613" i="1"/>
  <c r="A5614" i="1"/>
  <c r="C5614" i="1"/>
  <c r="S5614" i="1"/>
  <c r="T5614" i="1"/>
  <c r="U5614" i="1"/>
  <c r="BB5614" i="1"/>
  <c r="BW5614" i="1"/>
  <c r="A5615" i="1"/>
  <c r="C5615" i="1"/>
  <c r="S5615" i="1"/>
  <c r="T5615" i="1"/>
  <c r="U5615" i="1"/>
  <c r="BB5615" i="1"/>
  <c r="BW5615" i="1"/>
  <c r="A5616" i="1"/>
  <c r="C5616" i="1"/>
  <c r="S5616" i="1"/>
  <c r="T5616" i="1"/>
  <c r="U5616" i="1"/>
  <c r="BB5616" i="1"/>
  <c r="BW5616" i="1"/>
  <c r="A5617" i="1"/>
  <c r="C5617" i="1"/>
  <c r="S5617" i="1"/>
  <c r="T5617" i="1"/>
  <c r="U5617" i="1"/>
  <c r="BB5617" i="1"/>
  <c r="BW5617" i="1"/>
  <c r="A5618" i="1"/>
  <c r="C5618" i="1"/>
  <c r="S5618" i="1"/>
  <c r="T5618" i="1"/>
  <c r="U5618" i="1"/>
  <c r="BB5618" i="1"/>
  <c r="BW5618" i="1"/>
  <c r="A5619" i="1"/>
  <c r="C5619" i="1"/>
  <c r="S5619" i="1"/>
  <c r="T5619" i="1"/>
  <c r="U5619" i="1"/>
  <c r="BB5619" i="1"/>
  <c r="BW5619" i="1"/>
  <c r="A5620" i="1"/>
  <c r="C5620" i="1"/>
  <c r="S5620" i="1"/>
  <c r="T5620" i="1"/>
  <c r="U5620" i="1"/>
  <c r="BB5620" i="1"/>
  <c r="BW5620" i="1"/>
  <c r="A5621" i="1"/>
  <c r="C5621" i="1"/>
  <c r="S5621" i="1"/>
  <c r="T5621" i="1"/>
  <c r="U5621" i="1"/>
  <c r="BB5621" i="1"/>
  <c r="BW5621" i="1"/>
  <c r="A5622" i="1"/>
  <c r="C5622" i="1"/>
  <c r="S5622" i="1"/>
  <c r="T5622" i="1"/>
  <c r="U5622" i="1"/>
  <c r="BB5622" i="1"/>
  <c r="BW5622" i="1"/>
  <c r="A5623" i="1"/>
  <c r="C5623" i="1"/>
  <c r="S5623" i="1"/>
  <c r="T5623" i="1"/>
  <c r="U5623" i="1"/>
  <c r="BB5623" i="1"/>
  <c r="BW5623" i="1"/>
  <c r="A5624" i="1"/>
  <c r="C5624" i="1"/>
  <c r="S5624" i="1"/>
  <c r="T5624" i="1"/>
  <c r="U5624" i="1"/>
  <c r="BB5624" i="1"/>
  <c r="BW5624" i="1"/>
  <c r="A5625" i="1"/>
  <c r="C5625" i="1"/>
  <c r="S5625" i="1"/>
  <c r="T5625" i="1"/>
  <c r="U5625" i="1"/>
  <c r="BB5625" i="1"/>
  <c r="BW5625" i="1"/>
  <c r="A5626" i="1"/>
  <c r="C5626" i="1"/>
  <c r="S5626" i="1"/>
  <c r="T5626" i="1"/>
  <c r="U5626" i="1"/>
  <c r="BB5626" i="1"/>
  <c r="BW5626" i="1"/>
  <c r="A5627" i="1"/>
  <c r="C5627" i="1"/>
  <c r="S5627" i="1"/>
  <c r="T5627" i="1"/>
  <c r="U5627" i="1"/>
  <c r="BB5627" i="1"/>
  <c r="BW5627" i="1"/>
  <c r="A5628" i="1"/>
  <c r="C5628" i="1"/>
  <c r="S5628" i="1"/>
  <c r="T5628" i="1"/>
  <c r="U5628" i="1"/>
  <c r="BB5628" i="1"/>
  <c r="BW5628" i="1"/>
  <c r="A5629" i="1"/>
  <c r="C5629" i="1"/>
  <c r="S5629" i="1"/>
  <c r="T5629" i="1"/>
  <c r="U5629" i="1"/>
  <c r="BB5629" i="1"/>
  <c r="BW5629" i="1"/>
  <c r="A5630" i="1"/>
  <c r="C5630" i="1"/>
  <c r="S5630" i="1"/>
  <c r="T5630" i="1"/>
  <c r="U5630" i="1"/>
  <c r="BB5630" i="1"/>
  <c r="BW5630" i="1"/>
  <c r="A5631" i="1"/>
  <c r="C5631" i="1"/>
  <c r="S5631" i="1"/>
  <c r="T5631" i="1"/>
  <c r="U5631" i="1"/>
  <c r="BB5631" i="1"/>
  <c r="BW5631" i="1"/>
  <c r="A5632" i="1"/>
  <c r="C5632" i="1"/>
  <c r="S5632" i="1"/>
  <c r="T5632" i="1"/>
  <c r="U5632" i="1"/>
  <c r="BB5632" i="1"/>
  <c r="BW5632" i="1"/>
  <c r="A5633" i="1"/>
  <c r="C5633" i="1"/>
  <c r="S5633" i="1"/>
  <c r="T5633" i="1"/>
  <c r="U5633" i="1"/>
  <c r="BB5633" i="1"/>
  <c r="BW5633" i="1"/>
  <c r="A5634" i="1"/>
  <c r="C5634" i="1"/>
  <c r="S5634" i="1"/>
  <c r="T5634" i="1"/>
  <c r="U5634" i="1"/>
  <c r="BB5634" i="1"/>
  <c r="BW5634" i="1"/>
  <c r="A5635" i="1"/>
  <c r="C5635" i="1"/>
  <c r="S5635" i="1"/>
  <c r="T5635" i="1"/>
  <c r="U5635" i="1"/>
  <c r="BB5635" i="1"/>
  <c r="BW5635" i="1"/>
  <c r="A5636" i="1"/>
  <c r="C5636" i="1"/>
  <c r="S5636" i="1"/>
  <c r="T5636" i="1"/>
  <c r="U5636" i="1"/>
  <c r="BB5636" i="1"/>
  <c r="BW5636" i="1"/>
  <c r="A5637" i="1"/>
  <c r="C5637" i="1"/>
  <c r="S5637" i="1"/>
  <c r="T5637" i="1"/>
  <c r="U5637" i="1"/>
  <c r="BB5637" i="1"/>
  <c r="BW5637" i="1"/>
  <c r="A5638" i="1"/>
  <c r="C5638" i="1"/>
  <c r="S5638" i="1"/>
  <c r="T5638" i="1"/>
  <c r="U5638" i="1"/>
  <c r="BB5638" i="1"/>
  <c r="BW5638" i="1"/>
  <c r="A5639" i="1"/>
  <c r="C5639" i="1"/>
  <c r="S5639" i="1"/>
  <c r="T5639" i="1"/>
  <c r="U5639" i="1"/>
  <c r="BB5639" i="1"/>
  <c r="BW5639" i="1"/>
  <c r="A5640" i="1"/>
  <c r="C5640" i="1"/>
  <c r="S5640" i="1"/>
  <c r="T5640" i="1"/>
  <c r="U5640" i="1"/>
  <c r="BB5640" i="1"/>
  <c r="BW5640" i="1"/>
  <c r="A5641" i="1"/>
  <c r="C5641" i="1"/>
  <c r="S5641" i="1"/>
  <c r="T5641" i="1"/>
  <c r="U5641" i="1"/>
  <c r="BB5641" i="1"/>
  <c r="BW5641" i="1"/>
  <c r="A5642" i="1"/>
  <c r="C5642" i="1"/>
  <c r="S5642" i="1"/>
  <c r="T5642" i="1"/>
  <c r="U5642" i="1"/>
  <c r="BB5642" i="1"/>
  <c r="BW5642" i="1"/>
  <c r="A5643" i="1"/>
  <c r="C5643" i="1"/>
  <c r="S5643" i="1"/>
  <c r="T5643" i="1"/>
  <c r="U5643" i="1"/>
  <c r="BB5643" i="1"/>
  <c r="BW5643" i="1"/>
  <c r="A5644" i="1"/>
  <c r="C5644" i="1"/>
  <c r="S5644" i="1"/>
  <c r="T5644" i="1"/>
  <c r="U5644" i="1"/>
  <c r="BB5644" i="1"/>
  <c r="BW5644" i="1"/>
  <c r="A5645" i="1"/>
  <c r="C5645" i="1"/>
  <c r="S5645" i="1"/>
  <c r="T5645" i="1"/>
  <c r="U5645" i="1"/>
  <c r="BB5645" i="1"/>
  <c r="BW5645" i="1"/>
  <c r="A5646" i="1"/>
  <c r="C5646" i="1"/>
  <c r="S5646" i="1"/>
  <c r="T5646" i="1"/>
  <c r="U5646" i="1"/>
  <c r="BB5646" i="1"/>
  <c r="BW5646" i="1"/>
  <c r="A5647" i="1"/>
  <c r="C5647" i="1"/>
  <c r="S5647" i="1"/>
  <c r="T5647" i="1"/>
  <c r="U5647" i="1"/>
  <c r="BB5647" i="1"/>
  <c r="BW5647" i="1"/>
  <c r="A5648" i="1"/>
  <c r="C5648" i="1"/>
  <c r="S5648" i="1"/>
  <c r="T5648" i="1"/>
  <c r="U5648" i="1"/>
  <c r="BB5648" i="1"/>
  <c r="BW5648" i="1"/>
  <c r="A5649" i="1"/>
  <c r="C5649" i="1"/>
  <c r="S5649" i="1"/>
  <c r="T5649" i="1"/>
  <c r="U5649" i="1"/>
  <c r="BB5649" i="1"/>
  <c r="BW5649" i="1"/>
  <c r="A5650" i="1"/>
  <c r="C5650" i="1"/>
  <c r="S5650" i="1"/>
  <c r="T5650" i="1"/>
  <c r="U5650" i="1"/>
  <c r="BB5650" i="1"/>
  <c r="BW5650" i="1"/>
  <c r="A5651" i="1"/>
  <c r="C5651" i="1"/>
  <c r="S5651" i="1"/>
  <c r="T5651" i="1"/>
  <c r="U5651" i="1"/>
  <c r="BB5651" i="1"/>
  <c r="BW5651" i="1"/>
  <c r="A5652" i="1"/>
  <c r="C5652" i="1"/>
  <c r="S5652" i="1"/>
  <c r="T5652" i="1"/>
  <c r="U5652" i="1"/>
  <c r="BB5652" i="1"/>
  <c r="BW5652" i="1"/>
  <c r="A5653" i="1"/>
  <c r="C5653" i="1"/>
  <c r="S5653" i="1"/>
  <c r="T5653" i="1"/>
  <c r="U5653" i="1"/>
  <c r="BB5653" i="1"/>
  <c r="BW5653" i="1"/>
  <c r="A5654" i="1"/>
  <c r="C5654" i="1"/>
  <c r="S5654" i="1"/>
  <c r="T5654" i="1"/>
  <c r="U5654" i="1"/>
  <c r="BB5654" i="1"/>
  <c r="BW5654" i="1"/>
  <c r="A5655" i="1"/>
  <c r="C5655" i="1"/>
  <c r="S5655" i="1"/>
  <c r="T5655" i="1"/>
  <c r="U5655" i="1"/>
  <c r="BB5655" i="1"/>
  <c r="BW5655" i="1"/>
  <c r="A5656" i="1"/>
  <c r="C5656" i="1"/>
  <c r="S5656" i="1"/>
  <c r="T5656" i="1"/>
  <c r="U5656" i="1"/>
  <c r="BB5656" i="1"/>
  <c r="BW5656" i="1"/>
  <c r="A5657" i="1"/>
  <c r="C5657" i="1"/>
  <c r="S5657" i="1"/>
  <c r="T5657" i="1"/>
  <c r="U5657" i="1"/>
  <c r="BB5657" i="1"/>
  <c r="BW5657" i="1"/>
  <c r="A5658" i="1"/>
  <c r="C5658" i="1"/>
  <c r="S5658" i="1"/>
  <c r="T5658" i="1"/>
  <c r="U5658" i="1"/>
  <c r="BB5658" i="1"/>
  <c r="BW5658" i="1"/>
  <c r="A5659" i="1"/>
  <c r="C5659" i="1"/>
  <c r="S5659" i="1"/>
  <c r="T5659" i="1"/>
  <c r="U5659" i="1"/>
  <c r="BB5659" i="1"/>
  <c r="BW5659" i="1"/>
  <c r="A5660" i="1"/>
  <c r="C5660" i="1"/>
  <c r="S5660" i="1"/>
  <c r="T5660" i="1"/>
  <c r="U5660" i="1"/>
  <c r="BB5660" i="1"/>
  <c r="BW5660" i="1"/>
  <c r="A5661" i="1"/>
  <c r="C5661" i="1"/>
  <c r="S5661" i="1"/>
  <c r="T5661" i="1"/>
  <c r="U5661" i="1"/>
  <c r="BB5661" i="1"/>
  <c r="BW5661" i="1"/>
  <c r="A5662" i="1"/>
  <c r="C5662" i="1"/>
  <c r="S5662" i="1"/>
  <c r="T5662" i="1"/>
  <c r="U5662" i="1"/>
  <c r="BB5662" i="1"/>
  <c r="BW5662" i="1"/>
  <c r="A5663" i="1"/>
  <c r="C5663" i="1"/>
  <c r="S5663" i="1"/>
  <c r="T5663" i="1"/>
  <c r="U5663" i="1"/>
  <c r="BB5663" i="1"/>
  <c r="BW5663" i="1"/>
  <c r="A5664" i="1"/>
  <c r="C5664" i="1"/>
  <c r="S5664" i="1"/>
  <c r="T5664" i="1"/>
  <c r="U5664" i="1"/>
  <c r="BB5664" i="1"/>
  <c r="BW5664" i="1"/>
  <c r="A5665" i="1"/>
  <c r="C5665" i="1"/>
  <c r="S5665" i="1"/>
  <c r="T5665" i="1"/>
  <c r="U5665" i="1"/>
  <c r="BB5665" i="1"/>
  <c r="BW5665" i="1"/>
  <c r="A5666" i="1"/>
  <c r="C5666" i="1"/>
  <c r="S5666" i="1"/>
  <c r="T5666" i="1"/>
  <c r="U5666" i="1"/>
  <c r="BB5666" i="1"/>
  <c r="BW5666" i="1"/>
  <c r="A5667" i="1"/>
  <c r="C5667" i="1"/>
  <c r="S5667" i="1"/>
  <c r="T5667" i="1"/>
  <c r="U5667" i="1"/>
  <c r="BB5667" i="1"/>
  <c r="BW5667" i="1"/>
  <c r="A5668" i="1"/>
  <c r="C5668" i="1"/>
  <c r="S5668" i="1"/>
  <c r="T5668" i="1"/>
  <c r="U5668" i="1"/>
  <c r="BB5668" i="1"/>
  <c r="BW5668" i="1"/>
  <c r="A5669" i="1"/>
  <c r="C5669" i="1"/>
  <c r="S5669" i="1"/>
  <c r="T5669" i="1"/>
  <c r="U5669" i="1"/>
  <c r="BB5669" i="1"/>
  <c r="BW5669" i="1"/>
  <c r="A5670" i="1"/>
  <c r="C5670" i="1"/>
  <c r="S5670" i="1"/>
  <c r="T5670" i="1"/>
  <c r="U5670" i="1"/>
  <c r="BB5670" i="1"/>
  <c r="BW5670" i="1"/>
  <c r="A5671" i="1"/>
  <c r="C5671" i="1"/>
  <c r="S5671" i="1"/>
  <c r="T5671" i="1"/>
  <c r="U5671" i="1"/>
  <c r="BB5671" i="1"/>
  <c r="BW5671" i="1"/>
  <c r="A5672" i="1"/>
  <c r="C5672" i="1"/>
  <c r="S5672" i="1"/>
  <c r="T5672" i="1"/>
  <c r="U5672" i="1"/>
  <c r="BB5672" i="1"/>
  <c r="BW5672" i="1"/>
  <c r="A5673" i="1"/>
  <c r="C5673" i="1"/>
  <c r="S5673" i="1"/>
  <c r="T5673" i="1"/>
  <c r="U5673" i="1"/>
  <c r="BB5673" i="1"/>
  <c r="BW5673" i="1"/>
  <c r="A5674" i="1"/>
  <c r="C5674" i="1"/>
  <c r="S5674" i="1"/>
  <c r="T5674" i="1"/>
  <c r="U5674" i="1"/>
  <c r="BB5674" i="1"/>
  <c r="BW5674" i="1"/>
  <c r="A5675" i="1"/>
  <c r="C5675" i="1"/>
  <c r="S5675" i="1"/>
  <c r="T5675" i="1"/>
  <c r="U5675" i="1"/>
  <c r="BB5675" i="1"/>
  <c r="BW5675" i="1"/>
  <c r="A5676" i="1"/>
  <c r="C5676" i="1"/>
  <c r="S5676" i="1"/>
  <c r="T5676" i="1"/>
  <c r="U5676" i="1"/>
  <c r="BB5676" i="1"/>
  <c r="BW5676" i="1"/>
  <c r="A5677" i="1"/>
  <c r="C5677" i="1"/>
  <c r="S5677" i="1"/>
  <c r="T5677" i="1"/>
  <c r="U5677" i="1"/>
  <c r="BB5677" i="1"/>
  <c r="BW5677" i="1"/>
  <c r="A5678" i="1"/>
  <c r="C5678" i="1"/>
  <c r="S5678" i="1"/>
  <c r="T5678" i="1"/>
  <c r="U5678" i="1"/>
  <c r="BB5678" i="1"/>
  <c r="BW5678" i="1"/>
  <c r="A5679" i="1"/>
  <c r="C5679" i="1"/>
  <c r="S5679" i="1"/>
  <c r="T5679" i="1"/>
  <c r="U5679" i="1"/>
  <c r="BB5679" i="1"/>
  <c r="BW5679" i="1"/>
  <c r="A5680" i="1"/>
  <c r="C5680" i="1"/>
  <c r="S5680" i="1"/>
  <c r="T5680" i="1"/>
  <c r="U5680" i="1"/>
  <c r="BB5680" i="1"/>
  <c r="BW5680" i="1"/>
  <c r="A5681" i="1"/>
  <c r="C5681" i="1"/>
  <c r="S5681" i="1"/>
  <c r="T5681" i="1"/>
  <c r="U5681" i="1"/>
  <c r="BB5681" i="1"/>
  <c r="BW5681" i="1"/>
  <c r="A5682" i="1"/>
  <c r="C5682" i="1"/>
  <c r="S5682" i="1"/>
  <c r="T5682" i="1"/>
  <c r="U5682" i="1"/>
  <c r="BB5682" i="1"/>
  <c r="BW5682" i="1"/>
  <c r="A5683" i="1"/>
  <c r="C5683" i="1"/>
  <c r="S5683" i="1"/>
  <c r="T5683" i="1"/>
  <c r="U5683" i="1"/>
  <c r="BB5683" i="1"/>
  <c r="BW5683" i="1"/>
  <c r="A5684" i="1"/>
  <c r="C5684" i="1"/>
  <c r="S5684" i="1"/>
  <c r="T5684" i="1"/>
  <c r="U5684" i="1"/>
  <c r="BB5684" i="1"/>
  <c r="BW5684" i="1"/>
  <c r="A5685" i="1"/>
  <c r="C5685" i="1"/>
  <c r="S5685" i="1"/>
  <c r="T5685" i="1"/>
  <c r="U5685" i="1"/>
  <c r="BB5685" i="1"/>
  <c r="BW5685" i="1"/>
  <c r="A5686" i="1"/>
  <c r="C5686" i="1"/>
  <c r="S5686" i="1"/>
  <c r="T5686" i="1"/>
  <c r="U5686" i="1"/>
  <c r="BB5686" i="1"/>
  <c r="BW5686" i="1"/>
  <c r="A5687" i="1"/>
  <c r="C5687" i="1"/>
  <c r="S5687" i="1"/>
  <c r="T5687" i="1"/>
  <c r="U5687" i="1"/>
  <c r="BB5687" i="1"/>
  <c r="BW5687" i="1"/>
  <c r="A5688" i="1"/>
  <c r="C5688" i="1"/>
  <c r="S5688" i="1"/>
  <c r="T5688" i="1"/>
  <c r="U5688" i="1"/>
  <c r="BB5688" i="1"/>
  <c r="BW5688" i="1"/>
  <c r="A5689" i="1"/>
  <c r="C5689" i="1"/>
  <c r="S5689" i="1"/>
  <c r="T5689" i="1"/>
  <c r="U5689" i="1"/>
  <c r="BB5689" i="1"/>
  <c r="BW5689" i="1"/>
  <c r="A5690" i="1"/>
  <c r="C5690" i="1"/>
  <c r="S5690" i="1"/>
  <c r="T5690" i="1"/>
  <c r="U5690" i="1"/>
  <c r="BB5690" i="1"/>
  <c r="BW5690" i="1"/>
  <c r="A5691" i="1"/>
  <c r="C5691" i="1"/>
  <c r="S5691" i="1"/>
  <c r="T5691" i="1"/>
  <c r="U5691" i="1"/>
  <c r="BB5691" i="1"/>
  <c r="BW5691" i="1"/>
  <c r="A5692" i="1"/>
  <c r="C5692" i="1"/>
  <c r="S5692" i="1"/>
  <c r="T5692" i="1"/>
  <c r="U5692" i="1"/>
  <c r="BB5692" i="1"/>
  <c r="BW5692" i="1"/>
  <c r="A5693" i="1"/>
  <c r="C5693" i="1"/>
  <c r="S5693" i="1"/>
  <c r="T5693" i="1"/>
  <c r="U5693" i="1"/>
  <c r="BB5693" i="1"/>
  <c r="BW5693" i="1"/>
  <c r="A5694" i="1"/>
  <c r="C5694" i="1"/>
  <c r="S5694" i="1"/>
  <c r="T5694" i="1"/>
  <c r="U5694" i="1"/>
  <c r="BB5694" i="1"/>
  <c r="BW5694" i="1"/>
  <c r="A5695" i="1"/>
  <c r="C5695" i="1"/>
  <c r="S5695" i="1"/>
  <c r="T5695" i="1"/>
  <c r="U5695" i="1"/>
  <c r="BB5695" i="1"/>
  <c r="BW5695" i="1"/>
  <c r="A5696" i="1"/>
  <c r="C5696" i="1"/>
  <c r="S5696" i="1"/>
  <c r="T5696" i="1"/>
  <c r="U5696" i="1"/>
  <c r="BB5696" i="1"/>
  <c r="BW5696" i="1"/>
  <c r="A5697" i="1"/>
  <c r="C5697" i="1"/>
  <c r="S5697" i="1"/>
  <c r="T5697" i="1"/>
  <c r="U5697" i="1"/>
  <c r="BB5697" i="1"/>
  <c r="BW5697" i="1"/>
  <c r="A5698" i="1"/>
  <c r="C5698" i="1"/>
  <c r="S5698" i="1"/>
  <c r="T5698" i="1"/>
  <c r="U5698" i="1"/>
  <c r="BB5698" i="1"/>
  <c r="BW5698" i="1"/>
  <c r="A5699" i="1"/>
  <c r="C5699" i="1"/>
  <c r="S5699" i="1"/>
  <c r="T5699" i="1"/>
  <c r="U5699" i="1"/>
  <c r="BB5699" i="1"/>
  <c r="BW5699" i="1"/>
  <c r="A5700" i="1"/>
  <c r="C5700" i="1"/>
  <c r="S5700" i="1"/>
  <c r="T5700" i="1"/>
  <c r="U5700" i="1"/>
  <c r="BB5700" i="1"/>
  <c r="BW5700" i="1"/>
  <c r="A5701" i="1"/>
  <c r="C5701" i="1"/>
  <c r="S5701" i="1"/>
  <c r="T5701" i="1"/>
  <c r="U5701" i="1"/>
  <c r="BB5701" i="1"/>
  <c r="BW5701" i="1"/>
  <c r="A5702" i="1"/>
  <c r="C5702" i="1"/>
  <c r="S5702" i="1"/>
  <c r="T5702" i="1"/>
  <c r="U5702" i="1"/>
  <c r="BB5702" i="1"/>
  <c r="BW5702" i="1"/>
  <c r="A5703" i="1"/>
  <c r="C5703" i="1"/>
  <c r="S5703" i="1"/>
  <c r="T5703" i="1"/>
  <c r="U5703" i="1"/>
  <c r="BB5703" i="1"/>
  <c r="BW5703" i="1"/>
  <c r="A5704" i="1"/>
  <c r="C5704" i="1"/>
  <c r="S5704" i="1"/>
  <c r="T5704" i="1"/>
  <c r="U5704" i="1"/>
  <c r="BB5704" i="1"/>
  <c r="BW5704" i="1"/>
  <c r="A5705" i="1"/>
  <c r="C5705" i="1"/>
  <c r="S5705" i="1"/>
  <c r="T5705" i="1"/>
  <c r="U5705" i="1"/>
  <c r="BB5705" i="1"/>
  <c r="BW5705" i="1"/>
  <c r="A5706" i="1"/>
  <c r="C5706" i="1"/>
  <c r="S5706" i="1"/>
  <c r="T5706" i="1"/>
  <c r="U5706" i="1"/>
  <c r="BB5706" i="1"/>
  <c r="BW5706" i="1"/>
  <c r="A5707" i="1"/>
  <c r="C5707" i="1"/>
  <c r="S5707" i="1"/>
  <c r="T5707" i="1"/>
  <c r="U5707" i="1"/>
  <c r="BB5707" i="1"/>
  <c r="BW5707" i="1"/>
  <c r="A5708" i="1"/>
  <c r="C5708" i="1"/>
  <c r="S5708" i="1"/>
  <c r="T5708" i="1"/>
  <c r="U5708" i="1"/>
  <c r="BB5708" i="1"/>
  <c r="BW5708" i="1"/>
  <c r="A5709" i="1"/>
  <c r="C5709" i="1"/>
  <c r="S5709" i="1"/>
  <c r="T5709" i="1"/>
  <c r="U5709" i="1"/>
  <c r="BB5709" i="1"/>
  <c r="BW5709" i="1"/>
  <c r="A5710" i="1"/>
  <c r="C5710" i="1"/>
  <c r="S5710" i="1"/>
  <c r="T5710" i="1"/>
  <c r="U5710" i="1"/>
  <c r="BB5710" i="1"/>
  <c r="BW5710" i="1"/>
  <c r="A5711" i="1"/>
  <c r="C5711" i="1"/>
  <c r="S5711" i="1"/>
  <c r="T5711" i="1"/>
  <c r="U5711" i="1"/>
  <c r="BB5711" i="1"/>
  <c r="BW5711" i="1"/>
  <c r="A5712" i="1"/>
  <c r="C5712" i="1"/>
  <c r="S5712" i="1"/>
  <c r="T5712" i="1"/>
  <c r="U5712" i="1"/>
  <c r="BB5712" i="1"/>
  <c r="BW5712" i="1"/>
  <c r="A5713" i="1"/>
  <c r="C5713" i="1"/>
  <c r="S5713" i="1"/>
  <c r="T5713" i="1"/>
  <c r="U5713" i="1"/>
  <c r="BB5713" i="1"/>
  <c r="BW5713" i="1"/>
  <c r="A5714" i="1"/>
  <c r="C5714" i="1"/>
  <c r="S5714" i="1"/>
  <c r="T5714" i="1"/>
  <c r="U5714" i="1"/>
  <c r="BB5714" i="1"/>
  <c r="BW5714" i="1"/>
  <c r="A5715" i="1"/>
  <c r="C5715" i="1"/>
  <c r="S5715" i="1"/>
  <c r="T5715" i="1"/>
  <c r="U5715" i="1"/>
  <c r="BB5715" i="1"/>
  <c r="BW5715" i="1"/>
  <c r="A5716" i="1"/>
  <c r="C5716" i="1"/>
  <c r="S5716" i="1"/>
  <c r="T5716" i="1"/>
  <c r="U5716" i="1"/>
  <c r="BB5716" i="1"/>
  <c r="BW5716" i="1"/>
  <c r="A5717" i="1"/>
  <c r="C5717" i="1"/>
  <c r="S5717" i="1"/>
  <c r="T5717" i="1"/>
  <c r="U5717" i="1"/>
  <c r="BB5717" i="1"/>
  <c r="BW5717" i="1"/>
  <c r="A5718" i="1"/>
  <c r="C5718" i="1"/>
  <c r="S5718" i="1"/>
  <c r="T5718" i="1"/>
  <c r="U5718" i="1"/>
  <c r="BB5718" i="1"/>
  <c r="BW5718" i="1"/>
  <c r="A5719" i="1"/>
  <c r="C5719" i="1"/>
  <c r="S5719" i="1"/>
  <c r="T5719" i="1"/>
  <c r="U5719" i="1"/>
  <c r="BB5719" i="1"/>
  <c r="BW5719" i="1"/>
  <c r="A5720" i="1"/>
  <c r="C5720" i="1"/>
  <c r="S5720" i="1"/>
  <c r="T5720" i="1"/>
  <c r="U5720" i="1"/>
  <c r="BB5720" i="1"/>
  <c r="BW5720" i="1"/>
  <c r="A5721" i="1"/>
  <c r="C5721" i="1"/>
  <c r="S5721" i="1"/>
  <c r="T5721" i="1"/>
  <c r="U5721" i="1"/>
  <c r="BB5721" i="1"/>
  <c r="BW5721" i="1"/>
  <c r="A5722" i="1"/>
  <c r="C5722" i="1"/>
  <c r="S5722" i="1"/>
  <c r="T5722" i="1"/>
  <c r="U5722" i="1"/>
  <c r="BB5722" i="1"/>
  <c r="BW5722" i="1"/>
  <c r="A5723" i="1"/>
  <c r="C5723" i="1"/>
  <c r="S5723" i="1"/>
  <c r="T5723" i="1"/>
  <c r="U5723" i="1"/>
  <c r="BB5723" i="1"/>
  <c r="BW5723" i="1"/>
  <c r="A5724" i="1"/>
  <c r="C5724" i="1"/>
  <c r="S5724" i="1"/>
  <c r="T5724" i="1"/>
  <c r="U5724" i="1"/>
  <c r="BB5724" i="1"/>
  <c r="BW5724" i="1"/>
  <c r="A5725" i="1"/>
  <c r="C5725" i="1"/>
  <c r="S5725" i="1"/>
  <c r="T5725" i="1"/>
  <c r="U5725" i="1"/>
  <c r="BB5725" i="1"/>
  <c r="BW5725" i="1"/>
  <c r="A5726" i="1"/>
  <c r="C5726" i="1"/>
  <c r="S5726" i="1"/>
  <c r="T5726" i="1"/>
  <c r="U5726" i="1"/>
  <c r="BB5726" i="1"/>
  <c r="BW5726" i="1"/>
  <c r="A5727" i="1"/>
  <c r="C5727" i="1"/>
  <c r="S5727" i="1"/>
  <c r="T5727" i="1"/>
  <c r="U5727" i="1"/>
  <c r="BB5727" i="1"/>
  <c r="BW5727" i="1"/>
  <c r="A5728" i="1"/>
  <c r="C5728" i="1"/>
  <c r="S5728" i="1"/>
  <c r="T5728" i="1"/>
  <c r="U5728" i="1"/>
  <c r="BB5728" i="1"/>
  <c r="BW5728" i="1"/>
  <c r="A5729" i="1"/>
  <c r="C5729" i="1"/>
  <c r="S5729" i="1"/>
  <c r="T5729" i="1"/>
  <c r="U5729" i="1"/>
  <c r="BB5729" i="1"/>
  <c r="BW5729" i="1"/>
  <c r="A5730" i="1"/>
  <c r="C5730" i="1"/>
  <c r="S5730" i="1"/>
  <c r="T5730" i="1"/>
  <c r="U5730" i="1"/>
  <c r="BB5730" i="1"/>
  <c r="BW5730" i="1"/>
  <c r="A5731" i="1"/>
  <c r="C5731" i="1"/>
  <c r="S5731" i="1"/>
  <c r="T5731" i="1"/>
  <c r="U5731" i="1"/>
  <c r="BB5731" i="1"/>
  <c r="BW5731" i="1"/>
  <c r="A5732" i="1"/>
  <c r="C5732" i="1"/>
  <c r="S5732" i="1"/>
  <c r="T5732" i="1"/>
  <c r="U5732" i="1"/>
  <c r="BB5732" i="1"/>
  <c r="BW5732" i="1"/>
  <c r="A5733" i="1"/>
  <c r="C5733" i="1"/>
  <c r="S5733" i="1"/>
  <c r="T5733" i="1"/>
  <c r="U5733" i="1"/>
  <c r="BB5733" i="1"/>
  <c r="BW5733" i="1"/>
  <c r="A5734" i="1"/>
  <c r="C5734" i="1"/>
  <c r="S5734" i="1"/>
  <c r="T5734" i="1"/>
  <c r="U5734" i="1"/>
  <c r="BB5734" i="1"/>
  <c r="BW5734" i="1"/>
  <c r="A5735" i="1"/>
  <c r="C5735" i="1"/>
  <c r="S5735" i="1"/>
  <c r="T5735" i="1"/>
  <c r="U5735" i="1"/>
  <c r="BB5735" i="1"/>
  <c r="BW5735" i="1"/>
  <c r="A5736" i="1"/>
  <c r="C5736" i="1"/>
  <c r="S5736" i="1"/>
  <c r="T5736" i="1"/>
  <c r="U5736" i="1"/>
  <c r="BB5736" i="1"/>
  <c r="BW5736" i="1"/>
  <c r="A5737" i="1"/>
  <c r="C5737" i="1"/>
  <c r="S5737" i="1"/>
  <c r="T5737" i="1"/>
  <c r="U5737" i="1"/>
  <c r="BB5737" i="1"/>
  <c r="BW5737" i="1"/>
  <c r="A5738" i="1"/>
  <c r="C5738" i="1"/>
  <c r="S5738" i="1"/>
  <c r="T5738" i="1"/>
  <c r="U5738" i="1"/>
  <c r="BB5738" i="1"/>
  <c r="BW5738" i="1"/>
  <c r="A5739" i="1"/>
  <c r="C5739" i="1"/>
  <c r="S5739" i="1"/>
  <c r="T5739" i="1"/>
  <c r="U5739" i="1"/>
  <c r="BB5739" i="1"/>
  <c r="BW5739" i="1"/>
  <c r="A5740" i="1"/>
  <c r="C5740" i="1"/>
  <c r="S5740" i="1"/>
  <c r="T5740" i="1"/>
  <c r="U5740" i="1"/>
  <c r="BB5740" i="1"/>
  <c r="BW5740" i="1"/>
  <c r="A5741" i="1"/>
  <c r="C5741" i="1"/>
  <c r="S5741" i="1"/>
  <c r="T5741" i="1"/>
  <c r="U5741" i="1"/>
  <c r="BB5741" i="1"/>
  <c r="BW5741" i="1"/>
  <c r="A5742" i="1"/>
  <c r="C5742" i="1"/>
  <c r="S5742" i="1"/>
  <c r="T5742" i="1"/>
  <c r="U5742" i="1"/>
  <c r="BB5742" i="1"/>
  <c r="BW5742" i="1"/>
  <c r="A5743" i="1"/>
  <c r="C5743" i="1"/>
  <c r="S5743" i="1"/>
  <c r="T5743" i="1"/>
  <c r="U5743" i="1"/>
  <c r="BB5743" i="1"/>
  <c r="BW5743" i="1"/>
  <c r="A5744" i="1"/>
  <c r="C5744" i="1"/>
  <c r="S5744" i="1"/>
  <c r="T5744" i="1"/>
  <c r="U5744" i="1"/>
  <c r="BB5744" i="1"/>
  <c r="BW5744" i="1"/>
  <c r="A5745" i="1"/>
  <c r="C5745" i="1"/>
  <c r="S5745" i="1"/>
  <c r="T5745" i="1"/>
  <c r="U5745" i="1"/>
  <c r="BB5745" i="1"/>
  <c r="BW5745" i="1"/>
  <c r="A5746" i="1"/>
  <c r="C5746" i="1"/>
  <c r="S5746" i="1"/>
  <c r="T5746" i="1"/>
  <c r="U5746" i="1"/>
  <c r="BB5746" i="1"/>
  <c r="BW5746" i="1"/>
  <c r="A5747" i="1"/>
  <c r="C5747" i="1"/>
  <c r="S5747" i="1"/>
  <c r="T5747" i="1"/>
  <c r="U5747" i="1"/>
  <c r="BB5747" i="1"/>
  <c r="BW5747" i="1"/>
  <c r="A5748" i="1"/>
  <c r="C5748" i="1"/>
  <c r="S5748" i="1"/>
  <c r="T5748" i="1"/>
  <c r="U5748" i="1"/>
  <c r="BB5748" i="1"/>
  <c r="BW5748" i="1"/>
  <c r="A5749" i="1"/>
  <c r="C5749" i="1"/>
  <c r="S5749" i="1"/>
  <c r="T5749" i="1"/>
  <c r="U5749" i="1"/>
  <c r="BB5749" i="1"/>
  <c r="BW5749" i="1"/>
  <c r="A5750" i="1"/>
  <c r="C5750" i="1"/>
  <c r="S5750" i="1"/>
  <c r="T5750" i="1"/>
  <c r="U5750" i="1"/>
  <c r="BB5750" i="1"/>
  <c r="BW5750" i="1"/>
  <c r="A5751" i="1"/>
  <c r="C5751" i="1"/>
  <c r="S5751" i="1"/>
  <c r="T5751" i="1"/>
  <c r="U5751" i="1"/>
  <c r="BB5751" i="1"/>
  <c r="BW5751" i="1"/>
  <c r="A5752" i="1"/>
  <c r="C5752" i="1"/>
  <c r="S5752" i="1"/>
  <c r="T5752" i="1"/>
  <c r="U5752" i="1"/>
  <c r="BB5752" i="1"/>
  <c r="BW5752" i="1"/>
  <c r="A5753" i="1"/>
  <c r="C5753" i="1"/>
  <c r="S5753" i="1"/>
  <c r="T5753" i="1"/>
  <c r="U5753" i="1"/>
  <c r="BB5753" i="1"/>
  <c r="BW5753" i="1"/>
  <c r="A5754" i="1"/>
  <c r="C5754" i="1"/>
  <c r="S5754" i="1"/>
  <c r="T5754" i="1"/>
  <c r="U5754" i="1"/>
  <c r="BB5754" i="1"/>
  <c r="BW5754" i="1"/>
  <c r="A5755" i="1"/>
  <c r="C5755" i="1"/>
  <c r="S5755" i="1"/>
  <c r="T5755" i="1"/>
  <c r="U5755" i="1"/>
  <c r="BB5755" i="1"/>
  <c r="BW5755" i="1"/>
  <c r="A5756" i="1"/>
  <c r="C5756" i="1"/>
  <c r="S5756" i="1"/>
  <c r="T5756" i="1"/>
  <c r="U5756" i="1"/>
  <c r="BB5756" i="1"/>
  <c r="BW5756" i="1"/>
  <c r="A5757" i="1"/>
  <c r="C5757" i="1"/>
  <c r="S5757" i="1"/>
  <c r="T5757" i="1"/>
  <c r="U5757" i="1"/>
  <c r="BB5757" i="1"/>
  <c r="BW5757" i="1"/>
  <c r="A5758" i="1"/>
  <c r="C5758" i="1"/>
  <c r="S5758" i="1"/>
  <c r="T5758" i="1"/>
  <c r="U5758" i="1"/>
  <c r="BB5758" i="1"/>
  <c r="BW5758" i="1"/>
  <c r="A5759" i="1"/>
  <c r="C5759" i="1"/>
  <c r="S5759" i="1"/>
  <c r="T5759" i="1"/>
  <c r="U5759" i="1"/>
  <c r="BB5759" i="1"/>
  <c r="BW5759" i="1"/>
  <c r="A5760" i="1"/>
  <c r="C5760" i="1"/>
  <c r="S5760" i="1"/>
  <c r="T5760" i="1"/>
  <c r="U5760" i="1"/>
  <c r="BB5760" i="1"/>
  <c r="BW5760" i="1"/>
  <c r="A5761" i="1"/>
  <c r="C5761" i="1"/>
  <c r="S5761" i="1"/>
  <c r="T5761" i="1"/>
  <c r="U5761" i="1"/>
  <c r="BB5761" i="1"/>
  <c r="BW5761" i="1"/>
  <c r="A5762" i="1"/>
  <c r="C5762" i="1"/>
  <c r="S5762" i="1"/>
  <c r="T5762" i="1"/>
  <c r="U5762" i="1"/>
  <c r="BB5762" i="1"/>
  <c r="BW5762" i="1"/>
  <c r="A5763" i="1"/>
  <c r="C5763" i="1"/>
  <c r="S5763" i="1"/>
  <c r="T5763" i="1"/>
  <c r="U5763" i="1"/>
  <c r="BB5763" i="1"/>
  <c r="BW5763" i="1"/>
  <c r="A5764" i="1"/>
  <c r="C5764" i="1"/>
  <c r="S5764" i="1"/>
  <c r="T5764" i="1"/>
  <c r="U5764" i="1"/>
  <c r="BB5764" i="1"/>
  <c r="BW5764" i="1"/>
  <c r="A5765" i="1"/>
  <c r="C5765" i="1"/>
  <c r="S5765" i="1"/>
  <c r="T5765" i="1"/>
  <c r="U5765" i="1"/>
  <c r="BB5765" i="1"/>
  <c r="BW5765" i="1"/>
  <c r="A5766" i="1"/>
  <c r="C5766" i="1"/>
  <c r="S5766" i="1"/>
  <c r="T5766" i="1"/>
  <c r="U5766" i="1"/>
  <c r="BB5766" i="1"/>
  <c r="BW5766" i="1"/>
  <c r="A5767" i="1"/>
  <c r="C5767" i="1"/>
  <c r="S5767" i="1"/>
  <c r="T5767" i="1"/>
  <c r="U5767" i="1"/>
  <c r="BB5767" i="1"/>
  <c r="BW5767" i="1"/>
  <c r="A5768" i="1"/>
  <c r="C5768" i="1"/>
  <c r="S5768" i="1"/>
  <c r="T5768" i="1"/>
  <c r="U5768" i="1"/>
  <c r="BB5768" i="1"/>
  <c r="BW5768" i="1"/>
  <c r="A5769" i="1"/>
  <c r="C5769" i="1"/>
  <c r="S5769" i="1"/>
  <c r="T5769" i="1"/>
  <c r="U5769" i="1"/>
  <c r="BB5769" i="1"/>
  <c r="BW5769" i="1"/>
  <c r="A5770" i="1"/>
  <c r="C5770" i="1"/>
  <c r="S5770" i="1"/>
  <c r="T5770" i="1"/>
  <c r="U5770" i="1"/>
  <c r="BB5770" i="1"/>
  <c r="BW5770" i="1"/>
  <c r="A5771" i="1"/>
  <c r="C5771" i="1"/>
  <c r="S5771" i="1"/>
  <c r="T5771" i="1"/>
  <c r="U5771" i="1"/>
  <c r="BB5771" i="1"/>
  <c r="BW5771" i="1"/>
  <c r="A5772" i="1"/>
  <c r="C5772" i="1"/>
  <c r="S5772" i="1"/>
  <c r="T5772" i="1"/>
  <c r="U5772" i="1"/>
  <c r="BB5772" i="1"/>
  <c r="BW5772" i="1"/>
  <c r="A5773" i="1"/>
  <c r="C5773" i="1"/>
  <c r="S5773" i="1"/>
  <c r="T5773" i="1"/>
  <c r="U5773" i="1"/>
  <c r="BB5773" i="1"/>
  <c r="BW5773" i="1"/>
  <c r="A5774" i="1"/>
  <c r="C5774" i="1"/>
  <c r="S5774" i="1"/>
  <c r="T5774" i="1"/>
  <c r="U5774" i="1"/>
  <c r="BB5774" i="1"/>
  <c r="BW5774" i="1"/>
  <c r="A5775" i="1"/>
  <c r="C5775" i="1"/>
  <c r="S5775" i="1"/>
  <c r="T5775" i="1"/>
  <c r="U5775" i="1"/>
  <c r="BB5775" i="1"/>
  <c r="BW5775" i="1"/>
  <c r="A5776" i="1"/>
  <c r="C5776" i="1"/>
  <c r="S5776" i="1"/>
  <c r="T5776" i="1"/>
  <c r="U5776" i="1"/>
  <c r="BB5776" i="1"/>
  <c r="BW5776" i="1"/>
  <c r="A5777" i="1"/>
  <c r="C5777" i="1"/>
  <c r="S5777" i="1"/>
  <c r="T5777" i="1"/>
  <c r="U5777" i="1"/>
  <c r="BB5777" i="1"/>
  <c r="BW5777" i="1"/>
  <c r="A5778" i="1"/>
  <c r="C5778" i="1"/>
  <c r="S5778" i="1"/>
  <c r="T5778" i="1"/>
  <c r="U5778" i="1"/>
  <c r="BB5778" i="1"/>
  <c r="BW5778" i="1"/>
  <c r="A5779" i="1"/>
  <c r="C5779" i="1"/>
  <c r="S5779" i="1"/>
  <c r="T5779" i="1"/>
  <c r="U5779" i="1"/>
  <c r="BB5779" i="1"/>
  <c r="BW5779" i="1"/>
  <c r="A5780" i="1"/>
  <c r="C5780" i="1"/>
  <c r="S5780" i="1"/>
  <c r="T5780" i="1"/>
  <c r="U5780" i="1"/>
  <c r="BB5780" i="1"/>
  <c r="BW5780" i="1"/>
  <c r="A5781" i="1"/>
  <c r="C5781" i="1"/>
  <c r="S5781" i="1"/>
  <c r="T5781" i="1"/>
  <c r="U5781" i="1"/>
  <c r="BB5781" i="1"/>
  <c r="BW5781" i="1"/>
  <c r="A5782" i="1"/>
  <c r="C5782" i="1"/>
  <c r="S5782" i="1"/>
  <c r="T5782" i="1"/>
  <c r="U5782" i="1"/>
  <c r="BB5782" i="1"/>
  <c r="BW5782" i="1"/>
  <c r="A5783" i="1"/>
  <c r="C5783" i="1"/>
  <c r="S5783" i="1"/>
  <c r="T5783" i="1"/>
  <c r="U5783" i="1"/>
  <c r="BB5783" i="1"/>
  <c r="BW5783" i="1"/>
  <c r="A5784" i="1"/>
  <c r="C5784" i="1"/>
  <c r="S5784" i="1"/>
  <c r="T5784" i="1"/>
  <c r="U5784" i="1"/>
  <c r="BB5784" i="1"/>
  <c r="BW5784" i="1"/>
  <c r="A5785" i="1"/>
  <c r="C5785" i="1"/>
  <c r="S5785" i="1"/>
  <c r="T5785" i="1"/>
  <c r="U5785" i="1"/>
  <c r="BB5785" i="1"/>
  <c r="BW5785" i="1"/>
  <c r="A5786" i="1"/>
  <c r="C5786" i="1"/>
  <c r="S5786" i="1"/>
  <c r="T5786" i="1"/>
  <c r="U5786" i="1"/>
  <c r="BB5786" i="1"/>
  <c r="BW5786" i="1"/>
  <c r="A5787" i="1"/>
  <c r="C5787" i="1"/>
  <c r="S5787" i="1"/>
  <c r="T5787" i="1"/>
  <c r="U5787" i="1"/>
  <c r="BB5787" i="1"/>
  <c r="BW5787" i="1"/>
  <c r="A5788" i="1"/>
  <c r="C5788" i="1"/>
  <c r="S5788" i="1"/>
  <c r="T5788" i="1"/>
  <c r="U5788" i="1"/>
  <c r="BB5788" i="1"/>
  <c r="BW5788" i="1"/>
  <c r="A5789" i="1"/>
  <c r="C5789" i="1"/>
  <c r="S5789" i="1"/>
  <c r="T5789" i="1"/>
  <c r="U5789" i="1"/>
  <c r="BB5789" i="1"/>
  <c r="BW5789" i="1"/>
  <c r="A5790" i="1"/>
  <c r="C5790" i="1"/>
  <c r="S5790" i="1"/>
  <c r="T5790" i="1"/>
  <c r="U5790" i="1"/>
  <c r="BB5790" i="1"/>
  <c r="BW5790" i="1"/>
  <c r="A5791" i="1"/>
  <c r="C5791" i="1"/>
  <c r="S5791" i="1"/>
  <c r="T5791" i="1"/>
  <c r="U5791" i="1"/>
  <c r="BB5791" i="1"/>
  <c r="BW5791" i="1"/>
  <c r="A5792" i="1"/>
  <c r="C5792" i="1"/>
  <c r="S5792" i="1"/>
  <c r="T5792" i="1"/>
  <c r="U5792" i="1"/>
  <c r="BB5792" i="1"/>
  <c r="BW5792" i="1"/>
  <c r="A5793" i="1"/>
  <c r="C5793" i="1"/>
  <c r="S5793" i="1"/>
  <c r="T5793" i="1"/>
  <c r="U5793" i="1"/>
  <c r="BB5793" i="1"/>
  <c r="BW5793" i="1"/>
  <c r="A5794" i="1"/>
  <c r="C5794" i="1"/>
  <c r="S5794" i="1"/>
  <c r="T5794" i="1"/>
  <c r="U5794" i="1"/>
  <c r="BB5794" i="1"/>
  <c r="BW5794" i="1"/>
  <c r="A5795" i="1"/>
  <c r="C5795" i="1"/>
  <c r="S5795" i="1"/>
  <c r="T5795" i="1"/>
  <c r="U5795" i="1"/>
  <c r="BB5795" i="1"/>
  <c r="BW5795" i="1"/>
  <c r="A5796" i="1"/>
  <c r="C5796" i="1"/>
  <c r="S5796" i="1"/>
  <c r="T5796" i="1"/>
  <c r="U5796" i="1"/>
  <c r="BB5796" i="1"/>
  <c r="BW5796" i="1"/>
  <c r="A5797" i="1"/>
  <c r="C5797" i="1"/>
  <c r="S5797" i="1"/>
  <c r="T5797" i="1"/>
  <c r="U5797" i="1"/>
  <c r="BB5797" i="1"/>
  <c r="BW5797" i="1"/>
  <c r="A5798" i="1"/>
  <c r="C5798" i="1"/>
  <c r="S5798" i="1"/>
  <c r="T5798" i="1"/>
  <c r="U5798" i="1"/>
  <c r="BB5798" i="1"/>
  <c r="BW5798" i="1"/>
  <c r="A5799" i="1"/>
  <c r="C5799" i="1"/>
  <c r="S5799" i="1"/>
  <c r="T5799" i="1"/>
  <c r="U5799" i="1"/>
  <c r="BB5799" i="1"/>
  <c r="BW5799" i="1"/>
  <c r="A5800" i="1"/>
  <c r="C5800" i="1"/>
  <c r="S5800" i="1"/>
  <c r="T5800" i="1"/>
  <c r="U5800" i="1"/>
  <c r="BB5800" i="1"/>
  <c r="BW5800" i="1"/>
  <c r="A5801" i="1"/>
  <c r="C5801" i="1"/>
  <c r="S5801" i="1"/>
  <c r="T5801" i="1"/>
  <c r="U5801" i="1"/>
  <c r="BB5801" i="1"/>
  <c r="BW5801" i="1"/>
  <c r="A5802" i="1"/>
  <c r="C5802" i="1"/>
  <c r="S5802" i="1"/>
  <c r="T5802" i="1"/>
  <c r="U5802" i="1"/>
  <c r="BB5802" i="1"/>
  <c r="BW5802" i="1"/>
  <c r="A5803" i="1"/>
  <c r="C5803" i="1"/>
  <c r="S5803" i="1"/>
  <c r="T5803" i="1"/>
  <c r="U5803" i="1"/>
  <c r="BB5803" i="1"/>
  <c r="BW5803" i="1"/>
  <c r="A5804" i="1"/>
  <c r="C5804" i="1"/>
  <c r="S5804" i="1"/>
  <c r="T5804" i="1"/>
  <c r="U5804" i="1"/>
  <c r="BB5804" i="1"/>
  <c r="BW5804" i="1"/>
  <c r="A5805" i="1"/>
  <c r="C5805" i="1"/>
  <c r="S5805" i="1"/>
  <c r="T5805" i="1"/>
  <c r="U5805" i="1"/>
  <c r="BB5805" i="1"/>
  <c r="BW5805" i="1"/>
  <c r="A5806" i="1"/>
  <c r="C5806" i="1"/>
  <c r="S5806" i="1"/>
  <c r="T5806" i="1"/>
  <c r="U5806" i="1"/>
  <c r="BB5806" i="1"/>
  <c r="BW5806" i="1"/>
  <c r="A5807" i="1"/>
  <c r="C5807" i="1"/>
  <c r="S5807" i="1"/>
  <c r="T5807" i="1"/>
  <c r="U5807" i="1"/>
  <c r="BB5807" i="1"/>
  <c r="BW5807" i="1"/>
  <c r="A5808" i="1"/>
  <c r="C5808" i="1"/>
  <c r="S5808" i="1"/>
  <c r="T5808" i="1"/>
  <c r="U5808" i="1"/>
  <c r="BB5808" i="1"/>
  <c r="BW5808" i="1"/>
  <c r="A5809" i="1"/>
  <c r="C5809" i="1"/>
  <c r="S5809" i="1"/>
  <c r="T5809" i="1"/>
  <c r="U5809" i="1"/>
  <c r="BB5809" i="1"/>
  <c r="BW5809" i="1"/>
  <c r="A5810" i="1"/>
  <c r="C5810" i="1"/>
  <c r="S5810" i="1"/>
  <c r="T5810" i="1"/>
  <c r="U5810" i="1"/>
  <c r="BB5810" i="1"/>
  <c r="BW5810" i="1"/>
  <c r="A5811" i="1"/>
  <c r="C5811" i="1"/>
  <c r="S5811" i="1"/>
  <c r="T5811" i="1"/>
  <c r="U5811" i="1"/>
  <c r="BB5811" i="1"/>
  <c r="BW5811" i="1"/>
  <c r="A5812" i="1"/>
  <c r="C5812" i="1"/>
  <c r="S5812" i="1"/>
  <c r="T5812" i="1"/>
  <c r="U5812" i="1"/>
  <c r="BB5812" i="1"/>
  <c r="BW5812" i="1"/>
  <c r="A5813" i="1"/>
  <c r="C5813" i="1"/>
  <c r="S5813" i="1"/>
  <c r="T5813" i="1"/>
  <c r="U5813" i="1"/>
  <c r="BB5813" i="1"/>
  <c r="BW5813" i="1"/>
  <c r="A5814" i="1"/>
  <c r="C5814" i="1"/>
  <c r="S5814" i="1"/>
  <c r="T5814" i="1"/>
  <c r="U5814" i="1"/>
  <c r="BB5814" i="1"/>
  <c r="BW5814" i="1"/>
  <c r="A5815" i="1"/>
  <c r="C5815" i="1"/>
  <c r="S5815" i="1"/>
  <c r="T5815" i="1"/>
  <c r="U5815" i="1"/>
  <c r="BB5815" i="1"/>
  <c r="BW5815" i="1"/>
  <c r="A5816" i="1"/>
  <c r="C5816" i="1"/>
  <c r="S5816" i="1"/>
  <c r="T5816" i="1"/>
  <c r="U5816" i="1"/>
  <c r="BB5816" i="1"/>
  <c r="BW5816" i="1"/>
  <c r="A5817" i="1"/>
  <c r="C5817" i="1"/>
  <c r="S5817" i="1"/>
  <c r="T5817" i="1"/>
  <c r="U5817" i="1"/>
  <c r="BB5817" i="1"/>
  <c r="BW5817" i="1"/>
  <c r="A5818" i="1"/>
  <c r="C5818" i="1"/>
  <c r="S5818" i="1"/>
  <c r="T5818" i="1"/>
  <c r="U5818" i="1"/>
  <c r="BB5818" i="1"/>
  <c r="BW5818" i="1"/>
  <c r="A5819" i="1"/>
  <c r="C5819" i="1"/>
  <c r="S5819" i="1"/>
  <c r="T5819" i="1"/>
  <c r="U5819" i="1"/>
  <c r="BB5819" i="1"/>
  <c r="BW5819" i="1"/>
  <c r="A5820" i="1"/>
  <c r="C5820" i="1"/>
  <c r="S5820" i="1"/>
  <c r="T5820" i="1"/>
  <c r="U5820" i="1"/>
  <c r="BB5820" i="1"/>
  <c r="BW5820" i="1"/>
  <c r="A5821" i="1"/>
  <c r="C5821" i="1"/>
  <c r="S5821" i="1"/>
  <c r="T5821" i="1"/>
  <c r="U5821" i="1"/>
  <c r="BB5821" i="1"/>
  <c r="BW5821" i="1"/>
  <c r="A5822" i="1"/>
  <c r="C5822" i="1"/>
  <c r="S5822" i="1"/>
  <c r="T5822" i="1"/>
  <c r="U5822" i="1"/>
  <c r="BB5822" i="1"/>
  <c r="BW5822" i="1"/>
  <c r="A5823" i="1"/>
  <c r="C5823" i="1"/>
  <c r="S5823" i="1"/>
  <c r="T5823" i="1"/>
  <c r="U5823" i="1"/>
  <c r="BB5823" i="1"/>
  <c r="BW5823" i="1"/>
  <c r="A5824" i="1"/>
  <c r="C5824" i="1"/>
  <c r="S5824" i="1"/>
  <c r="T5824" i="1"/>
  <c r="U5824" i="1"/>
  <c r="BB5824" i="1"/>
  <c r="BW5824" i="1"/>
  <c r="A5825" i="1"/>
  <c r="C5825" i="1"/>
  <c r="S5825" i="1"/>
  <c r="T5825" i="1"/>
  <c r="U5825" i="1"/>
  <c r="BB5825" i="1"/>
  <c r="BW5825" i="1"/>
  <c r="A5826" i="1"/>
  <c r="C5826" i="1"/>
  <c r="S5826" i="1"/>
  <c r="T5826" i="1"/>
  <c r="U5826" i="1"/>
  <c r="BB5826" i="1"/>
  <c r="BW5826" i="1"/>
  <c r="A5827" i="1"/>
  <c r="C5827" i="1"/>
  <c r="S5827" i="1"/>
  <c r="T5827" i="1"/>
  <c r="U5827" i="1"/>
  <c r="BB5827" i="1"/>
  <c r="BW5827" i="1"/>
  <c r="A5828" i="1"/>
  <c r="C5828" i="1"/>
  <c r="S5828" i="1"/>
  <c r="T5828" i="1"/>
  <c r="U5828" i="1"/>
  <c r="BB5828" i="1"/>
  <c r="BW5828" i="1"/>
  <c r="A5829" i="1"/>
  <c r="C5829" i="1"/>
  <c r="S5829" i="1"/>
  <c r="T5829" i="1"/>
  <c r="U5829" i="1"/>
  <c r="BB5829" i="1"/>
  <c r="BW5829" i="1"/>
  <c r="A5830" i="1"/>
  <c r="C5830" i="1"/>
  <c r="S5830" i="1"/>
  <c r="T5830" i="1"/>
  <c r="U5830" i="1"/>
  <c r="BB5830" i="1"/>
  <c r="BW5830" i="1"/>
  <c r="A5831" i="1"/>
  <c r="C5831" i="1"/>
  <c r="S5831" i="1"/>
  <c r="T5831" i="1"/>
  <c r="U5831" i="1"/>
  <c r="BB5831" i="1"/>
  <c r="BW5831" i="1"/>
  <c r="A5832" i="1"/>
  <c r="C5832" i="1"/>
  <c r="S5832" i="1"/>
  <c r="T5832" i="1"/>
  <c r="U5832" i="1"/>
  <c r="BB5832" i="1"/>
  <c r="BW5832" i="1"/>
  <c r="A5833" i="1"/>
  <c r="C5833" i="1"/>
  <c r="S5833" i="1"/>
  <c r="T5833" i="1"/>
  <c r="U5833" i="1"/>
  <c r="BB5833" i="1"/>
  <c r="BW5833" i="1"/>
  <c r="A5834" i="1"/>
  <c r="C5834" i="1"/>
  <c r="S5834" i="1"/>
  <c r="T5834" i="1"/>
  <c r="U5834" i="1"/>
  <c r="BB5834" i="1"/>
  <c r="BW5834" i="1"/>
  <c r="A5835" i="1"/>
  <c r="C5835" i="1"/>
  <c r="S5835" i="1"/>
  <c r="T5835" i="1"/>
  <c r="U5835" i="1"/>
  <c r="BB5835" i="1"/>
  <c r="BW5835" i="1"/>
  <c r="A5836" i="1"/>
  <c r="C5836" i="1"/>
  <c r="S5836" i="1"/>
  <c r="T5836" i="1"/>
  <c r="U5836" i="1"/>
  <c r="BB5836" i="1"/>
  <c r="BW5836" i="1"/>
  <c r="A5837" i="1"/>
  <c r="C5837" i="1"/>
  <c r="S5837" i="1"/>
  <c r="T5837" i="1"/>
  <c r="U5837" i="1"/>
  <c r="BB5837" i="1"/>
  <c r="BW5837" i="1"/>
  <c r="A5838" i="1"/>
  <c r="C5838" i="1"/>
  <c r="S5838" i="1"/>
  <c r="T5838" i="1"/>
  <c r="U5838" i="1"/>
  <c r="BB5838" i="1"/>
  <c r="BW5838" i="1"/>
  <c r="A5839" i="1"/>
  <c r="C5839" i="1"/>
  <c r="S5839" i="1"/>
  <c r="T5839" i="1"/>
  <c r="U5839" i="1"/>
  <c r="BB5839" i="1"/>
  <c r="BW5839" i="1"/>
  <c r="A5840" i="1"/>
  <c r="C5840" i="1"/>
  <c r="S5840" i="1"/>
  <c r="T5840" i="1"/>
  <c r="U5840" i="1"/>
  <c r="BB5840" i="1"/>
  <c r="BW5840" i="1"/>
  <c r="A5841" i="1"/>
  <c r="C5841" i="1"/>
  <c r="S5841" i="1"/>
  <c r="T5841" i="1"/>
  <c r="U5841" i="1"/>
  <c r="BB5841" i="1"/>
  <c r="BW5841" i="1"/>
  <c r="A5842" i="1"/>
  <c r="C5842" i="1"/>
  <c r="S5842" i="1"/>
  <c r="T5842" i="1"/>
  <c r="U5842" i="1"/>
  <c r="BB5842" i="1"/>
  <c r="BW5842" i="1"/>
  <c r="A5843" i="1"/>
  <c r="C5843" i="1"/>
  <c r="S5843" i="1"/>
  <c r="T5843" i="1"/>
  <c r="U5843" i="1"/>
  <c r="BB5843" i="1"/>
  <c r="BW5843" i="1"/>
  <c r="A5844" i="1"/>
  <c r="C5844" i="1"/>
  <c r="S5844" i="1"/>
  <c r="T5844" i="1"/>
  <c r="U5844" i="1"/>
  <c r="BB5844" i="1"/>
  <c r="BW5844" i="1"/>
  <c r="A5845" i="1"/>
  <c r="C5845" i="1"/>
  <c r="S5845" i="1"/>
  <c r="T5845" i="1"/>
  <c r="U5845" i="1"/>
  <c r="BB5845" i="1"/>
  <c r="BW5845" i="1"/>
  <c r="A5846" i="1"/>
  <c r="C5846" i="1"/>
  <c r="S5846" i="1"/>
  <c r="T5846" i="1"/>
  <c r="U5846" i="1"/>
  <c r="BB5846" i="1"/>
  <c r="BW5846" i="1"/>
  <c r="A5847" i="1"/>
  <c r="C5847" i="1"/>
  <c r="S5847" i="1"/>
  <c r="T5847" i="1"/>
  <c r="U5847" i="1"/>
  <c r="BB5847" i="1"/>
  <c r="BW5847" i="1"/>
  <c r="A5848" i="1"/>
  <c r="C5848" i="1"/>
  <c r="S5848" i="1"/>
  <c r="T5848" i="1"/>
  <c r="U5848" i="1"/>
  <c r="BB5848" i="1"/>
  <c r="BW5848" i="1"/>
  <c r="A5849" i="1"/>
  <c r="C5849" i="1"/>
  <c r="S5849" i="1"/>
  <c r="T5849" i="1"/>
  <c r="U5849" i="1"/>
  <c r="BB5849" i="1"/>
  <c r="BW5849" i="1"/>
  <c r="A5850" i="1"/>
  <c r="C5850" i="1"/>
  <c r="S5850" i="1"/>
  <c r="T5850" i="1"/>
  <c r="U5850" i="1"/>
  <c r="BB5850" i="1"/>
  <c r="BW5850" i="1"/>
  <c r="A5851" i="1"/>
  <c r="C5851" i="1"/>
  <c r="S5851" i="1"/>
  <c r="T5851" i="1"/>
  <c r="U5851" i="1"/>
  <c r="BB5851" i="1"/>
  <c r="BW5851" i="1"/>
  <c r="A5852" i="1"/>
  <c r="C5852" i="1"/>
  <c r="S5852" i="1"/>
  <c r="T5852" i="1"/>
  <c r="U5852" i="1"/>
  <c r="BB5852" i="1"/>
  <c r="BW5852" i="1"/>
  <c r="A5853" i="1"/>
  <c r="C5853" i="1"/>
  <c r="S5853" i="1"/>
  <c r="T5853" i="1"/>
  <c r="U5853" i="1"/>
  <c r="BB5853" i="1"/>
  <c r="BW5853" i="1"/>
  <c r="A5854" i="1"/>
  <c r="C5854" i="1"/>
  <c r="S5854" i="1"/>
  <c r="T5854" i="1"/>
  <c r="U5854" i="1"/>
  <c r="BB5854" i="1"/>
  <c r="BW5854" i="1"/>
  <c r="A5855" i="1"/>
  <c r="C5855" i="1"/>
  <c r="S5855" i="1"/>
  <c r="T5855" i="1"/>
  <c r="U5855" i="1"/>
  <c r="BB5855" i="1"/>
  <c r="BW5855" i="1"/>
  <c r="A5856" i="1"/>
  <c r="C5856" i="1"/>
  <c r="S5856" i="1"/>
  <c r="T5856" i="1"/>
  <c r="U5856" i="1"/>
  <c r="BB5856" i="1"/>
  <c r="BW5856" i="1"/>
  <c r="A5857" i="1"/>
  <c r="C5857" i="1"/>
  <c r="S5857" i="1"/>
  <c r="T5857" i="1"/>
  <c r="U5857" i="1"/>
  <c r="BB5857" i="1"/>
  <c r="BW5857" i="1"/>
  <c r="A5858" i="1"/>
  <c r="C5858" i="1"/>
  <c r="S5858" i="1"/>
  <c r="T5858" i="1"/>
  <c r="U5858" i="1"/>
  <c r="BB5858" i="1"/>
  <c r="BW5858" i="1"/>
  <c r="A5859" i="1"/>
  <c r="C5859" i="1"/>
  <c r="S5859" i="1"/>
  <c r="T5859" i="1"/>
  <c r="U5859" i="1"/>
  <c r="BB5859" i="1"/>
  <c r="BW5859" i="1"/>
  <c r="A5860" i="1"/>
  <c r="C5860" i="1"/>
  <c r="S5860" i="1"/>
  <c r="T5860" i="1"/>
  <c r="U5860" i="1"/>
  <c r="BB5860" i="1"/>
  <c r="BW5860" i="1"/>
  <c r="A5861" i="1"/>
  <c r="C5861" i="1"/>
  <c r="S5861" i="1"/>
  <c r="T5861" i="1"/>
  <c r="U5861" i="1"/>
  <c r="BB5861" i="1"/>
  <c r="BW5861" i="1"/>
  <c r="A5862" i="1"/>
  <c r="C5862" i="1"/>
  <c r="S5862" i="1"/>
  <c r="T5862" i="1"/>
  <c r="U5862" i="1"/>
  <c r="BB5862" i="1"/>
  <c r="BW5862" i="1"/>
  <c r="A5863" i="1"/>
  <c r="C5863" i="1"/>
  <c r="S5863" i="1"/>
  <c r="T5863" i="1"/>
  <c r="U5863" i="1"/>
  <c r="BB5863" i="1"/>
  <c r="BW5863" i="1"/>
  <c r="A5864" i="1"/>
  <c r="C5864" i="1"/>
  <c r="S5864" i="1"/>
  <c r="T5864" i="1"/>
  <c r="U5864" i="1"/>
  <c r="BB5864" i="1"/>
  <c r="BW5864" i="1"/>
  <c r="A5865" i="1"/>
  <c r="C5865" i="1"/>
  <c r="S5865" i="1"/>
  <c r="T5865" i="1"/>
  <c r="U5865" i="1"/>
  <c r="BB5865" i="1"/>
  <c r="BW5865" i="1"/>
  <c r="A5866" i="1"/>
  <c r="C5866" i="1"/>
  <c r="S5866" i="1"/>
  <c r="T5866" i="1"/>
  <c r="U5866" i="1"/>
  <c r="BB5866" i="1"/>
  <c r="BW5866" i="1"/>
  <c r="A5867" i="1"/>
  <c r="C5867" i="1"/>
  <c r="S5867" i="1"/>
  <c r="T5867" i="1"/>
  <c r="U5867" i="1"/>
  <c r="BB5867" i="1"/>
  <c r="BW5867" i="1"/>
  <c r="A5868" i="1"/>
  <c r="C5868" i="1"/>
  <c r="S5868" i="1"/>
  <c r="T5868" i="1"/>
  <c r="U5868" i="1"/>
  <c r="BB5868" i="1"/>
  <c r="BW5868" i="1"/>
  <c r="A5869" i="1"/>
  <c r="C5869" i="1"/>
  <c r="S5869" i="1"/>
  <c r="T5869" i="1"/>
  <c r="U5869" i="1"/>
  <c r="BB5869" i="1"/>
  <c r="BW5869" i="1"/>
  <c r="A5870" i="1"/>
  <c r="C5870" i="1"/>
  <c r="S5870" i="1"/>
  <c r="T5870" i="1"/>
  <c r="U5870" i="1"/>
  <c r="BB5870" i="1"/>
  <c r="BW5870" i="1"/>
  <c r="A5871" i="1"/>
  <c r="C5871" i="1"/>
  <c r="S5871" i="1"/>
  <c r="T5871" i="1"/>
  <c r="U5871" i="1"/>
  <c r="BB5871" i="1"/>
  <c r="BW5871" i="1"/>
  <c r="A5872" i="1"/>
  <c r="C5872" i="1"/>
  <c r="S5872" i="1"/>
  <c r="T5872" i="1"/>
  <c r="U5872" i="1"/>
  <c r="BB5872" i="1"/>
  <c r="BW5872" i="1"/>
  <c r="A5873" i="1"/>
  <c r="C5873" i="1"/>
  <c r="S5873" i="1"/>
  <c r="T5873" i="1"/>
  <c r="U5873" i="1"/>
  <c r="BB5873" i="1"/>
  <c r="BW5873" i="1"/>
  <c r="A5874" i="1"/>
  <c r="C5874" i="1"/>
  <c r="S5874" i="1"/>
  <c r="T5874" i="1"/>
  <c r="U5874" i="1"/>
  <c r="BB5874" i="1"/>
  <c r="BW5874" i="1"/>
  <c r="A5875" i="1"/>
  <c r="C5875" i="1"/>
  <c r="S5875" i="1"/>
  <c r="T5875" i="1"/>
  <c r="U5875" i="1"/>
  <c r="BB5875" i="1"/>
  <c r="BW5875" i="1"/>
  <c r="A5876" i="1"/>
  <c r="C5876" i="1"/>
  <c r="S5876" i="1"/>
  <c r="T5876" i="1"/>
  <c r="U5876" i="1"/>
  <c r="BB5876" i="1"/>
  <c r="BW5876" i="1"/>
  <c r="A5877" i="1"/>
  <c r="C5877" i="1"/>
  <c r="S5877" i="1"/>
  <c r="T5877" i="1"/>
  <c r="U5877" i="1"/>
  <c r="BB5877" i="1"/>
  <c r="BW5877" i="1"/>
  <c r="A5878" i="1"/>
  <c r="C5878" i="1"/>
  <c r="S5878" i="1"/>
  <c r="T5878" i="1"/>
  <c r="U5878" i="1"/>
  <c r="BB5878" i="1"/>
  <c r="BW5878" i="1"/>
  <c r="A5879" i="1"/>
  <c r="C5879" i="1"/>
  <c r="S5879" i="1"/>
  <c r="T5879" i="1"/>
  <c r="U5879" i="1"/>
  <c r="BB5879" i="1"/>
  <c r="BW5879" i="1"/>
  <c r="A5880" i="1"/>
  <c r="C5880" i="1"/>
  <c r="S5880" i="1"/>
  <c r="T5880" i="1"/>
  <c r="U5880" i="1"/>
  <c r="BB5880" i="1"/>
  <c r="BW5880" i="1"/>
  <c r="A5881" i="1"/>
  <c r="C5881" i="1"/>
  <c r="S5881" i="1"/>
  <c r="T5881" i="1"/>
  <c r="U5881" i="1"/>
  <c r="BB5881" i="1"/>
  <c r="BW5881" i="1"/>
  <c r="A5882" i="1"/>
  <c r="C5882" i="1"/>
  <c r="S5882" i="1"/>
  <c r="T5882" i="1"/>
  <c r="U5882" i="1"/>
  <c r="BB5882" i="1"/>
  <c r="BW5882" i="1"/>
  <c r="A5883" i="1"/>
  <c r="C5883" i="1"/>
  <c r="S5883" i="1"/>
  <c r="T5883" i="1"/>
  <c r="U5883" i="1"/>
  <c r="BB5883" i="1"/>
  <c r="BW5883" i="1"/>
  <c r="A5884" i="1"/>
  <c r="C5884" i="1"/>
  <c r="S5884" i="1"/>
  <c r="T5884" i="1"/>
  <c r="U5884" i="1"/>
  <c r="BB5884" i="1"/>
  <c r="BW5884" i="1"/>
  <c r="A5885" i="1"/>
  <c r="C5885" i="1"/>
  <c r="S5885" i="1"/>
  <c r="T5885" i="1"/>
  <c r="U5885" i="1"/>
  <c r="BB5885" i="1"/>
  <c r="BW5885" i="1"/>
  <c r="A5886" i="1"/>
  <c r="C5886" i="1"/>
  <c r="S5886" i="1"/>
  <c r="T5886" i="1"/>
  <c r="U5886" i="1"/>
  <c r="BB5886" i="1"/>
  <c r="BW5886" i="1"/>
  <c r="A5887" i="1"/>
  <c r="C5887" i="1"/>
  <c r="S5887" i="1"/>
  <c r="T5887" i="1"/>
  <c r="U5887" i="1"/>
  <c r="BB5887" i="1"/>
  <c r="BW5887" i="1"/>
  <c r="A5888" i="1"/>
  <c r="C5888" i="1"/>
  <c r="S5888" i="1"/>
  <c r="T5888" i="1"/>
  <c r="U5888" i="1"/>
  <c r="BB5888" i="1"/>
  <c r="BW5888" i="1"/>
  <c r="A5889" i="1"/>
  <c r="C5889" i="1"/>
  <c r="S5889" i="1"/>
  <c r="T5889" i="1"/>
  <c r="U5889" i="1"/>
  <c r="BB5889" i="1"/>
  <c r="BW5889" i="1"/>
  <c r="A5890" i="1"/>
  <c r="C5890" i="1"/>
  <c r="S5890" i="1"/>
  <c r="T5890" i="1"/>
  <c r="U5890" i="1"/>
  <c r="BB5890" i="1"/>
  <c r="BW5890" i="1"/>
  <c r="A5891" i="1"/>
  <c r="C5891" i="1"/>
  <c r="S5891" i="1"/>
  <c r="T5891" i="1"/>
  <c r="U5891" i="1"/>
  <c r="BB5891" i="1"/>
  <c r="BW5891" i="1"/>
  <c r="A5892" i="1"/>
  <c r="C5892" i="1"/>
  <c r="S5892" i="1"/>
  <c r="T5892" i="1"/>
  <c r="U5892" i="1"/>
  <c r="BB5892" i="1"/>
  <c r="BW5892" i="1"/>
  <c r="A5893" i="1"/>
  <c r="C5893" i="1"/>
  <c r="S5893" i="1"/>
  <c r="T5893" i="1"/>
  <c r="U5893" i="1"/>
  <c r="BB5893" i="1"/>
  <c r="BW5893" i="1"/>
  <c r="A5894" i="1"/>
  <c r="C5894" i="1"/>
  <c r="S5894" i="1"/>
  <c r="T5894" i="1"/>
  <c r="U5894" i="1"/>
  <c r="BB5894" i="1"/>
  <c r="BW5894" i="1"/>
  <c r="A5895" i="1"/>
  <c r="C5895" i="1"/>
  <c r="S5895" i="1"/>
  <c r="T5895" i="1"/>
  <c r="U5895" i="1"/>
  <c r="BB5895" i="1"/>
  <c r="BW5895" i="1"/>
  <c r="A5896" i="1"/>
  <c r="C5896" i="1"/>
  <c r="S5896" i="1"/>
  <c r="T5896" i="1"/>
  <c r="U5896" i="1"/>
  <c r="BB5896" i="1"/>
  <c r="BW5896" i="1"/>
  <c r="A5897" i="1"/>
  <c r="C5897" i="1"/>
  <c r="S5897" i="1"/>
  <c r="T5897" i="1"/>
  <c r="U5897" i="1"/>
  <c r="BB5897" i="1"/>
  <c r="BW5897" i="1"/>
  <c r="A5898" i="1"/>
  <c r="C5898" i="1"/>
  <c r="S5898" i="1"/>
  <c r="T5898" i="1"/>
  <c r="U5898" i="1"/>
  <c r="BB5898" i="1"/>
  <c r="BW5898" i="1"/>
  <c r="A5899" i="1"/>
  <c r="C5899" i="1"/>
  <c r="S5899" i="1"/>
  <c r="T5899" i="1"/>
  <c r="U5899" i="1"/>
  <c r="BB5899" i="1"/>
  <c r="BW5899" i="1"/>
  <c r="A5900" i="1"/>
  <c r="C5900" i="1"/>
  <c r="S5900" i="1"/>
  <c r="T5900" i="1"/>
  <c r="U5900" i="1"/>
  <c r="BB5900" i="1"/>
  <c r="BW5900" i="1"/>
  <c r="A5901" i="1"/>
  <c r="C5901" i="1"/>
  <c r="S5901" i="1"/>
  <c r="T5901" i="1"/>
  <c r="U5901" i="1"/>
  <c r="BB5901" i="1"/>
  <c r="BW5901" i="1"/>
  <c r="A5902" i="1"/>
  <c r="C5902" i="1"/>
  <c r="S5902" i="1"/>
  <c r="T5902" i="1"/>
  <c r="U5902" i="1"/>
  <c r="BB5902" i="1"/>
  <c r="BW5902" i="1"/>
  <c r="A5903" i="1"/>
  <c r="C5903" i="1"/>
  <c r="S5903" i="1"/>
  <c r="T5903" i="1"/>
  <c r="U5903" i="1"/>
  <c r="BB5903" i="1"/>
  <c r="BW5903" i="1"/>
  <c r="A5904" i="1"/>
  <c r="C5904" i="1"/>
  <c r="S5904" i="1"/>
  <c r="T5904" i="1"/>
  <c r="U5904" i="1"/>
  <c r="BB5904" i="1"/>
  <c r="BW5904" i="1"/>
  <c r="A5905" i="1"/>
  <c r="C5905" i="1"/>
  <c r="S5905" i="1"/>
  <c r="T5905" i="1"/>
  <c r="U5905" i="1"/>
  <c r="BB5905" i="1"/>
  <c r="BW5905" i="1"/>
  <c r="A5906" i="1"/>
  <c r="C5906" i="1"/>
  <c r="S5906" i="1"/>
  <c r="T5906" i="1"/>
  <c r="U5906" i="1"/>
  <c r="BB5906" i="1"/>
  <c r="BW5906" i="1"/>
  <c r="A5907" i="1"/>
  <c r="C5907" i="1"/>
  <c r="S5907" i="1"/>
  <c r="T5907" i="1"/>
  <c r="U5907" i="1"/>
  <c r="BB5907" i="1"/>
  <c r="BW5907" i="1"/>
  <c r="A5908" i="1"/>
  <c r="C5908" i="1"/>
  <c r="S5908" i="1"/>
  <c r="T5908" i="1"/>
  <c r="U5908" i="1"/>
  <c r="BB5908" i="1"/>
  <c r="BW5908" i="1"/>
  <c r="A5909" i="1"/>
  <c r="C5909" i="1"/>
  <c r="S5909" i="1"/>
  <c r="T5909" i="1"/>
  <c r="U5909" i="1"/>
  <c r="BB5909" i="1"/>
  <c r="BW5909" i="1"/>
  <c r="A5910" i="1"/>
  <c r="C5910" i="1"/>
  <c r="S5910" i="1"/>
  <c r="T5910" i="1"/>
  <c r="U5910" i="1"/>
  <c r="BB5910" i="1"/>
  <c r="BW5910" i="1"/>
  <c r="A5911" i="1"/>
  <c r="C5911" i="1"/>
  <c r="S5911" i="1"/>
  <c r="T5911" i="1"/>
  <c r="U5911" i="1"/>
  <c r="BB5911" i="1"/>
  <c r="BW5911" i="1"/>
  <c r="A5912" i="1"/>
  <c r="C5912" i="1"/>
  <c r="S5912" i="1"/>
  <c r="T5912" i="1"/>
  <c r="U5912" i="1"/>
  <c r="BB5912" i="1"/>
  <c r="BW5912" i="1"/>
  <c r="A5913" i="1"/>
  <c r="C5913" i="1"/>
  <c r="S5913" i="1"/>
  <c r="T5913" i="1"/>
  <c r="U5913" i="1"/>
  <c r="BB5913" i="1"/>
  <c r="BW5913" i="1"/>
  <c r="A5914" i="1"/>
  <c r="C5914" i="1"/>
  <c r="S5914" i="1"/>
  <c r="T5914" i="1"/>
  <c r="U5914" i="1"/>
  <c r="BB5914" i="1"/>
  <c r="BW5914" i="1"/>
  <c r="A5915" i="1"/>
  <c r="C5915" i="1"/>
  <c r="S5915" i="1"/>
  <c r="T5915" i="1"/>
  <c r="U5915" i="1"/>
  <c r="BB5915" i="1"/>
  <c r="BW5915" i="1"/>
  <c r="A5916" i="1"/>
  <c r="C5916" i="1"/>
  <c r="S5916" i="1"/>
  <c r="T5916" i="1"/>
  <c r="U5916" i="1"/>
  <c r="BB5916" i="1"/>
  <c r="BW5916" i="1"/>
  <c r="A5917" i="1"/>
  <c r="C5917" i="1"/>
  <c r="S5917" i="1"/>
  <c r="T5917" i="1"/>
  <c r="U5917" i="1"/>
  <c r="BB5917" i="1"/>
  <c r="BW5917" i="1"/>
  <c r="A5918" i="1"/>
  <c r="C5918" i="1"/>
  <c r="S5918" i="1"/>
  <c r="T5918" i="1"/>
  <c r="U5918" i="1"/>
  <c r="BB5918" i="1"/>
  <c r="BW5918" i="1"/>
  <c r="A5919" i="1"/>
  <c r="C5919" i="1"/>
  <c r="S5919" i="1"/>
  <c r="T5919" i="1"/>
  <c r="U5919" i="1"/>
  <c r="BB5919" i="1"/>
  <c r="BW5919" i="1"/>
  <c r="A5920" i="1"/>
  <c r="C5920" i="1"/>
  <c r="S5920" i="1"/>
  <c r="T5920" i="1"/>
  <c r="U5920" i="1"/>
  <c r="BB5920" i="1"/>
  <c r="BW5920" i="1"/>
  <c r="A5921" i="1"/>
  <c r="C5921" i="1"/>
  <c r="S5921" i="1"/>
  <c r="T5921" i="1"/>
  <c r="U5921" i="1"/>
  <c r="BB5921" i="1"/>
  <c r="BW5921" i="1"/>
  <c r="A5922" i="1"/>
  <c r="C5922" i="1"/>
  <c r="S5922" i="1"/>
  <c r="T5922" i="1"/>
  <c r="U5922" i="1"/>
  <c r="BB5922" i="1"/>
  <c r="BW5922" i="1"/>
  <c r="A5923" i="1"/>
  <c r="C5923" i="1"/>
  <c r="S5923" i="1"/>
  <c r="T5923" i="1"/>
  <c r="U5923" i="1"/>
  <c r="BB5923" i="1"/>
  <c r="BW5923" i="1"/>
  <c r="A5924" i="1"/>
  <c r="C5924" i="1"/>
  <c r="S5924" i="1"/>
  <c r="T5924" i="1"/>
  <c r="U5924" i="1"/>
  <c r="BB5924" i="1"/>
  <c r="BW5924" i="1"/>
  <c r="A5925" i="1"/>
  <c r="C5925" i="1"/>
  <c r="S5925" i="1"/>
  <c r="T5925" i="1"/>
  <c r="U5925" i="1"/>
  <c r="BB5925" i="1"/>
  <c r="BW5925" i="1"/>
  <c r="A5926" i="1"/>
  <c r="C5926" i="1"/>
  <c r="S5926" i="1"/>
  <c r="T5926" i="1"/>
  <c r="U5926" i="1"/>
  <c r="BB5926" i="1"/>
  <c r="BW5926" i="1"/>
  <c r="A5927" i="1"/>
  <c r="C5927" i="1"/>
  <c r="S5927" i="1"/>
  <c r="T5927" i="1"/>
  <c r="U5927" i="1"/>
  <c r="BB5927" i="1"/>
  <c r="BW5927" i="1"/>
  <c r="A5928" i="1"/>
  <c r="C5928" i="1"/>
  <c r="S5928" i="1"/>
  <c r="T5928" i="1"/>
  <c r="U5928" i="1"/>
  <c r="BB5928" i="1"/>
  <c r="BW5928" i="1"/>
  <c r="A5929" i="1"/>
  <c r="C5929" i="1"/>
  <c r="S5929" i="1"/>
  <c r="T5929" i="1"/>
  <c r="U5929" i="1"/>
  <c r="BB5929" i="1"/>
  <c r="BW5929" i="1"/>
  <c r="A5930" i="1"/>
  <c r="C5930" i="1"/>
  <c r="S5930" i="1"/>
  <c r="T5930" i="1"/>
  <c r="U5930" i="1"/>
  <c r="BB5930" i="1"/>
  <c r="BW5930" i="1"/>
  <c r="A5931" i="1"/>
  <c r="C5931" i="1"/>
  <c r="S5931" i="1"/>
  <c r="T5931" i="1"/>
  <c r="U5931" i="1"/>
  <c r="BB5931" i="1"/>
  <c r="BW5931" i="1"/>
  <c r="A5932" i="1"/>
  <c r="C5932" i="1"/>
  <c r="S5932" i="1"/>
  <c r="T5932" i="1"/>
  <c r="U5932" i="1"/>
  <c r="BB5932" i="1"/>
  <c r="BW5932" i="1"/>
  <c r="A5933" i="1"/>
  <c r="C5933" i="1"/>
  <c r="S5933" i="1"/>
  <c r="T5933" i="1"/>
  <c r="U5933" i="1"/>
  <c r="BB5933" i="1"/>
  <c r="BW5933" i="1"/>
  <c r="A5934" i="1"/>
  <c r="C5934" i="1"/>
  <c r="S5934" i="1"/>
  <c r="T5934" i="1"/>
  <c r="U5934" i="1"/>
  <c r="BB5934" i="1"/>
  <c r="BW5934" i="1"/>
  <c r="A5935" i="1"/>
  <c r="C5935" i="1"/>
  <c r="S5935" i="1"/>
  <c r="T5935" i="1"/>
  <c r="U5935" i="1"/>
  <c r="BB5935" i="1"/>
  <c r="BW5935" i="1"/>
  <c r="A5936" i="1"/>
  <c r="C5936" i="1"/>
  <c r="S5936" i="1"/>
  <c r="T5936" i="1"/>
  <c r="U5936" i="1"/>
  <c r="BB5936" i="1"/>
  <c r="BW5936" i="1"/>
  <c r="A5937" i="1"/>
  <c r="C5937" i="1"/>
  <c r="S5937" i="1"/>
  <c r="T5937" i="1"/>
  <c r="U5937" i="1"/>
  <c r="BB5937" i="1"/>
  <c r="BW5937" i="1"/>
  <c r="A5938" i="1"/>
  <c r="C5938" i="1"/>
  <c r="S5938" i="1"/>
  <c r="T5938" i="1"/>
  <c r="U5938" i="1"/>
  <c r="BB5938" i="1"/>
  <c r="BW5938" i="1"/>
  <c r="A5939" i="1"/>
  <c r="C5939" i="1"/>
  <c r="S5939" i="1"/>
  <c r="T5939" i="1"/>
  <c r="U5939" i="1"/>
  <c r="BB5939" i="1"/>
  <c r="BW5939" i="1"/>
  <c r="A5940" i="1"/>
  <c r="C5940" i="1"/>
  <c r="S5940" i="1"/>
  <c r="T5940" i="1"/>
  <c r="U5940" i="1"/>
  <c r="BB5940" i="1"/>
  <c r="BW5940" i="1"/>
  <c r="A5941" i="1"/>
  <c r="C5941" i="1"/>
  <c r="S5941" i="1"/>
  <c r="T5941" i="1"/>
  <c r="U5941" i="1"/>
  <c r="BB5941" i="1"/>
  <c r="BW5941" i="1"/>
  <c r="A5942" i="1"/>
  <c r="C5942" i="1"/>
  <c r="S5942" i="1"/>
  <c r="T5942" i="1"/>
  <c r="U5942" i="1"/>
  <c r="BB5942" i="1"/>
  <c r="BW5942" i="1"/>
  <c r="A5943" i="1"/>
  <c r="C5943" i="1"/>
  <c r="S5943" i="1"/>
  <c r="T5943" i="1"/>
  <c r="U5943" i="1"/>
  <c r="BB5943" i="1"/>
  <c r="BW5943" i="1"/>
  <c r="A5944" i="1"/>
  <c r="C5944" i="1"/>
  <c r="S5944" i="1"/>
  <c r="T5944" i="1"/>
  <c r="U5944" i="1"/>
  <c r="BB5944" i="1"/>
  <c r="BW5944" i="1"/>
  <c r="A5945" i="1"/>
  <c r="C5945" i="1"/>
  <c r="S5945" i="1"/>
  <c r="T5945" i="1"/>
  <c r="U5945" i="1"/>
  <c r="BB5945" i="1"/>
  <c r="BW5945" i="1"/>
  <c r="A5946" i="1"/>
  <c r="C5946" i="1"/>
  <c r="S5946" i="1"/>
  <c r="T5946" i="1"/>
  <c r="U5946" i="1"/>
  <c r="BB5946" i="1"/>
  <c r="BW5946" i="1"/>
  <c r="A5947" i="1"/>
  <c r="C5947" i="1"/>
  <c r="S5947" i="1"/>
  <c r="T5947" i="1"/>
  <c r="U5947" i="1"/>
  <c r="BB5947" i="1"/>
  <c r="BW5947" i="1"/>
  <c r="A5948" i="1"/>
  <c r="C5948" i="1"/>
  <c r="S5948" i="1"/>
  <c r="T5948" i="1"/>
  <c r="U5948" i="1"/>
  <c r="BB5948" i="1"/>
  <c r="BW5948" i="1"/>
  <c r="A5949" i="1"/>
  <c r="C5949" i="1"/>
  <c r="S5949" i="1"/>
  <c r="T5949" i="1"/>
  <c r="U5949" i="1"/>
  <c r="BB5949" i="1"/>
  <c r="BW5949" i="1"/>
  <c r="A5950" i="1"/>
  <c r="C5950" i="1"/>
  <c r="S5950" i="1"/>
  <c r="T5950" i="1"/>
  <c r="U5950" i="1"/>
  <c r="BB5950" i="1"/>
  <c r="BW5950" i="1"/>
  <c r="A5951" i="1"/>
  <c r="C5951" i="1"/>
  <c r="S5951" i="1"/>
  <c r="T5951" i="1"/>
  <c r="U5951" i="1"/>
  <c r="BB5951" i="1"/>
  <c r="BW5951" i="1"/>
  <c r="A5952" i="1"/>
  <c r="C5952" i="1"/>
  <c r="S5952" i="1"/>
  <c r="T5952" i="1"/>
  <c r="U5952" i="1"/>
  <c r="BB5952" i="1"/>
  <c r="BW5952" i="1"/>
  <c r="A5953" i="1"/>
  <c r="C5953" i="1"/>
  <c r="S5953" i="1"/>
  <c r="T5953" i="1"/>
  <c r="U5953" i="1"/>
  <c r="BB5953" i="1"/>
  <c r="BW5953" i="1"/>
  <c r="A5954" i="1"/>
  <c r="C5954" i="1"/>
  <c r="S5954" i="1"/>
  <c r="T5954" i="1"/>
  <c r="U5954" i="1"/>
  <c r="BB5954" i="1"/>
  <c r="BW5954" i="1"/>
  <c r="A5955" i="1"/>
  <c r="C5955" i="1"/>
  <c r="S5955" i="1"/>
  <c r="T5955" i="1"/>
  <c r="U5955" i="1"/>
  <c r="BB5955" i="1"/>
  <c r="BW5955" i="1"/>
  <c r="A5956" i="1"/>
  <c r="C5956" i="1"/>
  <c r="S5956" i="1"/>
  <c r="T5956" i="1"/>
  <c r="U5956" i="1"/>
  <c r="BB5956" i="1"/>
  <c r="BW5956" i="1"/>
  <c r="A5957" i="1"/>
  <c r="C5957" i="1"/>
  <c r="S5957" i="1"/>
  <c r="T5957" i="1"/>
  <c r="U5957" i="1"/>
  <c r="BB5957" i="1"/>
  <c r="BW5957" i="1"/>
  <c r="A5958" i="1"/>
  <c r="C5958" i="1"/>
  <c r="S5958" i="1"/>
  <c r="T5958" i="1"/>
  <c r="U5958" i="1"/>
  <c r="BB5958" i="1"/>
  <c r="BW5958" i="1"/>
  <c r="A5959" i="1"/>
  <c r="C5959" i="1"/>
  <c r="S5959" i="1"/>
  <c r="T5959" i="1"/>
  <c r="U5959" i="1"/>
  <c r="BB5959" i="1"/>
  <c r="BW5959" i="1"/>
  <c r="A5960" i="1"/>
  <c r="C5960" i="1"/>
  <c r="S5960" i="1"/>
  <c r="T5960" i="1"/>
  <c r="U5960" i="1"/>
  <c r="BB5960" i="1"/>
  <c r="BW5960" i="1"/>
  <c r="A5961" i="1"/>
  <c r="C5961" i="1"/>
  <c r="S5961" i="1"/>
  <c r="T5961" i="1"/>
  <c r="U5961" i="1"/>
  <c r="BB5961" i="1"/>
  <c r="BW5961" i="1"/>
  <c r="A5962" i="1"/>
  <c r="C5962" i="1"/>
  <c r="S5962" i="1"/>
  <c r="T5962" i="1"/>
  <c r="U5962" i="1"/>
  <c r="BB5962" i="1"/>
  <c r="BW5962" i="1"/>
  <c r="A5963" i="1"/>
  <c r="C5963" i="1"/>
  <c r="S5963" i="1"/>
  <c r="T5963" i="1"/>
  <c r="U5963" i="1"/>
  <c r="BB5963" i="1"/>
  <c r="BW5963" i="1"/>
  <c r="A5964" i="1"/>
  <c r="C5964" i="1"/>
  <c r="S5964" i="1"/>
  <c r="T5964" i="1"/>
  <c r="U5964" i="1"/>
  <c r="BB5964" i="1"/>
  <c r="BW5964" i="1"/>
  <c r="A5965" i="1"/>
  <c r="C5965" i="1"/>
  <c r="S5965" i="1"/>
  <c r="T5965" i="1"/>
  <c r="U5965" i="1"/>
  <c r="BB5965" i="1"/>
  <c r="BW5965" i="1"/>
  <c r="A5966" i="1"/>
  <c r="C5966" i="1"/>
  <c r="S5966" i="1"/>
  <c r="T5966" i="1"/>
  <c r="U5966" i="1"/>
  <c r="BB5966" i="1"/>
  <c r="BW5966" i="1"/>
  <c r="A5967" i="1"/>
  <c r="C5967" i="1"/>
  <c r="S5967" i="1"/>
  <c r="T5967" i="1"/>
  <c r="U5967" i="1"/>
  <c r="BB5967" i="1"/>
  <c r="BW5967" i="1"/>
  <c r="A5968" i="1"/>
  <c r="C5968" i="1"/>
  <c r="S5968" i="1"/>
  <c r="T5968" i="1"/>
  <c r="U5968" i="1"/>
  <c r="BB5968" i="1"/>
  <c r="BW5968" i="1"/>
  <c r="A5969" i="1"/>
  <c r="C5969" i="1"/>
  <c r="S5969" i="1"/>
  <c r="T5969" i="1"/>
  <c r="U5969" i="1"/>
  <c r="BB5969" i="1"/>
  <c r="BW5969" i="1"/>
  <c r="A5970" i="1"/>
  <c r="C5970" i="1"/>
  <c r="S5970" i="1"/>
  <c r="T5970" i="1"/>
  <c r="U5970" i="1"/>
  <c r="BB5970" i="1"/>
  <c r="BW5970" i="1"/>
  <c r="A5971" i="1"/>
  <c r="C5971" i="1"/>
  <c r="S5971" i="1"/>
  <c r="T5971" i="1"/>
  <c r="U5971" i="1"/>
  <c r="BB5971" i="1"/>
  <c r="BW5971" i="1"/>
  <c r="A5972" i="1"/>
  <c r="C5972" i="1"/>
  <c r="S5972" i="1"/>
  <c r="T5972" i="1"/>
  <c r="U5972" i="1"/>
  <c r="BB5972" i="1"/>
  <c r="BW5972" i="1"/>
  <c r="A5973" i="1"/>
  <c r="C5973" i="1"/>
  <c r="S5973" i="1"/>
  <c r="T5973" i="1"/>
  <c r="U5973" i="1"/>
  <c r="BB5973" i="1"/>
  <c r="BW5973" i="1"/>
  <c r="A5974" i="1"/>
  <c r="C5974" i="1"/>
  <c r="S5974" i="1"/>
  <c r="T5974" i="1"/>
  <c r="U5974" i="1"/>
  <c r="BB5974" i="1"/>
  <c r="BW5974" i="1"/>
  <c r="A5975" i="1"/>
  <c r="C5975" i="1"/>
  <c r="S5975" i="1"/>
  <c r="T5975" i="1"/>
  <c r="U5975" i="1"/>
  <c r="BB5975" i="1"/>
  <c r="BW5975" i="1"/>
  <c r="A5976" i="1"/>
  <c r="C5976" i="1"/>
  <c r="S5976" i="1"/>
  <c r="T5976" i="1"/>
  <c r="U5976" i="1"/>
  <c r="BB5976" i="1"/>
  <c r="BW5976" i="1"/>
  <c r="A5977" i="1"/>
  <c r="C5977" i="1"/>
  <c r="S5977" i="1"/>
  <c r="T5977" i="1"/>
  <c r="U5977" i="1"/>
  <c r="BB5977" i="1"/>
  <c r="BW5977" i="1"/>
  <c r="A5978" i="1"/>
  <c r="C5978" i="1"/>
  <c r="S5978" i="1"/>
  <c r="T5978" i="1"/>
  <c r="U5978" i="1"/>
  <c r="BB5978" i="1"/>
  <c r="BW5978" i="1"/>
  <c r="A5979" i="1"/>
  <c r="C5979" i="1"/>
  <c r="S5979" i="1"/>
  <c r="T5979" i="1"/>
  <c r="U5979" i="1"/>
  <c r="BB5979" i="1"/>
  <c r="BW5979" i="1"/>
  <c r="A5980" i="1"/>
  <c r="C5980" i="1"/>
  <c r="S5980" i="1"/>
  <c r="T5980" i="1"/>
  <c r="U5980" i="1"/>
  <c r="BB5980" i="1"/>
  <c r="BW5980" i="1"/>
  <c r="A5981" i="1"/>
  <c r="C5981" i="1"/>
  <c r="S5981" i="1"/>
  <c r="T5981" i="1"/>
  <c r="U5981" i="1"/>
  <c r="BB5981" i="1"/>
  <c r="BW5981" i="1"/>
  <c r="A5982" i="1"/>
  <c r="C5982" i="1"/>
  <c r="S5982" i="1"/>
  <c r="T5982" i="1"/>
  <c r="U5982" i="1"/>
  <c r="BB5982" i="1"/>
  <c r="BW5982" i="1"/>
  <c r="A5983" i="1"/>
  <c r="C5983" i="1"/>
  <c r="S5983" i="1"/>
  <c r="T5983" i="1"/>
  <c r="U5983" i="1"/>
  <c r="BB5983" i="1"/>
  <c r="BW5983" i="1"/>
  <c r="A5984" i="1"/>
  <c r="C5984" i="1"/>
  <c r="S5984" i="1"/>
  <c r="T5984" i="1"/>
  <c r="U5984" i="1"/>
  <c r="BB5984" i="1"/>
  <c r="BW5984" i="1"/>
  <c r="A5985" i="1"/>
  <c r="C5985" i="1"/>
  <c r="S5985" i="1"/>
  <c r="T5985" i="1"/>
  <c r="U5985" i="1"/>
  <c r="BB5985" i="1"/>
  <c r="BW5985" i="1"/>
  <c r="A5986" i="1"/>
  <c r="C5986" i="1"/>
  <c r="S5986" i="1"/>
  <c r="T5986" i="1"/>
  <c r="U5986" i="1"/>
  <c r="BB5986" i="1"/>
  <c r="BW5986" i="1"/>
  <c r="A5987" i="1"/>
  <c r="C5987" i="1"/>
  <c r="S5987" i="1"/>
  <c r="T5987" i="1"/>
  <c r="U5987" i="1"/>
  <c r="BB5987" i="1"/>
  <c r="BW5987" i="1"/>
  <c r="A5988" i="1"/>
  <c r="C5988" i="1"/>
  <c r="S5988" i="1"/>
  <c r="T5988" i="1"/>
  <c r="U5988" i="1"/>
  <c r="BB5988" i="1"/>
  <c r="BW5988" i="1"/>
  <c r="A5989" i="1"/>
  <c r="C5989" i="1"/>
  <c r="S5989" i="1"/>
  <c r="T5989" i="1"/>
  <c r="U5989" i="1"/>
  <c r="BB5989" i="1"/>
  <c r="BW5989" i="1"/>
  <c r="A5990" i="1"/>
  <c r="C5990" i="1"/>
  <c r="S5990" i="1"/>
  <c r="T5990" i="1"/>
  <c r="U5990" i="1"/>
  <c r="BB5990" i="1"/>
  <c r="BW5990" i="1"/>
  <c r="A5991" i="1"/>
  <c r="C5991" i="1"/>
  <c r="S5991" i="1"/>
  <c r="T5991" i="1"/>
  <c r="U5991" i="1"/>
  <c r="BB5991" i="1"/>
  <c r="BW5991" i="1"/>
  <c r="A5992" i="1"/>
  <c r="C5992" i="1"/>
  <c r="S5992" i="1"/>
  <c r="T5992" i="1"/>
  <c r="U5992" i="1"/>
  <c r="BB5992" i="1"/>
  <c r="BW5992" i="1"/>
  <c r="A5993" i="1"/>
  <c r="C5993" i="1"/>
  <c r="S5993" i="1"/>
  <c r="T5993" i="1"/>
  <c r="U5993" i="1"/>
  <c r="BB5993" i="1"/>
  <c r="BW5993" i="1"/>
  <c r="A5994" i="1"/>
  <c r="C5994" i="1"/>
  <c r="S5994" i="1"/>
  <c r="T5994" i="1"/>
  <c r="U5994" i="1"/>
  <c r="BB5994" i="1"/>
  <c r="BW5994" i="1"/>
  <c r="A5995" i="1"/>
  <c r="C5995" i="1"/>
  <c r="S5995" i="1"/>
  <c r="T5995" i="1"/>
  <c r="U5995" i="1"/>
  <c r="BB5995" i="1"/>
  <c r="BW5995" i="1"/>
  <c r="A5996" i="1"/>
  <c r="C5996" i="1"/>
  <c r="S5996" i="1"/>
  <c r="T5996" i="1"/>
  <c r="U5996" i="1"/>
  <c r="BB5996" i="1"/>
  <c r="BW5996" i="1"/>
  <c r="A5997" i="1"/>
  <c r="C5997" i="1"/>
  <c r="S5997" i="1"/>
  <c r="T5997" i="1"/>
  <c r="U5997" i="1"/>
  <c r="BB5997" i="1"/>
  <c r="BW5997" i="1"/>
  <c r="A5998" i="1"/>
  <c r="C5998" i="1"/>
  <c r="S5998" i="1"/>
  <c r="T5998" i="1"/>
  <c r="U5998" i="1"/>
  <c r="BB5998" i="1"/>
  <c r="BW5998" i="1"/>
  <c r="A5999" i="1"/>
  <c r="C5999" i="1"/>
  <c r="S5999" i="1"/>
  <c r="T5999" i="1"/>
  <c r="U5999" i="1"/>
  <c r="BB5999" i="1"/>
  <c r="BW5999" i="1"/>
  <c r="A6000" i="1"/>
  <c r="C6000" i="1"/>
  <c r="S6000" i="1"/>
  <c r="T6000" i="1"/>
  <c r="U6000" i="1"/>
  <c r="BB6000" i="1"/>
  <c r="BW6000" i="1"/>
  <c r="A6001" i="1"/>
  <c r="C6001" i="1"/>
  <c r="S6001" i="1"/>
  <c r="T6001" i="1"/>
  <c r="U6001" i="1"/>
  <c r="BB6001" i="1"/>
  <c r="BW6001" i="1"/>
  <c r="A6002" i="1"/>
  <c r="C6002" i="1"/>
  <c r="S6002" i="1"/>
  <c r="T6002" i="1"/>
  <c r="U6002" i="1"/>
  <c r="BB6002" i="1"/>
  <c r="BW6002" i="1"/>
  <c r="A6003" i="1"/>
  <c r="C6003" i="1"/>
  <c r="S6003" i="1"/>
  <c r="T6003" i="1"/>
  <c r="U6003" i="1"/>
  <c r="BB6003" i="1"/>
  <c r="BW6003" i="1"/>
  <c r="A6004" i="1"/>
  <c r="C6004" i="1"/>
  <c r="S6004" i="1"/>
  <c r="T6004" i="1"/>
  <c r="U6004" i="1"/>
  <c r="BB6004" i="1"/>
  <c r="BW6004" i="1"/>
  <c r="A6005" i="1"/>
  <c r="C6005" i="1"/>
  <c r="S6005" i="1"/>
  <c r="T6005" i="1"/>
  <c r="U6005" i="1"/>
  <c r="BB6005" i="1"/>
  <c r="BW6005" i="1"/>
  <c r="A6006" i="1"/>
  <c r="C6006" i="1"/>
  <c r="S6006" i="1"/>
  <c r="T6006" i="1"/>
  <c r="U6006" i="1"/>
  <c r="BB6006" i="1"/>
  <c r="BW6006" i="1"/>
  <c r="A6007" i="1"/>
  <c r="C6007" i="1"/>
  <c r="S6007" i="1"/>
  <c r="T6007" i="1"/>
  <c r="U6007" i="1"/>
  <c r="BB6007" i="1"/>
  <c r="BW6007" i="1"/>
  <c r="A6008" i="1"/>
  <c r="C6008" i="1"/>
  <c r="S6008" i="1"/>
  <c r="T6008" i="1"/>
  <c r="U6008" i="1"/>
  <c r="BB6008" i="1"/>
  <c r="BW6008" i="1"/>
  <c r="A6009" i="1"/>
  <c r="C6009" i="1"/>
  <c r="S6009" i="1"/>
  <c r="T6009" i="1"/>
  <c r="U6009" i="1"/>
  <c r="BB6009" i="1"/>
  <c r="BW6009" i="1"/>
  <c r="A6010" i="1"/>
  <c r="C6010" i="1"/>
  <c r="S6010" i="1"/>
  <c r="T6010" i="1"/>
  <c r="U6010" i="1"/>
  <c r="BB6010" i="1"/>
  <c r="BW6010" i="1"/>
  <c r="A6011" i="1"/>
  <c r="C6011" i="1"/>
  <c r="S6011" i="1"/>
  <c r="T6011" i="1"/>
  <c r="U6011" i="1"/>
  <c r="BB6011" i="1"/>
  <c r="BW6011" i="1"/>
  <c r="A6012" i="1"/>
  <c r="C6012" i="1"/>
  <c r="S6012" i="1"/>
  <c r="T6012" i="1"/>
  <c r="U6012" i="1"/>
  <c r="BB6012" i="1"/>
  <c r="BW6012" i="1"/>
  <c r="A6013" i="1"/>
  <c r="C6013" i="1"/>
  <c r="S6013" i="1"/>
  <c r="T6013" i="1"/>
  <c r="U6013" i="1"/>
  <c r="BB6013" i="1"/>
  <c r="BW6013" i="1"/>
  <c r="A6014" i="1"/>
  <c r="C6014" i="1"/>
  <c r="S6014" i="1"/>
  <c r="T6014" i="1"/>
  <c r="U6014" i="1"/>
  <c r="BB6014" i="1"/>
  <c r="BW6014" i="1"/>
  <c r="A6015" i="1"/>
  <c r="C6015" i="1"/>
  <c r="S6015" i="1"/>
  <c r="T6015" i="1"/>
  <c r="U6015" i="1"/>
  <c r="BB6015" i="1"/>
  <c r="BW6015" i="1"/>
  <c r="A6016" i="1"/>
  <c r="C6016" i="1"/>
  <c r="S6016" i="1"/>
  <c r="T6016" i="1"/>
  <c r="U6016" i="1"/>
  <c r="BB6016" i="1"/>
  <c r="BW6016" i="1"/>
  <c r="A6017" i="1"/>
  <c r="C6017" i="1"/>
  <c r="S6017" i="1"/>
  <c r="T6017" i="1"/>
  <c r="U6017" i="1"/>
  <c r="BB6017" i="1"/>
  <c r="BW6017" i="1"/>
  <c r="A6018" i="1"/>
  <c r="C6018" i="1"/>
  <c r="S6018" i="1"/>
  <c r="T6018" i="1"/>
  <c r="U6018" i="1"/>
  <c r="BB6018" i="1"/>
  <c r="BW6018" i="1"/>
  <c r="A6019" i="1"/>
  <c r="C6019" i="1"/>
  <c r="S6019" i="1"/>
  <c r="T6019" i="1"/>
  <c r="U6019" i="1"/>
  <c r="BB6019" i="1"/>
  <c r="BW6019" i="1"/>
  <c r="A6020" i="1"/>
  <c r="C6020" i="1"/>
  <c r="S6020" i="1"/>
  <c r="T6020" i="1"/>
  <c r="U6020" i="1"/>
  <c r="BB6020" i="1"/>
  <c r="BW6020" i="1"/>
  <c r="A6021" i="1"/>
  <c r="C6021" i="1"/>
  <c r="S6021" i="1"/>
  <c r="T6021" i="1"/>
  <c r="U6021" i="1"/>
  <c r="BB6021" i="1"/>
  <c r="BW6021" i="1"/>
  <c r="A6022" i="1"/>
  <c r="C6022" i="1"/>
  <c r="S6022" i="1"/>
  <c r="T6022" i="1"/>
  <c r="U6022" i="1"/>
  <c r="BB6022" i="1"/>
  <c r="BW6022" i="1"/>
  <c r="A6023" i="1"/>
  <c r="C6023" i="1"/>
  <c r="S6023" i="1"/>
  <c r="T6023" i="1"/>
  <c r="U6023" i="1"/>
  <c r="BB6023" i="1"/>
  <c r="BW6023" i="1"/>
  <c r="A6024" i="1"/>
  <c r="C6024" i="1"/>
  <c r="S6024" i="1"/>
  <c r="T6024" i="1"/>
  <c r="U6024" i="1"/>
  <c r="BB6024" i="1"/>
  <c r="BW6024" i="1"/>
  <c r="A6025" i="1"/>
  <c r="C6025" i="1"/>
  <c r="S6025" i="1"/>
  <c r="T6025" i="1"/>
  <c r="U6025" i="1"/>
  <c r="BB6025" i="1"/>
  <c r="BW6025" i="1"/>
  <c r="A6026" i="1"/>
  <c r="C6026" i="1"/>
  <c r="S6026" i="1"/>
  <c r="T6026" i="1"/>
  <c r="U6026" i="1"/>
  <c r="BB6026" i="1"/>
  <c r="BW6026" i="1"/>
  <c r="A6027" i="1"/>
  <c r="C6027" i="1"/>
  <c r="S6027" i="1"/>
  <c r="T6027" i="1"/>
  <c r="U6027" i="1"/>
  <c r="BB6027" i="1"/>
  <c r="BW6027" i="1"/>
  <c r="A6028" i="1"/>
  <c r="C6028" i="1"/>
  <c r="S6028" i="1"/>
  <c r="T6028" i="1"/>
  <c r="U6028" i="1"/>
  <c r="BB6028" i="1"/>
  <c r="BW6028" i="1"/>
  <c r="A6029" i="1"/>
  <c r="C6029" i="1"/>
  <c r="S6029" i="1"/>
  <c r="T6029" i="1"/>
  <c r="U6029" i="1"/>
  <c r="BB6029" i="1"/>
  <c r="BW6029" i="1"/>
  <c r="A6030" i="1"/>
  <c r="C6030" i="1"/>
  <c r="S6030" i="1"/>
  <c r="T6030" i="1"/>
  <c r="U6030" i="1"/>
  <c r="BB6030" i="1"/>
  <c r="BW6030" i="1"/>
  <c r="A6031" i="1"/>
  <c r="C6031" i="1"/>
  <c r="S6031" i="1"/>
  <c r="T6031" i="1"/>
  <c r="U6031" i="1"/>
  <c r="BB6031" i="1"/>
  <c r="BW6031" i="1"/>
  <c r="A6032" i="1"/>
  <c r="C6032" i="1"/>
  <c r="S6032" i="1"/>
  <c r="T6032" i="1"/>
  <c r="U6032" i="1"/>
  <c r="BB6032" i="1"/>
  <c r="BW6032" i="1"/>
  <c r="A6033" i="1"/>
  <c r="C6033" i="1"/>
  <c r="S6033" i="1"/>
  <c r="T6033" i="1"/>
  <c r="U6033" i="1"/>
  <c r="BB6033" i="1"/>
  <c r="BW6033" i="1"/>
  <c r="A6034" i="1"/>
  <c r="C6034" i="1"/>
  <c r="S6034" i="1"/>
  <c r="T6034" i="1"/>
  <c r="U6034" i="1"/>
  <c r="BB6034" i="1"/>
  <c r="BW6034" i="1"/>
  <c r="A6035" i="1"/>
  <c r="C6035" i="1"/>
  <c r="S6035" i="1"/>
  <c r="T6035" i="1"/>
  <c r="U6035" i="1"/>
  <c r="BB6035" i="1"/>
  <c r="BW6035" i="1"/>
  <c r="A6036" i="1"/>
  <c r="C6036" i="1"/>
  <c r="S6036" i="1"/>
  <c r="T6036" i="1"/>
  <c r="U6036" i="1"/>
  <c r="BB6036" i="1"/>
  <c r="BW6036" i="1"/>
  <c r="A6037" i="1"/>
  <c r="C6037" i="1"/>
  <c r="S6037" i="1"/>
  <c r="T6037" i="1"/>
  <c r="U6037" i="1"/>
  <c r="BB6037" i="1"/>
  <c r="BW6037" i="1"/>
  <c r="A6038" i="1"/>
  <c r="C6038" i="1"/>
  <c r="S6038" i="1"/>
  <c r="T6038" i="1"/>
  <c r="U6038" i="1"/>
  <c r="BB6038" i="1"/>
  <c r="BW6038" i="1"/>
  <c r="A6039" i="1"/>
  <c r="C6039" i="1"/>
  <c r="S6039" i="1"/>
  <c r="T6039" i="1"/>
  <c r="U6039" i="1"/>
  <c r="BB6039" i="1"/>
  <c r="BW6039" i="1"/>
  <c r="A6040" i="1"/>
  <c r="C6040" i="1"/>
  <c r="S6040" i="1"/>
  <c r="T6040" i="1"/>
  <c r="U6040" i="1"/>
  <c r="BB6040" i="1"/>
  <c r="BW6040" i="1"/>
  <c r="A6041" i="1"/>
  <c r="C6041" i="1"/>
  <c r="S6041" i="1"/>
  <c r="T6041" i="1"/>
  <c r="U6041" i="1"/>
  <c r="BB6041" i="1"/>
  <c r="BW6041" i="1"/>
  <c r="A6042" i="1"/>
  <c r="C6042" i="1"/>
  <c r="S6042" i="1"/>
  <c r="T6042" i="1"/>
  <c r="U6042" i="1"/>
  <c r="BB6042" i="1"/>
  <c r="BW6042" i="1"/>
  <c r="A6043" i="1"/>
  <c r="C6043" i="1"/>
  <c r="S6043" i="1"/>
  <c r="T6043" i="1"/>
  <c r="U6043" i="1"/>
  <c r="BB6043" i="1"/>
  <c r="BW6043" i="1"/>
  <c r="A6044" i="1"/>
  <c r="C6044" i="1"/>
  <c r="S6044" i="1"/>
  <c r="T6044" i="1"/>
  <c r="U6044" i="1"/>
  <c r="BB6044" i="1"/>
  <c r="BW6044" i="1"/>
  <c r="A6045" i="1"/>
  <c r="C6045" i="1"/>
  <c r="S6045" i="1"/>
  <c r="T6045" i="1"/>
  <c r="U6045" i="1"/>
  <c r="BB6045" i="1"/>
  <c r="BW6045" i="1"/>
  <c r="A6046" i="1"/>
  <c r="C6046" i="1"/>
  <c r="S6046" i="1"/>
  <c r="T6046" i="1"/>
  <c r="U6046" i="1"/>
  <c r="BB6046" i="1"/>
  <c r="BW6046" i="1"/>
  <c r="A6047" i="1"/>
  <c r="C6047" i="1"/>
  <c r="S6047" i="1"/>
  <c r="T6047" i="1"/>
  <c r="U6047" i="1"/>
  <c r="BB6047" i="1"/>
  <c r="BW6047" i="1"/>
  <c r="A6048" i="1"/>
  <c r="C6048" i="1"/>
  <c r="S6048" i="1"/>
  <c r="T6048" i="1"/>
  <c r="U6048" i="1"/>
  <c r="BB6048" i="1"/>
  <c r="BW6048" i="1"/>
  <c r="A6049" i="1"/>
  <c r="C6049" i="1"/>
  <c r="S6049" i="1"/>
  <c r="T6049" i="1"/>
  <c r="U6049" i="1"/>
  <c r="BB6049" i="1"/>
  <c r="BW6049" i="1"/>
  <c r="A6050" i="1"/>
  <c r="C6050" i="1"/>
  <c r="S6050" i="1"/>
  <c r="T6050" i="1"/>
  <c r="U6050" i="1"/>
  <c r="BB6050" i="1"/>
  <c r="BW6050" i="1"/>
  <c r="A6051" i="1"/>
  <c r="C6051" i="1"/>
  <c r="S6051" i="1"/>
  <c r="T6051" i="1"/>
  <c r="U6051" i="1"/>
  <c r="BB6051" i="1"/>
  <c r="BW6051" i="1"/>
  <c r="A6052" i="1"/>
  <c r="C6052" i="1"/>
  <c r="S6052" i="1"/>
  <c r="T6052" i="1"/>
  <c r="U6052" i="1"/>
  <c r="BB6052" i="1"/>
  <c r="BW6052" i="1"/>
  <c r="A6053" i="1"/>
  <c r="C6053" i="1"/>
  <c r="S6053" i="1"/>
  <c r="T6053" i="1"/>
  <c r="U6053" i="1"/>
  <c r="BB6053" i="1"/>
  <c r="BW6053" i="1"/>
  <c r="A6054" i="1"/>
  <c r="C6054" i="1"/>
  <c r="S6054" i="1"/>
  <c r="T6054" i="1"/>
  <c r="U6054" i="1"/>
  <c r="BB6054" i="1"/>
  <c r="BW6054" i="1"/>
  <c r="A6055" i="1"/>
  <c r="C6055" i="1"/>
  <c r="S6055" i="1"/>
  <c r="T6055" i="1"/>
  <c r="U6055" i="1"/>
  <c r="BB6055" i="1"/>
  <c r="BW6055" i="1"/>
  <c r="A6056" i="1"/>
  <c r="C6056" i="1"/>
  <c r="S6056" i="1"/>
  <c r="T6056" i="1"/>
  <c r="U6056" i="1"/>
  <c r="BB6056" i="1"/>
  <c r="BW6056" i="1"/>
  <c r="A6057" i="1"/>
  <c r="C6057" i="1"/>
  <c r="S6057" i="1"/>
  <c r="T6057" i="1"/>
  <c r="U6057" i="1"/>
  <c r="BB6057" i="1"/>
  <c r="BW6057" i="1"/>
  <c r="A6058" i="1"/>
  <c r="C6058" i="1"/>
  <c r="S6058" i="1"/>
  <c r="T6058" i="1"/>
  <c r="U6058" i="1"/>
  <c r="BB6058" i="1"/>
  <c r="BW6058" i="1"/>
  <c r="A6059" i="1"/>
  <c r="C6059" i="1"/>
  <c r="S6059" i="1"/>
  <c r="T6059" i="1"/>
  <c r="U6059" i="1"/>
  <c r="BB6059" i="1"/>
  <c r="BW6059" i="1"/>
  <c r="A6060" i="1"/>
  <c r="C6060" i="1"/>
  <c r="S6060" i="1"/>
  <c r="T6060" i="1"/>
  <c r="U6060" i="1"/>
  <c r="BB6060" i="1"/>
  <c r="BW6060" i="1"/>
  <c r="A6061" i="1"/>
  <c r="C6061" i="1"/>
  <c r="S6061" i="1"/>
  <c r="T6061" i="1"/>
  <c r="U6061" i="1"/>
  <c r="BB6061" i="1"/>
  <c r="BW6061" i="1"/>
  <c r="A6062" i="1"/>
  <c r="C6062" i="1"/>
  <c r="S6062" i="1"/>
  <c r="T6062" i="1"/>
  <c r="U6062" i="1"/>
  <c r="BB6062" i="1"/>
  <c r="BW6062" i="1"/>
  <c r="A6063" i="1"/>
  <c r="C6063" i="1"/>
  <c r="S6063" i="1"/>
  <c r="T6063" i="1"/>
  <c r="U6063" i="1"/>
  <c r="BB6063" i="1"/>
  <c r="BW6063" i="1"/>
  <c r="A6064" i="1"/>
  <c r="C6064" i="1"/>
  <c r="S6064" i="1"/>
  <c r="T6064" i="1"/>
  <c r="U6064" i="1"/>
  <c r="BB6064" i="1"/>
  <c r="BW6064" i="1"/>
  <c r="A6065" i="1"/>
  <c r="C6065" i="1"/>
  <c r="S6065" i="1"/>
  <c r="T6065" i="1"/>
  <c r="U6065" i="1"/>
  <c r="BB6065" i="1"/>
  <c r="BW6065" i="1"/>
  <c r="A6066" i="1"/>
  <c r="C6066" i="1"/>
  <c r="S6066" i="1"/>
  <c r="T6066" i="1"/>
  <c r="U6066" i="1"/>
  <c r="BB6066" i="1"/>
  <c r="BW6066" i="1"/>
  <c r="A6067" i="1"/>
  <c r="C6067" i="1"/>
  <c r="S6067" i="1"/>
  <c r="T6067" i="1"/>
  <c r="U6067" i="1"/>
  <c r="BB6067" i="1"/>
  <c r="BW6067" i="1"/>
  <c r="A6068" i="1"/>
  <c r="C6068" i="1"/>
  <c r="S6068" i="1"/>
  <c r="T6068" i="1"/>
  <c r="U6068" i="1"/>
  <c r="BB6068" i="1"/>
  <c r="BW6068" i="1"/>
  <c r="A6069" i="1"/>
  <c r="C6069" i="1"/>
  <c r="S6069" i="1"/>
  <c r="T6069" i="1"/>
  <c r="U6069" i="1"/>
  <c r="BB6069" i="1"/>
  <c r="BW6069" i="1"/>
  <c r="A6070" i="1"/>
  <c r="C6070" i="1"/>
  <c r="S6070" i="1"/>
  <c r="T6070" i="1"/>
  <c r="U6070" i="1"/>
  <c r="BB6070" i="1"/>
  <c r="BW6070" i="1"/>
  <c r="A6071" i="1"/>
  <c r="C6071" i="1"/>
  <c r="S6071" i="1"/>
  <c r="T6071" i="1"/>
  <c r="U6071" i="1"/>
  <c r="BB6071" i="1"/>
  <c r="BW6071" i="1"/>
  <c r="A6072" i="1"/>
  <c r="C6072" i="1"/>
  <c r="S6072" i="1"/>
  <c r="T6072" i="1"/>
  <c r="U6072" i="1"/>
  <c r="BB6072" i="1"/>
  <c r="BW6072" i="1"/>
  <c r="A6073" i="1"/>
  <c r="C6073" i="1"/>
  <c r="S6073" i="1"/>
  <c r="T6073" i="1"/>
  <c r="U6073" i="1"/>
  <c r="BB6073" i="1"/>
  <c r="BW6073" i="1"/>
  <c r="A6074" i="1"/>
  <c r="C6074" i="1"/>
  <c r="S6074" i="1"/>
  <c r="T6074" i="1"/>
  <c r="U6074" i="1"/>
  <c r="BB6074" i="1"/>
  <c r="BW6074" i="1"/>
  <c r="A6075" i="1"/>
  <c r="C6075" i="1"/>
  <c r="S6075" i="1"/>
  <c r="T6075" i="1"/>
  <c r="U6075" i="1"/>
  <c r="BB6075" i="1"/>
  <c r="BW6075" i="1"/>
  <c r="A6076" i="1"/>
  <c r="C6076" i="1"/>
  <c r="S6076" i="1"/>
  <c r="T6076" i="1"/>
  <c r="U6076" i="1"/>
  <c r="BB6076" i="1"/>
  <c r="BW6076" i="1"/>
  <c r="A6077" i="1"/>
  <c r="C6077" i="1"/>
  <c r="S6077" i="1"/>
  <c r="T6077" i="1"/>
  <c r="U6077" i="1"/>
  <c r="BB6077" i="1"/>
  <c r="BW6077" i="1"/>
  <c r="A6078" i="1"/>
  <c r="C6078" i="1"/>
  <c r="S6078" i="1"/>
  <c r="T6078" i="1"/>
  <c r="U6078" i="1"/>
  <c r="BB6078" i="1"/>
  <c r="BW6078" i="1"/>
  <c r="A6079" i="1"/>
  <c r="C6079" i="1"/>
  <c r="S6079" i="1"/>
  <c r="T6079" i="1"/>
  <c r="U6079" i="1"/>
  <c r="BB6079" i="1"/>
  <c r="BW6079" i="1"/>
  <c r="A6080" i="1"/>
  <c r="C6080" i="1"/>
  <c r="S6080" i="1"/>
  <c r="T6080" i="1"/>
  <c r="U6080" i="1"/>
  <c r="BB6080" i="1"/>
  <c r="BW6080" i="1"/>
  <c r="A6081" i="1"/>
  <c r="C6081" i="1"/>
  <c r="S6081" i="1"/>
  <c r="T6081" i="1"/>
  <c r="U6081" i="1"/>
  <c r="BB6081" i="1"/>
  <c r="BW6081" i="1"/>
  <c r="A6082" i="1"/>
  <c r="C6082" i="1"/>
  <c r="S6082" i="1"/>
  <c r="T6082" i="1"/>
  <c r="U6082" i="1"/>
  <c r="BB6082" i="1"/>
  <c r="BW6082" i="1"/>
  <c r="A6083" i="1"/>
  <c r="C6083" i="1"/>
  <c r="S6083" i="1"/>
  <c r="T6083" i="1"/>
  <c r="U6083" i="1"/>
  <c r="BB6083" i="1"/>
  <c r="BW6083" i="1"/>
  <c r="A6084" i="1"/>
  <c r="C6084" i="1"/>
  <c r="S6084" i="1"/>
  <c r="T6084" i="1"/>
  <c r="U6084" i="1"/>
  <c r="BB6084" i="1"/>
  <c r="BW6084" i="1"/>
  <c r="A6085" i="1"/>
  <c r="C6085" i="1"/>
  <c r="S6085" i="1"/>
  <c r="T6085" i="1"/>
  <c r="U6085" i="1"/>
  <c r="BB6085" i="1"/>
  <c r="BW6085" i="1"/>
  <c r="A6086" i="1"/>
  <c r="C6086" i="1"/>
  <c r="S6086" i="1"/>
  <c r="T6086" i="1"/>
  <c r="U6086" i="1"/>
  <c r="BB6086" i="1"/>
  <c r="BW6086" i="1"/>
  <c r="A6087" i="1"/>
  <c r="C6087" i="1"/>
  <c r="S6087" i="1"/>
  <c r="T6087" i="1"/>
  <c r="U6087" i="1"/>
  <c r="BB6087" i="1"/>
  <c r="BW6087" i="1"/>
  <c r="A6088" i="1"/>
  <c r="C6088" i="1"/>
  <c r="S6088" i="1"/>
  <c r="T6088" i="1"/>
  <c r="U6088" i="1"/>
  <c r="BB6088" i="1"/>
  <c r="BW6088" i="1"/>
  <c r="A6089" i="1"/>
  <c r="C6089" i="1"/>
  <c r="S6089" i="1"/>
  <c r="T6089" i="1"/>
  <c r="U6089" i="1"/>
  <c r="BB6089" i="1"/>
  <c r="BW6089" i="1"/>
  <c r="A6090" i="1"/>
  <c r="C6090" i="1"/>
  <c r="S6090" i="1"/>
  <c r="T6090" i="1"/>
  <c r="U6090" i="1"/>
  <c r="BB6090" i="1"/>
  <c r="BW6090" i="1"/>
  <c r="A6091" i="1"/>
  <c r="C6091" i="1"/>
  <c r="S6091" i="1"/>
  <c r="T6091" i="1"/>
  <c r="U6091" i="1"/>
  <c r="BB6091" i="1"/>
  <c r="BW6091" i="1"/>
  <c r="A6092" i="1"/>
  <c r="C6092" i="1"/>
  <c r="S6092" i="1"/>
  <c r="T6092" i="1"/>
  <c r="U6092" i="1"/>
  <c r="BB6092" i="1"/>
  <c r="BW6092" i="1"/>
  <c r="A6093" i="1"/>
  <c r="C6093" i="1"/>
  <c r="S6093" i="1"/>
  <c r="T6093" i="1"/>
  <c r="U6093" i="1"/>
  <c r="BB6093" i="1"/>
  <c r="BW6093" i="1"/>
  <c r="A6094" i="1"/>
  <c r="C6094" i="1"/>
  <c r="S6094" i="1"/>
  <c r="T6094" i="1"/>
  <c r="U6094" i="1"/>
  <c r="BB6094" i="1"/>
  <c r="BW6094" i="1"/>
  <c r="A6095" i="1"/>
  <c r="C6095" i="1"/>
  <c r="S6095" i="1"/>
  <c r="T6095" i="1"/>
  <c r="U6095" i="1"/>
  <c r="BB6095" i="1"/>
  <c r="BW6095" i="1"/>
  <c r="A6096" i="1"/>
  <c r="C6096" i="1"/>
  <c r="S6096" i="1"/>
  <c r="T6096" i="1"/>
  <c r="U6096" i="1"/>
  <c r="BB6096" i="1"/>
  <c r="BW6096" i="1"/>
  <c r="A6097" i="1"/>
  <c r="C6097" i="1"/>
  <c r="S6097" i="1"/>
  <c r="T6097" i="1"/>
  <c r="U6097" i="1"/>
  <c r="BB6097" i="1"/>
  <c r="BW6097" i="1"/>
  <c r="A6098" i="1"/>
  <c r="C6098" i="1"/>
  <c r="S6098" i="1"/>
  <c r="T6098" i="1"/>
  <c r="U6098" i="1"/>
  <c r="BB6098" i="1"/>
  <c r="BW6098" i="1"/>
  <c r="A6099" i="1"/>
  <c r="C6099" i="1"/>
  <c r="S6099" i="1"/>
  <c r="T6099" i="1"/>
  <c r="U6099" i="1"/>
  <c r="BB6099" i="1"/>
  <c r="BW6099" i="1"/>
  <c r="A6100" i="1"/>
  <c r="C6100" i="1"/>
  <c r="S6100" i="1"/>
  <c r="T6100" i="1"/>
  <c r="U6100" i="1"/>
  <c r="BB6100" i="1"/>
  <c r="BW6100" i="1"/>
  <c r="A6101" i="1"/>
  <c r="C6101" i="1"/>
  <c r="S6101" i="1"/>
  <c r="T6101" i="1"/>
  <c r="U6101" i="1"/>
  <c r="BB6101" i="1"/>
  <c r="BW6101" i="1"/>
  <c r="A6102" i="1"/>
  <c r="C6102" i="1"/>
  <c r="S6102" i="1"/>
  <c r="T6102" i="1"/>
  <c r="U6102" i="1"/>
  <c r="BB6102" i="1"/>
  <c r="BW6102" i="1"/>
  <c r="A6103" i="1"/>
  <c r="C6103" i="1"/>
  <c r="S6103" i="1"/>
  <c r="T6103" i="1"/>
  <c r="U6103" i="1"/>
  <c r="BB6103" i="1"/>
  <c r="BW6103" i="1"/>
  <c r="A6104" i="1"/>
  <c r="C6104" i="1"/>
  <c r="S6104" i="1"/>
  <c r="T6104" i="1"/>
  <c r="U6104" i="1"/>
  <c r="BB6104" i="1"/>
  <c r="BW6104" i="1"/>
  <c r="A6105" i="1"/>
  <c r="C6105" i="1"/>
  <c r="S6105" i="1"/>
  <c r="T6105" i="1"/>
  <c r="U6105" i="1"/>
  <c r="BB6105" i="1"/>
  <c r="BW6105" i="1"/>
  <c r="A6106" i="1"/>
  <c r="C6106" i="1"/>
  <c r="S6106" i="1"/>
  <c r="T6106" i="1"/>
  <c r="U6106" i="1"/>
  <c r="BB6106" i="1"/>
  <c r="BW6106" i="1"/>
</calcChain>
</file>

<file path=xl/sharedStrings.xml><?xml version="1.0" encoding="utf-8"?>
<sst xmlns="http://schemas.openxmlformats.org/spreadsheetml/2006/main" count="42848" uniqueCount="1355">
  <si>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</si>
  <si>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</si>
  <si>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</si>
  <si>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</si>
  <si>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</si>
  <si>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</si>
  <si>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</si>
  <si>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</si>
  <si>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</si>
  <si>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</si>
  <si>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</si>
  <si>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</si>
  <si>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</si>
  <si>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</si>
  <si>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</si>
  <si>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</si>
  <si>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</si>
  <si>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</si>
  <si>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</si>
  <si>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</si>
  <si>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</si>
  <si>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</si>
  <si>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</si>
  <si>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</si>
  <si>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</si>
  <si>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</si>
  <si>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</si>
  <si>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</si>
  <si>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</si>
  <si>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</si>
  <si>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</si>
  <si>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</si>
  <si>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</si>
  <si>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</si>
  <si>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</si>
  <si>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</si>
  <si>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</si>
  <si>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</si>
  <si>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</si>
  <si>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</si>
  <si>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</si>
  <si>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</si>
  <si>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</si>
  <si>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</si>
  <si>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</si>
  <si>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</si>
  <si>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</si>
  <si>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</si>
  <si>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</si>
  <si>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</si>
  <si>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</si>
  <si>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</si>
  <si>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</si>
  <si>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</si>
  <si>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</si>
  <si>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</si>
  <si>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</si>
  <si>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</si>
  <si>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</si>
  <si>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</si>
  <si>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</si>
  <si>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</si>
  <si>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</si>
  <si>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</si>
  <si>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</si>
  <si>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</si>
  <si>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</si>
  <si>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</si>
  <si>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</si>
  <si>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</si>
  <si>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</si>
  <si>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</si>
  <si>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</si>
  <si>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</si>
  <si>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</si>
  <si>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</si>
  <si>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</si>
  <si>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</si>
  <si>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</si>
  <si>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</si>
  <si>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</si>
  <si>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</si>
  <si>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</si>
  <si>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</si>
  <si>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</si>
  <si>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</si>
  <si>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</si>
  <si>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</si>
  <si>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</si>
  <si>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</si>
  <si>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</si>
  <si>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</si>
  <si>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</si>
  <si>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</si>
  <si>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</si>
  <si>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</si>
  <si>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</si>
  <si>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</si>
  <si>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</si>
  <si>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</si>
  <si>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</si>
  <si>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</si>
  <si>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</si>
  <si>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</si>
  <si>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</si>
  <si>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</si>
  <si>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</si>
  <si>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</si>
  <si>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</si>
  <si>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</si>
  <si>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</si>
  <si>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</si>
  <si>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</si>
  <si>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</si>
  <si>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Jacksonville</t>
  </si>
  <si>
    <t>Enroute</t>
  </si>
  <si>
    <t>028:13:32.06 N</t>
  </si>
  <si>
    <t>082:22:42.57 W</t>
  </si>
  <si>
    <t>GNSS</t>
  </si>
  <si>
    <t>RS - HP 1090 Multi Chl Radio</t>
  </si>
  <si>
    <t>028:13:33.06 N</t>
  </si>
  <si>
    <t>082:22:43.58 W</t>
  </si>
  <si>
    <t>028:13:34.07 N</t>
  </si>
  <si>
    <t>082:22:44.27 W</t>
  </si>
  <si>
    <t>028:13:35.15 N</t>
  </si>
  <si>
    <t>082:22:45.43 W</t>
  </si>
  <si>
    <t>C1</t>
  </si>
  <si>
    <t>Miami</t>
  </si>
  <si>
    <t>EnrouteCTV</t>
  </si>
  <si>
    <t>028:13:37.00 N</t>
  </si>
  <si>
    <t>082:22:47.05 W</t>
  </si>
  <si>
    <t>C2</t>
  </si>
  <si>
    <t>Tampa TRACON CTV</t>
  </si>
  <si>
    <t>TerminalCTV</t>
  </si>
  <si>
    <t>AC</t>
  </si>
  <si>
    <t>Sarasota-Bradenton</t>
  </si>
  <si>
    <t>Terminal</t>
  </si>
  <si>
    <t>Orlando TRACON CTV</t>
  </si>
  <si>
    <t>AB</t>
  </si>
  <si>
    <t>Orlando</t>
  </si>
  <si>
    <t>Tampa</t>
  </si>
  <si>
    <t>028:13:38.01 N</t>
  </si>
  <si>
    <t>082:22:48.06 W</t>
  </si>
  <si>
    <t>028:13:39.32 N</t>
  </si>
  <si>
    <t>082:22:49.22 W</t>
  </si>
  <si>
    <t>028:13:40.48 N</t>
  </si>
  <si>
    <t>082:22:50.22 W</t>
  </si>
  <si>
    <t>028:13:41.56 N</t>
  </si>
  <si>
    <t>082:22:51.15 W</t>
  </si>
  <si>
    <t>028:13:42.87 N</t>
  </si>
  <si>
    <t>082:22:52.31 W</t>
  </si>
  <si>
    <t>028:13:43.88 N</t>
  </si>
  <si>
    <t>082:22:53.08 W</t>
  </si>
  <si>
    <t>028:13:45.04 N</t>
  </si>
  <si>
    <t>082:22:53.85 W</t>
  </si>
  <si>
    <t>028:13:46.20 N</t>
  </si>
  <si>
    <t>082:22:54.78 W</t>
  </si>
  <si>
    <t>028:13:47.43 N</t>
  </si>
  <si>
    <t>082:22:55.63 W</t>
  </si>
  <si>
    <t>028:13:49.29 N</t>
  </si>
  <si>
    <t>082:22:56.55 W</t>
  </si>
  <si>
    <t>Jacksonville TRACON CTV</t>
  </si>
  <si>
    <t>028:13:51.14 N</t>
  </si>
  <si>
    <t>082:22:57.64 W</t>
  </si>
  <si>
    <t>028:13:52.68 N</t>
  </si>
  <si>
    <t>082:22:58.18 W</t>
  </si>
  <si>
    <t>028:13:54.08 N</t>
  </si>
  <si>
    <t>082:22:58.72 W</t>
  </si>
  <si>
    <t>028:13:55.47 N</t>
  </si>
  <si>
    <t>082:22:59.10 W</t>
  </si>
  <si>
    <t>028:13:56.62 N</t>
  </si>
  <si>
    <t>082:22:59.49 W</t>
  </si>
  <si>
    <t>028:13:58.17 N</t>
  </si>
  <si>
    <t>082:22:59.88 W</t>
  </si>
  <si>
    <t>028:13:59.48 N</t>
  </si>
  <si>
    <t>082:23:00.26 W</t>
  </si>
  <si>
    <t>028:14:00.95 N</t>
  </si>
  <si>
    <t>082:23:00.42 W</t>
  </si>
  <si>
    <t>028:14:02.34 N</t>
  </si>
  <si>
    <t>082:23:00.65 W</t>
  </si>
  <si>
    <t>028:14:03.81 N</t>
  </si>
  <si>
    <t>028:14:05.20 N</t>
  </si>
  <si>
    <t>082:23:00.88 W</t>
  </si>
  <si>
    <t>028:14:07.05 N</t>
  </si>
  <si>
    <t>082:23:00.80 W</t>
  </si>
  <si>
    <t>028:14:08.37 N</t>
  </si>
  <si>
    <t>028:14:09.83 N</t>
  </si>
  <si>
    <t>028:14:11.15 N</t>
  </si>
  <si>
    <t>028:14:13.23 N</t>
  </si>
  <si>
    <t>028:14:14.70 N</t>
  </si>
  <si>
    <t>028:14:15.94 N</t>
  </si>
  <si>
    <t>028:14:17.40 N</t>
  </si>
  <si>
    <t>028:14:18.72 N</t>
  </si>
  <si>
    <t>028:14:20.03 N</t>
  </si>
  <si>
    <t>082:23:00.11 W</t>
  </si>
  <si>
    <t>028:14:21.96 N</t>
  </si>
  <si>
    <t>028:14:23.51 N</t>
  </si>
  <si>
    <t>082:22:59.72 W</t>
  </si>
  <si>
    <t>028:14:24.97 N</t>
  </si>
  <si>
    <t>028:14:26.44 N</t>
  </si>
  <si>
    <t>082:22:59.26 W</t>
  </si>
  <si>
    <t>028:14:28.06 N</t>
  </si>
  <si>
    <t>028:14:29.61 N</t>
  </si>
  <si>
    <t>082:22:58.87 W</t>
  </si>
  <si>
    <t>028:14:30.92 N</t>
  </si>
  <si>
    <t>082:22:58.79 W</t>
  </si>
  <si>
    <t>028:14:32.39 N</t>
  </si>
  <si>
    <t>082:22:58.56 W</t>
  </si>
  <si>
    <t>028:14:34.01 N</t>
  </si>
  <si>
    <t>082:22:58.33 W</t>
  </si>
  <si>
    <t>028:14:35.33 N</t>
  </si>
  <si>
    <t>082:22:58.02 W</t>
  </si>
  <si>
    <t>028:14:36.64 N</t>
  </si>
  <si>
    <t>082:22:57.79 W</t>
  </si>
  <si>
    <t>028:14:38.03 N</t>
  </si>
  <si>
    <t>082:22:57.71 W</t>
  </si>
  <si>
    <t>028:14:39.42 N</t>
  </si>
  <si>
    <t>082:22:57.40 W</t>
  </si>
  <si>
    <t>028:14:41.12 N</t>
  </si>
  <si>
    <t>082:22:57.25 W</t>
  </si>
  <si>
    <t>028:14:42.43 N</t>
  </si>
  <si>
    <t>082:22:57.02 W</t>
  </si>
  <si>
    <t>028:14:43.90 N</t>
  </si>
  <si>
    <t>082:22:56.86 W</t>
  </si>
  <si>
    <t>028:14:45.06 N</t>
  </si>
  <si>
    <t>028:14:46.60 N</t>
  </si>
  <si>
    <t>082:22:56.40 W</t>
  </si>
  <si>
    <t>028:14:47.92 N</t>
  </si>
  <si>
    <t>082:22:56.17 W</t>
  </si>
  <si>
    <t>028:14:49.38 N</t>
  </si>
  <si>
    <t>082:22:55.78 W</t>
  </si>
  <si>
    <t>028:14:50.70 N</t>
  </si>
  <si>
    <t>082:22:55.70 W</t>
  </si>
  <si>
    <t>028:14:52.17 N</t>
  </si>
  <si>
    <t>082:22:55.55 W</t>
  </si>
  <si>
    <t>028:14:53.79 N</t>
  </si>
  <si>
    <t>082:22:55.24 W</t>
  </si>
  <si>
    <t>028:14:55.10 N</t>
  </si>
  <si>
    <t>082:22:54.85 W</t>
  </si>
  <si>
    <t>028:14:56.41 N</t>
  </si>
  <si>
    <t>028:14:57.88 N</t>
  </si>
  <si>
    <t>082:22:54.39 W</t>
  </si>
  <si>
    <t>028:14:59.43 N</t>
  </si>
  <si>
    <t>082:22:54.16 W</t>
  </si>
  <si>
    <t>028:15:00.89 N</t>
  </si>
  <si>
    <t>082:22:54.01 W</t>
  </si>
  <si>
    <t>028:15:02.21 N</t>
  </si>
  <si>
    <t>028:15:03.68 N</t>
  </si>
  <si>
    <t>082:22:53.46 W</t>
  </si>
  <si>
    <t>028:15:05.37 N</t>
  </si>
  <si>
    <t>082:22:53.31 W</t>
  </si>
  <si>
    <t>028:15:06.61 N</t>
  </si>
  <si>
    <t>028:15:08.16 N</t>
  </si>
  <si>
    <t>082:22:52.69 W</t>
  </si>
  <si>
    <t>028:15:09.78 N</t>
  </si>
  <si>
    <t>082:22:52.46 W</t>
  </si>
  <si>
    <t>028:15:11.40 N</t>
  </si>
  <si>
    <t>028:15:12.87 N</t>
  </si>
  <si>
    <t>082:22:52.15 W</t>
  </si>
  <si>
    <t>028:15:14.26 N</t>
  </si>
  <si>
    <t>082:22:51.92 W</t>
  </si>
  <si>
    <t>028:15:15.88 N</t>
  </si>
  <si>
    <t>082:22:51.76 W</t>
  </si>
  <si>
    <t>028:15:17.43 N</t>
  </si>
  <si>
    <t>082:22:51.53 W</t>
  </si>
  <si>
    <t>028:15:18.66 N</t>
  </si>
  <si>
    <t>082:22:51.38 W</t>
  </si>
  <si>
    <t>028:15:19.90 N</t>
  </si>
  <si>
    <t>082:22:51.30 W</t>
  </si>
  <si>
    <t>028:15:21.29 N</t>
  </si>
  <si>
    <t>028:15:22.91 N</t>
  </si>
  <si>
    <t>082:22:50.92 W</t>
  </si>
  <si>
    <t>028:15:24.61 N</t>
  </si>
  <si>
    <t>082:22:50.76 W</t>
  </si>
  <si>
    <t>028:15:25.92 N</t>
  </si>
  <si>
    <t>082:22:50.53 W</t>
  </si>
  <si>
    <t>028:15:27.31 N</t>
  </si>
  <si>
    <t>082:22:50.37 W</t>
  </si>
  <si>
    <t>028:15:28.86 N</t>
  </si>
  <si>
    <t>028:15:30.33 N</t>
  </si>
  <si>
    <t>082:22:50.14 W</t>
  </si>
  <si>
    <t>028:15:31.87 N</t>
  </si>
  <si>
    <t>082:22:49.99 W</t>
  </si>
  <si>
    <t>028:15:33.18 N</t>
  </si>
  <si>
    <t>082:22:49.76 W</t>
  </si>
  <si>
    <t>028:15:34.50 N</t>
  </si>
  <si>
    <t>082:22:49.83 W</t>
  </si>
  <si>
    <t>028:15:36.12 N</t>
  </si>
  <si>
    <t>082:22:49.60 W</t>
  </si>
  <si>
    <t>028:15:37.66 N</t>
  </si>
  <si>
    <t>028:15:39.29 N</t>
  </si>
  <si>
    <t>082:22:49.45 W</t>
  </si>
  <si>
    <t>028:15:40.75 N</t>
  </si>
  <si>
    <t>028:15:42.38 N</t>
  </si>
  <si>
    <t>028:15:43.69 N</t>
  </si>
  <si>
    <t>028:15:45.23 N</t>
  </si>
  <si>
    <t>028:15:46.86 N</t>
  </si>
  <si>
    <t>082:22:49.06 W</t>
  </si>
  <si>
    <t>028:15:48.32 N</t>
  </si>
  <si>
    <t>028:15:49.56 N</t>
  </si>
  <si>
    <t>082:22:48.98 W</t>
  </si>
  <si>
    <t>028:15:51.11 N</t>
  </si>
  <si>
    <t>028:15:52.80 N</t>
  </si>
  <si>
    <t>028:15:54.27 N</t>
  </si>
  <si>
    <t>028:15:55.89 N</t>
  </si>
  <si>
    <t>028:15:57.29 N</t>
  </si>
  <si>
    <t>028:15:58.91 N</t>
  </si>
  <si>
    <t>028:16:00.07 N</t>
  </si>
  <si>
    <t>028:16:01.61 N</t>
  </si>
  <si>
    <t>028:16:03.16 N</t>
  </si>
  <si>
    <t>028:16:04.47 N</t>
  </si>
  <si>
    <t>082:22:49.37 W</t>
  </si>
  <si>
    <t>028:16:05.94 N</t>
  </si>
  <si>
    <t>028:16:07.64 N</t>
  </si>
  <si>
    <t>028:16:09.10 N</t>
  </si>
  <si>
    <t>028:16:10.57 N</t>
  </si>
  <si>
    <t>028:16:11.88 N</t>
  </si>
  <si>
    <t>028:16:13.35 N</t>
  </si>
  <si>
    <t>028:16:14.51 N</t>
  </si>
  <si>
    <t>028:16:15.90 N</t>
  </si>
  <si>
    <t>028:16:17.52 N</t>
  </si>
  <si>
    <t>082:22:50.61 W</t>
  </si>
  <si>
    <t>028:16:18.61 N</t>
  </si>
  <si>
    <t>028:16:20.30 N</t>
  </si>
  <si>
    <t>028:16:21.46 N</t>
  </si>
  <si>
    <t>028:16:22.93 N</t>
  </si>
  <si>
    <t>082:22:51.69 W</t>
  </si>
  <si>
    <t>028:16:24.24 N</t>
  </si>
  <si>
    <t>028:16:25.56 N</t>
  </si>
  <si>
    <t>028:16:27.10 N</t>
  </si>
  <si>
    <t>028:16:28.65 N</t>
  </si>
  <si>
    <t>028:16:30.04 N</t>
  </si>
  <si>
    <t>028:16:31.35 N</t>
  </si>
  <si>
    <t>028:16:32.82 N</t>
  </si>
  <si>
    <t>082:22:54.24 W</t>
  </si>
  <si>
    <t>028:16:34.13 N</t>
  </si>
  <si>
    <t>028:16:35.83 N</t>
  </si>
  <si>
    <t>028:16:37.14 N</t>
  </si>
  <si>
    <t>028:16:38.69 N</t>
  </si>
  <si>
    <t>028:16:40.39 N</t>
  </si>
  <si>
    <t>028:16:41.86 N</t>
  </si>
  <si>
    <t>082:22:57.33 W</t>
  </si>
  <si>
    <t>028:16:43.25 N</t>
  </si>
  <si>
    <t>028:16:44.72 N</t>
  </si>
  <si>
    <t>082:22:58.49 W</t>
  </si>
  <si>
    <t>028:16:46.03 N</t>
  </si>
  <si>
    <t>028:16:47.57 N</t>
  </si>
  <si>
    <t>082:22:59.64 W</t>
  </si>
  <si>
    <t>028:16:48.96 N</t>
  </si>
  <si>
    <t>082:23:00.49 W</t>
  </si>
  <si>
    <t>028:16:50.43 N</t>
  </si>
  <si>
    <t>082:23:01.03 W</t>
  </si>
  <si>
    <t>028:16:52.13 N</t>
  </si>
  <si>
    <t>082:23:01.58 W</t>
  </si>
  <si>
    <t>028:16:53.75 N</t>
  </si>
  <si>
    <t>082:23:02.19 W</t>
  </si>
  <si>
    <t>028:16:55.22 N</t>
  </si>
  <si>
    <t>082:23:02.58 W</t>
  </si>
  <si>
    <t>028:16:57.15 N</t>
  </si>
  <si>
    <t>028:16:58.62 N</t>
  </si>
  <si>
    <t>028:17:00.16 N</t>
  </si>
  <si>
    <t>082:23:02.43 W</t>
  </si>
  <si>
    <t>028:17:01.79 N</t>
  </si>
  <si>
    <t>082:23:01.81 W</t>
  </si>
  <si>
    <t>028:17:03.33 N</t>
  </si>
  <si>
    <t>082:23:01.27 W</t>
  </si>
  <si>
    <t>028:17:04.65 N</t>
  </si>
  <si>
    <t>028:17:06.65 N</t>
  </si>
  <si>
    <t>082:22:59.34 W</t>
  </si>
  <si>
    <t>028:17:08.12 N</t>
  </si>
  <si>
    <t>028:17:09.28 N</t>
  </si>
  <si>
    <t>028:17:10.21 N</t>
  </si>
  <si>
    <t>028:17:11.06 N</t>
  </si>
  <si>
    <t>082:22:54.47 W</t>
  </si>
  <si>
    <t>028:17:11.67 N</t>
  </si>
  <si>
    <t>082:22:52.92 W</t>
  </si>
  <si>
    <t>028:17:12.37 N</t>
  </si>
  <si>
    <t>028:17:12.91 N</t>
  </si>
  <si>
    <t>028:17:13.22 N</t>
  </si>
  <si>
    <t>082:22:47.83 W</t>
  </si>
  <si>
    <t>028:17:13.37 N</t>
  </si>
  <si>
    <t>082:22:46.13 W</t>
  </si>
  <si>
    <t>028:17:13.07 N</t>
  </si>
  <si>
    <t>082:22:42.42 W</t>
  </si>
  <si>
    <t>028:17:12.68 N</t>
  </si>
  <si>
    <t>082:22:40.72 W</t>
  </si>
  <si>
    <t>028:17:12.22 N</t>
  </si>
  <si>
    <t>082:22:39.02 W</t>
  </si>
  <si>
    <t>028:17:11.60 N</t>
  </si>
  <si>
    <t>082:22:37.24 W</t>
  </si>
  <si>
    <t>028:17:10.90 N</t>
  </si>
  <si>
    <t>082:22:35.77 W</t>
  </si>
  <si>
    <t>028:17:10.05 N</t>
  </si>
  <si>
    <t>082:22:33.84 W</t>
  </si>
  <si>
    <t>028:17:09.43 N</t>
  </si>
  <si>
    <t>082:22:32.30 W</t>
  </si>
  <si>
    <t>028:17:08.43 N</t>
  </si>
  <si>
    <t>082:22:30.60 W</t>
  </si>
  <si>
    <t>028:17:07.66 N</t>
  </si>
  <si>
    <t>082:22:28.82 W</t>
  </si>
  <si>
    <t>028:17:06.96 N</t>
  </si>
  <si>
    <t>082:22:27.20 W</t>
  </si>
  <si>
    <t>028:17:06.19 N</t>
  </si>
  <si>
    <t>082:22:25.58 W</t>
  </si>
  <si>
    <t>028:17:05.34 N</t>
  </si>
  <si>
    <t>082:22:23.80 W</t>
  </si>
  <si>
    <t>082:22:22.26 W</t>
  </si>
  <si>
    <t>028:17:03.95 N</t>
  </si>
  <si>
    <t>082:22:20.71 W</t>
  </si>
  <si>
    <t>028:17:03.18 N</t>
  </si>
  <si>
    <t>082:22:18.93 W</t>
  </si>
  <si>
    <t>028:17:02.33 N</t>
  </si>
  <si>
    <t>082:22:17.39 W</t>
  </si>
  <si>
    <t>028:17:01.48 N</t>
  </si>
  <si>
    <t>082:22:15.84 W</t>
  </si>
  <si>
    <t>028:17:00.55 N</t>
  </si>
  <si>
    <t>082:22:14.45 W</t>
  </si>
  <si>
    <t>028:16:59.55 N</t>
  </si>
  <si>
    <t>082:22:12.91 W</t>
  </si>
  <si>
    <t>028:16:58.70 N</t>
  </si>
  <si>
    <t>082:22:11.60 W</t>
  </si>
  <si>
    <t>028:16:57.77 N</t>
  </si>
  <si>
    <t>082:22:10.44 W</t>
  </si>
  <si>
    <t>028:16:56.92 N</t>
  </si>
  <si>
    <t>082:22:09.36 W</t>
  </si>
  <si>
    <t>028:16:55.76 N</t>
  </si>
  <si>
    <t>082:22:07.97 W</t>
  </si>
  <si>
    <t>028:16:54.60 N</t>
  </si>
  <si>
    <t>082:22:06.58 W</t>
  </si>
  <si>
    <t>028:16:53.29 N</t>
  </si>
  <si>
    <t>082:22:05.18 W</t>
  </si>
  <si>
    <t>028:16:52.29 N</t>
  </si>
  <si>
    <t>082:22:04.03 W</t>
  </si>
  <si>
    <t>028:16:51.28 N</t>
  </si>
  <si>
    <t>082:22:03.10 W</t>
  </si>
  <si>
    <t>028:16:49.89 N</t>
  </si>
  <si>
    <t>082:22:01.86 W</t>
  </si>
  <si>
    <t>028:16:48.89 N</t>
  </si>
  <si>
    <t>082:22:00.70 W</t>
  </si>
  <si>
    <t>028:16:47.81 N</t>
  </si>
  <si>
    <t>082:21:59.78 W</t>
  </si>
  <si>
    <t>028:16:46.41 N</t>
  </si>
  <si>
    <t>082:21:58.39 W</t>
  </si>
  <si>
    <t>028:16:45.02 N</t>
  </si>
  <si>
    <t>082:21:57.07 W</t>
  </si>
  <si>
    <t>028:16:43.71 N</t>
  </si>
  <si>
    <t>082:21:55.91 W</t>
  </si>
  <si>
    <t>028:16:42.71 N</t>
  </si>
  <si>
    <t>082:21:54.83 W</t>
  </si>
  <si>
    <t>028:16:41.55 N</t>
  </si>
  <si>
    <t>082:21:53.75 W</t>
  </si>
  <si>
    <t>028:16:40.16 N</t>
  </si>
  <si>
    <t>082:21:52.44 W</t>
  </si>
  <si>
    <t>028:16:39.08 N</t>
  </si>
  <si>
    <t>082:21:51.28 W</t>
  </si>
  <si>
    <t>028:16:37.76 N</t>
  </si>
  <si>
    <t>082:21:49.89 W</t>
  </si>
  <si>
    <t>028:16:36.68 N</t>
  </si>
  <si>
    <t>082:21:48.73 W</t>
  </si>
  <si>
    <t>028:16:35.37 N</t>
  </si>
  <si>
    <t>082:21:47.34 W</t>
  </si>
  <si>
    <t>082:21:46.18 W</t>
  </si>
  <si>
    <t>082:21:44.87 W</t>
  </si>
  <si>
    <t>028:16:31.66 N</t>
  </si>
  <si>
    <t>082:21:43.63 W</t>
  </si>
  <si>
    <t>028:16:30.66 N</t>
  </si>
  <si>
    <t>082:21:42.55 W</t>
  </si>
  <si>
    <t>028:16:29.50 N</t>
  </si>
  <si>
    <t>082:21:41.16 W</t>
  </si>
  <si>
    <t>028:16:28.26 N</t>
  </si>
  <si>
    <t>082:21:40.00 W</t>
  </si>
  <si>
    <t>028:16:26.87 N</t>
  </si>
  <si>
    <t>082:21:38.53 W</t>
  </si>
  <si>
    <t>028:16:25.63 N</t>
  </si>
  <si>
    <t>082:21:37.07 W</t>
  </si>
  <si>
    <t>028:16:24.48 N</t>
  </si>
  <si>
    <t>082:21:35.75 W</t>
  </si>
  <si>
    <t>028:16:23.47 N</t>
  </si>
  <si>
    <t>082:21:34.52 W</t>
  </si>
  <si>
    <t>028:16:22.31 N</t>
  </si>
  <si>
    <t>082:21:33.20 W</t>
  </si>
  <si>
    <t>028:16:21.15 N</t>
  </si>
  <si>
    <t>082:21:31.89 W</t>
  </si>
  <si>
    <t>028:16:20.00 N</t>
  </si>
  <si>
    <t>082:21:30.73 W</t>
  </si>
  <si>
    <t>028:16:18.91 N</t>
  </si>
  <si>
    <t>082:21:29.34 W</t>
  </si>
  <si>
    <t>028:16:17.76 N</t>
  </si>
  <si>
    <t>082:21:27.95 W</t>
  </si>
  <si>
    <t>028:16:16.52 N</t>
  </si>
  <si>
    <t>082:21:26.56 W</t>
  </si>
  <si>
    <t>028:16:15.36 N</t>
  </si>
  <si>
    <t>082:21:25.02 W</t>
  </si>
  <si>
    <t>028:16:14.20 N</t>
  </si>
  <si>
    <t>082:21:23.70 W</t>
  </si>
  <si>
    <t>028:16:13.04 N</t>
  </si>
  <si>
    <t>082:21:22.39 W</t>
  </si>
  <si>
    <t>082:21:20.84 W</t>
  </si>
  <si>
    <t>028:16:10.88 N</t>
  </si>
  <si>
    <t>082:21:19.69 W</t>
  </si>
  <si>
    <t>028:16:09.95 N</t>
  </si>
  <si>
    <t>082:21:18.37 W</t>
  </si>
  <si>
    <t>028:16:08.64 N</t>
  </si>
  <si>
    <t>082:21:16.67 W</t>
  </si>
  <si>
    <t>028:16:07.48 N</t>
  </si>
  <si>
    <t>082:21:15.13 W</t>
  </si>
  <si>
    <t>028:16:06.48 N</t>
  </si>
  <si>
    <t>082:21:13.81 W</t>
  </si>
  <si>
    <t>028:16:05.32 N</t>
  </si>
  <si>
    <t>082:21:12.42 W</t>
  </si>
  <si>
    <t>028:16:04.16 N</t>
  </si>
  <si>
    <t>082:21:10.73 W</t>
  </si>
  <si>
    <t>028:16:03.00 N</t>
  </si>
  <si>
    <t>082:21:09.18 W</t>
  </si>
  <si>
    <t>028:16:01.84 N</t>
  </si>
  <si>
    <t>082:21:07.71 W</t>
  </si>
  <si>
    <t>028:16:00.99 N</t>
  </si>
  <si>
    <t>082:21:06.48 W</t>
  </si>
  <si>
    <t>082:21:05.09 W</t>
  </si>
  <si>
    <t>028:15:58.98 N</t>
  </si>
  <si>
    <t>082:21:03.77 W</t>
  </si>
  <si>
    <t>028:15:58.06 N</t>
  </si>
  <si>
    <t>082:21:02.38 W</t>
  </si>
  <si>
    <t>028:15:56.98 N</t>
  </si>
  <si>
    <t>082:21:00.61 W</t>
  </si>
  <si>
    <t>028:15:55.82 N</t>
  </si>
  <si>
    <t>082:20:59.06 W</t>
  </si>
  <si>
    <t>028:15:54.81 N</t>
  </si>
  <si>
    <t>082:20:57.52 W</t>
  </si>
  <si>
    <t>028:15:53.58 N</t>
  </si>
  <si>
    <t>082:20:55.74 W</t>
  </si>
  <si>
    <t>028:15:52.65 N</t>
  </si>
  <si>
    <t>082:20:54.19 W</t>
  </si>
  <si>
    <t>028:15:51.65 N</t>
  </si>
  <si>
    <t>082:20:52.73 W</t>
  </si>
  <si>
    <t>028:15:50.41 N</t>
  </si>
  <si>
    <t>082:20:50.95 W</t>
  </si>
  <si>
    <t>028:15:49.41 N</t>
  </si>
  <si>
    <t>082:20:49.40 W</t>
  </si>
  <si>
    <t>028:15:48.56 N</t>
  </si>
  <si>
    <t>082:20:47.86 W</t>
  </si>
  <si>
    <t>028:15:47.55 N</t>
  </si>
  <si>
    <t>082:20:46.31 W</t>
  </si>
  <si>
    <t>028:15:46.70 N</t>
  </si>
  <si>
    <t>082:20:44.77 W</t>
  </si>
  <si>
    <t>028:15:45.54 N</t>
  </si>
  <si>
    <t>082:20:42.99 W</t>
  </si>
  <si>
    <t>028:15:44.69 N</t>
  </si>
  <si>
    <t>082:20:41.45 W</t>
  </si>
  <si>
    <t>028:15:43.92 N</t>
  </si>
  <si>
    <t>082:20:39.98 W</t>
  </si>
  <si>
    <t>028:15:42.92 N</t>
  </si>
  <si>
    <t>082:20:38.44 W</t>
  </si>
  <si>
    <t>028:15:41.91 N</t>
  </si>
  <si>
    <t>082:20:36.74 W</t>
  </si>
  <si>
    <t>028:15:40.91 N</t>
  </si>
  <si>
    <t>082:20:35.04 W</t>
  </si>
  <si>
    <t>028:15:39.75 N</t>
  </si>
  <si>
    <t>082:20:32.95 W</t>
  </si>
  <si>
    <t>028:15:38.75 N</t>
  </si>
  <si>
    <t>082:20:31.17 W</t>
  </si>
  <si>
    <t>028:15:37.82 N</t>
  </si>
  <si>
    <t>082:20:29.47 W</t>
  </si>
  <si>
    <t>028:15:36.81 N</t>
  </si>
  <si>
    <t>082:20:27.78 W</t>
  </si>
  <si>
    <t>028:15:35.96 N</t>
  </si>
  <si>
    <t>082:20:26.08 W</t>
  </si>
  <si>
    <t>028:15:35.04 N</t>
  </si>
  <si>
    <t>082:20:23.99 W</t>
  </si>
  <si>
    <t>028:15:34.19 N</t>
  </si>
  <si>
    <t>082:20:22.45 W</t>
  </si>
  <si>
    <t>082:20:20.67 W</t>
  </si>
  <si>
    <t>028:15:32.33 N</t>
  </si>
  <si>
    <t>082:20:19.20 W</t>
  </si>
  <si>
    <t>028:15:31.56 N</t>
  </si>
  <si>
    <t>082:20:17.50 W</t>
  </si>
  <si>
    <t>028:15:30.63 N</t>
  </si>
  <si>
    <t>082:20:15.65 W</t>
  </si>
  <si>
    <t>028:15:29.94 N</t>
  </si>
  <si>
    <t>082:20:14.10 W</t>
  </si>
  <si>
    <t>028:15:28.94 N</t>
  </si>
  <si>
    <t>082:20:12.33 W</t>
  </si>
  <si>
    <t>028:15:28.09 N</t>
  </si>
  <si>
    <t>082:20:10.09 W</t>
  </si>
  <si>
    <t>028:15:27.08 N</t>
  </si>
  <si>
    <t>082:20:08.23 W</t>
  </si>
  <si>
    <t>028:15:26.23 N</t>
  </si>
  <si>
    <t>082:20:06.46 W</t>
  </si>
  <si>
    <t>028:15:25.46 N</t>
  </si>
  <si>
    <t>082:20:04.60 W</t>
  </si>
  <si>
    <t>082:20:02.67 W</t>
  </si>
  <si>
    <t>028:15:23.76 N</t>
  </si>
  <si>
    <t>082:20:00.89 W</t>
  </si>
  <si>
    <t>028:15:22.83 N</t>
  </si>
  <si>
    <t>082:19:59.04 W</t>
  </si>
  <si>
    <t>028:15:22.06 N</t>
  </si>
  <si>
    <t>082:19:57.65 W</t>
  </si>
  <si>
    <t>082:19:55.87 W</t>
  </si>
  <si>
    <t>028:15:20.59 N</t>
  </si>
  <si>
    <t>082:19:54.17 W</t>
  </si>
  <si>
    <t>028:15:19.74 N</t>
  </si>
  <si>
    <t>082:19:52.40 W</t>
  </si>
  <si>
    <t>028:15:18.89 N</t>
  </si>
  <si>
    <t>082:19:50.85 W</t>
  </si>
  <si>
    <t>028:15:18.28 N</t>
  </si>
  <si>
    <t>082:19:49.07 W</t>
  </si>
  <si>
    <t>082:19:47.37 W</t>
  </si>
  <si>
    <t>028:15:16.50 N</t>
  </si>
  <si>
    <t>082:19:45.37 W</t>
  </si>
  <si>
    <t>082:19:43.90 W</t>
  </si>
  <si>
    <t>028:15:15.03 N</t>
  </si>
  <si>
    <t>082:19:41.74 W</t>
  </si>
  <si>
    <t>028:15:14.41 N</t>
  </si>
  <si>
    <t>082:19:39.80 W</t>
  </si>
  <si>
    <t>028:15:13.56 N</t>
  </si>
  <si>
    <t>082:19:37.87 W</t>
  </si>
  <si>
    <t>082:19:36.10 W</t>
  </si>
  <si>
    <t>028:15:12.17 N</t>
  </si>
  <si>
    <t>082:19:34.40 W</t>
  </si>
  <si>
    <t>082:19:32.39 W</t>
  </si>
  <si>
    <t>028:15:10.86 N</t>
  </si>
  <si>
    <t>082:19:30.69 W</t>
  </si>
  <si>
    <t>028:15:10.09 N</t>
  </si>
  <si>
    <t>082:19:28.99 W</t>
  </si>
  <si>
    <t>028:15:09.39 N</t>
  </si>
  <si>
    <t>082:19:26.98 W</t>
  </si>
  <si>
    <t>028:15:08.70 N</t>
  </si>
  <si>
    <t>082:19:24.90 W</t>
  </si>
  <si>
    <t>082:19:23.12 W</t>
  </si>
  <si>
    <t>028:15:07.46 N</t>
  </si>
  <si>
    <t>082:19:21.27 W</t>
  </si>
  <si>
    <t>028:15:07.00 N</t>
  </si>
  <si>
    <t>082:19:19.72 W</t>
  </si>
  <si>
    <t>028:15:06.30 N</t>
  </si>
  <si>
    <t>082:19:17.79 W</t>
  </si>
  <si>
    <t>028:15:05.84 N</t>
  </si>
  <si>
    <t>082:19:16.32 W</t>
  </si>
  <si>
    <t>028:15:05.30 N</t>
  </si>
  <si>
    <t>082:19:14.16 W</t>
  </si>
  <si>
    <t>028:15:04.68 N</t>
  </si>
  <si>
    <t>082:19:12.61 W</t>
  </si>
  <si>
    <t>028:15:04.14 N</t>
  </si>
  <si>
    <t>082:19:10.53 W</t>
  </si>
  <si>
    <t>028:15:03.52 N</t>
  </si>
  <si>
    <t>082:19:08.67 W</t>
  </si>
  <si>
    <t>028:15:02.98 N</t>
  </si>
  <si>
    <t>082:19:06.67 W</t>
  </si>
  <si>
    <t>028:15:02.36 N</t>
  </si>
  <si>
    <t>082:19:04.50 W</t>
  </si>
  <si>
    <t>028:15:01.82 N</t>
  </si>
  <si>
    <t>082:19:02.34 W</t>
  </si>
  <si>
    <t>028:15:01.28 N</t>
  </si>
  <si>
    <t>082:19:00.41 W</t>
  </si>
  <si>
    <t>082:18:58.40 W</t>
  </si>
  <si>
    <t>028:15:00.35 N</t>
  </si>
  <si>
    <t>082:18:56.55 W</t>
  </si>
  <si>
    <t>028:14:59.74 N</t>
  </si>
  <si>
    <t>082:18:54.38 W</t>
  </si>
  <si>
    <t>028:14:59.50 N</t>
  </si>
  <si>
    <t>082:18:52.84 W</t>
  </si>
  <si>
    <t>028:14:58.89 N</t>
  </si>
  <si>
    <t>082:18:50.60 W</t>
  </si>
  <si>
    <t>028:14:58.50 N</t>
  </si>
  <si>
    <t>082:18:48.59 W</t>
  </si>
  <si>
    <t>028:14:57.96 N</t>
  </si>
  <si>
    <t>082:18:46.66 W</t>
  </si>
  <si>
    <t>028:14:57.65 N</t>
  </si>
  <si>
    <t>082:18:44.73 W</t>
  </si>
  <si>
    <t>028:14:57.11 N</t>
  </si>
  <si>
    <t>082:18:42.64 W</t>
  </si>
  <si>
    <t>028:14:56.72 N</t>
  </si>
  <si>
    <t>082:18:40.56 W</t>
  </si>
  <si>
    <t>082:18:38.62 W</t>
  </si>
  <si>
    <t>028:14:55.95 N</t>
  </si>
  <si>
    <t>082:18:36.77 W</t>
  </si>
  <si>
    <t>RS - LP 1090 Single Chl Radio</t>
  </si>
  <si>
    <t>028:14:55.80 N</t>
  </si>
  <si>
    <t>082:18:34.84 W</t>
  </si>
  <si>
    <t>028:14:55.26 N</t>
  </si>
  <si>
    <t>082:18:32.68 W</t>
  </si>
  <si>
    <t>028:14:54.95 N</t>
  </si>
  <si>
    <t>082:18:30.59 W</t>
  </si>
  <si>
    <t>028:14:54.64 N</t>
  </si>
  <si>
    <t>082:18:28.20 W</t>
  </si>
  <si>
    <t>028:14:54.25 N</t>
  </si>
  <si>
    <t>082:18:26.50 W</t>
  </si>
  <si>
    <t>028:14:53.94 N</t>
  </si>
  <si>
    <t>082:18:24.41 W</t>
  </si>
  <si>
    <t>028:14:53.63 N</t>
  </si>
  <si>
    <t>082:18:22.40 W</t>
  </si>
  <si>
    <t>028:14:53.48 N</t>
  </si>
  <si>
    <t>082:18:20.55 W</t>
  </si>
  <si>
    <t>028:14:53.09 N</t>
  </si>
  <si>
    <t>082:18:18.54 W</t>
  </si>
  <si>
    <t>028:14:52.94 N</t>
  </si>
  <si>
    <t>082:18:16.76 W</t>
  </si>
  <si>
    <t>028:14:52.63 N</t>
  </si>
  <si>
    <t>082:18:14.29 W</t>
  </si>
  <si>
    <t>028:14:52.40 N</t>
  </si>
  <si>
    <t>082:18:12.51 W</t>
  </si>
  <si>
    <t>028:14:52.24 N</t>
  </si>
  <si>
    <t>082:18:10.43 W</t>
  </si>
  <si>
    <t>082:18:08.42 W</t>
  </si>
  <si>
    <t>028:14:51.93 N</t>
  </si>
  <si>
    <t>082:18:06.33 W</t>
  </si>
  <si>
    <t>028:14:51.62 N</t>
  </si>
  <si>
    <t>082:18:04.25 W</t>
  </si>
  <si>
    <t>082:18:02.09 W</t>
  </si>
  <si>
    <t>028:14:51.39 N</t>
  </si>
  <si>
    <t>082:18:00.16 W</t>
  </si>
  <si>
    <t>028:14:51.24 N</t>
  </si>
  <si>
    <t>082:17:57.84 W</t>
  </si>
  <si>
    <t>028:14:51.08 N</t>
  </si>
  <si>
    <t>082:17:55.67 W</t>
  </si>
  <si>
    <t>028:14:50.93 N</t>
  </si>
  <si>
    <t>082:17:53.51 W</t>
  </si>
  <si>
    <t>082:17:51.58 W</t>
  </si>
  <si>
    <t>028:14:50.85 N</t>
  </si>
  <si>
    <t>082:17:49.80 W</t>
  </si>
  <si>
    <t>082:17:47.33 W</t>
  </si>
  <si>
    <t>028:14:50.62 N</t>
  </si>
  <si>
    <t>082:17:45.01 W</t>
  </si>
  <si>
    <t>028:14:50.39 N</t>
  </si>
  <si>
    <t>082:17:43.08 W</t>
  </si>
  <si>
    <t>082:17:41.31 W</t>
  </si>
  <si>
    <t>028:14:50.16 N</t>
  </si>
  <si>
    <t>082:17:39.30 W</t>
  </si>
  <si>
    <t>028:14:50.08 N</t>
  </si>
  <si>
    <t>082:17:36.90 W</t>
  </si>
  <si>
    <t>028:14:50.00 N</t>
  </si>
  <si>
    <t>082:17:34.97 W</t>
  </si>
  <si>
    <t>028:14:49.93 N</t>
  </si>
  <si>
    <t>082:17:32.81 W</t>
  </si>
  <si>
    <t>028:14:49.69 N</t>
  </si>
  <si>
    <t>082:17:30.34 W</t>
  </si>
  <si>
    <t>028:14:49.54 N</t>
  </si>
  <si>
    <t>082:17:28.10 W</t>
  </si>
  <si>
    <t>082:17:26.01 W</t>
  </si>
  <si>
    <t>028:14:49.23 N</t>
  </si>
  <si>
    <t>082:17:23.69 W</t>
  </si>
  <si>
    <t>082:17:21.38 W</t>
  </si>
  <si>
    <t>028:14:49.08 N</t>
  </si>
  <si>
    <t>082:17:18.83 W</t>
  </si>
  <si>
    <t>028:14:48.92 N</t>
  </si>
  <si>
    <t>082:17:15.97 W</t>
  </si>
  <si>
    <t>028:14:48.69 N</t>
  </si>
  <si>
    <t>082:17:13.42 W</t>
  </si>
  <si>
    <t>028:14:48.61 N</t>
  </si>
  <si>
    <t>082:17:10.72 W</t>
  </si>
  <si>
    <t>028:14:48.38 N</t>
  </si>
  <si>
    <t>082:17:08.17 W</t>
  </si>
  <si>
    <t>082:17:05.85 W</t>
  </si>
  <si>
    <t>082:17:03.53 W</t>
  </si>
  <si>
    <t>028:14:48.23 N</t>
  </si>
  <si>
    <t>082:17:01.06 W</t>
  </si>
  <si>
    <t>028:14:48.07 N</t>
  </si>
  <si>
    <t>082:16:58.13 W</t>
  </si>
  <si>
    <t>082:16:55.81 W</t>
  </si>
  <si>
    <t>082:16:53.26 W</t>
  </si>
  <si>
    <t>028:14:47.84 N</t>
  </si>
  <si>
    <t>082:16:50.48 W</t>
  </si>
  <si>
    <t>082:16:48.24 W</t>
  </si>
  <si>
    <t>082:16:45.30 W</t>
  </si>
  <si>
    <t>028:14:47.76 N</t>
  </si>
  <si>
    <t>082:16:43.14 W</t>
  </si>
  <si>
    <t>082:16:40.59 W</t>
  </si>
  <si>
    <t>082:16:37.96 W</t>
  </si>
  <si>
    <t>082:16:35.41 W</t>
  </si>
  <si>
    <t>082:16:32.56 W</t>
  </si>
  <si>
    <t>082:16:30.39 W</t>
  </si>
  <si>
    <t>082:16:27.69 W</t>
  </si>
  <si>
    <t>082:16:24.99 W</t>
  </si>
  <si>
    <t>082:16:22.13 W</t>
  </si>
  <si>
    <t>028:14:47.99 N</t>
  </si>
  <si>
    <t>082:16:19.81 W</t>
  </si>
  <si>
    <t>082:16:17.03 W</t>
  </si>
  <si>
    <t>082:16:13.86 W</t>
  </si>
  <si>
    <t>082:16:11.39 W</t>
  </si>
  <si>
    <t>028:14:48.84 N</t>
  </si>
  <si>
    <t>082:16:09.00 W</t>
  </si>
  <si>
    <t>028:14:49.31 N</t>
  </si>
  <si>
    <t>082:16:06.29 W</t>
  </si>
  <si>
    <t>082:16:03.67 W</t>
  </si>
  <si>
    <t>082:16:01.35 W</t>
  </si>
  <si>
    <t>082:15:59.34 W</t>
  </si>
  <si>
    <t>028:14:52.32 N</t>
  </si>
  <si>
    <t>082:15:57.41 W</t>
  </si>
  <si>
    <t>028:14:53.32 N</t>
  </si>
  <si>
    <t>082:15:55.09 W</t>
  </si>
  <si>
    <t>028:14:54.79 N</t>
  </si>
  <si>
    <t>082:15:52.93 W</t>
  </si>
  <si>
    <t>028:14:56.11 N</t>
  </si>
  <si>
    <t>082:15:51.00 W</t>
  </si>
  <si>
    <t>028:14:57.73 N</t>
  </si>
  <si>
    <t>082:15:48.99 W</t>
  </si>
  <si>
    <t>082:15:47.29 W</t>
  </si>
  <si>
    <t>028:15:00.97 N</t>
  </si>
  <si>
    <t>082:15:45.74 W</t>
  </si>
  <si>
    <t>028:15:02.83 N</t>
  </si>
  <si>
    <t>082:15:44.43 W</t>
  </si>
  <si>
    <t>028:15:04.83 N</t>
  </si>
  <si>
    <t>082:15:42.96 W</t>
  </si>
  <si>
    <t>028:15:06.84 N</t>
  </si>
  <si>
    <t>082:15:41.73 W</t>
  </si>
  <si>
    <t>028:15:09.08 N</t>
  </si>
  <si>
    <t>082:15:40.65 W</t>
  </si>
  <si>
    <t>028:15:11.55 N</t>
  </si>
  <si>
    <t>082:15:39.56 W</t>
  </si>
  <si>
    <t>028:15:13.41 N</t>
  </si>
  <si>
    <t>082:15:38.79 W</t>
  </si>
  <si>
    <t>082:15:38.02 W</t>
  </si>
  <si>
    <t>082:15:37.48 W</t>
  </si>
  <si>
    <t>028:15:21.06 N</t>
  </si>
  <si>
    <t>082:15:36.86 W</t>
  </si>
  <si>
    <t>028:15:23.45 N</t>
  </si>
  <si>
    <t>082:15:36.71 W</t>
  </si>
  <si>
    <t>028:15:26.15 N</t>
  </si>
  <si>
    <t>082:15:36.47 W</t>
  </si>
  <si>
    <t>028:15:28.70 N</t>
  </si>
  <si>
    <t>028:15:31.02 N</t>
  </si>
  <si>
    <t>082:15:36.63 W</t>
  </si>
  <si>
    <t>028:15:32.87 N</t>
  </si>
  <si>
    <t>028:15:35.19 N</t>
  </si>
  <si>
    <t>082:15:37.02 W</t>
  </si>
  <si>
    <t>028:15:37.20 N</t>
  </si>
  <si>
    <t>028:15:39.60 N</t>
  </si>
  <si>
    <t>028:15:41.68 N</t>
  </si>
  <si>
    <t>082:15:38.41 W</t>
  </si>
  <si>
    <t>028:15:44.08 N</t>
  </si>
  <si>
    <t>082:15:39.18 W</t>
  </si>
  <si>
    <t>028:15:46.24 N</t>
  </si>
  <si>
    <t>082:15:39.95 W</t>
  </si>
  <si>
    <t>028:15:48.25 N</t>
  </si>
  <si>
    <t>082:15:40.72 W</t>
  </si>
  <si>
    <t>028:15:50.02 N</t>
  </si>
  <si>
    <t>082:15:41.42 W</t>
  </si>
  <si>
    <t>028:15:51.96 N</t>
  </si>
  <si>
    <t>082:15:42.35 W</t>
  </si>
  <si>
    <t>028:15:53.96 N</t>
  </si>
  <si>
    <t>082:15:43.35 W</t>
  </si>
  <si>
    <t>082:15:44.28 W</t>
  </si>
  <si>
    <t>028:15:57.75 N</t>
  </si>
  <si>
    <t>082:15:45.44 W</t>
  </si>
  <si>
    <t>028:15:59.68 N</t>
  </si>
  <si>
    <t>082:15:46.52 W</t>
  </si>
  <si>
    <t>028:16:01.53 N</t>
  </si>
  <si>
    <t>082:15:47.68 W</t>
  </si>
  <si>
    <t>082:15:48.91 W</t>
  </si>
  <si>
    <t>028:16:05.16 N</t>
  </si>
  <si>
    <t>082:15:50.38 W</t>
  </si>
  <si>
    <t>028:16:06.94 N</t>
  </si>
  <si>
    <t>082:15:51.69 W</t>
  </si>
  <si>
    <t>028:16:08.87 N</t>
  </si>
  <si>
    <t>082:15:53.31 W</t>
  </si>
  <si>
    <t>028:16:10.49 N</t>
  </si>
  <si>
    <t>028:16:12.04 N</t>
  </si>
  <si>
    <t>082:15:57.18 W</t>
  </si>
  <si>
    <t>028:16:13.20 N</t>
  </si>
  <si>
    <t>082:15:58.95 W</t>
  </si>
  <si>
    <t>082:16:03.59 W</t>
  </si>
  <si>
    <t>028:16:16.37 N</t>
  </si>
  <si>
    <t>028:16:16.67 N</t>
  </si>
  <si>
    <t>082:16:08.46 W</t>
  </si>
  <si>
    <t>028:16:17.22 N</t>
  </si>
  <si>
    <t>082:16:11.24 W</t>
  </si>
  <si>
    <t>028:16:17.37 N</t>
  </si>
  <si>
    <t>082:16:13.71 W</t>
  </si>
  <si>
    <t>028:16:17.68 N</t>
  </si>
  <si>
    <t>082:16:16.18 W</t>
  </si>
  <si>
    <t>082:16:19.04 W</t>
  </si>
  <si>
    <t>028:16:17.83 N</t>
  </si>
  <si>
    <t>082:16:21.90 W</t>
  </si>
  <si>
    <t>082:16:24.37 W</t>
  </si>
  <si>
    <t>082:16:26.84 W</t>
  </si>
  <si>
    <t>082:16:29.70 W</t>
  </si>
  <si>
    <t>082:16:32.02 W</t>
  </si>
  <si>
    <t>028:16:17.60 N</t>
  </si>
  <si>
    <t>082:16:35.03 W</t>
  </si>
  <si>
    <t>082:16:38.12 W</t>
  </si>
  <si>
    <t>082:16:40.90 W</t>
  </si>
  <si>
    <t>028:16:16.98 N</t>
  </si>
  <si>
    <t>082:16:43.76 W</t>
  </si>
  <si>
    <t>028:16:16.75 N</t>
  </si>
  <si>
    <t>082:16:46.69 W</t>
  </si>
  <si>
    <t>082:16:49.55 W</t>
  </si>
  <si>
    <t>028:16:16.06 N</t>
  </si>
  <si>
    <t>082:16:52.25 W</t>
  </si>
  <si>
    <t>028:16:15.75 N</t>
  </si>
  <si>
    <t>082:16:55.19 W</t>
  </si>
  <si>
    <t>028:16:15.21 N</t>
  </si>
  <si>
    <t>082:16:57.51 W</t>
  </si>
  <si>
    <t>028:16:14.90 N</t>
  </si>
  <si>
    <t>082:16:59.98 W</t>
  </si>
  <si>
    <t>028:16:14.36 N</t>
  </si>
  <si>
    <t>082:17:02.37 W</t>
  </si>
  <si>
    <t>028:16:13.89 N</t>
  </si>
  <si>
    <t>082:17:04.69 W</t>
  </si>
  <si>
    <t>082:17:07.16 W</t>
  </si>
  <si>
    <t>028:16:12.73 N</t>
  </si>
  <si>
    <t>082:17:09.56 W</t>
  </si>
  <si>
    <t>082:17:12.26 W</t>
  </si>
  <si>
    <t>028:16:11.19 N</t>
  </si>
  <si>
    <t>082:17:14.73 W</t>
  </si>
  <si>
    <t>082:17:17.28 W</t>
  </si>
  <si>
    <t>028:16:09.72 N</t>
  </si>
  <si>
    <t>082:17:19.83 W</t>
  </si>
  <si>
    <t>028:16:08.80 N</t>
  </si>
  <si>
    <t>082:17:22.61 W</t>
  </si>
  <si>
    <t>028:16:07.87 N</t>
  </si>
  <si>
    <t>082:17:25.47 W</t>
  </si>
  <si>
    <t>028:16:06.86 N</t>
  </si>
  <si>
    <t>082:17:27.94 W</t>
  </si>
  <si>
    <t>028:16:05.71 N</t>
  </si>
  <si>
    <t>082:17:30.88 W</t>
  </si>
  <si>
    <t>028:16:04.86 N</t>
  </si>
  <si>
    <t>028:16:03.70 N</t>
  </si>
  <si>
    <t>082:17:35.28 W</t>
  </si>
  <si>
    <t>028:16:02.38 N</t>
  </si>
  <si>
    <t>082:17:37.75 W</t>
  </si>
  <si>
    <t>028:16:01.22 N</t>
  </si>
  <si>
    <t>082:17:40.07 W</t>
  </si>
  <si>
    <t>028:15:58.52 N</t>
  </si>
  <si>
    <t>082:17:44.63 W</t>
  </si>
  <si>
    <t>028:15:57.44 N</t>
  </si>
  <si>
    <t>082:17:46.95 W</t>
  </si>
  <si>
    <t>028:15:56.13 N</t>
  </si>
  <si>
    <t>082:17:48.88 W</t>
  </si>
  <si>
    <t>028:15:54.74 N</t>
  </si>
  <si>
    <t>082:17:51.50 W</t>
  </si>
  <si>
    <t>028:15:53.42 N</t>
  </si>
  <si>
    <t>082:17:53.36 W</t>
  </si>
  <si>
    <t>028:15:52.26 N</t>
  </si>
  <si>
    <t>082:17:55.44 W</t>
  </si>
  <si>
    <t>028:15:50.95 N</t>
  </si>
  <si>
    <t>082:17:57.53 W</t>
  </si>
  <si>
    <t>028:15:49.48 N</t>
  </si>
  <si>
    <t>082:17:59.85 W</t>
  </si>
  <si>
    <t>082:18:01.70 W</t>
  </si>
  <si>
    <t>082:18:04.02 W</t>
  </si>
  <si>
    <t>082:18:06.10 W</t>
  </si>
  <si>
    <t>028:15:43.54 N</t>
  </si>
  <si>
    <t>082:18:08.50 W</t>
  </si>
  <si>
    <t>028:15:42.07 N</t>
  </si>
  <si>
    <t>082:18:10.51 W</t>
  </si>
  <si>
    <t>028:15:40.37 N</t>
  </si>
  <si>
    <t>082:18:13.13 W</t>
  </si>
  <si>
    <t>028:15:38.82 N</t>
  </si>
  <si>
    <t>082:18:15.06 W</t>
  </si>
  <si>
    <t>028:15:37.43 N</t>
  </si>
  <si>
    <t>082:18:17.00 W</t>
  </si>
  <si>
    <t>082:18:18.85 W</t>
  </si>
  <si>
    <t>082:18:20.78 W</t>
  </si>
  <si>
    <t>028:15:32.95 N</t>
  </si>
  <si>
    <t>082:18:22.79 W</t>
  </si>
  <si>
    <t>028:15:31.18 N</t>
  </si>
  <si>
    <t>082:18:25.11 W</t>
  </si>
  <si>
    <t>028:15:29.86 N</t>
  </si>
  <si>
    <t>082:18:26.88 W</t>
  </si>
  <si>
    <t>028:15:28.16 N</t>
  </si>
  <si>
    <t>082:18:29.20 W</t>
  </si>
  <si>
    <t>028:15:26.77 N</t>
  </si>
  <si>
    <t>082:18:31.05 W</t>
  </si>
  <si>
    <t>028:15:24.76 N</t>
  </si>
  <si>
    <t>082:18:33.29 W</t>
  </si>
  <si>
    <t>028:15:23.61 N</t>
  </si>
  <si>
    <t>082:18:36.62 W</t>
  </si>
  <si>
    <t>028:15:20.67 N</t>
  </si>
  <si>
    <t>082:18:38.47 W</t>
  </si>
  <si>
    <t>028:15:19.20 N</t>
  </si>
  <si>
    <t>082:18:40.32 W</t>
  </si>
  <si>
    <t>028:15:17.73 N</t>
  </si>
  <si>
    <t>082:18:42.18 W</t>
  </si>
  <si>
    <t>028:15:16.03 N</t>
  </si>
  <si>
    <t>082:18:44.50 W</t>
  </si>
  <si>
    <t>028:15:14.72 N</t>
  </si>
  <si>
    <t>082:18:46.27 W</t>
  </si>
  <si>
    <t>082:18:48.20 W</t>
  </si>
  <si>
    <t>028:15:11.94 N</t>
  </si>
  <si>
    <t>082:18:50.21 W</t>
  </si>
  <si>
    <t>028:15:10.63 N</t>
  </si>
  <si>
    <t>082:18:52.53 W</t>
  </si>
  <si>
    <t>028:15:09.01 N</t>
  </si>
  <si>
    <t>082:18:55.00 W</t>
  </si>
  <si>
    <t>028:15:07.77 N</t>
  </si>
  <si>
    <t>082:18:56.85 W</t>
  </si>
  <si>
    <t>082:18:59.56 W</t>
  </si>
  <si>
    <t>028:15:04.99 N</t>
  </si>
  <si>
    <t>082:19:02.03 W</t>
  </si>
  <si>
    <t>028:15:03.83 N</t>
  </si>
  <si>
    <t>082:19:04.35 W</t>
  </si>
  <si>
    <t>028:15:02.67 N</t>
  </si>
  <si>
    <t>028:15:01.51 N</t>
  </si>
  <si>
    <t>082:19:09.45 W</t>
  </si>
  <si>
    <t>082:19:11.92 W</t>
  </si>
  <si>
    <t>028:14:59.04 N</t>
  </si>
  <si>
    <t>082:19:14.93 W</t>
  </si>
  <si>
    <t>028:14:58.27 N</t>
  </si>
  <si>
    <t>082:19:17.25 W</t>
  </si>
  <si>
    <t>082:19:20.03 W</t>
  </si>
  <si>
    <t>028:14:56.26 N</t>
  </si>
  <si>
    <t>082:19:22.35 W</t>
  </si>
  <si>
    <t>082:19:24.66 W</t>
  </si>
  <si>
    <t>028:14:54.41 N</t>
  </si>
  <si>
    <t>082:19:29.76 W</t>
  </si>
  <si>
    <t>028:14:52.47 N</t>
  </si>
  <si>
    <t>082:19:32.62 W</t>
  </si>
  <si>
    <t>028:14:51.47 N</t>
  </si>
  <si>
    <t>082:19:35.48 W</t>
  </si>
  <si>
    <t>028:14:49.85 N</t>
  </si>
  <si>
    <t>082:19:40.27 W</t>
  </si>
  <si>
    <t>082:19:43.05 W</t>
  </si>
  <si>
    <t>082:19:46.29 W</t>
  </si>
  <si>
    <t>028:14:47.22 N</t>
  </si>
  <si>
    <t>082:19:48.77 W</t>
  </si>
  <si>
    <t>028:14:46.22 N</t>
  </si>
  <si>
    <t>082:19:51.62 W</t>
  </si>
  <si>
    <t>028:14:45.37 N</t>
  </si>
  <si>
    <t>082:19:54.33 W</t>
  </si>
  <si>
    <t>028:14:44.75 N</t>
  </si>
  <si>
    <t>082:19:57.03 W</t>
  </si>
  <si>
    <t>082:19:59.58 W</t>
  </si>
  <si>
    <t>028:14:43.28 N</t>
  </si>
  <si>
    <t>082:20:02.28 W</t>
  </si>
  <si>
    <t>082:20:05.14 W</t>
  </si>
  <si>
    <t>028:14:41.74 N</t>
  </si>
  <si>
    <t>082:20:07.92 W</t>
  </si>
  <si>
    <t>082:20:10.32 W</t>
  </si>
  <si>
    <t>028:14:40.50 N</t>
  </si>
  <si>
    <t>082:20:12.94 W</t>
  </si>
  <si>
    <t>028:14:39.96 N</t>
  </si>
  <si>
    <t>082:20:15.42 W</t>
  </si>
  <si>
    <t>028:14:39.27 N</t>
  </si>
  <si>
    <t>082:20:18.12 W</t>
  </si>
  <si>
    <t>028:14:38.72 N</t>
  </si>
  <si>
    <t>082:20:23.45 W</t>
  </si>
  <si>
    <t>028:14:37.33 N</t>
  </si>
  <si>
    <t>082:20:25.69 W</t>
  </si>
  <si>
    <t>028:14:36.33 N</t>
  </si>
  <si>
    <t>082:20:29.86 W</t>
  </si>
  <si>
    <t>028:14:35.71 N</t>
  </si>
  <si>
    <t>082:20:32.87 W</t>
  </si>
  <si>
    <t>028:14:35.17 N</t>
  </si>
  <si>
    <t>082:20:34.88 W</t>
  </si>
  <si>
    <t>028:14:34.48 N</t>
  </si>
  <si>
    <t>082:20:37.59 W</t>
  </si>
  <si>
    <t>028:14:33.70 N</t>
  </si>
  <si>
    <t>082:20:40.37 W</t>
  </si>
  <si>
    <t>028:14:33.01 N</t>
  </si>
  <si>
    <t>082:20:43.22 W</t>
  </si>
  <si>
    <t>028:14:32.31 N</t>
  </si>
  <si>
    <t>082:20:45.70 W</t>
  </si>
  <si>
    <t>028:14:31.54 N</t>
  </si>
  <si>
    <t>082:20:48.48 W</t>
  </si>
  <si>
    <t>028:14:30.54 N</t>
  </si>
  <si>
    <t>082:20:51.57 W</t>
  </si>
  <si>
    <t>028:14:29.92 N</t>
  </si>
  <si>
    <t>082:20:54.04 W</t>
  </si>
  <si>
    <t>028:14:29.22 N</t>
  </si>
  <si>
    <t>082:20:56.67 W</t>
  </si>
  <si>
    <t>028:14:28.30 N</t>
  </si>
  <si>
    <t>082:20:59.45 W</t>
  </si>
  <si>
    <t>028:14:27.45 N</t>
  </si>
  <si>
    <t>082:21:02.15 W</t>
  </si>
  <si>
    <t>028:14:26.75 N</t>
  </si>
  <si>
    <t>082:21:04.70 W</t>
  </si>
  <si>
    <t>028:14:25.98 N</t>
  </si>
  <si>
    <t>082:21:07.40 W</t>
  </si>
  <si>
    <t>028:14:25.13 N</t>
  </si>
  <si>
    <t>082:21:09.72 W</t>
  </si>
  <si>
    <t>028:14:24.43 N</t>
  </si>
  <si>
    <t>082:21:11.88 W</t>
  </si>
  <si>
    <t>028:14:23.74 N</t>
  </si>
  <si>
    <t>082:21:14.05 W</t>
  </si>
  <si>
    <t>028:14:22.97 N</t>
  </si>
  <si>
    <t>082:21:16.83 W</t>
  </si>
  <si>
    <t>028:14:22.12 N</t>
  </si>
  <si>
    <t>082:21:19.15 W</t>
  </si>
  <si>
    <t>028:14:21.34 N</t>
  </si>
  <si>
    <t>082:21:21.77 W</t>
  </si>
  <si>
    <t>028:14:20.57 N</t>
  </si>
  <si>
    <t>082:21:23.93 W</t>
  </si>
  <si>
    <t>028:14:19.64 N</t>
  </si>
  <si>
    <t>082:21:26.17 W</t>
  </si>
  <si>
    <t>028:14:18.95 N</t>
  </si>
  <si>
    <t>082:21:28.57 W</t>
  </si>
  <si>
    <t>028:14:18.18 N</t>
  </si>
  <si>
    <t>082:21:30.35 W</t>
  </si>
  <si>
    <t>082:21:32.66 W</t>
  </si>
  <si>
    <t>028:14:16.71 N</t>
  </si>
  <si>
    <t>028:14:15.86 N</t>
  </si>
  <si>
    <t>082:21:36.45 W</t>
  </si>
  <si>
    <t>028:14:15.24 N</t>
  </si>
  <si>
    <t>082:21:38.69 W</t>
  </si>
  <si>
    <t>028:14:14.55 N</t>
  </si>
  <si>
    <t>082:21:40.39 W</t>
  </si>
  <si>
    <t>028:14:13.70 N</t>
  </si>
  <si>
    <t>028:14:12.85 N</t>
  </si>
  <si>
    <t>082:21:44.64 W</t>
  </si>
  <si>
    <t>028:14:12.07 N</t>
  </si>
  <si>
    <t>082:21:46.57 W</t>
  </si>
  <si>
    <t>028:14:11.46 N</t>
  </si>
  <si>
    <t>082:21:48.19 W</t>
  </si>
  <si>
    <t>028:14:10.68 N</t>
  </si>
  <si>
    <t>082:21:50.04 W</t>
  </si>
  <si>
    <t>028:14:10.07 N</t>
  </si>
  <si>
    <t>082:21:51.82 W</t>
  </si>
  <si>
    <t>028:14:09.22 N</t>
  </si>
  <si>
    <t>082:21:53.98 W</t>
  </si>
  <si>
    <t>028:14:07.67 N</t>
  </si>
  <si>
    <t>082:21:57.69 W</t>
  </si>
  <si>
    <t>028:14:06.67 N</t>
  </si>
  <si>
    <t>028:14:06.20 N</t>
  </si>
  <si>
    <t>082:22:01.09 W</t>
  </si>
  <si>
    <t>028:14:05.35 N</t>
  </si>
  <si>
    <t>082:22:02.87 W</t>
  </si>
  <si>
    <t>028:14:04.66 N</t>
  </si>
  <si>
    <t>082:22:04.64 W</t>
  </si>
  <si>
    <t>028:14:03.04 N</t>
  </si>
  <si>
    <t>082:22:08.58 W</t>
  </si>
  <si>
    <t>028:14:02.19 N</t>
  </si>
  <si>
    <t>082:22:10.67 W</t>
  </si>
  <si>
    <t>028:14:01.18 N</t>
  </si>
  <si>
    <t>082:22:12.75 W</t>
  </si>
  <si>
    <t>028:14:00.41 N</t>
  </si>
  <si>
    <t>082:22:16.23 W</t>
  </si>
  <si>
    <t>028:13:58.56 N</t>
  </si>
  <si>
    <t>082:22:18.24 W</t>
  </si>
  <si>
    <t>028:13:57.78 N</t>
  </si>
  <si>
    <t>082:22:20.17 W</t>
  </si>
  <si>
    <t>028:13:56.78 N</t>
  </si>
  <si>
    <t>082:22:22.02 W</t>
  </si>
  <si>
    <t>028:13:56.08 N</t>
  </si>
  <si>
    <t>082:22:23.57 W</t>
  </si>
  <si>
    <t>028:13:55.08 N</t>
  </si>
  <si>
    <t>082:22:25.73 W</t>
  </si>
  <si>
    <t>028:13:54.15 N</t>
  </si>
  <si>
    <t>082:22:27.74 W</t>
  </si>
  <si>
    <t>028:13:53.30 N</t>
  </si>
  <si>
    <t>082:22:29.67 W</t>
  </si>
  <si>
    <t>028:13:52.30 N</t>
  </si>
  <si>
    <t>082:22:31.53 W</t>
  </si>
  <si>
    <t>028:13:51.53 N</t>
  </si>
  <si>
    <t>082:22:33.30 W</t>
  </si>
  <si>
    <t>028:13:50.52 N</t>
  </si>
  <si>
    <t>082:22:35.16 W</t>
  </si>
  <si>
    <t>028:13:49.75 N</t>
  </si>
  <si>
    <t>082:22:37.01 W</t>
  </si>
  <si>
    <t>028:13:48.67 N</t>
  </si>
  <si>
    <t>028:13:47.90 N</t>
  </si>
  <si>
    <t>082:22:40.87 W</t>
  </si>
  <si>
    <t>028:13:46.89 N</t>
  </si>
  <si>
    <t>082:22:43.04 W</t>
  </si>
  <si>
    <t>028:13:46.27 N</t>
  </si>
  <si>
    <t>082:22:44.74 W</t>
  </si>
  <si>
    <t>028:13:45.19 N</t>
  </si>
  <si>
    <t>082:22:46.90 W</t>
  </si>
  <si>
    <t>028:13:44.42 N</t>
  </si>
  <si>
    <t>028:13:43.57 N</t>
  </si>
  <si>
    <t>082:22:50.99 W</t>
  </si>
  <si>
    <t>028:13:42.72 N</t>
  </si>
  <si>
    <t>028:13:41.64 N</t>
  </si>
  <si>
    <t>028:13:40.71 N</t>
  </si>
  <si>
    <t>028:13:39.78 N</t>
  </si>
  <si>
    <t>028:13:38.70 N</t>
  </si>
  <si>
    <t>082:23:01.65 W</t>
  </si>
  <si>
    <t>028:13:37.54 N</t>
  </si>
  <si>
    <t>082:23:03.35 W</t>
  </si>
  <si>
    <t>028:13:36.54 N</t>
  </si>
  <si>
    <t>082:23:05.28 W</t>
  </si>
  <si>
    <t>028:13:35.30 N</t>
  </si>
  <si>
    <t>082:23:07.06 W</t>
  </si>
  <si>
    <t>028:13:34.15 N</t>
  </si>
  <si>
    <t>082:23:08.76 W</t>
  </si>
  <si>
    <t>028:13:32.99 N</t>
  </si>
  <si>
    <t>082:23:10.54 W</t>
  </si>
  <si>
    <t>028:13:31.91 N</t>
  </si>
  <si>
    <t>082:23:12.24 W</t>
  </si>
  <si>
    <t>028:13:30.59 N</t>
  </si>
  <si>
    <t>082:23:13.94 W</t>
  </si>
  <si>
    <t>028:13:29.12 N</t>
  </si>
  <si>
    <t>082:23:15.87 W</t>
  </si>
  <si>
    <t>028:13:27.81 N</t>
  </si>
  <si>
    <t>082:23:17.33 W</t>
  </si>
  <si>
    <t>028:13:26.65 N</t>
  </si>
  <si>
    <t>082:23:18.88 W</t>
  </si>
  <si>
    <t>028:13:25.42 N</t>
  </si>
  <si>
    <t>082:23:20.19 W</t>
  </si>
  <si>
    <t>028:13:23.79 N</t>
  </si>
  <si>
    <t>082:23:21.97 W</t>
  </si>
  <si>
    <t>028:13:22.33 N</t>
  </si>
  <si>
    <t>082:23:23.51 W</t>
  </si>
  <si>
    <t>028:13:20.94 N</t>
  </si>
  <si>
    <t>082:23:24.67 W</t>
  </si>
  <si>
    <t>028:13:19.24 N</t>
  </si>
  <si>
    <t>082:23:26.29 W</t>
  </si>
  <si>
    <t>028:13:17.38 N</t>
  </si>
  <si>
    <t>082:23:27.76 W</t>
  </si>
  <si>
    <t>028:13:15.76 N</t>
  </si>
  <si>
    <t>082:23:28.92 W</t>
  </si>
  <si>
    <t>028:13:14.06 N</t>
  </si>
  <si>
    <t>082:23:30.08 W</t>
  </si>
  <si>
    <t>028:13:12.36 N</t>
  </si>
  <si>
    <t>082:23:31.08 W</t>
  </si>
  <si>
    <t>028:13:10.51 N</t>
  </si>
  <si>
    <t>082:23:32.09 W</t>
  </si>
  <si>
    <t>028:13:08.96 N</t>
  </si>
  <si>
    <t>082:23:33.02 W</t>
  </si>
  <si>
    <t>028:13:07.03 N</t>
  </si>
  <si>
    <t>082:23:33.71 W</t>
  </si>
  <si>
    <t>028:13:05.02 N</t>
  </si>
  <si>
    <t>082:23:34.33 W</t>
  </si>
  <si>
    <t>028:13:02.86 N</t>
  </si>
  <si>
    <t>082:23:34.87 W</t>
  </si>
  <si>
    <t>028:13:00.62 N</t>
  </si>
  <si>
    <t>082:23:34.95 W</t>
  </si>
  <si>
    <t>028:12:58.84 N</t>
  </si>
  <si>
    <t>082:23:35.18 W</t>
  </si>
  <si>
    <t>028:12:56.83 N</t>
  </si>
  <si>
    <t>028:12:54.75 N</t>
  </si>
  <si>
    <t>082:23:34.79 W</t>
  </si>
  <si>
    <t>028:12:52.66 N</t>
  </si>
  <si>
    <t>028:12:50.73 N</t>
  </si>
  <si>
    <t>082:23:33.79 W</t>
  </si>
  <si>
    <t>028:12:48.72 N</t>
  </si>
  <si>
    <t>082:23:33.25 W</t>
  </si>
  <si>
    <t>028:12:47.10 N</t>
  </si>
  <si>
    <t>082:23:32.40 W</t>
  </si>
  <si>
    <t>028:12:45.25 N</t>
  </si>
  <si>
    <t>082:23:31.47 W</t>
  </si>
  <si>
    <t>028:12:43.55 N</t>
  </si>
  <si>
    <t>082:23:30.47 W</t>
  </si>
  <si>
    <t>028:12:42.08 N</t>
  </si>
  <si>
    <t>082:23:29.31 W</t>
  </si>
  <si>
    <t>028:12:40.54 N</t>
  </si>
  <si>
    <t>082:23:28.15 W</t>
  </si>
  <si>
    <t>028:12:38.84 N</t>
  </si>
  <si>
    <t>082:23:26.91 W</t>
  </si>
  <si>
    <t>028:12:37.21 N</t>
  </si>
  <si>
    <t>082:23:25.75 W</t>
  </si>
  <si>
    <t>028:12:35.51 N</t>
  </si>
  <si>
    <t>082:23:24.29 W</t>
  </si>
  <si>
    <t>028:12:34.05 N</t>
  </si>
  <si>
    <t>082:23:23.13 W</t>
  </si>
  <si>
    <t>028:12:32.50 N</t>
  </si>
  <si>
    <t>028:12:30.88 N</t>
  </si>
  <si>
    <t>082:23:20.42 W</t>
  </si>
  <si>
    <t>028:12:29.41 N</t>
  </si>
  <si>
    <t>082:23:19.11 W</t>
  </si>
  <si>
    <t>028:12:27.94 N</t>
  </si>
  <si>
    <t>082:23:17.95 W</t>
  </si>
  <si>
    <t>028:12:26.48 N</t>
  </si>
  <si>
    <t>082:23:16.33 W</t>
  </si>
  <si>
    <t>028:12:25.16 N</t>
  </si>
  <si>
    <t>082:23:15.33 W</t>
  </si>
  <si>
    <t>028:12:23.77 N</t>
  </si>
  <si>
    <t>082:23:14.01 W</t>
  </si>
  <si>
    <t>028:12:22.38 N</t>
  </si>
  <si>
    <t>082:23:12.62 W</t>
  </si>
  <si>
    <t>028:12:20.76 N</t>
  </si>
  <si>
    <t>082:23:11.08 W</t>
  </si>
  <si>
    <t>028:12:19.60 N</t>
  </si>
  <si>
    <t>082:23:09.53 W</t>
  </si>
  <si>
    <t>028:12:18.21 N</t>
  </si>
  <si>
    <t>082:23:07.91 W</t>
  </si>
  <si>
    <t>028:12:17.05 N</t>
  </si>
  <si>
    <t>082:23:06.36 W</t>
  </si>
  <si>
    <t>028:12:15.58 N</t>
  </si>
  <si>
    <t>082:23:03.74 W</t>
  </si>
  <si>
    <t>028:12:14.97 N</t>
  </si>
  <si>
    <t>028:12:14.12 N</t>
  </si>
  <si>
    <t>028:12:13.19 N</t>
  </si>
  <si>
    <t>028:12:12.65 N</t>
  </si>
  <si>
    <t>082:22:56.32 W</t>
  </si>
  <si>
    <t>028:12:12.11 N</t>
  </si>
  <si>
    <t>028:12:11.64 N</t>
  </si>
  <si>
    <t>028:12:11.49 N</t>
  </si>
  <si>
    <t>028:12:11.34 N</t>
  </si>
  <si>
    <t>028:12:11.10 N</t>
  </si>
  <si>
    <t>082:22:47.13 W</t>
  </si>
  <si>
    <t>082:22:45.28 W</t>
  </si>
  <si>
    <t>028:12:11.18 N</t>
  </si>
  <si>
    <t>082:22:43.42 W</t>
  </si>
  <si>
    <t>082:22:41.65 W</t>
  </si>
  <si>
    <t>028:12:11.41 N</t>
  </si>
  <si>
    <t>082:22:39.71 W</t>
  </si>
  <si>
    <t>028:12:11.57 N</t>
  </si>
  <si>
    <t>082:22:38.17 W</t>
  </si>
  <si>
    <t>028:12:11.80 N</t>
  </si>
  <si>
    <t>082:22:36.32 W</t>
  </si>
  <si>
    <t>028:12:12.19 N</t>
  </si>
  <si>
    <t>082:22:34.69 W</t>
  </si>
  <si>
    <t>028:12:12.57 N</t>
  </si>
  <si>
    <t>082:22:32.76 W</t>
  </si>
  <si>
    <t>028:12:12.96 N</t>
  </si>
  <si>
    <t>082:22:31.22 W</t>
  </si>
  <si>
    <t>082:22:29.44 W</t>
  </si>
  <si>
    <t>028:12:13.73 N</t>
  </si>
  <si>
    <t>082:22:27.51 W</t>
  </si>
  <si>
    <t>028:12:14.43 N</t>
  </si>
  <si>
    <t>082:22:25.35 W</t>
  </si>
  <si>
    <t>028:12:15.28 N</t>
  </si>
  <si>
    <t>082:22:23.03 W</t>
  </si>
  <si>
    <t>028:12:15.74 N</t>
  </si>
  <si>
    <t>082:22:21.72 W</t>
  </si>
  <si>
    <t>028:12:16.43 N</t>
  </si>
  <si>
    <t>082:22:19.94 W</t>
  </si>
  <si>
    <t>082:22:18.39 W</t>
  </si>
  <si>
    <t>028:12:17.75 N</t>
  </si>
  <si>
    <t>082:22:16.93 W</t>
  </si>
  <si>
    <t>028:12:18.52 N</t>
  </si>
  <si>
    <t>082:22:15.38 W</t>
  </si>
  <si>
    <t>028:12:19.22 N</t>
  </si>
  <si>
    <t>082:22:14.07 W</t>
  </si>
  <si>
    <t>028:12:20.06 N</t>
  </si>
  <si>
    <t>082:22:12.52 W</t>
  </si>
  <si>
    <t>028:12:20.84 N</t>
  </si>
  <si>
    <t>082:22:11.06 W</t>
  </si>
  <si>
    <t>028:12:21.76 N</t>
  </si>
  <si>
    <t>082:22:09.66 W</t>
  </si>
  <si>
    <t>028:12:22.61 N</t>
  </si>
  <si>
    <t>082:22:08.27 W</t>
  </si>
  <si>
    <t>028:12:23.46 N</t>
  </si>
  <si>
    <t>082:22:07.12 W</t>
  </si>
  <si>
    <t>028:12:24.62 N</t>
  </si>
  <si>
    <t>082:22:05.73 W</t>
  </si>
  <si>
    <t>028:12:25.63 N</t>
  </si>
  <si>
    <t>082:22:04.80 W</t>
  </si>
  <si>
    <t>028:12:27.33 N</t>
  </si>
  <si>
    <t>082:22:03.49 W</t>
  </si>
  <si>
    <t>028:12:28.64 N</t>
  </si>
  <si>
    <t>082:22:02.64 W</t>
  </si>
  <si>
    <t>028:12:29.80 N</t>
  </si>
  <si>
    <t>082:22:01.32 W</t>
  </si>
  <si>
    <t>028:12:32.27 N</t>
  </si>
  <si>
    <t>082:22:00.94 W</t>
  </si>
  <si>
    <t>028:12:33.58 N</t>
  </si>
  <si>
    <t>082:22:00.40 W</t>
  </si>
  <si>
    <t>028:12:35.21 N</t>
  </si>
  <si>
    <t>082:21:59.93 W</t>
  </si>
  <si>
    <t>028:12:36.21 N</t>
  </si>
  <si>
    <t>028:12:37.83 N</t>
  </si>
  <si>
    <t>082:21:59.62 W</t>
  </si>
  <si>
    <t>028:12:39.53 N</t>
  </si>
  <si>
    <t>082:21:59.55 W</t>
  </si>
  <si>
    <t>028:12:40.84 N</t>
  </si>
  <si>
    <t>028:12:42.23 N</t>
  </si>
  <si>
    <t>028:12:43.78 N</t>
  </si>
  <si>
    <t>082:22:00.16 W</t>
  </si>
  <si>
    <t>028:12:45.09 N</t>
  </si>
  <si>
    <t>082:22:00.78 W</t>
  </si>
  <si>
    <t>028:12:46.25 N</t>
  </si>
  <si>
    <t>028:12:47.56 N</t>
  </si>
  <si>
    <t>082:22:02.09 W</t>
  </si>
  <si>
    <t>028:12:49.57 N</t>
  </si>
  <si>
    <t>082:22:03.41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</si>
</sst>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106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"05/12/2020 14:40:29.463"</f>
        <v>05/12/2020 14:40:29.463</v>
      </c>
      <c r="C2" t="str">
        <f t="shared" ref="C2:C21" si="0">"FFD3D3C0"</f>
        <v>FFD3D3C0</v>
      </c>
      <c r="D2" t="s">
        <v>113</v>
      </c>
      <c r="E2">
        <v>3</v>
      </c>
      <c r="H2">
        <v>164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"14:40:46.945"</f>
        <v>14:40:46.945</v>
      </c>
      <c r="T2" t="str">
        <f>"14:40:46.145"</f>
        <v>14:40:46.145</v>
      </c>
      <c r="U2" t="str">
        <f t="shared" ref="U2:U65" si="1">"A9808D"</f>
        <v>A9808D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28.225572</v>
      </c>
      <c r="AK2" t="s">
        <v>117</v>
      </c>
      <c r="AL2">
        <v>-82.378491999999994</v>
      </c>
      <c r="AM2">
        <v>100</v>
      </c>
      <c r="AN2">
        <v>0</v>
      </c>
      <c r="AO2" t="s">
        <v>118</v>
      </c>
      <c r="AP2">
        <v>-53</v>
      </c>
      <c r="AQ2">
        <v>67</v>
      </c>
      <c r="AR2">
        <v>256</v>
      </c>
      <c r="AZ2">
        <v>1200</v>
      </c>
      <c r="BA2">
        <v>0</v>
      </c>
      <c r="BE2">
        <v>0</v>
      </c>
      <c r="BF2">
        <v>0</v>
      </c>
      <c r="BG2">
        <v>0</v>
      </c>
      <c r="BH2">
        <v>100</v>
      </c>
      <c r="BI2">
        <v>1</v>
      </c>
      <c r="BJ2">
        <v>1</v>
      </c>
      <c r="BK2">
        <v>0</v>
      </c>
      <c r="BL2">
        <v>0</v>
      </c>
      <c r="BO2">
        <v>0</v>
      </c>
      <c r="BP2">
        <v>0</v>
      </c>
      <c r="BW2" t="str">
        <f>"14:40:46.951"</f>
        <v>14:40:46.951</v>
      </c>
      <c r="CJ2">
        <v>0</v>
      </c>
      <c r="CK2">
        <v>2</v>
      </c>
      <c r="CL2">
        <v>0</v>
      </c>
      <c r="CM2">
        <v>2</v>
      </c>
      <c r="CN2">
        <v>0</v>
      </c>
      <c r="CO2">
        <v>4</v>
      </c>
      <c r="CP2" t="s">
        <v>119</v>
      </c>
      <c r="CQ2">
        <v>343</v>
      </c>
      <c r="CR2">
        <v>1</v>
      </c>
      <c r="CW2">
        <v>10491721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>"05/12/2020 14:40:30.275"</f>
        <v>05/12/2020 14:40:30.275</v>
      </c>
      <c r="C3" t="str">
        <f t="shared" si="0"/>
        <v>FFD3D3C0</v>
      </c>
      <c r="D3" t="s">
        <v>113</v>
      </c>
      <c r="E3">
        <v>3</v>
      </c>
      <c r="H3">
        <v>164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"14:40:47.789"</f>
        <v>14:40:47.789</v>
      </c>
      <c r="T3" t="str">
        <f>"14:40:47.789"</f>
        <v>14:40:47.789</v>
      </c>
      <c r="U3" t="str">
        <f t="shared" si="1"/>
        <v>A9808D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120</v>
      </c>
      <c r="AJ3">
        <v>28.225850999999999</v>
      </c>
      <c r="AK3" t="s">
        <v>121</v>
      </c>
      <c r="AL3">
        <v>-82.378771</v>
      </c>
      <c r="AM3">
        <v>100</v>
      </c>
      <c r="AN3">
        <v>0</v>
      </c>
      <c r="AO3" t="s">
        <v>118</v>
      </c>
      <c r="AP3">
        <v>-54</v>
      </c>
      <c r="AQ3">
        <v>67</v>
      </c>
      <c r="AR3">
        <v>512</v>
      </c>
      <c r="AZ3">
        <v>1200</v>
      </c>
      <c r="BA3">
        <v>0</v>
      </c>
      <c r="BE3">
        <v>0</v>
      </c>
      <c r="BF3">
        <v>0</v>
      </c>
      <c r="BG3">
        <v>0</v>
      </c>
      <c r="BH3">
        <v>100</v>
      </c>
      <c r="BI3">
        <v>1</v>
      </c>
      <c r="BJ3">
        <v>1</v>
      </c>
      <c r="BK3">
        <v>0</v>
      </c>
      <c r="BL3">
        <v>0</v>
      </c>
      <c r="BO3">
        <v>0</v>
      </c>
      <c r="BP3">
        <v>0</v>
      </c>
      <c r="BW3" t="str">
        <f>"14:40:47.791"</f>
        <v>14:40:47.791</v>
      </c>
      <c r="CJ3">
        <v>0</v>
      </c>
      <c r="CK3">
        <v>2</v>
      </c>
      <c r="CL3">
        <v>0</v>
      </c>
      <c r="CM3">
        <v>2</v>
      </c>
      <c r="CN3">
        <v>0</v>
      </c>
      <c r="CO3">
        <v>4</v>
      </c>
      <c r="CP3" t="s">
        <v>119</v>
      </c>
      <c r="CQ3">
        <v>343</v>
      </c>
      <c r="CR3">
        <v>1</v>
      </c>
      <c r="CW3">
        <v>10492585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"05/12/2020 14:40:31.240"</f>
        <v>05/12/2020 14:40:31.240</v>
      </c>
      <c r="C4" t="str">
        <f t="shared" si="0"/>
        <v>FFD3D3C0</v>
      </c>
      <c r="D4" t="s">
        <v>113</v>
      </c>
      <c r="E4">
        <v>3</v>
      </c>
      <c r="H4">
        <v>164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"14:40:48.727"</f>
        <v>14:40:48.727</v>
      </c>
      <c r="T4" t="str">
        <f>"14:40:48.227"</f>
        <v>14:40:48.227</v>
      </c>
      <c r="U4" t="str">
        <f t="shared" si="1"/>
        <v>A9808D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28.226130000000001</v>
      </c>
      <c r="AK4" t="s">
        <v>123</v>
      </c>
      <c r="AL4">
        <v>-82.378963999999996</v>
      </c>
      <c r="AM4">
        <v>100</v>
      </c>
      <c r="AN4">
        <v>100</v>
      </c>
      <c r="AO4" t="s">
        <v>118</v>
      </c>
      <c r="AP4">
        <v>-55</v>
      </c>
      <c r="AQ4">
        <v>67</v>
      </c>
      <c r="AR4">
        <v>512</v>
      </c>
      <c r="AZ4">
        <v>1200</v>
      </c>
      <c r="BA4">
        <v>0</v>
      </c>
      <c r="BE4">
        <v>0</v>
      </c>
      <c r="BF4">
        <v>0</v>
      </c>
      <c r="BG4">
        <v>0</v>
      </c>
      <c r="BH4">
        <v>25</v>
      </c>
      <c r="BI4">
        <v>1</v>
      </c>
      <c r="BJ4">
        <v>1</v>
      </c>
      <c r="BK4">
        <v>0</v>
      </c>
      <c r="BL4">
        <v>0</v>
      </c>
      <c r="BO4">
        <v>0</v>
      </c>
      <c r="BP4">
        <v>0</v>
      </c>
      <c r="BW4" t="str">
        <f>"14:40:48.729"</f>
        <v>14:40:48.729</v>
      </c>
      <c r="CJ4">
        <v>0</v>
      </c>
      <c r="CK4">
        <v>2</v>
      </c>
      <c r="CL4">
        <v>0</v>
      </c>
      <c r="CM4">
        <v>2</v>
      </c>
      <c r="CN4">
        <v>0</v>
      </c>
      <c r="CO4">
        <v>5</v>
      </c>
      <c r="CP4" t="s">
        <v>119</v>
      </c>
      <c r="CQ4">
        <v>343</v>
      </c>
      <c r="CR4">
        <v>1</v>
      </c>
      <c r="CW4">
        <v>10493616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1</v>
      </c>
      <c r="DF4">
        <v>1</v>
      </c>
      <c r="DG4">
        <v>0</v>
      </c>
      <c r="DH4">
        <v>0</v>
      </c>
      <c r="DI4">
        <v>1</v>
      </c>
    </row>
    <row r="5" spans="1:113" x14ac:dyDescent="0.3">
      <c r="A5" t="str">
        <f>"05/12/2020 14:40:32.255"</f>
        <v>05/12/2020 14:40:32.255</v>
      </c>
      <c r="C5" t="str">
        <f t="shared" si="0"/>
        <v>FFD3D3C0</v>
      </c>
      <c r="D5" t="s">
        <v>113</v>
      </c>
      <c r="E5">
        <v>3</v>
      </c>
      <c r="H5">
        <v>164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"14:40:49.742"</f>
        <v>14:40:49.742</v>
      </c>
      <c r="T5" t="str">
        <f>"14:40:48.842"</f>
        <v>14:40:48.842</v>
      </c>
      <c r="U5" t="str">
        <f t="shared" si="1"/>
        <v>A9808D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124</v>
      </c>
      <c r="AJ5">
        <v>28.226430000000001</v>
      </c>
      <c r="AK5" t="s">
        <v>125</v>
      </c>
      <c r="AL5">
        <v>-82.379285999999993</v>
      </c>
      <c r="AM5">
        <v>100</v>
      </c>
      <c r="AN5">
        <v>100</v>
      </c>
      <c r="AO5" t="s">
        <v>118</v>
      </c>
      <c r="AP5">
        <v>-55</v>
      </c>
      <c r="AQ5">
        <v>67</v>
      </c>
      <c r="AR5">
        <v>576</v>
      </c>
      <c r="AZ5">
        <v>1200</v>
      </c>
      <c r="BA5">
        <v>0</v>
      </c>
      <c r="BE5">
        <v>0</v>
      </c>
      <c r="BF5">
        <v>0</v>
      </c>
      <c r="BG5">
        <v>0</v>
      </c>
      <c r="BH5">
        <v>125</v>
      </c>
      <c r="BI5">
        <v>1</v>
      </c>
      <c r="BJ5">
        <v>1</v>
      </c>
      <c r="BK5">
        <v>0</v>
      </c>
      <c r="BL5">
        <v>0</v>
      </c>
      <c r="BO5">
        <v>0</v>
      </c>
      <c r="BP5">
        <v>0</v>
      </c>
      <c r="BW5" t="str">
        <f>"14:40:49.748"</f>
        <v>14:40:49.748</v>
      </c>
      <c r="CJ5">
        <v>0</v>
      </c>
      <c r="CK5">
        <v>2</v>
      </c>
      <c r="CL5">
        <v>0</v>
      </c>
      <c r="CM5">
        <v>2</v>
      </c>
      <c r="CN5">
        <v>0</v>
      </c>
      <c r="CO5">
        <v>5</v>
      </c>
      <c r="CP5" t="s">
        <v>119</v>
      </c>
      <c r="CQ5">
        <v>343</v>
      </c>
      <c r="CR5">
        <v>1</v>
      </c>
      <c r="CW5">
        <v>10494693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1</v>
      </c>
      <c r="DF5">
        <v>1</v>
      </c>
      <c r="DG5">
        <v>0</v>
      </c>
      <c r="DH5">
        <v>0</v>
      </c>
      <c r="DI5">
        <v>1</v>
      </c>
    </row>
    <row r="6" spans="1:113" x14ac:dyDescent="0.3">
      <c r="A6" t="str">
        <f t="shared" ref="A6:A13" si="2">"05/12/2020 14:40:33.466"</f>
        <v>05/12/2020 14:40:33.466</v>
      </c>
      <c r="C6" t="str">
        <f t="shared" si="0"/>
        <v>FFD3D3C0</v>
      </c>
      <c r="D6" t="s">
        <v>126</v>
      </c>
      <c r="E6">
        <v>7</v>
      </c>
      <c r="F6">
        <v>1007</v>
      </c>
      <c r="G6" t="s">
        <v>127</v>
      </c>
      <c r="J6" t="s">
        <v>128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ref="S6:S13" si="3">"14:40:51.273"</f>
        <v>14:40:51.273</v>
      </c>
      <c r="T6" t="str">
        <f t="shared" ref="T6:T13" si="4">"14:40:50.873"</f>
        <v>14:40:50.873</v>
      </c>
      <c r="U6" t="str">
        <f t="shared" si="1"/>
        <v>A9808D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129</v>
      </c>
      <c r="AJ6">
        <v>28.226945000000001</v>
      </c>
      <c r="AK6" t="s">
        <v>130</v>
      </c>
      <c r="AL6">
        <v>-82.379737000000006</v>
      </c>
      <c r="AM6">
        <v>100</v>
      </c>
      <c r="AN6">
        <v>100</v>
      </c>
      <c r="AO6" t="s">
        <v>118</v>
      </c>
      <c r="AP6">
        <v>-56</v>
      </c>
      <c r="AQ6">
        <v>68</v>
      </c>
      <c r="AR6">
        <v>640</v>
      </c>
      <c r="AZ6">
        <v>1200</v>
      </c>
      <c r="BA6">
        <v>1</v>
      </c>
      <c r="BE6">
        <v>0</v>
      </c>
      <c r="BF6">
        <v>0</v>
      </c>
      <c r="BG6">
        <v>0</v>
      </c>
      <c r="BH6">
        <v>150</v>
      </c>
      <c r="BI6">
        <v>1</v>
      </c>
      <c r="BJ6">
        <v>1</v>
      </c>
      <c r="BK6">
        <v>0</v>
      </c>
      <c r="BL6">
        <v>0</v>
      </c>
      <c r="BO6">
        <v>0</v>
      </c>
      <c r="BP6">
        <v>0</v>
      </c>
      <c r="BW6" t="str">
        <f t="shared" ref="BW6:BW13" si="5">"14:40:51.280"</f>
        <v>14:40:51.280</v>
      </c>
      <c r="CJ6">
        <v>0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343</v>
      </c>
      <c r="CR6">
        <v>1</v>
      </c>
      <c r="CW6">
        <v>10496398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1</v>
      </c>
      <c r="DF6">
        <v>1</v>
      </c>
      <c r="DG6">
        <v>0</v>
      </c>
      <c r="DH6">
        <v>0</v>
      </c>
      <c r="DI6">
        <v>1</v>
      </c>
    </row>
    <row r="7" spans="1:113" x14ac:dyDescent="0.3">
      <c r="A7" t="str">
        <f t="shared" si="2"/>
        <v>05/12/2020 14:40:33.466</v>
      </c>
      <c r="C7" t="str">
        <f t="shared" si="0"/>
        <v>FFD3D3C0</v>
      </c>
      <c r="D7" t="s">
        <v>131</v>
      </c>
      <c r="E7">
        <v>10</v>
      </c>
      <c r="F7">
        <v>2010</v>
      </c>
      <c r="G7" t="s">
        <v>132</v>
      </c>
      <c r="J7" t="s">
        <v>133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3"/>
        <v>14:40:51.273</v>
      </c>
      <c r="T7" t="str">
        <f t="shared" si="4"/>
        <v>14:40:50.873</v>
      </c>
      <c r="U7" t="str">
        <f t="shared" si="1"/>
        <v>A9808D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129</v>
      </c>
      <c r="AJ7">
        <v>28.226945000000001</v>
      </c>
      <c r="AK7" t="s">
        <v>130</v>
      </c>
      <c r="AL7">
        <v>-82.379737000000006</v>
      </c>
      <c r="AM7">
        <v>100</v>
      </c>
      <c r="AN7">
        <v>100</v>
      </c>
      <c r="AO7" t="s">
        <v>118</v>
      </c>
      <c r="AP7">
        <v>-56</v>
      </c>
      <c r="AQ7">
        <v>68</v>
      </c>
      <c r="AR7">
        <v>640</v>
      </c>
      <c r="AZ7">
        <v>1200</v>
      </c>
      <c r="BA7">
        <v>1</v>
      </c>
      <c r="BE7">
        <v>0</v>
      </c>
      <c r="BF7">
        <v>0</v>
      </c>
      <c r="BG7">
        <v>0</v>
      </c>
      <c r="BH7">
        <v>150</v>
      </c>
      <c r="BI7">
        <v>1</v>
      </c>
      <c r="BJ7">
        <v>1</v>
      </c>
      <c r="BK7">
        <v>0</v>
      </c>
      <c r="BL7">
        <v>0</v>
      </c>
      <c r="BO7">
        <v>0</v>
      </c>
      <c r="BP7">
        <v>0</v>
      </c>
      <c r="BW7" t="str">
        <f t="shared" si="5"/>
        <v>14:40:51.280</v>
      </c>
      <c r="CJ7">
        <v>0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343</v>
      </c>
      <c r="CR7">
        <v>1</v>
      </c>
      <c r="CW7">
        <v>10496398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1</v>
      </c>
      <c r="DF7">
        <v>1</v>
      </c>
      <c r="DG7">
        <v>0</v>
      </c>
      <c r="DH7">
        <v>0</v>
      </c>
      <c r="DI7">
        <v>1</v>
      </c>
    </row>
    <row r="8" spans="1:113" x14ac:dyDescent="0.3">
      <c r="A8" t="str">
        <f t="shared" si="2"/>
        <v>05/12/2020 14:40:33.466</v>
      </c>
      <c r="C8" t="str">
        <f t="shared" si="0"/>
        <v>FFD3D3C0</v>
      </c>
      <c r="D8" t="s">
        <v>113</v>
      </c>
      <c r="E8">
        <v>3</v>
      </c>
      <c r="H8">
        <v>164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si="3"/>
        <v>14:40:51.273</v>
      </c>
      <c r="T8" t="str">
        <f t="shared" si="4"/>
        <v>14:40:50.873</v>
      </c>
      <c r="U8" t="str">
        <f t="shared" si="1"/>
        <v>A9808D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129</v>
      </c>
      <c r="AJ8">
        <v>28.226945000000001</v>
      </c>
      <c r="AK8" t="s">
        <v>130</v>
      </c>
      <c r="AL8">
        <v>-82.379737000000006</v>
      </c>
      <c r="AM8">
        <v>100</v>
      </c>
      <c r="AN8">
        <v>100</v>
      </c>
      <c r="AO8" t="s">
        <v>118</v>
      </c>
      <c r="AP8">
        <v>-56</v>
      </c>
      <c r="AQ8">
        <v>68</v>
      </c>
      <c r="AR8">
        <v>640</v>
      </c>
      <c r="AZ8">
        <v>1200</v>
      </c>
      <c r="BA8">
        <v>1</v>
      </c>
      <c r="BE8">
        <v>0</v>
      </c>
      <c r="BF8">
        <v>0</v>
      </c>
      <c r="BG8">
        <v>0</v>
      </c>
      <c r="BH8">
        <v>150</v>
      </c>
      <c r="BI8">
        <v>1</v>
      </c>
      <c r="BJ8">
        <v>1</v>
      </c>
      <c r="BK8">
        <v>0</v>
      </c>
      <c r="BL8">
        <v>0</v>
      </c>
      <c r="BO8">
        <v>0</v>
      </c>
      <c r="BP8">
        <v>0</v>
      </c>
      <c r="BW8" t="str">
        <f t="shared" si="5"/>
        <v>14:40:51.280</v>
      </c>
      <c r="CJ8">
        <v>0</v>
      </c>
      <c r="CK8">
        <v>2</v>
      </c>
      <c r="CL8">
        <v>0</v>
      </c>
      <c r="CM8">
        <v>2</v>
      </c>
      <c r="CN8">
        <v>0</v>
      </c>
      <c r="CO8">
        <v>5</v>
      </c>
      <c r="CP8" t="s">
        <v>119</v>
      </c>
      <c r="CQ8">
        <v>343</v>
      </c>
      <c r="CR8">
        <v>1</v>
      </c>
      <c r="CW8">
        <v>10496398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1</v>
      </c>
      <c r="DF8">
        <v>1</v>
      </c>
      <c r="DG8">
        <v>0</v>
      </c>
      <c r="DH8">
        <v>0</v>
      </c>
      <c r="DI8">
        <v>1</v>
      </c>
    </row>
    <row r="9" spans="1:113" x14ac:dyDescent="0.3">
      <c r="A9" t="str">
        <f t="shared" si="2"/>
        <v>05/12/2020 14:40:33.466</v>
      </c>
      <c r="C9" t="str">
        <f t="shared" si="0"/>
        <v>FFD3D3C0</v>
      </c>
      <c r="D9" t="s">
        <v>134</v>
      </c>
      <c r="E9">
        <v>12</v>
      </c>
      <c r="H9">
        <v>64</v>
      </c>
      <c r="I9" t="s">
        <v>135</v>
      </c>
      <c r="J9" t="s">
        <v>136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3"/>
        <v>14:40:51.273</v>
      </c>
      <c r="T9" t="str">
        <f t="shared" si="4"/>
        <v>14:40:50.873</v>
      </c>
      <c r="U9" t="str">
        <f t="shared" si="1"/>
        <v>A9808D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129</v>
      </c>
      <c r="AJ9">
        <v>28.226945000000001</v>
      </c>
      <c r="AK9" t="s">
        <v>130</v>
      </c>
      <c r="AL9">
        <v>-82.379737000000006</v>
      </c>
      <c r="AM9">
        <v>100</v>
      </c>
      <c r="AN9">
        <v>100</v>
      </c>
      <c r="AO9" t="s">
        <v>118</v>
      </c>
      <c r="AP9">
        <v>-56</v>
      </c>
      <c r="AQ9">
        <v>68</v>
      </c>
      <c r="AR9">
        <v>640</v>
      </c>
      <c r="AZ9">
        <v>1200</v>
      </c>
      <c r="BA9">
        <v>1</v>
      </c>
      <c r="BE9">
        <v>0</v>
      </c>
      <c r="BF9">
        <v>0</v>
      </c>
      <c r="BG9">
        <v>0</v>
      </c>
      <c r="BH9">
        <v>150</v>
      </c>
      <c r="BI9">
        <v>1</v>
      </c>
      <c r="BJ9">
        <v>1</v>
      </c>
      <c r="BK9">
        <v>0</v>
      </c>
      <c r="BL9">
        <v>0</v>
      </c>
      <c r="BO9">
        <v>0</v>
      </c>
      <c r="BP9">
        <v>0</v>
      </c>
      <c r="BW9" t="str">
        <f t="shared" si="5"/>
        <v>14:40:51.280</v>
      </c>
      <c r="CJ9">
        <v>0</v>
      </c>
      <c r="CK9">
        <v>2</v>
      </c>
      <c r="CL9">
        <v>0</v>
      </c>
      <c r="CM9">
        <v>2</v>
      </c>
      <c r="CN9">
        <v>0</v>
      </c>
      <c r="CO9">
        <v>5</v>
      </c>
      <c r="CP9" t="s">
        <v>119</v>
      </c>
      <c r="CQ9">
        <v>343</v>
      </c>
      <c r="CR9">
        <v>1</v>
      </c>
      <c r="CW9">
        <v>10496398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1</v>
      </c>
      <c r="DG9">
        <v>0</v>
      </c>
      <c r="DH9">
        <v>0</v>
      </c>
      <c r="DI9">
        <v>1</v>
      </c>
    </row>
    <row r="10" spans="1:113" x14ac:dyDescent="0.3">
      <c r="A10" t="str">
        <f t="shared" si="2"/>
        <v>05/12/2020 14:40:33.466</v>
      </c>
      <c r="C10" t="str">
        <f t="shared" si="0"/>
        <v>FFD3D3C0</v>
      </c>
      <c r="D10" t="s">
        <v>131</v>
      </c>
      <c r="E10">
        <v>12</v>
      </c>
      <c r="F10">
        <v>2012</v>
      </c>
      <c r="G10" t="s">
        <v>137</v>
      </c>
      <c r="J10" t="s">
        <v>133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3"/>
        <v>14:40:51.273</v>
      </c>
      <c r="T10" t="str">
        <f t="shared" si="4"/>
        <v>14:40:50.873</v>
      </c>
      <c r="U10" t="str">
        <f t="shared" si="1"/>
        <v>A9808D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129</v>
      </c>
      <c r="AJ10">
        <v>28.226945000000001</v>
      </c>
      <c r="AK10" t="s">
        <v>130</v>
      </c>
      <c r="AL10">
        <v>-82.379737000000006</v>
      </c>
      <c r="AM10">
        <v>100</v>
      </c>
      <c r="AN10">
        <v>100</v>
      </c>
      <c r="AO10" t="s">
        <v>118</v>
      </c>
      <c r="AP10">
        <v>-56</v>
      </c>
      <c r="AQ10">
        <v>68</v>
      </c>
      <c r="AR10">
        <v>640</v>
      </c>
      <c r="AZ10">
        <v>1200</v>
      </c>
      <c r="BA10">
        <v>1</v>
      </c>
      <c r="BE10">
        <v>0</v>
      </c>
      <c r="BF10">
        <v>0</v>
      </c>
      <c r="BG10">
        <v>0</v>
      </c>
      <c r="BH10">
        <v>150</v>
      </c>
      <c r="BI10">
        <v>1</v>
      </c>
      <c r="BJ10">
        <v>1</v>
      </c>
      <c r="BK10">
        <v>0</v>
      </c>
      <c r="BL10">
        <v>0</v>
      </c>
      <c r="BO10">
        <v>0</v>
      </c>
      <c r="BP10">
        <v>0</v>
      </c>
      <c r="BW10" t="str">
        <f t="shared" si="5"/>
        <v>14:40:51.280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5</v>
      </c>
      <c r="CP10" t="s">
        <v>119</v>
      </c>
      <c r="CQ10">
        <v>343</v>
      </c>
      <c r="CR10">
        <v>1</v>
      </c>
      <c r="CW10">
        <v>10496398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1</v>
      </c>
      <c r="DG10">
        <v>0</v>
      </c>
      <c r="DH10">
        <v>0</v>
      </c>
      <c r="DI10">
        <v>1</v>
      </c>
    </row>
    <row r="11" spans="1:113" x14ac:dyDescent="0.3">
      <c r="A11" t="str">
        <f t="shared" si="2"/>
        <v>05/12/2020 14:40:33.466</v>
      </c>
      <c r="C11" t="str">
        <f t="shared" si="0"/>
        <v>FFD3D3C0</v>
      </c>
      <c r="D11" t="s">
        <v>126</v>
      </c>
      <c r="E11">
        <v>6</v>
      </c>
      <c r="F11">
        <v>1006</v>
      </c>
      <c r="G11" t="s">
        <v>114</v>
      </c>
      <c r="J11" t="s">
        <v>128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3"/>
        <v>14:40:51.273</v>
      </c>
      <c r="T11" t="str">
        <f t="shared" si="4"/>
        <v>14:40:50.873</v>
      </c>
      <c r="U11" t="str">
        <f t="shared" si="1"/>
        <v>A9808D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129</v>
      </c>
      <c r="AJ11">
        <v>28.226945000000001</v>
      </c>
      <c r="AK11" t="s">
        <v>130</v>
      </c>
      <c r="AL11">
        <v>-82.379737000000006</v>
      </c>
      <c r="AM11">
        <v>100</v>
      </c>
      <c r="AN11">
        <v>100</v>
      </c>
      <c r="AO11" t="s">
        <v>118</v>
      </c>
      <c r="AP11">
        <v>-56</v>
      </c>
      <c r="AQ11">
        <v>68</v>
      </c>
      <c r="AR11">
        <v>640</v>
      </c>
      <c r="AZ11">
        <v>1200</v>
      </c>
      <c r="BA11">
        <v>1</v>
      </c>
      <c r="BE11">
        <v>0</v>
      </c>
      <c r="BF11">
        <v>0</v>
      </c>
      <c r="BG11">
        <v>0</v>
      </c>
      <c r="BH11">
        <v>150</v>
      </c>
      <c r="BI11">
        <v>1</v>
      </c>
      <c r="BJ11">
        <v>1</v>
      </c>
      <c r="BK11">
        <v>0</v>
      </c>
      <c r="BL11">
        <v>0</v>
      </c>
      <c r="BO11">
        <v>0</v>
      </c>
      <c r="BP11">
        <v>0</v>
      </c>
      <c r="BW11" t="str">
        <f t="shared" si="5"/>
        <v>14:40:51.280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5</v>
      </c>
      <c r="CP11" t="s">
        <v>119</v>
      </c>
      <c r="CQ11">
        <v>343</v>
      </c>
      <c r="CR11">
        <v>1</v>
      </c>
      <c r="CW11">
        <v>10496398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1</v>
      </c>
      <c r="DG11">
        <v>0</v>
      </c>
      <c r="DH11">
        <v>0</v>
      </c>
      <c r="DI11">
        <v>1</v>
      </c>
    </row>
    <row r="12" spans="1:113" x14ac:dyDescent="0.3">
      <c r="A12" t="str">
        <f t="shared" si="2"/>
        <v>05/12/2020 14:40:33.466</v>
      </c>
      <c r="C12" t="str">
        <f t="shared" si="0"/>
        <v>FFD3D3C0</v>
      </c>
      <c r="D12" t="s">
        <v>138</v>
      </c>
      <c r="E12">
        <v>2</v>
      </c>
      <c r="H12">
        <v>8</v>
      </c>
      <c r="I12" t="s">
        <v>139</v>
      </c>
      <c r="J12" t="s">
        <v>136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3"/>
        <v>14:40:51.273</v>
      </c>
      <c r="T12" t="str">
        <f t="shared" si="4"/>
        <v>14:40:50.873</v>
      </c>
      <c r="U12" t="str">
        <f t="shared" si="1"/>
        <v>A9808D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129</v>
      </c>
      <c r="AJ12">
        <v>28.226945000000001</v>
      </c>
      <c r="AK12" t="s">
        <v>130</v>
      </c>
      <c r="AL12">
        <v>-82.379737000000006</v>
      </c>
      <c r="AM12">
        <v>100</v>
      </c>
      <c r="AN12">
        <v>100</v>
      </c>
      <c r="AO12" t="s">
        <v>118</v>
      </c>
      <c r="AP12">
        <v>-56</v>
      </c>
      <c r="AQ12">
        <v>68</v>
      </c>
      <c r="AR12">
        <v>640</v>
      </c>
      <c r="AZ12">
        <v>1200</v>
      </c>
      <c r="BA12">
        <v>1</v>
      </c>
      <c r="BE12">
        <v>0</v>
      </c>
      <c r="BF12">
        <v>0</v>
      </c>
      <c r="BG12">
        <v>0</v>
      </c>
      <c r="BH12">
        <v>150</v>
      </c>
      <c r="BI12">
        <v>1</v>
      </c>
      <c r="BJ12">
        <v>1</v>
      </c>
      <c r="BK12">
        <v>0</v>
      </c>
      <c r="BL12">
        <v>0</v>
      </c>
      <c r="BO12">
        <v>0</v>
      </c>
      <c r="BP12">
        <v>0</v>
      </c>
      <c r="BW12" t="str">
        <f t="shared" si="5"/>
        <v>14:40:51.280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5</v>
      </c>
      <c r="CP12" t="s">
        <v>119</v>
      </c>
      <c r="CQ12">
        <v>343</v>
      </c>
      <c r="CR12">
        <v>1</v>
      </c>
      <c r="CW12">
        <v>10496398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1</v>
      </c>
      <c r="DG12">
        <v>0</v>
      </c>
      <c r="DH12">
        <v>0</v>
      </c>
      <c r="DI12">
        <v>1</v>
      </c>
    </row>
    <row r="13" spans="1:113" x14ac:dyDescent="0.3">
      <c r="A13" t="str">
        <f t="shared" si="2"/>
        <v>05/12/2020 14:40:33.466</v>
      </c>
      <c r="C13" t="str">
        <f t="shared" si="0"/>
        <v>FFD3D3C0</v>
      </c>
      <c r="D13" t="s">
        <v>138</v>
      </c>
      <c r="E13">
        <v>3</v>
      </c>
      <c r="H13">
        <v>9</v>
      </c>
      <c r="I13" t="s">
        <v>140</v>
      </c>
      <c r="J13" t="s">
        <v>136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3"/>
        <v>14:40:51.273</v>
      </c>
      <c r="T13" t="str">
        <f t="shared" si="4"/>
        <v>14:40:50.873</v>
      </c>
      <c r="U13" t="str">
        <f t="shared" si="1"/>
        <v>A9808D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129</v>
      </c>
      <c r="AJ13">
        <v>28.226945000000001</v>
      </c>
      <c r="AK13" t="s">
        <v>130</v>
      </c>
      <c r="AL13">
        <v>-82.379737000000006</v>
      </c>
      <c r="AM13">
        <v>100</v>
      </c>
      <c r="AN13">
        <v>100</v>
      </c>
      <c r="AO13" t="s">
        <v>118</v>
      </c>
      <c r="AP13">
        <v>-56</v>
      </c>
      <c r="AQ13">
        <v>68</v>
      </c>
      <c r="AR13">
        <v>640</v>
      </c>
      <c r="AZ13">
        <v>1200</v>
      </c>
      <c r="BA13">
        <v>1</v>
      </c>
      <c r="BE13">
        <v>0</v>
      </c>
      <c r="BF13">
        <v>0</v>
      </c>
      <c r="BG13">
        <v>0</v>
      </c>
      <c r="BH13">
        <v>150</v>
      </c>
      <c r="BI13">
        <v>1</v>
      </c>
      <c r="BJ13">
        <v>1</v>
      </c>
      <c r="BK13">
        <v>0</v>
      </c>
      <c r="BL13">
        <v>0</v>
      </c>
      <c r="BO13">
        <v>0</v>
      </c>
      <c r="BP13">
        <v>0</v>
      </c>
      <c r="BW13" t="str">
        <f t="shared" si="5"/>
        <v>14:40:51.280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5</v>
      </c>
      <c r="CP13" t="s">
        <v>119</v>
      </c>
      <c r="CQ13">
        <v>343</v>
      </c>
      <c r="CR13">
        <v>1</v>
      </c>
      <c r="CW13">
        <v>10496398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1</v>
      </c>
      <c r="DF13">
        <v>1</v>
      </c>
      <c r="DG13">
        <v>0</v>
      </c>
      <c r="DH13">
        <v>0</v>
      </c>
      <c r="DI13">
        <v>1</v>
      </c>
    </row>
    <row r="14" spans="1:113" x14ac:dyDescent="0.3">
      <c r="A14" t="str">
        <f t="shared" ref="A14:A21" si="6">"05/12/2020 14:40:34.401"</f>
        <v>05/12/2020 14:40:34.401</v>
      </c>
      <c r="C14" t="str">
        <f t="shared" si="0"/>
        <v>FFD3D3C0</v>
      </c>
      <c r="D14" t="s">
        <v>138</v>
      </c>
      <c r="E14">
        <v>2</v>
      </c>
      <c r="H14">
        <v>8</v>
      </c>
      <c r="I14" t="s">
        <v>139</v>
      </c>
      <c r="J14" t="s">
        <v>136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21" si="7">"14:40:52.211"</f>
        <v>14:40:52.211</v>
      </c>
      <c r="T14" t="str">
        <f t="shared" ref="T14:T21" si="8">"14:40:51.911"</f>
        <v>14:40:51.911</v>
      </c>
      <c r="U14" t="str">
        <f t="shared" si="1"/>
        <v>A9808D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141</v>
      </c>
      <c r="AJ14">
        <v>28.227224</v>
      </c>
      <c r="AK14" t="s">
        <v>142</v>
      </c>
      <c r="AL14">
        <v>-82.380015999999998</v>
      </c>
      <c r="AM14">
        <v>100</v>
      </c>
      <c r="AN14">
        <v>100</v>
      </c>
      <c r="AO14" t="s">
        <v>118</v>
      </c>
      <c r="AP14">
        <v>-56</v>
      </c>
      <c r="AQ14">
        <v>69</v>
      </c>
      <c r="AR14">
        <v>704</v>
      </c>
      <c r="AZ14">
        <v>1200</v>
      </c>
      <c r="BA14">
        <v>1</v>
      </c>
      <c r="BE14">
        <v>0</v>
      </c>
      <c r="BF14">
        <v>0</v>
      </c>
      <c r="BG14">
        <v>0</v>
      </c>
      <c r="BH14">
        <v>150</v>
      </c>
      <c r="BI14">
        <v>1</v>
      </c>
      <c r="BJ14">
        <v>1</v>
      </c>
      <c r="BK14">
        <v>0</v>
      </c>
      <c r="BL14">
        <v>0</v>
      </c>
      <c r="BO14">
        <v>0</v>
      </c>
      <c r="BP14">
        <v>0</v>
      </c>
      <c r="BW14" t="str">
        <f t="shared" ref="BW14:BW21" si="9">"14:40:52.218"</f>
        <v>14:40:52.218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119</v>
      </c>
      <c r="CQ14">
        <v>343</v>
      </c>
      <c r="CR14">
        <v>2</v>
      </c>
      <c r="CW14">
        <v>12928151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1</v>
      </c>
      <c r="DF14">
        <v>1</v>
      </c>
      <c r="DG14">
        <v>0</v>
      </c>
      <c r="DH14">
        <v>0</v>
      </c>
      <c r="DI14">
        <v>1</v>
      </c>
    </row>
    <row r="15" spans="1:113" x14ac:dyDescent="0.3">
      <c r="A15" t="str">
        <f t="shared" si="6"/>
        <v>05/12/2020 14:40:34.401</v>
      </c>
      <c r="C15" t="str">
        <f t="shared" si="0"/>
        <v>FFD3D3C0</v>
      </c>
      <c r="D15" t="s">
        <v>138</v>
      </c>
      <c r="E15">
        <v>3</v>
      </c>
      <c r="H15">
        <v>9</v>
      </c>
      <c r="I15" t="s">
        <v>140</v>
      </c>
      <c r="J15" t="s">
        <v>136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7"/>
        <v>14:40:52.211</v>
      </c>
      <c r="T15" t="str">
        <f t="shared" si="8"/>
        <v>14:40:51.911</v>
      </c>
      <c r="U15" t="str">
        <f t="shared" si="1"/>
        <v>A9808D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141</v>
      </c>
      <c r="AJ15">
        <v>28.227224</v>
      </c>
      <c r="AK15" t="s">
        <v>142</v>
      </c>
      <c r="AL15">
        <v>-82.380015999999998</v>
      </c>
      <c r="AM15">
        <v>100</v>
      </c>
      <c r="AN15">
        <v>100</v>
      </c>
      <c r="AO15" t="s">
        <v>118</v>
      </c>
      <c r="AP15">
        <v>-56</v>
      </c>
      <c r="AQ15">
        <v>69</v>
      </c>
      <c r="AR15">
        <v>704</v>
      </c>
      <c r="AZ15">
        <v>1200</v>
      </c>
      <c r="BA15">
        <v>1</v>
      </c>
      <c r="BE15">
        <v>0</v>
      </c>
      <c r="BF15">
        <v>0</v>
      </c>
      <c r="BG15">
        <v>0</v>
      </c>
      <c r="BH15">
        <v>150</v>
      </c>
      <c r="BI15">
        <v>1</v>
      </c>
      <c r="BJ15">
        <v>1</v>
      </c>
      <c r="BK15">
        <v>0</v>
      </c>
      <c r="BL15">
        <v>0</v>
      </c>
      <c r="BO15">
        <v>0</v>
      </c>
      <c r="BP15">
        <v>0</v>
      </c>
      <c r="BW15" t="str">
        <f t="shared" si="9"/>
        <v>14:40:52.218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343</v>
      </c>
      <c r="CR15">
        <v>2</v>
      </c>
      <c r="CW15">
        <v>12928151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1</v>
      </c>
      <c r="DG15">
        <v>0</v>
      </c>
      <c r="DH15">
        <v>0</v>
      </c>
      <c r="DI15">
        <v>1</v>
      </c>
    </row>
    <row r="16" spans="1:113" x14ac:dyDescent="0.3">
      <c r="A16" t="str">
        <f t="shared" si="6"/>
        <v>05/12/2020 14:40:34.401</v>
      </c>
      <c r="C16" t="str">
        <f t="shared" si="0"/>
        <v>FFD3D3C0</v>
      </c>
      <c r="D16" t="s">
        <v>126</v>
      </c>
      <c r="E16">
        <v>7</v>
      </c>
      <c r="F16">
        <v>1007</v>
      </c>
      <c r="G16" t="s">
        <v>127</v>
      </c>
      <c r="J16" t="s">
        <v>128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7"/>
        <v>14:40:52.211</v>
      </c>
      <c r="T16" t="str">
        <f t="shared" si="8"/>
        <v>14:40:51.911</v>
      </c>
      <c r="U16" t="str">
        <f t="shared" si="1"/>
        <v>A9808D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141</v>
      </c>
      <c r="AJ16">
        <v>28.227224</v>
      </c>
      <c r="AK16" t="s">
        <v>142</v>
      </c>
      <c r="AL16">
        <v>-82.380015999999998</v>
      </c>
      <c r="AM16">
        <v>100</v>
      </c>
      <c r="AN16">
        <v>100</v>
      </c>
      <c r="AO16" t="s">
        <v>118</v>
      </c>
      <c r="AP16">
        <v>-56</v>
      </c>
      <c r="AQ16">
        <v>69</v>
      </c>
      <c r="AR16">
        <v>704</v>
      </c>
      <c r="AZ16">
        <v>1200</v>
      </c>
      <c r="BA16">
        <v>1</v>
      </c>
      <c r="BE16">
        <v>0</v>
      </c>
      <c r="BF16">
        <v>0</v>
      </c>
      <c r="BG16">
        <v>0</v>
      </c>
      <c r="BH16">
        <v>150</v>
      </c>
      <c r="BI16">
        <v>1</v>
      </c>
      <c r="BJ16">
        <v>1</v>
      </c>
      <c r="BK16">
        <v>0</v>
      </c>
      <c r="BL16">
        <v>0</v>
      </c>
      <c r="BO16">
        <v>0</v>
      </c>
      <c r="BP16">
        <v>0</v>
      </c>
      <c r="BW16" t="str">
        <f t="shared" si="9"/>
        <v>14:40:52.218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343</v>
      </c>
      <c r="CR16">
        <v>2</v>
      </c>
      <c r="CW16">
        <v>12928151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1</v>
      </c>
      <c r="DF16">
        <v>1</v>
      </c>
      <c r="DG16">
        <v>0</v>
      </c>
      <c r="DH16">
        <v>0</v>
      </c>
      <c r="DI16">
        <v>1</v>
      </c>
    </row>
    <row r="17" spans="1:113" x14ac:dyDescent="0.3">
      <c r="A17" t="str">
        <f t="shared" si="6"/>
        <v>05/12/2020 14:40:34.401</v>
      </c>
      <c r="C17" t="str">
        <f t="shared" si="0"/>
        <v>FFD3D3C0</v>
      </c>
      <c r="D17" t="s">
        <v>131</v>
      </c>
      <c r="E17">
        <v>10</v>
      </c>
      <c r="F17">
        <v>2010</v>
      </c>
      <c r="G17" t="s">
        <v>132</v>
      </c>
      <c r="J17" t="s">
        <v>133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7"/>
        <v>14:40:52.211</v>
      </c>
      <c r="T17" t="str">
        <f t="shared" si="8"/>
        <v>14:40:51.911</v>
      </c>
      <c r="U17" t="str">
        <f t="shared" si="1"/>
        <v>A9808D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141</v>
      </c>
      <c r="AJ17">
        <v>28.227224</v>
      </c>
      <c r="AK17" t="s">
        <v>142</v>
      </c>
      <c r="AL17">
        <v>-82.380015999999998</v>
      </c>
      <c r="AM17">
        <v>100</v>
      </c>
      <c r="AN17">
        <v>100</v>
      </c>
      <c r="AO17" t="s">
        <v>118</v>
      </c>
      <c r="AP17">
        <v>-56</v>
      </c>
      <c r="AQ17">
        <v>69</v>
      </c>
      <c r="AR17">
        <v>704</v>
      </c>
      <c r="AZ17">
        <v>1200</v>
      </c>
      <c r="BA17">
        <v>1</v>
      </c>
      <c r="BE17">
        <v>0</v>
      </c>
      <c r="BF17">
        <v>0</v>
      </c>
      <c r="BG17">
        <v>0</v>
      </c>
      <c r="BH17">
        <v>150</v>
      </c>
      <c r="BI17">
        <v>1</v>
      </c>
      <c r="BJ17">
        <v>1</v>
      </c>
      <c r="BK17">
        <v>0</v>
      </c>
      <c r="BL17">
        <v>0</v>
      </c>
      <c r="BO17">
        <v>0</v>
      </c>
      <c r="BP17">
        <v>0</v>
      </c>
      <c r="BW17" t="str">
        <f t="shared" si="9"/>
        <v>14:40:52.218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343</v>
      </c>
      <c r="CR17">
        <v>2</v>
      </c>
      <c r="CW17">
        <v>12928151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1</v>
      </c>
      <c r="DF17">
        <v>1</v>
      </c>
      <c r="DG17">
        <v>0</v>
      </c>
      <c r="DH17">
        <v>0</v>
      </c>
      <c r="DI17">
        <v>1</v>
      </c>
    </row>
    <row r="18" spans="1:113" x14ac:dyDescent="0.3">
      <c r="A18" t="str">
        <f t="shared" si="6"/>
        <v>05/12/2020 14:40:34.401</v>
      </c>
      <c r="C18" t="str">
        <f t="shared" si="0"/>
        <v>FFD3D3C0</v>
      </c>
      <c r="D18" t="s">
        <v>131</v>
      </c>
      <c r="E18">
        <v>12</v>
      </c>
      <c r="F18">
        <v>2012</v>
      </c>
      <c r="G18" t="s">
        <v>137</v>
      </c>
      <c r="J18" t="s">
        <v>133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7"/>
        <v>14:40:52.211</v>
      </c>
      <c r="T18" t="str">
        <f t="shared" si="8"/>
        <v>14:40:51.911</v>
      </c>
      <c r="U18" t="str">
        <f t="shared" si="1"/>
        <v>A9808D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141</v>
      </c>
      <c r="AJ18">
        <v>28.227224</v>
      </c>
      <c r="AK18" t="s">
        <v>142</v>
      </c>
      <c r="AL18">
        <v>-82.380015999999998</v>
      </c>
      <c r="AM18">
        <v>100</v>
      </c>
      <c r="AN18">
        <v>100</v>
      </c>
      <c r="AO18" t="s">
        <v>118</v>
      </c>
      <c r="AP18">
        <v>-56</v>
      </c>
      <c r="AQ18">
        <v>69</v>
      </c>
      <c r="AR18">
        <v>704</v>
      </c>
      <c r="AZ18">
        <v>1200</v>
      </c>
      <c r="BA18">
        <v>1</v>
      </c>
      <c r="BE18">
        <v>0</v>
      </c>
      <c r="BF18">
        <v>0</v>
      </c>
      <c r="BG18">
        <v>0</v>
      </c>
      <c r="BH18">
        <v>150</v>
      </c>
      <c r="BI18">
        <v>1</v>
      </c>
      <c r="BJ18">
        <v>1</v>
      </c>
      <c r="BK18">
        <v>0</v>
      </c>
      <c r="BL18">
        <v>0</v>
      </c>
      <c r="BO18">
        <v>0</v>
      </c>
      <c r="BP18">
        <v>0</v>
      </c>
      <c r="BW18" t="str">
        <f t="shared" si="9"/>
        <v>14:40:52.218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343</v>
      </c>
      <c r="CR18">
        <v>2</v>
      </c>
      <c r="CW18">
        <v>12928151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1</v>
      </c>
      <c r="DF18">
        <v>1</v>
      </c>
      <c r="DG18">
        <v>0</v>
      </c>
      <c r="DH18">
        <v>0</v>
      </c>
      <c r="DI18">
        <v>1</v>
      </c>
    </row>
    <row r="19" spans="1:113" x14ac:dyDescent="0.3">
      <c r="A19" t="str">
        <f t="shared" si="6"/>
        <v>05/12/2020 14:40:34.401</v>
      </c>
      <c r="C19" t="str">
        <f t="shared" si="0"/>
        <v>FFD3D3C0</v>
      </c>
      <c r="D19" t="s">
        <v>113</v>
      </c>
      <c r="E19">
        <v>3</v>
      </c>
      <c r="H19">
        <v>164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7"/>
        <v>14:40:52.211</v>
      </c>
      <c r="T19" t="str">
        <f t="shared" si="8"/>
        <v>14:40:51.911</v>
      </c>
      <c r="U19" t="str">
        <f t="shared" si="1"/>
        <v>A9808D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141</v>
      </c>
      <c r="AJ19">
        <v>28.227224</v>
      </c>
      <c r="AK19" t="s">
        <v>142</v>
      </c>
      <c r="AL19">
        <v>-82.380015999999998</v>
      </c>
      <c r="AM19">
        <v>100</v>
      </c>
      <c r="AN19">
        <v>100</v>
      </c>
      <c r="AO19" t="s">
        <v>118</v>
      </c>
      <c r="AP19">
        <v>-56</v>
      </c>
      <c r="AQ19">
        <v>69</v>
      </c>
      <c r="AR19">
        <v>704</v>
      </c>
      <c r="AZ19">
        <v>1200</v>
      </c>
      <c r="BA19">
        <v>1</v>
      </c>
      <c r="BE19">
        <v>0</v>
      </c>
      <c r="BF19">
        <v>0</v>
      </c>
      <c r="BG19">
        <v>0</v>
      </c>
      <c r="BH19">
        <v>150</v>
      </c>
      <c r="BI19">
        <v>1</v>
      </c>
      <c r="BJ19">
        <v>1</v>
      </c>
      <c r="BK19">
        <v>0</v>
      </c>
      <c r="BL19">
        <v>0</v>
      </c>
      <c r="BO19">
        <v>0</v>
      </c>
      <c r="BP19">
        <v>0</v>
      </c>
      <c r="BW19" t="str">
        <f t="shared" si="9"/>
        <v>14:40:52.218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343</v>
      </c>
      <c r="CR19">
        <v>2</v>
      </c>
      <c r="CW19">
        <v>12928151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1</v>
      </c>
      <c r="DF19">
        <v>1</v>
      </c>
      <c r="DG19">
        <v>0</v>
      </c>
      <c r="DH19">
        <v>0</v>
      </c>
      <c r="DI19">
        <v>1</v>
      </c>
    </row>
    <row r="20" spans="1:113" x14ac:dyDescent="0.3">
      <c r="A20" t="str">
        <f t="shared" si="6"/>
        <v>05/12/2020 14:40:34.401</v>
      </c>
      <c r="C20" t="str">
        <f t="shared" si="0"/>
        <v>FFD3D3C0</v>
      </c>
      <c r="D20" t="s">
        <v>126</v>
      </c>
      <c r="E20">
        <v>6</v>
      </c>
      <c r="F20">
        <v>1006</v>
      </c>
      <c r="G20" t="s">
        <v>114</v>
      </c>
      <c r="J20" t="s">
        <v>128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7"/>
        <v>14:40:52.211</v>
      </c>
      <c r="T20" t="str">
        <f t="shared" si="8"/>
        <v>14:40:51.911</v>
      </c>
      <c r="U20" t="str">
        <f t="shared" si="1"/>
        <v>A9808D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141</v>
      </c>
      <c r="AJ20">
        <v>28.227224</v>
      </c>
      <c r="AK20" t="s">
        <v>142</v>
      </c>
      <c r="AL20">
        <v>-82.380015999999998</v>
      </c>
      <c r="AM20">
        <v>100</v>
      </c>
      <c r="AN20">
        <v>100</v>
      </c>
      <c r="AO20" t="s">
        <v>118</v>
      </c>
      <c r="AP20">
        <v>-56</v>
      </c>
      <c r="AQ20">
        <v>69</v>
      </c>
      <c r="AR20">
        <v>704</v>
      </c>
      <c r="AZ20">
        <v>1200</v>
      </c>
      <c r="BA20">
        <v>1</v>
      </c>
      <c r="BE20">
        <v>0</v>
      </c>
      <c r="BF20">
        <v>0</v>
      </c>
      <c r="BG20">
        <v>0</v>
      </c>
      <c r="BH20">
        <v>150</v>
      </c>
      <c r="BI20">
        <v>1</v>
      </c>
      <c r="BJ20">
        <v>1</v>
      </c>
      <c r="BK20">
        <v>0</v>
      </c>
      <c r="BL20">
        <v>0</v>
      </c>
      <c r="BO20">
        <v>0</v>
      </c>
      <c r="BP20">
        <v>0</v>
      </c>
      <c r="BW20" t="str">
        <f t="shared" si="9"/>
        <v>14:40:52.218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343</v>
      </c>
      <c r="CR20">
        <v>2</v>
      </c>
      <c r="CW20">
        <v>12928151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1</v>
      </c>
      <c r="DF20">
        <v>1</v>
      </c>
      <c r="DG20">
        <v>0</v>
      </c>
      <c r="DH20">
        <v>0</v>
      </c>
      <c r="DI20">
        <v>1</v>
      </c>
    </row>
    <row r="21" spans="1:113" x14ac:dyDescent="0.3">
      <c r="A21" t="str">
        <f t="shared" si="6"/>
        <v>05/12/2020 14:40:34.401</v>
      </c>
      <c r="C21" t="str">
        <f t="shared" si="0"/>
        <v>FFD3D3C0</v>
      </c>
      <c r="D21" t="s">
        <v>134</v>
      </c>
      <c r="E21">
        <v>12</v>
      </c>
      <c r="H21">
        <v>64</v>
      </c>
      <c r="I21" t="s">
        <v>135</v>
      </c>
      <c r="J21" t="s">
        <v>136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7"/>
        <v>14:40:52.211</v>
      </c>
      <c r="T21" t="str">
        <f t="shared" si="8"/>
        <v>14:40:51.911</v>
      </c>
      <c r="U21" t="str">
        <f t="shared" si="1"/>
        <v>A9808D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141</v>
      </c>
      <c r="AJ21">
        <v>28.227224</v>
      </c>
      <c r="AK21" t="s">
        <v>142</v>
      </c>
      <c r="AL21">
        <v>-82.380015999999998</v>
      </c>
      <c r="AM21">
        <v>100</v>
      </c>
      <c r="AN21">
        <v>100</v>
      </c>
      <c r="AO21" t="s">
        <v>118</v>
      </c>
      <c r="AP21">
        <v>-56</v>
      </c>
      <c r="AQ21">
        <v>69</v>
      </c>
      <c r="AR21">
        <v>704</v>
      </c>
      <c r="AZ21">
        <v>1200</v>
      </c>
      <c r="BA21">
        <v>1</v>
      </c>
      <c r="BE21">
        <v>0</v>
      </c>
      <c r="BF21">
        <v>0</v>
      </c>
      <c r="BG21">
        <v>0</v>
      </c>
      <c r="BH21">
        <v>150</v>
      </c>
      <c r="BI21">
        <v>1</v>
      </c>
      <c r="BJ21">
        <v>1</v>
      </c>
      <c r="BK21">
        <v>0</v>
      </c>
      <c r="BL21">
        <v>0</v>
      </c>
      <c r="BO21">
        <v>0</v>
      </c>
      <c r="BP21">
        <v>0</v>
      </c>
      <c r="BW21" t="str">
        <f t="shared" si="9"/>
        <v>14:40:52.218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343</v>
      </c>
      <c r="CR21">
        <v>2</v>
      </c>
      <c r="CW21">
        <v>12928151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1</v>
      </c>
      <c r="DF21">
        <v>1</v>
      </c>
      <c r="DG21">
        <v>0</v>
      </c>
      <c r="DH21">
        <v>0</v>
      </c>
      <c r="DI21">
        <v>1</v>
      </c>
    </row>
    <row r="22" spans="1:113" x14ac:dyDescent="0.3">
      <c r="A22" t="str">
        <f t="shared" ref="A22:A29" si="10">"05/12/2020 14:40:35.466"</f>
        <v>05/12/2020 14:40:35.466</v>
      </c>
      <c r="C22" t="str">
        <f t="shared" ref="C22:C85" si="11">"FFDFD3C0"</f>
        <v>FFDFD3C0</v>
      </c>
      <c r="D22" t="s">
        <v>138</v>
      </c>
      <c r="E22">
        <v>2</v>
      </c>
      <c r="H22">
        <v>8</v>
      </c>
      <c r="I22" t="s">
        <v>139</v>
      </c>
      <c r="J22" t="s">
        <v>136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ref="S22:S29" si="12">"14:40:53.289"</f>
        <v>14:40:53.289</v>
      </c>
      <c r="T22" t="str">
        <f t="shared" ref="T22:T29" si="13">"14:40:52.989"</f>
        <v>14:40:52.989</v>
      </c>
      <c r="U22" t="str">
        <f t="shared" si="1"/>
        <v>A9808D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143</v>
      </c>
      <c r="AJ22">
        <v>28.227588999999998</v>
      </c>
      <c r="AK22" t="s">
        <v>144</v>
      </c>
      <c r="AL22">
        <v>-82.380337999999995</v>
      </c>
      <c r="AM22">
        <v>100</v>
      </c>
      <c r="AN22">
        <v>100</v>
      </c>
      <c r="AO22" t="s">
        <v>118</v>
      </c>
      <c r="AP22">
        <v>-55</v>
      </c>
      <c r="AQ22">
        <v>69</v>
      </c>
      <c r="AR22">
        <v>704</v>
      </c>
      <c r="AZ22">
        <v>1200</v>
      </c>
      <c r="BA22">
        <v>1</v>
      </c>
      <c r="BB22" t="str">
        <f t="shared" ref="BB22:BB85" si="14">"N711JA  "</f>
        <v xml:space="preserve">N711JA  </v>
      </c>
      <c r="BC22">
        <v>1</v>
      </c>
      <c r="BE22">
        <v>0</v>
      </c>
      <c r="BF22">
        <v>0</v>
      </c>
      <c r="BG22">
        <v>0</v>
      </c>
      <c r="BH22">
        <v>175</v>
      </c>
      <c r="BI22">
        <v>1</v>
      </c>
      <c r="BJ22">
        <v>1</v>
      </c>
      <c r="BK22">
        <v>0</v>
      </c>
      <c r="BL22">
        <v>0</v>
      </c>
      <c r="BO22">
        <v>0</v>
      </c>
      <c r="BP22">
        <v>0</v>
      </c>
      <c r="BW22" t="str">
        <f t="shared" ref="BW22:BW29" si="15">"14:40:53.294"</f>
        <v>14:40:53.294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119</v>
      </c>
      <c r="CQ22">
        <v>343</v>
      </c>
      <c r="CR22">
        <v>1</v>
      </c>
      <c r="CW22">
        <v>10498563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 t="shared" si="10"/>
        <v>05/12/2020 14:40:35.466</v>
      </c>
      <c r="C23" t="str">
        <f t="shared" si="11"/>
        <v>FFDFD3C0</v>
      </c>
      <c r="D23" t="s">
        <v>138</v>
      </c>
      <c r="E23">
        <v>3</v>
      </c>
      <c r="H23">
        <v>9</v>
      </c>
      <c r="I23" t="s">
        <v>140</v>
      </c>
      <c r="J23" t="s">
        <v>136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2"/>
        <v>14:40:53.289</v>
      </c>
      <c r="T23" t="str">
        <f t="shared" si="13"/>
        <v>14:40:52.989</v>
      </c>
      <c r="U23" t="str">
        <f t="shared" si="1"/>
        <v>A9808D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143</v>
      </c>
      <c r="AJ23">
        <v>28.227588999999998</v>
      </c>
      <c r="AK23" t="s">
        <v>144</v>
      </c>
      <c r="AL23">
        <v>-82.380337999999995</v>
      </c>
      <c r="AM23">
        <v>100</v>
      </c>
      <c r="AN23">
        <v>100</v>
      </c>
      <c r="AO23" t="s">
        <v>118</v>
      </c>
      <c r="AP23">
        <v>-55</v>
      </c>
      <c r="AQ23">
        <v>69</v>
      </c>
      <c r="AR23">
        <v>704</v>
      </c>
      <c r="AZ23">
        <v>1200</v>
      </c>
      <c r="BA23">
        <v>1</v>
      </c>
      <c r="BB23" t="str">
        <f t="shared" si="14"/>
        <v xml:space="preserve">N711JA  </v>
      </c>
      <c r="BC23">
        <v>1</v>
      </c>
      <c r="BE23">
        <v>0</v>
      </c>
      <c r="BF23">
        <v>0</v>
      </c>
      <c r="BG23">
        <v>0</v>
      </c>
      <c r="BH23">
        <v>175</v>
      </c>
      <c r="BI23">
        <v>1</v>
      </c>
      <c r="BJ23">
        <v>1</v>
      </c>
      <c r="BK23">
        <v>0</v>
      </c>
      <c r="BL23">
        <v>0</v>
      </c>
      <c r="BO23">
        <v>0</v>
      </c>
      <c r="BP23">
        <v>0</v>
      </c>
      <c r="BW23" t="str">
        <f t="shared" si="15"/>
        <v>14:40:53.294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6</v>
      </c>
      <c r="CP23" t="s">
        <v>119</v>
      </c>
      <c r="CQ23">
        <v>343</v>
      </c>
      <c r="CR23">
        <v>1</v>
      </c>
      <c r="CW23">
        <v>10498563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 t="shared" si="10"/>
        <v>05/12/2020 14:40:35.466</v>
      </c>
      <c r="C24" t="str">
        <f t="shared" si="11"/>
        <v>FFDFD3C0</v>
      </c>
      <c r="D24" t="s">
        <v>126</v>
      </c>
      <c r="E24">
        <v>7</v>
      </c>
      <c r="F24">
        <v>1007</v>
      </c>
      <c r="G24" t="s">
        <v>127</v>
      </c>
      <c r="J24" t="s">
        <v>128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2"/>
        <v>14:40:53.289</v>
      </c>
      <c r="T24" t="str">
        <f t="shared" si="13"/>
        <v>14:40:52.989</v>
      </c>
      <c r="U24" t="str">
        <f t="shared" si="1"/>
        <v>A9808D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143</v>
      </c>
      <c r="AJ24">
        <v>28.227588999999998</v>
      </c>
      <c r="AK24" t="s">
        <v>144</v>
      </c>
      <c r="AL24">
        <v>-82.380337999999995</v>
      </c>
      <c r="AM24">
        <v>100</v>
      </c>
      <c r="AN24">
        <v>100</v>
      </c>
      <c r="AO24" t="s">
        <v>118</v>
      </c>
      <c r="AP24">
        <v>-55</v>
      </c>
      <c r="AQ24">
        <v>69</v>
      </c>
      <c r="AR24">
        <v>704</v>
      </c>
      <c r="AZ24">
        <v>1200</v>
      </c>
      <c r="BA24">
        <v>1</v>
      </c>
      <c r="BB24" t="str">
        <f t="shared" si="14"/>
        <v xml:space="preserve">N711JA  </v>
      </c>
      <c r="BC24">
        <v>1</v>
      </c>
      <c r="BE24">
        <v>0</v>
      </c>
      <c r="BF24">
        <v>0</v>
      </c>
      <c r="BG24">
        <v>0</v>
      </c>
      <c r="BH24">
        <v>175</v>
      </c>
      <c r="BI24">
        <v>1</v>
      </c>
      <c r="BJ24">
        <v>1</v>
      </c>
      <c r="BK24">
        <v>0</v>
      </c>
      <c r="BL24">
        <v>0</v>
      </c>
      <c r="BO24">
        <v>0</v>
      </c>
      <c r="BP24">
        <v>0</v>
      </c>
      <c r="BW24" t="str">
        <f t="shared" si="15"/>
        <v>14:40:53.294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6</v>
      </c>
      <c r="CP24" t="s">
        <v>119</v>
      </c>
      <c r="CQ24">
        <v>343</v>
      </c>
      <c r="CR24">
        <v>1</v>
      </c>
      <c r="CW24">
        <v>10498563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 t="shared" si="10"/>
        <v>05/12/2020 14:40:35.466</v>
      </c>
      <c r="C25" t="str">
        <f t="shared" si="11"/>
        <v>FFDFD3C0</v>
      </c>
      <c r="D25" t="s">
        <v>131</v>
      </c>
      <c r="E25">
        <v>10</v>
      </c>
      <c r="F25">
        <v>2010</v>
      </c>
      <c r="G25" t="s">
        <v>132</v>
      </c>
      <c r="J25" t="s">
        <v>133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2"/>
        <v>14:40:53.289</v>
      </c>
      <c r="T25" t="str">
        <f t="shared" si="13"/>
        <v>14:40:52.989</v>
      </c>
      <c r="U25" t="str">
        <f t="shared" si="1"/>
        <v>A9808D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143</v>
      </c>
      <c r="AJ25">
        <v>28.227588999999998</v>
      </c>
      <c r="AK25" t="s">
        <v>144</v>
      </c>
      <c r="AL25">
        <v>-82.380337999999995</v>
      </c>
      <c r="AM25">
        <v>100</v>
      </c>
      <c r="AN25">
        <v>100</v>
      </c>
      <c r="AO25" t="s">
        <v>118</v>
      </c>
      <c r="AP25">
        <v>-55</v>
      </c>
      <c r="AQ25">
        <v>69</v>
      </c>
      <c r="AR25">
        <v>704</v>
      </c>
      <c r="AZ25">
        <v>1200</v>
      </c>
      <c r="BA25">
        <v>1</v>
      </c>
      <c r="BB25" t="str">
        <f t="shared" si="14"/>
        <v xml:space="preserve">N711JA  </v>
      </c>
      <c r="BC25">
        <v>1</v>
      </c>
      <c r="BE25">
        <v>0</v>
      </c>
      <c r="BF25">
        <v>0</v>
      </c>
      <c r="BG25">
        <v>0</v>
      </c>
      <c r="BH25">
        <v>175</v>
      </c>
      <c r="BI25">
        <v>1</v>
      </c>
      <c r="BJ25">
        <v>1</v>
      </c>
      <c r="BK25">
        <v>0</v>
      </c>
      <c r="BL25">
        <v>0</v>
      </c>
      <c r="BO25">
        <v>0</v>
      </c>
      <c r="BP25">
        <v>0</v>
      </c>
      <c r="BW25" t="str">
        <f t="shared" si="15"/>
        <v>14:40:53.294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119</v>
      </c>
      <c r="CQ25">
        <v>343</v>
      </c>
      <c r="CR25">
        <v>1</v>
      </c>
      <c r="CW25">
        <v>10498563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 t="shared" si="10"/>
        <v>05/12/2020 14:40:35.466</v>
      </c>
      <c r="C26" t="str">
        <f t="shared" si="11"/>
        <v>FFDFD3C0</v>
      </c>
      <c r="D26" t="s">
        <v>131</v>
      </c>
      <c r="E26">
        <v>12</v>
      </c>
      <c r="F26">
        <v>2012</v>
      </c>
      <c r="G26" t="s">
        <v>137</v>
      </c>
      <c r="J26" t="s">
        <v>133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2"/>
        <v>14:40:53.289</v>
      </c>
      <c r="T26" t="str">
        <f t="shared" si="13"/>
        <v>14:40:52.989</v>
      </c>
      <c r="U26" t="str">
        <f t="shared" si="1"/>
        <v>A9808D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143</v>
      </c>
      <c r="AJ26">
        <v>28.227588999999998</v>
      </c>
      <c r="AK26" t="s">
        <v>144</v>
      </c>
      <c r="AL26">
        <v>-82.380337999999995</v>
      </c>
      <c r="AM26">
        <v>100</v>
      </c>
      <c r="AN26">
        <v>100</v>
      </c>
      <c r="AO26" t="s">
        <v>118</v>
      </c>
      <c r="AP26">
        <v>-55</v>
      </c>
      <c r="AQ26">
        <v>69</v>
      </c>
      <c r="AR26">
        <v>704</v>
      </c>
      <c r="AZ26">
        <v>1200</v>
      </c>
      <c r="BA26">
        <v>1</v>
      </c>
      <c r="BB26" t="str">
        <f t="shared" si="14"/>
        <v xml:space="preserve">N711JA  </v>
      </c>
      <c r="BC26">
        <v>1</v>
      </c>
      <c r="BE26">
        <v>0</v>
      </c>
      <c r="BF26">
        <v>0</v>
      </c>
      <c r="BG26">
        <v>0</v>
      </c>
      <c r="BH26">
        <v>175</v>
      </c>
      <c r="BI26">
        <v>1</v>
      </c>
      <c r="BJ26">
        <v>1</v>
      </c>
      <c r="BK26">
        <v>0</v>
      </c>
      <c r="BL26">
        <v>0</v>
      </c>
      <c r="BO26">
        <v>0</v>
      </c>
      <c r="BP26">
        <v>0</v>
      </c>
      <c r="BW26" t="str">
        <f t="shared" si="15"/>
        <v>14:40:53.294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6</v>
      </c>
      <c r="CP26" t="s">
        <v>119</v>
      </c>
      <c r="CQ26">
        <v>343</v>
      </c>
      <c r="CR26">
        <v>1</v>
      </c>
      <c r="CW26">
        <v>10498563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 t="shared" si="10"/>
        <v>05/12/2020 14:40:35.466</v>
      </c>
      <c r="C27" t="str">
        <f t="shared" si="11"/>
        <v>FFDFD3C0</v>
      </c>
      <c r="D27" t="s">
        <v>113</v>
      </c>
      <c r="E27">
        <v>3</v>
      </c>
      <c r="H27">
        <v>164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2"/>
        <v>14:40:53.289</v>
      </c>
      <c r="T27" t="str">
        <f t="shared" si="13"/>
        <v>14:40:52.989</v>
      </c>
      <c r="U27" t="str">
        <f t="shared" si="1"/>
        <v>A9808D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0</v>
      </c>
      <c r="AI27" t="s">
        <v>143</v>
      </c>
      <c r="AJ27">
        <v>28.227588999999998</v>
      </c>
      <c r="AK27" t="s">
        <v>144</v>
      </c>
      <c r="AL27">
        <v>-82.380337999999995</v>
      </c>
      <c r="AM27">
        <v>100</v>
      </c>
      <c r="AN27">
        <v>100</v>
      </c>
      <c r="AO27" t="s">
        <v>118</v>
      </c>
      <c r="AP27">
        <v>-55</v>
      </c>
      <c r="AQ27">
        <v>69</v>
      </c>
      <c r="AR27">
        <v>704</v>
      </c>
      <c r="AZ27">
        <v>1200</v>
      </c>
      <c r="BA27">
        <v>1</v>
      </c>
      <c r="BB27" t="str">
        <f t="shared" si="14"/>
        <v xml:space="preserve">N711JA  </v>
      </c>
      <c r="BC27">
        <v>1</v>
      </c>
      <c r="BE27">
        <v>0</v>
      </c>
      <c r="BF27">
        <v>0</v>
      </c>
      <c r="BG27">
        <v>0</v>
      </c>
      <c r="BH27">
        <v>175</v>
      </c>
      <c r="BI27">
        <v>1</v>
      </c>
      <c r="BJ27">
        <v>1</v>
      </c>
      <c r="BK27">
        <v>0</v>
      </c>
      <c r="BL27">
        <v>0</v>
      </c>
      <c r="BO27">
        <v>0</v>
      </c>
      <c r="BP27">
        <v>0</v>
      </c>
      <c r="BW27" t="str">
        <f t="shared" si="15"/>
        <v>14:40:53.294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119</v>
      </c>
      <c r="CQ27">
        <v>343</v>
      </c>
      <c r="CR27">
        <v>1</v>
      </c>
      <c r="CW27">
        <v>10498563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 t="shared" si="10"/>
        <v>05/12/2020 14:40:35.466</v>
      </c>
      <c r="C28" t="str">
        <f t="shared" si="11"/>
        <v>FFDFD3C0</v>
      </c>
      <c r="D28" t="s">
        <v>126</v>
      </c>
      <c r="E28">
        <v>6</v>
      </c>
      <c r="F28">
        <v>1006</v>
      </c>
      <c r="G28" t="s">
        <v>114</v>
      </c>
      <c r="J28" t="s">
        <v>128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12"/>
        <v>14:40:53.289</v>
      </c>
      <c r="T28" t="str">
        <f t="shared" si="13"/>
        <v>14:40:52.989</v>
      </c>
      <c r="U28" t="str">
        <f t="shared" si="1"/>
        <v>A9808D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0</v>
      </c>
      <c r="AI28" t="s">
        <v>143</v>
      </c>
      <c r="AJ28">
        <v>28.227588999999998</v>
      </c>
      <c r="AK28" t="s">
        <v>144</v>
      </c>
      <c r="AL28">
        <v>-82.380337999999995</v>
      </c>
      <c r="AM28">
        <v>100</v>
      </c>
      <c r="AN28">
        <v>100</v>
      </c>
      <c r="AO28" t="s">
        <v>118</v>
      </c>
      <c r="AP28">
        <v>-55</v>
      </c>
      <c r="AQ28">
        <v>69</v>
      </c>
      <c r="AR28">
        <v>704</v>
      </c>
      <c r="AZ28">
        <v>1200</v>
      </c>
      <c r="BA28">
        <v>1</v>
      </c>
      <c r="BB28" t="str">
        <f t="shared" si="14"/>
        <v xml:space="preserve">N711JA  </v>
      </c>
      <c r="BC28">
        <v>1</v>
      </c>
      <c r="BE28">
        <v>0</v>
      </c>
      <c r="BF28">
        <v>0</v>
      </c>
      <c r="BG28">
        <v>0</v>
      </c>
      <c r="BH28">
        <v>175</v>
      </c>
      <c r="BI28">
        <v>1</v>
      </c>
      <c r="BJ28">
        <v>1</v>
      </c>
      <c r="BK28">
        <v>0</v>
      </c>
      <c r="BL28">
        <v>0</v>
      </c>
      <c r="BO28">
        <v>0</v>
      </c>
      <c r="BP28">
        <v>0</v>
      </c>
      <c r="BW28" t="str">
        <f t="shared" si="15"/>
        <v>14:40:53.294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343</v>
      </c>
      <c r="CR28">
        <v>1</v>
      </c>
      <c r="CW28">
        <v>10498563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 t="shared" si="10"/>
        <v>05/12/2020 14:40:35.466</v>
      </c>
      <c r="C29" t="str">
        <f t="shared" si="11"/>
        <v>FFDFD3C0</v>
      </c>
      <c r="D29" t="s">
        <v>134</v>
      </c>
      <c r="E29">
        <v>12</v>
      </c>
      <c r="H29">
        <v>64</v>
      </c>
      <c r="I29" t="s">
        <v>135</v>
      </c>
      <c r="J29" t="s">
        <v>136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2"/>
        <v>14:40:53.289</v>
      </c>
      <c r="T29" t="str">
        <f t="shared" si="13"/>
        <v>14:40:52.989</v>
      </c>
      <c r="U29" t="str">
        <f t="shared" si="1"/>
        <v>A9808D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0</v>
      </c>
      <c r="AI29" t="s">
        <v>143</v>
      </c>
      <c r="AJ29">
        <v>28.227588999999998</v>
      </c>
      <c r="AK29" t="s">
        <v>144</v>
      </c>
      <c r="AL29">
        <v>-82.380337999999995</v>
      </c>
      <c r="AM29">
        <v>100</v>
      </c>
      <c r="AN29">
        <v>100</v>
      </c>
      <c r="AO29" t="s">
        <v>118</v>
      </c>
      <c r="AP29">
        <v>-55</v>
      </c>
      <c r="AQ29">
        <v>69</v>
      </c>
      <c r="AR29">
        <v>704</v>
      </c>
      <c r="AZ29">
        <v>1200</v>
      </c>
      <c r="BA29">
        <v>1</v>
      </c>
      <c r="BB29" t="str">
        <f t="shared" si="14"/>
        <v xml:space="preserve">N711JA  </v>
      </c>
      <c r="BC29">
        <v>1</v>
      </c>
      <c r="BE29">
        <v>0</v>
      </c>
      <c r="BF29">
        <v>0</v>
      </c>
      <c r="BG29">
        <v>0</v>
      </c>
      <c r="BH29">
        <v>175</v>
      </c>
      <c r="BI29">
        <v>1</v>
      </c>
      <c r="BJ29">
        <v>1</v>
      </c>
      <c r="BK29">
        <v>0</v>
      </c>
      <c r="BL29">
        <v>0</v>
      </c>
      <c r="BO29">
        <v>0</v>
      </c>
      <c r="BP29">
        <v>0</v>
      </c>
      <c r="BW29" t="str">
        <f t="shared" si="15"/>
        <v>14:40:53.294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119</v>
      </c>
      <c r="CQ29">
        <v>343</v>
      </c>
      <c r="CR29">
        <v>1</v>
      </c>
      <c r="CW29">
        <v>10498563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 t="shared" ref="A30:A37" si="16">"05/12/2020 14:40:36.531"</f>
        <v>05/12/2020 14:40:36.531</v>
      </c>
      <c r="C30" t="str">
        <f t="shared" si="11"/>
        <v>FFDFD3C0</v>
      </c>
      <c r="D30" t="s">
        <v>138</v>
      </c>
      <c r="E30">
        <v>2</v>
      </c>
      <c r="H30">
        <v>8</v>
      </c>
      <c r="I30" t="s">
        <v>139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ref="S30:S37" si="17">"14:40:54.344"</f>
        <v>14:40:54.344</v>
      </c>
      <c r="T30" t="str">
        <f t="shared" ref="T30:T37" si="18">"14:40:53.944"</f>
        <v>14:40:53.944</v>
      </c>
      <c r="U30" t="str">
        <f t="shared" si="1"/>
        <v>A9808D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0</v>
      </c>
      <c r="AI30" t="s">
        <v>145</v>
      </c>
      <c r="AJ30">
        <v>28.227910999999999</v>
      </c>
      <c r="AK30" t="s">
        <v>146</v>
      </c>
      <c r="AL30">
        <v>-82.380617000000001</v>
      </c>
      <c r="AM30">
        <v>100</v>
      </c>
      <c r="AN30">
        <v>100</v>
      </c>
      <c r="AO30" t="s">
        <v>118</v>
      </c>
      <c r="AP30">
        <v>-55</v>
      </c>
      <c r="AQ30">
        <v>70</v>
      </c>
      <c r="AR30">
        <v>960</v>
      </c>
      <c r="AZ30">
        <v>1200</v>
      </c>
      <c r="BA30">
        <v>1</v>
      </c>
      <c r="BB30" t="str">
        <f t="shared" si="14"/>
        <v xml:space="preserve">N711JA  </v>
      </c>
      <c r="BC30">
        <v>1</v>
      </c>
      <c r="BE30">
        <v>0</v>
      </c>
      <c r="BF30">
        <v>0</v>
      </c>
      <c r="BG30">
        <v>0</v>
      </c>
      <c r="BH30">
        <v>175</v>
      </c>
      <c r="BI30">
        <v>1</v>
      </c>
      <c r="BJ30">
        <v>1</v>
      </c>
      <c r="BK30">
        <v>0</v>
      </c>
      <c r="BL30">
        <v>0</v>
      </c>
      <c r="BO30">
        <v>0</v>
      </c>
      <c r="BP30">
        <v>0</v>
      </c>
      <c r="BW30" t="str">
        <f t="shared" ref="BW30:BW37" si="19">"14:40:54.345"</f>
        <v>14:40:54.345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119</v>
      </c>
      <c r="CQ30">
        <v>343</v>
      </c>
      <c r="CR30">
        <v>1</v>
      </c>
      <c r="CW30">
        <v>10499637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 t="shared" si="16"/>
        <v>05/12/2020 14:40:36.531</v>
      </c>
      <c r="C31" t="str">
        <f t="shared" si="11"/>
        <v>FFDFD3C0</v>
      </c>
      <c r="D31" t="s">
        <v>138</v>
      </c>
      <c r="E31">
        <v>3</v>
      </c>
      <c r="H31">
        <v>9</v>
      </c>
      <c r="I31" t="s">
        <v>140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7"/>
        <v>14:40:54.344</v>
      </c>
      <c r="T31" t="str">
        <f t="shared" si="18"/>
        <v>14:40:53.944</v>
      </c>
      <c r="U31" t="str">
        <f t="shared" si="1"/>
        <v>A9808D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0</v>
      </c>
      <c r="AI31" t="s">
        <v>145</v>
      </c>
      <c r="AJ31">
        <v>28.227910999999999</v>
      </c>
      <c r="AK31" t="s">
        <v>146</v>
      </c>
      <c r="AL31">
        <v>-82.380617000000001</v>
      </c>
      <c r="AM31">
        <v>100</v>
      </c>
      <c r="AN31">
        <v>100</v>
      </c>
      <c r="AO31" t="s">
        <v>118</v>
      </c>
      <c r="AP31">
        <v>-55</v>
      </c>
      <c r="AQ31">
        <v>70</v>
      </c>
      <c r="AR31">
        <v>960</v>
      </c>
      <c r="AZ31">
        <v>1200</v>
      </c>
      <c r="BA31">
        <v>1</v>
      </c>
      <c r="BB31" t="str">
        <f t="shared" si="14"/>
        <v xml:space="preserve">N711JA  </v>
      </c>
      <c r="BC31">
        <v>1</v>
      </c>
      <c r="BE31">
        <v>0</v>
      </c>
      <c r="BF31">
        <v>0</v>
      </c>
      <c r="BG31">
        <v>0</v>
      </c>
      <c r="BH31">
        <v>175</v>
      </c>
      <c r="BI31">
        <v>1</v>
      </c>
      <c r="BJ31">
        <v>1</v>
      </c>
      <c r="BK31">
        <v>0</v>
      </c>
      <c r="BL31">
        <v>0</v>
      </c>
      <c r="BO31">
        <v>0</v>
      </c>
      <c r="BP31">
        <v>0</v>
      </c>
      <c r="BW31" t="str">
        <f t="shared" si="19"/>
        <v>14:40:54.345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119</v>
      </c>
      <c r="CQ31">
        <v>343</v>
      </c>
      <c r="CR31">
        <v>1</v>
      </c>
      <c r="CW31">
        <v>10499637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 t="shared" si="16"/>
        <v>05/12/2020 14:40:36.531</v>
      </c>
      <c r="C32" t="str">
        <f t="shared" si="11"/>
        <v>FFDFD3C0</v>
      </c>
      <c r="D32" t="s">
        <v>126</v>
      </c>
      <c r="E32">
        <v>7</v>
      </c>
      <c r="F32">
        <v>1007</v>
      </c>
      <c r="G32" t="s">
        <v>127</v>
      </c>
      <c r="J32" t="s">
        <v>128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7"/>
        <v>14:40:54.344</v>
      </c>
      <c r="T32" t="str">
        <f t="shared" si="18"/>
        <v>14:40:53.944</v>
      </c>
      <c r="U32" t="str">
        <f t="shared" si="1"/>
        <v>A9808D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0</v>
      </c>
      <c r="AI32" t="s">
        <v>145</v>
      </c>
      <c r="AJ32">
        <v>28.227910999999999</v>
      </c>
      <c r="AK32" t="s">
        <v>146</v>
      </c>
      <c r="AL32">
        <v>-82.380617000000001</v>
      </c>
      <c r="AM32">
        <v>100</v>
      </c>
      <c r="AN32">
        <v>100</v>
      </c>
      <c r="AO32" t="s">
        <v>118</v>
      </c>
      <c r="AP32">
        <v>-55</v>
      </c>
      <c r="AQ32">
        <v>70</v>
      </c>
      <c r="AR32">
        <v>960</v>
      </c>
      <c r="AZ32">
        <v>1200</v>
      </c>
      <c r="BA32">
        <v>1</v>
      </c>
      <c r="BB32" t="str">
        <f t="shared" si="14"/>
        <v xml:space="preserve">N711JA  </v>
      </c>
      <c r="BC32">
        <v>1</v>
      </c>
      <c r="BE32">
        <v>0</v>
      </c>
      <c r="BF32">
        <v>0</v>
      </c>
      <c r="BG32">
        <v>0</v>
      </c>
      <c r="BH32">
        <v>175</v>
      </c>
      <c r="BI32">
        <v>1</v>
      </c>
      <c r="BJ32">
        <v>1</v>
      </c>
      <c r="BK32">
        <v>0</v>
      </c>
      <c r="BL32">
        <v>0</v>
      </c>
      <c r="BO32">
        <v>0</v>
      </c>
      <c r="BP32">
        <v>0</v>
      </c>
      <c r="BW32" t="str">
        <f t="shared" si="19"/>
        <v>14:40:54.345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6</v>
      </c>
      <c r="CP32" t="s">
        <v>119</v>
      </c>
      <c r="CQ32">
        <v>343</v>
      </c>
      <c r="CR32">
        <v>1</v>
      </c>
      <c r="CW32">
        <v>10499637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 t="shared" si="16"/>
        <v>05/12/2020 14:40:36.531</v>
      </c>
      <c r="C33" t="str">
        <f t="shared" si="11"/>
        <v>FFDFD3C0</v>
      </c>
      <c r="D33" t="s">
        <v>131</v>
      </c>
      <c r="E33">
        <v>10</v>
      </c>
      <c r="F33">
        <v>2010</v>
      </c>
      <c r="G33" t="s">
        <v>132</v>
      </c>
      <c r="J33" t="s">
        <v>133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7"/>
        <v>14:40:54.344</v>
      </c>
      <c r="T33" t="str">
        <f t="shared" si="18"/>
        <v>14:40:53.944</v>
      </c>
      <c r="U33" t="str">
        <f t="shared" si="1"/>
        <v>A9808D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0</v>
      </c>
      <c r="AI33" t="s">
        <v>145</v>
      </c>
      <c r="AJ33">
        <v>28.227910999999999</v>
      </c>
      <c r="AK33" t="s">
        <v>146</v>
      </c>
      <c r="AL33">
        <v>-82.380617000000001</v>
      </c>
      <c r="AM33">
        <v>100</v>
      </c>
      <c r="AN33">
        <v>100</v>
      </c>
      <c r="AO33" t="s">
        <v>118</v>
      </c>
      <c r="AP33">
        <v>-55</v>
      </c>
      <c r="AQ33">
        <v>70</v>
      </c>
      <c r="AR33">
        <v>960</v>
      </c>
      <c r="AZ33">
        <v>1200</v>
      </c>
      <c r="BA33">
        <v>1</v>
      </c>
      <c r="BB33" t="str">
        <f t="shared" si="14"/>
        <v xml:space="preserve">N711JA  </v>
      </c>
      <c r="BC33">
        <v>1</v>
      </c>
      <c r="BE33">
        <v>0</v>
      </c>
      <c r="BF33">
        <v>0</v>
      </c>
      <c r="BG33">
        <v>0</v>
      </c>
      <c r="BH33">
        <v>175</v>
      </c>
      <c r="BI33">
        <v>1</v>
      </c>
      <c r="BJ33">
        <v>1</v>
      </c>
      <c r="BK33">
        <v>0</v>
      </c>
      <c r="BL33">
        <v>0</v>
      </c>
      <c r="BO33">
        <v>0</v>
      </c>
      <c r="BP33">
        <v>0</v>
      </c>
      <c r="BW33" t="str">
        <f t="shared" si="19"/>
        <v>14:40:54.345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6</v>
      </c>
      <c r="CP33" t="s">
        <v>119</v>
      </c>
      <c r="CQ33">
        <v>343</v>
      </c>
      <c r="CR33">
        <v>1</v>
      </c>
      <c r="CW33">
        <v>10499637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 t="shared" si="16"/>
        <v>05/12/2020 14:40:36.531</v>
      </c>
      <c r="C34" t="str">
        <f t="shared" si="11"/>
        <v>FFDFD3C0</v>
      </c>
      <c r="D34" t="s">
        <v>131</v>
      </c>
      <c r="E34">
        <v>12</v>
      </c>
      <c r="F34">
        <v>2012</v>
      </c>
      <c r="G34" t="s">
        <v>137</v>
      </c>
      <c r="J34" t="s">
        <v>133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7"/>
        <v>14:40:54.344</v>
      </c>
      <c r="T34" t="str">
        <f t="shared" si="18"/>
        <v>14:40:53.944</v>
      </c>
      <c r="U34" t="str">
        <f t="shared" si="1"/>
        <v>A9808D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0</v>
      </c>
      <c r="AI34" t="s">
        <v>145</v>
      </c>
      <c r="AJ34">
        <v>28.227910999999999</v>
      </c>
      <c r="AK34" t="s">
        <v>146</v>
      </c>
      <c r="AL34">
        <v>-82.380617000000001</v>
      </c>
      <c r="AM34">
        <v>100</v>
      </c>
      <c r="AN34">
        <v>100</v>
      </c>
      <c r="AO34" t="s">
        <v>118</v>
      </c>
      <c r="AP34">
        <v>-55</v>
      </c>
      <c r="AQ34">
        <v>70</v>
      </c>
      <c r="AR34">
        <v>960</v>
      </c>
      <c r="AZ34">
        <v>1200</v>
      </c>
      <c r="BA34">
        <v>1</v>
      </c>
      <c r="BB34" t="str">
        <f t="shared" si="14"/>
        <v xml:space="preserve">N711JA  </v>
      </c>
      <c r="BC34">
        <v>1</v>
      </c>
      <c r="BE34">
        <v>0</v>
      </c>
      <c r="BF34">
        <v>0</v>
      </c>
      <c r="BG34">
        <v>0</v>
      </c>
      <c r="BH34">
        <v>175</v>
      </c>
      <c r="BI34">
        <v>1</v>
      </c>
      <c r="BJ34">
        <v>1</v>
      </c>
      <c r="BK34">
        <v>0</v>
      </c>
      <c r="BL34">
        <v>0</v>
      </c>
      <c r="BO34">
        <v>0</v>
      </c>
      <c r="BP34">
        <v>0</v>
      </c>
      <c r="BW34" t="str">
        <f t="shared" si="19"/>
        <v>14:40:54.345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6</v>
      </c>
      <c r="CP34" t="s">
        <v>119</v>
      </c>
      <c r="CQ34">
        <v>343</v>
      </c>
      <c r="CR34">
        <v>1</v>
      </c>
      <c r="CW34">
        <v>10499637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 t="shared" si="16"/>
        <v>05/12/2020 14:40:36.531</v>
      </c>
      <c r="C35" t="str">
        <f t="shared" si="11"/>
        <v>FFDFD3C0</v>
      </c>
      <c r="D35" t="s">
        <v>126</v>
      </c>
      <c r="E35">
        <v>6</v>
      </c>
      <c r="F35">
        <v>1006</v>
      </c>
      <c r="G35" t="s">
        <v>114</v>
      </c>
      <c r="J35" t="s">
        <v>128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7"/>
        <v>14:40:54.344</v>
      </c>
      <c r="T35" t="str">
        <f t="shared" si="18"/>
        <v>14:40:53.944</v>
      </c>
      <c r="U35" t="str">
        <f t="shared" si="1"/>
        <v>A9808D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0</v>
      </c>
      <c r="AI35" t="s">
        <v>145</v>
      </c>
      <c r="AJ35">
        <v>28.227910999999999</v>
      </c>
      <c r="AK35" t="s">
        <v>146</v>
      </c>
      <c r="AL35">
        <v>-82.380617000000001</v>
      </c>
      <c r="AM35">
        <v>100</v>
      </c>
      <c r="AN35">
        <v>100</v>
      </c>
      <c r="AO35" t="s">
        <v>118</v>
      </c>
      <c r="AP35">
        <v>-55</v>
      </c>
      <c r="AQ35">
        <v>70</v>
      </c>
      <c r="AR35">
        <v>960</v>
      </c>
      <c r="AZ35">
        <v>1200</v>
      </c>
      <c r="BA35">
        <v>1</v>
      </c>
      <c r="BB35" t="str">
        <f t="shared" si="14"/>
        <v xml:space="preserve">N711JA  </v>
      </c>
      <c r="BC35">
        <v>1</v>
      </c>
      <c r="BE35">
        <v>0</v>
      </c>
      <c r="BF35">
        <v>0</v>
      </c>
      <c r="BG35">
        <v>0</v>
      </c>
      <c r="BH35">
        <v>175</v>
      </c>
      <c r="BI35">
        <v>1</v>
      </c>
      <c r="BJ35">
        <v>1</v>
      </c>
      <c r="BK35">
        <v>0</v>
      </c>
      <c r="BL35">
        <v>0</v>
      </c>
      <c r="BO35">
        <v>0</v>
      </c>
      <c r="BP35">
        <v>0</v>
      </c>
      <c r="BW35" t="str">
        <f t="shared" si="19"/>
        <v>14:40:54.345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119</v>
      </c>
      <c r="CQ35">
        <v>343</v>
      </c>
      <c r="CR35">
        <v>1</v>
      </c>
      <c r="CW35">
        <v>10499637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 t="shared" si="16"/>
        <v>05/12/2020 14:40:36.531</v>
      </c>
      <c r="C36" t="str">
        <f t="shared" si="11"/>
        <v>FFDFD3C0</v>
      </c>
      <c r="D36" t="s">
        <v>113</v>
      </c>
      <c r="E36">
        <v>3</v>
      </c>
      <c r="H36">
        <v>164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7"/>
        <v>14:40:54.344</v>
      </c>
      <c r="T36" t="str">
        <f t="shared" si="18"/>
        <v>14:40:53.944</v>
      </c>
      <c r="U36" t="str">
        <f t="shared" si="1"/>
        <v>A9808D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0</v>
      </c>
      <c r="AI36" t="s">
        <v>145</v>
      </c>
      <c r="AJ36">
        <v>28.227910999999999</v>
      </c>
      <c r="AK36" t="s">
        <v>146</v>
      </c>
      <c r="AL36">
        <v>-82.380617000000001</v>
      </c>
      <c r="AM36">
        <v>100</v>
      </c>
      <c r="AN36">
        <v>100</v>
      </c>
      <c r="AO36" t="s">
        <v>118</v>
      </c>
      <c r="AP36">
        <v>-55</v>
      </c>
      <c r="AQ36">
        <v>70</v>
      </c>
      <c r="AR36">
        <v>960</v>
      </c>
      <c r="AZ36">
        <v>1200</v>
      </c>
      <c r="BA36">
        <v>1</v>
      </c>
      <c r="BB36" t="str">
        <f t="shared" si="14"/>
        <v xml:space="preserve">N711JA  </v>
      </c>
      <c r="BC36">
        <v>1</v>
      </c>
      <c r="BE36">
        <v>0</v>
      </c>
      <c r="BF36">
        <v>0</v>
      </c>
      <c r="BG36">
        <v>0</v>
      </c>
      <c r="BH36">
        <v>175</v>
      </c>
      <c r="BI36">
        <v>1</v>
      </c>
      <c r="BJ36">
        <v>1</v>
      </c>
      <c r="BK36">
        <v>0</v>
      </c>
      <c r="BL36">
        <v>0</v>
      </c>
      <c r="BO36">
        <v>0</v>
      </c>
      <c r="BP36">
        <v>0</v>
      </c>
      <c r="BW36" t="str">
        <f t="shared" si="19"/>
        <v>14:40:54.345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343</v>
      </c>
      <c r="CR36">
        <v>1</v>
      </c>
      <c r="CW36">
        <v>10499637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 t="shared" si="16"/>
        <v>05/12/2020 14:40:36.531</v>
      </c>
      <c r="C37" t="str">
        <f t="shared" si="11"/>
        <v>FFDFD3C0</v>
      </c>
      <c r="D37" t="s">
        <v>134</v>
      </c>
      <c r="E37">
        <v>12</v>
      </c>
      <c r="H37">
        <v>64</v>
      </c>
      <c r="I37" t="s">
        <v>135</v>
      </c>
      <c r="J37" t="s">
        <v>136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7"/>
        <v>14:40:54.344</v>
      </c>
      <c r="T37" t="str">
        <f t="shared" si="18"/>
        <v>14:40:53.944</v>
      </c>
      <c r="U37" t="str">
        <f t="shared" si="1"/>
        <v>A9808D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0</v>
      </c>
      <c r="AI37" t="s">
        <v>145</v>
      </c>
      <c r="AJ37">
        <v>28.227910999999999</v>
      </c>
      <c r="AK37" t="s">
        <v>146</v>
      </c>
      <c r="AL37">
        <v>-82.380617000000001</v>
      </c>
      <c r="AM37">
        <v>100</v>
      </c>
      <c r="AN37">
        <v>100</v>
      </c>
      <c r="AO37" t="s">
        <v>118</v>
      </c>
      <c r="AP37">
        <v>-55</v>
      </c>
      <c r="AQ37">
        <v>70</v>
      </c>
      <c r="AR37">
        <v>960</v>
      </c>
      <c r="AZ37">
        <v>1200</v>
      </c>
      <c r="BA37">
        <v>1</v>
      </c>
      <c r="BB37" t="str">
        <f t="shared" si="14"/>
        <v xml:space="preserve">N711JA  </v>
      </c>
      <c r="BC37">
        <v>1</v>
      </c>
      <c r="BE37">
        <v>0</v>
      </c>
      <c r="BF37">
        <v>0</v>
      </c>
      <c r="BG37">
        <v>0</v>
      </c>
      <c r="BH37">
        <v>175</v>
      </c>
      <c r="BI37">
        <v>1</v>
      </c>
      <c r="BJ37">
        <v>1</v>
      </c>
      <c r="BK37">
        <v>0</v>
      </c>
      <c r="BL37">
        <v>0</v>
      </c>
      <c r="BO37">
        <v>0</v>
      </c>
      <c r="BP37">
        <v>0</v>
      </c>
      <c r="BW37" t="str">
        <f t="shared" si="19"/>
        <v>14:40:54.345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343</v>
      </c>
      <c r="CR37">
        <v>1</v>
      </c>
      <c r="CW37">
        <v>10499637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 t="shared" ref="A38:A45" si="20">"05/12/2020 14:40:37.409"</f>
        <v>05/12/2020 14:40:37.409</v>
      </c>
      <c r="C38" t="str">
        <f t="shared" si="11"/>
        <v>FFDFD3C0</v>
      </c>
      <c r="D38" t="s">
        <v>126</v>
      </c>
      <c r="E38">
        <v>6</v>
      </c>
      <c r="F38">
        <v>1006</v>
      </c>
      <c r="G38" t="s">
        <v>114</v>
      </c>
      <c r="J38" t="s">
        <v>128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S45" si="21">"14:40:55.227"</f>
        <v>14:40:55.227</v>
      </c>
      <c r="T38" t="str">
        <f t="shared" ref="T38:T45" si="22">"14:40:55.127"</f>
        <v>14:40:55.127</v>
      </c>
      <c r="U38" t="str">
        <f t="shared" si="1"/>
        <v>A9808D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0</v>
      </c>
      <c r="AI38" t="s">
        <v>147</v>
      </c>
      <c r="AJ38">
        <v>28.228211000000002</v>
      </c>
      <c r="AK38" t="s">
        <v>148</v>
      </c>
      <c r="AL38">
        <v>-82.380874000000006</v>
      </c>
      <c r="AM38">
        <v>100</v>
      </c>
      <c r="AN38">
        <v>100</v>
      </c>
      <c r="AO38" t="s">
        <v>118</v>
      </c>
      <c r="AP38">
        <v>-53</v>
      </c>
      <c r="AQ38">
        <v>71</v>
      </c>
      <c r="AR38">
        <v>832</v>
      </c>
      <c r="AZ38">
        <v>1200</v>
      </c>
      <c r="BA38">
        <v>1</v>
      </c>
      <c r="BB38" t="str">
        <f t="shared" si="14"/>
        <v xml:space="preserve">N711JA  </v>
      </c>
      <c r="BC38">
        <v>1</v>
      </c>
      <c r="BE38">
        <v>0</v>
      </c>
      <c r="BF38">
        <v>0</v>
      </c>
      <c r="BG38">
        <v>0</v>
      </c>
      <c r="BH38">
        <v>200</v>
      </c>
      <c r="BI38">
        <v>1</v>
      </c>
      <c r="BJ38">
        <v>1</v>
      </c>
      <c r="BK38">
        <v>0</v>
      </c>
      <c r="BL38">
        <v>0</v>
      </c>
      <c r="BO38">
        <v>0</v>
      </c>
      <c r="BP38">
        <v>0</v>
      </c>
      <c r="BW38" t="str">
        <f t="shared" ref="BW38:BW45" si="23">"14:40:55.229"</f>
        <v>14:40:55.229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343</v>
      </c>
      <c r="CR38">
        <v>1</v>
      </c>
      <c r="CW38">
        <v>10500551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 t="shared" si="20"/>
        <v>05/12/2020 14:40:37.409</v>
      </c>
      <c r="C39" t="str">
        <f t="shared" si="11"/>
        <v>FFDFD3C0</v>
      </c>
      <c r="D39" t="s">
        <v>113</v>
      </c>
      <c r="E39">
        <v>3</v>
      </c>
      <c r="H39">
        <v>164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1"/>
        <v>14:40:55.227</v>
      </c>
      <c r="T39" t="str">
        <f t="shared" si="22"/>
        <v>14:40:55.127</v>
      </c>
      <c r="U39" t="str">
        <f t="shared" si="1"/>
        <v>A9808D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0</v>
      </c>
      <c r="AI39" t="s">
        <v>147</v>
      </c>
      <c r="AJ39">
        <v>28.228211000000002</v>
      </c>
      <c r="AK39" t="s">
        <v>148</v>
      </c>
      <c r="AL39">
        <v>-82.380874000000006</v>
      </c>
      <c r="AM39">
        <v>100</v>
      </c>
      <c r="AN39">
        <v>100</v>
      </c>
      <c r="AO39" t="s">
        <v>118</v>
      </c>
      <c r="AP39">
        <v>-53</v>
      </c>
      <c r="AQ39">
        <v>71</v>
      </c>
      <c r="AR39">
        <v>832</v>
      </c>
      <c r="AZ39">
        <v>1200</v>
      </c>
      <c r="BA39">
        <v>1</v>
      </c>
      <c r="BB39" t="str">
        <f t="shared" si="14"/>
        <v xml:space="preserve">N711JA  </v>
      </c>
      <c r="BC39">
        <v>1</v>
      </c>
      <c r="BE39">
        <v>0</v>
      </c>
      <c r="BF39">
        <v>0</v>
      </c>
      <c r="BG39">
        <v>0</v>
      </c>
      <c r="BH39">
        <v>200</v>
      </c>
      <c r="BI39">
        <v>1</v>
      </c>
      <c r="BJ39">
        <v>1</v>
      </c>
      <c r="BK39">
        <v>0</v>
      </c>
      <c r="BL39">
        <v>0</v>
      </c>
      <c r="BO39">
        <v>0</v>
      </c>
      <c r="BP39">
        <v>0</v>
      </c>
      <c r="BW39" t="str">
        <f t="shared" si="23"/>
        <v>14:40:55.229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119</v>
      </c>
      <c r="CQ39">
        <v>343</v>
      </c>
      <c r="CR39">
        <v>1</v>
      </c>
      <c r="CW39">
        <v>10500551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 t="shared" si="20"/>
        <v>05/12/2020 14:40:37.409</v>
      </c>
      <c r="C40" t="str">
        <f t="shared" si="11"/>
        <v>FFDFD3C0</v>
      </c>
      <c r="D40" t="s">
        <v>134</v>
      </c>
      <c r="E40">
        <v>12</v>
      </c>
      <c r="H40">
        <v>64</v>
      </c>
      <c r="I40" t="s">
        <v>135</v>
      </c>
      <c r="J40" t="s">
        <v>136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1"/>
        <v>14:40:55.227</v>
      </c>
      <c r="T40" t="str">
        <f t="shared" si="22"/>
        <v>14:40:55.127</v>
      </c>
      <c r="U40" t="str">
        <f t="shared" si="1"/>
        <v>A9808D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0</v>
      </c>
      <c r="AI40" t="s">
        <v>147</v>
      </c>
      <c r="AJ40">
        <v>28.228211000000002</v>
      </c>
      <c r="AK40" t="s">
        <v>148</v>
      </c>
      <c r="AL40">
        <v>-82.380874000000006</v>
      </c>
      <c r="AM40">
        <v>100</v>
      </c>
      <c r="AN40">
        <v>100</v>
      </c>
      <c r="AO40" t="s">
        <v>118</v>
      </c>
      <c r="AP40">
        <v>-53</v>
      </c>
      <c r="AQ40">
        <v>71</v>
      </c>
      <c r="AR40">
        <v>832</v>
      </c>
      <c r="AZ40">
        <v>1200</v>
      </c>
      <c r="BA40">
        <v>1</v>
      </c>
      <c r="BB40" t="str">
        <f t="shared" si="14"/>
        <v xml:space="preserve">N711JA  </v>
      </c>
      <c r="BC40">
        <v>1</v>
      </c>
      <c r="BE40">
        <v>0</v>
      </c>
      <c r="BF40">
        <v>0</v>
      </c>
      <c r="BG40">
        <v>0</v>
      </c>
      <c r="BH40">
        <v>200</v>
      </c>
      <c r="BI40">
        <v>1</v>
      </c>
      <c r="BJ40">
        <v>1</v>
      </c>
      <c r="BK40">
        <v>0</v>
      </c>
      <c r="BL40">
        <v>0</v>
      </c>
      <c r="BO40">
        <v>0</v>
      </c>
      <c r="BP40">
        <v>0</v>
      </c>
      <c r="BW40" t="str">
        <f t="shared" si="23"/>
        <v>14:40:55.229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119</v>
      </c>
      <c r="CQ40">
        <v>343</v>
      </c>
      <c r="CR40">
        <v>1</v>
      </c>
      <c r="CW40">
        <v>10500551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 t="shared" si="20"/>
        <v>05/12/2020 14:40:37.409</v>
      </c>
      <c r="C41" t="str">
        <f t="shared" si="11"/>
        <v>FFDFD3C0</v>
      </c>
      <c r="D41" t="s">
        <v>126</v>
      </c>
      <c r="E41">
        <v>7</v>
      </c>
      <c r="F41">
        <v>1007</v>
      </c>
      <c r="G41" t="s">
        <v>127</v>
      </c>
      <c r="J41" t="s">
        <v>128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1"/>
        <v>14:40:55.227</v>
      </c>
      <c r="T41" t="str">
        <f t="shared" si="22"/>
        <v>14:40:55.127</v>
      </c>
      <c r="U41" t="str">
        <f t="shared" si="1"/>
        <v>A9808D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0</v>
      </c>
      <c r="AI41" t="s">
        <v>147</v>
      </c>
      <c r="AJ41">
        <v>28.228211000000002</v>
      </c>
      <c r="AK41" t="s">
        <v>148</v>
      </c>
      <c r="AL41">
        <v>-82.380874000000006</v>
      </c>
      <c r="AM41">
        <v>100</v>
      </c>
      <c r="AN41">
        <v>100</v>
      </c>
      <c r="AO41" t="s">
        <v>118</v>
      </c>
      <c r="AP41">
        <v>-53</v>
      </c>
      <c r="AQ41">
        <v>71</v>
      </c>
      <c r="AR41">
        <v>832</v>
      </c>
      <c r="AZ41">
        <v>1200</v>
      </c>
      <c r="BA41">
        <v>1</v>
      </c>
      <c r="BB41" t="str">
        <f t="shared" si="14"/>
        <v xml:space="preserve">N711JA  </v>
      </c>
      <c r="BC41">
        <v>1</v>
      </c>
      <c r="BE41">
        <v>0</v>
      </c>
      <c r="BF41">
        <v>0</v>
      </c>
      <c r="BG41">
        <v>0</v>
      </c>
      <c r="BH41">
        <v>200</v>
      </c>
      <c r="BI41">
        <v>1</v>
      </c>
      <c r="BJ41">
        <v>1</v>
      </c>
      <c r="BK41">
        <v>0</v>
      </c>
      <c r="BL41">
        <v>0</v>
      </c>
      <c r="BO41">
        <v>0</v>
      </c>
      <c r="BP41">
        <v>0</v>
      </c>
      <c r="BW41" t="str">
        <f t="shared" si="23"/>
        <v>14:40:55.229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6</v>
      </c>
      <c r="CP41" t="s">
        <v>119</v>
      </c>
      <c r="CQ41">
        <v>343</v>
      </c>
      <c r="CR41">
        <v>1</v>
      </c>
      <c r="CW41">
        <v>10500551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 t="shared" si="20"/>
        <v>05/12/2020 14:40:37.409</v>
      </c>
      <c r="C42" t="str">
        <f t="shared" si="11"/>
        <v>FFDFD3C0</v>
      </c>
      <c r="D42" t="s">
        <v>131</v>
      </c>
      <c r="E42">
        <v>10</v>
      </c>
      <c r="F42">
        <v>2010</v>
      </c>
      <c r="G42" t="s">
        <v>132</v>
      </c>
      <c r="J42" t="s">
        <v>133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1"/>
        <v>14:40:55.227</v>
      </c>
      <c r="T42" t="str">
        <f t="shared" si="22"/>
        <v>14:40:55.127</v>
      </c>
      <c r="U42" t="str">
        <f t="shared" si="1"/>
        <v>A9808D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0</v>
      </c>
      <c r="AI42" t="s">
        <v>147</v>
      </c>
      <c r="AJ42">
        <v>28.228211000000002</v>
      </c>
      <c r="AK42" t="s">
        <v>148</v>
      </c>
      <c r="AL42">
        <v>-82.380874000000006</v>
      </c>
      <c r="AM42">
        <v>100</v>
      </c>
      <c r="AN42">
        <v>100</v>
      </c>
      <c r="AO42" t="s">
        <v>118</v>
      </c>
      <c r="AP42">
        <v>-53</v>
      </c>
      <c r="AQ42">
        <v>71</v>
      </c>
      <c r="AR42">
        <v>832</v>
      </c>
      <c r="AZ42">
        <v>1200</v>
      </c>
      <c r="BA42">
        <v>1</v>
      </c>
      <c r="BB42" t="str">
        <f t="shared" si="14"/>
        <v xml:space="preserve">N711JA  </v>
      </c>
      <c r="BC42">
        <v>1</v>
      </c>
      <c r="BE42">
        <v>0</v>
      </c>
      <c r="BF42">
        <v>0</v>
      </c>
      <c r="BG42">
        <v>0</v>
      </c>
      <c r="BH42">
        <v>200</v>
      </c>
      <c r="BI42">
        <v>1</v>
      </c>
      <c r="BJ42">
        <v>1</v>
      </c>
      <c r="BK42">
        <v>0</v>
      </c>
      <c r="BL42">
        <v>0</v>
      </c>
      <c r="BO42">
        <v>0</v>
      </c>
      <c r="BP42">
        <v>0</v>
      </c>
      <c r="BW42" t="str">
        <f t="shared" si="23"/>
        <v>14:40:55.229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6</v>
      </c>
      <c r="CP42" t="s">
        <v>119</v>
      </c>
      <c r="CQ42">
        <v>343</v>
      </c>
      <c r="CR42">
        <v>1</v>
      </c>
      <c r="CW42">
        <v>10500551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 t="shared" si="20"/>
        <v>05/12/2020 14:40:37.409</v>
      </c>
      <c r="C43" t="str">
        <f t="shared" si="11"/>
        <v>FFDFD3C0</v>
      </c>
      <c r="D43" t="s">
        <v>138</v>
      </c>
      <c r="E43">
        <v>2</v>
      </c>
      <c r="H43">
        <v>8</v>
      </c>
      <c r="I43" t="s">
        <v>139</v>
      </c>
      <c r="J43" t="s">
        <v>136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1"/>
        <v>14:40:55.227</v>
      </c>
      <c r="T43" t="str">
        <f t="shared" si="22"/>
        <v>14:40:55.127</v>
      </c>
      <c r="U43" t="str">
        <f t="shared" si="1"/>
        <v>A9808D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0</v>
      </c>
      <c r="AI43" t="s">
        <v>147</v>
      </c>
      <c r="AJ43">
        <v>28.228211000000002</v>
      </c>
      <c r="AK43" t="s">
        <v>148</v>
      </c>
      <c r="AL43">
        <v>-82.380874000000006</v>
      </c>
      <c r="AM43">
        <v>100</v>
      </c>
      <c r="AN43">
        <v>100</v>
      </c>
      <c r="AO43" t="s">
        <v>118</v>
      </c>
      <c r="AP43">
        <v>-53</v>
      </c>
      <c r="AQ43">
        <v>71</v>
      </c>
      <c r="AR43">
        <v>832</v>
      </c>
      <c r="AZ43">
        <v>1200</v>
      </c>
      <c r="BA43">
        <v>1</v>
      </c>
      <c r="BB43" t="str">
        <f t="shared" si="14"/>
        <v xml:space="preserve">N711JA  </v>
      </c>
      <c r="BC43">
        <v>1</v>
      </c>
      <c r="BE43">
        <v>0</v>
      </c>
      <c r="BF43">
        <v>0</v>
      </c>
      <c r="BG43">
        <v>0</v>
      </c>
      <c r="BH43">
        <v>200</v>
      </c>
      <c r="BI43">
        <v>1</v>
      </c>
      <c r="BJ43">
        <v>1</v>
      </c>
      <c r="BK43">
        <v>0</v>
      </c>
      <c r="BL43">
        <v>0</v>
      </c>
      <c r="BO43">
        <v>0</v>
      </c>
      <c r="BP43">
        <v>0</v>
      </c>
      <c r="BW43" t="str">
        <f t="shared" si="23"/>
        <v>14:40:55.229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6</v>
      </c>
      <c r="CP43" t="s">
        <v>119</v>
      </c>
      <c r="CQ43">
        <v>343</v>
      </c>
      <c r="CR43">
        <v>1</v>
      </c>
      <c r="CW43">
        <v>10500551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 t="shared" si="20"/>
        <v>05/12/2020 14:40:37.409</v>
      </c>
      <c r="C44" t="str">
        <f t="shared" si="11"/>
        <v>FFDFD3C0</v>
      </c>
      <c r="D44" t="s">
        <v>138</v>
      </c>
      <c r="E44">
        <v>3</v>
      </c>
      <c r="H44">
        <v>9</v>
      </c>
      <c r="I44" t="s">
        <v>140</v>
      </c>
      <c r="J44" t="s">
        <v>136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1"/>
        <v>14:40:55.227</v>
      </c>
      <c r="T44" t="str">
        <f t="shared" si="22"/>
        <v>14:40:55.127</v>
      </c>
      <c r="U44" t="str">
        <f t="shared" si="1"/>
        <v>A9808D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0</v>
      </c>
      <c r="AI44" t="s">
        <v>147</v>
      </c>
      <c r="AJ44">
        <v>28.228211000000002</v>
      </c>
      <c r="AK44" t="s">
        <v>148</v>
      </c>
      <c r="AL44">
        <v>-82.380874000000006</v>
      </c>
      <c r="AM44">
        <v>100</v>
      </c>
      <c r="AN44">
        <v>100</v>
      </c>
      <c r="AO44" t="s">
        <v>118</v>
      </c>
      <c r="AP44">
        <v>-53</v>
      </c>
      <c r="AQ44">
        <v>71</v>
      </c>
      <c r="AR44">
        <v>832</v>
      </c>
      <c r="AZ44">
        <v>1200</v>
      </c>
      <c r="BA44">
        <v>1</v>
      </c>
      <c r="BB44" t="str">
        <f t="shared" si="14"/>
        <v xml:space="preserve">N711JA  </v>
      </c>
      <c r="BC44">
        <v>1</v>
      </c>
      <c r="BE44">
        <v>0</v>
      </c>
      <c r="BF44">
        <v>0</v>
      </c>
      <c r="BG44">
        <v>0</v>
      </c>
      <c r="BH44">
        <v>200</v>
      </c>
      <c r="BI44">
        <v>1</v>
      </c>
      <c r="BJ44">
        <v>1</v>
      </c>
      <c r="BK44">
        <v>0</v>
      </c>
      <c r="BL44">
        <v>0</v>
      </c>
      <c r="BO44">
        <v>0</v>
      </c>
      <c r="BP44">
        <v>0</v>
      </c>
      <c r="BW44" t="str">
        <f t="shared" si="23"/>
        <v>14:40:55.229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6</v>
      </c>
      <c r="CP44" t="s">
        <v>119</v>
      </c>
      <c r="CQ44">
        <v>343</v>
      </c>
      <c r="CR44">
        <v>1</v>
      </c>
      <c r="CW44">
        <v>10500551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 t="shared" si="20"/>
        <v>05/12/2020 14:40:37.409</v>
      </c>
      <c r="C45" t="str">
        <f t="shared" si="11"/>
        <v>FFDFD3C0</v>
      </c>
      <c r="D45" t="s">
        <v>131</v>
      </c>
      <c r="E45">
        <v>12</v>
      </c>
      <c r="F45">
        <v>2012</v>
      </c>
      <c r="G45" t="s">
        <v>137</v>
      </c>
      <c r="J45" t="s">
        <v>133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1"/>
        <v>14:40:55.227</v>
      </c>
      <c r="T45" t="str">
        <f t="shared" si="22"/>
        <v>14:40:55.127</v>
      </c>
      <c r="U45" t="str">
        <f t="shared" si="1"/>
        <v>A9808D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0</v>
      </c>
      <c r="AI45" t="s">
        <v>147</v>
      </c>
      <c r="AJ45">
        <v>28.228211000000002</v>
      </c>
      <c r="AK45" t="s">
        <v>148</v>
      </c>
      <c r="AL45">
        <v>-82.380874000000006</v>
      </c>
      <c r="AM45">
        <v>100</v>
      </c>
      <c r="AN45">
        <v>100</v>
      </c>
      <c r="AO45" t="s">
        <v>118</v>
      </c>
      <c r="AP45">
        <v>-53</v>
      </c>
      <c r="AQ45">
        <v>71</v>
      </c>
      <c r="AR45">
        <v>832</v>
      </c>
      <c r="AZ45">
        <v>1200</v>
      </c>
      <c r="BA45">
        <v>1</v>
      </c>
      <c r="BB45" t="str">
        <f t="shared" si="14"/>
        <v xml:space="preserve">N711JA  </v>
      </c>
      <c r="BC45">
        <v>1</v>
      </c>
      <c r="BE45">
        <v>0</v>
      </c>
      <c r="BF45">
        <v>0</v>
      </c>
      <c r="BG45">
        <v>0</v>
      </c>
      <c r="BH45">
        <v>200</v>
      </c>
      <c r="BI45">
        <v>1</v>
      </c>
      <c r="BJ45">
        <v>1</v>
      </c>
      <c r="BK45">
        <v>0</v>
      </c>
      <c r="BL45">
        <v>0</v>
      </c>
      <c r="BO45">
        <v>0</v>
      </c>
      <c r="BP45">
        <v>0</v>
      </c>
      <c r="BW45" t="str">
        <f t="shared" si="23"/>
        <v>14:40:55.229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6</v>
      </c>
      <c r="CP45" t="s">
        <v>119</v>
      </c>
      <c r="CQ45">
        <v>343</v>
      </c>
      <c r="CR45">
        <v>1</v>
      </c>
      <c r="CW45">
        <v>10500551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 t="shared" ref="A46:A53" si="24">"05/12/2020 14:40:38.496"</f>
        <v>05/12/2020 14:40:38.496</v>
      </c>
      <c r="C46" t="str">
        <f t="shared" si="11"/>
        <v>FFDFD3C0</v>
      </c>
      <c r="D46" t="s">
        <v>126</v>
      </c>
      <c r="E46">
        <v>7</v>
      </c>
      <c r="F46">
        <v>1007</v>
      </c>
      <c r="G46" t="s">
        <v>127</v>
      </c>
      <c r="J46" t="s">
        <v>128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ref="S46:S53" si="25">"14:40:56.281"</f>
        <v>14:40:56.281</v>
      </c>
      <c r="T46" t="str">
        <f t="shared" ref="T46:T53" si="26">"14:40:55.881"</f>
        <v>14:40:55.881</v>
      </c>
      <c r="U46" t="str">
        <f t="shared" si="1"/>
        <v>A9808D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0</v>
      </c>
      <c r="AI46" t="s">
        <v>149</v>
      </c>
      <c r="AJ46">
        <v>28.228576</v>
      </c>
      <c r="AK46" t="s">
        <v>150</v>
      </c>
      <c r="AL46">
        <v>-82.381196000000003</v>
      </c>
      <c r="AM46">
        <v>100</v>
      </c>
      <c r="AN46">
        <v>100</v>
      </c>
      <c r="AO46" t="s">
        <v>118</v>
      </c>
      <c r="AP46">
        <v>-53</v>
      </c>
      <c r="AQ46">
        <v>70</v>
      </c>
      <c r="AR46">
        <v>704</v>
      </c>
      <c r="AZ46">
        <v>1200</v>
      </c>
      <c r="BA46">
        <v>1</v>
      </c>
      <c r="BB46" t="str">
        <f t="shared" si="14"/>
        <v xml:space="preserve">N711JA  </v>
      </c>
      <c r="BC46">
        <v>1</v>
      </c>
      <c r="BE46">
        <v>0</v>
      </c>
      <c r="BF46">
        <v>0</v>
      </c>
      <c r="BG46">
        <v>0</v>
      </c>
      <c r="BH46">
        <v>200</v>
      </c>
      <c r="BI46">
        <v>1</v>
      </c>
      <c r="BJ46">
        <v>1</v>
      </c>
      <c r="BK46">
        <v>0</v>
      </c>
      <c r="BL46">
        <v>0</v>
      </c>
      <c r="BO46">
        <v>0</v>
      </c>
      <c r="BP46">
        <v>0</v>
      </c>
      <c r="BW46" t="str">
        <f t="shared" ref="BW46:BW53" si="27">"14:40:56.289"</f>
        <v>14:40:56.289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6</v>
      </c>
      <c r="CP46" t="s">
        <v>119</v>
      </c>
      <c r="CQ46">
        <v>343</v>
      </c>
      <c r="CR46">
        <v>1</v>
      </c>
      <c r="CW46">
        <v>10501687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 t="shared" si="24"/>
        <v>05/12/2020 14:40:38.496</v>
      </c>
      <c r="C47" t="str">
        <f t="shared" si="11"/>
        <v>FFDFD3C0</v>
      </c>
      <c r="D47" t="s">
        <v>131</v>
      </c>
      <c r="E47">
        <v>10</v>
      </c>
      <c r="F47">
        <v>2010</v>
      </c>
      <c r="G47" t="s">
        <v>132</v>
      </c>
      <c r="J47" t="s">
        <v>133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5"/>
        <v>14:40:56.281</v>
      </c>
      <c r="T47" t="str">
        <f t="shared" si="26"/>
        <v>14:40:55.881</v>
      </c>
      <c r="U47" t="str">
        <f t="shared" si="1"/>
        <v>A9808D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0</v>
      </c>
      <c r="AI47" t="s">
        <v>149</v>
      </c>
      <c r="AJ47">
        <v>28.228576</v>
      </c>
      <c r="AK47" t="s">
        <v>150</v>
      </c>
      <c r="AL47">
        <v>-82.381196000000003</v>
      </c>
      <c r="AM47">
        <v>100</v>
      </c>
      <c r="AN47">
        <v>100</v>
      </c>
      <c r="AO47" t="s">
        <v>118</v>
      </c>
      <c r="AP47">
        <v>-53</v>
      </c>
      <c r="AQ47">
        <v>70</v>
      </c>
      <c r="AR47">
        <v>704</v>
      </c>
      <c r="AZ47">
        <v>1200</v>
      </c>
      <c r="BA47">
        <v>1</v>
      </c>
      <c r="BB47" t="str">
        <f t="shared" si="14"/>
        <v xml:space="preserve">N711JA  </v>
      </c>
      <c r="BC47">
        <v>1</v>
      </c>
      <c r="BE47">
        <v>0</v>
      </c>
      <c r="BF47">
        <v>0</v>
      </c>
      <c r="BG47">
        <v>0</v>
      </c>
      <c r="BH47">
        <v>200</v>
      </c>
      <c r="BI47">
        <v>1</v>
      </c>
      <c r="BJ47">
        <v>1</v>
      </c>
      <c r="BK47">
        <v>0</v>
      </c>
      <c r="BL47">
        <v>0</v>
      </c>
      <c r="BO47">
        <v>0</v>
      </c>
      <c r="BP47">
        <v>0</v>
      </c>
      <c r="BW47" t="str">
        <f t="shared" si="27"/>
        <v>14:40:56.289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119</v>
      </c>
      <c r="CQ47">
        <v>343</v>
      </c>
      <c r="CR47">
        <v>1</v>
      </c>
      <c r="CW47">
        <v>10501687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 t="shared" si="24"/>
        <v>05/12/2020 14:40:38.496</v>
      </c>
      <c r="C48" t="str">
        <f t="shared" si="11"/>
        <v>FFDFD3C0</v>
      </c>
      <c r="D48" t="s">
        <v>131</v>
      </c>
      <c r="E48">
        <v>12</v>
      </c>
      <c r="F48">
        <v>2012</v>
      </c>
      <c r="G48" t="s">
        <v>137</v>
      </c>
      <c r="J48" t="s">
        <v>133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5"/>
        <v>14:40:56.281</v>
      </c>
      <c r="T48" t="str">
        <f t="shared" si="26"/>
        <v>14:40:55.881</v>
      </c>
      <c r="U48" t="str">
        <f t="shared" si="1"/>
        <v>A9808D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149</v>
      </c>
      <c r="AJ48">
        <v>28.228576</v>
      </c>
      <c r="AK48" t="s">
        <v>150</v>
      </c>
      <c r="AL48">
        <v>-82.381196000000003</v>
      </c>
      <c r="AM48">
        <v>100</v>
      </c>
      <c r="AN48">
        <v>100</v>
      </c>
      <c r="AO48" t="s">
        <v>118</v>
      </c>
      <c r="AP48">
        <v>-53</v>
      </c>
      <c r="AQ48">
        <v>70</v>
      </c>
      <c r="AR48">
        <v>704</v>
      </c>
      <c r="AZ48">
        <v>1200</v>
      </c>
      <c r="BA48">
        <v>1</v>
      </c>
      <c r="BB48" t="str">
        <f t="shared" si="14"/>
        <v xml:space="preserve">N711JA  </v>
      </c>
      <c r="BC48">
        <v>1</v>
      </c>
      <c r="BE48">
        <v>0</v>
      </c>
      <c r="BF48">
        <v>0</v>
      </c>
      <c r="BG48">
        <v>0</v>
      </c>
      <c r="BH48">
        <v>200</v>
      </c>
      <c r="BI48">
        <v>1</v>
      </c>
      <c r="BJ48">
        <v>1</v>
      </c>
      <c r="BK48">
        <v>0</v>
      </c>
      <c r="BL48">
        <v>0</v>
      </c>
      <c r="BO48">
        <v>0</v>
      </c>
      <c r="BP48">
        <v>0</v>
      </c>
      <c r="BW48" t="str">
        <f t="shared" si="27"/>
        <v>14:40:56.289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119</v>
      </c>
      <c r="CQ48">
        <v>343</v>
      </c>
      <c r="CR48">
        <v>1</v>
      </c>
      <c r="CW48">
        <v>10501687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 t="shared" si="24"/>
        <v>05/12/2020 14:40:38.496</v>
      </c>
      <c r="C49" t="str">
        <f t="shared" si="11"/>
        <v>FFDFD3C0</v>
      </c>
      <c r="D49" t="s">
        <v>138</v>
      </c>
      <c r="E49">
        <v>2</v>
      </c>
      <c r="H49">
        <v>8</v>
      </c>
      <c r="I49" t="s">
        <v>139</v>
      </c>
      <c r="J49" t="s">
        <v>136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5"/>
        <v>14:40:56.281</v>
      </c>
      <c r="T49" t="str">
        <f t="shared" si="26"/>
        <v>14:40:55.881</v>
      </c>
      <c r="U49" t="str">
        <f t="shared" si="1"/>
        <v>A9808D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149</v>
      </c>
      <c r="AJ49">
        <v>28.228576</v>
      </c>
      <c r="AK49" t="s">
        <v>150</v>
      </c>
      <c r="AL49">
        <v>-82.381196000000003</v>
      </c>
      <c r="AM49">
        <v>100</v>
      </c>
      <c r="AN49">
        <v>100</v>
      </c>
      <c r="AO49" t="s">
        <v>118</v>
      </c>
      <c r="AP49">
        <v>-53</v>
      </c>
      <c r="AQ49">
        <v>70</v>
      </c>
      <c r="AR49">
        <v>704</v>
      </c>
      <c r="AZ49">
        <v>1200</v>
      </c>
      <c r="BA49">
        <v>1</v>
      </c>
      <c r="BB49" t="str">
        <f t="shared" si="14"/>
        <v xml:space="preserve">N711JA  </v>
      </c>
      <c r="BC49">
        <v>1</v>
      </c>
      <c r="BE49">
        <v>0</v>
      </c>
      <c r="BF49">
        <v>0</v>
      </c>
      <c r="BG49">
        <v>0</v>
      </c>
      <c r="BH49">
        <v>200</v>
      </c>
      <c r="BI49">
        <v>1</v>
      </c>
      <c r="BJ49">
        <v>1</v>
      </c>
      <c r="BK49">
        <v>0</v>
      </c>
      <c r="BL49">
        <v>0</v>
      </c>
      <c r="BO49">
        <v>0</v>
      </c>
      <c r="BP49">
        <v>0</v>
      </c>
      <c r="BW49" t="str">
        <f t="shared" si="27"/>
        <v>14:40:56.289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6</v>
      </c>
      <c r="CP49" t="s">
        <v>119</v>
      </c>
      <c r="CQ49">
        <v>343</v>
      </c>
      <c r="CR49">
        <v>1</v>
      </c>
      <c r="CW49">
        <v>10501687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 t="shared" si="24"/>
        <v>05/12/2020 14:40:38.496</v>
      </c>
      <c r="C50" t="str">
        <f t="shared" si="11"/>
        <v>FFDFD3C0</v>
      </c>
      <c r="D50" t="s">
        <v>138</v>
      </c>
      <c r="E50">
        <v>3</v>
      </c>
      <c r="H50">
        <v>9</v>
      </c>
      <c r="I50" t="s">
        <v>140</v>
      </c>
      <c r="J50" t="s">
        <v>136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5"/>
        <v>14:40:56.281</v>
      </c>
      <c r="T50" t="str">
        <f t="shared" si="26"/>
        <v>14:40:55.881</v>
      </c>
      <c r="U50" t="str">
        <f t="shared" si="1"/>
        <v>A9808D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149</v>
      </c>
      <c r="AJ50">
        <v>28.228576</v>
      </c>
      <c r="AK50" t="s">
        <v>150</v>
      </c>
      <c r="AL50">
        <v>-82.381196000000003</v>
      </c>
      <c r="AM50">
        <v>100</v>
      </c>
      <c r="AN50">
        <v>100</v>
      </c>
      <c r="AO50" t="s">
        <v>118</v>
      </c>
      <c r="AP50">
        <v>-53</v>
      </c>
      <c r="AQ50">
        <v>70</v>
      </c>
      <c r="AR50">
        <v>704</v>
      </c>
      <c r="AZ50">
        <v>1200</v>
      </c>
      <c r="BA50">
        <v>1</v>
      </c>
      <c r="BB50" t="str">
        <f t="shared" si="14"/>
        <v xml:space="preserve">N711JA  </v>
      </c>
      <c r="BC50">
        <v>1</v>
      </c>
      <c r="BE50">
        <v>0</v>
      </c>
      <c r="BF50">
        <v>0</v>
      </c>
      <c r="BG50">
        <v>0</v>
      </c>
      <c r="BH50">
        <v>200</v>
      </c>
      <c r="BI50">
        <v>1</v>
      </c>
      <c r="BJ50">
        <v>1</v>
      </c>
      <c r="BK50">
        <v>0</v>
      </c>
      <c r="BL50">
        <v>0</v>
      </c>
      <c r="BO50">
        <v>0</v>
      </c>
      <c r="BP50">
        <v>0</v>
      </c>
      <c r="BW50" t="str">
        <f t="shared" si="27"/>
        <v>14:40:56.289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119</v>
      </c>
      <c r="CQ50">
        <v>343</v>
      </c>
      <c r="CR50">
        <v>1</v>
      </c>
      <c r="CW50">
        <v>10501687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 t="shared" si="24"/>
        <v>05/12/2020 14:40:38.496</v>
      </c>
      <c r="C51" t="str">
        <f t="shared" si="11"/>
        <v>FFDFD3C0</v>
      </c>
      <c r="D51" t="s">
        <v>126</v>
      </c>
      <c r="E51">
        <v>6</v>
      </c>
      <c r="F51">
        <v>1006</v>
      </c>
      <c r="G51" t="s">
        <v>114</v>
      </c>
      <c r="J51" t="s">
        <v>128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5"/>
        <v>14:40:56.281</v>
      </c>
      <c r="T51" t="str">
        <f t="shared" si="26"/>
        <v>14:40:55.881</v>
      </c>
      <c r="U51" t="str">
        <f t="shared" si="1"/>
        <v>A9808D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149</v>
      </c>
      <c r="AJ51">
        <v>28.228576</v>
      </c>
      <c r="AK51" t="s">
        <v>150</v>
      </c>
      <c r="AL51">
        <v>-82.381196000000003</v>
      </c>
      <c r="AM51">
        <v>100</v>
      </c>
      <c r="AN51">
        <v>100</v>
      </c>
      <c r="AO51" t="s">
        <v>118</v>
      </c>
      <c r="AP51">
        <v>-53</v>
      </c>
      <c r="AQ51">
        <v>70</v>
      </c>
      <c r="AR51">
        <v>704</v>
      </c>
      <c r="AZ51">
        <v>1200</v>
      </c>
      <c r="BA51">
        <v>1</v>
      </c>
      <c r="BB51" t="str">
        <f t="shared" si="14"/>
        <v xml:space="preserve">N711JA  </v>
      </c>
      <c r="BC51">
        <v>1</v>
      </c>
      <c r="BE51">
        <v>0</v>
      </c>
      <c r="BF51">
        <v>0</v>
      </c>
      <c r="BG51">
        <v>0</v>
      </c>
      <c r="BH51">
        <v>200</v>
      </c>
      <c r="BI51">
        <v>1</v>
      </c>
      <c r="BJ51">
        <v>1</v>
      </c>
      <c r="BK51">
        <v>0</v>
      </c>
      <c r="BL51">
        <v>0</v>
      </c>
      <c r="BO51">
        <v>0</v>
      </c>
      <c r="BP51">
        <v>0</v>
      </c>
      <c r="BW51" t="str">
        <f t="shared" si="27"/>
        <v>14:40:56.289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119</v>
      </c>
      <c r="CQ51">
        <v>343</v>
      </c>
      <c r="CR51">
        <v>1</v>
      </c>
      <c r="CW51">
        <v>10501687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 t="shared" si="24"/>
        <v>05/12/2020 14:40:38.496</v>
      </c>
      <c r="C52" t="str">
        <f t="shared" si="11"/>
        <v>FFDFD3C0</v>
      </c>
      <c r="D52" t="s">
        <v>113</v>
      </c>
      <c r="E52">
        <v>3</v>
      </c>
      <c r="H52">
        <v>164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5"/>
        <v>14:40:56.281</v>
      </c>
      <c r="T52" t="str">
        <f t="shared" si="26"/>
        <v>14:40:55.881</v>
      </c>
      <c r="U52" t="str">
        <f t="shared" si="1"/>
        <v>A9808D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149</v>
      </c>
      <c r="AJ52">
        <v>28.228576</v>
      </c>
      <c r="AK52" t="s">
        <v>150</v>
      </c>
      <c r="AL52">
        <v>-82.381196000000003</v>
      </c>
      <c r="AM52">
        <v>100</v>
      </c>
      <c r="AN52">
        <v>100</v>
      </c>
      <c r="AO52" t="s">
        <v>118</v>
      </c>
      <c r="AP52">
        <v>-53</v>
      </c>
      <c r="AQ52">
        <v>70</v>
      </c>
      <c r="AR52">
        <v>704</v>
      </c>
      <c r="AZ52">
        <v>1200</v>
      </c>
      <c r="BA52">
        <v>1</v>
      </c>
      <c r="BB52" t="str">
        <f t="shared" si="14"/>
        <v xml:space="preserve">N711JA  </v>
      </c>
      <c r="BC52">
        <v>1</v>
      </c>
      <c r="BE52">
        <v>0</v>
      </c>
      <c r="BF52">
        <v>0</v>
      </c>
      <c r="BG52">
        <v>0</v>
      </c>
      <c r="BH52">
        <v>200</v>
      </c>
      <c r="BI52">
        <v>1</v>
      </c>
      <c r="BJ52">
        <v>1</v>
      </c>
      <c r="BK52">
        <v>0</v>
      </c>
      <c r="BL52">
        <v>0</v>
      </c>
      <c r="BO52">
        <v>0</v>
      </c>
      <c r="BP52">
        <v>0</v>
      </c>
      <c r="BW52" t="str">
        <f t="shared" si="27"/>
        <v>14:40:56.289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119</v>
      </c>
      <c r="CQ52">
        <v>343</v>
      </c>
      <c r="CR52">
        <v>1</v>
      </c>
      <c r="CW52">
        <v>10501687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 t="shared" si="24"/>
        <v>05/12/2020 14:40:38.496</v>
      </c>
      <c r="C53" t="str">
        <f t="shared" si="11"/>
        <v>FFDFD3C0</v>
      </c>
      <c r="D53" t="s">
        <v>134</v>
      </c>
      <c r="E53">
        <v>12</v>
      </c>
      <c r="H53">
        <v>64</v>
      </c>
      <c r="I53" t="s">
        <v>135</v>
      </c>
      <c r="J53" t="s">
        <v>136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5"/>
        <v>14:40:56.281</v>
      </c>
      <c r="T53" t="str">
        <f t="shared" si="26"/>
        <v>14:40:55.881</v>
      </c>
      <c r="U53" t="str">
        <f t="shared" si="1"/>
        <v>A9808D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149</v>
      </c>
      <c r="AJ53">
        <v>28.228576</v>
      </c>
      <c r="AK53" t="s">
        <v>150</v>
      </c>
      <c r="AL53">
        <v>-82.381196000000003</v>
      </c>
      <c r="AM53">
        <v>100</v>
      </c>
      <c r="AN53">
        <v>100</v>
      </c>
      <c r="AO53" t="s">
        <v>118</v>
      </c>
      <c r="AP53">
        <v>-53</v>
      </c>
      <c r="AQ53">
        <v>70</v>
      </c>
      <c r="AR53">
        <v>704</v>
      </c>
      <c r="AZ53">
        <v>1200</v>
      </c>
      <c r="BA53">
        <v>1</v>
      </c>
      <c r="BB53" t="str">
        <f t="shared" si="14"/>
        <v xml:space="preserve">N711JA  </v>
      </c>
      <c r="BC53">
        <v>1</v>
      </c>
      <c r="BE53">
        <v>0</v>
      </c>
      <c r="BF53">
        <v>0</v>
      </c>
      <c r="BG53">
        <v>0</v>
      </c>
      <c r="BH53">
        <v>200</v>
      </c>
      <c r="BI53">
        <v>1</v>
      </c>
      <c r="BJ53">
        <v>1</v>
      </c>
      <c r="BK53">
        <v>0</v>
      </c>
      <c r="BL53">
        <v>0</v>
      </c>
      <c r="BO53">
        <v>0</v>
      </c>
      <c r="BP53">
        <v>0</v>
      </c>
      <c r="BW53" t="str">
        <f t="shared" si="27"/>
        <v>14:40:56.289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119</v>
      </c>
      <c r="CQ53">
        <v>343</v>
      </c>
      <c r="CR53">
        <v>1</v>
      </c>
      <c r="CW53">
        <v>10501687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 t="shared" ref="A54:A61" si="28">"05/12/2020 14:40:39.460"</f>
        <v>05/12/2020 14:40:39.460</v>
      </c>
      <c r="C54" t="str">
        <f t="shared" si="11"/>
        <v>FFDFD3C0</v>
      </c>
      <c r="D54" t="s">
        <v>131</v>
      </c>
      <c r="E54">
        <v>12</v>
      </c>
      <c r="F54">
        <v>2012</v>
      </c>
      <c r="G54" t="s">
        <v>137</v>
      </c>
      <c r="J54" t="s">
        <v>133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ref="S54:S61" si="29">"14:40:57.250"</f>
        <v>14:40:57.250</v>
      </c>
      <c r="T54" t="str">
        <f t="shared" ref="T54:T61" si="30">"14:40:56.950"</f>
        <v>14:40:56.950</v>
      </c>
      <c r="U54" t="str">
        <f t="shared" si="1"/>
        <v>A9808D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0</v>
      </c>
      <c r="AI54" t="s">
        <v>151</v>
      </c>
      <c r="AJ54">
        <v>28.228854999999999</v>
      </c>
      <c r="AK54" t="s">
        <v>152</v>
      </c>
      <c r="AL54">
        <v>-82.381411</v>
      </c>
      <c r="AM54">
        <v>100</v>
      </c>
      <c r="AN54">
        <v>200</v>
      </c>
      <c r="AO54" t="s">
        <v>118</v>
      </c>
      <c r="AP54">
        <v>-52</v>
      </c>
      <c r="AQ54">
        <v>71</v>
      </c>
      <c r="AR54">
        <v>576</v>
      </c>
      <c r="AZ54">
        <v>1200</v>
      </c>
      <c r="BA54">
        <v>1</v>
      </c>
      <c r="BB54" t="str">
        <f t="shared" si="14"/>
        <v xml:space="preserve">N711JA  </v>
      </c>
      <c r="BC54">
        <v>1</v>
      </c>
      <c r="BE54">
        <v>0</v>
      </c>
      <c r="BF54">
        <v>0</v>
      </c>
      <c r="BG54">
        <v>0</v>
      </c>
      <c r="BH54">
        <v>225</v>
      </c>
      <c r="BI54">
        <v>1</v>
      </c>
      <c r="BJ54">
        <v>1</v>
      </c>
      <c r="BK54">
        <v>0</v>
      </c>
      <c r="BL54">
        <v>0</v>
      </c>
      <c r="BO54">
        <v>0</v>
      </c>
      <c r="BP54">
        <v>0</v>
      </c>
      <c r="BW54" t="str">
        <f t="shared" ref="BW54:BW61" si="31">"14:40:57.255"</f>
        <v>14:40:57.255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6</v>
      </c>
      <c r="CP54" t="s">
        <v>119</v>
      </c>
      <c r="CQ54">
        <v>343</v>
      </c>
      <c r="CR54">
        <v>1</v>
      </c>
      <c r="CW54">
        <v>10502689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 t="shared" si="28"/>
        <v>05/12/2020 14:40:39.460</v>
      </c>
      <c r="C55" t="str">
        <f t="shared" si="11"/>
        <v>FFDFD3C0</v>
      </c>
      <c r="D55" t="s">
        <v>138</v>
      </c>
      <c r="E55">
        <v>2</v>
      </c>
      <c r="H55">
        <v>8</v>
      </c>
      <c r="I55" t="s">
        <v>139</v>
      </c>
      <c r="J55" t="s">
        <v>136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9"/>
        <v>14:40:57.250</v>
      </c>
      <c r="T55" t="str">
        <f t="shared" si="30"/>
        <v>14:40:56.950</v>
      </c>
      <c r="U55" t="str">
        <f t="shared" si="1"/>
        <v>A9808D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0</v>
      </c>
      <c r="AI55" t="s">
        <v>151</v>
      </c>
      <c r="AJ55">
        <v>28.228854999999999</v>
      </c>
      <c r="AK55" t="s">
        <v>152</v>
      </c>
      <c r="AL55">
        <v>-82.381411</v>
      </c>
      <c r="AM55">
        <v>100</v>
      </c>
      <c r="AN55">
        <v>200</v>
      </c>
      <c r="AO55" t="s">
        <v>118</v>
      </c>
      <c r="AP55">
        <v>-52</v>
      </c>
      <c r="AQ55">
        <v>71</v>
      </c>
      <c r="AR55">
        <v>576</v>
      </c>
      <c r="AZ55">
        <v>1200</v>
      </c>
      <c r="BA55">
        <v>1</v>
      </c>
      <c r="BB55" t="str">
        <f t="shared" si="14"/>
        <v xml:space="preserve">N711JA  </v>
      </c>
      <c r="BC55">
        <v>1</v>
      </c>
      <c r="BE55">
        <v>0</v>
      </c>
      <c r="BF55">
        <v>0</v>
      </c>
      <c r="BG55">
        <v>0</v>
      </c>
      <c r="BH55">
        <v>225</v>
      </c>
      <c r="BI55">
        <v>1</v>
      </c>
      <c r="BJ55">
        <v>1</v>
      </c>
      <c r="BK55">
        <v>0</v>
      </c>
      <c r="BL55">
        <v>0</v>
      </c>
      <c r="BO55">
        <v>0</v>
      </c>
      <c r="BP55">
        <v>0</v>
      </c>
      <c r="BW55" t="str">
        <f t="shared" si="31"/>
        <v>14:40:57.255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6</v>
      </c>
      <c r="CP55" t="s">
        <v>119</v>
      </c>
      <c r="CQ55">
        <v>343</v>
      </c>
      <c r="CR55">
        <v>1</v>
      </c>
      <c r="CW55">
        <v>10502689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 t="shared" si="28"/>
        <v>05/12/2020 14:40:39.460</v>
      </c>
      <c r="C56" t="str">
        <f t="shared" si="11"/>
        <v>FFDFD3C0</v>
      </c>
      <c r="D56" t="s">
        <v>138</v>
      </c>
      <c r="E56">
        <v>3</v>
      </c>
      <c r="H56">
        <v>9</v>
      </c>
      <c r="I56" t="s">
        <v>140</v>
      </c>
      <c r="J56" t="s">
        <v>136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29"/>
        <v>14:40:57.250</v>
      </c>
      <c r="T56" t="str">
        <f t="shared" si="30"/>
        <v>14:40:56.950</v>
      </c>
      <c r="U56" t="str">
        <f t="shared" si="1"/>
        <v>A9808D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0</v>
      </c>
      <c r="AI56" t="s">
        <v>151</v>
      </c>
      <c r="AJ56">
        <v>28.228854999999999</v>
      </c>
      <c r="AK56" t="s">
        <v>152</v>
      </c>
      <c r="AL56">
        <v>-82.381411</v>
      </c>
      <c r="AM56">
        <v>100</v>
      </c>
      <c r="AN56">
        <v>200</v>
      </c>
      <c r="AO56" t="s">
        <v>118</v>
      </c>
      <c r="AP56">
        <v>-52</v>
      </c>
      <c r="AQ56">
        <v>71</v>
      </c>
      <c r="AR56">
        <v>576</v>
      </c>
      <c r="AZ56">
        <v>1200</v>
      </c>
      <c r="BA56">
        <v>1</v>
      </c>
      <c r="BB56" t="str">
        <f t="shared" si="14"/>
        <v xml:space="preserve">N711JA  </v>
      </c>
      <c r="BC56">
        <v>1</v>
      </c>
      <c r="BE56">
        <v>0</v>
      </c>
      <c r="BF56">
        <v>0</v>
      </c>
      <c r="BG56">
        <v>0</v>
      </c>
      <c r="BH56">
        <v>225</v>
      </c>
      <c r="BI56">
        <v>1</v>
      </c>
      <c r="BJ56">
        <v>1</v>
      </c>
      <c r="BK56">
        <v>0</v>
      </c>
      <c r="BL56">
        <v>0</v>
      </c>
      <c r="BO56">
        <v>0</v>
      </c>
      <c r="BP56">
        <v>0</v>
      </c>
      <c r="BW56" t="str">
        <f t="shared" si="31"/>
        <v>14:40:57.255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6</v>
      </c>
      <c r="CP56" t="s">
        <v>119</v>
      </c>
      <c r="CQ56">
        <v>343</v>
      </c>
      <c r="CR56">
        <v>1</v>
      </c>
      <c r="CW56">
        <v>10502689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 t="shared" si="28"/>
        <v>05/12/2020 14:40:39.460</v>
      </c>
      <c r="C57" t="str">
        <f t="shared" si="11"/>
        <v>FFDFD3C0</v>
      </c>
      <c r="D57" t="s">
        <v>126</v>
      </c>
      <c r="E57">
        <v>6</v>
      </c>
      <c r="F57">
        <v>1006</v>
      </c>
      <c r="G57" t="s">
        <v>114</v>
      </c>
      <c r="J57" t="s">
        <v>128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29"/>
        <v>14:40:57.250</v>
      </c>
      <c r="T57" t="str">
        <f t="shared" si="30"/>
        <v>14:40:56.950</v>
      </c>
      <c r="U57" t="str">
        <f t="shared" si="1"/>
        <v>A9808D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0</v>
      </c>
      <c r="AI57" t="s">
        <v>151</v>
      </c>
      <c r="AJ57">
        <v>28.228854999999999</v>
      </c>
      <c r="AK57" t="s">
        <v>152</v>
      </c>
      <c r="AL57">
        <v>-82.381411</v>
      </c>
      <c r="AM57">
        <v>100</v>
      </c>
      <c r="AN57">
        <v>200</v>
      </c>
      <c r="AO57" t="s">
        <v>118</v>
      </c>
      <c r="AP57">
        <v>-52</v>
      </c>
      <c r="AQ57">
        <v>71</v>
      </c>
      <c r="AR57">
        <v>576</v>
      </c>
      <c r="AZ57">
        <v>1200</v>
      </c>
      <c r="BA57">
        <v>1</v>
      </c>
      <c r="BB57" t="str">
        <f t="shared" si="14"/>
        <v xml:space="preserve">N711JA  </v>
      </c>
      <c r="BC57">
        <v>1</v>
      </c>
      <c r="BE57">
        <v>0</v>
      </c>
      <c r="BF57">
        <v>0</v>
      </c>
      <c r="BG57">
        <v>0</v>
      </c>
      <c r="BH57">
        <v>225</v>
      </c>
      <c r="BI57">
        <v>1</v>
      </c>
      <c r="BJ57">
        <v>1</v>
      </c>
      <c r="BK57">
        <v>0</v>
      </c>
      <c r="BL57">
        <v>0</v>
      </c>
      <c r="BO57">
        <v>0</v>
      </c>
      <c r="BP57">
        <v>0</v>
      </c>
      <c r="BW57" t="str">
        <f t="shared" si="31"/>
        <v>14:40:57.255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6</v>
      </c>
      <c r="CP57" t="s">
        <v>119</v>
      </c>
      <c r="CQ57">
        <v>343</v>
      </c>
      <c r="CR57">
        <v>1</v>
      </c>
      <c r="CW57">
        <v>10502689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 t="shared" si="28"/>
        <v>05/12/2020 14:40:39.460</v>
      </c>
      <c r="C58" t="str">
        <f t="shared" si="11"/>
        <v>FFDFD3C0</v>
      </c>
      <c r="D58" t="s">
        <v>113</v>
      </c>
      <c r="E58">
        <v>3</v>
      </c>
      <c r="H58">
        <v>164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29"/>
        <v>14:40:57.250</v>
      </c>
      <c r="T58" t="str">
        <f t="shared" si="30"/>
        <v>14:40:56.950</v>
      </c>
      <c r="U58" t="str">
        <f t="shared" si="1"/>
        <v>A9808D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0</v>
      </c>
      <c r="AI58" t="s">
        <v>151</v>
      </c>
      <c r="AJ58">
        <v>28.228854999999999</v>
      </c>
      <c r="AK58" t="s">
        <v>152</v>
      </c>
      <c r="AL58">
        <v>-82.381411</v>
      </c>
      <c r="AM58">
        <v>100</v>
      </c>
      <c r="AN58">
        <v>200</v>
      </c>
      <c r="AO58" t="s">
        <v>118</v>
      </c>
      <c r="AP58">
        <v>-52</v>
      </c>
      <c r="AQ58">
        <v>71</v>
      </c>
      <c r="AR58">
        <v>576</v>
      </c>
      <c r="AZ58">
        <v>1200</v>
      </c>
      <c r="BA58">
        <v>1</v>
      </c>
      <c r="BB58" t="str">
        <f t="shared" si="14"/>
        <v xml:space="preserve">N711JA  </v>
      </c>
      <c r="BC58">
        <v>1</v>
      </c>
      <c r="BE58">
        <v>0</v>
      </c>
      <c r="BF58">
        <v>0</v>
      </c>
      <c r="BG58">
        <v>0</v>
      </c>
      <c r="BH58">
        <v>225</v>
      </c>
      <c r="BI58">
        <v>1</v>
      </c>
      <c r="BJ58">
        <v>1</v>
      </c>
      <c r="BK58">
        <v>0</v>
      </c>
      <c r="BL58">
        <v>0</v>
      </c>
      <c r="BO58">
        <v>0</v>
      </c>
      <c r="BP58">
        <v>0</v>
      </c>
      <c r="BW58" t="str">
        <f t="shared" si="31"/>
        <v>14:40:57.255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6</v>
      </c>
      <c r="CP58" t="s">
        <v>119</v>
      </c>
      <c r="CQ58">
        <v>343</v>
      </c>
      <c r="CR58">
        <v>1</v>
      </c>
      <c r="CW58">
        <v>10502689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 t="shared" si="28"/>
        <v>05/12/2020 14:40:39.460</v>
      </c>
      <c r="C59" t="str">
        <f t="shared" si="11"/>
        <v>FFDFD3C0</v>
      </c>
      <c r="D59" t="s">
        <v>134</v>
      </c>
      <c r="E59">
        <v>12</v>
      </c>
      <c r="H59">
        <v>64</v>
      </c>
      <c r="I59" t="s">
        <v>135</v>
      </c>
      <c r="J59" t="s">
        <v>136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29"/>
        <v>14:40:57.250</v>
      </c>
      <c r="T59" t="str">
        <f t="shared" si="30"/>
        <v>14:40:56.950</v>
      </c>
      <c r="U59" t="str">
        <f t="shared" si="1"/>
        <v>A9808D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0</v>
      </c>
      <c r="AI59" t="s">
        <v>151</v>
      </c>
      <c r="AJ59">
        <v>28.228854999999999</v>
      </c>
      <c r="AK59" t="s">
        <v>152</v>
      </c>
      <c r="AL59">
        <v>-82.381411</v>
      </c>
      <c r="AM59">
        <v>100</v>
      </c>
      <c r="AN59">
        <v>200</v>
      </c>
      <c r="AO59" t="s">
        <v>118</v>
      </c>
      <c r="AP59">
        <v>-52</v>
      </c>
      <c r="AQ59">
        <v>71</v>
      </c>
      <c r="AR59">
        <v>576</v>
      </c>
      <c r="AZ59">
        <v>1200</v>
      </c>
      <c r="BA59">
        <v>1</v>
      </c>
      <c r="BB59" t="str">
        <f t="shared" si="14"/>
        <v xml:space="preserve">N711JA  </v>
      </c>
      <c r="BC59">
        <v>1</v>
      </c>
      <c r="BE59">
        <v>0</v>
      </c>
      <c r="BF59">
        <v>0</v>
      </c>
      <c r="BG59">
        <v>0</v>
      </c>
      <c r="BH59">
        <v>225</v>
      </c>
      <c r="BI59">
        <v>1</v>
      </c>
      <c r="BJ59">
        <v>1</v>
      </c>
      <c r="BK59">
        <v>0</v>
      </c>
      <c r="BL59">
        <v>0</v>
      </c>
      <c r="BO59">
        <v>0</v>
      </c>
      <c r="BP59">
        <v>0</v>
      </c>
      <c r="BW59" t="str">
        <f t="shared" si="31"/>
        <v>14:40:57.255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6</v>
      </c>
      <c r="CP59" t="s">
        <v>119</v>
      </c>
      <c r="CQ59">
        <v>343</v>
      </c>
      <c r="CR59">
        <v>1</v>
      </c>
      <c r="CW59">
        <v>10502689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 t="shared" si="28"/>
        <v>05/12/2020 14:40:39.460</v>
      </c>
      <c r="C60" t="str">
        <f t="shared" si="11"/>
        <v>FFDFD3C0</v>
      </c>
      <c r="D60" t="s">
        <v>126</v>
      </c>
      <c r="E60">
        <v>7</v>
      </c>
      <c r="F60">
        <v>1007</v>
      </c>
      <c r="G60" t="s">
        <v>127</v>
      </c>
      <c r="J60" t="s">
        <v>128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29"/>
        <v>14:40:57.250</v>
      </c>
      <c r="T60" t="str">
        <f t="shared" si="30"/>
        <v>14:40:56.950</v>
      </c>
      <c r="U60" t="str">
        <f t="shared" si="1"/>
        <v>A9808D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0</v>
      </c>
      <c r="AI60" t="s">
        <v>151</v>
      </c>
      <c r="AJ60">
        <v>28.228854999999999</v>
      </c>
      <c r="AK60" t="s">
        <v>152</v>
      </c>
      <c r="AL60">
        <v>-82.381411</v>
      </c>
      <c r="AM60">
        <v>100</v>
      </c>
      <c r="AN60">
        <v>200</v>
      </c>
      <c r="AO60" t="s">
        <v>118</v>
      </c>
      <c r="AP60">
        <v>-52</v>
      </c>
      <c r="AQ60">
        <v>71</v>
      </c>
      <c r="AR60">
        <v>576</v>
      </c>
      <c r="AZ60">
        <v>1200</v>
      </c>
      <c r="BA60">
        <v>1</v>
      </c>
      <c r="BB60" t="str">
        <f t="shared" si="14"/>
        <v xml:space="preserve">N711JA  </v>
      </c>
      <c r="BC60">
        <v>1</v>
      </c>
      <c r="BE60">
        <v>0</v>
      </c>
      <c r="BF60">
        <v>0</v>
      </c>
      <c r="BG60">
        <v>0</v>
      </c>
      <c r="BH60">
        <v>225</v>
      </c>
      <c r="BI60">
        <v>1</v>
      </c>
      <c r="BJ60">
        <v>1</v>
      </c>
      <c r="BK60">
        <v>0</v>
      </c>
      <c r="BL60">
        <v>0</v>
      </c>
      <c r="BO60">
        <v>0</v>
      </c>
      <c r="BP60">
        <v>0</v>
      </c>
      <c r="BW60" t="str">
        <f t="shared" si="31"/>
        <v>14:40:57.255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6</v>
      </c>
      <c r="CP60" t="s">
        <v>119</v>
      </c>
      <c r="CQ60">
        <v>343</v>
      </c>
      <c r="CR60">
        <v>1</v>
      </c>
      <c r="CW60">
        <v>10502689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 t="shared" si="28"/>
        <v>05/12/2020 14:40:39.460</v>
      </c>
      <c r="C61" t="str">
        <f t="shared" si="11"/>
        <v>FFDFD3C0</v>
      </c>
      <c r="D61" t="s">
        <v>131</v>
      </c>
      <c r="E61">
        <v>10</v>
      </c>
      <c r="F61">
        <v>2010</v>
      </c>
      <c r="G61" t="s">
        <v>132</v>
      </c>
      <c r="J61" t="s">
        <v>133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29"/>
        <v>14:40:57.250</v>
      </c>
      <c r="T61" t="str">
        <f t="shared" si="30"/>
        <v>14:40:56.950</v>
      </c>
      <c r="U61" t="str">
        <f t="shared" si="1"/>
        <v>A9808D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0</v>
      </c>
      <c r="AI61" t="s">
        <v>151</v>
      </c>
      <c r="AJ61">
        <v>28.228854999999999</v>
      </c>
      <c r="AK61" t="s">
        <v>152</v>
      </c>
      <c r="AL61">
        <v>-82.381411</v>
      </c>
      <c r="AM61">
        <v>100</v>
      </c>
      <c r="AN61">
        <v>200</v>
      </c>
      <c r="AO61" t="s">
        <v>118</v>
      </c>
      <c r="AP61">
        <v>-52</v>
      </c>
      <c r="AQ61">
        <v>71</v>
      </c>
      <c r="AR61">
        <v>576</v>
      </c>
      <c r="AZ61">
        <v>1200</v>
      </c>
      <c r="BA61">
        <v>1</v>
      </c>
      <c r="BB61" t="str">
        <f t="shared" si="14"/>
        <v xml:space="preserve">N711JA  </v>
      </c>
      <c r="BC61">
        <v>1</v>
      </c>
      <c r="BE61">
        <v>0</v>
      </c>
      <c r="BF61">
        <v>0</v>
      </c>
      <c r="BG61">
        <v>0</v>
      </c>
      <c r="BH61">
        <v>225</v>
      </c>
      <c r="BI61">
        <v>1</v>
      </c>
      <c r="BJ61">
        <v>1</v>
      </c>
      <c r="BK61">
        <v>0</v>
      </c>
      <c r="BL61">
        <v>0</v>
      </c>
      <c r="BO61">
        <v>0</v>
      </c>
      <c r="BP61">
        <v>0</v>
      </c>
      <c r="BW61" t="str">
        <f t="shared" si="31"/>
        <v>14:40:57.255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119</v>
      </c>
      <c r="CQ61">
        <v>343</v>
      </c>
      <c r="CR61">
        <v>1</v>
      </c>
      <c r="CW61">
        <v>10502689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 t="shared" ref="A62:A69" si="32">"05/12/2020 14:40:40.251"</f>
        <v>05/12/2020 14:40:40.251</v>
      </c>
      <c r="C62" t="str">
        <f t="shared" si="11"/>
        <v>FFDFD3C0</v>
      </c>
      <c r="D62" t="s">
        <v>113</v>
      </c>
      <c r="E62">
        <v>3</v>
      </c>
      <c r="H62">
        <v>164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S69" si="33">"14:40:58.078"</f>
        <v>14:40:58.078</v>
      </c>
      <c r="T62" t="str">
        <f t="shared" ref="T62:T69" si="34">"14:40:57.478"</f>
        <v>14:40:57.478</v>
      </c>
      <c r="U62" t="str">
        <f t="shared" si="1"/>
        <v>A9808D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0</v>
      </c>
      <c r="AI62" t="s">
        <v>153</v>
      </c>
      <c r="AJ62">
        <v>28.229177</v>
      </c>
      <c r="AK62" t="s">
        <v>154</v>
      </c>
      <c r="AL62">
        <v>-82.381625</v>
      </c>
      <c r="AM62">
        <v>100</v>
      </c>
      <c r="AN62">
        <v>200</v>
      </c>
      <c r="AO62" t="s">
        <v>118</v>
      </c>
      <c r="AP62">
        <v>-50</v>
      </c>
      <c r="AQ62">
        <v>72</v>
      </c>
      <c r="AR62">
        <v>640</v>
      </c>
      <c r="AZ62">
        <v>1200</v>
      </c>
      <c r="BA62">
        <v>1</v>
      </c>
      <c r="BB62" t="str">
        <f t="shared" si="14"/>
        <v xml:space="preserve">N711JA  </v>
      </c>
      <c r="BC62">
        <v>1</v>
      </c>
      <c r="BE62">
        <v>0</v>
      </c>
      <c r="BF62">
        <v>0</v>
      </c>
      <c r="BG62">
        <v>0</v>
      </c>
      <c r="BH62">
        <v>225</v>
      </c>
      <c r="BI62">
        <v>1</v>
      </c>
      <c r="BJ62">
        <v>1</v>
      </c>
      <c r="BK62">
        <v>0</v>
      </c>
      <c r="BL62">
        <v>0</v>
      </c>
      <c r="BO62">
        <v>0</v>
      </c>
      <c r="BP62">
        <v>0</v>
      </c>
      <c r="BW62" t="str">
        <f t="shared" ref="BW62:BW69" si="35">"14:40:58.084"</f>
        <v>14:40:58.084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119</v>
      </c>
      <c r="CQ62">
        <v>343</v>
      </c>
      <c r="CR62">
        <v>1</v>
      </c>
      <c r="CW62">
        <v>10503601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 t="shared" si="32"/>
        <v>05/12/2020 14:40:40.251</v>
      </c>
      <c r="C63" t="str">
        <f t="shared" si="11"/>
        <v>FFDFD3C0</v>
      </c>
      <c r="D63" t="s">
        <v>134</v>
      </c>
      <c r="E63">
        <v>12</v>
      </c>
      <c r="H63">
        <v>64</v>
      </c>
      <c r="I63" t="s">
        <v>135</v>
      </c>
      <c r="J63" t="s">
        <v>136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3"/>
        <v>14:40:58.078</v>
      </c>
      <c r="T63" t="str">
        <f t="shared" si="34"/>
        <v>14:40:57.478</v>
      </c>
      <c r="U63" t="str">
        <f t="shared" si="1"/>
        <v>A9808D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0</v>
      </c>
      <c r="AI63" t="s">
        <v>153</v>
      </c>
      <c r="AJ63">
        <v>28.229177</v>
      </c>
      <c r="AK63" t="s">
        <v>154</v>
      </c>
      <c r="AL63">
        <v>-82.381625</v>
      </c>
      <c r="AM63">
        <v>100</v>
      </c>
      <c r="AN63">
        <v>200</v>
      </c>
      <c r="AO63" t="s">
        <v>118</v>
      </c>
      <c r="AP63">
        <v>-50</v>
      </c>
      <c r="AQ63">
        <v>72</v>
      </c>
      <c r="AR63">
        <v>640</v>
      </c>
      <c r="AZ63">
        <v>1200</v>
      </c>
      <c r="BA63">
        <v>1</v>
      </c>
      <c r="BB63" t="str">
        <f t="shared" si="14"/>
        <v xml:space="preserve">N711JA  </v>
      </c>
      <c r="BC63">
        <v>1</v>
      </c>
      <c r="BE63">
        <v>0</v>
      </c>
      <c r="BF63">
        <v>0</v>
      </c>
      <c r="BG63">
        <v>0</v>
      </c>
      <c r="BH63">
        <v>225</v>
      </c>
      <c r="BI63">
        <v>1</v>
      </c>
      <c r="BJ63">
        <v>1</v>
      </c>
      <c r="BK63">
        <v>0</v>
      </c>
      <c r="BL63">
        <v>0</v>
      </c>
      <c r="BO63">
        <v>0</v>
      </c>
      <c r="BP63">
        <v>0</v>
      </c>
      <c r="BW63" t="str">
        <f t="shared" si="35"/>
        <v>14:40:58.084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6</v>
      </c>
      <c r="CP63" t="s">
        <v>119</v>
      </c>
      <c r="CQ63">
        <v>343</v>
      </c>
      <c r="CR63">
        <v>1</v>
      </c>
      <c r="CW63">
        <v>10503601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 t="shared" si="32"/>
        <v>05/12/2020 14:40:40.251</v>
      </c>
      <c r="C64" t="str">
        <f t="shared" si="11"/>
        <v>FFDFD3C0</v>
      </c>
      <c r="D64" t="s">
        <v>126</v>
      </c>
      <c r="E64">
        <v>7</v>
      </c>
      <c r="F64">
        <v>1007</v>
      </c>
      <c r="G64" t="s">
        <v>127</v>
      </c>
      <c r="J64" t="s">
        <v>128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3"/>
        <v>14:40:58.078</v>
      </c>
      <c r="T64" t="str">
        <f t="shared" si="34"/>
        <v>14:40:57.478</v>
      </c>
      <c r="U64" t="str">
        <f t="shared" si="1"/>
        <v>A9808D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0</v>
      </c>
      <c r="AI64" t="s">
        <v>153</v>
      </c>
      <c r="AJ64">
        <v>28.229177</v>
      </c>
      <c r="AK64" t="s">
        <v>154</v>
      </c>
      <c r="AL64">
        <v>-82.381625</v>
      </c>
      <c r="AM64">
        <v>100</v>
      </c>
      <c r="AN64">
        <v>200</v>
      </c>
      <c r="AO64" t="s">
        <v>118</v>
      </c>
      <c r="AP64">
        <v>-50</v>
      </c>
      <c r="AQ64">
        <v>72</v>
      </c>
      <c r="AR64">
        <v>640</v>
      </c>
      <c r="AZ64">
        <v>1200</v>
      </c>
      <c r="BA64">
        <v>1</v>
      </c>
      <c r="BB64" t="str">
        <f t="shared" si="14"/>
        <v xml:space="preserve">N711JA  </v>
      </c>
      <c r="BC64">
        <v>1</v>
      </c>
      <c r="BE64">
        <v>0</v>
      </c>
      <c r="BF64">
        <v>0</v>
      </c>
      <c r="BG64">
        <v>0</v>
      </c>
      <c r="BH64">
        <v>225</v>
      </c>
      <c r="BI64">
        <v>1</v>
      </c>
      <c r="BJ64">
        <v>1</v>
      </c>
      <c r="BK64">
        <v>0</v>
      </c>
      <c r="BL64">
        <v>0</v>
      </c>
      <c r="BO64">
        <v>0</v>
      </c>
      <c r="BP64">
        <v>0</v>
      </c>
      <c r="BW64" t="str">
        <f t="shared" si="35"/>
        <v>14:40:58.084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6</v>
      </c>
      <c r="CP64" t="s">
        <v>119</v>
      </c>
      <c r="CQ64">
        <v>343</v>
      </c>
      <c r="CR64">
        <v>1</v>
      </c>
      <c r="CW64">
        <v>10503601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 t="shared" si="32"/>
        <v>05/12/2020 14:40:40.251</v>
      </c>
      <c r="C65" t="str">
        <f t="shared" si="11"/>
        <v>FFDFD3C0</v>
      </c>
      <c r="D65" t="s">
        <v>131</v>
      </c>
      <c r="E65">
        <v>10</v>
      </c>
      <c r="F65">
        <v>2010</v>
      </c>
      <c r="G65" t="s">
        <v>132</v>
      </c>
      <c r="J65" t="s">
        <v>133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3"/>
        <v>14:40:58.078</v>
      </c>
      <c r="T65" t="str">
        <f t="shared" si="34"/>
        <v>14:40:57.478</v>
      </c>
      <c r="U65" t="str">
        <f t="shared" si="1"/>
        <v>A9808D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0</v>
      </c>
      <c r="AI65" t="s">
        <v>153</v>
      </c>
      <c r="AJ65">
        <v>28.229177</v>
      </c>
      <c r="AK65" t="s">
        <v>154</v>
      </c>
      <c r="AL65">
        <v>-82.381625</v>
      </c>
      <c r="AM65">
        <v>100</v>
      </c>
      <c r="AN65">
        <v>200</v>
      </c>
      <c r="AO65" t="s">
        <v>118</v>
      </c>
      <c r="AP65">
        <v>-50</v>
      </c>
      <c r="AQ65">
        <v>72</v>
      </c>
      <c r="AR65">
        <v>640</v>
      </c>
      <c r="AZ65">
        <v>1200</v>
      </c>
      <c r="BA65">
        <v>1</v>
      </c>
      <c r="BB65" t="str">
        <f t="shared" si="14"/>
        <v xml:space="preserve">N711JA  </v>
      </c>
      <c r="BC65">
        <v>1</v>
      </c>
      <c r="BE65">
        <v>0</v>
      </c>
      <c r="BF65">
        <v>0</v>
      </c>
      <c r="BG65">
        <v>0</v>
      </c>
      <c r="BH65">
        <v>225</v>
      </c>
      <c r="BI65">
        <v>1</v>
      </c>
      <c r="BJ65">
        <v>1</v>
      </c>
      <c r="BK65">
        <v>0</v>
      </c>
      <c r="BL65">
        <v>0</v>
      </c>
      <c r="BO65">
        <v>0</v>
      </c>
      <c r="BP65">
        <v>0</v>
      </c>
      <c r="BW65" t="str">
        <f t="shared" si="35"/>
        <v>14:40:58.084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343</v>
      </c>
      <c r="CR65">
        <v>1</v>
      </c>
      <c r="CW65">
        <v>10503601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 t="shared" si="32"/>
        <v>05/12/2020 14:40:40.251</v>
      </c>
      <c r="C66" t="str">
        <f t="shared" si="11"/>
        <v>FFDFD3C0</v>
      </c>
      <c r="D66" t="s">
        <v>131</v>
      </c>
      <c r="E66">
        <v>12</v>
      </c>
      <c r="F66">
        <v>2012</v>
      </c>
      <c r="G66" t="s">
        <v>137</v>
      </c>
      <c r="J66" t="s">
        <v>133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3"/>
        <v>14:40:58.078</v>
      </c>
      <c r="T66" t="str">
        <f t="shared" si="34"/>
        <v>14:40:57.478</v>
      </c>
      <c r="U66" t="str">
        <f t="shared" ref="U66:U129" si="36">"A9808D"</f>
        <v>A9808D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0</v>
      </c>
      <c r="AI66" t="s">
        <v>153</v>
      </c>
      <c r="AJ66">
        <v>28.229177</v>
      </c>
      <c r="AK66" t="s">
        <v>154</v>
      </c>
      <c r="AL66">
        <v>-82.381625</v>
      </c>
      <c r="AM66">
        <v>100</v>
      </c>
      <c r="AN66">
        <v>200</v>
      </c>
      <c r="AO66" t="s">
        <v>118</v>
      </c>
      <c r="AP66">
        <v>-50</v>
      </c>
      <c r="AQ66">
        <v>72</v>
      </c>
      <c r="AR66">
        <v>640</v>
      </c>
      <c r="AZ66">
        <v>1200</v>
      </c>
      <c r="BA66">
        <v>1</v>
      </c>
      <c r="BB66" t="str">
        <f t="shared" si="14"/>
        <v xml:space="preserve">N711JA  </v>
      </c>
      <c r="BC66">
        <v>1</v>
      </c>
      <c r="BE66">
        <v>0</v>
      </c>
      <c r="BF66">
        <v>0</v>
      </c>
      <c r="BG66">
        <v>0</v>
      </c>
      <c r="BH66">
        <v>225</v>
      </c>
      <c r="BI66">
        <v>1</v>
      </c>
      <c r="BJ66">
        <v>1</v>
      </c>
      <c r="BK66">
        <v>0</v>
      </c>
      <c r="BL66">
        <v>0</v>
      </c>
      <c r="BO66">
        <v>0</v>
      </c>
      <c r="BP66">
        <v>0</v>
      </c>
      <c r="BW66" t="str">
        <f t="shared" si="35"/>
        <v>14:40:58.084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343</v>
      </c>
      <c r="CR66">
        <v>1</v>
      </c>
      <c r="CW66">
        <v>10503601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 t="shared" si="32"/>
        <v>05/12/2020 14:40:40.251</v>
      </c>
      <c r="C67" t="str">
        <f t="shared" si="11"/>
        <v>FFDFD3C0</v>
      </c>
      <c r="D67" t="s">
        <v>138</v>
      </c>
      <c r="E67">
        <v>2</v>
      </c>
      <c r="H67">
        <v>8</v>
      </c>
      <c r="I67" t="s">
        <v>139</v>
      </c>
      <c r="J67" t="s">
        <v>136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3"/>
        <v>14:40:58.078</v>
      </c>
      <c r="T67" t="str">
        <f t="shared" si="34"/>
        <v>14:40:57.478</v>
      </c>
      <c r="U67" t="str">
        <f t="shared" si="36"/>
        <v>A9808D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0</v>
      </c>
      <c r="AI67" t="s">
        <v>153</v>
      </c>
      <c r="AJ67">
        <v>28.229177</v>
      </c>
      <c r="AK67" t="s">
        <v>154</v>
      </c>
      <c r="AL67">
        <v>-82.381625</v>
      </c>
      <c r="AM67">
        <v>100</v>
      </c>
      <c r="AN67">
        <v>200</v>
      </c>
      <c r="AO67" t="s">
        <v>118</v>
      </c>
      <c r="AP67">
        <v>-50</v>
      </c>
      <c r="AQ67">
        <v>72</v>
      </c>
      <c r="AR67">
        <v>640</v>
      </c>
      <c r="AZ67">
        <v>1200</v>
      </c>
      <c r="BA67">
        <v>1</v>
      </c>
      <c r="BB67" t="str">
        <f t="shared" si="14"/>
        <v xml:space="preserve">N711JA  </v>
      </c>
      <c r="BC67">
        <v>1</v>
      </c>
      <c r="BE67">
        <v>0</v>
      </c>
      <c r="BF67">
        <v>0</v>
      </c>
      <c r="BG67">
        <v>0</v>
      </c>
      <c r="BH67">
        <v>225</v>
      </c>
      <c r="BI67">
        <v>1</v>
      </c>
      <c r="BJ67">
        <v>1</v>
      </c>
      <c r="BK67">
        <v>0</v>
      </c>
      <c r="BL67">
        <v>0</v>
      </c>
      <c r="BO67">
        <v>0</v>
      </c>
      <c r="BP67">
        <v>0</v>
      </c>
      <c r="BW67" t="str">
        <f t="shared" si="35"/>
        <v>14:40:58.084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119</v>
      </c>
      <c r="CQ67">
        <v>343</v>
      </c>
      <c r="CR67">
        <v>1</v>
      </c>
      <c r="CW67">
        <v>10503601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 t="shared" si="32"/>
        <v>05/12/2020 14:40:40.251</v>
      </c>
      <c r="C68" t="str">
        <f t="shared" si="11"/>
        <v>FFDFD3C0</v>
      </c>
      <c r="D68" t="s">
        <v>138</v>
      </c>
      <c r="E68">
        <v>3</v>
      </c>
      <c r="H68">
        <v>9</v>
      </c>
      <c r="I68" t="s">
        <v>140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33"/>
        <v>14:40:58.078</v>
      </c>
      <c r="T68" t="str">
        <f t="shared" si="34"/>
        <v>14:40:57.478</v>
      </c>
      <c r="U68" t="str">
        <f t="shared" si="36"/>
        <v>A9808D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0</v>
      </c>
      <c r="AI68" t="s">
        <v>153</v>
      </c>
      <c r="AJ68">
        <v>28.229177</v>
      </c>
      <c r="AK68" t="s">
        <v>154</v>
      </c>
      <c r="AL68">
        <v>-82.381625</v>
      </c>
      <c r="AM68">
        <v>100</v>
      </c>
      <c r="AN68">
        <v>200</v>
      </c>
      <c r="AO68" t="s">
        <v>118</v>
      </c>
      <c r="AP68">
        <v>-50</v>
      </c>
      <c r="AQ68">
        <v>72</v>
      </c>
      <c r="AR68">
        <v>640</v>
      </c>
      <c r="AZ68">
        <v>1200</v>
      </c>
      <c r="BA68">
        <v>1</v>
      </c>
      <c r="BB68" t="str">
        <f t="shared" si="14"/>
        <v xml:space="preserve">N711JA  </v>
      </c>
      <c r="BC68">
        <v>1</v>
      </c>
      <c r="BE68">
        <v>0</v>
      </c>
      <c r="BF68">
        <v>0</v>
      </c>
      <c r="BG68">
        <v>0</v>
      </c>
      <c r="BH68">
        <v>225</v>
      </c>
      <c r="BI68">
        <v>1</v>
      </c>
      <c r="BJ68">
        <v>1</v>
      </c>
      <c r="BK68">
        <v>0</v>
      </c>
      <c r="BL68">
        <v>0</v>
      </c>
      <c r="BO68">
        <v>0</v>
      </c>
      <c r="BP68">
        <v>0</v>
      </c>
      <c r="BW68" t="str">
        <f t="shared" si="35"/>
        <v>14:40:58.084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119</v>
      </c>
      <c r="CQ68">
        <v>343</v>
      </c>
      <c r="CR68">
        <v>1</v>
      </c>
      <c r="CW68">
        <v>10503601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 t="shared" si="32"/>
        <v>05/12/2020 14:40:40.251</v>
      </c>
      <c r="C69" t="str">
        <f t="shared" si="11"/>
        <v>FFDFD3C0</v>
      </c>
      <c r="D69" t="s">
        <v>126</v>
      </c>
      <c r="E69">
        <v>6</v>
      </c>
      <c r="F69">
        <v>1006</v>
      </c>
      <c r="G69" t="s">
        <v>114</v>
      </c>
      <c r="J69" t="s">
        <v>128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33"/>
        <v>14:40:58.078</v>
      </c>
      <c r="T69" t="str">
        <f t="shared" si="34"/>
        <v>14:40:57.478</v>
      </c>
      <c r="U69" t="str">
        <f t="shared" si="36"/>
        <v>A9808D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0</v>
      </c>
      <c r="AI69" t="s">
        <v>153</v>
      </c>
      <c r="AJ69">
        <v>28.229177</v>
      </c>
      <c r="AK69" t="s">
        <v>154</v>
      </c>
      <c r="AL69">
        <v>-82.381625</v>
      </c>
      <c r="AM69">
        <v>100</v>
      </c>
      <c r="AN69">
        <v>200</v>
      </c>
      <c r="AO69" t="s">
        <v>118</v>
      </c>
      <c r="AP69">
        <v>-50</v>
      </c>
      <c r="AQ69">
        <v>72</v>
      </c>
      <c r="AR69">
        <v>640</v>
      </c>
      <c r="AZ69">
        <v>1200</v>
      </c>
      <c r="BA69">
        <v>1</v>
      </c>
      <c r="BB69" t="str">
        <f t="shared" si="14"/>
        <v xml:space="preserve">N711JA  </v>
      </c>
      <c r="BC69">
        <v>1</v>
      </c>
      <c r="BE69">
        <v>0</v>
      </c>
      <c r="BF69">
        <v>0</v>
      </c>
      <c r="BG69">
        <v>0</v>
      </c>
      <c r="BH69">
        <v>225</v>
      </c>
      <c r="BI69">
        <v>1</v>
      </c>
      <c r="BJ69">
        <v>1</v>
      </c>
      <c r="BK69">
        <v>0</v>
      </c>
      <c r="BL69">
        <v>0</v>
      </c>
      <c r="BO69">
        <v>0</v>
      </c>
      <c r="BP69">
        <v>0</v>
      </c>
      <c r="BW69" t="str">
        <f t="shared" si="35"/>
        <v>14:40:58.084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343</v>
      </c>
      <c r="CR69">
        <v>1</v>
      </c>
      <c r="CW69">
        <v>10503601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 t="shared" ref="A70:A77" si="37">"05/12/2020 14:40:41.291"</f>
        <v>05/12/2020 14:40:41.291</v>
      </c>
      <c r="C70" t="str">
        <f t="shared" si="11"/>
        <v>FFDFD3C0</v>
      </c>
      <c r="D70" t="s">
        <v>138</v>
      </c>
      <c r="E70">
        <v>2</v>
      </c>
      <c r="H70">
        <v>8</v>
      </c>
      <c r="I70" t="s">
        <v>139</v>
      </c>
      <c r="J70" t="s">
        <v>136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ref="S70:S77" si="38">"14:40:59.109"</f>
        <v>14:40:59.109</v>
      </c>
      <c r="T70" t="str">
        <f t="shared" ref="T70:T77" si="39">"14:40:58.809"</f>
        <v>14:40:58.809</v>
      </c>
      <c r="U70" t="str">
        <f t="shared" si="36"/>
        <v>A9808D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0</v>
      </c>
      <c r="AI70" t="s">
        <v>155</v>
      </c>
      <c r="AJ70">
        <v>28.229499000000001</v>
      </c>
      <c r="AK70" t="s">
        <v>156</v>
      </c>
      <c r="AL70">
        <v>-82.381883000000002</v>
      </c>
      <c r="AM70">
        <v>100</v>
      </c>
      <c r="AN70">
        <v>200</v>
      </c>
      <c r="AO70" t="s">
        <v>118</v>
      </c>
      <c r="AP70">
        <v>-46</v>
      </c>
      <c r="AQ70">
        <v>75</v>
      </c>
      <c r="AR70">
        <v>704</v>
      </c>
      <c r="AZ70">
        <v>1200</v>
      </c>
      <c r="BA70">
        <v>1</v>
      </c>
      <c r="BB70" t="str">
        <f t="shared" si="14"/>
        <v xml:space="preserve">N711JA  </v>
      </c>
      <c r="BC70">
        <v>1</v>
      </c>
      <c r="BE70">
        <v>0</v>
      </c>
      <c r="BF70">
        <v>0</v>
      </c>
      <c r="BG70">
        <v>0</v>
      </c>
      <c r="BH70">
        <v>250</v>
      </c>
      <c r="BI70">
        <v>1</v>
      </c>
      <c r="BJ70">
        <v>1</v>
      </c>
      <c r="BK70">
        <v>0</v>
      </c>
      <c r="BL70">
        <v>0</v>
      </c>
      <c r="BO70">
        <v>0</v>
      </c>
      <c r="BP70">
        <v>0</v>
      </c>
      <c r="BW70" t="str">
        <f t="shared" ref="BW70:BW77" si="40">"14:40:59.114"</f>
        <v>14:40:59.114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343</v>
      </c>
      <c r="CR70">
        <v>1</v>
      </c>
      <c r="CW70">
        <v>10504674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 t="shared" si="37"/>
        <v>05/12/2020 14:40:41.291</v>
      </c>
      <c r="C71" t="str">
        <f t="shared" si="11"/>
        <v>FFDFD3C0</v>
      </c>
      <c r="D71" t="s">
        <v>138</v>
      </c>
      <c r="E71">
        <v>3</v>
      </c>
      <c r="H71">
        <v>9</v>
      </c>
      <c r="I71" t="s">
        <v>140</v>
      </c>
      <c r="J71" t="s">
        <v>136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38"/>
        <v>14:40:59.109</v>
      </c>
      <c r="T71" t="str">
        <f t="shared" si="39"/>
        <v>14:40:58.809</v>
      </c>
      <c r="U71" t="str">
        <f t="shared" si="36"/>
        <v>A9808D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0</v>
      </c>
      <c r="AI71" t="s">
        <v>155</v>
      </c>
      <c r="AJ71">
        <v>28.229499000000001</v>
      </c>
      <c r="AK71" t="s">
        <v>156</v>
      </c>
      <c r="AL71">
        <v>-82.381883000000002</v>
      </c>
      <c r="AM71">
        <v>100</v>
      </c>
      <c r="AN71">
        <v>200</v>
      </c>
      <c r="AO71" t="s">
        <v>118</v>
      </c>
      <c r="AP71">
        <v>-46</v>
      </c>
      <c r="AQ71">
        <v>75</v>
      </c>
      <c r="AR71">
        <v>704</v>
      </c>
      <c r="AZ71">
        <v>1200</v>
      </c>
      <c r="BA71">
        <v>1</v>
      </c>
      <c r="BB71" t="str">
        <f t="shared" si="14"/>
        <v xml:space="preserve">N711JA  </v>
      </c>
      <c r="BC71">
        <v>1</v>
      </c>
      <c r="BE71">
        <v>0</v>
      </c>
      <c r="BF71">
        <v>0</v>
      </c>
      <c r="BG71">
        <v>0</v>
      </c>
      <c r="BH71">
        <v>250</v>
      </c>
      <c r="BI71">
        <v>1</v>
      </c>
      <c r="BJ71">
        <v>1</v>
      </c>
      <c r="BK71">
        <v>0</v>
      </c>
      <c r="BL71">
        <v>0</v>
      </c>
      <c r="BO71">
        <v>0</v>
      </c>
      <c r="BP71">
        <v>0</v>
      </c>
      <c r="BW71" t="str">
        <f t="shared" si="40"/>
        <v>14:40:59.114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343</v>
      </c>
      <c r="CR71">
        <v>1</v>
      </c>
      <c r="CW71">
        <v>10504674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 t="shared" si="37"/>
        <v>05/12/2020 14:40:41.291</v>
      </c>
      <c r="C72" t="str">
        <f t="shared" si="11"/>
        <v>FFDFD3C0</v>
      </c>
      <c r="D72" t="s">
        <v>126</v>
      </c>
      <c r="E72">
        <v>6</v>
      </c>
      <c r="F72">
        <v>1006</v>
      </c>
      <c r="G72" t="s">
        <v>114</v>
      </c>
      <c r="J72" t="s">
        <v>128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8"/>
        <v>14:40:59.109</v>
      </c>
      <c r="T72" t="str">
        <f t="shared" si="39"/>
        <v>14:40:58.809</v>
      </c>
      <c r="U72" t="str">
        <f t="shared" si="36"/>
        <v>A9808D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0</v>
      </c>
      <c r="AI72" t="s">
        <v>155</v>
      </c>
      <c r="AJ72">
        <v>28.229499000000001</v>
      </c>
      <c r="AK72" t="s">
        <v>156</v>
      </c>
      <c r="AL72">
        <v>-82.381883000000002</v>
      </c>
      <c r="AM72">
        <v>100</v>
      </c>
      <c r="AN72">
        <v>200</v>
      </c>
      <c r="AO72" t="s">
        <v>118</v>
      </c>
      <c r="AP72">
        <v>-46</v>
      </c>
      <c r="AQ72">
        <v>75</v>
      </c>
      <c r="AR72">
        <v>704</v>
      </c>
      <c r="AZ72">
        <v>1200</v>
      </c>
      <c r="BA72">
        <v>1</v>
      </c>
      <c r="BB72" t="str">
        <f t="shared" si="14"/>
        <v xml:space="preserve">N711JA  </v>
      </c>
      <c r="BC72">
        <v>1</v>
      </c>
      <c r="BE72">
        <v>0</v>
      </c>
      <c r="BF72">
        <v>0</v>
      </c>
      <c r="BG72">
        <v>0</v>
      </c>
      <c r="BH72">
        <v>250</v>
      </c>
      <c r="BI72">
        <v>1</v>
      </c>
      <c r="BJ72">
        <v>1</v>
      </c>
      <c r="BK72">
        <v>0</v>
      </c>
      <c r="BL72">
        <v>0</v>
      </c>
      <c r="BO72">
        <v>0</v>
      </c>
      <c r="BP72">
        <v>0</v>
      </c>
      <c r="BW72" t="str">
        <f t="shared" si="40"/>
        <v>14:40:59.114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343</v>
      </c>
      <c r="CR72">
        <v>1</v>
      </c>
      <c r="CW72">
        <v>10504674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 t="shared" si="37"/>
        <v>05/12/2020 14:40:41.291</v>
      </c>
      <c r="C73" t="str">
        <f t="shared" si="11"/>
        <v>FFDFD3C0</v>
      </c>
      <c r="D73" t="s">
        <v>126</v>
      </c>
      <c r="E73">
        <v>7</v>
      </c>
      <c r="F73">
        <v>1007</v>
      </c>
      <c r="G73" t="s">
        <v>127</v>
      </c>
      <c r="J73" t="s">
        <v>128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38"/>
        <v>14:40:59.109</v>
      </c>
      <c r="T73" t="str">
        <f t="shared" si="39"/>
        <v>14:40:58.809</v>
      </c>
      <c r="U73" t="str">
        <f t="shared" si="36"/>
        <v>A9808D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0</v>
      </c>
      <c r="AI73" t="s">
        <v>155</v>
      </c>
      <c r="AJ73">
        <v>28.229499000000001</v>
      </c>
      <c r="AK73" t="s">
        <v>156</v>
      </c>
      <c r="AL73">
        <v>-82.381883000000002</v>
      </c>
      <c r="AM73">
        <v>100</v>
      </c>
      <c r="AN73">
        <v>200</v>
      </c>
      <c r="AO73" t="s">
        <v>118</v>
      </c>
      <c r="AP73">
        <v>-46</v>
      </c>
      <c r="AQ73">
        <v>75</v>
      </c>
      <c r="AR73">
        <v>704</v>
      </c>
      <c r="AZ73">
        <v>1200</v>
      </c>
      <c r="BA73">
        <v>1</v>
      </c>
      <c r="BB73" t="str">
        <f t="shared" si="14"/>
        <v xml:space="preserve">N711JA  </v>
      </c>
      <c r="BC73">
        <v>1</v>
      </c>
      <c r="BE73">
        <v>0</v>
      </c>
      <c r="BF73">
        <v>0</v>
      </c>
      <c r="BG73">
        <v>0</v>
      </c>
      <c r="BH73">
        <v>250</v>
      </c>
      <c r="BI73">
        <v>1</v>
      </c>
      <c r="BJ73">
        <v>1</v>
      </c>
      <c r="BK73">
        <v>0</v>
      </c>
      <c r="BL73">
        <v>0</v>
      </c>
      <c r="BO73">
        <v>0</v>
      </c>
      <c r="BP73">
        <v>0</v>
      </c>
      <c r="BW73" t="str">
        <f t="shared" si="40"/>
        <v>14:40:59.114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343</v>
      </c>
      <c r="CR73">
        <v>1</v>
      </c>
      <c r="CW73">
        <v>10504674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 t="shared" si="37"/>
        <v>05/12/2020 14:40:41.291</v>
      </c>
      <c r="C74" t="str">
        <f t="shared" si="11"/>
        <v>FFDFD3C0</v>
      </c>
      <c r="D74" t="s">
        <v>131</v>
      </c>
      <c r="E74">
        <v>10</v>
      </c>
      <c r="F74">
        <v>2010</v>
      </c>
      <c r="G74" t="s">
        <v>132</v>
      </c>
      <c r="J74" t="s">
        <v>133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38"/>
        <v>14:40:59.109</v>
      </c>
      <c r="T74" t="str">
        <f t="shared" si="39"/>
        <v>14:40:58.809</v>
      </c>
      <c r="U74" t="str">
        <f t="shared" si="36"/>
        <v>A9808D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0</v>
      </c>
      <c r="AI74" t="s">
        <v>155</v>
      </c>
      <c r="AJ74">
        <v>28.229499000000001</v>
      </c>
      <c r="AK74" t="s">
        <v>156</v>
      </c>
      <c r="AL74">
        <v>-82.381883000000002</v>
      </c>
      <c r="AM74">
        <v>100</v>
      </c>
      <c r="AN74">
        <v>200</v>
      </c>
      <c r="AO74" t="s">
        <v>118</v>
      </c>
      <c r="AP74">
        <v>-46</v>
      </c>
      <c r="AQ74">
        <v>75</v>
      </c>
      <c r="AR74">
        <v>704</v>
      </c>
      <c r="AZ74">
        <v>1200</v>
      </c>
      <c r="BA74">
        <v>1</v>
      </c>
      <c r="BB74" t="str">
        <f t="shared" si="14"/>
        <v xml:space="preserve">N711JA  </v>
      </c>
      <c r="BC74">
        <v>1</v>
      </c>
      <c r="BE74">
        <v>0</v>
      </c>
      <c r="BF74">
        <v>0</v>
      </c>
      <c r="BG74">
        <v>0</v>
      </c>
      <c r="BH74">
        <v>250</v>
      </c>
      <c r="BI74">
        <v>1</v>
      </c>
      <c r="BJ74">
        <v>1</v>
      </c>
      <c r="BK74">
        <v>0</v>
      </c>
      <c r="BL74">
        <v>0</v>
      </c>
      <c r="BO74">
        <v>0</v>
      </c>
      <c r="BP74">
        <v>0</v>
      </c>
      <c r="BW74" t="str">
        <f t="shared" si="40"/>
        <v>14:40:59.114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343</v>
      </c>
      <c r="CR74">
        <v>1</v>
      </c>
      <c r="CW74">
        <v>10504674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 t="shared" si="37"/>
        <v>05/12/2020 14:40:41.291</v>
      </c>
      <c r="C75" t="str">
        <f t="shared" si="11"/>
        <v>FFDFD3C0</v>
      </c>
      <c r="D75" t="s">
        <v>113</v>
      </c>
      <c r="E75">
        <v>3</v>
      </c>
      <c r="H75">
        <v>164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38"/>
        <v>14:40:59.109</v>
      </c>
      <c r="T75" t="str">
        <f t="shared" si="39"/>
        <v>14:40:58.809</v>
      </c>
      <c r="U75" t="str">
        <f t="shared" si="36"/>
        <v>A9808D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0</v>
      </c>
      <c r="AI75" t="s">
        <v>155</v>
      </c>
      <c r="AJ75">
        <v>28.229499000000001</v>
      </c>
      <c r="AK75" t="s">
        <v>156</v>
      </c>
      <c r="AL75">
        <v>-82.381883000000002</v>
      </c>
      <c r="AM75">
        <v>100</v>
      </c>
      <c r="AN75">
        <v>200</v>
      </c>
      <c r="AO75" t="s">
        <v>118</v>
      </c>
      <c r="AP75">
        <v>-46</v>
      </c>
      <c r="AQ75">
        <v>75</v>
      </c>
      <c r="AR75">
        <v>704</v>
      </c>
      <c r="AZ75">
        <v>1200</v>
      </c>
      <c r="BA75">
        <v>1</v>
      </c>
      <c r="BB75" t="str">
        <f t="shared" si="14"/>
        <v xml:space="preserve">N711JA  </v>
      </c>
      <c r="BC75">
        <v>1</v>
      </c>
      <c r="BE75">
        <v>0</v>
      </c>
      <c r="BF75">
        <v>0</v>
      </c>
      <c r="BG75">
        <v>0</v>
      </c>
      <c r="BH75">
        <v>250</v>
      </c>
      <c r="BI75">
        <v>1</v>
      </c>
      <c r="BJ75">
        <v>1</v>
      </c>
      <c r="BK75">
        <v>0</v>
      </c>
      <c r="BL75">
        <v>0</v>
      </c>
      <c r="BO75">
        <v>0</v>
      </c>
      <c r="BP75">
        <v>0</v>
      </c>
      <c r="BW75" t="str">
        <f t="shared" si="40"/>
        <v>14:40:59.114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343</v>
      </c>
      <c r="CR75">
        <v>1</v>
      </c>
      <c r="CW75">
        <v>10504674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 t="shared" si="37"/>
        <v>05/12/2020 14:40:41.291</v>
      </c>
      <c r="C76" t="str">
        <f t="shared" si="11"/>
        <v>FFDFD3C0</v>
      </c>
      <c r="D76" t="s">
        <v>134</v>
      </c>
      <c r="E76">
        <v>12</v>
      </c>
      <c r="H76">
        <v>64</v>
      </c>
      <c r="I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38"/>
        <v>14:40:59.109</v>
      </c>
      <c r="T76" t="str">
        <f t="shared" si="39"/>
        <v>14:40:58.809</v>
      </c>
      <c r="U76" t="str">
        <f t="shared" si="36"/>
        <v>A9808D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0</v>
      </c>
      <c r="AI76" t="s">
        <v>155</v>
      </c>
      <c r="AJ76">
        <v>28.229499000000001</v>
      </c>
      <c r="AK76" t="s">
        <v>156</v>
      </c>
      <c r="AL76">
        <v>-82.381883000000002</v>
      </c>
      <c r="AM76">
        <v>100</v>
      </c>
      <c r="AN76">
        <v>200</v>
      </c>
      <c r="AO76" t="s">
        <v>118</v>
      </c>
      <c r="AP76">
        <v>-46</v>
      </c>
      <c r="AQ76">
        <v>75</v>
      </c>
      <c r="AR76">
        <v>704</v>
      </c>
      <c r="AZ76">
        <v>1200</v>
      </c>
      <c r="BA76">
        <v>1</v>
      </c>
      <c r="BB76" t="str">
        <f t="shared" si="14"/>
        <v xml:space="preserve">N711JA  </v>
      </c>
      <c r="BC76">
        <v>1</v>
      </c>
      <c r="BE76">
        <v>0</v>
      </c>
      <c r="BF76">
        <v>0</v>
      </c>
      <c r="BG76">
        <v>0</v>
      </c>
      <c r="BH76">
        <v>250</v>
      </c>
      <c r="BI76">
        <v>1</v>
      </c>
      <c r="BJ76">
        <v>1</v>
      </c>
      <c r="BK76">
        <v>0</v>
      </c>
      <c r="BL76">
        <v>0</v>
      </c>
      <c r="BO76">
        <v>0</v>
      </c>
      <c r="BP76">
        <v>0</v>
      </c>
      <c r="BW76" t="str">
        <f t="shared" si="40"/>
        <v>14:40:59.114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343</v>
      </c>
      <c r="CR76">
        <v>1</v>
      </c>
      <c r="CW76">
        <v>10504674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 t="shared" si="37"/>
        <v>05/12/2020 14:40:41.291</v>
      </c>
      <c r="C77" t="str">
        <f t="shared" si="11"/>
        <v>FFDFD3C0</v>
      </c>
      <c r="D77" t="s">
        <v>131</v>
      </c>
      <c r="E77">
        <v>12</v>
      </c>
      <c r="F77">
        <v>2012</v>
      </c>
      <c r="G77" t="s">
        <v>137</v>
      </c>
      <c r="J77" t="s">
        <v>133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38"/>
        <v>14:40:59.109</v>
      </c>
      <c r="T77" t="str">
        <f t="shared" si="39"/>
        <v>14:40:58.809</v>
      </c>
      <c r="U77" t="str">
        <f t="shared" si="36"/>
        <v>A9808D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0</v>
      </c>
      <c r="AI77" t="s">
        <v>155</v>
      </c>
      <c r="AJ77">
        <v>28.229499000000001</v>
      </c>
      <c r="AK77" t="s">
        <v>156</v>
      </c>
      <c r="AL77">
        <v>-82.381883000000002</v>
      </c>
      <c r="AM77">
        <v>100</v>
      </c>
      <c r="AN77">
        <v>200</v>
      </c>
      <c r="AO77" t="s">
        <v>118</v>
      </c>
      <c r="AP77">
        <v>-46</v>
      </c>
      <c r="AQ77">
        <v>75</v>
      </c>
      <c r="AR77">
        <v>704</v>
      </c>
      <c r="AZ77">
        <v>1200</v>
      </c>
      <c r="BA77">
        <v>1</v>
      </c>
      <c r="BB77" t="str">
        <f t="shared" si="14"/>
        <v xml:space="preserve">N711JA  </v>
      </c>
      <c r="BC77">
        <v>1</v>
      </c>
      <c r="BE77">
        <v>0</v>
      </c>
      <c r="BF77">
        <v>0</v>
      </c>
      <c r="BG77">
        <v>0</v>
      </c>
      <c r="BH77">
        <v>250</v>
      </c>
      <c r="BI77">
        <v>1</v>
      </c>
      <c r="BJ77">
        <v>1</v>
      </c>
      <c r="BK77">
        <v>0</v>
      </c>
      <c r="BL77">
        <v>0</v>
      </c>
      <c r="BO77">
        <v>0</v>
      </c>
      <c r="BP77">
        <v>0</v>
      </c>
      <c r="BW77" t="str">
        <f t="shared" si="40"/>
        <v>14:40:59.114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343</v>
      </c>
      <c r="CR77">
        <v>1</v>
      </c>
      <c r="CW77">
        <v>10504674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ref="A78:A85" si="41">"05/12/2020 14:40:42.195"</f>
        <v>05/12/2020 14:40:42.195</v>
      </c>
      <c r="C78" t="str">
        <f t="shared" si="11"/>
        <v>FFDFD3C0</v>
      </c>
      <c r="D78" t="s">
        <v>126</v>
      </c>
      <c r="E78">
        <v>6</v>
      </c>
      <c r="F78">
        <v>1006</v>
      </c>
      <c r="G78" t="s">
        <v>114</v>
      </c>
      <c r="J78" t="s">
        <v>128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ref="S78:S85" si="42">"14:41:00.023"</f>
        <v>14:41:00.023</v>
      </c>
      <c r="T78" t="str">
        <f t="shared" ref="T78:T85" si="43">"14:40:59.823"</f>
        <v>14:40:59.823</v>
      </c>
      <c r="U78" t="str">
        <f t="shared" si="36"/>
        <v>A9808D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0</v>
      </c>
      <c r="AI78" t="s">
        <v>157</v>
      </c>
      <c r="AJ78">
        <v>28.229842000000001</v>
      </c>
      <c r="AK78" t="s">
        <v>158</v>
      </c>
      <c r="AL78">
        <v>-82.382119000000003</v>
      </c>
      <c r="AM78">
        <v>100</v>
      </c>
      <c r="AN78">
        <v>200</v>
      </c>
      <c r="AO78" t="s">
        <v>118</v>
      </c>
      <c r="AP78">
        <v>-44</v>
      </c>
      <c r="AQ78">
        <v>76</v>
      </c>
      <c r="AR78">
        <v>704</v>
      </c>
      <c r="AZ78">
        <v>1200</v>
      </c>
      <c r="BA78">
        <v>1</v>
      </c>
      <c r="BB78" t="str">
        <f t="shared" si="14"/>
        <v xml:space="preserve">N711JA  </v>
      </c>
      <c r="BC78">
        <v>1</v>
      </c>
      <c r="BE78">
        <v>0</v>
      </c>
      <c r="BF78">
        <v>0</v>
      </c>
      <c r="BG78">
        <v>0</v>
      </c>
      <c r="BH78">
        <v>250</v>
      </c>
      <c r="BI78">
        <v>1</v>
      </c>
      <c r="BJ78">
        <v>1</v>
      </c>
      <c r="BK78">
        <v>0</v>
      </c>
      <c r="BL78">
        <v>0</v>
      </c>
      <c r="BO78">
        <v>0</v>
      </c>
      <c r="BP78">
        <v>0</v>
      </c>
      <c r="BW78" t="str">
        <f t="shared" ref="BW78:BW85" si="44">"14:41:00.024"</f>
        <v>14:41:00.024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343</v>
      </c>
      <c r="CR78">
        <v>1</v>
      </c>
      <c r="CW78">
        <v>10505588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41"/>
        <v>05/12/2020 14:40:42.195</v>
      </c>
      <c r="C79" t="str">
        <f t="shared" si="11"/>
        <v>FFDFD3C0</v>
      </c>
      <c r="D79" t="s">
        <v>138</v>
      </c>
      <c r="E79">
        <v>2</v>
      </c>
      <c r="H79">
        <v>8</v>
      </c>
      <c r="I79" t="s">
        <v>139</v>
      </c>
      <c r="J79" t="s">
        <v>136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2"/>
        <v>14:41:00.023</v>
      </c>
      <c r="T79" t="str">
        <f t="shared" si="43"/>
        <v>14:40:59.823</v>
      </c>
      <c r="U79" t="str">
        <f t="shared" si="36"/>
        <v>A9808D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0</v>
      </c>
      <c r="AI79" t="s">
        <v>157</v>
      </c>
      <c r="AJ79">
        <v>28.229842000000001</v>
      </c>
      <c r="AK79" t="s">
        <v>158</v>
      </c>
      <c r="AL79">
        <v>-82.382119000000003</v>
      </c>
      <c r="AM79">
        <v>100</v>
      </c>
      <c r="AN79">
        <v>200</v>
      </c>
      <c r="AO79" t="s">
        <v>118</v>
      </c>
      <c r="AP79">
        <v>-44</v>
      </c>
      <c r="AQ79">
        <v>76</v>
      </c>
      <c r="AR79">
        <v>704</v>
      </c>
      <c r="AZ79">
        <v>1200</v>
      </c>
      <c r="BA79">
        <v>1</v>
      </c>
      <c r="BB79" t="str">
        <f t="shared" si="14"/>
        <v xml:space="preserve">N711JA  </v>
      </c>
      <c r="BC79">
        <v>1</v>
      </c>
      <c r="BE79">
        <v>0</v>
      </c>
      <c r="BF79">
        <v>0</v>
      </c>
      <c r="BG79">
        <v>0</v>
      </c>
      <c r="BH79">
        <v>250</v>
      </c>
      <c r="BI79">
        <v>1</v>
      </c>
      <c r="BJ79">
        <v>1</v>
      </c>
      <c r="BK79">
        <v>0</v>
      </c>
      <c r="BL79">
        <v>0</v>
      </c>
      <c r="BO79">
        <v>0</v>
      </c>
      <c r="BP79">
        <v>0</v>
      </c>
      <c r="BW79" t="str">
        <f t="shared" si="44"/>
        <v>14:41:00.024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343</v>
      </c>
      <c r="CR79">
        <v>1</v>
      </c>
      <c r="CW79">
        <v>10505588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si="41"/>
        <v>05/12/2020 14:40:42.195</v>
      </c>
      <c r="C80" t="str">
        <f t="shared" si="11"/>
        <v>FFDFD3C0</v>
      </c>
      <c r="D80" t="s">
        <v>138</v>
      </c>
      <c r="E80">
        <v>3</v>
      </c>
      <c r="H80">
        <v>9</v>
      </c>
      <c r="I80" t="s">
        <v>140</v>
      </c>
      <c r="J80" t="s">
        <v>136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42"/>
        <v>14:41:00.023</v>
      </c>
      <c r="T80" t="str">
        <f t="shared" si="43"/>
        <v>14:40:59.823</v>
      </c>
      <c r="U80" t="str">
        <f t="shared" si="36"/>
        <v>A9808D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0</v>
      </c>
      <c r="AI80" t="s">
        <v>157</v>
      </c>
      <c r="AJ80">
        <v>28.229842000000001</v>
      </c>
      <c r="AK80" t="s">
        <v>158</v>
      </c>
      <c r="AL80">
        <v>-82.382119000000003</v>
      </c>
      <c r="AM80">
        <v>100</v>
      </c>
      <c r="AN80">
        <v>200</v>
      </c>
      <c r="AO80" t="s">
        <v>118</v>
      </c>
      <c r="AP80">
        <v>-44</v>
      </c>
      <c r="AQ80">
        <v>76</v>
      </c>
      <c r="AR80">
        <v>704</v>
      </c>
      <c r="AZ80">
        <v>1200</v>
      </c>
      <c r="BA80">
        <v>1</v>
      </c>
      <c r="BB80" t="str">
        <f t="shared" si="14"/>
        <v xml:space="preserve">N711JA  </v>
      </c>
      <c r="BC80">
        <v>1</v>
      </c>
      <c r="BE80">
        <v>0</v>
      </c>
      <c r="BF80">
        <v>0</v>
      </c>
      <c r="BG80">
        <v>0</v>
      </c>
      <c r="BH80">
        <v>250</v>
      </c>
      <c r="BI80">
        <v>1</v>
      </c>
      <c r="BJ80">
        <v>1</v>
      </c>
      <c r="BK80">
        <v>0</v>
      </c>
      <c r="BL80">
        <v>0</v>
      </c>
      <c r="BO80">
        <v>0</v>
      </c>
      <c r="BP80">
        <v>0</v>
      </c>
      <c r="BW80" t="str">
        <f t="shared" si="44"/>
        <v>14:41:00.024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343</v>
      </c>
      <c r="CR80">
        <v>1</v>
      </c>
      <c r="CW80">
        <v>10505588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41"/>
        <v>05/12/2020 14:40:42.195</v>
      </c>
      <c r="C81" t="str">
        <f t="shared" si="11"/>
        <v>FFDFD3C0</v>
      </c>
      <c r="D81" t="s">
        <v>126</v>
      </c>
      <c r="E81">
        <v>7</v>
      </c>
      <c r="F81">
        <v>1007</v>
      </c>
      <c r="G81" t="s">
        <v>127</v>
      </c>
      <c r="J81" t="s">
        <v>128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2"/>
        <v>14:41:00.023</v>
      </c>
      <c r="T81" t="str">
        <f t="shared" si="43"/>
        <v>14:40:59.823</v>
      </c>
      <c r="U81" t="str">
        <f t="shared" si="36"/>
        <v>A9808D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0</v>
      </c>
      <c r="AI81" t="s">
        <v>157</v>
      </c>
      <c r="AJ81">
        <v>28.229842000000001</v>
      </c>
      <c r="AK81" t="s">
        <v>158</v>
      </c>
      <c r="AL81">
        <v>-82.382119000000003</v>
      </c>
      <c r="AM81">
        <v>100</v>
      </c>
      <c r="AN81">
        <v>200</v>
      </c>
      <c r="AO81" t="s">
        <v>118</v>
      </c>
      <c r="AP81">
        <v>-44</v>
      </c>
      <c r="AQ81">
        <v>76</v>
      </c>
      <c r="AR81">
        <v>704</v>
      </c>
      <c r="AZ81">
        <v>1200</v>
      </c>
      <c r="BA81">
        <v>1</v>
      </c>
      <c r="BB81" t="str">
        <f t="shared" si="14"/>
        <v xml:space="preserve">N711JA  </v>
      </c>
      <c r="BC81">
        <v>1</v>
      </c>
      <c r="BE81">
        <v>0</v>
      </c>
      <c r="BF81">
        <v>0</v>
      </c>
      <c r="BG81">
        <v>0</v>
      </c>
      <c r="BH81">
        <v>250</v>
      </c>
      <c r="BI81">
        <v>1</v>
      </c>
      <c r="BJ81">
        <v>1</v>
      </c>
      <c r="BK81">
        <v>0</v>
      </c>
      <c r="BL81">
        <v>0</v>
      </c>
      <c r="BO81">
        <v>0</v>
      </c>
      <c r="BP81">
        <v>0</v>
      </c>
      <c r="BW81" t="str">
        <f t="shared" si="44"/>
        <v>14:41:00.024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343</v>
      </c>
      <c r="CR81">
        <v>1</v>
      </c>
      <c r="CW81">
        <v>10505588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si="41"/>
        <v>05/12/2020 14:40:42.195</v>
      </c>
      <c r="C82" t="str">
        <f t="shared" si="11"/>
        <v>FFDFD3C0</v>
      </c>
      <c r="D82" t="s">
        <v>131</v>
      </c>
      <c r="E82">
        <v>10</v>
      </c>
      <c r="F82">
        <v>2010</v>
      </c>
      <c r="G82" t="s">
        <v>132</v>
      </c>
      <c r="J82" t="s">
        <v>133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42"/>
        <v>14:41:00.023</v>
      </c>
      <c r="T82" t="str">
        <f t="shared" si="43"/>
        <v>14:40:59.823</v>
      </c>
      <c r="U82" t="str">
        <f t="shared" si="36"/>
        <v>A9808D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0</v>
      </c>
      <c r="AI82" t="s">
        <v>157</v>
      </c>
      <c r="AJ82">
        <v>28.229842000000001</v>
      </c>
      <c r="AK82" t="s">
        <v>158</v>
      </c>
      <c r="AL82">
        <v>-82.382119000000003</v>
      </c>
      <c r="AM82">
        <v>100</v>
      </c>
      <c r="AN82">
        <v>200</v>
      </c>
      <c r="AO82" t="s">
        <v>118</v>
      </c>
      <c r="AP82">
        <v>-44</v>
      </c>
      <c r="AQ82">
        <v>76</v>
      </c>
      <c r="AR82">
        <v>704</v>
      </c>
      <c r="AZ82">
        <v>1200</v>
      </c>
      <c r="BA82">
        <v>1</v>
      </c>
      <c r="BB82" t="str">
        <f t="shared" si="14"/>
        <v xml:space="preserve">N711JA  </v>
      </c>
      <c r="BC82">
        <v>1</v>
      </c>
      <c r="BE82">
        <v>0</v>
      </c>
      <c r="BF82">
        <v>0</v>
      </c>
      <c r="BG82">
        <v>0</v>
      </c>
      <c r="BH82">
        <v>250</v>
      </c>
      <c r="BI82">
        <v>1</v>
      </c>
      <c r="BJ82">
        <v>1</v>
      </c>
      <c r="BK82">
        <v>0</v>
      </c>
      <c r="BL82">
        <v>0</v>
      </c>
      <c r="BO82">
        <v>0</v>
      </c>
      <c r="BP82">
        <v>0</v>
      </c>
      <c r="BW82" t="str">
        <f t="shared" si="44"/>
        <v>14:41:00.024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343</v>
      </c>
      <c r="CR82">
        <v>1</v>
      </c>
      <c r="CW82">
        <v>10505588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si="41"/>
        <v>05/12/2020 14:40:42.195</v>
      </c>
      <c r="C83" t="str">
        <f t="shared" si="11"/>
        <v>FFDFD3C0</v>
      </c>
      <c r="D83" t="s">
        <v>131</v>
      </c>
      <c r="E83">
        <v>12</v>
      </c>
      <c r="F83">
        <v>2012</v>
      </c>
      <c r="G83" t="s">
        <v>137</v>
      </c>
      <c r="J83" t="s">
        <v>133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42"/>
        <v>14:41:00.023</v>
      </c>
      <c r="T83" t="str">
        <f t="shared" si="43"/>
        <v>14:40:59.823</v>
      </c>
      <c r="U83" t="str">
        <f t="shared" si="36"/>
        <v>A9808D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0</v>
      </c>
      <c r="AI83" t="s">
        <v>157</v>
      </c>
      <c r="AJ83">
        <v>28.229842000000001</v>
      </c>
      <c r="AK83" t="s">
        <v>158</v>
      </c>
      <c r="AL83">
        <v>-82.382119000000003</v>
      </c>
      <c r="AM83">
        <v>100</v>
      </c>
      <c r="AN83">
        <v>200</v>
      </c>
      <c r="AO83" t="s">
        <v>118</v>
      </c>
      <c r="AP83">
        <v>-44</v>
      </c>
      <c r="AQ83">
        <v>76</v>
      </c>
      <c r="AR83">
        <v>704</v>
      </c>
      <c r="AZ83">
        <v>1200</v>
      </c>
      <c r="BA83">
        <v>1</v>
      </c>
      <c r="BB83" t="str">
        <f t="shared" si="14"/>
        <v xml:space="preserve">N711JA  </v>
      </c>
      <c r="BC83">
        <v>1</v>
      </c>
      <c r="BE83">
        <v>0</v>
      </c>
      <c r="BF83">
        <v>0</v>
      </c>
      <c r="BG83">
        <v>0</v>
      </c>
      <c r="BH83">
        <v>250</v>
      </c>
      <c r="BI83">
        <v>1</v>
      </c>
      <c r="BJ83">
        <v>1</v>
      </c>
      <c r="BK83">
        <v>0</v>
      </c>
      <c r="BL83">
        <v>0</v>
      </c>
      <c r="BO83">
        <v>0</v>
      </c>
      <c r="BP83">
        <v>0</v>
      </c>
      <c r="BW83" t="str">
        <f t="shared" si="44"/>
        <v>14:41:00.024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343</v>
      </c>
      <c r="CR83">
        <v>1</v>
      </c>
      <c r="CW83">
        <v>10505588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41"/>
        <v>05/12/2020 14:40:42.195</v>
      </c>
      <c r="C84" t="str">
        <f t="shared" si="11"/>
        <v>FFDFD3C0</v>
      </c>
      <c r="D84" t="s">
        <v>113</v>
      </c>
      <c r="E84">
        <v>3</v>
      </c>
      <c r="H84">
        <v>164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2"/>
        <v>14:41:00.023</v>
      </c>
      <c r="T84" t="str">
        <f t="shared" si="43"/>
        <v>14:40:59.823</v>
      </c>
      <c r="U84" t="str">
        <f t="shared" si="36"/>
        <v>A9808D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0</v>
      </c>
      <c r="AI84" t="s">
        <v>157</v>
      </c>
      <c r="AJ84">
        <v>28.229842000000001</v>
      </c>
      <c r="AK84" t="s">
        <v>158</v>
      </c>
      <c r="AL84">
        <v>-82.382119000000003</v>
      </c>
      <c r="AM84">
        <v>100</v>
      </c>
      <c r="AN84">
        <v>200</v>
      </c>
      <c r="AO84" t="s">
        <v>118</v>
      </c>
      <c r="AP84">
        <v>-44</v>
      </c>
      <c r="AQ84">
        <v>76</v>
      </c>
      <c r="AR84">
        <v>704</v>
      </c>
      <c r="AZ84">
        <v>1200</v>
      </c>
      <c r="BA84">
        <v>1</v>
      </c>
      <c r="BB84" t="str">
        <f t="shared" si="14"/>
        <v xml:space="preserve">N711JA  </v>
      </c>
      <c r="BC84">
        <v>1</v>
      </c>
      <c r="BE84">
        <v>0</v>
      </c>
      <c r="BF84">
        <v>0</v>
      </c>
      <c r="BG84">
        <v>0</v>
      </c>
      <c r="BH84">
        <v>250</v>
      </c>
      <c r="BI84">
        <v>1</v>
      </c>
      <c r="BJ84">
        <v>1</v>
      </c>
      <c r="BK84">
        <v>0</v>
      </c>
      <c r="BL84">
        <v>0</v>
      </c>
      <c r="BO84">
        <v>0</v>
      </c>
      <c r="BP84">
        <v>0</v>
      </c>
      <c r="BW84" t="str">
        <f t="shared" si="44"/>
        <v>14:41:00.024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343</v>
      </c>
      <c r="CR84">
        <v>1</v>
      </c>
      <c r="CW84">
        <v>10505588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si="41"/>
        <v>05/12/2020 14:40:42.195</v>
      </c>
      <c r="C85" t="str">
        <f t="shared" si="11"/>
        <v>FFDFD3C0</v>
      </c>
      <c r="D85" t="s">
        <v>134</v>
      </c>
      <c r="E85">
        <v>12</v>
      </c>
      <c r="H85">
        <v>64</v>
      </c>
      <c r="I85" t="s">
        <v>135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2"/>
        <v>14:41:00.023</v>
      </c>
      <c r="T85" t="str">
        <f t="shared" si="43"/>
        <v>14:40:59.823</v>
      </c>
      <c r="U85" t="str">
        <f t="shared" si="36"/>
        <v>A9808D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0</v>
      </c>
      <c r="AI85" t="s">
        <v>157</v>
      </c>
      <c r="AJ85">
        <v>28.229842000000001</v>
      </c>
      <c r="AK85" t="s">
        <v>158</v>
      </c>
      <c r="AL85">
        <v>-82.382119000000003</v>
      </c>
      <c r="AM85">
        <v>100</v>
      </c>
      <c r="AN85">
        <v>200</v>
      </c>
      <c r="AO85" t="s">
        <v>118</v>
      </c>
      <c r="AP85">
        <v>-44</v>
      </c>
      <c r="AQ85">
        <v>76</v>
      </c>
      <c r="AR85">
        <v>704</v>
      </c>
      <c r="AZ85">
        <v>1200</v>
      </c>
      <c r="BA85">
        <v>1</v>
      </c>
      <c r="BB85" t="str">
        <f t="shared" si="14"/>
        <v xml:space="preserve">N711JA  </v>
      </c>
      <c r="BC85">
        <v>1</v>
      </c>
      <c r="BE85">
        <v>0</v>
      </c>
      <c r="BF85">
        <v>0</v>
      </c>
      <c r="BG85">
        <v>0</v>
      </c>
      <c r="BH85">
        <v>250</v>
      </c>
      <c r="BI85">
        <v>1</v>
      </c>
      <c r="BJ85">
        <v>1</v>
      </c>
      <c r="BK85">
        <v>0</v>
      </c>
      <c r="BL85">
        <v>0</v>
      </c>
      <c r="BO85">
        <v>0</v>
      </c>
      <c r="BP85">
        <v>0</v>
      </c>
      <c r="BW85" t="str">
        <f t="shared" si="44"/>
        <v>14:41:00.024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343</v>
      </c>
      <c r="CR85">
        <v>1</v>
      </c>
      <c r="CW85">
        <v>10505588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ref="A86:A94" si="45">"05/12/2020 14:40:43.625"</f>
        <v>05/12/2020 14:40:43.625</v>
      </c>
      <c r="C86" t="str">
        <f t="shared" ref="C86:C149" si="46">"FFDFD3C0"</f>
        <v>FFDFD3C0</v>
      </c>
      <c r="D86" t="s">
        <v>126</v>
      </c>
      <c r="E86">
        <v>7</v>
      </c>
      <c r="F86">
        <v>1007</v>
      </c>
      <c r="G86" t="s">
        <v>127</v>
      </c>
      <c r="J86" t="s">
        <v>128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S94" si="47">"14:41:01.461"</f>
        <v>14:41:01.461</v>
      </c>
      <c r="T86" t="str">
        <f t="shared" ref="T86:T94" si="48">"14:41:01.261"</f>
        <v>14:41:01.261</v>
      </c>
      <c r="U86" t="str">
        <f t="shared" si="36"/>
        <v>A9808D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0</v>
      </c>
      <c r="AI86" t="s">
        <v>159</v>
      </c>
      <c r="AJ86">
        <v>28.230357000000001</v>
      </c>
      <c r="AK86" t="s">
        <v>160</v>
      </c>
      <c r="AL86">
        <v>-82.382375999999994</v>
      </c>
      <c r="AM86">
        <v>100</v>
      </c>
      <c r="AN86">
        <v>200</v>
      </c>
      <c r="AO86" t="s">
        <v>118</v>
      </c>
      <c r="AP86">
        <v>-41</v>
      </c>
      <c r="AQ86">
        <v>78</v>
      </c>
      <c r="AR86">
        <v>256</v>
      </c>
      <c r="AZ86">
        <v>1200</v>
      </c>
      <c r="BA86">
        <v>1</v>
      </c>
      <c r="BB86" t="str">
        <f t="shared" ref="BB86:BB149" si="49">"N711JA  "</f>
        <v xml:space="preserve">N711JA  </v>
      </c>
      <c r="BC86">
        <v>1</v>
      </c>
      <c r="BE86">
        <v>0</v>
      </c>
      <c r="BF86">
        <v>0</v>
      </c>
      <c r="BG86">
        <v>0</v>
      </c>
      <c r="BH86">
        <v>275</v>
      </c>
      <c r="BI86">
        <v>1</v>
      </c>
      <c r="BJ86">
        <v>1</v>
      </c>
      <c r="BK86">
        <v>0</v>
      </c>
      <c r="BL86">
        <v>0</v>
      </c>
      <c r="BO86">
        <v>0</v>
      </c>
      <c r="BP86">
        <v>0</v>
      </c>
      <c r="BW86" t="str">
        <f t="shared" ref="BW86:BW94" si="50">"14:41:01.468"</f>
        <v>14:41:01.468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343</v>
      </c>
      <c r="CR86">
        <v>1</v>
      </c>
      <c r="CW86">
        <v>10507172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45"/>
        <v>05/12/2020 14:40:43.625</v>
      </c>
      <c r="C87" t="str">
        <f t="shared" si="46"/>
        <v>FFDFD3C0</v>
      </c>
      <c r="D87" t="s">
        <v>131</v>
      </c>
      <c r="E87">
        <v>10</v>
      </c>
      <c r="F87">
        <v>2010</v>
      </c>
      <c r="G87" t="s">
        <v>132</v>
      </c>
      <c r="J87" t="s">
        <v>133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7"/>
        <v>14:41:01.461</v>
      </c>
      <c r="T87" t="str">
        <f t="shared" si="48"/>
        <v>14:41:01.261</v>
      </c>
      <c r="U87" t="str">
        <f t="shared" si="36"/>
        <v>A9808D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0</v>
      </c>
      <c r="AI87" t="s">
        <v>159</v>
      </c>
      <c r="AJ87">
        <v>28.230357000000001</v>
      </c>
      <c r="AK87" t="s">
        <v>160</v>
      </c>
      <c r="AL87">
        <v>-82.382375999999994</v>
      </c>
      <c r="AM87">
        <v>100</v>
      </c>
      <c r="AN87">
        <v>200</v>
      </c>
      <c r="AO87" t="s">
        <v>118</v>
      </c>
      <c r="AP87">
        <v>-41</v>
      </c>
      <c r="AQ87">
        <v>78</v>
      </c>
      <c r="AR87">
        <v>256</v>
      </c>
      <c r="AZ87">
        <v>1200</v>
      </c>
      <c r="BA87">
        <v>1</v>
      </c>
      <c r="BB87" t="str">
        <f t="shared" si="49"/>
        <v xml:space="preserve">N711JA  </v>
      </c>
      <c r="BC87">
        <v>1</v>
      </c>
      <c r="BE87">
        <v>0</v>
      </c>
      <c r="BF87">
        <v>0</v>
      </c>
      <c r="BG87">
        <v>0</v>
      </c>
      <c r="BH87">
        <v>275</v>
      </c>
      <c r="BI87">
        <v>1</v>
      </c>
      <c r="BJ87">
        <v>1</v>
      </c>
      <c r="BK87">
        <v>0</v>
      </c>
      <c r="BL87">
        <v>0</v>
      </c>
      <c r="BO87">
        <v>0</v>
      </c>
      <c r="BP87">
        <v>0</v>
      </c>
      <c r="BW87" t="str">
        <f t="shared" si="50"/>
        <v>14:41:01.468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343</v>
      </c>
      <c r="CR87">
        <v>1</v>
      </c>
      <c r="CW87">
        <v>10507172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45"/>
        <v>05/12/2020 14:40:43.625</v>
      </c>
      <c r="C88" t="str">
        <f t="shared" si="46"/>
        <v>FFDFD3C0</v>
      </c>
      <c r="D88" t="s">
        <v>131</v>
      </c>
      <c r="E88">
        <v>18</v>
      </c>
      <c r="F88">
        <v>2018</v>
      </c>
      <c r="G88" t="s">
        <v>161</v>
      </c>
      <c r="J88" t="s">
        <v>133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7"/>
        <v>14:41:01.461</v>
      </c>
      <c r="T88" t="str">
        <f t="shared" si="48"/>
        <v>14:41:01.261</v>
      </c>
      <c r="U88" t="str">
        <f t="shared" si="36"/>
        <v>A9808D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0</v>
      </c>
      <c r="AI88" t="s">
        <v>159</v>
      </c>
      <c r="AJ88">
        <v>28.230357000000001</v>
      </c>
      <c r="AK88" t="s">
        <v>160</v>
      </c>
      <c r="AL88">
        <v>-82.382375999999994</v>
      </c>
      <c r="AM88">
        <v>100</v>
      </c>
      <c r="AN88">
        <v>200</v>
      </c>
      <c r="AO88" t="s">
        <v>118</v>
      </c>
      <c r="AP88">
        <v>-41</v>
      </c>
      <c r="AQ88">
        <v>78</v>
      </c>
      <c r="AR88">
        <v>256</v>
      </c>
      <c r="AZ88">
        <v>1200</v>
      </c>
      <c r="BA88">
        <v>1</v>
      </c>
      <c r="BB88" t="str">
        <f t="shared" si="49"/>
        <v xml:space="preserve">N711JA  </v>
      </c>
      <c r="BC88">
        <v>1</v>
      </c>
      <c r="BE88">
        <v>0</v>
      </c>
      <c r="BF88">
        <v>0</v>
      </c>
      <c r="BG88">
        <v>0</v>
      </c>
      <c r="BH88">
        <v>275</v>
      </c>
      <c r="BI88">
        <v>1</v>
      </c>
      <c r="BJ88">
        <v>1</v>
      </c>
      <c r="BK88">
        <v>0</v>
      </c>
      <c r="BL88">
        <v>0</v>
      </c>
      <c r="BO88">
        <v>0</v>
      </c>
      <c r="BP88">
        <v>0</v>
      </c>
      <c r="BW88" t="str">
        <f t="shared" si="50"/>
        <v>14:41:01.468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343</v>
      </c>
      <c r="CR88">
        <v>1</v>
      </c>
      <c r="CW88">
        <v>10507172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si="45"/>
        <v>05/12/2020 14:40:43.625</v>
      </c>
      <c r="C89" t="str">
        <f t="shared" si="46"/>
        <v>FFDFD3C0</v>
      </c>
      <c r="D89" t="s">
        <v>131</v>
      </c>
      <c r="E89">
        <v>12</v>
      </c>
      <c r="F89">
        <v>2012</v>
      </c>
      <c r="G89" t="s">
        <v>137</v>
      </c>
      <c r="J89" t="s">
        <v>133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47"/>
        <v>14:41:01.461</v>
      </c>
      <c r="T89" t="str">
        <f t="shared" si="48"/>
        <v>14:41:01.261</v>
      </c>
      <c r="U89" t="str">
        <f t="shared" si="36"/>
        <v>A9808D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0</v>
      </c>
      <c r="AI89" t="s">
        <v>159</v>
      </c>
      <c r="AJ89">
        <v>28.230357000000001</v>
      </c>
      <c r="AK89" t="s">
        <v>160</v>
      </c>
      <c r="AL89">
        <v>-82.382375999999994</v>
      </c>
      <c r="AM89">
        <v>100</v>
      </c>
      <c r="AN89">
        <v>200</v>
      </c>
      <c r="AO89" t="s">
        <v>118</v>
      </c>
      <c r="AP89">
        <v>-41</v>
      </c>
      <c r="AQ89">
        <v>78</v>
      </c>
      <c r="AR89">
        <v>256</v>
      </c>
      <c r="AZ89">
        <v>1200</v>
      </c>
      <c r="BA89">
        <v>1</v>
      </c>
      <c r="BB89" t="str">
        <f t="shared" si="49"/>
        <v xml:space="preserve">N711JA  </v>
      </c>
      <c r="BC89">
        <v>1</v>
      </c>
      <c r="BE89">
        <v>0</v>
      </c>
      <c r="BF89">
        <v>0</v>
      </c>
      <c r="BG89">
        <v>0</v>
      </c>
      <c r="BH89">
        <v>275</v>
      </c>
      <c r="BI89">
        <v>1</v>
      </c>
      <c r="BJ89">
        <v>1</v>
      </c>
      <c r="BK89">
        <v>0</v>
      </c>
      <c r="BL89">
        <v>0</v>
      </c>
      <c r="BO89">
        <v>0</v>
      </c>
      <c r="BP89">
        <v>0</v>
      </c>
      <c r="BW89" t="str">
        <f t="shared" si="50"/>
        <v>14:41:01.468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343</v>
      </c>
      <c r="CR89">
        <v>1</v>
      </c>
      <c r="CW89">
        <v>10507172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45"/>
        <v>05/12/2020 14:40:43.625</v>
      </c>
      <c r="C90" t="str">
        <f t="shared" si="46"/>
        <v>FFDFD3C0</v>
      </c>
      <c r="D90" t="s">
        <v>113</v>
      </c>
      <c r="E90">
        <v>3</v>
      </c>
      <c r="H90">
        <v>164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47"/>
        <v>14:41:01.461</v>
      </c>
      <c r="T90" t="str">
        <f t="shared" si="48"/>
        <v>14:41:01.261</v>
      </c>
      <c r="U90" t="str">
        <f t="shared" si="36"/>
        <v>A9808D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0</v>
      </c>
      <c r="AI90" t="s">
        <v>159</v>
      </c>
      <c r="AJ90">
        <v>28.230357000000001</v>
      </c>
      <c r="AK90" t="s">
        <v>160</v>
      </c>
      <c r="AL90">
        <v>-82.382375999999994</v>
      </c>
      <c r="AM90">
        <v>100</v>
      </c>
      <c r="AN90">
        <v>200</v>
      </c>
      <c r="AO90" t="s">
        <v>118</v>
      </c>
      <c r="AP90">
        <v>-41</v>
      </c>
      <c r="AQ90">
        <v>78</v>
      </c>
      <c r="AR90">
        <v>256</v>
      </c>
      <c r="AZ90">
        <v>1200</v>
      </c>
      <c r="BA90">
        <v>1</v>
      </c>
      <c r="BB90" t="str">
        <f t="shared" si="49"/>
        <v xml:space="preserve">N711JA  </v>
      </c>
      <c r="BC90">
        <v>1</v>
      </c>
      <c r="BE90">
        <v>0</v>
      </c>
      <c r="BF90">
        <v>0</v>
      </c>
      <c r="BG90">
        <v>0</v>
      </c>
      <c r="BH90">
        <v>275</v>
      </c>
      <c r="BI90">
        <v>1</v>
      </c>
      <c r="BJ90">
        <v>1</v>
      </c>
      <c r="BK90">
        <v>0</v>
      </c>
      <c r="BL90">
        <v>0</v>
      </c>
      <c r="BO90">
        <v>0</v>
      </c>
      <c r="BP90">
        <v>0</v>
      </c>
      <c r="BW90" t="str">
        <f t="shared" si="50"/>
        <v>14:41:01.468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343</v>
      </c>
      <c r="CR90">
        <v>1</v>
      </c>
      <c r="CW90">
        <v>10507172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 t="shared" si="45"/>
        <v>05/12/2020 14:40:43.625</v>
      </c>
      <c r="C91" t="str">
        <f t="shared" si="46"/>
        <v>FFDFD3C0</v>
      </c>
      <c r="D91" t="s">
        <v>134</v>
      </c>
      <c r="E91">
        <v>12</v>
      </c>
      <c r="H91">
        <v>64</v>
      </c>
      <c r="I91" t="s">
        <v>135</v>
      </c>
      <c r="J91" t="s">
        <v>136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47"/>
        <v>14:41:01.461</v>
      </c>
      <c r="T91" t="str">
        <f t="shared" si="48"/>
        <v>14:41:01.261</v>
      </c>
      <c r="U91" t="str">
        <f t="shared" si="36"/>
        <v>A9808D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0</v>
      </c>
      <c r="AI91" t="s">
        <v>159</v>
      </c>
      <c r="AJ91">
        <v>28.230357000000001</v>
      </c>
      <c r="AK91" t="s">
        <v>160</v>
      </c>
      <c r="AL91">
        <v>-82.382375999999994</v>
      </c>
      <c r="AM91">
        <v>100</v>
      </c>
      <c r="AN91">
        <v>200</v>
      </c>
      <c r="AO91" t="s">
        <v>118</v>
      </c>
      <c r="AP91">
        <v>-41</v>
      </c>
      <c r="AQ91">
        <v>78</v>
      </c>
      <c r="AR91">
        <v>256</v>
      </c>
      <c r="AZ91">
        <v>1200</v>
      </c>
      <c r="BA91">
        <v>1</v>
      </c>
      <c r="BB91" t="str">
        <f t="shared" si="49"/>
        <v xml:space="preserve">N711JA  </v>
      </c>
      <c r="BC91">
        <v>1</v>
      </c>
      <c r="BE91">
        <v>0</v>
      </c>
      <c r="BF91">
        <v>0</v>
      </c>
      <c r="BG91">
        <v>0</v>
      </c>
      <c r="BH91">
        <v>275</v>
      </c>
      <c r="BI91">
        <v>1</v>
      </c>
      <c r="BJ91">
        <v>1</v>
      </c>
      <c r="BK91">
        <v>0</v>
      </c>
      <c r="BL91">
        <v>0</v>
      </c>
      <c r="BO91">
        <v>0</v>
      </c>
      <c r="BP91">
        <v>0</v>
      </c>
      <c r="BW91" t="str">
        <f t="shared" si="50"/>
        <v>14:41:01.468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343</v>
      </c>
      <c r="CR91">
        <v>1</v>
      </c>
      <c r="CW91">
        <v>10507172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si="45"/>
        <v>05/12/2020 14:40:43.625</v>
      </c>
      <c r="C92" t="str">
        <f t="shared" si="46"/>
        <v>FFDFD3C0</v>
      </c>
      <c r="D92" t="s">
        <v>126</v>
      </c>
      <c r="E92">
        <v>6</v>
      </c>
      <c r="F92">
        <v>1006</v>
      </c>
      <c r="G92" t="s">
        <v>114</v>
      </c>
      <c r="J92" t="s">
        <v>128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47"/>
        <v>14:41:01.461</v>
      </c>
      <c r="T92" t="str">
        <f t="shared" si="48"/>
        <v>14:41:01.261</v>
      </c>
      <c r="U92" t="str">
        <f t="shared" si="36"/>
        <v>A9808D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0</v>
      </c>
      <c r="AI92" t="s">
        <v>159</v>
      </c>
      <c r="AJ92">
        <v>28.230357000000001</v>
      </c>
      <c r="AK92" t="s">
        <v>160</v>
      </c>
      <c r="AL92">
        <v>-82.382375999999994</v>
      </c>
      <c r="AM92">
        <v>100</v>
      </c>
      <c r="AN92">
        <v>200</v>
      </c>
      <c r="AO92" t="s">
        <v>118</v>
      </c>
      <c r="AP92">
        <v>-41</v>
      </c>
      <c r="AQ92">
        <v>78</v>
      </c>
      <c r="AR92">
        <v>256</v>
      </c>
      <c r="AZ92">
        <v>1200</v>
      </c>
      <c r="BA92">
        <v>1</v>
      </c>
      <c r="BB92" t="str">
        <f t="shared" si="49"/>
        <v xml:space="preserve">N711JA  </v>
      </c>
      <c r="BC92">
        <v>1</v>
      </c>
      <c r="BE92">
        <v>0</v>
      </c>
      <c r="BF92">
        <v>0</v>
      </c>
      <c r="BG92">
        <v>0</v>
      </c>
      <c r="BH92">
        <v>275</v>
      </c>
      <c r="BI92">
        <v>1</v>
      </c>
      <c r="BJ92">
        <v>1</v>
      </c>
      <c r="BK92">
        <v>0</v>
      </c>
      <c r="BL92">
        <v>0</v>
      </c>
      <c r="BO92">
        <v>0</v>
      </c>
      <c r="BP92">
        <v>0</v>
      </c>
      <c r="BW92" t="str">
        <f t="shared" si="50"/>
        <v>14:41:01.468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343</v>
      </c>
      <c r="CR92">
        <v>1</v>
      </c>
      <c r="CW92">
        <v>10507172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45"/>
        <v>05/12/2020 14:40:43.625</v>
      </c>
      <c r="C93" t="str">
        <f t="shared" si="46"/>
        <v>FFDFD3C0</v>
      </c>
      <c r="D93" t="s">
        <v>138</v>
      </c>
      <c r="E93">
        <v>2</v>
      </c>
      <c r="H93">
        <v>8</v>
      </c>
      <c r="I93" t="s">
        <v>139</v>
      </c>
      <c r="J93" t="s">
        <v>136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47"/>
        <v>14:41:01.461</v>
      </c>
      <c r="T93" t="str">
        <f t="shared" si="48"/>
        <v>14:41:01.261</v>
      </c>
      <c r="U93" t="str">
        <f t="shared" si="36"/>
        <v>A9808D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0</v>
      </c>
      <c r="AI93" t="s">
        <v>159</v>
      </c>
      <c r="AJ93">
        <v>28.230357000000001</v>
      </c>
      <c r="AK93" t="s">
        <v>160</v>
      </c>
      <c r="AL93">
        <v>-82.382375999999994</v>
      </c>
      <c r="AM93">
        <v>100</v>
      </c>
      <c r="AN93">
        <v>200</v>
      </c>
      <c r="AO93" t="s">
        <v>118</v>
      </c>
      <c r="AP93">
        <v>-41</v>
      </c>
      <c r="AQ93">
        <v>78</v>
      </c>
      <c r="AR93">
        <v>256</v>
      </c>
      <c r="AZ93">
        <v>1200</v>
      </c>
      <c r="BA93">
        <v>1</v>
      </c>
      <c r="BB93" t="str">
        <f t="shared" si="49"/>
        <v xml:space="preserve">N711JA  </v>
      </c>
      <c r="BC93">
        <v>1</v>
      </c>
      <c r="BE93">
        <v>0</v>
      </c>
      <c r="BF93">
        <v>0</v>
      </c>
      <c r="BG93">
        <v>0</v>
      </c>
      <c r="BH93">
        <v>275</v>
      </c>
      <c r="BI93">
        <v>1</v>
      </c>
      <c r="BJ93">
        <v>1</v>
      </c>
      <c r="BK93">
        <v>0</v>
      </c>
      <c r="BL93">
        <v>0</v>
      </c>
      <c r="BO93">
        <v>0</v>
      </c>
      <c r="BP93">
        <v>0</v>
      </c>
      <c r="BW93" t="str">
        <f t="shared" si="50"/>
        <v>14:41:01.468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343</v>
      </c>
      <c r="CR93">
        <v>1</v>
      </c>
      <c r="CW93">
        <v>10507172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45"/>
        <v>05/12/2020 14:40:43.625</v>
      </c>
      <c r="C94" t="str">
        <f t="shared" si="46"/>
        <v>FFDFD3C0</v>
      </c>
      <c r="D94" t="s">
        <v>138</v>
      </c>
      <c r="E94">
        <v>3</v>
      </c>
      <c r="H94">
        <v>9</v>
      </c>
      <c r="I94" t="s">
        <v>140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47"/>
        <v>14:41:01.461</v>
      </c>
      <c r="T94" t="str">
        <f t="shared" si="48"/>
        <v>14:41:01.261</v>
      </c>
      <c r="U94" t="str">
        <f t="shared" si="36"/>
        <v>A9808D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0</v>
      </c>
      <c r="AI94" t="s">
        <v>159</v>
      </c>
      <c r="AJ94">
        <v>28.230357000000001</v>
      </c>
      <c r="AK94" t="s">
        <v>160</v>
      </c>
      <c r="AL94">
        <v>-82.382375999999994</v>
      </c>
      <c r="AM94">
        <v>100</v>
      </c>
      <c r="AN94">
        <v>200</v>
      </c>
      <c r="AO94" t="s">
        <v>118</v>
      </c>
      <c r="AP94">
        <v>-41</v>
      </c>
      <c r="AQ94">
        <v>78</v>
      </c>
      <c r="AR94">
        <v>256</v>
      </c>
      <c r="AZ94">
        <v>1200</v>
      </c>
      <c r="BA94">
        <v>1</v>
      </c>
      <c r="BB94" t="str">
        <f t="shared" si="49"/>
        <v xml:space="preserve">N711JA  </v>
      </c>
      <c r="BC94">
        <v>1</v>
      </c>
      <c r="BE94">
        <v>0</v>
      </c>
      <c r="BF94">
        <v>0</v>
      </c>
      <c r="BG94">
        <v>0</v>
      </c>
      <c r="BH94">
        <v>275</v>
      </c>
      <c r="BI94">
        <v>1</v>
      </c>
      <c r="BJ94">
        <v>1</v>
      </c>
      <c r="BK94">
        <v>0</v>
      </c>
      <c r="BL94">
        <v>0</v>
      </c>
      <c r="BO94">
        <v>0</v>
      </c>
      <c r="BP94">
        <v>0</v>
      </c>
      <c r="BW94" t="str">
        <f t="shared" si="50"/>
        <v>14:41:01.468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343</v>
      </c>
      <c r="CR94">
        <v>1</v>
      </c>
      <c r="CW94">
        <v>10507172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ref="A95:A103" si="51">"05/12/2020 14:40:45.167"</f>
        <v>05/12/2020 14:40:45.167</v>
      </c>
      <c r="C95" t="str">
        <f t="shared" si="46"/>
        <v>FFDFD3C0</v>
      </c>
      <c r="D95" t="s">
        <v>113</v>
      </c>
      <c r="E95">
        <v>3</v>
      </c>
      <c r="H95">
        <v>164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ref="S95:S103" si="52">"14:41:02.969"</f>
        <v>14:41:02.969</v>
      </c>
      <c r="T95" t="str">
        <f t="shared" ref="T95:T103" si="53">"14:41:02.569"</f>
        <v>14:41:02.569</v>
      </c>
      <c r="U95" t="str">
        <f t="shared" si="36"/>
        <v>A9808D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0</v>
      </c>
      <c r="AI95" t="s">
        <v>162</v>
      </c>
      <c r="AJ95">
        <v>28.230872000000002</v>
      </c>
      <c r="AK95" t="s">
        <v>163</v>
      </c>
      <c r="AL95">
        <v>-82.382677000000001</v>
      </c>
      <c r="AM95">
        <v>100</v>
      </c>
      <c r="AN95">
        <v>200</v>
      </c>
      <c r="AO95" t="s">
        <v>118</v>
      </c>
      <c r="AP95">
        <v>-35</v>
      </c>
      <c r="AQ95">
        <v>80</v>
      </c>
      <c r="AR95">
        <v>384</v>
      </c>
      <c r="AZ95">
        <v>1200</v>
      </c>
      <c r="BA95">
        <v>1</v>
      </c>
      <c r="BB95" t="str">
        <f t="shared" si="49"/>
        <v xml:space="preserve">N711JA  </v>
      </c>
      <c r="BC95">
        <v>1</v>
      </c>
      <c r="BE95">
        <v>0</v>
      </c>
      <c r="BF95">
        <v>0</v>
      </c>
      <c r="BG95">
        <v>0</v>
      </c>
      <c r="BH95">
        <v>275</v>
      </c>
      <c r="BI95">
        <v>1</v>
      </c>
      <c r="BJ95">
        <v>1</v>
      </c>
      <c r="BK95">
        <v>0</v>
      </c>
      <c r="BL95">
        <v>0</v>
      </c>
      <c r="BO95">
        <v>0</v>
      </c>
      <c r="BP95">
        <v>0</v>
      </c>
      <c r="BW95" t="str">
        <f t="shared" ref="BW95:BW103" si="54">"14:41:02.975"</f>
        <v>14:41:02.975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343</v>
      </c>
      <c r="CR95">
        <v>1</v>
      </c>
      <c r="CW95">
        <v>10508782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si="51"/>
        <v>05/12/2020 14:40:45.167</v>
      </c>
      <c r="C96" t="str">
        <f t="shared" si="46"/>
        <v>FFDFD3C0</v>
      </c>
      <c r="D96" t="s">
        <v>134</v>
      </c>
      <c r="E96">
        <v>12</v>
      </c>
      <c r="H96">
        <v>64</v>
      </c>
      <c r="I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52"/>
        <v>14:41:02.969</v>
      </c>
      <c r="T96" t="str">
        <f t="shared" si="53"/>
        <v>14:41:02.569</v>
      </c>
      <c r="U96" t="str">
        <f t="shared" si="36"/>
        <v>A9808D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0</v>
      </c>
      <c r="AI96" t="s">
        <v>162</v>
      </c>
      <c r="AJ96">
        <v>28.230872000000002</v>
      </c>
      <c r="AK96" t="s">
        <v>163</v>
      </c>
      <c r="AL96">
        <v>-82.382677000000001</v>
      </c>
      <c r="AM96">
        <v>100</v>
      </c>
      <c r="AN96">
        <v>200</v>
      </c>
      <c r="AO96" t="s">
        <v>118</v>
      </c>
      <c r="AP96">
        <v>-35</v>
      </c>
      <c r="AQ96">
        <v>80</v>
      </c>
      <c r="AR96">
        <v>384</v>
      </c>
      <c r="AZ96">
        <v>1200</v>
      </c>
      <c r="BA96">
        <v>1</v>
      </c>
      <c r="BB96" t="str">
        <f t="shared" si="49"/>
        <v xml:space="preserve">N711JA  </v>
      </c>
      <c r="BC96">
        <v>1</v>
      </c>
      <c r="BE96">
        <v>0</v>
      </c>
      <c r="BF96">
        <v>0</v>
      </c>
      <c r="BG96">
        <v>0</v>
      </c>
      <c r="BH96">
        <v>275</v>
      </c>
      <c r="BI96">
        <v>1</v>
      </c>
      <c r="BJ96">
        <v>1</v>
      </c>
      <c r="BK96">
        <v>0</v>
      </c>
      <c r="BL96">
        <v>0</v>
      </c>
      <c r="BO96">
        <v>0</v>
      </c>
      <c r="BP96">
        <v>0</v>
      </c>
      <c r="BW96" t="str">
        <f t="shared" si="54"/>
        <v>14:41:02.975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343</v>
      </c>
      <c r="CR96">
        <v>1</v>
      </c>
      <c r="CW96">
        <v>10508782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51"/>
        <v>05/12/2020 14:40:45.167</v>
      </c>
      <c r="C97" t="str">
        <f t="shared" si="46"/>
        <v>FFDFD3C0</v>
      </c>
      <c r="D97" t="s">
        <v>126</v>
      </c>
      <c r="E97">
        <v>6</v>
      </c>
      <c r="F97">
        <v>1006</v>
      </c>
      <c r="G97" t="s">
        <v>114</v>
      </c>
      <c r="J97" t="s">
        <v>128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52"/>
        <v>14:41:02.969</v>
      </c>
      <c r="T97" t="str">
        <f t="shared" si="53"/>
        <v>14:41:02.569</v>
      </c>
      <c r="U97" t="str">
        <f t="shared" si="36"/>
        <v>A9808D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0</v>
      </c>
      <c r="AI97" t="s">
        <v>162</v>
      </c>
      <c r="AJ97">
        <v>28.230872000000002</v>
      </c>
      <c r="AK97" t="s">
        <v>163</v>
      </c>
      <c r="AL97">
        <v>-82.382677000000001</v>
      </c>
      <c r="AM97">
        <v>100</v>
      </c>
      <c r="AN97">
        <v>200</v>
      </c>
      <c r="AO97" t="s">
        <v>118</v>
      </c>
      <c r="AP97">
        <v>-35</v>
      </c>
      <c r="AQ97">
        <v>80</v>
      </c>
      <c r="AR97">
        <v>384</v>
      </c>
      <c r="AZ97">
        <v>1200</v>
      </c>
      <c r="BA97">
        <v>1</v>
      </c>
      <c r="BB97" t="str">
        <f t="shared" si="49"/>
        <v xml:space="preserve">N711JA  </v>
      </c>
      <c r="BC97">
        <v>1</v>
      </c>
      <c r="BE97">
        <v>0</v>
      </c>
      <c r="BF97">
        <v>0</v>
      </c>
      <c r="BG97">
        <v>0</v>
      </c>
      <c r="BH97">
        <v>275</v>
      </c>
      <c r="BI97">
        <v>1</v>
      </c>
      <c r="BJ97">
        <v>1</v>
      </c>
      <c r="BK97">
        <v>0</v>
      </c>
      <c r="BL97">
        <v>0</v>
      </c>
      <c r="BO97">
        <v>0</v>
      </c>
      <c r="BP97">
        <v>0</v>
      </c>
      <c r="BW97" t="str">
        <f t="shared" si="54"/>
        <v>14:41:02.975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343</v>
      </c>
      <c r="CR97">
        <v>1</v>
      </c>
      <c r="CW97">
        <v>10508782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 t="shared" si="51"/>
        <v>05/12/2020 14:40:45.167</v>
      </c>
      <c r="C98" t="str">
        <f t="shared" si="46"/>
        <v>FFDFD3C0</v>
      </c>
      <c r="D98" t="s">
        <v>126</v>
      </c>
      <c r="E98">
        <v>7</v>
      </c>
      <c r="F98">
        <v>1007</v>
      </c>
      <c r="G98" t="s">
        <v>127</v>
      </c>
      <c r="J98" t="s">
        <v>128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52"/>
        <v>14:41:02.969</v>
      </c>
      <c r="T98" t="str">
        <f t="shared" si="53"/>
        <v>14:41:02.569</v>
      </c>
      <c r="U98" t="str">
        <f t="shared" si="36"/>
        <v>A9808D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0</v>
      </c>
      <c r="AI98" t="s">
        <v>162</v>
      </c>
      <c r="AJ98">
        <v>28.230872000000002</v>
      </c>
      <c r="AK98" t="s">
        <v>163</v>
      </c>
      <c r="AL98">
        <v>-82.382677000000001</v>
      </c>
      <c r="AM98">
        <v>100</v>
      </c>
      <c r="AN98">
        <v>200</v>
      </c>
      <c r="AO98" t="s">
        <v>118</v>
      </c>
      <c r="AP98">
        <v>-35</v>
      </c>
      <c r="AQ98">
        <v>80</v>
      </c>
      <c r="AR98">
        <v>384</v>
      </c>
      <c r="AZ98">
        <v>1200</v>
      </c>
      <c r="BA98">
        <v>1</v>
      </c>
      <c r="BB98" t="str">
        <f t="shared" si="49"/>
        <v xml:space="preserve">N711JA  </v>
      </c>
      <c r="BC98">
        <v>1</v>
      </c>
      <c r="BE98">
        <v>0</v>
      </c>
      <c r="BF98">
        <v>0</v>
      </c>
      <c r="BG98">
        <v>0</v>
      </c>
      <c r="BH98">
        <v>275</v>
      </c>
      <c r="BI98">
        <v>1</v>
      </c>
      <c r="BJ98">
        <v>1</v>
      </c>
      <c r="BK98">
        <v>0</v>
      </c>
      <c r="BL98">
        <v>0</v>
      </c>
      <c r="BO98">
        <v>0</v>
      </c>
      <c r="BP98">
        <v>0</v>
      </c>
      <c r="BW98" t="str">
        <f t="shared" si="54"/>
        <v>14:41:02.975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343</v>
      </c>
      <c r="CR98">
        <v>1</v>
      </c>
      <c r="CW98">
        <v>10508782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 t="shared" si="51"/>
        <v>05/12/2020 14:40:45.167</v>
      </c>
      <c r="C99" t="str">
        <f t="shared" si="46"/>
        <v>FFDFD3C0</v>
      </c>
      <c r="D99" t="s">
        <v>131</v>
      </c>
      <c r="E99">
        <v>10</v>
      </c>
      <c r="F99">
        <v>2010</v>
      </c>
      <c r="G99" t="s">
        <v>132</v>
      </c>
      <c r="J99" t="s">
        <v>133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52"/>
        <v>14:41:02.969</v>
      </c>
      <c r="T99" t="str">
        <f t="shared" si="53"/>
        <v>14:41:02.569</v>
      </c>
      <c r="U99" t="str">
        <f t="shared" si="36"/>
        <v>A9808D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0</v>
      </c>
      <c r="AI99" t="s">
        <v>162</v>
      </c>
      <c r="AJ99">
        <v>28.230872000000002</v>
      </c>
      <c r="AK99" t="s">
        <v>163</v>
      </c>
      <c r="AL99">
        <v>-82.382677000000001</v>
      </c>
      <c r="AM99">
        <v>100</v>
      </c>
      <c r="AN99">
        <v>200</v>
      </c>
      <c r="AO99" t="s">
        <v>118</v>
      </c>
      <c r="AP99">
        <v>-35</v>
      </c>
      <c r="AQ99">
        <v>80</v>
      </c>
      <c r="AR99">
        <v>384</v>
      </c>
      <c r="AZ99">
        <v>1200</v>
      </c>
      <c r="BA99">
        <v>1</v>
      </c>
      <c r="BB99" t="str">
        <f t="shared" si="49"/>
        <v xml:space="preserve">N711JA  </v>
      </c>
      <c r="BC99">
        <v>1</v>
      </c>
      <c r="BE99">
        <v>0</v>
      </c>
      <c r="BF99">
        <v>0</v>
      </c>
      <c r="BG99">
        <v>0</v>
      </c>
      <c r="BH99">
        <v>275</v>
      </c>
      <c r="BI99">
        <v>1</v>
      </c>
      <c r="BJ99">
        <v>1</v>
      </c>
      <c r="BK99">
        <v>0</v>
      </c>
      <c r="BL99">
        <v>0</v>
      </c>
      <c r="BO99">
        <v>0</v>
      </c>
      <c r="BP99">
        <v>0</v>
      </c>
      <c r="BW99" t="str">
        <f t="shared" si="54"/>
        <v>14:41:02.975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343</v>
      </c>
      <c r="CR99">
        <v>1</v>
      </c>
      <c r="CW99">
        <v>10508782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 t="shared" si="51"/>
        <v>05/12/2020 14:40:45.167</v>
      </c>
      <c r="C100" t="str">
        <f t="shared" si="46"/>
        <v>FFDFD3C0</v>
      </c>
      <c r="D100" t="s">
        <v>131</v>
      </c>
      <c r="E100">
        <v>18</v>
      </c>
      <c r="F100">
        <v>2018</v>
      </c>
      <c r="G100" t="s">
        <v>161</v>
      </c>
      <c r="J100" t="s">
        <v>133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52"/>
        <v>14:41:02.969</v>
      </c>
      <c r="T100" t="str">
        <f t="shared" si="53"/>
        <v>14:41:02.569</v>
      </c>
      <c r="U100" t="str">
        <f t="shared" si="36"/>
        <v>A9808D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0</v>
      </c>
      <c r="AI100" t="s">
        <v>162</v>
      </c>
      <c r="AJ100">
        <v>28.230872000000002</v>
      </c>
      <c r="AK100" t="s">
        <v>163</v>
      </c>
      <c r="AL100">
        <v>-82.382677000000001</v>
      </c>
      <c r="AM100">
        <v>100</v>
      </c>
      <c r="AN100">
        <v>200</v>
      </c>
      <c r="AO100" t="s">
        <v>118</v>
      </c>
      <c r="AP100">
        <v>-35</v>
      </c>
      <c r="AQ100">
        <v>80</v>
      </c>
      <c r="AR100">
        <v>384</v>
      </c>
      <c r="AZ100">
        <v>1200</v>
      </c>
      <c r="BA100">
        <v>1</v>
      </c>
      <c r="BB100" t="str">
        <f t="shared" si="49"/>
        <v xml:space="preserve">N711JA  </v>
      </c>
      <c r="BC100">
        <v>1</v>
      </c>
      <c r="BE100">
        <v>0</v>
      </c>
      <c r="BF100">
        <v>0</v>
      </c>
      <c r="BG100">
        <v>0</v>
      </c>
      <c r="BH100">
        <v>275</v>
      </c>
      <c r="BI100">
        <v>1</v>
      </c>
      <c r="BJ100">
        <v>1</v>
      </c>
      <c r="BK100">
        <v>0</v>
      </c>
      <c r="BL100">
        <v>0</v>
      </c>
      <c r="BO100">
        <v>0</v>
      </c>
      <c r="BP100">
        <v>0</v>
      </c>
      <c r="BW100" t="str">
        <f t="shared" si="54"/>
        <v>14:41:02.975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343</v>
      </c>
      <c r="CR100">
        <v>1</v>
      </c>
      <c r="CW100">
        <v>10508782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 t="shared" si="51"/>
        <v>05/12/2020 14:40:45.167</v>
      </c>
      <c r="C101" t="str">
        <f t="shared" si="46"/>
        <v>FFDFD3C0</v>
      </c>
      <c r="D101" t="s">
        <v>138</v>
      </c>
      <c r="E101">
        <v>2</v>
      </c>
      <c r="H101">
        <v>8</v>
      </c>
      <c r="I101" t="s">
        <v>139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52"/>
        <v>14:41:02.969</v>
      </c>
      <c r="T101" t="str">
        <f t="shared" si="53"/>
        <v>14:41:02.569</v>
      </c>
      <c r="U101" t="str">
        <f t="shared" si="36"/>
        <v>A9808D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0</v>
      </c>
      <c r="AI101" t="s">
        <v>162</v>
      </c>
      <c r="AJ101">
        <v>28.230872000000002</v>
      </c>
      <c r="AK101" t="s">
        <v>163</v>
      </c>
      <c r="AL101">
        <v>-82.382677000000001</v>
      </c>
      <c r="AM101">
        <v>100</v>
      </c>
      <c r="AN101">
        <v>200</v>
      </c>
      <c r="AO101" t="s">
        <v>118</v>
      </c>
      <c r="AP101">
        <v>-35</v>
      </c>
      <c r="AQ101">
        <v>80</v>
      </c>
      <c r="AR101">
        <v>384</v>
      </c>
      <c r="AZ101">
        <v>1200</v>
      </c>
      <c r="BA101">
        <v>1</v>
      </c>
      <c r="BB101" t="str">
        <f t="shared" si="49"/>
        <v xml:space="preserve">N711JA  </v>
      </c>
      <c r="BC101">
        <v>1</v>
      </c>
      <c r="BE101">
        <v>0</v>
      </c>
      <c r="BF101">
        <v>0</v>
      </c>
      <c r="BG101">
        <v>0</v>
      </c>
      <c r="BH101">
        <v>275</v>
      </c>
      <c r="BI101">
        <v>1</v>
      </c>
      <c r="BJ101">
        <v>1</v>
      </c>
      <c r="BK101">
        <v>0</v>
      </c>
      <c r="BL101">
        <v>0</v>
      </c>
      <c r="BO101">
        <v>0</v>
      </c>
      <c r="BP101">
        <v>0</v>
      </c>
      <c r="BW101" t="str">
        <f t="shared" si="54"/>
        <v>14:41:02.975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343</v>
      </c>
      <c r="CR101">
        <v>1</v>
      </c>
      <c r="CW101">
        <v>10508782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 t="shared" si="51"/>
        <v>05/12/2020 14:40:45.167</v>
      </c>
      <c r="C102" t="str">
        <f t="shared" si="46"/>
        <v>FFDFD3C0</v>
      </c>
      <c r="D102" t="s">
        <v>138</v>
      </c>
      <c r="E102">
        <v>3</v>
      </c>
      <c r="H102">
        <v>9</v>
      </c>
      <c r="I102" t="s">
        <v>140</v>
      </c>
      <c r="J102" t="s">
        <v>136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2"/>
        <v>14:41:02.969</v>
      </c>
      <c r="T102" t="str">
        <f t="shared" si="53"/>
        <v>14:41:02.569</v>
      </c>
      <c r="U102" t="str">
        <f t="shared" si="36"/>
        <v>A9808D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0</v>
      </c>
      <c r="AI102" t="s">
        <v>162</v>
      </c>
      <c r="AJ102">
        <v>28.230872000000002</v>
      </c>
      <c r="AK102" t="s">
        <v>163</v>
      </c>
      <c r="AL102">
        <v>-82.382677000000001</v>
      </c>
      <c r="AM102">
        <v>100</v>
      </c>
      <c r="AN102">
        <v>200</v>
      </c>
      <c r="AO102" t="s">
        <v>118</v>
      </c>
      <c r="AP102">
        <v>-35</v>
      </c>
      <c r="AQ102">
        <v>80</v>
      </c>
      <c r="AR102">
        <v>384</v>
      </c>
      <c r="AZ102">
        <v>1200</v>
      </c>
      <c r="BA102">
        <v>1</v>
      </c>
      <c r="BB102" t="str">
        <f t="shared" si="49"/>
        <v xml:space="preserve">N711JA  </v>
      </c>
      <c r="BC102">
        <v>1</v>
      </c>
      <c r="BE102">
        <v>0</v>
      </c>
      <c r="BF102">
        <v>0</v>
      </c>
      <c r="BG102">
        <v>0</v>
      </c>
      <c r="BH102">
        <v>275</v>
      </c>
      <c r="BI102">
        <v>1</v>
      </c>
      <c r="BJ102">
        <v>1</v>
      </c>
      <c r="BK102">
        <v>0</v>
      </c>
      <c r="BL102">
        <v>0</v>
      </c>
      <c r="BO102">
        <v>0</v>
      </c>
      <c r="BP102">
        <v>0</v>
      </c>
      <c r="BW102" t="str">
        <f t="shared" si="54"/>
        <v>14:41:02.975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343</v>
      </c>
      <c r="CR102">
        <v>1</v>
      </c>
      <c r="CW102">
        <v>10508782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 t="shared" si="51"/>
        <v>05/12/2020 14:40:45.167</v>
      </c>
      <c r="C103" t="str">
        <f t="shared" si="46"/>
        <v>FFDFD3C0</v>
      </c>
      <c r="D103" t="s">
        <v>131</v>
      </c>
      <c r="E103">
        <v>12</v>
      </c>
      <c r="F103">
        <v>2012</v>
      </c>
      <c r="G103" t="s">
        <v>137</v>
      </c>
      <c r="J103" t="s">
        <v>133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2"/>
        <v>14:41:02.969</v>
      </c>
      <c r="T103" t="str">
        <f t="shared" si="53"/>
        <v>14:41:02.569</v>
      </c>
      <c r="U103" t="str">
        <f t="shared" si="36"/>
        <v>A9808D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0</v>
      </c>
      <c r="AI103" t="s">
        <v>162</v>
      </c>
      <c r="AJ103">
        <v>28.230872000000002</v>
      </c>
      <c r="AK103" t="s">
        <v>163</v>
      </c>
      <c r="AL103">
        <v>-82.382677000000001</v>
      </c>
      <c r="AM103">
        <v>100</v>
      </c>
      <c r="AN103">
        <v>200</v>
      </c>
      <c r="AO103" t="s">
        <v>118</v>
      </c>
      <c r="AP103">
        <v>-35</v>
      </c>
      <c r="AQ103">
        <v>80</v>
      </c>
      <c r="AR103">
        <v>384</v>
      </c>
      <c r="AZ103">
        <v>1200</v>
      </c>
      <c r="BA103">
        <v>1</v>
      </c>
      <c r="BB103" t="str">
        <f t="shared" si="49"/>
        <v xml:space="preserve">N711JA  </v>
      </c>
      <c r="BC103">
        <v>1</v>
      </c>
      <c r="BE103">
        <v>0</v>
      </c>
      <c r="BF103">
        <v>0</v>
      </c>
      <c r="BG103">
        <v>0</v>
      </c>
      <c r="BH103">
        <v>275</v>
      </c>
      <c r="BI103">
        <v>1</v>
      </c>
      <c r="BJ103">
        <v>1</v>
      </c>
      <c r="BK103">
        <v>0</v>
      </c>
      <c r="BL103">
        <v>0</v>
      </c>
      <c r="BO103">
        <v>0</v>
      </c>
      <c r="BP103">
        <v>0</v>
      </c>
      <c r="BW103" t="str">
        <f t="shared" si="54"/>
        <v>14:41:02.975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343</v>
      </c>
      <c r="CR103">
        <v>1</v>
      </c>
      <c r="CW103">
        <v>10508782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ref="A104:A112" si="55">"05/12/2020 14:40:46.180"</f>
        <v>05/12/2020 14:40:46.180</v>
      </c>
      <c r="C104" t="str">
        <f t="shared" si="46"/>
        <v>FFDFD3C0</v>
      </c>
      <c r="D104" t="s">
        <v>113</v>
      </c>
      <c r="E104">
        <v>3</v>
      </c>
      <c r="H104">
        <v>164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ref="S104:S112" si="56">"14:41:03.977"</f>
        <v>14:41:03.977</v>
      </c>
      <c r="T104" t="str">
        <f t="shared" ref="T104:T112" si="57">"14:41:03.577"</f>
        <v>14:41:03.577</v>
      </c>
      <c r="U104" t="str">
        <f t="shared" si="36"/>
        <v>A9808D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0</v>
      </c>
      <c r="AI104" t="s">
        <v>164</v>
      </c>
      <c r="AJ104">
        <v>28.231300999999998</v>
      </c>
      <c r="AK104" t="s">
        <v>165</v>
      </c>
      <c r="AL104">
        <v>-82.382827000000006</v>
      </c>
      <c r="AM104">
        <v>100</v>
      </c>
      <c r="AN104">
        <v>200</v>
      </c>
      <c r="AO104" t="s">
        <v>118</v>
      </c>
      <c r="AP104">
        <v>-33</v>
      </c>
      <c r="AQ104">
        <v>81</v>
      </c>
      <c r="AR104">
        <v>448</v>
      </c>
      <c r="AZ104">
        <v>1200</v>
      </c>
      <c r="BA104">
        <v>1</v>
      </c>
      <c r="BB104" t="str">
        <f t="shared" si="49"/>
        <v xml:space="preserve">N711JA  </v>
      </c>
      <c r="BC104">
        <v>1</v>
      </c>
      <c r="BE104">
        <v>0</v>
      </c>
      <c r="BF104">
        <v>0</v>
      </c>
      <c r="BG104">
        <v>0</v>
      </c>
      <c r="BH104">
        <v>275</v>
      </c>
      <c r="BI104">
        <v>1</v>
      </c>
      <c r="BJ104">
        <v>1</v>
      </c>
      <c r="BK104">
        <v>0</v>
      </c>
      <c r="BL104">
        <v>0</v>
      </c>
      <c r="BO104">
        <v>0</v>
      </c>
      <c r="BP104">
        <v>0</v>
      </c>
      <c r="BW104" t="str">
        <f t="shared" ref="BW104:BW112" si="58">"14:41:03.977"</f>
        <v>14:41:03.977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343</v>
      </c>
      <c r="CR104">
        <v>1</v>
      </c>
      <c r="CW104">
        <v>10509787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55"/>
        <v>05/12/2020 14:40:46.180</v>
      </c>
      <c r="C105" t="str">
        <f t="shared" si="46"/>
        <v>FFDFD3C0</v>
      </c>
      <c r="D105" t="s">
        <v>134</v>
      </c>
      <c r="E105">
        <v>12</v>
      </c>
      <c r="H105">
        <v>64</v>
      </c>
      <c r="I105" t="s">
        <v>135</v>
      </c>
      <c r="J105" t="s">
        <v>136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6"/>
        <v>14:41:03.977</v>
      </c>
      <c r="T105" t="str">
        <f t="shared" si="57"/>
        <v>14:41:03.577</v>
      </c>
      <c r="U105" t="str">
        <f t="shared" si="36"/>
        <v>A9808D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0</v>
      </c>
      <c r="AI105" t="s">
        <v>164</v>
      </c>
      <c r="AJ105">
        <v>28.231300999999998</v>
      </c>
      <c r="AK105" t="s">
        <v>165</v>
      </c>
      <c r="AL105">
        <v>-82.382827000000006</v>
      </c>
      <c r="AM105">
        <v>100</v>
      </c>
      <c r="AN105">
        <v>200</v>
      </c>
      <c r="AO105" t="s">
        <v>118</v>
      </c>
      <c r="AP105">
        <v>-33</v>
      </c>
      <c r="AQ105">
        <v>81</v>
      </c>
      <c r="AR105">
        <v>448</v>
      </c>
      <c r="AZ105">
        <v>1200</v>
      </c>
      <c r="BA105">
        <v>1</v>
      </c>
      <c r="BB105" t="str">
        <f t="shared" si="49"/>
        <v xml:space="preserve">N711JA  </v>
      </c>
      <c r="BC105">
        <v>1</v>
      </c>
      <c r="BE105">
        <v>0</v>
      </c>
      <c r="BF105">
        <v>0</v>
      </c>
      <c r="BG105">
        <v>0</v>
      </c>
      <c r="BH105">
        <v>275</v>
      </c>
      <c r="BI105">
        <v>1</v>
      </c>
      <c r="BJ105">
        <v>1</v>
      </c>
      <c r="BK105">
        <v>0</v>
      </c>
      <c r="BL105">
        <v>0</v>
      </c>
      <c r="BO105">
        <v>0</v>
      </c>
      <c r="BP105">
        <v>0</v>
      </c>
      <c r="BW105" t="str">
        <f t="shared" si="58"/>
        <v>14:41:03.977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343</v>
      </c>
      <c r="CR105">
        <v>1</v>
      </c>
      <c r="CW105">
        <v>10509787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si="55"/>
        <v>05/12/2020 14:40:46.180</v>
      </c>
      <c r="C106" t="str">
        <f t="shared" si="46"/>
        <v>FFDFD3C0</v>
      </c>
      <c r="D106" t="s">
        <v>126</v>
      </c>
      <c r="E106">
        <v>7</v>
      </c>
      <c r="F106">
        <v>1007</v>
      </c>
      <c r="G106" t="s">
        <v>127</v>
      </c>
      <c r="J106" t="s">
        <v>128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6"/>
        <v>14:41:03.977</v>
      </c>
      <c r="T106" t="str">
        <f t="shared" si="57"/>
        <v>14:41:03.577</v>
      </c>
      <c r="U106" t="str">
        <f t="shared" si="36"/>
        <v>A9808D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0</v>
      </c>
      <c r="AI106" t="s">
        <v>164</v>
      </c>
      <c r="AJ106">
        <v>28.231300999999998</v>
      </c>
      <c r="AK106" t="s">
        <v>165</v>
      </c>
      <c r="AL106">
        <v>-82.382827000000006</v>
      </c>
      <c r="AM106">
        <v>100</v>
      </c>
      <c r="AN106">
        <v>200</v>
      </c>
      <c r="AO106" t="s">
        <v>118</v>
      </c>
      <c r="AP106">
        <v>-33</v>
      </c>
      <c r="AQ106">
        <v>81</v>
      </c>
      <c r="AR106">
        <v>448</v>
      </c>
      <c r="AZ106">
        <v>1200</v>
      </c>
      <c r="BA106">
        <v>1</v>
      </c>
      <c r="BB106" t="str">
        <f t="shared" si="49"/>
        <v xml:space="preserve">N711JA  </v>
      </c>
      <c r="BC106">
        <v>1</v>
      </c>
      <c r="BE106">
        <v>0</v>
      </c>
      <c r="BF106">
        <v>0</v>
      </c>
      <c r="BG106">
        <v>0</v>
      </c>
      <c r="BH106">
        <v>275</v>
      </c>
      <c r="BI106">
        <v>1</v>
      </c>
      <c r="BJ106">
        <v>1</v>
      </c>
      <c r="BK106">
        <v>0</v>
      </c>
      <c r="BL106">
        <v>0</v>
      </c>
      <c r="BO106">
        <v>0</v>
      </c>
      <c r="BP106">
        <v>0</v>
      </c>
      <c r="BW106" t="str">
        <f t="shared" si="58"/>
        <v>14:41:03.977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343</v>
      </c>
      <c r="CR106">
        <v>1</v>
      </c>
      <c r="CW106">
        <v>10509787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si="55"/>
        <v>05/12/2020 14:40:46.180</v>
      </c>
      <c r="C107" t="str">
        <f t="shared" si="46"/>
        <v>FFDFD3C0</v>
      </c>
      <c r="D107" t="s">
        <v>131</v>
      </c>
      <c r="E107">
        <v>10</v>
      </c>
      <c r="F107">
        <v>2010</v>
      </c>
      <c r="G107" t="s">
        <v>132</v>
      </c>
      <c r="J107" t="s">
        <v>133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6"/>
        <v>14:41:03.977</v>
      </c>
      <c r="T107" t="str">
        <f t="shared" si="57"/>
        <v>14:41:03.577</v>
      </c>
      <c r="U107" t="str">
        <f t="shared" si="36"/>
        <v>A9808D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0</v>
      </c>
      <c r="AI107" t="s">
        <v>164</v>
      </c>
      <c r="AJ107">
        <v>28.231300999999998</v>
      </c>
      <c r="AK107" t="s">
        <v>165</v>
      </c>
      <c r="AL107">
        <v>-82.382827000000006</v>
      </c>
      <c r="AM107">
        <v>100</v>
      </c>
      <c r="AN107">
        <v>200</v>
      </c>
      <c r="AO107" t="s">
        <v>118</v>
      </c>
      <c r="AP107">
        <v>-33</v>
      </c>
      <c r="AQ107">
        <v>81</v>
      </c>
      <c r="AR107">
        <v>448</v>
      </c>
      <c r="AZ107">
        <v>1200</v>
      </c>
      <c r="BA107">
        <v>1</v>
      </c>
      <c r="BB107" t="str">
        <f t="shared" si="49"/>
        <v xml:space="preserve">N711JA  </v>
      </c>
      <c r="BC107">
        <v>1</v>
      </c>
      <c r="BE107">
        <v>0</v>
      </c>
      <c r="BF107">
        <v>0</v>
      </c>
      <c r="BG107">
        <v>0</v>
      </c>
      <c r="BH107">
        <v>275</v>
      </c>
      <c r="BI107">
        <v>1</v>
      </c>
      <c r="BJ107">
        <v>1</v>
      </c>
      <c r="BK107">
        <v>0</v>
      </c>
      <c r="BL107">
        <v>0</v>
      </c>
      <c r="BO107">
        <v>0</v>
      </c>
      <c r="BP107">
        <v>0</v>
      </c>
      <c r="BW107" t="str">
        <f t="shared" si="58"/>
        <v>14:41:03.977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343</v>
      </c>
      <c r="CR107">
        <v>1</v>
      </c>
      <c r="CW107">
        <v>10509787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55"/>
        <v>05/12/2020 14:40:46.180</v>
      </c>
      <c r="C108" t="str">
        <f t="shared" si="46"/>
        <v>FFDFD3C0</v>
      </c>
      <c r="D108" t="s">
        <v>131</v>
      </c>
      <c r="E108">
        <v>18</v>
      </c>
      <c r="F108">
        <v>2018</v>
      </c>
      <c r="G108" t="s">
        <v>161</v>
      </c>
      <c r="J108" t="s">
        <v>133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6"/>
        <v>14:41:03.977</v>
      </c>
      <c r="T108" t="str">
        <f t="shared" si="57"/>
        <v>14:41:03.577</v>
      </c>
      <c r="U108" t="str">
        <f t="shared" si="36"/>
        <v>A9808D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0</v>
      </c>
      <c r="AI108" t="s">
        <v>164</v>
      </c>
      <c r="AJ108">
        <v>28.231300999999998</v>
      </c>
      <c r="AK108" t="s">
        <v>165</v>
      </c>
      <c r="AL108">
        <v>-82.382827000000006</v>
      </c>
      <c r="AM108">
        <v>100</v>
      </c>
      <c r="AN108">
        <v>200</v>
      </c>
      <c r="AO108" t="s">
        <v>118</v>
      </c>
      <c r="AP108">
        <v>-33</v>
      </c>
      <c r="AQ108">
        <v>81</v>
      </c>
      <c r="AR108">
        <v>448</v>
      </c>
      <c r="AZ108">
        <v>1200</v>
      </c>
      <c r="BA108">
        <v>1</v>
      </c>
      <c r="BB108" t="str">
        <f t="shared" si="49"/>
        <v xml:space="preserve">N711JA  </v>
      </c>
      <c r="BC108">
        <v>1</v>
      </c>
      <c r="BE108">
        <v>0</v>
      </c>
      <c r="BF108">
        <v>0</v>
      </c>
      <c r="BG108">
        <v>0</v>
      </c>
      <c r="BH108">
        <v>275</v>
      </c>
      <c r="BI108">
        <v>1</v>
      </c>
      <c r="BJ108">
        <v>1</v>
      </c>
      <c r="BK108">
        <v>0</v>
      </c>
      <c r="BL108">
        <v>0</v>
      </c>
      <c r="BO108">
        <v>0</v>
      </c>
      <c r="BP108">
        <v>0</v>
      </c>
      <c r="BW108" t="str">
        <f t="shared" si="58"/>
        <v>14:41:03.977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343</v>
      </c>
      <c r="CR108">
        <v>1</v>
      </c>
      <c r="CW108">
        <v>10509787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55"/>
        <v>05/12/2020 14:40:46.180</v>
      </c>
      <c r="C109" t="str">
        <f t="shared" si="46"/>
        <v>FFDFD3C0</v>
      </c>
      <c r="D109" t="s">
        <v>131</v>
      </c>
      <c r="E109">
        <v>12</v>
      </c>
      <c r="F109">
        <v>2012</v>
      </c>
      <c r="G109" t="s">
        <v>137</v>
      </c>
      <c r="J109" t="s">
        <v>133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6"/>
        <v>14:41:03.977</v>
      </c>
      <c r="T109" t="str">
        <f t="shared" si="57"/>
        <v>14:41:03.577</v>
      </c>
      <c r="U109" t="str">
        <f t="shared" si="36"/>
        <v>A9808D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0</v>
      </c>
      <c r="AI109" t="s">
        <v>164</v>
      </c>
      <c r="AJ109">
        <v>28.231300999999998</v>
      </c>
      <c r="AK109" t="s">
        <v>165</v>
      </c>
      <c r="AL109">
        <v>-82.382827000000006</v>
      </c>
      <c r="AM109">
        <v>100</v>
      </c>
      <c r="AN109">
        <v>200</v>
      </c>
      <c r="AO109" t="s">
        <v>118</v>
      </c>
      <c r="AP109">
        <v>-33</v>
      </c>
      <c r="AQ109">
        <v>81</v>
      </c>
      <c r="AR109">
        <v>448</v>
      </c>
      <c r="AZ109">
        <v>1200</v>
      </c>
      <c r="BA109">
        <v>1</v>
      </c>
      <c r="BB109" t="str">
        <f t="shared" si="49"/>
        <v xml:space="preserve">N711JA  </v>
      </c>
      <c r="BC109">
        <v>1</v>
      </c>
      <c r="BE109">
        <v>0</v>
      </c>
      <c r="BF109">
        <v>0</v>
      </c>
      <c r="BG109">
        <v>0</v>
      </c>
      <c r="BH109">
        <v>275</v>
      </c>
      <c r="BI109">
        <v>1</v>
      </c>
      <c r="BJ109">
        <v>1</v>
      </c>
      <c r="BK109">
        <v>0</v>
      </c>
      <c r="BL109">
        <v>0</v>
      </c>
      <c r="BO109">
        <v>0</v>
      </c>
      <c r="BP109">
        <v>0</v>
      </c>
      <c r="BW109" t="str">
        <f t="shared" si="58"/>
        <v>14:41:03.977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343</v>
      </c>
      <c r="CR109">
        <v>1</v>
      </c>
      <c r="CW109">
        <v>10509787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 t="shared" si="55"/>
        <v>05/12/2020 14:40:46.180</v>
      </c>
      <c r="C110" t="str">
        <f t="shared" si="46"/>
        <v>FFDFD3C0</v>
      </c>
      <c r="D110" t="s">
        <v>138</v>
      </c>
      <c r="E110">
        <v>2</v>
      </c>
      <c r="H110">
        <v>8</v>
      </c>
      <c r="I110" t="s">
        <v>139</v>
      </c>
      <c r="J110" t="s">
        <v>136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56"/>
        <v>14:41:03.977</v>
      </c>
      <c r="T110" t="str">
        <f t="shared" si="57"/>
        <v>14:41:03.577</v>
      </c>
      <c r="U110" t="str">
        <f t="shared" si="36"/>
        <v>A9808D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0</v>
      </c>
      <c r="AI110" t="s">
        <v>164</v>
      </c>
      <c r="AJ110">
        <v>28.231300999999998</v>
      </c>
      <c r="AK110" t="s">
        <v>165</v>
      </c>
      <c r="AL110">
        <v>-82.382827000000006</v>
      </c>
      <c r="AM110">
        <v>100</v>
      </c>
      <c r="AN110">
        <v>200</v>
      </c>
      <c r="AO110" t="s">
        <v>118</v>
      </c>
      <c r="AP110">
        <v>-33</v>
      </c>
      <c r="AQ110">
        <v>81</v>
      </c>
      <c r="AR110">
        <v>448</v>
      </c>
      <c r="AZ110">
        <v>1200</v>
      </c>
      <c r="BA110">
        <v>1</v>
      </c>
      <c r="BB110" t="str">
        <f t="shared" si="49"/>
        <v xml:space="preserve">N711JA  </v>
      </c>
      <c r="BC110">
        <v>1</v>
      </c>
      <c r="BE110">
        <v>0</v>
      </c>
      <c r="BF110">
        <v>0</v>
      </c>
      <c r="BG110">
        <v>0</v>
      </c>
      <c r="BH110">
        <v>275</v>
      </c>
      <c r="BI110">
        <v>1</v>
      </c>
      <c r="BJ110">
        <v>1</v>
      </c>
      <c r="BK110">
        <v>0</v>
      </c>
      <c r="BL110">
        <v>0</v>
      </c>
      <c r="BO110">
        <v>0</v>
      </c>
      <c r="BP110">
        <v>0</v>
      </c>
      <c r="BW110" t="str">
        <f t="shared" si="58"/>
        <v>14:41:03.977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343</v>
      </c>
      <c r="CR110">
        <v>1</v>
      </c>
      <c r="CW110">
        <v>10509787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 t="shared" si="55"/>
        <v>05/12/2020 14:40:46.180</v>
      </c>
      <c r="C111" t="str">
        <f t="shared" si="46"/>
        <v>FFDFD3C0</v>
      </c>
      <c r="D111" t="s">
        <v>138</v>
      </c>
      <c r="E111">
        <v>3</v>
      </c>
      <c r="H111">
        <v>9</v>
      </c>
      <c r="I111" t="s">
        <v>140</v>
      </c>
      <c r="J111" t="s">
        <v>136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56"/>
        <v>14:41:03.977</v>
      </c>
      <c r="T111" t="str">
        <f t="shared" si="57"/>
        <v>14:41:03.577</v>
      </c>
      <c r="U111" t="str">
        <f t="shared" si="36"/>
        <v>A9808D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0</v>
      </c>
      <c r="AI111" t="s">
        <v>164</v>
      </c>
      <c r="AJ111">
        <v>28.231300999999998</v>
      </c>
      <c r="AK111" t="s">
        <v>165</v>
      </c>
      <c r="AL111">
        <v>-82.382827000000006</v>
      </c>
      <c r="AM111">
        <v>100</v>
      </c>
      <c r="AN111">
        <v>200</v>
      </c>
      <c r="AO111" t="s">
        <v>118</v>
      </c>
      <c r="AP111">
        <v>-33</v>
      </c>
      <c r="AQ111">
        <v>81</v>
      </c>
      <c r="AR111">
        <v>448</v>
      </c>
      <c r="AZ111">
        <v>1200</v>
      </c>
      <c r="BA111">
        <v>1</v>
      </c>
      <c r="BB111" t="str">
        <f t="shared" si="49"/>
        <v xml:space="preserve">N711JA  </v>
      </c>
      <c r="BC111">
        <v>1</v>
      </c>
      <c r="BE111">
        <v>0</v>
      </c>
      <c r="BF111">
        <v>0</v>
      </c>
      <c r="BG111">
        <v>0</v>
      </c>
      <c r="BH111">
        <v>275</v>
      </c>
      <c r="BI111">
        <v>1</v>
      </c>
      <c r="BJ111">
        <v>1</v>
      </c>
      <c r="BK111">
        <v>0</v>
      </c>
      <c r="BL111">
        <v>0</v>
      </c>
      <c r="BO111">
        <v>0</v>
      </c>
      <c r="BP111">
        <v>0</v>
      </c>
      <c r="BW111" t="str">
        <f t="shared" si="58"/>
        <v>14:41:03.977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343</v>
      </c>
      <c r="CR111">
        <v>1</v>
      </c>
      <c r="CW111">
        <v>10509787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 t="shared" si="55"/>
        <v>05/12/2020 14:40:46.180</v>
      </c>
      <c r="C112" t="str">
        <f t="shared" si="46"/>
        <v>FFDFD3C0</v>
      </c>
      <c r="D112" t="s">
        <v>126</v>
      </c>
      <c r="E112">
        <v>6</v>
      </c>
      <c r="F112">
        <v>1006</v>
      </c>
      <c r="G112" t="s">
        <v>114</v>
      </c>
      <c r="J112" t="s">
        <v>128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56"/>
        <v>14:41:03.977</v>
      </c>
      <c r="T112" t="str">
        <f t="shared" si="57"/>
        <v>14:41:03.577</v>
      </c>
      <c r="U112" t="str">
        <f t="shared" si="36"/>
        <v>A9808D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0</v>
      </c>
      <c r="AI112" t="s">
        <v>164</v>
      </c>
      <c r="AJ112">
        <v>28.231300999999998</v>
      </c>
      <c r="AK112" t="s">
        <v>165</v>
      </c>
      <c r="AL112">
        <v>-82.382827000000006</v>
      </c>
      <c r="AM112">
        <v>100</v>
      </c>
      <c r="AN112">
        <v>200</v>
      </c>
      <c r="AO112" t="s">
        <v>118</v>
      </c>
      <c r="AP112">
        <v>-33</v>
      </c>
      <c r="AQ112">
        <v>81</v>
      </c>
      <c r="AR112">
        <v>448</v>
      </c>
      <c r="AZ112">
        <v>1200</v>
      </c>
      <c r="BA112">
        <v>1</v>
      </c>
      <c r="BB112" t="str">
        <f t="shared" si="49"/>
        <v xml:space="preserve">N711JA  </v>
      </c>
      <c r="BC112">
        <v>1</v>
      </c>
      <c r="BE112">
        <v>0</v>
      </c>
      <c r="BF112">
        <v>0</v>
      </c>
      <c r="BG112">
        <v>0</v>
      </c>
      <c r="BH112">
        <v>275</v>
      </c>
      <c r="BI112">
        <v>1</v>
      </c>
      <c r="BJ112">
        <v>1</v>
      </c>
      <c r="BK112">
        <v>0</v>
      </c>
      <c r="BL112">
        <v>0</v>
      </c>
      <c r="BO112">
        <v>0</v>
      </c>
      <c r="BP112">
        <v>0</v>
      </c>
      <c r="BW112" t="str">
        <f t="shared" si="58"/>
        <v>14:41:03.977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343</v>
      </c>
      <c r="CR112">
        <v>1</v>
      </c>
      <c r="CW112">
        <v>10509787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 t="shared" ref="A113:A121" si="59">"05/12/2020 14:40:47.183"</f>
        <v>05/12/2020 14:40:47.183</v>
      </c>
      <c r="C113" t="str">
        <f t="shared" si="46"/>
        <v>FFDFD3C0</v>
      </c>
      <c r="D113" t="s">
        <v>126</v>
      </c>
      <c r="E113">
        <v>6</v>
      </c>
      <c r="F113">
        <v>1006</v>
      </c>
      <c r="G113" t="s">
        <v>114</v>
      </c>
      <c r="J113" t="s">
        <v>128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ref="S113:S121" si="60">"14:41:05.000"</f>
        <v>14:41:05.000</v>
      </c>
      <c r="T113" t="str">
        <f t="shared" ref="T113:T121" si="61">"14:41:04.700"</f>
        <v>14:41:04.700</v>
      </c>
      <c r="U113" t="str">
        <f t="shared" si="36"/>
        <v>A9808D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0</v>
      </c>
      <c r="AI113" t="s">
        <v>166</v>
      </c>
      <c r="AJ113">
        <v>28.231687999999998</v>
      </c>
      <c r="AK113" t="s">
        <v>167</v>
      </c>
      <c r="AL113">
        <v>-82.382976999999997</v>
      </c>
      <c r="AM113">
        <v>100</v>
      </c>
      <c r="AN113">
        <v>200</v>
      </c>
      <c r="AO113" t="s">
        <v>118</v>
      </c>
      <c r="AP113">
        <v>-28</v>
      </c>
      <c r="AQ113">
        <v>83</v>
      </c>
      <c r="AR113">
        <v>320</v>
      </c>
      <c r="AZ113">
        <v>1200</v>
      </c>
      <c r="BA113">
        <v>1</v>
      </c>
      <c r="BB113" t="str">
        <f t="shared" si="49"/>
        <v xml:space="preserve">N711JA  </v>
      </c>
      <c r="BC113">
        <v>1</v>
      </c>
      <c r="BE113">
        <v>0</v>
      </c>
      <c r="BF113">
        <v>0</v>
      </c>
      <c r="BG113">
        <v>0</v>
      </c>
      <c r="BH113">
        <v>275</v>
      </c>
      <c r="BI113">
        <v>1</v>
      </c>
      <c r="BJ113">
        <v>1</v>
      </c>
      <c r="BK113">
        <v>0</v>
      </c>
      <c r="BL113">
        <v>0</v>
      </c>
      <c r="BO113">
        <v>0</v>
      </c>
      <c r="BP113">
        <v>0</v>
      </c>
      <c r="BW113" t="str">
        <f t="shared" ref="BW113:BW121" si="62">"14:41:05.007"</f>
        <v>14:41:05.007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343</v>
      </c>
      <c r="CR113">
        <v>1</v>
      </c>
      <c r="CW113">
        <v>10510869</v>
      </c>
      <c r="CY113">
        <v>1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 t="shared" si="59"/>
        <v>05/12/2020 14:40:47.183</v>
      </c>
      <c r="C114" t="str">
        <f t="shared" si="46"/>
        <v>FFDFD3C0</v>
      </c>
      <c r="D114" t="s">
        <v>113</v>
      </c>
      <c r="E114">
        <v>3</v>
      </c>
      <c r="H114">
        <v>164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60"/>
        <v>14:41:05.000</v>
      </c>
      <c r="T114" t="str">
        <f t="shared" si="61"/>
        <v>14:41:04.700</v>
      </c>
      <c r="U114" t="str">
        <f t="shared" si="36"/>
        <v>A9808D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0</v>
      </c>
      <c r="AI114" t="s">
        <v>166</v>
      </c>
      <c r="AJ114">
        <v>28.231687999999998</v>
      </c>
      <c r="AK114" t="s">
        <v>167</v>
      </c>
      <c r="AL114">
        <v>-82.382976999999997</v>
      </c>
      <c r="AM114">
        <v>100</v>
      </c>
      <c r="AN114">
        <v>200</v>
      </c>
      <c r="AO114" t="s">
        <v>118</v>
      </c>
      <c r="AP114">
        <v>-28</v>
      </c>
      <c r="AQ114">
        <v>83</v>
      </c>
      <c r="AR114">
        <v>320</v>
      </c>
      <c r="AZ114">
        <v>1200</v>
      </c>
      <c r="BA114">
        <v>1</v>
      </c>
      <c r="BB114" t="str">
        <f t="shared" si="49"/>
        <v xml:space="preserve">N711JA  </v>
      </c>
      <c r="BC114">
        <v>1</v>
      </c>
      <c r="BE114">
        <v>0</v>
      </c>
      <c r="BF114">
        <v>0</v>
      </c>
      <c r="BG114">
        <v>0</v>
      </c>
      <c r="BH114">
        <v>275</v>
      </c>
      <c r="BI114">
        <v>1</v>
      </c>
      <c r="BJ114">
        <v>1</v>
      </c>
      <c r="BK114">
        <v>0</v>
      </c>
      <c r="BL114">
        <v>0</v>
      </c>
      <c r="BO114">
        <v>0</v>
      </c>
      <c r="BP114">
        <v>0</v>
      </c>
      <c r="BW114" t="str">
        <f t="shared" si="62"/>
        <v>14:41:05.007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343</v>
      </c>
      <c r="CR114">
        <v>1</v>
      </c>
      <c r="CW114">
        <v>10510869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 t="shared" si="59"/>
        <v>05/12/2020 14:40:47.183</v>
      </c>
      <c r="C115" t="str">
        <f t="shared" si="46"/>
        <v>FFDFD3C0</v>
      </c>
      <c r="D115" t="s">
        <v>134</v>
      </c>
      <c r="E115">
        <v>12</v>
      </c>
      <c r="H115">
        <v>64</v>
      </c>
      <c r="I115" t="s">
        <v>135</v>
      </c>
      <c r="J115" t="s">
        <v>136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60"/>
        <v>14:41:05.000</v>
      </c>
      <c r="T115" t="str">
        <f t="shared" si="61"/>
        <v>14:41:04.700</v>
      </c>
      <c r="U115" t="str">
        <f t="shared" si="36"/>
        <v>A9808D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0</v>
      </c>
      <c r="AI115" t="s">
        <v>166</v>
      </c>
      <c r="AJ115">
        <v>28.231687999999998</v>
      </c>
      <c r="AK115" t="s">
        <v>167</v>
      </c>
      <c r="AL115">
        <v>-82.382976999999997</v>
      </c>
      <c r="AM115">
        <v>100</v>
      </c>
      <c r="AN115">
        <v>200</v>
      </c>
      <c r="AO115" t="s">
        <v>118</v>
      </c>
      <c r="AP115">
        <v>-28</v>
      </c>
      <c r="AQ115">
        <v>83</v>
      </c>
      <c r="AR115">
        <v>320</v>
      </c>
      <c r="AZ115">
        <v>1200</v>
      </c>
      <c r="BA115">
        <v>1</v>
      </c>
      <c r="BB115" t="str">
        <f t="shared" si="49"/>
        <v xml:space="preserve">N711JA  </v>
      </c>
      <c r="BC115">
        <v>1</v>
      </c>
      <c r="BE115">
        <v>0</v>
      </c>
      <c r="BF115">
        <v>0</v>
      </c>
      <c r="BG115">
        <v>0</v>
      </c>
      <c r="BH115">
        <v>275</v>
      </c>
      <c r="BI115">
        <v>1</v>
      </c>
      <c r="BJ115">
        <v>1</v>
      </c>
      <c r="BK115">
        <v>0</v>
      </c>
      <c r="BL115">
        <v>0</v>
      </c>
      <c r="BO115">
        <v>0</v>
      </c>
      <c r="BP115">
        <v>0</v>
      </c>
      <c r="BW115" t="str">
        <f t="shared" si="62"/>
        <v>14:41:05.007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343</v>
      </c>
      <c r="CR115">
        <v>1</v>
      </c>
      <c r="CW115">
        <v>10510869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 t="shared" si="59"/>
        <v>05/12/2020 14:40:47.183</v>
      </c>
      <c r="C116" t="str">
        <f t="shared" si="46"/>
        <v>FFDFD3C0</v>
      </c>
      <c r="D116" t="s">
        <v>126</v>
      </c>
      <c r="E116">
        <v>7</v>
      </c>
      <c r="F116">
        <v>1007</v>
      </c>
      <c r="G116" t="s">
        <v>127</v>
      </c>
      <c r="J116" t="s">
        <v>128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60"/>
        <v>14:41:05.000</v>
      </c>
      <c r="T116" t="str">
        <f t="shared" si="61"/>
        <v>14:41:04.700</v>
      </c>
      <c r="U116" t="str">
        <f t="shared" si="36"/>
        <v>A9808D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0</v>
      </c>
      <c r="AI116" t="s">
        <v>166</v>
      </c>
      <c r="AJ116">
        <v>28.231687999999998</v>
      </c>
      <c r="AK116" t="s">
        <v>167</v>
      </c>
      <c r="AL116">
        <v>-82.382976999999997</v>
      </c>
      <c r="AM116">
        <v>100</v>
      </c>
      <c r="AN116">
        <v>200</v>
      </c>
      <c r="AO116" t="s">
        <v>118</v>
      </c>
      <c r="AP116">
        <v>-28</v>
      </c>
      <c r="AQ116">
        <v>83</v>
      </c>
      <c r="AR116">
        <v>320</v>
      </c>
      <c r="AZ116">
        <v>1200</v>
      </c>
      <c r="BA116">
        <v>1</v>
      </c>
      <c r="BB116" t="str">
        <f t="shared" si="49"/>
        <v xml:space="preserve">N711JA  </v>
      </c>
      <c r="BC116">
        <v>1</v>
      </c>
      <c r="BE116">
        <v>0</v>
      </c>
      <c r="BF116">
        <v>0</v>
      </c>
      <c r="BG116">
        <v>0</v>
      </c>
      <c r="BH116">
        <v>275</v>
      </c>
      <c r="BI116">
        <v>1</v>
      </c>
      <c r="BJ116">
        <v>1</v>
      </c>
      <c r="BK116">
        <v>0</v>
      </c>
      <c r="BL116">
        <v>0</v>
      </c>
      <c r="BO116">
        <v>0</v>
      </c>
      <c r="BP116">
        <v>0</v>
      </c>
      <c r="BW116" t="str">
        <f t="shared" si="62"/>
        <v>14:41:05.007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343</v>
      </c>
      <c r="CR116">
        <v>1</v>
      </c>
      <c r="CW116">
        <v>10510869</v>
      </c>
      <c r="CY116">
        <v>1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 t="shared" si="59"/>
        <v>05/12/2020 14:40:47.183</v>
      </c>
      <c r="C117" t="str">
        <f t="shared" si="46"/>
        <v>FFDFD3C0</v>
      </c>
      <c r="D117" t="s">
        <v>131</v>
      </c>
      <c r="E117">
        <v>10</v>
      </c>
      <c r="F117">
        <v>2010</v>
      </c>
      <c r="G117" t="s">
        <v>132</v>
      </c>
      <c r="J117" t="s">
        <v>133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60"/>
        <v>14:41:05.000</v>
      </c>
      <c r="T117" t="str">
        <f t="shared" si="61"/>
        <v>14:41:04.700</v>
      </c>
      <c r="U117" t="str">
        <f t="shared" si="36"/>
        <v>A9808D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0</v>
      </c>
      <c r="AI117" t="s">
        <v>166</v>
      </c>
      <c r="AJ117">
        <v>28.231687999999998</v>
      </c>
      <c r="AK117" t="s">
        <v>167</v>
      </c>
      <c r="AL117">
        <v>-82.382976999999997</v>
      </c>
      <c r="AM117">
        <v>100</v>
      </c>
      <c r="AN117">
        <v>200</v>
      </c>
      <c r="AO117" t="s">
        <v>118</v>
      </c>
      <c r="AP117">
        <v>-28</v>
      </c>
      <c r="AQ117">
        <v>83</v>
      </c>
      <c r="AR117">
        <v>320</v>
      </c>
      <c r="AZ117">
        <v>1200</v>
      </c>
      <c r="BA117">
        <v>1</v>
      </c>
      <c r="BB117" t="str">
        <f t="shared" si="49"/>
        <v xml:space="preserve">N711JA  </v>
      </c>
      <c r="BC117">
        <v>1</v>
      </c>
      <c r="BE117">
        <v>0</v>
      </c>
      <c r="BF117">
        <v>0</v>
      </c>
      <c r="BG117">
        <v>0</v>
      </c>
      <c r="BH117">
        <v>275</v>
      </c>
      <c r="BI117">
        <v>1</v>
      </c>
      <c r="BJ117">
        <v>1</v>
      </c>
      <c r="BK117">
        <v>0</v>
      </c>
      <c r="BL117">
        <v>0</v>
      </c>
      <c r="BO117">
        <v>0</v>
      </c>
      <c r="BP117">
        <v>0</v>
      </c>
      <c r="BW117" t="str">
        <f t="shared" si="62"/>
        <v>14:41:05.007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343</v>
      </c>
      <c r="CR117">
        <v>1</v>
      </c>
      <c r="CW117">
        <v>10510869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 t="shared" si="59"/>
        <v>05/12/2020 14:40:47.183</v>
      </c>
      <c r="C118" t="str">
        <f t="shared" si="46"/>
        <v>FFDFD3C0</v>
      </c>
      <c r="D118" t="s">
        <v>131</v>
      </c>
      <c r="E118">
        <v>18</v>
      </c>
      <c r="F118">
        <v>2018</v>
      </c>
      <c r="G118" t="s">
        <v>161</v>
      </c>
      <c r="J118" t="s">
        <v>133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0"/>
        <v>14:41:05.000</v>
      </c>
      <c r="T118" t="str">
        <f t="shared" si="61"/>
        <v>14:41:04.700</v>
      </c>
      <c r="U118" t="str">
        <f t="shared" si="36"/>
        <v>A9808D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0</v>
      </c>
      <c r="AI118" t="s">
        <v>166</v>
      </c>
      <c r="AJ118">
        <v>28.231687999999998</v>
      </c>
      <c r="AK118" t="s">
        <v>167</v>
      </c>
      <c r="AL118">
        <v>-82.382976999999997</v>
      </c>
      <c r="AM118">
        <v>100</v>
      </c>
      <c r="AN118">
        <v>200</v>
      </c>
      <c r="AO118" t="s">
        <v>118</v>
      </c>
      <c r="AP118">
        <v>-28</v>
      </c>
      <c r="AQ118">
        <v>83</v>
      </c>
      <c r="AR118">
        <v>320</v>
      </c>
      <c r="AZ118">
        <v>1200</v>
      </c>
      <c r="BA118">
        <v>1</v>
      </c>
      <c r="BB118" t="str">
        <f t="shared" si="49"/>
        <v xml:space="preserve">N711JA  </v>
      </c>
      <c r="BC118">
        <v>1</v>
      </c>
      <c r="BE118">
        <v>0</v>
      </c>
      <c r="BF118">
        <v>0</v>
      </c>
      <c r="BG118">
        <v>0</v>
      </c>
      <c r="BH118">
        <v>275</v>
      </c>
      <c r="BI118">
        <v>1</v>
      </c>
      <c r="BJ118">
        <v>1</v>
      </c>
      <c r="BK118">
        <v>0</v>
      </c>
      <c r="BL118">
        <v>0</v>
      </c>
      <c r="BO118">
        <v>0</v>
      </c>
      <c r="BP118">
        <v>0</v>
      </c>
      <c r="BW118" t="str">
        <f t="shared" si="62"/>
        <v>14:41:05.007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343</v>
      </c>
      <c r="CR118">
        <v>1</v>
      </c>
      <c r="CW118">
        <v>10510869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 t="shared" si="59"/>
        <v>05/12/2020 14:40:47.183</v>
      </c>
      <c r="C119" t="str">
        <f t="shared" si="46"/>
        <v>FFDFD3C0</v>
      </c>
      <c r="D119" t="s">
        <v>131</v>
      </c>
      <c r="E119">
        <v>12</v>
      </c>
      <c r="F119">
        <v>2012</v>
      </c>
      <c r="G119" t="s">
        <v>137</v>
      </c>
      <c r="J119" t="s">
        <v>133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60"/>
        <v>14:41:05.000</v>
      </c>
      <c r="T119" t="str">
        <f t="shared" si="61"/>
        <v>14:41:04.700</v>
      </c>
      <c r="U119" t="str">
        <f t="shared" si="36"/>
        <v>A9808D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0</v>
      </c>
      <c r="AI119" t="s">
        <v>166</v>
      </c>
      <c r="AJ119">
        <v>28.231687999999998</v>
      </c>
      <c r="AK119" t="s">
        <v>167</v>
      </c>
      <c r="AL119">
        <v>-82.382976999999997</v>
      </c>
      <c r="AM119">
        <v>100</v>
      </c>
      <c r="AN119">
        <v>200</v>
      </c>
      <c r="AO119" t="s">
        <v>118</v>
      </c>
      <c r="AP119">
        <v>-28</v>
      </c>
      <c r="AQ119">
        <v>83</v>
      </c>
      <c r="AR119">
        <v>320</v>
      </c>
      <c r="AZ119">
        <v>1200</v>
      </c>
      <c r="BA119">
        <v>1</v>
      </c>
      <c r="BB119" t="str">
        <f t="shared" si="49"/>
        <v xml:space="preserve">N711JA  </v>
      </c>
      <c r="BC119">
        <v>1</v>
      </c>
      <c r="BE119">
        <v>0</v>
      </c>
      <c r="BF119">
        <v>0</v>
      </c>
      <c r="BG119">
        <v>0</v>
      </c>
      <c r="BH119">
        <v>275</v>
      </c>
      <c r="BI119">
        <v>1</v>
      </c>
      <c r="BJ119">
        <v>1</v>
      </c>
      <c r="BK119">
        <v>0</v>
      </c>
      <c r="BL119">
        <v>0</v>
      </c>
      <c r="BO119">
        <v>0</v>
      </c>
      <c r="BP119">
        <v>0</v>
      </c>
      <c r="BW119" t="str">
        <f t="shared" si="62"/>
        <v>14:41:05.007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343</v>
      </c>
      <c r="CR119">
        <v>1</v>
      </c>
      <c r="CW119">
        <v>10510869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 t="shared" si="59"/>
        <v>05/12/2020 14:40:47.183</v>
      </c>
      <c r="C120" t="str">
        <f t="shared" si="46"/>
        <v>FFDFD3C0</v>
      </c>
      <c r="D120" t="s">
        <v>138</v>
      </c>
      <c r="E120">
        <v>2</v>
      </c>
      <c r="H120">
        <v>8</v>
      </c>
      <c r="I120" t="s">
        <v>139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60"/>
        <v>14:41:05.000</v>
      </c>
      <c r="T120" t="str">
        <f t="shared" si="61"/>
        <v>14:41:04.700</v>
      </c>
      <c r="U120" t="str">
        <f t="shared" si="36"/>
        <v>A9808D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0</v>
      </c>
      <c r="AI120" t="s">
        <v>166</v>
      </c>
      <c r="AJ120">
        <v>28.231687999999998</v>
      </c>
      <c r="AK120" t="s">
        <v>167</v>
      </c>
      <c r="AL120">
        <v>-82.382976999999997</v>
      </c>
      <c r="AM120">
        <v>100</v>
      </c>
      <c r="AN120">
        <v>200</v>
      </c>
      <c r="AO120" t="s">
        <v>118</v>
      </c>
      <c r="AP120">
        <v>-28</v>
      </c>
      <c r="AQ120">
        <v>83</v>
      </c>
      <c r="AR120">
        <v>320</v>
      </c>
      <c r="AZ120">
        <v>1200</v>
      </c>
      <c r="BA120">
        <v>1</v>
      </c>
      <c r="BB120" t="str">
        <f t="shared" si="49"/>
        <v xml:space="preserve">N711JA  </v>
      </c>
      <c r="BC120">
        <v>1</v>
      </c>
      <c r="BE120">
        <v>0</v>
      </c>
      <c r="BF120">
        <v>0</v>
      </c>
      <c r="BG120">
        <v>0</v>
      </c>
      <c r="BH120">
        <v>275</v>
      </c>
      <c r="BI120">
        <v>1</v>
      </c>
      <c r="BJ120">
        <v>1</v>
      </c>
      <c r="BK120">
        <v>0</v>
      </c>
      <c r="BL120">
        <v>0</v>
      </c>
      <c r="BO120">
        <v>0</v>
      </c>
      <c r="BP120">
        <v>0</v>
      </c>
      <c r="BW120" t="str">
        <f t="shared" si="62"/>
        <v>14:41:05.007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343</v>
      </c>
      <c r="CR120">
        <v>1</v>
      </c>
      <c r="CW120">
        <v>10510869</v>
      </c>
      <c r="CY120">
        <v>1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 t="shared" si="59"/>
        <v>05/12/2020 14:40:47.183</v>
      </c>
      <c r="C121" t="str">
        <f t="shared" si="46"/>
        <v>FFDFD3C0</v>
      </c>
      <c r="D121" t="s">
        <v>138</v>
      </c>
      <c r="E121">
        <v>3</v>
      </c>
      <c r="H121">
        <v>9</v>
      </c>
      <c r="I121" t="s">
        <v>140</v>
      </c>
      <c r="J121" t="s">
        <v>136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60"/>
        <v>14:41:05.000</v>
      </c>
      <c r="T121" t="str">
        <f t="shared" si="61"/>
        <v>14:41:04.700</v>
      </c>
      <c r="U121" t="str">
        <f t="shared" si="36"/>
        <v>A9808D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0</v>
      </c>
      <c r="AI121" t="s">
        <v>166</v>
      </c>
      <c r="AJ121">
        <v>28.231687999999998</v>
      </c>
      <c r="AK121" t="s">
        <v>167</v>
      </c>
      <c r="AL121">
        <v>-82.382976999999997</v>
      </c>
      <c r="AM121">
        <v>100</v>
      </c>
      <c r="AN121">
        <v>200</v>
      </c>
      <c r="AO121" t="s">
        <v>118</v>
      </c>
      <c r="AP121">
        <v>-28</v>
      </c>
      <c r="AQ121">
        <v>83</v>
      </c>
      <c r="AR121">
        <v>320</v>
      </c>
      <c r="AZ121">
        <v>1200</v>
      </c>
      <c r="BA121">
        <v>1</v>
      </c>
      <c r="BB121" t="str">
        <f t="shared" si="49"/>
        <v xml:space="preserve">N711JA  </v>
      </c>
      <c r="BC121">
        <v>1</v>
      </c>
      <c r="BE121">
        <v>0</v>
      </c>
      <c r="BF121">
        <v>0</v>
      </c>
      <c r="BG121">
        <v>0</v>
      </c>
      <c r="BH121">
        <v>275</v>
      </c>
      <c r="BI121">
        <v>1</v>
      </c>
      <c r="BJ121">
        <v>1</v>
      </c>
      <c r="BK121">
        <v>0</v>
      </c>
      <c r="BL121">
        <v>0</v>
      </c>
      <c r="BO121">
        <v>0</v>
      </c>
      <c r="BP121">
        <v>0</v>
      </c>
      <c r="BW121" t="str">
        <f t="shared" si="62"/>
        <v>14:41:05.007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343</v>
      </c>
      <c r="CR121">
        <v>1</v>
      </c>
      <c r="CW121">
        <v>10510869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 t="shared" ref="A122:A130" si="63">"05/12/2020 14:40:48.090"</f>
        <v>05/12/2020 14:40:48.090</v>
      </c>
      <c r="C122" t="str">
        <f t="shared" si="46"/>
        <v>FFDFD3C0</v>
      </c>
      <c r="D122" t="s">
        <v>126</v>
      </c>
      <c r="E122">
        <v>6</v>
      </c>
      <c r="F122">
        <v>1006</v>
      </c>
      <c r="G122" t="s">
        <v>114</v>
      </c>
      <c r="J122" t="s">
        <v>128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ref="S122:S130" si="64">"14:41:05.898"</f>
        <v>14:41:05.898</v>
      </c>
      <c r="T122" t="str">
        <f t="shared" ref="T122:T130" si="65">"14:41:05.798"</f>
        <v>14:41:05.798</v>
      </c>
      <c r="U122" t="str">
        <f t="shared" si="36"/>
        <v>A9808D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0</v>
      </c>
      <c r="AI122" t="s">
        <v>168</v>
      </c>
      <c r="AJ122">
        <v>28.232074000000001</v>
      </c>
      <c r="AK122" t="s">
        <v>169</v>
      </c>
      <c r="AL122">
        <v>-82.383083999999997</v>
      </c>
      <c r="AM122">
        <v>100</v>
      </c>
      <c r="AN122">
        <v>200</v>
      </c>
      <c r="AO122" t="s">
        <v>118</v>
      </c>
      <c r="AP122">
        <v>-24</v>
      </c>
      <c r="AQ122">
        <v>84</v>
      </c>
      <c r="AR122">
        <v>640</v>
      </c>
      <c r="AZ122">
        <v>1200</v>
      </c>
      <c r="BA122">
        <v>1</v>
      </c>
      <c r="BB122" t="str">
        <f t="shared" si="49"/>
        <v xml:space="preserve">N711JA  </v>
      </c>
      <c r="BC122">
        <v>1</v>
      </c>
      <c r="BE122">
        <v>0</v>
      </c>
      <c r="BF122">
        <v>0</v>
      </c>
      <c r="BG122">
        <v>0</v>
      </c>
      <c r="BH122">
        <v>300</v>
      </c>
      <c r="BI122">
        <v>1</v>
      </c>
      <c r="BJ122">
        <v>1</v>
      </c>
      <c r="BK122">
        <v>0</v>
      </c>
      <c r="BL122">
        <v>0</v>
      </c>
      <c r="BO122">
        <v>0</v>
      </c>
      <c r="BP122">
        <v>0</v>
      </c>
      <c r="BW122" t="str">
        <f t="shared" ref="BW122:BW130" si="66">"14:41:05.905"</f>
        <v>14:41:05.905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343</v>
      </c>
      <c r="CR122">
        <v>1</v>
      </c>
      <c r="CW122">
        <v>10511863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 t="shared" si="63"/>
        <v>05/12/2020 14:40:48.090</v>
      </c>
      <c r="C123" t="str">
        <f t="shared" si="46"/>
        <v>FFDFD3C0</v>
      </c>
      <c r="D123" t="s">
        <v>126</v>
      </c>
      <c r="E123">
        <v>7</v>
      </c>
      <c r="F123">
        <v>1007</v>
      </c>
      <c r="G123" t="s">
        <v>127</v>
      </c>
      <c r="J123" t="s">
        <v>128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64"/>
        <v>14:41:05.898</v>
      </c>
      <c r="T123" t="str">
        <f t="shared" si="65"/>
        <v>14:41:05.798</v>
      </c>
      <c r="U123" t="str">
        <f t="shared" si="36"/>
        <v>A9808D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0</v>
      </c>
      <c r="AI123" t="s">
        <v>168</v>
      </c>
      <c r="AJ123">
        <v>28.232074000000001</v>
      </c>
      <c r="AK123" t="s">
        <v>169</v>
      </c>
      <c r="AL123">
        <v>-82.383083999999997</v>
      </c>
      <c r="AM123">
        <v>100</v>
      </c>
      <c r="AN123">
        <v>200</v>
      </c>
      <c r="AO123" t="s">
        <v>118</v>
      </c>
      <c r="AP123">
        <v>-24</v>
      </c>
      <c r="AQ123">
        <v>84</v>
      </c>
      <c r="AR123">
        <v>640</v>
      </c>
      <c r="AZ123">
        <v>1200</v>
      </c>
      <c r="BA123">
        <v>1</v>
      </c>
      <c r="BB123" t="str">
        <f t="shared" si="49"/>
        <v xml:space="preserve">N711JA  </v>
      </c>
      <c r="BC123">
        <v>1</v>
      </c>
      <c r="BE123">
        <v>0</v>
      </c>
      <c r="BF123">
        <v>0</v>
      </c>
      <c r="BG123">
        <v>0</v>
      </c>
      <c r="BH123">
        <v>300</v>
      </c>
      <c r="BI123">
        <v>1</v>
      </c>
      <c r="BJ123">
        <v>1</v>
      </c>
      <c r="BK123">
        <v>0</v>
      </c>
      <c r="BL123">
        <v>0</v>
      </c>
      <c r="BO123">
        <v>0</v>
      </c>
      <c r="BP123">
        <v>0</v>
      </c>
      <c r="BW123" t="str">
        <f t="shared" si="66"/>
        <v>14:41:05.905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343</v>
      </c>
      <c r="CR123">
        <v>1</v>
      </c>
      <c r="CW123">
        <v>10511863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 t="shared" si="63"/>
        <v>05/12/2020 14:40:48.090</v>
      </c>
      <c r="C124" t="str">
        <f t="shared" si="46"/>
        <v>FFDFD3C0</v>
      </c>
      <c r="D124" t="s">
        <v>131</v>
      </c>
      <c r="E124">
        <v>10</v>
      </c>
      <c r="F124">
        <v>2010</v>
      </c>
      <c r="G124" t="s">
        <v>132</v>
      </c>
      <c r="J124" t="s">
        <v>133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64"/>
        <v>14:41:05.898</v>
      </c>
      <c r="T124" t="str">
        <f t="shared" si="65"/>
        <v>14:41:05.798</v>
      </c>
      <c r="U124" t="str">
        <f t="shared" si="36"/>
        <v>A9808D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0</v>
      </c>
      <c r="AI124" t="s">
        <v>168</v>
      </c>
      <c r="AJ124">
        <v>28.232074000000001</v>
      </c>
      <c r="AK124" t="s">
        <v>169</v>
      </c>
      <c r="AL124">
        <v>-82.383083999999997</v>
      </c>
      <c r="AM124">
        <v>100</v>
      </c>
      <c r="AN124">
        <v>200</v>
      </c>
      <c r="AO124" t="s">
        <v>118</v>
      </c>
      <c r="AP124">
        <v>-24</v>
      </c>
      <c r="AQ124">
        <v>84</v>
      </c>
      <c r="AR124">
        <v>640</v>
      </c>
      <c r="AZ124">
        <v>1200</v>
      </c>
      <c r="BA124">
        <v>1</v>
      </c>
      <c r="BB124" t="str">
        <f t="shared" si="49"/>
        <v xml:space="preserve">N711JA  </v>
      </c>
      <c r="BC124">
        <v>1</v>
      </c>
      <c r="BE124">
        <v>0</v>
      </c>
      <c r="BF124">
        <v>0</v>
      </c>
      <c r="BG124">
        <v>0</v>
      </c>
      <c r="BH124">
        <v>300</v>
      </c>
      <c r="BI124">
        <v>1</v>
      </c>
      <c r="BJ124">
        <v>1</v>
      </c>
      <c r="BK124">
        <v>0</v>
      </c>
      <c r="BL124">
        <v>0</v>
      </c>
      <c r="BO124">
        <v>0</v>
      </c>
      <c r="BP124">
        <v>0</v>
      </c>
      <c r="BW124" t="str">
        <f t="shared" si="66"/>
        <v>14:41:05.905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343</v>
      </c>
      <c r="CR124">
        <v>1</v>
      </c>
      <c r="CW124">
        <v>10511863</v>
      </c>
      <c r="CY124">
        <v>1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 t="shared" si="63"/>
        <v>05/12/2020 14:40:48.090</v>
      </c>
      <c r="C125" t="str">
        <f t="shared" si="46"/>
        <v>FFDFD3C0</v>
      </c>
      <c r="D125" t="s">
        <v>131</v>
      </c>
      <c r="E125">
        <v>18</v>
      </c>
      <c r="F125">
        <v>2018</v>
      </c>
      <c r="G125" t="s">
        <v>161</v>
      </c>
      <c r="J125" t="s">
        <v>133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4"/>
        <v>14:41:05.898</v>
      </c>
      <c r="T125" t="str">
        <f t="shared" si="65"/>
        <v>14:41:05.798</v>
      </c>
      <c r="U125" t="str">
        <f t="shared" si="36"/>
        <v>A9808D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0</v>
      </c>
      <c r="AI125" t="s">
        <v>168</v>
      </c>
      <c r="AJ125">
        <v>28.232074000000001</v>
      </c>
      <c r="AK125" t="s">
        <v>169</v>
      </c>
      <c r="AL125">
        <v>-82.383083999999997</v>
      </c>
      <c r="AM125">
        <v>100</v>
      </c>
      <c r="AN125">
        <v>200</v>
      </c>
      <c r="AO125" t="s">
        <v>118</v>
      </c>
      <c r="AP125">
        <v>-24</v>
      </c>
      <c r="AQ125">
        <v>84</v>
      </c>
      <c r="AR125">
        <v>640</v>
      </c>
      <c r="AZ125">
        <v>1200</v>
      </c>
      <c r="BA125">
        <v>1</v>
      </c>
      <c r="BB125" t="str">
        <f t="shared" si="49"/>
        <v xml:space="preserve">N711JA  </v>
      </c>
      <c r="BC125">
        <v>1</v>
      </c>
      <c r="BE125">
        <v>0</v>
      </c>
      <c r="BF125">
        <v>0</v>
      </c>
      <c r="BG125">
        <v>0</v>
      </c>
      <c r="BH125">
        <v>300</v>
      </c>
      <c r="BI125">
        <v>1</v>
      </c>
      <c r="BJ125">
        <v>1</v>
      </c>
      <c r="BK125">
        <v>0</v>
      </c>
      <c r="BL125">
        <v>0</v>
      </c>
      <c r="BO125">
        <v>0</v>
      </c>
      <c r="BP125">
        <v>0</v>
      </c>
      <c r="BW125" t="str">
        <f t="shared" si="66"/>
        <v>14:41:05.905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343</v>
      </c>
      <c r="CR125">
        <v>1</v>
      </c>
      <c r="CW125">
        <v>10511863</v>
      </c>
      <c r="CY125">
        <v>1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 t="shared" si="63"/>
        <v>05/12/2020 14:40:48.090</v>
      </c>
      <c r="C126" t="str">
        <f t="shared" si="46"/>
        <v>FFDFD3C0</v>
      </c>
      <c r="D126" t="s">
        <v>113</v>
      </c>
      <c r="E126">
        <v>3</v>
      </c>
      <c r="H126">
        <v>164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4"/>
        <v>14:41:05.898</v>
      </c>
      <c r="T126" t="str">
        <f t="shared" si="65"/>
        <v>14:41:05.798</v>
      </c>
      <c r="U126" t="str">
        <f t="shared" si="36"/>
        <v>A9808D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0</v>
      </c>
      <c r="AI126" t="s">
        <v>168</v>
      </c>
      <c r="AJ126">
        <v>28.232074000000001</v>
      </c>
      <c r="AK126" t="s">
        <v>169</v>
      </c>
      <c r="AL126">
        <v>-82.383083999999997</v>
      </c>
      <c r="AM126">
        <v>100</v>
      </c>
      <c r="AN126">
        <v>200</v>
      </c>
      <c r="AO126" t="s">
        <v>118</v>
      </c>
      <c r="AP126">
        <v>-24</v>
      </c>
      <c r="AQ126">
        <v>84</v>
      </c>
      <c r="AR126">
        <v>640</v>
      </c>
      <c r="AZ126">
        <v>1200</v>
      </c>
      <c r="BA126">
        <v>1</v>
      </c>
      <c r="BB126" t="str">
        <f t="shared" si="49"/>
        <v xml:space="preserve">N711JA  </v>
      </c>
      <c r="BC126">
        <v>1</v>
      </c>
      <c r="BE126">
        <v>0</v>
      </c>
      <c r="BF126">
        <v>0</v>
      </c>
      <c r="BG126">
        <v>0</v>
      </c>
      <c r="BH126">
        <v>300</v>
      </c>
      <c r="BI126">
        <v>1</v>
      </c>
      <c r="BJ126">
        <v>1</v>
      </c>
      <c r="BK126">
        <v>0</v>
      </c>
      <c r="BL126">
        <v>0</v>
      </c>
      <c r="BO126">
        <v>0</v>
      </c>
      <c r="BP126">
        <v>0</v>
      </c>
      <c r="BW126" t="str">
        <f t="shared" si="66"/>
        <v>14:41:05.905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343</v>
      </c>
      <c r="CR126">
        <v>1</v>
      </c>
      <c r="CW126">
        <v>10511863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 t="shared" si="63"/>
        <v>05/12/2020 14:40:48.090</v>
      </c>
      <c r="C127" t="str">
        <f t="shared" si="46"/>
        <v>FFDFD3C0</v>
      </c>
      <c r="D127" t="s">
        <v>134</v>
      </c>
      <c r="E127">
        <v>12</v>
      </c>
      <c r="H127">
        <v>64</v>
      </c>
      <c r="I127" t="s">
        <v>135</v>
      </c>
      <c r="J127" t="s">
        <v>136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4"/>
        <v>14:41:05.898</v>
      </c>
      <c r="T127" t="str">
        <f t="shared" si="65"/>
        <v>14:41:05.798</v>
      </c>
      <c r="U127" t="str">
        <f t="shared" si="36"/>
        <v>A9808D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0</v>
      </c>
      <c r="AI127" t="s">
        <v>168</v>
      </c>
      <c r="AJ127">
        <v>28.232074000000001</v>
      </c>
      <c r="AK127" t="s">
        <v>169</v>
      </c>
      <c r="AL127">
        <v>-82.383083999999997</v>
      </c>
      <c r="AM127">
        <v>100</v>
      </c>
      <c r="AN127">
        <v>200</v>
      </c>
      <c r="AO127" t="s">
        <v>118</v>
      </c>
      <c r="AP127">
        <v>-24</v>
      </c>
      <c r="AQ127">
        <v>84</v>
      </c>
      <c r="AR127">
        <v>640</v>
      </c>
      <c r="AZ127">
        <v>1200</v>
      </c>
      <c r="BA127">
        <v>1</v>
      </c>
      <c r="BB127" t="str">
        <f t="shared" si="49"/>
        <v xml:space="preserve">N711JA  </v>
      </c>
      <c r="BC127">
        <v>1</v>
      </c>
      <c r="BE127">
        <v>0</v>
      </c>
      <c r="BF127">
        <v>0</v>
      </c>
      <c r="BG127">
        <v>0</v>
      </c>
      <c r="BH127">
        <v>300</v>
      </c>
      <c r="BI127">
        <v>1</v>
      </c>
      <c r="BJ127">
        <v>1</v>
      </c>
      <c r="BK127">
        <v>0</v>
      </c>
      <c r="BL127">
        <v>0</v>
      </c>
      <c r="BO127">
        <v>0</v>
      </c>
      <c r="BP127">
        <v>0</v>
      </c>
      <c r="BW127" t="str">
        <f t="shared" si="66"/>
        <v>14:41:05.905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343</v>
      </c>
      <c r="CR127">
        <v>1</v>
      </c>
      <c r="CW127">
        <v>10511863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 t="shared" si="63"/>
        <v>05/12/2020 14:40:48.090</v>
      </c>
      <c r="C128" t="str">
        <f t="shared" si="46"/>
        <v>FFDFD3C0</v>
      </c>
      <c r="D128" t="s">
        <v>131</v>
      </c>
      <c r="E128">
        <v>12</v>
      </c>
      <c r="F128">
        <v>2012</v>
      </c>
      <c r="G128" t="s">
        <v>137</v>
      </c>
      <c r="J128" t="s">
        <v>133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4"/>
        <v>14:41:05.898</v>
      </c>
      <c r="T128" t="str">
        <f t="shared" si="65"/>
        <v>14:41:05.798</v>
      </c>
      <c r="U128" t="str">
        <f t="shared" si="36"/>
        <v>A9808D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0</v>
      </c>
      <c r="AI128" t="s">
        <v>168</v>
      </c>
      <c r="AJ128">
        <v>28.232074000000001</v>
      </c>
      <c r="AK128" t="s">
        <v>169</v>
      </c>
      <c r="AL128">
        <v>-82.383083999999997</v>
      </c>
      <c r="AM128">
        <v>100</v>
      </c>
      <c r="AN128">
        <v>200</v>
      </c>
      <c r="AO128" t="s">
        <v>118</v>
      </c>
      <c r="AP128">
        <v>-24</v>
      </c>
      <c r="AQ128">
        <v>84</v>
      </c>
      <c r="AR128">
        <v>640</v>
      </c>
      <c r="AZ128">
        <v>1200</v>
      </c>
      <c r="BA128">
        <v>1</v>
      </c>
      <c r="BB128" t="str">
        <f t="shared" si="49"/>
        <v xml:space="preserve">N711JA  </v>
      </c>
      <c r="BC128">
        <v>1</v>
      </c>
      <c r="BE128">
        <v>0</v>
      </c>
      <c r="BF128">
        <v>0</v>
      </c>
      <c r="BG128">
        <v>0</v>
      </c>
      <c r="BH128">
        <v>300</v>
      </c>
      <c r="BI128">
        <v>1</v>
      </c>
      <c r="BJ128">
        <v>1</v>
      </c>
      <c r="BK128">
        <v>0</v>
      </c>
      <c r="BL128">
        <v>0</v>
      </c>
      <c r="BO128">
        <v>0</v>
      </c>
      <c r="BP128">
        <v>0</v>
      </c>
      <c r="BW128" t="str">
        <f t="shared" si="66"/>
        <v>14:41:05.905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343</v>
      </c>
      <c r="CR128">
        <v>1</v>
      </c>
      <c r="CW128">
        <v>10511863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 t="shared" si="63"/>
        <v>05/12/2020 14:40:48.090</v>
      </c>
      <c r="C129" t="str">
        <f t="shared" si="46"/>
        <v>FFDFD3C0</v>
      </c>
      <c r="D129" t="s">
        <v>138</v>
      </c>
      <c r="E129">
        <v>2</v>
      </c>
      <c r="H129">
        <v>8</v>
      </c>
      <c r="I129" t="s">
        <v>139</v>
      </c>
      <c r="J129" t="s">
        <v>136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64"/>
        <v>14:41:05.898</v>
      </c>
      <c r="T129" t="str">
        <f t="shared" si="65"/>
        <v>14:41:05.798</v>
      </c>
      <c r="U129" t="str">
        <f t="shared" si="36"/>
        <v>A9808D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0</v>
      </c>
      <c r="AI129" t="s">
        <v>168</v>
      </c>
      <c r="AJ129">
        <v>28.232074000000001</v>
      </c>
      <c r="AK129" t="s">
        <v>169</v>
      </c>
      <c r="AL129">
        <v>-82.383083999999997</v>
      </c>
      <c r="AM129">
        <v>100</v>
      </c>
      <c r="AN129">
        <v>200</v>
      </c>
      <c r="AO129" t="s">
        <v>118</v>
      </c>
      <c r="AP129">
        <v>-24</v>
      </c>
      <c r="AQ129">
        <v>84</v>
      </c>
      <c r="AR129">
        <v>640</v>
      </c>
      <c r="AZ129">
        <v>1200</v>
      </c>
      <c r="BA129">
        <v>1</v>
      </c>
      <c r="BB129" t="str">
        <f t="shared" si="49"/>
        <v xml:space="preserve">N711JA  </v>
      </c>
      <c r="BC129">
        <v>1</v>
      </c>
      <c r="BE129">
        <v>0</v>
      </c>
      <c r="BF129">
        <v>0</v>
      </c>
      <c r="BG129">
        <v>0</v>
      </c>
      <c r="BH129">
        <v>300</v>
      </c>
      <c r="BI129">
        <v>1</v>
      </c>
      <c r="BJ129">
        <v>1</v>
      </c>
      <c r="BK129">
        <v>0</v>
      </c>
      <c r="BL129">
        <v>0</v>
      </c>
      <c r="BO129">
        <v>0</v>
      </c>
      <c r="BP129">
        <v>0</v>
      </c>
      <c r="BW129" t="str">
        <f t="shared" si="66"/>
        <v>14:41:05.905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343</v>
      </c>
      <c r="CR129">
        <v>1</v>
      </c>
      <c r="CW129">
        <v>10511863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 t="shared" si="63"/>
        <v>05/12/2020 14:40:48.090</v>
      </c>
      <c r="C130" t="str">
        <f t="shared" si="46"/>
        <v>FFDFD3C0</v>
      </c>
      <c r="D130" t="s">
        <v>138</v>
      </c>
      <c r="E130">
        <v>3</v>
      </c>
      <c r="H130">
        <v>9</v>
      </c>
      <c r="I130" t="s">
        <v>140</v>
      </c>
      <c r="J130" t="s">
        <v>136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64"/>
        <v>14:41:05.898</v>
      </c>
      <c r="T130" t="str">
        <f t="shared" si="65"/>
        <v>14:41:05.798</v>
      </c>
      <c r="U130" t="str">
        <f t="shared" ref="U130:U193" si="67">"A9808D"</f>
        <v>A9808D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0</v>
      </c>
      <c r="AI130" t="s">
        <v>168</v>
      </c>
      <c r="AJ130">
        <v>28.232074000000001</v>
      </c>
      <c r="AK130" t="s">
        <v>169</v>
      </c>
      <c r="AL130">
        <v>-82.383083999999997</v>
      </c>
      <c r="AM130">
        <v>100</v>
      </c>
      <c r="AN130">
        <v>200</v>
      </c>
      <c r="AO130" t="s">
        <v>118</v>
      </c>
      <c r="AP130">
        <v>-24</v>
      </c>
      <c r="AQ130">
        <v>84</v>
      </c>
      <c r="AR130">
        <v>640</v>
      </c>
      <c r="AZ130">
        <v>1200</v>
      </c>
      <c r="BA130">
        <v>1</v>
      </c>
      <c r="BB130" t="str">
        <f t="shared" si="49"/>
        <v xml:space="preserve">N711JA  </v>
      </c>
      <c r="BC130">
        <v>1</v>
      </c>
      <c r="BE130">
        <v>0</v>
      </c>
      <c r="BF130">
        <v>0</v>
      </c>
      <c r="BG130">
        <v>0</v>
      </c>
      <c r="BH130">
        <v>300</v>
      </c>
      <c r="BI130">
        <v>1</v>
      </c>
      <c r="BJ130">
        <v>1</v>
      </c>
      <c r="BK130">
        <v>0</v>
      </c>
      <c r="BL130">
        <v>0</v>
      </c>
      <c r="BO130">
        <v>0</v>
      </c>
      <c r="BP130">
        <v>0</v>
      </c>
      <c r="BW130" t="str">
        <f t="shared" si="66"/>
        <v>14:41:05.905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343</v>
      </c>
      <c r="CR130">
        <v>1</v>
      </c>
      <c r="CW130">
        <v>10511863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 t="shared" ref="A131:A139" si="68">"05/12/2020 14:40:49.036"</f>
        <v>05/12/2020 14:40:49.036</v>
      </c>
      <c r="C131" t="str">
        <f t="shared" si="46"/>
        <v>FFDFD3C0</v>
      </c>
      <c r="D131" t="s">
        <v>138</v>
      </c>
      <c r="E131">
        <v>2</v>
      </c>
      <c r="H131">
        <v>8</v>
      </c>
      <c r="I131" t="s">
        <v>139</v>
      </c>
      <c r="J131" t="s">
        <v>136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S139" si="69">"14:41:06.867"</f>
        <v>14:41:06.867</v>
      </c>
      <c r="T131" t="str">
        <f t="shared" ref="T131:T139" si="70">"14:41:06.667"</f>
        <v>14:41:06.667</v>
      </c>
      <c r="U131" t="str">
        <f t="shared" si="67"/>
        <v>A9808D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0</v>
      </c>
      <c r="AI131" t="s">
        <v>170</v>
      </c>
      <c r="AJ131">
        <v>28.232396000000001</v>
      </c>
      <c r="AK131" t="s">
        <v>171</v>
      </c>
      <c r="AL131">
        <v>-82.383191999999994</v>
      </c>
      <c r="AM131">
        <v>100</v>
      </c>
      <c r="AN131">
        <v>200</v>
      </c>
      <c r="AO131" t="s">
        <v>118</v>
      </c>
      <c r="AP131">
        <v>-21</v>
      </c>
      <c r="AQ131">
        <v>84</v>
      </c>
      <c r="AR131">
        <v>768</v>
      </c>
      <c r="AZ131">
        <v>1200</v>
      </c>
      <c r="BA131">
        <v>1</v>
      </c>
      <c r="BB131" t="str">
        <f t="shared" si="49"/>
        <v xml:space="preserve">N711JA  </v>
      </c>
      <c r="BC131">
        <v>1</v>
      </c>
      <c r="BE131">
        <v>0</v>
      </c>
      <c r="BF131">
        <v>0</v>
      </c>
      <c r="BG131">
        <v>0</v>
      </c>
      <c r="BH131">
        <v>300</v>
      </c>
      <c r="BI131">
        <v>1</v>
      </c>
      <c r="BJ131">
        <v>1</v>
      </c>
      <c r="BK131">
        <v>0</v>
      </c>
      <c r="BL131">
        <v>0</v>
      </c>
      <c r="BO131">
        <v>0</v>
      </c>
      <c r="BP131">
        <v>0</v>
      </c>
      <c r="BW131" t="str">
        <f t="shared" ref="BW131:BW139" si="71">"14:41:06.868"</f>
        <v>14:41:06.868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343</v>
      </c>
      <c r="CR131">
        <v>1</v>
      </c>
      <c r="CW131">
        <v>10512858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 t="shared" si="68"/>
        <v>05/12/2020 14:40:49.036</v>
      </c>
      <c r="C132" t="str">
        <f t="shared" si="46"/>
        <v>FFDFD3C0</v>
      </c>
      <c r="D132" t="s">
        <v>138</v>
      </c>
      <c r="E132">
        <v>3</v>
      </c>
      <c r="H132">
        <v>9</v>
      </c>
      <c r="I132" t="s">
        <v>140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69"/>
        <v>14:41:06.867</v>
      </c>
      <c r="T132" t="str">
        <f t="shared" si="70"/>
        <v>14:41:06.667</v>
      </c>
      <c r="U132" t="str">
        <f t="shared" si="67"/>
        <v>A9808D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0</v>
      </c>
      <c r="AI132" t="s">
        <v>170</v>
      </c>
      <c r="AJ132">
        <v>28.232396000000001</v>
      </c>
      <c r="AK132" t="s">
        <v>171</v>
      </c>
      <c r="AL132">
        <v>-82.383191999999994</v>
      </c>
      <c r="AM132">
        <v>100</v>
      </c>
      <c r="AN132">
        <v>200</v>
      </c>
      <c r="AO132" t="s">
        <v>118</v>
      </c>
      <c r="AP132">
        <v>-21</v>
      </c>
      <c r="AQ132">
        <v>84</v>
      </c>
      <c r="AR132">
        <v>768</v>
      </c>
      <c r="AZ132">
        <v>1200</v>
      </c>
      <c r="BA132">
        <v>1</v>
      </c>
      <c r="BB132" t="str">
        <f t="shared" si="49"/>
        <v xml:space="preserve">N711JA  </v>
      </c>
      <c r="BC132">
        <v>1</v>
      </c>
      <c r="BE132">
        <v>0</v>
      </c>
      <c r="BF132">
        <v>0</v>
      </c>
      <c r="BG132">
        <v>0</v>
      </c>
      <c r="BH132">
        <v>300</v>
      </c>
      <c r="BI132">
        <v>1</v>
      </c>
      <c r="BJ132">
        <v>1</v>
      </c>
      <c r="BK132">
        <v>0</v>
      </c>
      <c r="BL132">
        <v>0</v>
      </c>
      <c r="BO132">
        <v>0</v>
      </c>
      <c r="BP132">
        <v>0</v>
      </c>
      <c r="BW132" t="str">
        <f t="shared" si="71"/>
        <v>14:41:06.868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343</v>
      </c>
      <c r="CR132">
        <v>1</v>
      </c>
      <c r="CW132">
        <v>10512858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 t="shared" si="68"/>
        <v>05/12/2020 14:40:49.036</v>
      </c>
      <c r="C133" t="str">
        <f t="shared" si="46"/>
        <v>FFDFD3C0</v>
      </c>
      <c r="D133" t="s">
        <v>126</v>
      </c>
      <c r="E133">
        <v>6</v>
      </c>
      <c r="F133">
        <v>1006</v>
      </c>
      <c r="G133" t="s">
        <v>114</v>
      </c>
      <c r="J133" t="s">
        <v>128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69"/>
        <v>14:41:06.867</v>
      </c>
      <c r="T133" t="str">
        <f t="shared" si="70"/>
        <v>14:41:06.667</v>
      </c>
      <c r="U133" t="str">
        <f t="shared" si="67"/>
        <v>A9808D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0</v>
      </c>
      <c r="AI133" t="s">
        <v>170</v>
      </c>
      <c r="AJ133">
        <v>28.232396000000001</v>
      </c>
      <c r="AK133" t="s">
        <v>171</v>
      </c>
      <c r="AL133">
        <v>-82.383191999999994</v>
      </c>
      <c r="AM133">
        <v>100</v>
      </c>
      <c r="AN133">
        <v>200</v>
      </c>
      <c r="AO133" t="s">
        <v>118</v>
      </c>
      <c r="AP133">
        <v>-21</v>
      </c>
      <c r="AQ133">
        <v>84</v>
      </c>
      <c r="AR133">
        <v>768</v>
      </c>
      <c r="AZ133">
        <v>1200</v>
      </c>
      <c r="BA133">
        <v>1</v>
      </c>
      <c r="BB133" t="str">
        <f t="shared" si="49"/>
        <v xml:space="preserve">N711JA  </v>
      </c>
      <c r="BC133">
        <v>1</v>
      </c>
      <c r="BE133">
        <v>0</v>
      </c>
      <c r="BF133">
        <v>0</v>
      </c>
      <c r="BG133">
        <v>0</v>
      </c>
      <c r="BH133">
        <v>300</v>
      </c>
      <c r="BI133">
        <v>1</v>
      </c>
      <c r="BJ133">
        <v>1</v>
      </c>
      <c r="BK133">
        <v>0</v>
      </c>
      <c r="BL133">
        <v>0</v>
      </c>
      <c r="BO133">
        <v>0</v>
      </c>
      <c r="BP133">
        <v>0</v>
      </c>
      <c r="BW133" t="str">
        <f t="shared" si="71"/>
        <v>14:41:06.868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343</v>
      </c>
      <c r="CR133">
        <v>1</v>
      </c>
      <c r="CW133">
        <v>10512858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 t="shared" si="68"/>
        <v>05/12/2020 14:40:49.036</v>
      </c>
      <c r="C134" t="str">
        <f t="shared" si="46"/>
        <v>FFDFD3C0</v>
      </c>
      <c r="D134" t="s">
        <v>126</v>
      </c>
      <c r="E134">
        <v>7</v>
      </c>
      <c r="F134">
        <v>1007</v>
      </c>
      <c r="G134" t="s">
        <v>127</v>
      </c>
      <c r="J134" t="s">
        <v>128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69"/>
        <v>14:41:06.867</v>
      </c>
      <c r="T134" t="str">
        <f t="shared" si="70"/>
        <v>14:41:06.667</v>
      </c>
      <c r="U134" t="str">
        <f t="shared" si="67"/>
        <v>A9808D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0</v>
      </c>
      <c r="AI134" t="s">
        <v>170</v>
      </c>
      <c r="AJ134">
        <v>28.232396000000001</v>
      </c>
      <c r="AK134" t="s">
        <v>171</v>
      </c>
      <c r="AL134">
        <v>-82.383191999999994</v>
      </c>
      <c r="AM134">
        <v>100</v>
      </c>
      <c r="AN134">
        <v>200</v>
      </c>
      <c r="AO134" t="s">
        <v>118</v>
      </c>
      <c r="AP134">
        <v>-21</v>
      </c>
      <c r="AQ134">
        <v>84</v>
      </c>
      <c r="AR134">
        <v>768</v>
      </c>
      <c r="AZ134">
        <v>1200</v>
      </c>
      <c r="BA134">
        <v>1</v>
      </c>
      <c r="BB134" t="str">
        <f t="shared" si="49"/>
        <v xml:space="preserve">N711JA  </v>
      </c>
      <c r="BC134">
        <v>1</v>
      </c>
      <c r="BE134">
        <v>0</v>
      </c>
      <c r="BF134">
        <v>0</v>
      </c>
      <c r="BG134">
        <v>0</v>
      </c>
      <c r="BH134">
        <v>300</v>
      </c>
      <c r="BI134">
        <v>1</v>
      </c>
      <c r="BJ134">
        <v>1</v>
      </c>
      <c r="BK134">
        <v>0</v>
      </c>
      <c r="BL134">
        <v>0</v>
      </c>
      <c r="BO134">
        <v>0</v>
      </c>
      <c r="BP134">
        <v>0</v>
      </c>
      <c r="BW134" t="str">
        <f t="shared" si="71"/>
        <v>14:41:06.868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343</v>
      </c>
      <c r="CR134">
        <v>1</v>
      </c>
      <c r="CW134">
        <v>10512858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 t="shared" si="68"/>
        <v>05/12/2020 14:40:49.036</v>
      </c>
      <c r="C135" t="str">
        <f t="shared" si="46"/>
        <v>FFDFD3C0</v>
      </c>
      <c r="D135" t="s">
        <v>131</v>
      </c>
      <c r="E135">
        <v>10</v>
      </c>
      <c r="F135">
        <v>2010</v>
      </c>
      <c r="G135" t="s">
        <v>132</v>
      </c>
      <c r="J135" t="s">
        <v>133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69"/>
        <v>14:41:06.867</v>
      </c>
      <c r="T135" t="str">
        <f t="shared" si="70"/>
        <v>14:41:06.667</v>
      </c>
      <c r="U135" t="str">
        <f t="shared" si="67"/>
        <v>A9808D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0</v>
      </c>
      <c r="AI135" t="s">
        <v>170</v>
      </c>
      <c r="AJ135">
        <v>28.232396000000001</v>
      </c>
      <c r="AK135" t="s">
        <v>171</v>
      </c>
      <c r="AL135">
        <v>-82.383191999999994</v>
      </c>
      <c r="AM135">
        <v>100</v>
      </c>
      <c r="AN135">
        <v>200</v>
      </c>
      <c r="AO135" t="s">
        <v>118</v>
      </c>
      <c r="AP135">
        <v>-21</v>
      </c>
      <c r="AQ135">
        <v>84</v>
      </c>
      <c r="AR135">
        <v>768</v>
      </c>
      <c r="AZ135">
        <v>1200</v>
      </c>
      <c r="BA135">
        <v>1</v>
      </c>
      <c r="BB135" t="str">
        <f t="shared" si="49"/>
        <v xml:space="preserve">N711JA  </v>
      </c>
      <c r="BC135">
        <v>1</v>
      </c>
      <c r="BE135">
        <v>0</v>
      </c>
      <c r="BF135">
        <v>0</v>
      </c>
      <c r="BG135">
        <v>0</v>
      </c>
      <c r="BH135">
        <v>300</v>
      </c>
      <c r="BI135">
        <v>1</v>
      </c>
      <c r="BJ135">
        <v>1</v>
      </c>
      <c r="BK135">
        <v>0</v>
      </c>
      <c r="BL135">
        <v>0</v>
      </c>
      <c r="BO135">
        <v>0</v>
      </c>
      <c r="BP135">
        <v>0</v>
      </c>
      <c r="BW135" t="str">
        <f t="shared" si="71"/>
        <v>14:41:06.868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343</v>
      </c>
      <c r="CR135">
        <v>1</v>
      </c>
      <c r="CW135">
        <v>10512858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 t="shared" si="68"/>
        <v>05/12/2020 14:40:49.036</v>
      </c>
      <c r="C136" t="str">
        <f t="shared" si="46"/>
        <v>FFDFD3C0</v>
      </c>
      <c r="D136" t="s">
        <v>131</v>
      </c>
      <c r="E136">
        <v>18</v>
      </c>
      <c r="F136">
        <v>2018</v>
      </c>
      <c r="G136" t="s">
        <v>161</v>
      </c>
      <c r="J136" t="s">
        <v>133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69"/>
        <v>14:41:06.867</v>
      </c>
      <c r="T136" t="str">
        <f t="shared" si="70"/>
        <v>14:41:06.667</v>
      </c>
      <c r="U136" t="str">
        <f t="shared" si="67"/>
        <v>A9808D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0</v>
      </c>
      <c r="AI136" t="s">
        <v>170</v>
      </c>
      <c r="AJ136">
        <v>28.232396000000001</v>
      </c>
      <c r="AK136" t="s">
        <v>171</v>
      </c>
      <c r="AL136">
        <v>-82.383191999999994</v>
      </c>
      <c r="AM136">
        <v>100</v>
      </c>
      <c r="AN136">
        <v>200</v>
      </c>
      <c r="AO136" t="s">
        <v>118</v>
      </c>
      <c r="AP136">
        <v>-21</v>
      </c>
      <c r="AQ136">
        <v>84</v>
      </c>
      <c r="AR136">
        <v>768</v>
      </c>
      <c r="AZ136">
        <v>1200</v>
      </c>
      <c r="BA136">
        <v>1</v>
      </c>
      <c r="BB136" t="str">
        <f t="shared" si="49"/>
        <v xml:space="preserve">N711JA  </v>
      </c>
      <c r="BC136">
        <v>1</v>
      </c>
      <c r="BE136">
        <v>0</v>
      </c>
      <c r="BF136">
        <v>0</v>
      </c>
      <c r="BG136">
        <v>0</v>
      </c>
      <c r="BH136">
        <v>300</v>
      </c>
      <c r="BI136">
        <v>1</v>
      </c>
      <c r="BJ136">
        <v>1</v>
      </c>
      <c r="BK136">
        <v>0</v>
      </c>
      <c r="BL136">
        <v>0</v>
      </c>
      <c r="BO136">
        <v>0</v>
      </c>
      <c r="BP136">
        <v>0</v>
      </c>
      <c r="BW136" t="str">
        <f t="shared" si="71"/>
        <v>14:41:06.868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343</v>
      </c>
      <c r="CR136">
        <v>1</v>
      </c>
      <c r="CW136">
        <v>10512858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 t="shared" si="68"/>
        <v>05/12/2020 14:40:49.036</v>
      </c>
      <c r="C137" t="str">
        <f t="shared" si="46"/>
        <v>FFDFD3C0</v>
      </c>
      <c r="D137" t="s">
        <v>113</v>
      </c>
      <c r="E137">
        <v>3</v>
      </c>
      <c r="H137">
        <v>164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69"/>
        <v>14:41:06.867</v>
      </c>
      <c r="T137" t="str">
        <f t="shared" si="70"/>
        <v>14:41:06.667</v>
      </c>
      <c r="U137" t="str">
        <f t="shared" si="67"/>
        <v>A9808D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0</v>
      </c>
      <c r="AI137" t="s">
        <v>170</v>
      </c>
      <c r="AJ137">
        <v>28.232396000000001</v>
      </c>
      <c r="AK137" t="s">
        <v>171</v>
      </c>
      <c r="AL137">
        <v>-82.383191999999994</v>
      </c>
      <c r="AM137">
        <v>100</v>
      </c>
      <c r="AN137">
        <v>200</v>
      </c>
      <c r="AO137" t="s">
        <v>118</v>
      </c>
      <c r="AP137">
        <v>-21</v>
      </c>
      <c r="AQ137">
        <v>84</v>
      </c>
      <c r="AR137">
        <v>768</v>
      </c>
      <c r="AZ137">
        <v>1200</v>
      </c>
      <c r="BA137">
        <v>1</v>
      </c>
      <c r="BB137" t="str">
        <f t="shared" si="49"/>
        <v xml:space="preserve">N711JA  </v>
      </c>
      <c r="BC137">
        <v>1</v>
      </c>
      <c r="BE137">
        <v>0</v>
      </c>
      <c r="BF137">
        <v>0</v>
      </c>
      <c r="BG137">
        <v>0</v>
      </c>
      <c r="BH137">
        <v>300</v>
      </c>
      <c r="BI137">
        <v>1</v>
      </c>
      <c r="BJ137">
        <v>1</v>
      </c>
      <c r="BK137">
        <v>0</v>
      </c>
      <c r="BL137">
        <v>0</v>
      </c>
      <c r="BO137">
        <v>0</v>
      </c>
      <c r="BP137">
        <v>0</v>
      </c>
      <c r="BW137" t="str">
        <f t="shared" si="71"/>
        <v>14:41:06.868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343</v>
      </c>
      <c r="CR137">
        <v>1</v>
      </c>
      <c r="CW137">
        <v>10512858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 t="shared" si="68"/>
        <v>05/12/2020 14:40:49.036</v>
      </c>
      <c r="C138" t="str">
        <f t="shared" si="46"/>
        <v>FFDFD3C0</v>
      </c>
      <c r="D138" t="s">
        <v>131</v>
      </c>
      <c r="E138">
        <v>12</v>
      </c>
      <c r="F138">
        <v>2012</v>
      </c>
      <c r="G138" t="s">
        <v>137</v>
      </c>
      <c r="J138" t="s">
        <v>133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69"/>
        <v>14:41:06.867</v>
      </c>
      <c r="T138" t="str">
        <f t="shared" si="70"/>
        <v>14:41:06.667</v>
      </c>
      <c r="U138" t="str">
        <f t="shared" si="67"/>
        <v>A9808D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0</v>
      </c>
      <c r="AI138" t="s">
        <v>170</v>
      </c>
      <c r="AJ138">
        <v>28.232396000000001</v>
      </c>
      <c r="AK138" t="s">
        <v>171</v>
      </c>
      <c r="AL138">
        <v>-82.383191999999994</v>
      </c>
      <c r="AM138">
        <v>100</v>
      </c>
      <c r="AN138">
        <v>200</v>
      </c>
      <c r="AO138" t="s">
        <v>118</v>
      </c>
      <c r="AP138">
        <v>-21</v>
      </c>
      <c r="AQ138">
        <v>84</v>
      </c>
      <c r="AR138">
        <v>768</v>
      </c>
      <c r="AZ138">
        <v>1200</v>
      </c>
      <c r="BA138">
        <v>1</v>
      </c>
      <c r="BB138" t="str">
        <f t="shared" si="49"/>
        <v xml:space="preserve">N711JA  </v>
      </c>
      <c r="BC138">
        <v>1</v>
      </c>
      <c r="BE138">
        <v>0</v>
      </c>
      <c r="BF138">
        <v>0</v>
      </c>
      <c r="BG138">
        <v>0</v>
      </c>
      <c r="BH138">
        <v>300</v>
      </c>
      <c r="BI138">
        <v>1</v>
      </c>
      <c r="BJ138">
        <v>1</v>
      </c>
      <c r="BK138">
        <v>0</v>
      </c>
      <c r="BL138">
        <v>0</v>
      </c>
      <c r="BO138">
        <v>0</v>
      </c>
      <c r="BP138">
        <v>0</v>
      </c>
      <c r="BW138" t="str">
        <f t="shared" si="71"/>
        <v>14:41:06.868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343</v>
      </c>
      <c r="CR138">
        <v>1</v>
      </c>
      <c r="CW138">
        <v>10512858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 t="shared" si="68"/>
        <v>05/12/2020 14:40:49.036</v>
      </c>
      <c r="C139" t="str">
        <f t="shared" si="46"/>
        <v>FFDFD3C0</v>
      </c>
      <c r="D139" t="s">
        <v>134</v>
      </c>
      <c r="E139">
        <v>12</v>
      </c>
      <c r="H139">
        <v>64</v>
      </c>
      <c r="I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69"/>
        <v>14:41:06.867</v>
      </c>
      <c r="T139" t="str">
        <f t="shared" si="70"/>
        <v>14:41:06.667</v>
      </c>
      <c r="U139" t="str">
        <f t="shared" si="67"/>
        <v>A9808D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0</v>
      </c>
      <c r="AI139" t="s">
        <v>170</v>
      </c>
      <c r="AJ139">
        <v>28.232396000000001</v>
      </c>
      <c r="AK139" t="s">
        <v>171</v>
      </c>
      <c r="AL139">
        <v>-82.383191999999994</v>
      </c>
      <c r="AM139">
        <v>100</v>
      </c>
      <c r="AN139">
        <v>200</v>
      </c>
      <c r="AO139" t="s">
        <v>118</v>
      </c>
      <c r="AP139">
        <v>-21</v>
      </c>
      <c r="AQ139">
        <v>84</v>
      </c>
      <c r="AR139">
        <v>768</v>
      </c>
      <c r="AZ139">
        <v>1200</v>
      </c>
      <c r="BA139">
        <v>1</v>
      </c>
      <c r="BB139" t="str">
        <f t="shared" si="49"/>
        <v xml:space="preserve">N711JA  </v>
      </c>
      <c r="BC139">
        <v>1</v>
      </c>
      <c r="BE139">
        <v>0</v>
      </c>
      <c r="BF139">
        <v>0</v>
      </c>
      <c r="BG139">
        <v>0</v>
      </c>
      <c r="BH139">
        <v>300</v>
      </c>
      <c r="BI139">
        <v>1</v>
      </c>
      <c r="BJ139">
        <v>1</v>
      </c>
      <c r="BK139">
        <v>0</v>
      </c>
      <c r="BL139">
        <v>0</v>
      </c>
      <c r="BO139">
        <v>0</v>
      </c>
      <c r="BP139">
        <v>0</v>
      </c>
      <c r="BW139" t="str">
        <f t="shared" si="71"/>
        <v>14:41:06.868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343</v>
      </c>
      <c r="CR139">
        <v>1</v>
      </c>
      <c r="CW139">
        <v>10512858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 t="shared" ref="A140:A148" si="72">"05/12/2020 14:40:50.067"</f>
        <v>05/12/2020 14:40:50.067</v>
      </c>
      <c r="C140" t="str">
        <f t="shared" si="46"/>
        <v>FFDFD3C0</v>
      </c>
      <c r="D140" t="s">
        <v>131</v>
      </c>
      <c r="E140">
        <v>10</v>
      </c>
      <c r="F140">
        <v>2010</v>
      </c>
      <c r="G140" t="s">
        <v>132</v>
      </c>
      <c r="J140" t="s">
        <v>133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ref="S140:S148" si="73">"14:41:07.867"</f>
        <v>14:41:07.867</v>
      </c>
      <c r="T140" t="str">
        <f t="shared" ref="T140:T148" si="74">"14:41:07.667"</f>
        <v>14:41:07.667</v>
      </c>
      <c r="U140" t="str">
        <f t="shared" si="67"/>
        <v>A9808D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0</v>
      </c>
      <c r="AI140" t="s">
        <v>172</v>
      </c>
      <c r="AJ140">
        <v>28.232824999999998</v>
      </c>
      <c r="AK140" t="s">
        <v>173</v>
      </c>
      <c r="AL140">
        <v>-82.383298999999994</v>
      </c>
      <c r="AM140">
        <v>100</v>
      </c>
      <c r="AN140">
        <v>200</v>
      </c>
      <c r="AO140" t="s">
        <v>118</v>
      </c>
      <c r="AP140">
        <v>-19</v>
      </c>
      <c r="AQ140">
        <v>84</v>
      </c>
      <c r="AR140">
        <v>832</v>
      </c>
      <c r="AZ140">
        <v>1200</v>
      </c>
      <c r="BA140">
        <v>1</v>
      </c>
      <c r="BB140" t="str">
        <f t="shared" si="49"/>
        <v xml:space="preserve">N711JA  </v>
      </c>
      <c r="BC140">
        <v>1</v>
      </c>
      <c r="BE140">
        <v>0</v>
      </c>
      <c r="BF140">
        <v>0</v>
      </c>
      <c r="BG140">
        <v>0</v>
      </c>
      <c r="BH140">
        <v>325</v>
      </c>
      <c r="BI140">
        <v>1</v>
      </c>
      <c r="BJ140">
        <v>1</v>
      </c>
      <c r="BK140">
        <v>0</v>
      </c>
      <c r="BL140">
        <v>0</v>
      </c>
      <c r="BO140">
        <v>0</v>
      </c>
      <c r="BP140">
        <v>0</v>
      </c>
      <c r="BW140" t="str">
        <f t="shared" ref="BW140:BW148" si="75">"14:41:07.868"</f>
        <v>14:41:07.868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343</v>
      </c>
      <c r="CR140">
        <v>1</v>
      </c>
      <c r="CW140">
        <v>10513942</v>
      </c>
      <c r="CY140">
        <v>1</v>
      </c>
      <c r="CZ140">
        <v>0</v>
      </c>
      <c r="DA140">
        <v>0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 t="shared" si="72"/>
        <v>05/12/2020 14:40:50.067</v>
      </c>
      <c r="C141" t="str">
        <f t="shared" si="46"/>
        <v>FFDFD3C0</v>
      </c>
      <c r="D141" t="s">
        <v>131</v>
      </c>
      <c r="E141">
        <v>18</v>
      </c>
      <c r="F141">
        <v>2018</v>
      </c>
      <c r="G141" t="s">
        <v>161</v>
      </c>
      <c r="J141" t="s">
        <v>133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3"/>
        <v>14:41:07.867</v>
      </c>
      <c r="T141" t="str">
        <f t="shared" si="74"/>
        <v>14:41:07.667</v>
      </c>
      <c r="U141" t="str">
        <f t="shared" si="67"/>
        <v>A9808D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0</v>
      </c>
      <c r="AI141" t="s">
        <v>172</v>
      </c>
      <c r="AJ141">
        <v>28.232824999999998</v>
      </c>
      <c r="AK141" t="s">
        <v>173</v>
      </c>
      <c r="AL141">
        <v>-82.383298999999994</v>
      </c>
      <c r="AM141">
        <v>100</v>
      </c>
      <c r="AN141">
        <v>200</v>
      </c>
      <c r="AO141" t="s">
        <v>118</v>
      </c>
      <c r="AP141">
        <v>-19</v>
      </c>
      <c r="AQ141">
        <v>84</v>
      </c>
      <c r="AR141">
        <v>832</v>
      </c>
      <c r="AZ141">
        <v>1200</v>
      </c>
      <c r="BA141">
        <v>1</v>
      </c>
      <c r="BB141" t="str">
        <f t="shared" si="49"/>
        <v xml:space="preserve">N711JA  </v>
      </c>
      <c r="BC141">
        <v>1</v>
      </c>
      <c r="BE141">
        <v>0</v>
      </c>
      <c r="BF141">
        <v>0</v>
      </c>
      <c r="BG141">
        <v>0</v>
      </c>
      <c r="BH141">
        <v>325</v>
      </c>
      <c r="BI141">
        <v>1</v>
      </c>
      <c r="BJ141">
        <v>1</v>
      </c>
      <c r="BK141">
        <v>0</v>
      </c>
      <c r="BL141">
        <v>0</v>
      </c>
      <c r="BO141">
        <v>0</v>
      </c>
      <c r="BP141">
        <v>0</v>
      </c>
      <c r="BW141" t="str">
        <f t="shared" si="75"/>
        <v>14:41:07.868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343</v>
      </c>
      <c r="CR141">
        <v>1</v>
      </c>
      <c r="CW141">
        <v>10513942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 t="shared" si="72"/>
        <v>05/12/2020 14:40:50.067</v>
      </c>
      <c r="C142" t="str">
        <f t="shared" si="46"/>
        <v>FFDFD3C0</v>
      </c>
      <c r="D142" t="s">
        <v>131</v>
      </c>
      <c r="E142">
        <v>12</v>
      </c>
      <c r="F142">
        <v>2012</v>
      </c>
      <c r="G142" t="s">
        <v>137</v>
      </c>
      <c r="J142" t="s">
        <v>133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3"/>
        <v>14:41:07.867</v>
      </c>
      <c r="T142" t="str">
        <f t="shared" si="74"/>
        <v>14:41:07.667</v>
      </c>
      <c r="U142" t="str">
        <f t="shared" si="67"/>
        <v>A9808D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0</v>
      </c>
      <c r="AI142" t="s">
        <v>172</v>
      </c>
      <c r="AJ142">
        <v>28.232824999999998</v>
      </c>
      <c r="AK142" t="s">
        <v>173</v>
      </c>
      <c r="AL142">
        <v>-82.383298999999994</v>
      </c>
      <c r="AM142">
        <v>100</v>
      </c>
      <c r="AN142">
        <v>200</v>
      </c>
      <c r="AO142" t="s">
        <v>118</v>
      </c>
      <c r="AP142">
        <v>-19</v>
      </c>
      <c r="AQ142">
        <v>84</v>
      </c>
      <c r="AR142">
        <v>832</v>
      </c>
      <c r="AZ142">
        <v>1200</v>
      </c>
      <c r="BA142">
        <v>1</v>
      </c>
      <c r="BB142" t="str">
        <f t="shared" si="49"/>
        <v xml:space="preserve">N711JA  </v>
      </c>
      <c r="BC142">
        <v>1</v>
      </c>
      <c r="BE142">
        <v>0</v>
      </c>
      <c r="BF142">
        <v>0</v>
      </c>
      <c r="BG142">
        <v>0</v>
      </c>
      <c r="BH142">
        <v>325</v>
      </c>
      <c r="BI142">
        <v>1</v>
      </c>
      <c r="BJ142">
        <v>1</v>
      </c>
      <c r="BK142">
        <v>0</v>
      </c>
      <c r="BL142">
        <v>0</v>
      </c>
      <c r="BO142">
        <v>0</v>
      </c>
      <c r="BP142">
        <v>0</v>
      </c>
      <c r="BW142" t="str">
        <f t="shared" si="75"/>
        <v>14:41:07.868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343</v>
      </c>
      <c r="CR142">
        <v>1</v>
      </c>
      <c r="CW142">
        <v>10513942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 t="shared" si="72"/>
        <v>05/12/2020 14:40:50.067</v>
      </c>
      <c r="C143" t="str">
        <f t="shared" si="46"/>
        <v>FFDFD3C0</v>
      </c>
      <c r="D143" t="s">
        <v>113</v>
      </c>
      <c r="E143">
        <v>3</v>
      </c>
      <c r="H143">
        <v>164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73"/>
        <v>14:41:07.867</v>
      </c>
      <c r="T143" t="str">
        <f t="shared" si="74"/>
        <v>14:41:07.667</v>
      </c>
      <c r="U143" t="str">
        <f t="shared" si="67"/>
        <v>A9808D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0</v>
      </c>
      <c r="AI143" t="s">
        <v>172</v>
      </c>
      <c r="AJ143">
        <v>28.232824999999998</v>
      </c>
      <c r="AK143" t="s">
        <v>173</v>
      </c>
      <c r="AL143">
        <v>-82.383298999999994</v>
      </c>
      <c r="AM143">
        <v>100</v>
      </c>
      <c r="AN143">
        <v>200</v>
      </c>
      <c r="AO143" t="s">
        <v>118</v>
      </c>
      <c r="AP143">
        <v>-19</v>
      </c>
      <c r="AQ143">
        <v>84</v>
      </c>
      <c r="AR143">
        <v>832</v>
      </c>
      <c r="AZ143">
        <v>1200</v>
      </c>
      <c r="BA143">
        <v>1</v>
      </c>
      <c r="BB143" t="str">
        <f t="shared" si="49"/>
        <v xml:space="preserve">N711JA  </v>
      </c>
      <c r="BC143">
        <v>1</v>
      </c>
      <c r="BE143">
        <v>0</v>
      </c>
      <c r="BF143">
        <v>0</v>
      </c>
      <c r="BG143">
        <v>0</v>
      </c>
      <c r="BH143">
        <v>325</v>
      </c>
      <c r="BI143">
        <v>1</v>
      </c>
      <c r="BJ143">
        <v>1</v>
      </c>
      <c r="BK143">
        <v>0</v>
      </c>
      <c r="BL143">
        <v>0</v>
      </c>
      <c r="BO143">
        <v>0</v>
      </c>
      <c r="BP143">
        <v>0</v>
      </c>
      <c r="BW143" t="str">
        <f t="shared" si="75"/>
        <v>14:41:07.868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343</v>
      </c>
      <c r="CR143">
        <v>1</v>
      </c>
      <c r="CW143">
        <v>10513942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 t="shared" si="72"/>
        <v>05/12/2020 14:40:50.067</v>
      </c>
      <c r="C144" t="str">
        <f t="shared" si="46"/>
        <v>FFDFD3C0</v>
      </c>
      <c r="D144" t="s">
        <v>134</v>
      </c>
      <c r="E144">
        <v>12</v>
      </c>
      <c r="H144">
        <v>64</v>
      </c>
      <c r="I144" t="s">
        <v>135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73"/>
        <v>14:41:07.867</v>
      </c>
      <c r="T144" t="str">
        <f t="shared" si="74"/>
        <v>14:41:07.667</v>
      </c>
      <c r="U144" t="str">
        <f t="shared" si="67"/>
        <v>A9808D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0</v>
      </c>
      <c r="AI144" t="s">
        <v>172</v>
      </c>
      <c r="AJ144">
        <v>28.232824999999998</v>
      </c>
      <c r="AK144" t="s">
        <v>173</v>
      </c>
      <c r="AL144">
        <v>-82.383298999999994</v>
      </c>
      <c r="AM144">
        <v>100</v>
      </c>
      <c r="AN144">
        <v>200</v>
      </c>
      <c r="AO144" t="s">
        <v>118</v>
      </c>
      <c r="AP144">
        <v>-19</v>
      </c>
      <c r="AQ144">
        <v>84</v>
      </c>
      <c r="AR144">
        <v>832</v>
      </c>
      <c r="AZ144">
        <v>1200</v>
      </c>
      <c r="BA144">
        <v>1</v>
      </c>
      <c r="BB144" t="str">
        <f t="shared" si="49"/>
        <v xml:space="preserve">N711JA  </v>
      </c>
      <c r="BC144">
        <v>1</v>
      </c>
      <c r="BE144">
        <v>0</v>
      </c>
      <c r="BF144">
        <v>0</v>
      </c>
      <c r="BG144">
        <v>0</v>
      </c>
      <c r="BH144">
        <v>325</v>
      </c>
      <c r="BI144">
        <v>1</v>
      </c>
      <c r="BJ144">
        <v>1</v>
      </c>
      <c r="BK144">
        <v>0</v>
      </c>
      <c r="BL144">
        <v>0</v>
      </c>
      <c r="BO144">
        <v>0</v>
      </c>
      <c r="BP144">
        <v>0</v>
      </c>
      <c r="BW144" t="str">
        <f t="shared" si="75"/>
        <v>14:41:07.868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343</v>
      </c>
      <c r="CR144">
        <v>1</v>
      </c>
      <c r="CW144">
        <v>10513942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 t="shared" si="72"/>
        <v>05/12/2020 14:40:50.067</v>
      </c>
      <c r="C145" t="str">
        <f t="shared" si="46"/>
        <v>FFDFD3C0</v>
      </c>
      <c r="D145" t="s">
        <v>138</v>
      </c>
      <c r="E145">
        <v>3</v>
      </c>
      <c r="H145">
        <v>9</v>
      </c>
      <c r="I145" t="s">
        <v>140</v>
      </c>
      <c r="J145" t="s">
        <v>136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3"/>
        <v>14:41:07.867</v>
      </c>
      <c r="T145" t="str">
        <f t="shared" si="74"/>
        <v>14:41:07.667</v>
      </c>
      <c r="U145" t="str">
        <f t="shared" si="67"/>
        <v>A9808D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0</v>
      </c>
      <c r="AI145" t="s">
        <v>172</v>
      </c>
      <c r="AJ145">
        <v>28.232824999999998</v>
      </c>
      <c r="AK145" t="s">
        <v>173</v>
      </c>
      <c r="AL145">
        <v>-82.383298999999994</v>
      </c>
      <c r="AM145">
        <v>100</v>
      </c>
      <c r="AN145">
        <v>200</v>
      </c>
      <c r="AO145" t="s">
        <v>118</v>
      </c>
      <c r="AP145">
        <v>-19</v>
      </c>
      <c r="AQ145">
        <v>84</v>
      </c>
      <c r="AR145">
        <v>832</v>
      </c>
      <c r="AZ145">
        <v>1200</v>
      </c>
      <c r="BA145">
        <v>1</v>
      </c>
      <c r="BB145" t="str">
        <f t="shared" si="49"/>
        <v xml:space="preserve">N711JA  </v>
      </c>
      <c r="BC145">
        <v>1</v>
      </c>
      <c r="BE145">
        <v>0</v>
      </c>
      <c r="BF145">
        <v>0</v>
      </c>
      <c r="BG145">
        <v>0</v>
      </c>
      <c r="BH145">
        <v>325</v>
      </c>
      <c r="BI145">
        <v>1</v>
      </c>
      <c r="BJ145">
        <v>1</v>
      </c>
      <c r="BK145">
        <v>0</v>
      </c>
      <c r="BL145">
        <v>0</v>
      </c>
      <c r="BO145">
        <v>0</v>
      </c>
      <c r="BP145">
        <v>0</v>
      </c>
      <c r="BW145" t="str">
        <f t="shared" si="75"/>
        <v>14:41:07.868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343</v>
      </c>
      <c r="CR145">
        <v>1</v>
      </c>
      <c r="CW145">
        <v>10513942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si="72"/>
        <v>05/12/2020 14:40:50.067</v>
      </c>
      <c r="C146" t="str">
        <f t="shared" si="46"/>
        <v>FFDFD3C0</v>
      </c>
      <c r="D146" t="s">
        <v>138</v>
      </c>
      <c r="E146">
        <v>2</v>
      </c>
      <c r="H146">
        <v>8</v>
      </c>
      <c r="I146" t="s">
        <v>139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73"/>
        <v>14:41:07.867</v>
      </c>
      <c r="T146" t="str">
        <f t="shared" si="74"/>
        <v>14:41:07.667</v>
      </c>
      <c r="U146" t="str">
        <f t="shared" si="67"/>
        <v>A9808D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0</v>
      </c>
      <c r="AI146" t="s">
        <v>172</v>
      </c>
      <c r="AJ146">
        <v>28.232824999999998</v>
      </c>
      <c r="AK146" t="s">
        <v>173</v>
      </c>
      <c r="AL146">
        <v>-82.383298999999994</v>
      </c>
      <c r="AM146">
        <v>100</v>
      </c>
      <c r="AN146">
        <v>200</v>
      </c>
      <c r="AO146" t="s">
        <v>118</v>
      </c>
      <c r="AP146">
        <v>-19</v>
      </c>
      <c r="AQ146">
        <v>84</v>
      </c>
      <c r="AR146">
        <v>832</v>
      </c>
      <c r="AZ146">
        <v>1200</v>
      </c>
      <c r="BA146">
        <v>1</v>
      </c>
      <c r="BB146" t="str">
        <f t="shared" si="49"/>
        <v xml:space="preserve">N711JA  </v>
      </c>
      <c r="BC146">
        <v>1</v>
      </c>
      <c r="BE146">
        <v>0</v>
      </c>
      <c r="BF146">
        <v>0</v>
      </c>
      <c r="BG146">
        <v>0</v>
      </c>
      <c r="BH146">
        <v>325</v>
      </c>
      <c r="BI146">
        <v>1</v>
      </c>
      <c r="BJ146">
        <v>1</v>
      </c>
      <c r="BK146">
        <v>0</v>
      </c>
      <c r="BL146">
        <v>0</v>
      </c>
      <c r="BO146">
        <v>0</v>
      </c>
      <c r="BP146">
        <v>0</v>
      </c>
      <c r="BW146" t="str">
        <f t="shared" si="75"/>
        <v>14:41:07.868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343</v>
      </c>
      <c r="CR146">
        <v>1</v>
      </c>
      <c r="CW146">
        <v>10513942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72"/>
        <v>05/12/2020 14:40:50.067</v>
      </c>
      <c r="C147" t="str">
        <f t="shared" si="46"/>
        <v>FFDFD3C0</v>
      </c>
      <c r="D147" t="s">
        <v>126</v>
      </c>
      <c r="E147">
        <v>6</v>
      </c>
      <c r="F147">
        <v>1006</v>
      </c>
      <c r="G147" t="s">
        <v>114</v>
      </c>
      <c r="J147" t="s">
        <v>128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3"/>
        <v>14:41:07.867</v>
      </c>
      <c r="T147" t="str">
        <f t="shared" si="74"/>
        <v>14:41:07.667</v>
      </c>
      <c r="U147" t="str">
        <f t="shared" si="67"/>
        <v>A9808D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172</v>
      </c>
      <c r="AJ147">
        <v>28.232824999999998</v>
      </c>
      <c r="AK147" t="s">
        <v>173</v>
      </c>
      <c r="AL147">
        <v>-82.383298999999994</v>
      </c>
      <c r="AM147">
        <v>100</v>
      </c>
      <c r="AN147">
        <v>200</v>
      </c>
      <c r="AO147" t="s">
        <v>118</v>
      </c>
      <c r="AP147">
        <v>-19</v>
      </c>
      <c r="AQ147">
        <v>84</v>
      </c>
      <c r="AR147">
        <v>832</v>
      </c>
      <c r="AZ147">
        <v>1200</v>
      </c>
      <c r="BA147">
        <v>1</v>
      </c>
      <c r="BB147" t="str">
        <f t="shared" si="49"/>
        <v xml:space="preserve">N711JA  </v>
      </c>
      <c r="BC147">
        <v>1</v>
      </c>
      <c r="BE147">
        <v>0</v>
      </c>
      <c r="BF147">
        <v>0</v>
      </c>
      <c r="BG147">
        <v>0</v>
      </c>
      <c r="BH147">
        <v>325</v>
      </c>
      <c r="BI147">
        <v>1</v>
      </c>
      <c r="BJ147">
        <v>1</v>
      </c>
      <c r="BK147">
        <v>0</v>
      </c>
      <c r="BL147">
        <v>0</v>
      </c>
      <c r="BO147">
        <v>0</v>
      </c>
      <c r="BP147">
        <v>0</v>
      </c>
      <c r="BW147" t="str">
        <f t="shared" si="75"/>
        <v>14:41:07.868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343</v>
      </c>
      <c r="CR147">
        <v>1</v>
      </c>
      <c r="CW147">
        <v>10513942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 t="shared" si="72"/>
        <v>05/12/2020 14:40:50.067</v>
      </c>
      <c r="C148" t="str">
        <f t="shared" si="46"/>
        <v>FFDFD3C0</v>
      </c>
      <c r="D148" t="s">
        <v>126</v>
      </c>
      <c r="E148">
        <v>7</v>
      </c>
      <c r="F148">
        <v>1007</v>
      </c>
      <c r="G148" t="s">
        <v>127</v>
      </c>
      <c r="J148" t="s">
        <v>128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73"/>
        <v>14:41:07.867</v>
      </c>
      <c r="T148" t="str">
        <f t="shared" si="74"/>
        <v>14:41:07.667</v>
      </c>
      <c r="U148" t="str">
        <f t="shared" si="67"/>
        <v>A9808D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172</v>
      </c>
      <c r="AJ148">
        <v>28.232824999999998</v>
      </c>
      <c r="AK148" t="s">
        <v>173</v>
      </c>
      <c r="AL148">
        <v>-82.383298999999994</v>
      </c>
      <c r="AM148">
        <v>100</v>
      </c>
      <c r="AN148">
        <v>200</v>
      </c>
      <c r="AO148" t="s">
        <v>118</v>
      </c>
      <c r="AP148">
        <v>-19</v>
      </c>
      <c r="AQ148">
        <v>84</v>
      </c>
      <c r="AR148">
        <v>832</v>
      </c>
      <c r="AZ148">
        <v>1200</v>
      </c>
      <c r="BA148">
        <v>1</v>
      </c>
      <c r="BB148" t="str">
        <f t="shared" si="49"/>
        <v xml:space="preserve">N711JA  </v>
      </c>
      <c r="BC148">
        <v>1</v>
      </c>
      <c r="BE148">
        <v>0</v>
      </c>
      <c r="BF148">
        <v>0</v>
      </c>
      <c r="BG148">
        <v>0</v>
      </c>
      <c r="BH148">
        <v>325</v>
      </c>
      <c r="BI148">
        <v>1</v>
      </c>
      <c r="BJ148">
        <v>1</v>
      </c>
      <c r="BK148">
        <v>0</v>
      </c>
      <c r="BL148">
        <v>0</v>
      </c>
      <c r="BO148">
        <v>0</v>
      </c>
      <c r="BP148">
        <v>0</v>
      </c>
      <c r="BW148" t="str">
        <f t="shared" si="75"/>
        <v>14:41:07.868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343</v>
      </c>
      <c r="CR148">
        <v>1</v>
      </c>
      <c r="CW148">
        <v>10513942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 t="shared" ref="A149:A157" si="76">"05/12/2020 14:40:51.057"</f>
        <v>05/12/2020 14:40:51.057</v>
      </c>
      <c r="C149" t="str">
        <f t="shared" si="46"/>
        <v>FFDFD3C0</v>
      </c>
      <c r="D149" t="s">
        <v>126</v>
      </c>
      <c r="E149">
        <v>6</v>
      </c>
      <c r="F149">
        <v>1006</v>
      </c>
      <c r="G149" t="s">
        <v>114</v>
      </c>
      <c r="J149" t="s">
        <v>128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ref="S149:S157" si="77">"14:41:08.852"</f>
        <v>14:41:08.852</v>
      </c>
      <c r="T149" t="str">
        <f t="shared" ref="T149:T157" si="78">"14:41:08.752"</f>
        <v>14:41:08.752</v>
      </c>
      <c r="U149" t="str">
        <f t="shared" si="67"/>
        <v>A9808D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174</v>
      </c>
      <c r="AJ149">
        <v>28.23319</v>
      </c>
      <c r="AK149" t="s">
        <v>175</v>
      </c>
      <c r="AL149">
        <v>-82.383405999999994</v>
      </c>
      <c r="AM149">
        <v>100</v>
      </c>
      <c r="AN149">
        <v>300</v>
      </c>
      <c r="AO149" t="s">
        <v>118</v>
      </c>
      <c r="AP149">
        <v>-16</v>
      </c>
      <c r="AQ149">
        <v>85</v>
      </c>
      <c r="AR149">
        <v>704</v>
      </c>
      <c r="AZ149">
        <v>1200</v>
      </c>
      <c r="BA149">
        <v>1</v>
      </c>
      <c r="BB149" t="str">
        <f t="shared" si="49"/>
        <v xml:space="preserve">N711JA  </v>
      </c>
      <c r="BC149">
        <v>1</v>
      </c>
      <c r="BE149">
        <v>0</v>
      </c>
      <c r="BF149">
        <v>0</v>
      </c>
      <c r="BG149">
        <v>0</v>
      </c>
      <c r="BH149">
        <v>225</v>
      </c>
      <c r="BI149">
        <v>1</v>
      </c>
      <c r="BJ149">
        <v>1</v>
      </c>
      <c r="BK149">
        <v>0</v>
      </c>
      <c r="BL149">
        <v>0</v>
      </c>
      <c r="BO149">
        <v>0</v>
      </c>
      <c r="BP149">
        <v>0</v>
      </c>
      <c r="BW149" t="str">
        <f t="shared" ref="BW149:BW157" si="79">"14:41:08.858"</f>
        <v>14:41:08.858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343</v>
      </c>
      <c r="CR149">
        <v>1</v>
      </c>
      <c r="CW149">
        <v>10514920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 t="shared" si="76"/>
        <v>05/12/2020 14:40:51.057</v>
      </c>
      <c r="C150" t="str">
        <f t="shared" ref="C150:C213" si="80">"FFDFD3C0"</f>
        <v>FFDFD3C0</v>
      </c>
      <c r="D150" t="s">
        <v>138</v>
      </c>
      <c r="E150">
        <v>2</v>
      </c>
      <c r="H150">
        <v>8</v>
      </c>
      <c r="I150" t="s">
        <v>139</v>
      </c>
      <c r="J150" t="s">
        <v>136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77"/>
        <v>14:41:08.852</v>
      </c>
      <c r="T150" t="str">
        <f t="shared" si="78"/>
        <v>14:41:08.752</v>
      </c>
      <c r="U150" t="str">
        <f t="shared" si="67"/>
        <v>A9808D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0</v>
      </c>
      <c r="AI150" t="s">
        <v>174</v>
      </c>
      <c r="AJ150">
        <v>28.23319</v>
      </c>
      <c r="AK150" t="s">
        <v>175</v>
      </c>
      <c r="AL150">
        <v>-82.383405999999994</v>
      </c>
      <c r="AM150">
        <v>100</v>
      </c>
      <c r="AN150">
        <v>300</v>
      </c>
      <c r="AO150" t="s">
        <v>118</v>
      </c>
      <c r="AP150">
        <v>-16</v>
      </c>
      <c r="AQ150">
        <v>85</v>
      </c>
      <c r="AR150">
        <v>704</v>
      </c>
      <c r="AZ150">
        <v>1200</v>
      </c>
      <c r="BA150">
        <v>1</v>
      </c>
      <c r="BB150" t="str">
        <f t="shared" ref="BB150:BB213" si="81">"N711JA  "</f>
        <v xml:space="preserve">N711JA  </v>
      </c>
      <c r="BC150">
        <v>1</v>
      </c>
      <c r="BE150">
        <v>0</v>
      </c>
      <c r="BF150">
        <v>0</v>
      </c>
      <c r="BG150">
        <v>0</v>
      </c>
      <c r="BH150">
        <v>225</v>
      </c>
      <c r="BI150">
        <v>1</v>
      </c>
      <c r="BJ150">
        <v>1</v>
      </c>
      <c r="BK150">
        <v>0</v>
      </c>
      <c r="BL150">
        <v>0</v>
      </c>
      <c r="BO150">
        <v>0</v>
      </c>
      <c r="BP150">
        <v>0</v>
      </c>
      <c r="BW150" t="str">
        <f t="shared" si="79"/>
        <v>14:41:08.858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343</v>
      </c>
      <c r="CR150">
        <v>1</v>
      </c>
      <c r="CW150">
        <v>10514920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 t="shared" si="76"/>
        <v>05/12/2020 14:40:51.057</v>
      </c>
      <c r="C151" t="str">
        <f t="shared" si="80"/>
        <v>FFDFD3C0</v>
      </c>
      <c r="D151" t="s">
        <v>138</v>
      </c>
      <c r="E151">
        <v>3</v>
      </c>
      <c r="H151">
        <v>9</v>
      </c>
      <c r="I151" t="s">
        <v>140</v>
      </c>
      <c r="J151" t="s">
        <v>136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77"/>
        <v>14:41:08.852</v>
      </c>
      <c r="T151" t="str">
        <f t="shared" si="78"/>
        <v>14:41:08.752</v>
      </c>
      <c r="U151" t="str">
        <f t="shared" si="67"/>
        <v>A9808D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174</v>
      </c>
      <c r="AJ151">
        <v>28.23319</v>
      </c>
      <c r="AK151" t="s">
        <v>175</v>
      </c>
      <c r="AL151">
        <v>-82.383405999999994</v>
      </c>
      <c r="AM151">
        <v>100</v>
      </c>
      <c r="AN151">
        <v>300</v>
      </c>
      <c r="AO151" t="s">
        <v>118</v>
      </c>
      <c r="AP151">
        <v>-16</v>
      </c>
      <c r="AQ151">
        <v>85</v>
      </c>
      <c r="AR151">
        <v>704</v>
      </c>
      <c r="AZ151">
        <v>1200</v>
      </c>
      <c r="BA151">
        <v>1</v>
      </c>
      <c r="BB151" t="str">
        <f t="shared" si="81"/>
        <v xml:space="preserve">N711JA  </v>
      </c>
      <c r="BC151">
        <v>1</v>
      </c>
      <c r="BE151">
        <v>0</v>
      </c>
      <c r="BF151">
        <v>0</v>
      </c>
      <c r="BG151">
        <v>0</v>
      </c>
      <c r="BH151">
        <v>225</v>
      </c>
      <c r="BI151">
        <v>1</v>
      </c>
      <c r="BJ151">
        <v>1</v>
      </c>
      <c r="BK151">
        <v>0</v>
      </c>
      <c r="BL151">
        <v>0</v>
      </c>
      <c r="BO151">
        <v>0</v>
      </c>
      <c r="BP151">
        <v>0</v>
      </c>
      <c r="BW151" t="str">
        <f t="shared" si="79"/>
        <v>14:41:08.858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343</v>
      </c>
      <c r="CR151">
        <v>1</v>
      </c>
      <c r="CW151">
        <v>10514920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 t="shared" si="76"/>
        <v>05/12/2020 14:40:51.057</v>
      </c>
      <c r="C152" t="str">
        <f t="shared" si="80"/>
        <v>FFDFD3C0</v>
      </c>
      <c r="D152" t="s">
        <v>126</v>
      </c>
      <c r="E152">
        <v>7</v>
      </c>
      <c r="F152">
        <v>1007</v>
      </c>
      <c r="G152" t="s">
        <v>127</v>
      </c>
      <c r="J152" t="s">
        <v>128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77"/>
        <v>14:41:08.852</v>
      </c>
      <c r="T152" t="str">
        <f t="shared" si="78"/>
        <v>14:41:08.752</v>
      </c>
      <c r="U152" t="str">
        <f t="shared" si="67"/>
        <v>A9808D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174</v>
      </c>
      <c r="AJ152">
        <v>28.23319</v>
      </c>
      <c r="AK152" t="s">
        <v>175</v>
      </c>
      <c r="AL152">
        <v>-82.383405999999994</v>
      </c>
      <c r="AM152">
        <v>100</v>
      </c>
      <c r="AN152">
        <v>300</v>
      </c>
      <c r="AO152" t="s">
        <v>118</v>
      </c>
      <c r="AP152">
        <v>-16</v>
      </c>
      <c r="AQ152">
        <v>85</v>
      </c>
      <c r="AR152">
        <v>704</v>
      </c>
      <c r="AZ152">
        <v>1200</v>
      </c>
      <c r="BA152">
        <v>1</v>
      </c>
      <c r="BB152" t="str">
        <f t="shared" si="81"/>
        <v xml:space="preserve">N711JA  </v>
      </c>
      <c r="BC152">
        <v>1</v>
      </c>
      <c r="BE152">
        <v>0</v>
      </c>
      <c r="BF152">
        <v>0</v>
      </c>
      <c r="BG152">
        <v>0</v>
      </c>
      <c r="BH152">
        <v>225</v>
      </c>
      <c r="BI152">
        <v>1</v>
      </c>
      <c r="BJ152">
        <v>1</v>
      </c>
      <c r="BK152">
        <v>0</v>
      </c>
      <c r="BL152">
        <v>0</v>
      </c>
      <c r="BO152">
        <v>0</v>
      </c>
      <c r="BP152">
        <v>0</v>
      </c>
      <c r="BW152" t="str">
        <f t="shared" si="79"/>
        <v>14:41:08.858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343</v>
      </c>
      <c r="CR152">
        <v>1</v>
      </c>
      <c r="CW152">
        <v>10514920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 t="shared" si="76"/>
        <v>05/12/2020 14:40:51.057</v>
      </c>
      <c r="C153" t="str">
        <f t="shared" si="80"/>
        <v>FFDFD3C0</v>
      </c>
      <c r="D153" t="s">
        <v>131</v>
      </c>
      <c r="E153">
        <v>10</v>
      </c>
      <c r="F153">
        <v>2010</v>
      </c>
      <c r="G153" t="s">
        <v>132</v>
      </c>
      <c r="J153" t="s">
        <v>133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77"/>
        <v>14:41:08.852</v>
      </c>
      <c r="T153" t="str">
        <f t="shared" si="78"/>
        <v>14:41:08.752</v>
      </c>
      <c r="U153" t="str">
        <f t="shared" si="67"/>
        <v>A9808D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0</v>
      </c>
      <c r="AI153" t="s">
        <v>174</v>
      </c>
      <c r="AJ153">
        <v>28.23319</v>
      </c>
      <c r="AK153" t="s">
        <v>175</v>
      </c>
      <c r="AL153">
        <v>-82.383405999999994</v>
      </c>
      <c r="AM153">
        <v>100</v>
      </c>
      <c r="AN153">
        <v>300</v>
      </c>
      <c r="AO153" t="s">
        <v>118</v>
      </c>
      <c r="AP153">
        <v>-16</v>
      </c>
      <c r="AQ153">
        <v>85</v>
      </c>
      <c r="AR153">
        <v>704</v>
      </c>
      <c r="AZ153">
        <v>1200</v>
      </c>
      <c r="BA153">
        <v>1</v>
      </c>
      <c r="BB153" t="str">
        <f t="shared" si="81"/>
        <v xml:space="preserve">N711JA  </v>
      </c>
      <c r="BC153">
        <v>1</v>
      </c>
      <c r="BE153">
        <v>0</v>
      </c>
      <c r="BF153">
        <v>0</v>
      </c>
      <c r="BG153">
        <v>0</v>
      </c>
      <c r="BH153">
        <v>225</v>
      </c>
      <c r="BI153">
        <v>1</v>
      </c>
      <c r="BJ153">
        <v>1</v>
      </c>
      <c r="BK153">
        <v>0</v>
      </c>
      <c r="BL153">
        <v>0</v>
      </c>
      <c r="BO153">
        <v>0</v>
      </c>
      <c r="BP153">
        <v>0</v>
      </c>
      <c r="BW153" t="str">
        <f t="shared" si="79"/>
        <v>14:41:08.858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343</v>
      </c>
      <c r="CR153">
        <v>1</v>
      </c>
      <c r="CW153">
        <v>10514920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 t="shared" si="76"/>
        <v>05/12/2020 14:40:51.057</v>
      </c>
      <c r="C154" t="str">
        <f t="shared" si="80"/>
        <v>FFDFD3C0</v>
      </c>
      <c r="D154" t="s">
        <v>131</v>
      </c>
      <c r="E154">
        <v>18</v>
      </c>
      <c r="F154">
        <v>2018</v>
      </c>
      <c r="G154" t="s">
        <v>161</v>
      </c>
      <c r="J154" t="s">
        <v>133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77"/>
        <v>14:41:08.852</v>
      </c>
      <c r="T154" t="str">
        <f t="shared" si="78"/>
        <v>14:41:08.752</v>
      </c>
      <c r="U154" t="str">
        <f t="shared" si="67"/>
        <v>A9808D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174</v>
      </c>
      <c r="AJ154">
        <v>28.23319</v>
      </c>
      <c r="AK154" t="s">
        <v>175</v>
      </c>
      <c r="AL154">
        <v>-82.383405999999994</v>
      </c>
      <c r="AM154">
        <v>100</v>
      </c>
      <c r="AN154">
        <v>300</v>
      </c>
      <c r="AO154" t="s">
        <v>118</v>
      </c>
      <c r="AP154">
        <v>-16</v>
      </c>
      <c r="AQ154">
        <v>85</v>
      </c>
      <c r="AR154">
        <v>704</v>
      </c>
      <c r="AZ154">
        <v>1200</v>
      </c>
      <c r="BA154">
        <v>1</v>
      </c>
      <c r="BB154" t="str">
        <f t="shared" si="81"/>
        <v xml:space="preserve">N711JA  </v>
      </c>
      <c r="BC154">
        <v>1</v>
      </c>
      <c r="BE154">
        <v>0</v>
      </c>
      <c r="BF154">
        <v>0</v>
      </c>
      <c r="BG154">
        <v>0</v>
      </c>
      <c r="BH154">
        <v>225</v>
      </c>
      <c r="BI154">
        <v>1</v>
      </c>
      <c r="BJ154">
        <v>1</v>
      </c>
      <c r="BK154">
        <v>0</v>
      </c>
      <c r="BL154">
        <v>0</v>
      </c>
      <c r="BO154">
        <v>0</v>
      </c>
      <c r="BP154">
        <v>0</v>
      </c>
      <c r="BW154" t="str">
        <f t="shared" si="79"/>
        <v>14:41:08.858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343</v>
      </c>
      <c r="CR154">
        <v>1</v>
      </c>
      <c r="CW154">
        <v>10514920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 t="shared" si="76"/>
        <v>05/12/2020 14:40:51.057</v>
      </c>
      <c r="C155" t="str">
        <f t="shared" si="80"/>
        <v>FFDFD3C0</v>
      </c>
      <c r="D155" t="s">
        <v>131</v>
      </c>
      <c r="E155">
        <v>12</v>
      </c>
      <c r="F155">
        <v>2012</v>
      </c>
      <c r="G155" t="s">
        <v>137</v>
      </c>
      <c r="J155" t="s">
        <v>133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77"/>
        <v>14:41:08.852</v>
      </c>
      <c r="T155" t="str">
        <f t="shared" si="78"/>
        <v>14:41:08.752</v>
      </c>
      <c r="U155" t="str">
        <f t="shared" si="67"/>
        <v>A9808D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174</v>
      </c>
      <c r="AJ155">
        <v>28.23319</v>
      </c>
      <c r="AK155" t="s">
        <v>175</v>
      </c>
      <c r="AL155">
        <v>-82.383405999999994</v>
      </c>
      <c r="AM155">
        <v>100</v>
      </c>
      <c r="AN155">
        <v>300</v>
      </c>
      <c r="AO155" t="s">
        <v>118</v>
      </c>
      <c r="AP155">
        <v>-16</v>
      </c>
      <c r="AQ155">
        <v>85</v>
      </c>
      <c r="AR155">
        <v>704</v>
      </c>
      <c r="AZ155">
        <v>1200</v>
      </c>
      <c r="BA155">
        <v>1</v>
      </c>
      <c r="BB155" t="str">
        <f t="shared" si="81"/>
        <v xml:space="preserve">N711JA  </v>
      </c>
      <c r="BC155">
        <v>1</v>
      </c>
      <c r="BE155">
        <v>0</v>
      </c>
      <c r="BF155">
        <v>0</v>
      </c>
      <c r="BG155">
        <v>0</v>
      </c>
      <c r="BH155">
        <v>225</v>
      </c>
      <c r="BI155">
        <v>1</v>
      </c>
      <c r="BJ155">
        <v>1</v>
      </c>
      <c r="BK155">
        <v>0</v>
      </c>
      <c r="BL155">
        <v>0</v>
      </c>
      <c r="BO155">
        <v>0</v>
      </c>
      <c r="BP155">
        <v>0</v>
      </c>
      <c r="BW155" t="str">
        <f t="shared" si="79"/>
        <v>14:41:08.858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343</v>
      </c>
      <c r="CR155">
        <v>1</v>
      </c>
      <c r="CW155">
        <v>10514920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 t="shared" si="76"/>
        <v>05/12/2020 14:40:51.057</v>
      </c>
      <c r="C156" t="str">
        <f t="shared" si="80"/>
        <v>FFDFD3C0</v>
      </c>
      <c r="D156" t="s">
        <v>113</v>
      </c>
      <c r="E156">
        <v>3</v>
      </c>
      <c r="H156">
        <v>164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77"/>
        <v>14:41:08.852</v>
      </c>
      <c r="T156" t="str">
        <f t="shared" si="78"/>
        <v>14:41:08.752</v>
      </c>
      <c r="U156" t="str">
        <f t="shared" si="67"/>
        <v>A9808D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174</v>
      </c>
      <c r="AJ156">
        <v>28.23319</v>
      </c>
      <c r="AK156" t="s">
        <v>175</v>
      </c>
      <c r="AL156">
        <v>-82.383405999999994</v>
      </c>
      <c r="AM156">
        <v>100</v>
      </c>
      <c r="AN156">
        <v>300</v>
      </c>
      <c r="AO156" t="s">
        <v>118</v>
      </c>
      <c r="AP156">
        <v>-16</v>
      </c>
      <c r="AQ156">
        <v>85</v>
      </c>
      <c r="AR156">
        <v>704</v>
      </c>
      <c r="AZ156">
        <v>1200</v>
      </c>
      <c r="BA156">
        <v>1</v>
      </c>
      <c r="BB156" t="str">
        <f t="shared" si="81"/>
        <v xml:space="preserve">N711JA  </v>
      </c>
      <c r="BC156">
        <v>1</v>
      </c>
      <c r="BE156">
        <v>0</v>
      </c>
      <c r="BF156">
        <v>0</v>
      </c>
      <c r="BG156">
        <v>0</v>
      </c>
      <c r="BH156">
        <v>225</v>
      </c>
      <c r="BI156">
        <v>1</v>
      </c>
      <c r="BJ156">
        <v>1</v>
      </c>
      <c r="BK156">
        <v>0</v>
      </c>
      <c r="BL156">
        <v>0</v>
      </c>
      <c r="BO156">
        <v>0</v>
      </c>
      <c r="BP156">
        <v>0</v>
      </c>
      <c r="BW156" t="str">
        <f t="shared" si="79"/>
        <v>14:41:08.858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343</v>
      </c>
      <c r="CR156">
        <v>1</v>
      </c>
      <c r="CW156">
        <v>10514920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 t="shared" si="76"/>
        <v>05/12/2020 14:40:51.057</v>
      </c>
      <c r="C157" t="str">
        <f t="shared" si="80"/>
        <v>FFDFD3C0</v>
      </c>
      <c r="D157" t="s">
        <v>134</v>
      </c>
      <c r="E157">
        <v>12</v>
      </c>
      <c r="H157">
        <v>64</v>
      </c>
      <c r="I157" t="s">
        <v>135</v>
      </c>
      <c r="J157" t="s">
        <v>136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77"/>
        <v>14:41:08.852</v>
      </c>
      <c r="T157" t="str">
        <f t="shared" si="78"/>
        <v>14:41:08.752</v>
      </c>
      <c r="U157" t="str">
        <f t="shared" si="67"/>
        <v>A9808D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174</v>
      </c>
      <c r="AJ157">
        <v>28.23319</v>
      </c>
      <c r="AK157" t="s">
        <v>175</v>
      </c>
      <c r="AL157">
        <v>-82.383405999999994</v>
      </c>
      <c r="AM157">
        <v>100</v>
      </c>
      <c r="AN157">
        <v>300</v>
      </c>
      <c r="AO157" t="s">
        <v>118</v>
      </c>
      <c r="AP157">
        <v>-16</v>
      </c>
      <c r="AQ157">
        <v>85</v>
      </c>
      <c r="AR157">
        <v>704</v>
      </c>
      <c r="AZ157">
        <v>1200</v>
      </c>
      <c r="BA157">
        <v>1</v>
      </c>
      <c r="BB157" t="str">
        <f t="shared" si="81"/>
        <v xml:space="preserve">N711JA  </v>
      </c>
      <c r="BC157">
        <v>1</v>
      </c>
      <c r="BE157">
        <v>0</v>
      </c>
      <c r="BF157">
        <v>0</v>
      </c>
      <c r="BG157">
        <v>0</v>
      </c>
      <c r="BH157">
        <v>225</v>
      </c>
      <c r="BI157">
        <v>1</v>
      </c>
      <c r="BJ157">
        <v>1</v>
      </c>
      <c r="BK157">
        <v>0</v>
      </c>
      <c r="BL157">
        <v>0</v>
      </c>
      <c r="BO157">
        <v>0</v>
      </c>
      <c r="BP157">
        <v>0</v>
      </c>
      <c r="BW157" t="str">
        <f t="shared" si="79"/>
        <v>14:41:08.858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343</v>
      </c>
      <c r="CR157">
        <v>1</v>
      </c>
      <c r="CW157">
        <v>10514920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 t="shared" ref="A158:A166" si="82">"05/12/2020 14:40:52.031"</f>
        <v>05/12/2020 14:40:52.031</v>
      </c>
      <c r="C158" t="str">
        <f t="shared" si="80"/>
        <v>FFDFD3C0</v>
      </c>
      <c r="D158" t="s">
        <v>131</v>
      </c>
      <c r="E158">
        <v>18</v>
      </c>
      <c r="F158">
        <v>2018</v>
      </c>
      <c r="G158" t="s">
        <v>161</v>
      </c>
      <c r="J158" t="s">
        <v>133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ref="S158:T166" si="83">"14:41:09.867"</f>
        <v>14:41:09.867</v>
      </c>
      <c r="T158" t="str">
        <f t="shared" si="83"/>
        <v>14:41:09.867</v>
      </c>
      <c r="U158" t="str">
        <f t="shared" si="67"/>
        <v>A9808D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176</v>
      </c>
      <c r="AJ158">
        <v>28.233597</v>
      </c>
      <c r="AK158" t="s">
        <v>177</v>
      </c>
      <c r="AL158">
        <v>-82.383448999999999</v>
      </c>
      <c r="AM158">
        <v>100</v>
      </c>
      <c r="AN158">
        <v>300</v>
      </c>
      <c r="AO158" t="s">
        <v>118</v>
      </c>
      <c r="AP158">
        <v>-11</v>
      </c>
      <c r="AQ158">
        <v>84</v>
      </c>
      <c r="AR158">
        <v>896</v>
      </c>
      <c r="AZ158">
        <v>1200</v>
      </c>
      <c r="BA158">
        <v>1</v>
      </c>
      <c r="BB158" t="str">
        <f t="shared" si="81"/>
        <v xml:space="preserve">N711JA  </v>
      </c>
      <c r="BC158">
        <v>1</v>
      </c>
      <c r="BE158">
        <v>0</v>
      </c>
      <c r="BF158">
        <v>0</v>
      </c>
      <c r="BG158">
        <v>0</v>
      </c>
      <c r="BH158">
        <v>350</v>
      </c>
      <c r="BI158">
        <v>1</v>
      </c>
      <c r="BJ158">
        <v>1</v>
      </c>
      <c r="BK158">
        <v>0</v>
      </c>
      <c r="BL158">
        <v>0</v>
      </c>
      <c r="BO158">
        <v>0</v>
      </c>
      <c r="BP158">
        <v>0</v>
      </c>
      <c r="BW158" t="str">
        <f t="shared" ref="BW158:BW166" si="84">"14:41:09.874"</f>
        <v>14:41:09.874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343</v>
      </c>
      <c r="CR158">
        <v>1</v>
      </c>
      <c r="CW158">
        <v>10516010</v>
      </c>
      <c r="CY158">
        <v>1</v>
      </c>
      <c r="CZ158">
        <v>0</v>
      </c>
      <c r="DA158">
        <v>0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 t="shared" si="82"/>
        <v>05/12/2020 14:40:52.031</v>
      </c>
      <c r="C159" t="str">
        <f t="shared" si="80"/>
        <v>FFDFD3C0</v>
      </c>
      <c r="D159" t="s">
        <v>131</v>
      </c>
      <c r="E159">
        <v>10</v>
      </c>
      <c r="F159">
        <v>2010</v>
      </c>
      <c r="G159" t="s">
        <v>132</v>
      </c>
      <c r="J159" t="s">
        <v>133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83"/>
        <v>14:41:09.867</v>
      </c>
      <c r="T159" t="str">
        <f t="shared" si="83"/>
        <v>14:41:09.867</v>
      </c>
      <c r="U159" t="str">
        <f t="shared" si="67"/>
        <v>A9808D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176</v>
      </c>
      <c r="AJ159">
        <v>28.233597</v>
      </c>
      <c r="AK159" t="s">
        <v>177</v>
      </c>
      <c r="AL159">
        <v>-82.383448999999999</v>
      </c>
      <c r="AM159">
        <v>100</v>
      </c>
      <c r="AN159">
        <v>300</v>
      </c>
      <c r="AO159" t="s">
        <v>118</v>
      </c>
      <c r="AP159">
        <v>-11</v>
      </c>
      <c r="AQ159">
        <v>84</v>
      </c>
      <c r="AR159">
        <v>896</v>
      </c>
      <c r="AZ159">
        <v>1200</v>
      </c>
      <c r="BA159">
        <v>1</v>
      </c>
      <c r="BB159" t="str">
        <f t="shared" si="81"/>
        <v xml:space="preserve">N711JA  </v>
      </c>
      <c r="BC159">
        <v>1</v>
      </c>
      <c r="BE159">
        <v>0</v>
      </c>
      <c r="BF159">
        <v>0</v>
      </c>
      <c r="BG159">
        <v>0</v>
      </c>
      <c r="BH159">
        <v>350</v>
      </c>
      <c r="BI159">
        <v>1</v>
      </c>
      <c r="BJ159">
        <v>1</v>
      </c>
      <c r="BK159">
        <v>0</v>
      </c>
      <c r="BL159">
        <v>0</v>
      </c>
      <c r="BO159">
        <v>0</v>
      </c>
      <c r="BP159">
        <v>0</v>
      </c>
      <c r="BW159" t="str">
        <f t="shared" si="84"/>
        <v>14:41:09.874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343</v>
      </c>
      <c r="CR159">
        <v>1</v>
      </c>
      <c r="CW159">
        <v>10516010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 t="shared" si="82"/>
        <v>05/12/2020 14:40:52.031</v>
      </c>
      <c r="C160" t="str">
        <f t="shared" si="80"/>
        <v>FFDFD3C0</v>
      </c>
      <c r="D160" t="s">
        <v>131</v>
      </c>
      <c r="E160">
        <v>12</v>
      </c>
      <c r="F160">
        <v>2012</v>
      </c>
      <c r="G160" t="s">
        <v>137</v>
      </c>
      <c r="J160" t="s">
        <v>133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3"/>
        <v>14:41:09.867</v>
      </c>
      <c r="T160" t="str">
        <f t="shared" si="83"/>
        <v>14:41:09.867</v>
      </c>
      <c r="U160" t="str">
        <f t="shared" si="67"/>
        <v>A9808D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0</v>
      </c>
      <c r="AI160" t="s">
        <v>176</v>
      </c>
      <c r="AJ160">
        <v>28.233597</v>
      </c>
      <c r="AK160" t="s">
        <v>177</v>
      </c>
      <c r="AL160">
        <v>-82.383448999999999</v>
      </c>
      <c r="AM160">
        <v>100</v>
      </c>
      <c r="AN160">
        <v>300</v>
      </c>
      <c r="AO160" t="s">
        <v>118</v>
      </c>
      <c r="AP160">
        <v>-11</v>
      </c>
      <c r="AQ160">
        <v>84</v>
      </c>
      <c r="AR160">
        <v>896</v>
      </c>
      <c r="AZ160">
        <v>1200</v>
      </c>
      <c r="BA160">
        <v>1</v>
      </c>
      <c r="BB160" t="str">
        <f t="shared" si="81"/>
        <v xml:space="preserve">N711JA  </v>
      </c>
      <c r="BC160">
        <v>1</v>
      </c>
      <c r="BE160">
        <v>0</v>
      </c>
      <c r="BF160">
        <v>0</v>
      </c>
      <c r="BG160">
        <v>0</v>
      </c>
      <c r="BH160">
        <v>350</v>
      </c>
      <c r="BI160">
        <v>1</v>
      </c>
      <c r="BJ160">
        <v>1</v>
      </c>
      <c r="BK160">
        <v>0</v>
      </c>
      <c r="BL160">
        <v>0</v>
      </c>
      <c r="BO160">
        <v>0</v>
      </c>
      <c r="BP160">
        <v>0</v>
      </c>
      <c r="BW160" t="str">
        <f t="shared" si="84"/>
        <v>14:41:09.874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343</v>
      </c>
      <c r="CR160">
        <v>1</v>
      </c>
      <c r="CW160">
        <v>10516010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 t="shared" si="82"/>
        <v>05/12/2020 14:40:52.031</v>
      </c>
      <c r="C161" t="str">
        <f t="shared" si="80"/>
        <v>FFDFD3C0</v>
      </c>
      <c r="D161" t="s">
        <v>113</v>
      </c>
      <c r="E161">
        <v>3</v>
      </c>
      <c r="H161">
        <v>164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83"/>
        <v>14:41:09.867</v>
      </c>
      <c r="T161" t="str">
        <f t="shared" si="83"/>
        <v>14:41:09.867</v>
      </c>
      <c r="U161" t="str">
        <f t="shared" si="67"/>
        <v>A9808D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0</v>
      </c>
      <c r="AI161" t="s">
        <v>176</v>
      </c>
      <c r="AJ161">
        <v>28.233597</v>
      </c>
      <c r="AK161" t="s">
        <v>177</v>
      </c>
      <c r="AL161">
        <v>-82.383448999999999</v>
      </c>
      <c r="AM161">
        <v>100</v>
      </c>
      <c r="AN161">
        <v>300</v>
      </c>
      <c r="AO161" t="s">
        <v>118</v>
      </c>
      <c r="AP161">
        <v>-11</v>
      </c>
      <c r="AQ161">
        <v>84</v>
      </c>
      <c r="AR161">
        <v>896</v>
      </c>
      <c r="AZ161">
        <v>1200</v>
      </c>
      <c r="BA161">
        <v>1</v>
      </c>
      <c r="BB161" t="str">
        <f t="shared" si="81"/>
        <v xml:space="preserve">N711JA  </v>
      </c>
      <c r="BC161">
        <v>1</v>
      </c>
      <c r="BE161">
        <v>0</v>
      </c>
      <c r="BF161">
        <v>0</v>
      </c>
      <c r="BG161">
        <v>0</v>
      </c>
      <c r="BH161">
        <v>350</v>
      </c>
      <c r="BI161">
        <v>1</v>
      </c>
      <c r="BJ161">
        <v>1</v>
      </c>
      <c r="BK161">
        <v>0</v>
      </c>
      <c r="BL161">
        <v>0</v>
      </c>
      <c r="BO161">
        <v>0</v>
      </c>
      <c r="BP161">
        <v>0</v>
      </c>
      <c r="BW161" t="str">
        <f t="shared" si="84"/>
        <v>14:41:09.874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343</v>
      </c>
      <c r="CR161">
        <v>1</v>
      </c>
      <c r="CW161">
        <v>10516010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 t="shared" si="82"/>
        <v>05/12/2020 14:40:52.031</v>
      </c>
      <c r="C162" t="str">
        <f t="shared" si="80"/>
        <v>FFDFD3C0</v>
      </c>
      <c r="D162" t="s">
        <v>134</v>
      </c>
      <c r="E162">
        <v>12</v>
      </c>
      <c r="H162">
        <v>64</v>
      </c>
      <c r="I162" t="s">
        <v>135</v>
      </c>
      <c r="J162" t="s">
        <v>136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83"/>
        <v>14:41:09.867</v>
      </c>
      <c r="T162" t="str">
        <f t="shared" si="83"/>
        <v>14:41:09.867</v>
      </c>
      <c r="U162" t="str">
        <f t="shared" si="67"/>
        <v>A9808D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176</v>
      </c>
      <c r="AJ162">
        <v>28.233597</v>
      </c>
      <c r="AK162" t="s">
        <v>177</v>
      </c>
      <c r="AL162">
        <v>-82.383448999999999</v>
      </c>
      <c r="AM162">
        <v>100</v>
      </c>
      <c r="AN162">
        <v>300</v>
      </c>
      <c r="AO162" t="s">
        <v>118</v>
      </c>
      <c r="AP162">
        <v>-11</v>
      </c>
      <c r="AQ162">
        <v>84</v>
      </c>
      <c r="AR162">
        <v>896</v>
      </c>
      <c r="AZ162">
        <v>1200</v>
      </c>
      <c r="BA162">
        <v>1</v>
      </c>
      <c r="BB162" t="str">
        <f t="shared" si="81"/>
        <v xml:space="preserve">N711JA  </v>
      </c>
      <c r="BC162">
        <v>1</v>
      </c>
      <c r="BE162">
        <v>0</v>
      </c>
      <c r="BF162">
        <v>0</v>
      </c>
      <c r="BG162">
        <v>0</v>
      </c>
      <c r="BH162">
        <v>350</v>
      </c>
      <c r="BI162">
        <v>1</v>
      </c>
      <c r="BJ162">
        <v>1</v>
      </c>
      <c r="BK162">
        <v>0</v>
      </c>
      <c r="BL162">
        <v>0</v>
      </c>
      <c r="BO162">
        <v>0</v>
      </c>
      <c r="BP162">
        <v>0</v>
      </c>
      <c r="BW162" t="str">
        <f t="shared" si="84"/>
        <v>14:41:09.874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343</v>
      </c>
      <c r="CR162">
        <v>1</v>
      </c>
      <c r="CW162">
        <v>10516010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 t="shared" si="82"/>
        <v>05/12/2020 14:40:52.031</v>
      </c>
      <c r="C163" t="str">
        <f t="shared" si="80"/>
        <v>FFDFD3C0</v>
      </c>
      <c r="D163" t="s">
        <v>126</v>
      </c>
      <c r="E163">
        <v>6</v>
      </c>
      <c r="F163">
        <v>1006</v>
      </c>
      <c r="G163" t="s">
        <v>114</v>
      </c>
      <c r="J163" t="s">
        <v>128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83"/>
        <v>14:41:09.867</v>
      </c>
      <c r="T163" t="str">
        <f t="shared" si="83"/>
        <v>14:41:09.867</v>
      </c>
      <c r="U163" t="str">
        <f t="shared" si="67"/>
        <v>A9808D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176</v>
      </c>
      <c r="AJ163">
        <v>28.233597</v>
      </c>
      <c r="AK163" t="s">
        <v>177</v>
      </c>
      <c r="AL163">
        <v>-82.383448999999999</v>
      </c>
      <c r="AM163">
        <v>100</v>
      </c>
      <c r="AN163">
        <v>300</v>
      </c>
      <c r="AO163" t="s">
        <v>118</v>
      </c>
      <c r="AP163">
        <v>-11</v>
      </c>
      <c r="AQ163">
        <v>84</v>
      </c>
      <c r="AR163">
        <v>896</v>
      </c>
      <c r="AZ163">
        <v>1200</v>
      </c>
      <c r="BA163">
        <v>1</v>
      </c>
      <c r="BB163" t="str">
        <f t="shared" si="81"/>
        <v xml:space="preserve">N711JA  </v>
      </c>
      <c r="BC163">
        <v>1</v>
      </c>
      <c r="BE163">
        <v>0</v>
      </c>
      <c r="BF163">
        <v>0</v>
      </c>
      <c r="BG163">
        <v>0</v>
      </c>
      <c r="BH163">
        <v>350</v>
      </c>
      <c r="BI163">
        <v>1</v>
      </c>
      <c r="BJ163">
        <v>1</v>
      </c>
      <c r="BK163">
        <v>0</v>
      </c>
      <c r="BL163">
        <v>0</v>
      </c>
      <c r="BO163">
        <v>0</v>
      </c>
      <c r="BP163">
        <v>0</v>
      </c>
      <c r="BW163" t="str">
        <f t="shared" si="84"/>
        <v>14:41:09.874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343</v>
      </c>
      <c r="CR163">
        <v>1</v>
      </c>
      <c r="CW163">
        <v>10516010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 t="shared" si="82"/>
        <v>05/12/2020 14:40:52.031</v>
      </c>
      <c r="C164" t="str">
        <f t="shared" si="80"/>
        <v>FFDFD3C0</v>
      </c>
      <c r="D164" t="s">
        <v>138</v>
      </c>
      <c r="E164">
        <v>2</v>
      </c>
      <c r="H164">
        <v>8</v>
      </c>
      <c r="I164" t="s">
        <v>139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83"/>
        <v>14:41:09.867</v>
      </c>
      <c r="T164" t="str">
        <f t="shared" si="83"/>
        <v>14:41:09.867</v>
      </c>
      <c r="U164" t="str">
        <f t="shared" si="67"/>
        <v>A9808D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176</v>
      </c>
      <c r="AJ164">
        <v>28.233597</v>
      </c>
      <c r="AK164" t="s">
        <v>177</v>
      </c>
      <c r="AL164">
        <v>-82.383448999999999</v>
      </c>
      <c r="AM164">
        <v>100</v>
      </c>
      <c r="AN164">
        <v>300</v>
      </c>
      <c r="AO164" t="s">
        <v>118</v>
      </c>
      <c r="AP164">
        <v>-11</v>
      </c>
      <c r="AQ164">
        <v>84</v>
      </c>
      <c r="AR164">
        <v>896</v>
      </c>
      <c r="AZ164">
        <v>1200</v>
      </c>
      <c r="BA164">
        <v>1</v>
      </c>
      <c r="BB164" t="str">
        <f t="shared" si="81"/>
        <v xml:space="preserve">N711JA  </v>
      </c>
      <c r="BC164">
        <v>1</v>
      </c>
      <c r="BE164">
        <v>0</v>
      </c>
      <c r="BF164">
        <v>0</v>
      </c>
      <c r="BG164">
        <v>0</v>
      </c>
      <c r="BH164">
        <v>350</v>
      </c>
      <c r="BI164">
        <v>1</v>
      </c>
      <c r="BJ164">
        <v>1</v>
      </c>
      <c r="BK164">
        <v>0</v>
      </c>
      <c r="BL164">
        <v>0</v>
      </c>
      <c r="BO164">
        <v>0</v>
      </c>
      <c r="BP164">
        <v>0</v>
      </c>
      <c r="BW164" t="str">
        <f t="shared" si="84"/>
        <v>14:41:09.874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343</v>
      </c>
      <c r="CR164">
        <v>1</v>
      </c>
      <c r="CW164">
        <v>10516010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 t="shared" si="82"/>
        <v>05/12/2020 14:40:52.031</v>
      </c>
      <c r="C165" t="str">
        <f t="shared" si="80"/>
        <v>FFDFD3C0</v>
      </c>
      <c r="D165" t="s">
        <v>138</v>
      </c>
      <c r="E165">
        <v>3</v>
      </c>
      <c r="H165">
        <v>9</v>
      </c>
      <c r="I165" t="s">
        <v>140</v>
      </c>
      <c r="J165" t="s">
        <v>136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83"/>
        <v>14:41:09.867</v>
      </c>
      <c r="T165" t="str">
        <f t="shared" si="83"/>
        <v>14:41:09.867</v>
      </c>
      <c r="U165" t="str">
        <f t="shared" si="67"/>
        <v>A9808D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176</v>
      </c>
      <c r="AJ165">
        <v>28.233597</v>
      </c>
      <c r="AK165" t="s">
        <v>177</v>
      </c>
      <c r="AL165">
        <v>-82.383448999999999</v>
      </c>
      <c r="AM165">
        <v>100</v>
      </c>
      <c r="AN165">
        <v>300</v>
      </c>
      <c r="AO165" t="s">
        <v>118</v>
      </c>
      <c r="AP165">
        <v>-11</v>
      </c>
      <c r="AQ165">
        <v>84</v>
      </c>
      <c r="AR165">
        <v>896</v>
      </c>
      <c r="AZ165">
        <v>1200</v>
      </c>
      <c r="BA165">
        <v>1</v>
      </c>
      <c r="BB165" t="str">
        <f t="shared" si="81"/>
        <v xml:space="preserve">N711JA  </v>
      </c>
      <c r="BC165">
        <v>1</v>
      </c>
      <c r="BE165">
        <v>0</v>
      </c>
      <c r="BF165">
        <v>0</v>
      </c>
      <c r="BG165">
        <v>0</v>
      </c>
      <c r="BH165">
        <v>350</v>
      </c>
      <c r="BI165">
        <v>1</v>
      </c>
      <c r="BJ165">
        <v>1</v>
      </c>
      <c r="BK165">
        <v>0</v>
      </c>
      <c r="BL165">
        <v>0</v>
      </c>
      <c r="BO165">
        <v>0</v>
      </c>
      <c r="BP165">
        <v>0</v>
      </c>
      <c r="BW165" t="str">
        <f t="shared" si="84"/>
        <v>14:41:09.874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343</v>
      </c>
      <c r="CR165">
        <v>1</v>
      </c>
      <c r="CW165">
        <v>10516010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 t="shared" si="82"/>
        <v>05/12/2020 14:40:52.031</v>
      </c>
      <c r="C166" t="str">
        <f t="shared" si="80"/>
        <v>FFDFD3C0</v>
      </c>
      <c r="D166" t="s">
        <v>126</v>
      </c>
      <c r="E166">
        <v>7</v>
      </c>
      <c r="F166">
        <v>1007</v>
      </c>
      <c r="G166" t="s">
        <v>127</v>
      </c>
      <c r="J166" t="s">
        <v>128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83"/>
        <v>14:41:09.867</v>
      </c>
      <c r="T166" t="str">
        <f t="shared" si="83"/>
        <v>14:41:09.867</v>
      </c>
      <c r="U166" t="str">
        <f t="shared" si="67"/>
        <v>A9808D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176</v>
      </c>
      <c r="AJ166">
        <v>28.233597</v>
      </c>
      <c r="AK166" t="s">
        <v>177</v>
      </c>
      <c r="AL166">
        <v>-82.383448999999999</v>
      </c>
      <c r="AM166">
        <v>100</v>
      </c>
      <c r="AN166">
        <v>300</v>
      </c>
      <c r="AO166" t="s">
        <v>118</v>
      </c>
      <c r="AP166">
        <v>-11</v>
      </c>
      <c r="AQ166">
        <v>84</v>
      </c>
      <c r="AR166">
        <v>896</v>
      </c>
      <c r="AZ166">
        <v>1200</v>
      </c>
      <c r="BA166">
        <v>1</v>
      </c>
      <c r="BB166" t="str">
        <f t="shared" si="81"/>
        <v xml:space="preserve">N711JA  </v>
      </c>
      <c r="BC166">
        <v>1</v>
      </c>
      <c r="BE166">
        <v>0</v>
      </c>
      <c r="BF166">
        <v>0</v>
      </c>
      <c r="BG166">
        <v>0</v>
      </c>
      <c r="BH166">
        <v>350</v>
      </c>
      <c r="BI166">
        <v>1</v>
      </c>
      <c r="BJ166">
        <v>1</v>
      </c>
      <c r="BK166">
        <v>0</v>
      </c>
      <c r="BL166">
        <v>0</v>
      </c>
      <c r="BO166">
        <v>0</v>
      </c>
      <c r="BP166">
        <v>0</v>
      </c>
      <c r="BW166" t="str">
        <f t="shared" si="84"/>
        <v>14:41:09.874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343</v>
      </c>
      <c r="CR166">
        <v>1</v>
      </c>
      <c r="CW166">
        <v>10516010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 t="shared" ref="A167:A175" si="85">"05/12/2020 14:40:53.015"</f>
        <v>05/12/2020 14:40:53.015</v>
      </c>
      <c r="C167" t="str">
        <f t="shared" si="80"/>
        <v>FFDFD3C0</v>
      </c>
      <c r="D167" t="s">
        <v>113</v>
      </c>
      <c r="E167">
        <v>3</v>
      </c>
      <c r="H167">
        <v>164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ref="S167:T175" si="86">"14:41:10.844"</f>
        <v>14:41:10.844</v>
      </c>
      <c r="T167" t="str">
        <f t="shared" si="86"/>
        <v>14:41:10.844</v>
      </c>
      <c r="U167" t="str">
        <f t="shared" si="67"/>
        <v>A9808D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0</v>
      </c>
      <c r="AI167" t="s">
        <v>178</v>
      </c>
      <c r="AJ167">
        <v>28.233984</v>
      </c>
      <c r="AK167" t="s">
        <v>179</v>
      </c>
      <c r="AL167">
        <v>-82.383512999999994</v>
      </c>
      <c r="AM167">
        <v>100</v>
      </c>
      <c r="AN167">
        <v>300</v>
      </c>
      <c r="AO167" t="s">
        <v>118</v>
      </c>
      <c r="AP167">
        <v>-8</v>
      </c>
      <c r="AQ167">
        <v>84</v>
      </c>
      <c r="AR167">
        <v>960</v>
      </c>
      <c r="AZ167">
        <v>1200</v>
      </c>
      <c r="BA167">
        <v>1</v>
      </c>
      <c r="BB167" t="str">
        <f t="shared" si="81"/>
        <v xml:space="preserve">N711JA  </v>
      </c>
      <c r="BC167">
        <v>1</v>
      </c>
      <c r="BE167">
        <v>0</v>
      </c>
      <c r="BF167">
        <v>0</v>
      </c>
      <c r="BG167">
        <v>0</v>
      </c>
      <c r="BH167">
        <v>350</v>
      </c>
      <c r="BI167">
        <v>1</v>
      </c>
      <c r="BJ167">
        <v>1</v>
      </c>
      <c r="BK167">
        <v>0</v>
      </c>
      <c r="BL167">
        <v>0</v>
      </c>
      <c r="BO167">
        <v>0</v>
      </c>
      <c r="BP167">
        <v>0</v>
      </c>
      <c r="BW167" t="str">
        <f t="shared" ref="BW167:BW175" si="87">"14:41:10.849"</f>
        <v>14:41:10.849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343</v>
      </c>
      <c r="CR167">
        <v>1</v>
      </c>
      <c r="CW167">
        <v>10517116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 t="shared" si="85"/>
        <v>05/12/2020 14:40:53.015</v>
      </c>
      <c r="C168" t="str">
        <f t="shared" si="80"/>
        <v>FFDFD3C0</v>
      </c>
      <c r="D168" t="s">
        <v>126</v>
      </c>
      <c r="E168">
        <v>6</v>
      </c>
      <c r="F168">
        <v>1006</v>
      </c>
      <c r="G168" t="s">
        <v>114</v>
      </c>
      <c r="J168" t="s">
        <v>128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86"/>
        <v>14:41:10.844</v>
      </c>
      <c r="T168" t="str">
        <f t="shared" si="86"/>
        <v>14:41:10.844</v>
      </c>
      <c r="U168" t="str">
        <f t="shared" si="67"/>
        <v>A9808D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178</v>
      </c>
      <c r="AJ168">
        <v>28.233984</v>
      </c>
      <c r="AK168" t="s">
        <v>179</v>
      </c>
      <c r="AL168">
        <v>-82.383512999999994</v>
      </c>
      <c r="AM168">
        <v>100</v>
      </c>
      <c r="AN168">
        <v>300</v>
      </c>
      <c r="AO168" t="s">
        <v>118</v>
      </c>
      <c r="AP168">
        <v>-8</v>
      </c>
      <c r="AQ168">
        <v>84</v>
      </c>
      <c r="AR168">
        <v>960</v>
      </c>
      <c r="AZ168">
        <v>1200</v>
      </c>
      <c r="BA168">
        <v>1</v>
      </c>
      <c r="BB168" t="str">
        <f t="shared" si="81"/>
        <v xml:space="preserve">N711JA  </v>
      </c>
      <c r="BC168">
        <v>1</v>
      </c>
      <c r="BE168">
        <v>0</v>
      </c>
      <c r="BF168">
        <v>0</v>
      </c>
      <c r="BG168">
        <v>0</v>
      </c>
      <c r="BH168">
        <v>350</v>
      </c>
      <c r="BI168">
        <v>1</v>
      </c>
      <c r="BJ168">
        <v>1</v>
      </c>
      <c r="BK168">
        <v>0</v>
      </c>
      <c r="BL168">
        <v>0</v>
      </c>
      <c r="BO168">
        <v>0</v>
      </c>
      <c r="BP168">
        <v>0</v>
      </c>
      <c r="BW168" t="str">
        <f t="shared" si="87"/>
        <v>14:41:10.849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343</v>
      </c>
      <c r="CR168">
        <v>1</v>
      </c>
      <c r="CW168">
        <v>10517116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 t="shared" si="85"/>
        <v>05/12/2020 14:40:53.015</v>
      </c>
      <c r="C169" t="str">
        <f t="shared" si="80"/>
        <v>FFDFD3C0</v>
      </c>
      <c r="D169" t="s">
        <v>134</v>
      </c>
      <c r="E169">
        <v>12</v>
      </c>
      <c r="H169">
        <v>64</v>
      </c>
      <c r="I169" t="s">
        <v>135</v>
      </c>
      <c r="J169" t="s">
        <v>136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86"/>
        <v>14:41:10.844</v>
      </c>
      <c r="T169" t="str">
        <f t="shared" si="86"/>
        <v>14:41:10.844</v>
      </c>
      <c r="U169" t="str">
        <f t="shared" si="67"/>
        <v>A9808D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178</v>
      </c>
      <c r="AJ169">
        <v>28.233984</v>
      </c>
      <c r="AK169" t="s">
        <v>179</v>
      </c>
      <c r="AL169">
        <v>-82.383512999999994</v>
      </c>
      <c r="AM169">
        <v>100</v>
      </c>
      <c r="AN169">
        <v>300</v>
      </c>
      <c r="AO169" t="s">
        <v>118</v>
      </c>
      <c r="AP169">
        <v>-8</v>
      </c>
      <c r="AQ169">
        <v>84</v>
      </c>
      <c r="AR169">
        <v>960</v>
      </c>
      <c r="AZ169">
        <v>1200</v>
      </c>
      <c r="BA169">
        <v>1</v>
      </c>
      <c r="BB169" t="str">
        <f t="shared" si="81"/>
        <v xml:space="preserve">N711JA  </v>
      </c>
      <c r="BC169">
        <v>1</v>
      </c>
      <c r="BE169">
        <v>0</v>
      </c>
      <c r="BF169">
        <v>0</v>
      </c>
      <c r="BG169">
        <v>0</v>
      </c>
      <c r="BH169">
        <v>350</v>
      </c>
      <c r="BI169">
        <v>1</v>
      </c>
      <c r="BJ169">
        <v>1</v>
      </c>
      <c r="BK169">
        <v>0</v>
      </c>
      <c r="BL169">
        <v>0</v>
      </c>
      <c r="BO169">
        <v>0</v>
      </c>
      <c r="BP169">
        <v>0</v>
      </c>
      <c r="BW169" t="str">
        <f t="shared" si="87"/>
        <v>14:41:10.849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343</v>
      </c>
      <c r="CR169">
        <v>1</v>
      </c>
      <c r="CW169">
        <v>10517116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 t="shared" si="85"/>
        <v>05/12/2020 14:40:53.015</v>
      </c>
      <c r="C170" t="str">
        <f t="shared" si="80"/>
        <v>FFDFD3C0</v>
      </c>
      <c r="D170" t="s">
        <v>131</v>
      </c>
      <c r="E170">
        <v>10</v>
      </c>
      <c r="F170">
        <v>2010</v>
      </c>
      <c r="G170" t="s">
        <v>132</v>
      </c>
      <c r="J170" t="s">
        <v>133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86"/>
        <v>14:41:10.844</v>
      </c>
      <c r="T170" t="str">
        <f t="shared" si="86"/>
        <v>14:41:10.844</v>
      </c>
      <c r="U170" t="str">
        <f t="shared" si="67"/>
        <v>A9808D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178</v>
      </c>
      <c r="AJ170">
        <v>28.233984</v>
      </c>
      <c r="AK170" t="s">
        <v>179</v>
      </c>
      <c r="AL170">
        <v>-82.383512999999994</v>
      </c>
      <c r="AM170">
        <v>100</v>
      </c>
      <c r="AN170">
        <v>300</v>
      </c>
      <c r="AO170" t="s">
        <v>118</v>
      </c>
      <c r="AP170">
        <v>-8</v>
      </c>
      <c r="AQ170">
        <v>84</v>
      </c>
      <c r="AR170">
        <v>960</v>
      </c>
      <c r="AZ170">
        <v>1200</v>
      </c>
      <c r="BA170">
        <v>1</v>
      </c>
      <c r="BB170" t="str">
        <f t="shared" si="81"/>
        <v xml:space="preserve">N711JA  </v>
      </c>
      <c r="BC170">
        <v>1</v>
      </c>
      <c r="BE170">
        <v>0</v>
      </c>
      <c r="BF170">
        <v>0</v>
      </c>
      <c r="BG170">
        <v>0</v>
      </c>
      <c r="BH170">
        <v>350</v>
      </c>
      <c r="BI170">
        <v>1</v>
      </c>
      <c r="BJ170">
        <v>1</v>
      </c>
      <c r="BK170">
        <v>0</v>
      </c>
      <c r="BL170">
        <v>0</v>
      </c>
      <c r="BO170">
        <v>0</v>
      </c>
      <c r="BP170">
        <v>0</v>
      </c>
      <c r="BW170" t="str">
        <f t="shared" si="87"/>
        <v>14:41:10.849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343</v>
      </c>
      <c r="CR170">
        <v>1</v>
      </c>
      <c r="CW170">
        <v>10517116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 t="shared" si="85"/>
        <v>05/12/2020 14:40:53.015</v>
      </c>
      <c r="C171" t="str">
        <f t="shared" si="80"/>
        <v>FFDFD3C0</v>
      </c>
      <c r="D171" t="s">
        <v>126</v>
      </c>
      <c r="E171">
        <v>7</v>
      </c>
      <c r="F171">
        <v>1007</v>
      </c>
      <c r="G171" t="s">
        <v>127</v>
      </c>
      <c r="J171" t="s">
        <v>128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86"/>
        <v>14:41:10.844</v>
      </c>
      <c r="T171" t="str">
        <f t="shared" si="86"/>
        <v>14:41:10.844</v>
      </c>
      <c r="U171" t="str">
        <f t="shared" si="67"/>
        <v>A9808D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0</v>
      </c>
      <c r="AI171" t="s">
        <v>178</v>
      </c>
      <c r="AJ171">
        <v>28.233984</v>
      </c>
      <c r="AK171" t="s">
        <v>179</v>
      </c>
      <c r="AL171">
        <v>-82.383512999999994</v>
      </c>
      <c r="AM171">
        <v>100</v>
      </c>
      <c r="AN171">
        <v>300</v>
      </c>
      <c r="AO171" t="s">
        <v>118</v>
      </c>
      <c r="AP171">
        <v>-8</v>
      </c>
      <c r="AQ171">
        <v>84</v>
      </c>
      <c r="AR171">
        <v>960</v>
      </c>
      <c r="AZ171">
        <v>1200</v>
      </c>
      <c r="BA171">
        <v>1</v>
      </c>
      <c r="BB171" t="str">
        <f t="shared" si="81"/>
        <v xml:space="preserve">N711JA  </v>
      </c>
      <c r="BC171">
        <v>1</v>
      </c>
      <c r="BE171">
        <v>0</v>
      </c>
      <c r="BF171">
        <v>0</v>
      </c>
      <c r="BG171">
        <v>0</v>
      </c>
      <c r="BH171">
        <v>350</v>
      </c>
      <c r="BI171">
        <v>1</v>
      </c>
      <c r="BJ171">
        <v>1</v>
      </c>
      <c r="BK171">
        <v>0</v>
      </c>
      <c r="BL171">
        <v>0</v>
      </c>
      <c r="BO171">
        <v>0</v>
      </c>
      <c r="BP171">
        <v>0</v>
      </c>
      <c r="BW171" t="str">
        <f t="shared" si="87"/>
        <v>14:41:10.849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343</v>
      </c>
      <c r="CR171">
        <v>1</v>
      </c>
      <c r="CW171">
        <v>10517116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 t="shared" si="85"/>
        <v>05/12/2020 14:40:53.015</v>
      </c>
      <c r="C172" t="str">
        <f t="shared" si="80"/>
        <v>FFDFD3C0</v>
      </c>
      <c r="D172" t="s">
        <v>131</v>
      </c>
      <c r="E172">
        <v>18</v>
      </c>
      <c r="F172">
        <v>2018</v>
      </c>
      <c r="G172" t="s">
        <v>161</v>
      </c>
      <c r="J172" t="s">
        <v>133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86"/>
        <v>14:41:10.844</v>
      </c>
      <c r="T172" t="str">
        <f t="shared" si="86"/>
        <v>14:41:10.844</v>
      </c>
      <c r="U172" t="str">
        <f t="shared" si="67"/>
        <v>A9808D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178</v>
      </c>
      <c r="AJ172">
        <v>28.233984</v>
      </c>
      <c r="AK172" t="s">
        <v>179</v>
      </c>
      <c r="AL172">
        <v>-82.383512999999994</v>
      </c>
      <c r="AM172">
        <v>100</v>
      </c>
      <c r="AN172">
        <v>300</v>
      </c>
      <c r="AO172" t="s">
        <v>118</v>
      </c>
      <c r="AP172">
        <v>-8</v>
      </c>
      <c r="AQ172">
        <v>84</v>
      </c>
      <c r="AR172">
        <v>960</v>
      </c>
      <c r="AZ172">
        <v>1200</v>
      </c>
      <c r="BA172">
        <v>1</v>
      </c>
      <c r="BB172" t="str">
        <f t="shared" si="81"/>
        <v xml:space="preserve">N711JA  </v>
      </c>
      <c r="BC172">
        <v>1</v>
      </c>
      <c r="BE172">
        <v>0</v>
      </c>
      <c r="BF172">
        <v>0</v>
      </c>
      <c r="BG172">
        <v>0</v>
      </c>
      <c r="BH172">
        <v>350</v>
      </c>
      <c r="BI172">
        <v>1</v>
      </c>
      <c r="BJ172">
        <v>1</v>
      </c>
      <c r="BK172">
        <v>0</v>
      </c>
      <c r="BL172">
        <v>0</v>
      </c>
      <c r="BO172">
        <v>0</v>
      </c>
      <c r="BP172">
        <v>0</v>
      </c>
      <c r="BW172" t="str">
        <f t="shared" si="87"/>
        <v>14:41:10.849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343</v>
      </c>
      <c r="CR172">
        <v>1</v>
      </c>
      <c r="CW172">
        <v>10517116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 t="shared" si="85"/>
        <v>05/12/2020 14:40:53.015</v>
      </c>
      <c r="C173" t="str">
        <f t="shared" si="80"/>
        <v>FFDFD3C0</v>
      </c>
      <c r="D173" t="s">
        <v>138</v>
      </c>
      <c r="E173">
        <v>3</v>
      </c>
      <c r="H173">
        <v>9</v>
      </c>
      <c r="I173" t="s">
        <v>140</v>
      </c>
      <c r="J173" t="s">
        <v>136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86"/>
        <v>14:41:10.844</v>
      </c>
      <c r="T173" t="str">
        <f t="shared" si="86"/>
        <v>14:41:10.844</v>
      </c>
      <c r="U173" t="str">
        <f t="shared" si="67"/>
        <v>A9808D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178</v>
      </c>
      <c r="AJ173">
        <v>28.233984</v>
      </c>
      <c r="AK173" t="s">
        <v>179</v>
      </c>
      <c r="AL173">
        <v>-82.383512999999994</v>
      </c>
      <c r="AM173">
        <v>100</v>
      </c>
      <c r="AN173">
        <v>300</v>
      </c>
      <c r="AO173" t="s">
        <v>118</v>
      </c>
      <c r="AP173">
        <v>-8</v>
      </c>
      <c r="AQ173">
        <v>84</v>
      </c>
      <c r="AR173">
        <v>960</v>
      </c>
      <c r="AZ173">
        <v>1200</v>
      </c>
      <c r="BA173">
        <v>1</v>
      </c>
      <c r="BB173" t="str">
        <f t="shared" si="81"/>
        <v xml:space="preserve">N711JA  </v>
      </c>
      <c r="BC173">
        <v>1</v>
      </c>
      <c r="BE173">
        <v>0</v>
      </c>
      <c r="BF173">
        <v>0</v>
      </c>
      <c r="BG173">
        <v>0</v>
      </c>
      <c r="BH173">
        <v>350</v>
      </c>
      <c r="BI173">
        <v>1</v>
      </c>
      <c r="BJ173">
        <v>1</v>
      </c>
      <c r="BK173">
        <v>0</v>
      </c>
      <c r="BL173">
        <v>0</v>
      </c>
      <c r="BO173">
        <v>0</v>
      </c>
      <c r="BP173">
        <v>0</v>
      </c>
      <c r="BW173" t="str">
        <f t="shared" si="87"/>
        <v>14:41:10.849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343</v>
      </c>
      <c r="CR173">
        <v>1</v>
      </c>
      <c r="CW173">
        <v>10517116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 t="shared" si="85"/>
        <v>05/12/2020 14:40:53.015</v>
      </c>
      <c r="C174" t="str">
        <f t="shared" si="80"/>
        <v>FFDFD3C0</v>
      </c>
      <c r="D174" t="s">
        <v>138</v>
      </c>
      <c r="E174">
        <v>2</v>
      </c>
      <c r="H174">
        <v>8</v>
      </c>
      <c r="I174" t="s">
        <v>139</v>
      </c>
      <c r="J174" t="s">
        <v>136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86"/>
        <v>14:41:10.844</v>
      </c>
      <c r="T174" t="str">
        <f t="shared" si="86"/>
        <v>14:41:10.844</v>
      </c>
      <c r="U174" t="str">
        <f t="shared" si="67"/>
        <v>A9808D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0</v>
      </c>
      <c r="AI174" t="s">
        <v>178</v>
      </c>
      <c r="AJ174">
        <v>28.233984</v>
      </c>
      <c r="AK174" t="s">
        <v>179</v>
      </c>
      <c r="AL174">
        <v>-82.383512999999994</v>
      </c>
      <c r="AM174">
        <v>100</v>
      </c>
      <c r="AN174">
        <v>300</v>
      </c>
      <c r="AO174" t="s">
        <v>118</v>
      </c>
      <c r="AP174">
        <v>-8</v>
      </c>
      <c r="AQ174">
        <v>84</v>
      </c>
      <c r="AR174">
        <v>960</v>
      </c>
      <c r="AZ174">
        <v>1200</v>
      </c>
      <c r="BA174">
        <v>1</v>
      </c>
      <c r="BB174" t="str">
        <f t="shared" si="81"/>
        <v xml:space="preserve">N711JA  </v>
      </c>
      <c r="BC174">
        <v>1</v>
      </c>
      <c r="BE174">
        <v>0</v>
      </c>
      <c r="BF174">
        <v>0</v>
      </c>
      <c r="BG174">
        <v>0</v>
      </c>
      <c r="BH174">
        <v>350</v>
      </c>
      <c r="BI174">
        <v>1</v>
      </c>
      <c r="BJ174">
        <v>1</v>
      </c>
      <c r="BK174">
        <v>0</v>
      </c>
      <c r="BL174">
        <v>0</v>
      </c>
      <c r="BO174">
        <v>0</v>
      </c>
      <c r="BP174">
        <v>0</v>
      </c>
      <c r="BW174" t="str">
        <f t="shared" si="87"/>
        <v>14:41:10.849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343</v>
      </c>
      <c r="CR174">
        <v>1</v>
      </c>
      <c r="CW174">
        <v>10517116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 t="shared" si="85"/>
        <v>05/12/2020 14:40:53.015</v>
      </c>
      <c r="C175" t="str">
        <f t="shared" si="80"/>
        <v>FFDFD3C0</v>
      </c>
      <c r="D175" t="s">
        <v>131</v>
      </c>
      <c r="E175">
        <v>12</v>
      </c>
      <c r="F175">
        <v>2012</v>
      </c>
      <c r="G175" t="s">
        <v>137</v>
      </c>
      <c r="J175" t="s">
        <v>133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86"/>
        <v>14:41:10.844</v>
      </c>
      <c r="T175" t="str">
        <f t="shared" si="86"/>
        <v>14:41:10.844</v>
      </c>
      <c r="U175" t="str">
        <f t="shared" si="67"/>
        <v>A9808D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178</v>
      </c>
      <c r="AJ175">
        <v>28.233984</v>
      </c>
      <c r="AK175" t="s">
        <v>179</v>
      </c>
      <c r="AL175">
        <v>-82.383512999999994</v>
      </c>
      <c r="AM175">
        <v>100</v>
      </c>
      <c r="AN175">
        <v>300</v>
      </c>
      <c r="AO175" t="s">
        <v>118</v>
      </c>
      <c r="AP175">
        <v>-8</v>
      </c>
      <c r="AQ175">
        <v>84</v>
      </c>
      <c r="AR175">
        <v>960</v>
      </c>
      <c r="AZ175">
        <v>1200</v>
      </c>
      <c r="BA175">
        <v>1</v>
      </c>
      <c r="BB175" t="str">
        <f t="shared" si="81"/>
        <v xml:space="preserve">N711JA  </v>
      </c>
      <c r="BC175">
        <v>1</v>
      </c>
      <c r="BE175">
        <v>0</v>
      </c>
      <c r="BF175">
        <v>0</v>
      </c>
      <c r="BG175">
        <v>0</v>
      </c>
      <c r="BH175">
        <v>350</v>
      </c>
      <c r="BI175">
        <v>1</v>
      </c>
      <c r="BJ175">
        <v>1</v>
      </c>
      <c r="BK175">
        <v>0</v>
      </c>
      <c r="BL175">
        <v>0</v>
      </c>
      <c r="BO175">
        <v>0</v>
      </c>
      <c r="BP175">
        <v>0</v>
      </c>
      <c r="BW175" t="str">
        <f t="shared" si="87"/>
        <v>14:41:10.849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343</v>
      </c>
      <c r="CR175">
        <v>1</v>
      </c>
      <c r="CW175">
        <v>10517116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 t="shared" ref="A176:A184" si="88">"05/12/2020 14:40:54.042"</f>
        <v>05/12/2020 14:40:54.042</v>
      </c>
      <c r="C176" t="str">
        <f t="shared" si="80"/>
        <v>FFDFD3C0</v>
      </c>
      <c r="D176" t="s">
        <v>131</v>
      </c>
      <c r="E176">
        <v>10</v>
      </c>
      <c r="F176">
        <v>2010</v>
      </c>
      <c r="G176" t="s">
        <v>132</v>
      </c>
      <c r="J176" t="s">
        <v>133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ref="S176:S184" si="89">"14:41:11.883"</f>
        <v>14:41:11.883</v>
      </c>
      <c r="T176" t="str">
        <f t="shared" ref="T176:T184" si="90">"14:41:11.783"</f>
        <v>14:41:11.783</v>
      </c>
      <c r="U176" t="str">
        <f t="shared" si="67"/>
        <v>A9808D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180</v>
      </c>
      <c r="AJ176">
        <v>28.234390999999999</v>
      </c>
      <c r="AK176" t="s">
        <v>179</v>
      </c>
      <c r="AL176">
        <v>-82.383512999999994</v>
      </c>
      <c r="AM176">
        <v>100</v>
      </c>
      <c r="AN176">
        <v>300</v>
      </c>
      <c r="AO176" t="s">
        <v>118</v>
      </c>
      <c r="AP176">
        <v>-6</v>
      </c>
      <c r="AQ176">
        <v>84</v>
      </c>
      <c r="AR176">
        <v>960</v>
      </c>
      <c r="AZ176">
        <v>1200</v>
      </c>
      <c r="BA176">
        <v>1</v>
      </c>
      <c r="BB176" t="str">
        <f t="shared" si="81"/>
        <v xml:space="preserve">N711JA  </v>
      </c>
      <c r="BC176">
        <v>1</v>
      </c>
      <c r="BE176">
        <v>0</v>
      </c>
      <c r="BF176">
        <v>0</v>
      </c>
      <c r="BG176">
        <v>0</v>
      </c>
      <c r="BH176">
        <v>375</v>
      </c>
      <c r="BI176">
        <v>1</v>
      </c>
      <c r="BJ176">
        <v>1</v>
      </c>
      <c r="BK176">
        <v>0</v>
      </c>
      <c r="BL176">
        <v>0</v>
      </c>
      <c r="BO176">
        <v>0</v>
      </c>
      <c r="BP176">
        <v>0</v>
      </c>
      <c r="BW176" t="str">
        <f t="shared" ref="BW176:BW184" si="91">"14:41:11.885"</f>
        <v>14:41:11.885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343</v>
      </c>
      <c r="CR176">
        <v>1</v>
      </c>
      <c r="CW176">
        <v>10518218</v>
      </c>
      <c r="CY176">
        <v>1</v>
      </c>
      <c r="CZ176">
        <v>0</v>
      </c>
      <c r="DA176">
        <v>0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 t="shared" si="88"/>
        <v>05/12/2020 14:40:54.042</v>
      </c>
      <c r="C177" t="str">
        <f t="shared" si="80"/>
        <v>FFDFD3C0</v>
      </c>
      <c r="D177" t="s">
        <v>131</v>
      </c>
      <c r="E177">
        <v>18</v>
      </c>
      <c r="F177">
        <v>2018</v>
      </c>
      <c r="G177" t="s">
        <v>161</v>
      </c>
      <c r="J177" t="s">
        <v>133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89"/>
        <v>14:41:11.883</v>
      </c>
      <c r="T177" t="str">
        <f t="shared" si="90"/>
        <v>14:41:11.783</v>
      </c>
      <c r="U177" t="str">
        <f t="shared" si="67"/>
        <v>A9808D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0</v>
      </c>
      <c r="AI177" t="s">
        <v>180</v>
      </c>
      <c r="AJ177">
        <v>28.234390999999999</v>
      </c>
      <c r="AK177" t="s">
        <v>179</v>
      </c>
      <c r="AL177">
        <v>-82.383512999999994</v>
      </c>
      <c r="AM177">
        <v>100</v>
      </c>
      <c r="AN177">
        <v>300</v>
      </c>
      <c r="AO177" t="s">
        <v>118</v>
      </c>
      <c r="AP177">
        <v>-6</v>
      </c>
      <c r="AQ177">
        <v>84</v>
      </c>
      <c r="AR177">
        <v>960</v>
      </c>
      <c r="AZ177">
        <v>1200</v>
      </c>
      <c r="BA177">
        <v>1</v>
      </c>
      <c r="BB177" t="str">
        <f t="shared" si="81"/>
        <v xml:space="preserve">N711JA  </v>
      </c>
      <c r="BC177">
        <v>1</v>
      </c>
      <c r="BE177">
        <v>0</v>
      </c>
      <c r="BF177">
        <v>0</v>
      </c>
      <c r="BG177">
        <v>0</v>
      </c>
      <c r="BH177">
        <v>375</v>
      </c>
      <c r="BI177">
        <v>1</v>
      </c>
      <c r="BJ177">
        <v>1</v>
      </c>
      <c r="BK177">
        <v>0</v>
      </c>
      <c r="BL177">
        <v>0</v>
      </c>
      <c r="BO177">
        <v>0</v>
      </c>
      <c r="BP177">
        <v>0</v>
      </c>
      <c r="BW177" t="str">
        <f t="shared" si="91"/>
        <v>14:41:11.885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343</v>
      </c>
      <c r="CR177">
        <v>1</v>
      </c>
      <c r="CW177">
        <v>10518218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 t="shared" si="88"/>
        <v>05/12/2020 14:40:54.042</v>
      </c>
      <c r="C178" t="str">
        <f t="shared" si="80"/>
        <v>FFDFD3C0</v>
      </c>
      <c r="D178" t="s">
        <v>126</v>
      </c>
      <c r="E178">
        <v>7</v>
      </c>
      <c r="F178">
        <v>1007</v>
      </c>
      <c r="G178" t="s">
        <v>127</v>
      </c>
      <c r="J178" t="s">
        <v>128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89"/>
        <v>14:41:11.883</v>
      </c>
      <c r="T178" t="str">
        <f t="shared" si="90"/>
        <v>14:41:11.783</v>
      </c>
      <c r="U178" t="str">
        <f t="shared" si="67"/>
        <v>A9808D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180</v>
      </c>
      <c r="AJ178">
        <v>28.234390999999999</v>
      </c>
      <c r="AK178" t="s">
        <v>179</v>
      </c>
      <c r="AL178">
        <v>-82.383512999999994</v>
      </c>
      <c r="AM178">
        <v>100</v>
      </c>
      <c r="AN178">
        <v>300</v>
      </c>
      <c r="AO178" t="s">
        <v>118</v>
      </c>
      <c r="AP178">
        <v>-6</v>
      </c>
      <c r="AQ178">
        <v>84</v>
      </c>
      <c r="AR178">
        <v>960</v>
      </c>
      <c r="AZ178">
        <v>1200</v>
      </c>
      <c r="BA178">
        <v>1</v>
      </c>
      <c r="BB178" t="str">
        <f t="shared" si="81"/>
        <v xml:space="preserve">N711JA  </v>
      </c>
      <c r="BC178">
        <v>1</v>
      </c>
      <c r="BE178">
        <v>0</v>
      </c>
      <c r="BF178">
        <v>0</v>
      </c>
      <c r="BG178">
        <v>0</v>
      </c>
      <c r="BH178">
        <v>375</v>
      </c>
      <c r="BI178">
        <v>1</v>
      </c>
      <c r="BJ178">
        <v>1</v>
      </c>
      <c r="BK178">
        <v>0</v>
      </c>
      <c r="BL178">
        <v>0</v>
      </c>
      <c r="BO178">
        <v>0</v>
      </c>
      <c r="BP178">
        <v>0</v>
      </c>
      <c r="BW178" t="str">
        <f t="shared" si="91"/>
        <v>14:41:11.885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343</v>
      </c>
      <c r="CR178">
        <v>1</v>
      </c>
      <c r="CW178">
        <v>10518218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 t="shared" si="88"/>
        <v>05/12/2020 14:40:54.042</v>
      </c>
      <c r="C179" t="str">
        <f t="shared" si="80"/>
        <v>FFDFD3C0</v>
      </c>
      <c r="D179" t="s">
        <v>138</v>
      </c>
      <c r="E179">
        <v>2</v>
      </c>
      <c r="H179">
        <v>8</v>
      </c>
      <c r="I179" t="s">
        <v>139</v>
      </c>
      <c r="J179" t="s">
        <v>136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89"/>
        <v>14:41:11.883</v>
      </c>
      <c r="T179" t="str">
        <f t="shared" si="90"/>
        <v>14:41:11.783</v>
      </c>
      <c r="U179" t="str">
        <f t="shared" si="67"/>
        <v>A9808D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180</v>
      </c>
      <c r="AJ179">
        <v>28.234390999999999</v>
      </c>
      <c r="AK179" t="s">
        <v>179</v>
      </c>
      <c r="AL179">
        <v>-82.383512999999994</v>
      </c>
      <c r="AM179">
        <v>100</v>
      </c>
      <c r="AN179">
        <v>300</v>
      </c>
      <c r="AO179" t="s">
        <v>118</v>
      </c>
      <c r="AP179">
        <v>-6</v>
      </c>
      <c r="AQ179">
        <v>84</v>
      </c>
      <c r="AR179">
        <v>960</v>
      </c>
      <c r="AZ179">
        <v>1200</v>
      </c>
      <c r="BA179">
        <v>1</v>
      </c>
      <c r="BB179" t="str">
        <f t="shared" si="81"/>
        <v xml:space="preserve">N711JA  </v>
      </c>
      <c r="BC179">
        <v>1</v>
      </c>
      <c r="BE179">
        <v>0</v>
      </c>
      <c r="BF179">
        <v>0</v>
      </c>
      <c r="BG179">
        <v>0</v>
      </c>
      <c r="BH179">
        <v>375</v>
      </c>
      <c r="BI179">
        <v>1</v>
      </c>
      <c r="BJ179">
        <v>1</v>
      </c>
      <c r="BK179">
        <v>0</v>
      </c>
      <c r="BL179">
        <v>0</v>
      </c>
      <c r="BO179">
        <v>0</v>
      </c>
      <c r="BP179">
        <v>0</v>
      </c>
      <c r="BW179" t="str">
        <f t="shared" si="91"/>
        <v>14:41:11.885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343</v>
      </c>
      <c r="CR179">
        <v>1</v>
      </c>
      <c r="CW179">
        <v>10518218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 t="shared" si="88"/>
        <v>05/12/2020 14:40:54.042</v>
      </c>
      <c r="C180" t="str">
        <f t="shared" si="80"/>
        <v>FFDFD3C0</v>
      </c>
      <c r="D180" t="s">
        <v>138</v>
      </c>
      <c r="E180">
        <v>3</v>
      </c>
      <c r="H180">
        <v>9</v>
      </c>
      <c r="I180" t="s">
        <v>140</v>
      </c>
      <c r="J180" t="s">
        <v>136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89"/>
        <v>14:41:11.883</v>
      </c>
      <c r="T180" t="str">
        <f t="shared" si="90"/>
        <v>14:41:11.783</v>
      </c>
      <c r="U180" t="str">
        <f t="shared" si="67"/>
        <v>A9808D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180</v>
      </c>
      <c r="AJ180">
        <v>28.234390999999999</v>
      </c>
      <c r="AK180" t="s">
        <v>179</v>
      </c>
      <c r="AL180">
        <v>-82.383512999999994</v>
      </c>
      <c r="AM180">
        <v>100</v>
      </c>
      <c r="AN180">
        <v>300</v>
      </c>
      <c r="AO180" t="s">
        <v>118</v>
      </c>
      <c r="AP180">
        <v>-6</v>
      </c>
      <c r="AQ180">
        <v>84</v>
      </c>
      <c r="AR180">
        <v>960</v>
      </c>
      <c r="AZ180">
        <v>1200</v>
      </c>
      <c r="BA180">
        <v>1</v>
      </c>
      <c r="BB180" t="str">
        <f t="shared" si="81"/>
        <v xml:space="preserve">N711JA  </v>
      </c>
      <c r="BC180">
        <v>1</v>
      </c>
      <c r="BE180">
        <v>0</v>
      </c>
      <c r="BF180">
        <v>0</v>
      </c>
      <c r="BG180">
        <v>0</v>
      </c>
      <c r="BH180">
        <v>375</v>
      </c>
      <c r="BI180">
        <v>1</v>
      </c>
      <c r="BJ180">
        <v>1</v>
      </c>
      <c r="BK180">
        <v>0</v>
      </c>
      <c r="BL180">
        <v>0</v>
      </c>
      <c r="BO180">
        <v>0</v>
      </c>
      <c r="BP180">
        <v>0</v>
      </c>
      <c r="BW180" t="str">
        <f t="shared" si="91"/>
        <v>14:41:11.885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343</v>
      </c>
      <c r="CR180">
        <v>1</v>
      </c>
      <c r="CW180">
        <v>10518218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 t="shared" si="88"/>
        <v>05/12/2020 14:40:54.042</v>
      </c>
      <c r="C181" t="str">
        <f t="shared" si="80"/>
        <v>FFDFD3C0</v>
      </c>
      <c r="D181" t="s">
        <v>131</v>
      </c>
      <c r="E181">
        <v>12</v>
      </c>
      <c r="F181">
        <v>2012</v>
      </c>
      <c r="G181" t="s">
        <v>137</v>
      </c>
      <c r="J181" t="s">
        <v>133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89"/>
        <v>14:41:11.883</v>
      </c>
      <c r="T181" t="str">
        <f t="shared" si="90"/>
        <v>14:41:11.783</v>
      </c>
      <c r="U181" t="str">
        <f t="shared" si="67"/>
        <v>A9808D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180</v>
      </c>
      <c r="AJ181">
        <v>28.234390999999999</v>
      </c>
      <c r="AK181" t="s">
        <v>179</v>
      </c>
      <c r="AL181">
        <v>-82.383512999999994</v>
      </c>
      <c r="AM181">
        <v>100</v>
      </c>
      <c r="AN181">
        <v>300</v>
      </c>
      <c r="AO181" t="s">
        <v>118</v>
      </c>
      <c r="AP181">
        <v>-6</v>
      </c>
      <c r="AQ181">
        <v>84</v>
      </c>
      <c r="AR181">
        <v>960</v>
      </c>
      <c r="AZ181">
        <v>1200</v>
      </c>
      <c r="BA181">
        <v>1</v>
      </c>
      <c r="BB181" t="str">
        <f t="shared" si="81"/>
        <v xml:space="preserve">N711JA  </v>
      </c>
      <c r="BC181">
        <v>1</v>
      </c>
      <c r="BE181">
        <v>0</v>
      </c>
      <c r="BF181">
        <v>0</v>
      </c>
      <c r="BG181">
        <v>0</v>
      </c>
      <c r="BH181">
        <v>375</v>
      </c>
      <c r="BI181">
        <v>1</v>
      </c>
      <c r="BJ181">
        <v>1</v>
      </c>
      <c r="BK181">
        <v>0</v>
      </c>
      <c r="BL181">
        <v>0</v>
      </c>
      <c r="BO181">
        <v>0</v>
      </c>
      <c r="BP181">
        <v>0</v>
      </c>
      <c r="BW181" t="str">
        <f t="shared" si="91"/>
        <v>14:41:11.885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343</v>
      </c>
      <c r="CR181">
        <v>1</v>
      </c>
      <c r="CW181">
        <v>10518218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 t="shared" si="88"/>
        <v>05/12/2020 14:40:54.042</v>
      </c>
      <c r="C182" t="str">
        <f t="shared" si="80"/>
        <v>FFDFD3C0</v>
      </c>
      <c r="D182" t="s">
        <v>126</v>
      </c>
      <c r="E182">
        <v>6</v>
      </c>
      <c r="F182">
        <v>1006</v>
      </c>
      <c r="G182" t="s">
        <v>114</v>
      </c>
      <c r="J182" t="s">
        <v>128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89"/>
        <v>14:41:11.883</v>
      </c>
      <c r="T182" t="str">
        <f t="shared" si="90"/>
        <v>14:41:11.783</v>
      </c>
      <c r="U182" t="str">
        <f t="shared" si="67"/>
        <v>A9808D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180</v>
      </c>
      <c r="AJ182">
        <v>28.234390999999999</v>
      </c>
      <c r="AK182" t="s">
        <v>179</v>
      </c>
      <c r="AL182">
        <v>-82.383512999999994</v>
      </c>
      <c r="AM182">
        <v>100</v>
      </c>
      <c r="AN182">
        <v>300</v>
      </c>
      <c r="AO182" t="s">
        <v>118</v>
      </c>
      <c r="AP182">
        <v>-6</v>
      </c>
      <c r="AQ182">
        <v>84</v>
      </c>
      <c r="AR182">
        <v>960</v>
      </c>
      <c r="AZ182">
        <v>1200</v>
      </c>
      <c r="BA182">
        <v>1</v>
      </c>
      <c r="BB182" t="str">
        <f t="shared" si="81"/>
        <v xml:space="preserve">N711JA  </v>
      </c>
      <c r="BC182">
        <v>1</v>
      </c>
      <c r="BE182">
        <v>0</v>
      </c>
      <c r="BF182">
        <v>0</v>
      </c>
      <c r="BG182">
        <v>0</v>
      </c>
      <c r="BH182">
        <v>375</v>
      </c>
      <c r="BI182">
        <v>1</v>
      </c>
      <c r="BJ182">
        <v>1</v>
      </c>
      <c r="BK182">
        <v>0</v>
      </c>
      <c r="BL182">
        <v>0</v>
      </c>
      <c r="BO182">
        <v>0</v>
      </c>
      <c r="BP182">
        <v>0</v>
      </c>
      <c r="BW182" t="str">
        <f t="shared" si="91"/>
        <v>14:41:11.885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343</v>
      </c>
      <c r="CR182">
        <v>1</v>
      </c>
      <c r="CW182">
        <v>10518218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 t="shared" si="88"/>
        <v>05/12/2020 14:40:54.042</v>
      </c>
      <c r="C183" t="str">
        <f t="shared" si="80"/>
        <v>FFDFD3C0</v>
      </c>
      <c r="D183" t="s">
        <v>113</v>
      </c>
      <c r="E183">
        <v>3</v>
      </c>
      <c r="H183">
        <v>164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89"/>
        <v>14:41:11.883</v>
      </c>
      <c r="T183" t="str">
        <f t="shared" si="90"/>
        <v>14:41:11.783</v>
      </c>
      <c r="U183" t="str">
        <f t="shared" si="67"/>
        <v>A9808D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0</v>
      </c>
      <c r="AI183" t="s">
        <v>180</v>
      </c>
      <c r="AJ183">
        <v>28.234390999999999</v>
      </c>
      <c r="AK183" t="s">
        <v>179</v>
      </c>
      <c r="AL183">
        <v>-82.383512999999994</v>
      </c>
      <c r="AM183">
        <v>100</v>
      </c>
      <c r="AN183">
        <v>300</v>
      </c>
      <c r="AO183" t="s">
        <v>118</v>
      </c>
      <c r="AP183">
        <v>-6</v>
      </c>
      <c r="AQ183">
        <v>84</v>
      </c>
      <c r="AR183">
        <v>960</v>
      </c>
      <c r="AZ183">
        <v>1200</v>
      </c>
      <c r="BA183">
        <v>1</v>
      </c>
      <c r="BB183" t="str">
        <f t="shared" si="81"/>
        <v xml:space="preserve">N711JA  </v>
      </c>
      <c r="BC183">
        <v>1</v>
      </c>
      <c r="BE183">
        <v>0</v>
      </c>
      <c r="BF183">
        <v>0</v>
      </c>
      <c r="BG183">
        <v>0</v>
      </c>
      <c r="BH183">
        <v>375</v>
      </c>
      <c r="BI183">
        <v>1</v>
      </c>
      <c r="BJ183">
        <v>1</v>
      </c>
      <c r="BK183">
        <v>0</v>
      </c>
      <c r="BL183">
        <v>0</v>
      </c>
      <c r="BO183">
        <v>0</v>
      </c>
      <c r="BP183">
        <v>0</v>
      </c>
      <c r="BW183" t="str">
        <f t="shared" si="91"/>
        <v>14:41:11.885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343</v>
      </c>
      <c r="CR183">
        <v>1</v>
      </c>
      <c r="CW183">
        <v>10518218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 t="shared" si="88"/>
        <v>05/12/2020 14:40:54.042</v>
      </c>
      <c r="C184" t="str">
        <f t="shared" si="80"/>
        <v>FFDFD3C0</v>
      </c>
      <c r="D184" t="s">
        <v>134</v>
      </c>
      <c r="E184">
        <v>12</v>
      </c>
      <c r="H184">
        <v>64</v>
      </c>
      <c r="I184" t="s">
        <v>135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89"/>
        <v>14:41:11.883</v>
      </c>
      <c r="T184" t="str">
        <f t="shared" si="90"/>
        <v>14:41:11.783</v>
      </c>
      <c r="U184" t="str">
        <f t="shared" si="67"/>
        <v>A9808D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180</v>
      </c>
      <c r="AJ184">
        <v>28.234390999999999</v>
      </c>
      <c r="AK184" t="s">
        <v>179</v>
      </c>
      <c r="AL184">
        <v>-82.383512999999994</v>
      </c>
      <c r="AM184">
        <v>100</v>
      </c>
      <c r="AN184">
        <v>300</v>
      </c>
      <c r="AO184" t="s">
        <v>118</v>
      </c>
      <c r="AP184">
        <v>-6</v>
      </c>
      <c r="AQ184">
        <v>84</v>
      </c>
      <c r="AR184">
        <v>960</v>
      </c>
      <c r="AZ184">
        <v>1200</v>
      </c>
      <c r="BA184">
        <v>1</v>
      </c>
      <c r="BB184" t="str">
        <f t="shared" si="81"/>
        <v xml:space="preserve">N711JA  </v>
      </c>
      <c r="BC184">
        <v>1</v>
      </c>
      <c r="BE184">
        <v>0</v>
      </c>
      <c r="BF184">
        <v>0</v>
      </c>
      <c r="BG184">
        <v>0</v>
      </c>
      <c r="BH184">
        <v>375</v>
      </c>
      <c r="BI184">
        <v>1</v>
      </c>
      <c r="BJ184">
        <v>1</v>
      </c>
      <c r="BK184">
        <v>0</v>
      </c>
      <c r="BL184">
        <v>0</v>
      </c>
      <c r="BO184">
        <v>0</v>
      </c>
      <c r="BP184">
        <v>0</v>
      </c>
      <c r="BW184" t="str">
        <f t="shared" si="91"/>
        <v>14:41:11.885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343</v>
      </c>
      <c r="CR184">
        <v>1</v>
      </c>
      <c r="CW184">
        <v>10518218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 t="shared" ref="A185:A193" si="92">"05/12/2020 14:40:55.094"</f>
        <v>05/12/2020 14:40:55.094</v>
      </c>
      <c r="C185" t="str">
        <f t="shared" si="80"/>
        <v>FFDFD3C0</v>
      </c>
      <c r="D185" t="s">
        <v>134</v>
      </c>
      <c r="E185">
        <v>12</v>
      </c>
      <c r="H185">
        <v>64</v>
      </c>
      <c r="I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ref="S185:S193" si="93">"14:41:12.922"</f>
        <v>14:41:12.922</v>
      </c>
      <c r="T185" t="str">
        <f t="shared" ref="T185:T193" si="94">"14:41:12.822"</f>
        <v>14:41:12.822</v>
      </c>
      <c r="U185" t="str">
        <f t="shared" si="67"/>
        <v>A9808D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181</v>
      </c>
      <c r="AJ185">
        <v>28.234777000000001</v>
      </c>
      <c r="AK185" t="s">
        <v>182</v>
      </c>
      <c r="AL185">
        <v>-82.383578</v>
      </c>
      <c r="AM185">
        <v>100</v>
      </c>
      <c r="AN185">
        <v>300</v>
      </c>
      <c r="AO185" t="s">
        <v>118</v>
      </c>
      <c r="AP185">
        <v>-4</v>
      </c>
      <c r="AQ185">
        <v>83</v>
      </c>
      <c r="AR185">
        <v>896</v>
      </c>
      <c r="AZ185">
        <v>1200</v>
      </c>
      <c r="BA185">
        <v>1</v>
      </c>
      <c r="BB185" t="str">
        <f t="shared" si="81"/>
        <v xml:space="preserve">N711JA  </v>
      </c>
      <c r="BC185">
        <v>1</v>
      </c>
      <c r="BE185">
        <v>0</v>
      </c>
      <c r="BF185">
        <v>0</v>
      </c>
      <c r="BG185">
        <v>0</v>
      </c>
      <c r="BH185">
        <v>400</v>
      </c>
      <c r="BI185">
        <v>1</v>
      </c>
      <c r="BJ185">
        <v>1</v>
      </c>
      <c r="BK185">
        <v>0</v>
      </c>
      <c r="BL185">
        <v>0</v>
      </c>
      <c r="BO185">
        <v>0</v>
      </c>
      <c r="BP185">
        <v>0</v>
      </c>
      <c r="BW185" t="str">
        <f t="shared" ref="BW185:BW193" si="95">"14:41:12.925"</f>
        <v>14:41:12.925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343</v>
      </c>
      <c r="CR185">
        <v>1</v>
      </c>
      <c r="CW185">
        <v>10519350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 t="shared" si="92"/>
        <v>05/12/2020 14:40:55.094</v>
      </c>
      <c r="C186" t="str">
        <f t="shared" si="80"/>
        <v>FFDFD3C0</v>
      </c>
      <c r="D186" t="s">
        <v>126</v>
      </c>
      <c r="E186">
        <v>7</v>
      </c>
      <c r="F186">
        <v>1007</v>
      </c>
      <c r="G186" t="s">
        <v>127</v>
      </c>
      <c r="J186" t="s">
        <v>128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93"/>
        <v>14:41:12.922</v>
      </c>
      <c r="T186" t="str">
        <f t="shared" si="94"/>
        <v>14:41:12.822</v>
      </c>
      <c r="U186" t="str">
        <f t="shared" si="67"/>
        <v>A9808D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181</v>
      </c>
      <c r="AJ186">
        <v>28.234777000000001</v>
      </c>
      <c r="AK186" t="s">
        <v>182</v>
      </c>
      <c r="AL186">
        <v>-82.383578</v>
      </c>
      <c r="AM186">
        <v>100</v>
      </c>
      <c r="AN186">
        <v>300</v>
      </c>
      <c r="AO186" t="s">
        <v>118</v>
      </c>
      <c r="AP186">
        <v>-4</v>
      </c>
      <c r="AQ186">
        <v>83</v>
      </c>
      <c r="AR186">
        <v>896</v>
      </c>
      <c r="AZ186">
        <v>1200</v>
      </c>
      <c r="BA186">
        <v>1</v>
      </c>
      <c r="BB186" t="str">
        <f t="shared" si="81"/>
        <v xml:space="preserve">N711JA  </v>
      </c>
      <c r="BC186">
        <v>1</v>
      </c>
      <c r="BE186">
        <v>0</v>
      </c>
      <c r="BF186">
        <v>0</v>
      </c>
      <c r="BG186">
        <v>0</v>
      </c>
      <c r="BH186">
        <v>400</v>
      </c>
      <c r="BI186">
        <v>1</v>
      </c>
      <c r="BJ186">
        <v>1</v>
      </c>
      <c r="BK186">
        <v>0</v>
      </c>
      <c r="BL186">
        <v>0</v>
      </c>
      <c r="BO186">
        <v>0</v>
      </c>
      <c r="BP186">
        <v>0</v>
      </c>
      <c r="BW186" t="str">
        <f t="shared" si="95"/>
        <v>14:41:12.925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343</v>
      </c>
      <c r="CR186">
        <v>1</v>
      </c>
      <c r="CW186">
        <v>10519350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 t="shared" si="92"/>
        <v>05/12/2020 14:40:55.094</v>
      </c>
      <c r="C187" t="str">
        <f t="shared" si="80"/>
        <v>FFDFD3C0</v>
      </c>
      <c r="D187" t="s">
        <v>131</v>
      </c>
      <c r="E187">
        <v>18</v>
      </c>
      <c r="F187">
        <v>2018</v>
      </c>
      <c r="G187" t="s">
        <v>161</v>
      </c>
      <c r="J187" t="s">
        <v>133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93"/>
        <v>14:41:12.922</v>
      </c>
      <c r="T187" t="str">
        <f t="shared" si="94"/>
        <v>14:41:12.822</v>
      </c>
      <c r="U187" t="str">
        <f t="shared" si="67"/>
        <v>A9808D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181</v>
      </c>
      <c r="AJ187">
        <v>28.234777000000001</v>
      </c>
      <c r="AK187" t="s">
        <v>182</v>
      </c>
      <c r="AL187">
        <v>-82.383578</v>
      </c>
      <c r="AM187">
        <v>100</v>
      </c>
      <c r="AN187">
        <v>300</v>
      </c>
      <c r="AO187" t="s">
        <v>118</v>
      </c>
      <c r="AP187">
        <v>-4</v>
      </c>
      <c r="AQ187">
        <v>83</v>
      </c>
      <c r="AR187">
        <v>896</v>
      </c>
      <c r="AZ187">
        <v>1200</v>
      </c>
      <c r="BA187">
        <v>1</v>
      </c>
      <c r="BB187" t="str">
        <f t="shared" si="81"/>
        <v xml:space="preserve">N711JA  </v>
      </c>
      <c r="BC187">
        <v>1</v>
      </c>
      <c r="BE187">
        <v>0</v>
      </c>
      <c r="BF187">
        <v>0</v>
      </c>
      <c r="BG187">
        <v>0</v>
      </c>
      <c r="BH187">
        <v>400</v>
      </c>
      <c r="BI187">
        <v>1</v>
      </c>
      <c r="BJ187">
        <v>1</v>
      </c>
      <c r="BK187">
        <v>0</v>
      </c>
      <c r="BL187">
        <v>0</v>
      </c>
      <c r="BO187">
        <v>0</v>
      </c>
      <c r="BP187">
        <v>0</v>
      </c>
      <c r="BW187" t="str">
        <f t="shared" si="95"/>
        <v>14:41:12.925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343</v>
      </c>
      <c r="CR187">
        <v>1</v>
      </c>
      <c r="CW187">
        <v>10519350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 t="shared" si="92"/>
        <v>05/12/2020 14:40:55.094</v>
      </c>
      <c r="C188" t="str">
        <f t="shared" si="80"/>
        <v>FFDFD3C0</v>
      </c>
      <c r="D188" t="s">
        <v>131</v>
      </c>
      <c r="E188">
        <v>10</v>
      </c>
      <c r="F188">
        <v>2010</v>
      </c>
      <c r="G188" t="s">
        <v>132</v>
      </c>
      <c r="J188" t="s">
        <v>133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93"/>
        <v>14:41:12.922</v>
      </c>
      <c r="T188" t="str">
        <f t="shared" si="94"/>
        <v>14:41:12.822</v>
      </c>
      <c r="U188" t="str">
        <f t="shared" si="67"/>
        <v>A9808D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0</v>
      </c>
      <c r="AI188" t="s">
        <v>181</v>
      </c>
      <c r="AJ188">
        <v>28.234777000000001</v>
      </c>
      <c r="AK188" t="s">
        <v>182</v>
      </c>
      <c r="AL188">
        <v>-82.383578</v>
      </c>
      <c r="AM188">
        <v>100</v>
      </c>
      <c r="AN188">
        <v>300</v>
      </c>
      <c r="AO188" t="s">
        <v>118</v>
      </c>
      <c r="AP188">
        <v>-4</v>
      </c>
      <c r="AQ188">
        <v>83</v>
      </c>
      <c r="AR188">
        <v>896</v>
      </c>
      <c r="AZ188">
        <v>1200</v>
      </c>
      <c r="BA188">
        <v>1</v>
      </c>
      <c r="BB188" t="str">
        <f t="shared" si="81"/>
        <v xml:space="preserve">N711JA  </v>
      </c>
      <c r="BC188">
        <v>1</v>
      </c>
      <c r="BE188">
        <v>0</v>
      </c>
      <c r="BF188">
        <v>0</v>
      </c>
      <c r="BG188">
        <v>0</v>
      </c>
      <c r="BH188">
        <v>400</v>
      </c>
      <c r="BI188">
        <v>1</v>
      </c>
      <c r="BJ188">
        <v>1</v>
      </c>
      <c r="BK188">
        <v>0</v>
      </c>
      <c r="BL188">
        <v>0</v>
      </c>
      <c r="BO188">
        <v>0</v>
      </c>
      <c r="BP188">
        <v>0</v>
      </c>
      <c r="BW188" t="str">
        <f t="shared" si="95"/>
        <v>14:41:12.925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343</v>
      </c>
      <c r="CR188">
        <v>1</v>
      </c>
      <c r="CW188">
        <v>10519350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 t="shared" si="92"/>
        <v>05/12/2020 14:40:55.094</v>
      </c>
      <c r="C189" t="str">
        <f t="shared" si="80"/>
        <v>FFDFD3C0</v>
      </c>
      <c r="D189" t="s">
        <v>131</v>
      </c>
      <c r="E189">
        <v>12</v>
      </c>
      <c r="F189">
        <v>2012</v>
      </c>
      <c r="G189" t="s">
        <v>137</v>
      </c>
      <c r="J189" t="s">
        <v>133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93"/>
        <v>14:41:12.922</v>
      </c>
      <c r="T189" t="str">
        <f t="shared" si="94"/>
        <v>14:41:12.822</v>
      </c>
      <c r="U189" t="str">
        <f t="shared" si="67"/>
        <v>A9808D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0</v>
      </c>
      <c r="AI189" t="s">
        <v>181</v>
      </c>
      <c r="AJ189">
        <v>28.234777000000001</v>
      </c>
      <c r="AK189" t="s">
        <v>182</v>
      </c>
      <c r="AL189">
        <v>-82.383578</v>
      </c>
      <c r="AM189">
        <v>100</v>
      </c>
      <c r="AN189">
        <v>300</v>
      </c>
      <c r="AO189" t="s">
        <v>118</v>
      </c>
      <c r="AP189">
        <v>-4</v>
      </c>
      <c r="AQ189">
        <v>83</v>
      </c>
      <c r="AR189">
        <v>896</v>
      </c>
      <c r="AZ189">
        <v>1200</v>
      </c>
      <c r="BA189">
        <v>1</v>
      </c>
      <c r="BB189" t="str">
        <f t="shared" si="81"/>
        <v xml:space="preserve">N711JA  </v>
      </c>
      <c r="BC189">
        <v>1</v>
      </c>
      <c r="BE189">
        <v>0</v>
      </c>
      <c r="BF189">
        <v>0</v>
      </c>
      <c r="BG189">
        <v>0</v>
      </c>
      <c r="BH189">
        <v>400</v>
      </c>
      <c r="BI189">
        <v>1</v>
      </c>
      <c r="BJ189">
        <v>1</v>
      </c>
      <c r="BK189">
        <v>0</v>
      </c>
      <c r="BL189">
        <v>0</v>
      </c>
      <c r="BO189">
        <v>0</v>
      </c>
      <c r="BP189">
        <v>0</v>
      </c>
      <c r="BW189" t="str">
        <f t="shared" si="95"/>
        <v>14:41:12.925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343</v>
      </c>
      <c r="CR189">
        <v>1</v>
      </c>
      <c r="CW189">
        <v>10519350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 t="shared" si="92"/>
        <v>05/12/2020 14:40:55.094</v>
      </c>
      <c r="C190" t="str">
        <f t="shared" si="80"/>
        <v>FFDFD3C0</v>
      </c>
      <c r="D190" t="s">
        <v>138</v>
      </c>
      <c r="E190">
        <v>2</v>
      </c>
      <c r="H190">
        <v>8</v>
      </c>
      <c r="I190" t="s">
        <v>139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93"/>
        <v>14:41:12.922</v>
      </c>
      <c r="T190" t="str">
        <f t="shared" si="94"/>
        <v>14:41:12.822</v>
      </c>
      <c r="U190" t="str">
        <f t="shared" si="67"/>
        <v>A9808D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181</v>
      </c>
      <c r="AJ190">
        <v>28.234777000000001</v>
      </c>
      <c r="AK190" t="s">
        <v>182</v>
      </c>
      <c r="AL190">
        <v>-82.383578</v>
      </c>
      <c r="AM190">
        <v>100</v>
      </c>
      <c r="AN190">
        <v>300</v>
      </c>
      <c r="AO190" t="s">
        <v>118</v>
      </c>
      <c r="AP190">
        <v>-4</v>
      </c>
      <c r="AQ190">
        <v>83</v>
      </c>
      <c r="AR190">
        <v>896</v>
      </c>
      <c r="AZ190">
        <v>1200</v>
      </c>
      <c r="BA190">
        <v>1</v>
      </c>
      <c r="BB190" t="str">
        <f t="shared" si="81"/>
        <v xml:space="preserve">N711JA  </v>
      </c>
      <c r="BC190">
        <v>1</v>
      </c>
      <c r="BE190">
        <v>0</v>
      </c>
      <c r="BF190">
        <v>0</v>
      </c>
      <c r="BG190">
        <v>0</v>
      </c>
      <c r="BH190">
        <v>400</v>
      </c>
      <c r="BI190">
        <v>1</v>
      </c>
      <c r="BJ190">
        <v>1</v>
      </c>
      <c r="BK190">
        <v>0</v>
      </c>
      <c r="BL190">
        <v>0</v>
      </c>
      <c r="BO190">
        <v>0</v>
      </c>
      <c r="BP190">
        <v>0</v>
      </c>
      <c r="BW190" t="str">
        <f t="shared" si="95"/>
        <v>14:41:12.925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343</v>
      </c>
      <c r="CR190">
        <v>1</v>
      </c>
      <c r="CW190">
        <v>10519350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 t="shared" si="92"/>
        <v>05/12/2020 14:40:55.094</v>
      </c>
      <c r="C191" t="str">
        <f t="shared" si="80"/>
        <v>FFDFD3C0</v>
      </c>
      <c r="D191" t="s">
        <v>138</v>
      </c>
      <c r="E191">
        <v>3</v>
      </c>
      <c r="H191">
        <v>9</v>
      </c>
      <c r="I191" t="s">
        <v>140</v>
      </c>
      <c r="J191" t="s">
        <v>136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93"/>
        <v>14:41:12.922</v>
      </c>
      <c r="T191" t="str">
        <f t="shared" si="94"/>
        <v>14:41:12.822</v>
      </c>
      <c r="U191" t="str">
        <f t="shared" si="67"/>
        <v>A9808D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181</v>
      </c>
      <c r="AJ191">
        <v>28.234777000000001</v>
      </c>
      <c r="AK191" t="s">
        <v>182</v>
      </c>
      <c r="AL191">
        <v>-82.383578</v>
      </c>
      <c r="AM191">
        <v>100</v>
      </c>
      <c r="AN191">
        <v>300</v>
      </c>
      <c r="AO191" t="s">
        <v>118</v>
      </c>
      <c r="AP191">
        <v>-4</v>
      </c>
      <c r="AQ191">
        <v>83</v>
      </c>
      <c r="AR191">
        <v>896</v>
      </c>
      <c r="AZ191">
        <v>1200</v>
      </c>
      <c r="BA191">
        <v>1</v>
      </c>
      <c r="BB191" t="str">
        <f t="shared" si="81"/>
        <v xml:space="preserve">N711JA  </v>
      </c>
      <c r="BC191">
        <v>1</v>
      </c>
      <c r="BE191">
        <v>0</v>
      </c>
      <c r="BF191">
        <v>0</v>
      </c>
      <c r="BG191">
        <v>0</v>
      </c>
      <c r="BH191">
        <v>400</v>
      </c>
      <c r="BI191">
        <v>1</v>
      </c>
      <c r="BJ191">
        <v>1</v>
      </c>
      <c r="BK191">
        <v>0</v>
      </c>
      <c r="BL191">
        <v>0</v>
      </c>
      <c r="BO191">
        <v>0</v>
      </c>
      <c r="BP191">
        <v>0</v>
      </c>
      <c r="BW191" t="str">
        <f t="shared" si="95"/>
        <v>14:41:12.925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343</v>
      </c>
      <c r="CR191">
        <v>1</v>
      </c>
      <c r="CW191">
        <v>10519350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 t="shared" si="92"/>
        <v>05/12/2020 14:40:55.094</v>
      </c>
      <c r="C192" t="str">
        <f t="shared" si="80"/>
        <v>FFDFD3C0</v>
      </c>
      <c r="D192" t="s">
        <v>126</v>
      </c>
      <c r="E192">
        <v>6</v>
      </c>
      <c r="F192">
        <v>1006</v>
      </c>
      <c r="G192" t="s">
        <v>114</v>
      </c>
      <c r="J192" t="s">
        <v>128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93"/>
        <v>14:41:12.922</v>
      </c>
      <c r="T192" t="str">
        <f t="shared" si="94"/>
        <v>14:41:12.822</v>
      </c>
      <c r="U192" t="str">
        <f t="shared" si="67"/>
        <v>A9808D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181</v>
      </c>
      <c r="AJ192">
        <v>28.234777000000001</v>
      </c>
      <c r="AK192" t="s">
        <v>182</v>
      </c>
      <c r="AL192">
        <v>-82.383578</v>
      </c>
      <c r="AM192">
        <v>100</v>
      </c>
      <c r="AN192">
        <v>300</v>
      </c>
      <c r="AO192" t="s">
        <v>118</v>
      </c>
      <c r="AP192">
        <v>-4</v>
      </c>
      <c r="AQ192">
        <v>83</v>
      </c>
      <c r="AR192">
        <v>896</v>
      </c>
      <c r="AZ192">
        <v>1200</v>
      </c>
      <c r="BA192">
        <v>1</v>
      </c>
      <c r="BB192" t="str">
        <f t="shared" si="81"/>
        <v xml:space="preserve">N711JA  </v>
      </c>
      <c r="BC192">
        <v>1</v>
      </c>
      <c r="BE192">
        <v>0</v>
      </c>
      <c r="BF192">
        <v>0</v>
      </c>
      <c r="BG192">
        <v>0</v>
      </c>
      <c r="BH192">
        <v>400</v>
      </c>
      <c r="BI192">
        <v>1</v>
      </c>
      <c r="BJ192">
        <v>1</v>
      </c>
      <c r="BK192">
        <v>0</v>
      </c>
      <c r="BL192">
        <v>0</v>
      </c>
      <c r="BO192">
        <v>0</v>
      </c>
      <c r="BP192">
        <v>0</v>
      </c>
      <c r="BW192" t="str">
        <f t="shared" si="95"/>
        <v>14:41:12.925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343</v>
      </c>
      <c r="CR192">
        <v>1</v>
      </c>
      <c r="CW192">
        <v>10519350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 t="shared" si="92"/>
        <v>05/12/2020 14:40:55.094</v>
      </c>
      <c r="C193" t="str">
        <f t="shared" si="80"/>
        <v>FFDFD3C0</v>
      </c>
      <c r="D193" t="s">
        <v>113</v>
      </c>
      <c r="E193">
        <v>3</v>
      </c>
      <c r="H193">
        <v>164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93"/>
        <v>14:41:12.922</v>
      </c>
      <c r="T193" t="str">
        <f t="shared" si="94"/>
        <v>14:41:12.822</v>
      </c>
      <c r="U193" t="str">
        <f t="shared" si="67"/>
        <v>A9808D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181</v>
      </c>
      <c r="AJ193">
        <v>28.234777000000001</v>
      </c>
      <c r="AK193" t="s">
        <v>182</v>
      </c>
      <c r="AL193">
        <v>-82.383578</v>
      </c>
      <c r="AM193">
        <v>100</v>
      </c>
      <c r="AN193">
        <v>300</v>
      </c>
      <c r="AO193" t="s">
        <v>118</v>
      </c>
      <c r="AP193">
        <v>-4</v>
      </c>
      <c r="AQ193">
        <v>83</v>
      </c>
      <c r="AR193">
        <v>896</v>
      </c>
      <c r="AZ193">
        <v>1200</v>
      </c>
      <c r="BA193">
        <v>1</v>
      </c>
      <c r="BB193" t="str">
        <f t="shared" si="81"/>
        <v xml:space="preserve">N711JA  </v>
      </c>
      <c r="BC193">
        <v>1</v>
      </c>
      <c r="BE193">
        <v>0</v>
      </c>
      <c r="BF193">
        <v>0</v>
      </c>
      <c r="BG193">
        <v>0</v>
      </c>
      <c r="BH193">
        <v>400</v>
      </c>
      <c r="BI193">
        <v>1</v>
      </c>
      <c r="BJ193">
        <v>1</v>
      </c>
      <c r="BK193">
        <v>0</v>
      </c>
      <c r="BL193">
        <v>0</v>
      </c>
      <c r="BO193">
        <v>0</v>
      </c>
      <c r="BP193">
        <v>0</v>
      </c>
      <c r="BW193" t="str">
        <f t="shared" si="95"/>
        <v>14:41:12.925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343</v>
      </c>
      <c r="CR193">
        <v>1</v>
      </c>
      <c r="CW193">
        <v>10519350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 t="shared" ref="A194:A202" si="96">"05/12/2020 14:40:56.455"</f>
        <v>05/12/2020 14:40:56.455</v>
      </c>
      <c r="C194" t="str">
        <f t="shared" si="80"/>
        <v>FFDFD3C0</v>
      </c>
      <c r="D194" t="s">
        <v>126</v>
      </c>
      <c r="E194">
        <v>7</v>
      </c>
      <c r="F194">
        <v>1007</v>
      </c>
      <c r="G194" t="s">
        <v>127</v>
      </c>
      <c r="J194" t="s">
        <v>128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ref="S194:S202" si="97">"14:41:14.258"</f>
        <v>14:41:14.258</v>
      </c>
      <c r="T194" t="str">
        <f t="shared" ref="T194:T202" si="98">"14:41:13.758"</f>
        <v>14:41:13.758</v>
      </c>
      <c r="U194" t="str">
        <f t="shared" ref="U194:U257" si="99">"A9808D"</f>
        <v>A9808D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183</v>
      </c>
      <c r="AJ194">
        <v>28.235292000000001</v>
      </c>
      <c r="AK194" t="s">
        <v>184</v>
      </c>
      <c r="AL194">
        <v>-82.383555999999999</v>
      </c>
      <c r="AM194">
        <v>100</v>
      </c>
      <c r="AN194">
        <v>300</v>
      </c>
      <c r="AO194" t="s">
        <v>118</v>
      </c>
      <c r="AP194">
        <v>-3</v>
      </c>
      <c r="AQ194">
        <v>83</v>
      </c>
      <c r="AR194">
        <v>768</v>
      </c>
      <c r="AZ194">
        <v>1200</v>
      </c>
      <c r="BA194">
        <v>1</v>
      </c>
      <c r="BB194" t="str">
        <f t="shared" si="81"/>
        <v xml:space="preserve">N711JA  </v>
      </c>
      <c r="BC194">
        <v>1</v>
      </c>
      <c r="BE194">
        <v>0</v>
      </c>
      <c r="BF194">
        <v>0</v>
      </c>
      <c r="BG194">
        <v>0</v>
      </c>
      <c r="BH194">
        <v>400</v>
      </c>
      <c r="BI194">
        <v>1</v>
      </c>
      <c r="BJ194">
        <v>1</v>
      </c>
      <c r="BK194">
        <v>0</v>
      </c>
      <c r="BL194">
        <v>0</v>
      </c>
      <c r="BO194">
        <v>0</v>
      </c>
      <c r="BP194">
        <v>0</v>
      </c>
      <c r="BW194" t="str">
        <f t="shared" ref="BW194:BW202" si="100">"14:41:14.265"</f>
        <v>14:41:14.265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343</v>
      </c>
      <c r="CR194">
        <v>1</v>
      </c>
      <c r="CW194">
        <v>10520766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 t="shared" si="96"/>
        <v>05/12/2020 14:40:56.455</v>
      </c>
      <c r="C195" t="str">
        <f t="shared" si="80"/>
        <v>FFDFD3C0</v>
      </c>
      <c r="D195" t="s">
        <v>113</v>
      </c>
      <c r="E195">
        <v>3</v>
      </c>
      <c r="H195">
        <v>164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97"/>
        <v>14:41:14.258</v>
      </c>
      <c r="T195" t="str">
        <f t="shared" si="98"/>
        <v>14:41:13.758</v>
      </c>
      <c r="U195" t="str">
        <f t="shared" si="99"/>
        <v>A9808D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183</v>
      </c>
      <c r="AJ195">
        <v>28.235292000000001</v>
      </c>
      <c r="AK195" t="s">
        <v>184</v>
      </c>
      <c r="AL195">
        <v>-82.383555999999999</v>
      </c>
      <c r="AM195">
        <v>100</v>
      </c>
      <c r="AN195">
        <v>300</v>
      </c>
      <c r="AO195" t="s">
        <v>118</v>
      </c>
      <c r="AP195">
        <v>-3</v>
      </c>
      <c r="AQ195">
        <v>83</v>
      </c>
      <c r="AR195">
        <v>768</v>
      </c>
      <c r="AZ195">
        <v>1200</v>
      </c>
      <c r="BA195">
        <v>1</v>
      </c>
      <c r="BB195" t="str">
        <f t="shared" si="81"/>
        <v xml:space="preserve">N711JA  </v>
      </c>
      <c r="BC195">
        <v>1</v>
      </c>
      <c r="BE195">
        <v>0</v>
      </c>
      <c r="BF195">
        <v>0</v>
      </c>
      <c r="BG195">
        <v>0</v>
      </c>
      <c r="BH195">
        <v>400</v>
      </c>
      <c r="BI195">
        <v>1</v>
      </c>
      <c r="BJ195">
        <v>1</v>
      </c>
      <c r="BK195">
        <v>0</v>
      </c>
      <c r="BL195">
        <v>0</v>
      </c>
      <c r="BO195">
        <v>0</v>
      </c>
      <c r="BP195">
        <v>0</v>
      </c>
      <c r="BW195" t="str">
        <f t="shared" si="100"/>
        <v>14:41:14.265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343</v>
      </c>
      <c r="CR195">
        <v>1</v>
      </c>
      <c r="CW195">
        <v>10520766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 t="shared" si="96"/>
        <v>05/12/2020 14:40:56.455</v>
      </c>
      <c r="C196" t="str">
        <f t="shared" si="80"/>
        <v>FFDFD3C0</v>
      </c>
      <c r="D196" t="s">
        <v>131</v>
      </c>
      <c r="E196">
        <v>18</v>
      </c>
      <c r="F196">
        <v>2018</v>
      </c>
      <c r="G196" t="s">
        <v>161</v>
      </c>
      <c r="J196" t="s">
        <v>133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97"/>
        <v>14:41:14.258</v>
      </c>
      <c r="T196" t="str">
        <f t="shared" si="98"/>
        <v>14:41:13.758</v>
      </c>
      <c r="U196" t="str">
        <f t="shared" si="99"/>
        <v>A9808D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0</v>
      </c>
      <c r="AI196" t="s">
        <v>183</v>
      </c>
      <c r="AJ196">
        <v>28.235292000000001</v>
      </c>
      <c r="AK196" t="s">
        <v>184</v>
      </c>
      <c r="AL196">
        <v>-82.383555999999999</v>
      </c>
      <c r="AM196">
        <v>100</v>
      </c>
      <c r="AN196">
        <v>300</v>
      </c>
      <c r="AO196" t="s">
        <v>118</v>
      </c>
      <c r="AP196">
        <v>-3</v>
      </c>
      <c r="AQ196">
        <v>83</v>
      </c>
      <c r="AR196">
        <v>768</v>
      </c>
      <c r="AZ196">
        <v>1200</v>
      </c>
      <c r="BA196">
        <v>1</v>
      </c>
      <c r="BB196" t="str">
        <f t="shared" si="81"/>
        <v xml:space="preserve">N711JA  </v>
      </c>
      <c r="BC196">
        <v>1</v>
      </c>
      <c r="BE196">
        <v>0</v>
      </c>
      <c r="BF196">
        <v>0</v>
      </c>
      <c r="BG196">
        <v>0</v>
      </c>
      <c r="BH196">
        <v>400</v>
      </c>
      <c r="BI196">
        <v>1</v>
      </c>
      <c r="BJ196">
        <v>1</v>
      </c>
      <c r="BK196">
        <v>0</v>
      </c>
      <c r="BL196">
        <v>0</v>
      </c>
      <c r="BO196">
        <v>0</v>
      </c>
      <c r="BP196">
        <v>0</v>
      </c>
      <c r="BW196" t="str">
        <f t="shared" si="100"/>
        <v>14:41:14.265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343</v>
      </c>
      <c r="CR196">
        <v>1</v>
      </c>
      <c r="CW196">
        <v>10520766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 t="shared" si="96"/>
        <v>05/12/2020 14:40:56.455</v>
      </c>
      <c r="C197" t="str">
        <f t="shared" si="80"/>
        <v>FFDFD3C0</v>
      </c>
      <c r="D197" t="s">
        <v>131</v>
      </c>
      <c r="E197">
        <v>10</v>
      </c>
      <c r="F197">
        <v>2010</v>
      </c>
      <c r="G197" t="s">
        <v>132</v>
      </c>
      <c r="J197" t="s">
        <v>133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97"/>
        <v>14:41:14.258</v>
      </c>
      <c r="T197" t="str">
        <f t="shared" si="98"/>
        <v>14:41:13.758</v>
      </c>
      <c r="U197" t="str">
        <f t="shared" si="99"/>
        <v>A9808D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0</v>
      </c>
      <c r="AI197" t="s">
        <v>183</v>
      </c>
      <c r="AJ197">
        <v>28.235292000000001</v>
      </c>
      <c r="AK197" t="s">
        <v>184</v>
      </c>
      <c r="AL197">
        <v>-82.383555999999999</v>
      </c>
      <c r="AM197">
        <v>100</v>
      </c>
      <c r="AN197">
        <v>300</v>
      </c>
      <c r="AO197" t="s">
        <v>118</v>
      </c>
      <c r="AP197">
        <v>-3</v>
      </c>
      <c r="AQ197">
        <v>83</v>
      </c>
      <c r="AR197">
        <v>768</v>
      </c>
      <c r="AZ197">
        <v>1200</v>
      </c>
      <c r="BA197">
        <v>1</v>
      </c>
      <c r="BB197" t="str">
        <f t="shared" si="81"/>
        <v xml:space="preserve">N711JA  </v>
      </c>
      <c r="BC197">
        <v>1</v>
      </c>
      <c r="BE197">
        <v>0</v>
      </c>
      <c r="BF197">
        <v>0</v>
      </c>
      <c r="BG197">
        <v>0</v>
      </c>
      <c r="BH197">
        <v>400</v>
      </c>
      <c r="BI197">
        <v>1</v>
      </c>
      <c r="BJ197">
        <v>1</v>
      </c>
      <c r="BK197">
        <v>0</v>
      </c>
      <c r="BL197">
        <v>0</v>
      </c>
      <c r="BO197">
        <v>0</v>
      </c>
      <c r="BP197">
        <v>0</v>
      </c>
      <c r="BW197" t="str">
        <f t="shared" si="100"/>
        <v>14:41:14.265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343</v>
      </c>
      <c r="CR197">
        <v>1</v>
      </c>
      <c r="CW197">
        <v>10520766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 t="shared" si="96"/>
        <v>05/12/2020 14:40:56.455</v>
      </c>
      <c r="C198" t="str">
        <f t="shared" si="80"/>
        <v>FFDFD3C0</v>
      </c>
      <c r="D198" t="s">
        <v>134</v>
      </c>
      <c r="E198">
        <v>12</v>
      </c>
      <c r="H198">
        <v>64</v>
      </c>
      <c r="I198" t="s">
        <v>135</v>
      </c>
      <c r="J198" t="s">
        <v>136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97"/>
        <v>14:41:14.258</v>
      </c>
      <c r="T198" t="str">
        <f t="shared" si="98"/>
        <v>14:41:13.758</v>
      </c>
      <c r="U198" t="str">
        <f t="shared" si="99"/>
        <v>A9808D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183</v>
      </c>
      <c r="AJ198">
        <v>28.235292000000001</v>
      </c>
      <c r="AK198" t="s">
        <v>184</v>
      </c>
      <c r="AL198">
        <v>-82.383555999999999</v>
      </c>
      <c r="AM198">
        <v>100</v>
      </c>
      <c r="AN198">
        <v>300</v>
      </c>
      <c r="AO198" t="s">
        <v>118</v>
      </c>
      <c r="AP198">
        <v>-3</v>
      </c>
      <c r="AQ198">
        <v>83</v>
      </c>
      <c r="AR198">
        <v>768</v>
      </c>
      <c r="AZ198">
        <v>1200</v>
      </c>
      <c r="BA198">
        <v>1</v>
      </c>
      <c r="BB198" t="str">
        <f t="shared" si="81"/>
        <v xml:space="preserve">N711JA  </v>
      </c>
      <c r="BC198">
        <v>1</v>
      </c>
      <c r="BE198">
        <v>0</v>
      </c>
      <c r="BF198">
        <v>0</v>
      </c>
      <c r="BG198">
        <v>0</v>
      </c>
      <c r="BH198">
        <v>400</v>
      </c>
      <c r="BI198">
        <v>1</v>
      </c>
      <c r="BJ198">
        <v>1</v>
      </c>
      <c r="BK198">
        <v>0</v>
      </c>
      <c r="BL198">
        <v>0</v>
      </c>
      <c r="BO198">
        <v>0</v>
      </c>
      <c r="BP198">
        <v>0</v>
      </c>
      <c r="BW198" t="str">
        <f t="shared" si="100"/>
        <v>14:41:14.265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343</v>
      </c>
      <c r="CR198">
        <v>1</v>
      </c>
      <c r="CW198">
        <v>10520766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 t="shared" si="96"/>
        <v>05/12/2020 14:40:56.455</v>
      </c>
      <c r="C199" t="str">
        <f t="shared" si="80"/>
        <v>FFDFD3C0</v>
      </c>
      <c r="D199" t="s">
        <v>131</v>
      </c>
      <c r="E199">
        <v>12</v>
      </c>
      <c r="F199">
        <v>2012</v>
      </c>
      <c r="G199" t="s">
        <v>137</v>
      </c>
      <c r="J199" t="s">
        <v>133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97"/>
        <v>14:41:14.258</v>
      </c>
      <c r="T199" t="str">
        <f t="shared" si="98"/>
        <v>14:41:13.758</v>
      </c>
      <c r="U199" t="str">
        <f t="shared" si="99"/>
        <v>A9808D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183</v>
      </c>
      <c r="AJ199">
        <v>28.235292000000001</v>
      </c>
      <c r="AK199" t="s">
        <v>184</v>
      </c>
      <c r="AL199">
        <v>-82.383555999999999</v>
      </c>
      <c r="AM199">
        <v>100</v>
      </c>
      <c r="AN199">
        <v>300</v>
      </c>
      <c r="AO199" t="s">
        <v>118</v>
      </c>
      <c r="AP199">
        <v>-3</v>
      </c>
      <c r="AQ199">
        <v>83</v>
      </c>
      <c r="AR199">
        <v>768</v>
      </c>
      <c r="AZ199">
        <v>1200</v>
      </c>
      <c r="BA199">
        <v>1</v>
      </c>
      <c r="BB199" t="str">
        <f t="shared" si="81"/>
        <v xml:space="preserve">N711JA  </v>
      </c>
      <c r="BC199">
        <v>1</v>
      </c>
      <c r="BE199">
        <v>0</v>
      </c>
      <c r="BF199">
        <v>0</v>
      </c>
      <c r="BG199">
        <v>0</v>
      </c>
      <c r="BH199">
        <v>400</v>
      </c>
      <c r="BI199">
        <v>1</v>
      </c>
      <c r="BJ199">
        <v>1</v>
      </c>
      <c r="BK199">
        <v>0</v>
      </c>
      <c r="BL199">
        <v>0</v>
      </c>
      <c r="BO199">
        <v>0</v>
      </c>
      <c r="BP199">
        <v>0</v>
      </c>
      <c r="BW199" t="str">
        <f t="shared" si="100"/>
        <v>14:41:14.265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343</v>
      </c>
      <c r="CR199">
        <v>1</v>
      </c>
      <c r="CW199">
        <v>10520766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 t="shared" si="96"/>
        <v>05/12/2020 14:40:56.455</v>
      </c>
      <c r="C200" t="str">
        <f t="shared" si="80"/>
        <v>FFDFD3C0</v>
      </c>
      <c r="D200" t="s">
        <v>138</v>
      </c>
      <c r="E200">
        <v>2</v>
      </c>
      <c r="H200">
        <v>8</v>
      </c>
      <c r="I200" t="s">
        <v>139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97"/>
        <v>14:41:14.258</v>
      </c>
      <c r="T200" t="str">
        <f t="shared" si="98"/>
        <v>14:41:13.758</v>
      </c>
      <c r="U200" t="str">
        <f t="shared" si="99"/>
        <v>A9808D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183</v>
      </c>
      <c r="AJ200">
        <v>28.235292000000001</v>
      </c>
      <c r="AK200" t="s">
        <v>184</v>
      </c>
      <c r="AL200">
        <v>-82.383555999999999</v>
      </c>
      <c r="AM200">
        <v>100</v>
      </c>
      <c r="AN200">
        <v>300</v>
      </c>
      <c r="AO200" t="s">
        <v>118</v>
      </c>
      <c r="AP200">
        <v>-3</v>
      </c>
      <c r="AQ200">
        <v>83</v>
      </c>
      <c r="AR200">
        <v>768</v>
      </c>
      <c r="AZ200">
        <v>1200</v>
      </c>
      <c r="BA200">
        <v>1</v>
      </c>
      <c r="BB200" t="str">
        <f t="shared" si="81"/>
        <v xml:space="preserve">N711JA  </v>
      </c>
      <c r="BC200">
        <v>1</v>
      </c>
      <c r="BE200">
        <v>0</v>
      </c>
      <c r="BF200">
        <v>0</v>
      </c>
      <c r="BG200">
        <v>0</v>
      </c>
      <c r="BH200">
        <v>400</v>
      </c>
      <c r="BI200">
        <v>1</v>
      </c>
      <c r="BJ200">
        <v>1</v>
      </c>
      <c r="BK200">
        <v>0</v>
      </c>
      <c r="BL200">
        <v>0</v>
      </c>
      <c r="BO200">
        <v>0</v>
      </c>
      <c r="BP200">
        <v>0</v>
      </c>
      <c r="BW200" t="str">
        <f t="shared" si="100"/>
        <v>14:41:14.265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343</v>
      </c>
      <c r="CR200">
        <v>1</v>
      </c>
      <c r="CW200">
        <v>10520766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 t="shared" si="96"/>
        <v>05/12/2020 14:40:56.455</v>
      </c>
      <c r="C201" t="str">
        <f t="shared" si="80"/>
        <v>FFDFD3C0</v>
      </c>
      <c r="D201" t="s">
        <v>138</v>
      </c>
      <c r="E201">
        <v>3</v>
      </c>
      <c r="H201">
        <v>9</v>
      </c>
      <c r="I201" t="s">
        <v>140</v>
      </c>
      <c r="J201" t="s">
        <v>136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97"/>
        <v>14:41:14.258</v>
      </c>
      <c r="T201" t="str">
        <f t="shared" si="98"/>
        <v>14:41:13.758</v>
      </c>
      <c r="U201" t="str">
        <f t="shared" si="99"/>
        <v>A9808D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183</v>
      </c>
      <c r="AJ201">
        <v>28.235292000000001</v>
      </c>
      <c r="AK201" t="s">
        <v>184</v>
      </c>
      <c r="AL201">
        <v>-82.383555999999999</v>
      </c>
      <c r="AM201">
        <v>100</v>
      </c>
      <c r="AN201">
        <v>300</v>
      </c>
      <c r="AO201" t="s">
        <v>118</v>
      </c>
      <c r="AP201">
        <v>-3</v>
      </c>
      <c r="AQ201">
        <v>83</v>
      </c>
      <c r="AR201">
        <v>768</v>
      </c>
      <c r="AZ201">
        <v>1200</v>
      </c>
      <c r="BA201">
        <v>1</v>
      </c>
      <c r="BB201" t="str">
        <f t="shared" si="81"/>
        <v xml:space="preserve">N711JA  </v>
      </c>
      <c r="BC201">
        <v>1</v>
      </c>
      <c r="BE201">
        <v>0</v>
      </c>
      <c r="BF201">
        <v>0</v>
      </c>
      <c r="BG201">
        <v>0</v>
      </c>
      <c r="BH201">
        <v>400</v>
      </c>
      <c r="BI201">
        <v>1</v>
      </c>
      <c r="BJ201">
        <v>1</v>
      </c>
      <c r="BK201">
        <v>0</v>
      </c>
      <c r="BL201">
        <v>0</v>
      </c>
      <c r="BO201">
        <v>0</v>
      </c>
      <c r="BP201">
        <v>0</v>
      </c>
      <c r="BW201" t="str">
        <f t="shared" si="100"/>
        <v>14:41:14.265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343</v>
      </c>
      <c r="CR201">
        <v>1</v>
      </c>
      <c r="CW201">
        <v>10520766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 t="shared" si="96"/>
        <v>05/12/2020 14:40:56.455</v>
      </c>
      <c r="C202" t="str">
        <f t="shared" si="80"/>
        <v>FFDFD3C0</v>
      </c>
      <c r="D202" t="s">
        <v>126</v>
      </c>
      <c r="E202">
        <v>6</v>
      </c>
      <c r="F202">
        <v>1006</v>
      </c>
      <c r="G202" t="s">
        <v>114</v>
      </c>
      <c r="J202" t="s">
        <v>128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97"/>
        <v>14:41:14.258</v>
      </c>
      <c r="T202" t="str">
        <f t="shared" si="98"/>
        <v>14:41:13.758</v>
      </c>
      <c r="U202" t="str">
        <f t="shared" si="99"/>
        <v>A9808D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183</v>
      </c>
      <c r="AJ202">
        <v>28.235292000000001</v>
      </c>
      <c r="AK202" t="s">
        <v>184</v>
      </c>
      <c r="AL202">
        <v>-82.383555999999999</v>
      </c>
      <c r="AM202">
        <v>100</v>
      </c>
      <c r="AN202">
        <v>300</v>
      </c>
      <c r="AO202" t="s">
        <v>118</v>
      </c>
      <c r="AP202">
        <v>-3</v>
      </c>
      <c r="AQ202">
        <v>83</v>
      </c>
      <c r="AR202">
        <v>768</v>
      </c>
      <c r="AZ202">
        <v>1200</v>
      </c>
      <c r="BA202">
        <v>1</v>
      </c>
      <c r="BB202" t="str">
        <f t="shared" si="81"/>
        <v xml:space="preserve">N711JA  </v>
      </c>
      <c r="BC202">
        <v>1</v>
      </c>
      <c r="BE202">
        <v>0</v>
      </c>
      <c r="BF202">
        <v>0</v>
      </c>
      <c r="BG202">
        <v>0</v>
      </c>
      <c r="BH202">
        <v>400</v>
      </c>
      <c r="BI202">
        <v>1</v>
      </c>
      <c r="BJ202">
        <v>1</v>
      </c>
      <c r="BK202">
        <v>0</v>
      </c>
      <c r="BL202">
        <v>0</v>
      </c>
      <c r="BO202">
        <v>0</v>
      </c>
      <c r="BP202">
        <v>0</v>
      </c>
      <c r="BW202" t="str">
        <f t="shared" si="100"/>
        <v>14:41:14.265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343</v>
      </c>
      <c r="CR202">
        <v>1</v>
      </c>
      <c r="CW202">
        <v>10520766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 t="shared" ref="A203:A211" si="101">"05/12/2020 14:40:57.361"</f>
        <v>05/12/2020 14:40:57.361</v>
      </c>
      <c r="C203" t="str">
        <f t="shared" si="80"/>
        <v>FFDFD3C0</v>
      </c>
      <c r="D203" t="s">
        <v>126</v>
      </c>
      <c r="E203">
        <v>7</v>
      </c>
      <c r="F203">
        <v>1007</v>
      </c>
      <c r="G203" t="s">
        <v>127</v>
      </c>
      <c r="J203" t="s">
        <v>128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ref="S203:S211" si="102">"14:41:15.195"</f>
        <v>14:41:15.195</v>
      </c>
      <c r="T203" t="str">
        <f t="shared" ref="T203:T211" si="103">"14:41:14.795"</f>
        <v>14:41:14.795</v>
      </c>
      <c r="U203" t="str">
        <f t="shared" si="99"/>
        <v>A9808D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0</v>
      </c>
      <c r="AI203" t="s">
        <v>185</v>
      </c>
      <c r="AJ203">
        <v>28.235657</v>
      </c>
      <c r="AK203" t="s">
        <v>184</v>
      </c>
      <c r="AL203">
        <v>-82.383555999999999</v>
      </c>
      <c r="AM203">
        <v>100</v>
      </c>
      <c r="AN203">
        <v>300</v>
      </c>
      <c r="AO203" t="s">
        <v>118</v>
      </c>
      <c r="AP203">
        <v>-2</v>
      </c>
      <c r="AQ203">
        <v>82</v>
      </c>
      <c r="AR203">
        <v>704</v>
      </c>
      <c r="AZ203">
        <v>1200</v>
      </c>
      <c r="BA203">
        <v>1</v>
      </c>
      <c r="BB203" t="str">
        <f t="shared" si="81"/>
        <v xml:space="preserve">N711JA  </v>
      </c>
      <c r="BC203">
        <v>1</v>
      </c>
      <c r="BE203">
        <v>0</v>
      </c>
      <c r="BF203">
        <v>0</v>
      </c>
      <c r="BG203">
        <v>0</v>
      </c>
      <c r="BH203">
        <v>425</v>
      </c>
      <c r="BI203">
        <v>1</v>
      </c>
      <c r="BJ203">
        <v>1</v>
      </c>
      <c r="BK203">
        <v>0</v>
      </c>
      <c r="BL203">
        <v>0</v>
      </c>
      <c r="BO203">
        <v>0</v>
      </c>
      <c r="BP203">
        <v>0</v>
      </c>
      <c r="BW203" t="str">
        <f t="shared" ref="BW203:BW211" si="104">"14:41:15.196"</f>
        <v>14:41:15.196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343</v>
      </c>
      <c r="CR203">
        <v>2</v>
      </c>
      <c r="CW203">
        <v>12945311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 t="shared" si="101"/>
        <v>05/12/2020 14:40:57.361</v>
      </c>
      <c r="C204" t="str">
        <f t="shared" si="80"/>
        <v>FFDFD3C0</v>
      </c>
      <c r="D204" t="s">
        <v>131</v>
      </c>
      <c r="E204">
        <v>18</v>
      </c>
      <c r="F204">
        <v>2018</v>
      </c>
      <c r="G204" t="s">
        <v>161</v>
      </c>
      <c r="J204" t="s">
        <v>133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02"/>
        <v>14:41:15.195</v>
      </c>
      <c r="T204" t="str">
        <f t="shared" si="103"/>
        <v>14:41:14.795</v>
      </c>
      <c r="U204" t="str">
        <f t="shared" si="99"/>
        <v>A9808D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185</v>
      </c>
      <c r="AJ204">
        <v>28.235657</v>
      </c>
      <c r="AK204" t="s">
        <v>184</v>
      </c>
      <c r="AL204">
        <v>-82.383555999999999</v>
      </c>
      <c r="AM204">
        <v>100</v>
      </c>
      <c r="AN204">
        <v>300</v>
      </c>
      <c r="AO204" t="s">
        <v>118</v>
      </c>
      <c r="AP204">
        <v>-2</v>
      </c>
      <c r="AQ204">
        <v>82</v>
      </c>
      <c r="AR204">
        <v>704</v>
      </c>
      <c r="AZ204">
        <v>1200</v>
      </c>
      <c r="BA204">
        <v>1</v>
      </c>
      <c r="BB204" t="str">
        <f t="shared" si="81"/>
        <v xml:space="preserve">N711JA  </v>
      </c>
      <c r="BC204">
        <v>1</v>
      </c>
      <c r="BE204">
        <v>0</v>
      </c>
      <c r="BF204">
        <v>0</v>
      </c>
      <c r="BG204">
        <v>0</v>
      </c>
      <c r="BH204">
        <v>425</v>
      </c>
      <c r="BI204">
        <v>1</v>
      </c>
      <c r="BJ204">
        <v>1</v>
      </c>
      <c r="BK204">
        <v>0</v>
      </c>
      <c r="BL204">
        <v>0</v>
      </c>
      <c r="BO204">
        <v>0</v>
      </c>
      <c r="BP204">
        <v>0</v>
      </c>
      <c r="BW204" t="str">
        <f t="shared" si="104"/>
        <v>14:41:15.196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343</v>
      </c>
      <c r="CR204">
        <v>2</v>
      </c>
      <c r="CW204">
        <v>12945311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 t="shared" si="101"/>
        <v>05/12/2020 14:40:57.361</v>
      </c>
      <c r="C205" t="str">
        <f t="shared" si="80"/>
        <v>FFDFD3C0</v>
      </c>
      <c r="D205" t="s">
        <v>131</v>
      </c>
      <c r="E205">
        <v>10</v>
      </c>
      <c r="F205">
        <v>2010</v>
      </c>
      <c r="G205" t="s">
        <v>132</v>
      </c>
      <c r="J205" t="s">
        <v>133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02"/>
        <v>14:41:15.195</v>
      </c>
      <c r="T205" t="str">
        <f t="shared" si="103"/>
        <v>14:41:14.795</v>
      </c>
      <c r="U205" t="str">
        <f t="shared" si="99"/>
        <v>A9808D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0</v>
      </c>
      <c r="AI205" t="s">
        <v>185</v>
      </c>
      <c r="AJ205">
        <v>28.235657</v>
      </c>
      <c r="AK205" t="s">
        <v>184</v>
      </c>
      <c r="AL205">
        <v>-82.383555999999999</v>
      </c>
      <c r="AM205">
        <v>100</v>
      </c>
      <c r="AN205">
        <v>300</v>
      </c>
      <c r="AO205" t="s">
        <v>118</v>
      </c>
      <c r="AP205">
        <v>-2</v>
      </c>
      <c r="AQ205">
        <v>82</v>
      </c>
      <c r="AR205">
        <v>704</v>
      </c>
      <c r="AZ205">
        <v>1200</v>
      </c>
      <c r="BA205">
        <v>1</v>
      </c>
      <c r="BB205" t="str">
        <f t="shared" si="81"/>
        <v xml:space="preserve">N711JA  </v>
      </c>
      <c r="BC205">
        <v>1</v>
      </c>
      <c r="BE205">
        <v>0</v>
      </c>
      <c r="BF205">
        <v>0</v>
      </c>
      <c r="BG205">
        <v>0</v>
      </c>
      <c r="BH205">
        <v>425</v>
      </c>
      <c r="BI205">
        <v>1</v>
      </c>
      <c r="BJ205">
        <v>1</v>
      </c>
      <c r="BK205">
        <v>0</v>
      </c>
      <c r="BL205">
        <v>0</v>
      </c>
      <c r="BO205">
        <v>0</v>
      </c>
      <c r="BP205">
        <v>0</v>
      </c>
      <c r="BW205" t="str">
        <f t="shared" si="104"/>
        <v>14:41:15.196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343</v>
      </c>
      <c r="CR205">
        <v>2</v>
      </c>
      <c r="CW205">
        <v>12945311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 t="shared" si="101"/>
        <v>05/12/2020 14:40:57.361</v>
      </c>
      <c r="C206" t="str">
        <f t="shared" si="80"/>
        <v>FFDFD3C0</v>
      </c>
      <c r="D206" t="s">
        <v>113</v>
      </c>
      <c r="E206">
        <v>3</v>
      </c>
      <c r="H206">
        <v>164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02"/>
        <v>14:41:15.195</v>
      </c>
      <c r="T206" t="str">
        <f t="shared" si="103"/>
        <v>14:41:14.795</v>
      </c>
      <c r="U206" t="str">
        <f t="shared" si="99"/>
        <v>A9808D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185</v>
      </c>
      <c r="AJ206">
        <v>28.235657</v>
      </c>
      <c r="AK206" t="s">
        <v>184</v>
      </c>
      <c r="AL206">
        <v>-82.383555999999999</v>
      </c>
      <c r="AM206">
        <v>100</v>
      </c>
      <c r="AN206">
        <v>300</v>
      </c>
      <c r="AO206" t="s">
        <v>118</v>
      </c>
      <c r="AP206">
        <v>-2</v>
      </c>
      <c r="AQ206">
        <v>82</v>
      </c>
      <c r="AR206">
        <v>704</v>
      </c>
      <c r="AZ206">
        <v>1200</v>
      </c>
      <c r="BA206">
        <v>1</v>
      </c>
      <c r="BB206" t="str">
        <f t="shared" si="81"/>
        <v xml:space="preserve">N711JA  </v>
      </c>
      <c r="BC206">
        <v>1</v>
      </c>
      <c r="BE206">
        <v>0</v>
      </c>
      <c r="BF206">
        <v>0</v>
      </c>
      <c r="BG206">
        <v>0</v>
      </c>
      <c r="BH206">
        <v>425</v>
      </c>
      <c r="BI206">
        <v>1</v>
      </c>
      <c r="BJ206">
        <v>1</v>
      </c>
      <c r="BK206">
        <v>0</v>
      </c>
      <c r="BL206">
        <v>0</v>
      </c>
      <c r="BO206">
        <v>0</v>
      </c>
      <c r="BP206">
        <v>0</v>
      </c>
      <c r="BW206" t="str">
        <f t="shared" si="104"/>
        <v>14:41:15.196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343</v>
      </c>
      <c r="CR206">
        <v>2</v>
      </c>
      <c r="CW206">
        <v>12945311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 t="shared" si="101"/>
        <v>05/12/2020 14:40:57.361</v>
      </c>
      <c r="C207" t="str">
        <f t="shared" si="80"/>
        <v>FFDFD3C0</v>
      </c>
      <c r="D207" t="s">
        <v>131</v>
      </c>
      <c r="E207">
        <v>12</v>
      </c>
      <c r="F207">
        <v>2012</v>
      </c>
      <c r="G207" t="s">
        <v>137</v>
      </c>
      <c r="J207" t="s">
        <v>133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02"/>
        <v>14:41:15.195</v>
      </c>
      <c r="T207" t="str">
        <f t="shared" si="103"/>
        <v>14:41:14.795</v>
      </c>
      <c r="U207" t="str">
        <f t="shared" si="99"/>
        <v>A9808D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185</v>
      </c>
      <c r="AJ207">
        <v>28.235657</v>
      </c>
      <c r="AK207" t="s">
        <v>184</v>
      </c>
      <c r="AL207">
        <v>-82.383555999999999</v>
      </c>
      <c r="AM207">
        <v>100</v>
      </c>
      <c r="AN207">
        <v>300</v>
      </c>
      <c r="AO207" t="s">
        <v>118</v>
      </c>
      <c r="AP207">
        <v>-2</v>
      </c>
      <c r="AQ207">
        <v>82</v>
      </c>
      <c r="AR207">
        <v>704</v>
      </c>
      <c r="AZ207">
        <v>1200</v>
      </c>
      <c r="BA207">
        <v>1</v>
      </c>
      <c r="BB207" t="str">
        <f t="shared" si="81"/>
        <v xml:space="preserve">N711JA  </v>
      </c>
      <c r="BC207">
        <v>1</v>
      </c>
      <c r="BE207">
        <v>0</v>
      </c>
      <c r="BF207">
        <v>0</v>
      </c>
      <c r="BG207">
        <v>0</v>
      </c>
      <c r="BH207">
        <v>425</v>
      </c>
      <c r="BI207">
        <v>1</v>
      </c>
      <c r="BJ207">
        <v>1</v>
      </c>
      <c r="BK207">
        <v>0</v>
      </c>
      <c r="BL207">
        <v>0</v>
      </c>
      <c r="BO207">
        <v>0</v>
      </c>
      <c r="BP207">
        <v>0</v>
      </c>
      <c r="BW207" t="str">
        <f t="shared" si="104"/>
        <v>14:41:15.196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343</v>
      </c>
      <c r="CR207">
        <v>2</v>
      </c>
      <c r="CW207">
        <v>12945311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 t="shared" si="101"/>
        <v>05/12/2020 14:40:57.361</v>
      </c>
      <c r="C208" t="str">
        <f t="shared" si="80"/>
        <v>FFDFD3C0</v>
      </c>
      <c r="D208" t="s">
        <v>134</v>
      </c>
      <c r="E208">
        <v>12</v>
      </c>
      <c r="H208">
        <v>64</v>
      </c>
      <c r="I208" t="s">
        <v>135</v>
      </c>
      <c r="J208" t="s">
        <v>136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02"/>
        <v>14:41:15.195</v>
      </c>
      <c r="T208" t="str">
        <f t="shared" si="103"/>
        <v>14:41:14.795</v>
      </c>
      <c r="U208" t="str">
        <f t="shared" si="99"/>
        <v>A9808D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185</v>
      </c>
      <c r="AJ208">
        <v>28.235657</v>
      </c>
      <c r="AK208" t="s">
        <v>184</v>
      </c>
      <c r="AL208">
        <v>-82.383555999999999</v>
      </c>
      <c r="AM208">
        <v>100</v>
      </c>
      <c r="AN208">
        <v>300</v>
      </c>
      <c r="AO208" t="s">
        <v>118</v>
      </c>
      <c r="AP208">
        <v>-2</v>
      </c>
      <c r="AQ208">
        <v>82</v>
      </c>
      <c r="AR208">
        <v>704</v>
      </c>
      <c r="AZ208">
        <v>1200</v>
      </c>
      <c r="BA208">
        <v>1</v>
      </c>
      <c r="BB208" t="str">
        <f t="shared" si="81"/>
        <v xml:space="preserve">N711JA  </v>
      </c>
      <c r="BC208">
        <v>1</v>
      </c>
      <c r="BE208">
        <v>0</v>
      </c>
      <c r="BF208">
        <v>0</v>
      </c>
      <c r="BG208">
        <v>0</v>
      </c>
      <c r="BH208">
        <v>425</v>
      </c>
      <c r="BI208">
        <v>1</v>
      </c>
      <c r="BJ208">
        <v>1</v>
      </c>
      <c r="BK208">
        <v>0</v>
      </c>
      <c r="BL208">
        <v>0</v>
      </c>
      <c r="BO208">
        <v>0</v>
      </c>
      <c r="BP208">
        <v>0</v>
      </c>
      <c r="BW208" t="str">
        <f t="shared" si="104"/>
        <v>14:41:15.196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343</v>
      </c>
      <c r="CR208">
        <v>2</v>
      </c>
      <c r="CW208">
        <v>12945311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 t="shared" si="101"/>
        <v>05/12/2020 14:40:57.361</v>
      </c>
      <c r="C209" t="str">
        <f t="shared" si="80"/>
        <v>FFDFD3C0</v>
      </c>
      <c r="D209" t="s">
        <v>138</v>
      </c>
      <c r="E209">
        <v>2</v>
      </c>
      <c r="H209">
        <v>8</v>
      </c>
      <c r="I209" t="s">
        <v>139</v>
      </c>
      <c r="J209" t="s">
        <v>136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02"/>
        <v>14:41:15.195</v>
      </c>
      <c r="T209" t="str">
        <f t="shared" si="103"/>
        <v>14:41:14.795</v>
      </c>
      <c r="U209" t="str">
        <f t="shared" si="99"/>
        <v>A9808D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185</v>
      </c>
      <c r="AJ209">
        <v>28.235657</v>
      </c>
      <c r="AK209" t="s">
        <v>184</v>
      </c>
      <c r="AL209">
        <v>-82.383555999999999</v>
      </c>
      <c r="AM209">
        <v>100</v>
      </c>
      <c r="AN209">
        <v>300</v>
      </c>
      <c r="AO209" t="s">
        <v>118</v>
      </c>
      <c r="AP209">
        <v>-2</v>
      </c>
      <c r="AQ209">
        <v>82</v>
      </c>
      <c r="AR209">
        <v>704</v>
      </c>
      <c r="AZ209">
        <v>1200</v>
      </c>
      <c r="BA209">
        <v>1</v>
      </c>
      <c r="BB209" t="str">
        <f t="shared" si="81"/>
        <v xml:space="preserve">N711JA  </v>
      </c>
      <c r="BC209">
        <v>1</v>
      </c>
      <c r="BE209">
        <v>0</v>
      </c>
      <c r="BF209">
        <v>0</v>
      </c>
      <c r="BG209">
        <v>0</v>
      </c>
      <c r="BH209">
        <v>425</v>
      </c>
      <c r="BI209">
        <v>1</v>
      </c>
      <c r="BJ209">
        <v>1</v>
      </c>
      <c r="BK209">
        <v>0</v>
      </c>
      <c r="BL209">
        <v>0</v>
      </c>
      <c r="BO209">
        <v>0</v>
      </c>
      <c r="BP209">
        <v>0</v>
      </c>
      <c r="BW209" t="str">
        <f t="shared" si="104"/>
        <v>14:41:15.196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343</v>
      </c>
      <c r="CR209">
        <v>2</v>
      </c>
      <c r="CW209">
        <v>12945311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 t="shared" si="101"/>
        <v>05/12/2020 14:40:57.361</v>
      </c>
      <c r="C210" t="str">
        <f t="shared" si="80"/>
        <v>FFDFD3C0</v>
      </c>
      <c r="D210" t="s">
        <v>138</v>
      </c>
      <c r="E210">
        <v>3</v>
      </c>
      <c r="H210">
        <v>9</v>
      </c>
      <c r="I210" t="s">
        <v>140</v>
      </c>
      <c r="J210" t="s">
        <v>136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02"/>
        <v>14:41:15.195</v>
      </c>
      <c r="T210" t="str">
        <f t="shared" si="103"/>
        <v>14:41:14.795</v>
      </c>
      <c r="U210" t="str">
        <f t="shared" si="99"/>
        <v>A9808D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185</v>
      </c>
      <c r="AJ210">
        <v>28.235657</v>
      </c>
      <c r="AK210" t="s">
        <v>184</v>
      </c>
      <c r="AL210">
        <v>-82.383555999999999</v>
      </c>
      <c r="AM210">
        <v>100</v>
      </c>
      <c r="AN210">
        <v>300</v>
      </c>
      <c r="AO210" t="s">
        <v>118</v>
      </c>
      <c r="AP210">
        <v>-2</v>
      </c>
      <c r="AQ210">
        <v>82</v>
      </c>
      <c r="AR210">
        <v>704</v>
      </c>
      <c r="AZ210">
        <v>1200</v>
      </c>
      <c r="BA210">
        <v>1</v>
      </c>
      <c r="BB210" t="str">
        <f t="shared" si="81"/>
        <v xml:space="preserve">N711JA  </v>
      </c>
      <c r="BC210">
        <v>1</v>
      </c>
      <c r="BE210">
        <v>0</v>
      </c>
      <c r="BF210">
        <v>0</v>
      </c>
      <c r="BG210">
        <v>0</v>
      </c>
      <c r="BH210">
        <v>425</v>
      </c>
      <c r="BI210">
        <v>1</v>
      </c>
      <c r="BJ210">
        <v>1</v>
      </c>
      <c r="BK210">
        <v>0</v>
      </c>
      <c r="BL210">
        <v>0</v>
      </c>
      <c r="BO210">
        <v>0</v>
      </c>
      <c r="BP210">
        <v>0</v>
      </c>
      <c r="BW210" t="str">
        <f t="shared" si="104"/>
        <v>14:41:15.196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343</v>
      </c>
      <c r="CR210">
        <v>2</v>
      </c>
      <c r="CW210">
        <v>12945311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 t="shared" si="101"/>
        <v>05/12/2020 14:40:57.361</v>
      </c>
      <c r="C211" t="str">
        <f t="shared" si="80"/>
        <v>FFDFD3C0</v>
      </c>
      <c r="D211" t="s">
        <v>126</v>
      </c>
      <c r="E211">
        <v>6</v>
      </c>
      <c r="F211">
        <v>1006</v>
      </c>
      <c r="G211" t="s">
        <v>114</v>
      </c>
      <c r="J211" t="s">
        <v>128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02"/>
        <v>14:41:15.195</v>
      </c>
      <c r="T211" t="str">
        <f t="shared" si="103"/>
        <v>14:41:14.795</v>
      </c>
      <c r="U211" t="str">
        <f t="shared" si="99"/>
        <v>A9808D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185</v>
      </c>
      <c r="AJ211">
        <v>28.235657</v>
      </c>
      <c r="AK211" t="s">
        <v>184</v>
      </c>
      <c r="AL211">
        <v>-82.383555999999999</v>
      </c>
      <c r="AM211">
        <v>100</v>
      </c>
      <c r="AN211">
        <v>300</v>
      </c>
      <c r="AO211" t="s">
        <v>118</v>
      </c>
      <c r="AP211">
        <v>-2</v>
      </c>
      <c r="AQ211">
        <v>82</v>
      </c>
      <c r="AR211">
        <v>704</v>
      </c>
      <c r="AZ211">
        <v>1200</v>
      </c>
      <c r="BA211">
        <v>1</v>
      </c>
      <c r="BB211" t="str">
        <f t="shared" si="81"/>
        <v xml:space="preserve">N711JA  </v>
      </c>
      <c r="BC211">
        <v>1</v>
      </c>
      <c r="BE211">
        <v>0</v>
      </c>
      <c r="BF211">
        <v>0</v>
      </c>
      <c r="BG211">
        <v>0</v>
      </c>
      <c r="BH211">
        <v>425</v>
      </c>
      <c r="BI211">
        <v>1</v>
      </c>
      <c r="BJ211">
        <v>1</v>
      </c>
      <c r="BK211">
        <v>0</v>
      </c>
      <c r="BL211">
        <v>0</v>
      </c>
      <c r="BO211">
        <v>0</v>
      </c>
      <c r="BP211">
        <v>0</v>
      </c>
      <c r="BW211" t="str">
        <f t="shared" si="104"/>
        <v>14:41:15.196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343</v>
      </c>
      <c r="CR211">
        <v>2</v>
      </c>
      <c r="CW211">
        <v>12945311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 t="shared" ref="A212:A220" si="105">"05/12/2020 14:40:58.419"</f>
        <v>05/12/2020 14:40:58.419</v>
      </c>
      <c r="C212" t="str">
        <f t="shared" si="80"/>
        <v>FFDFD3C0</v>
      </c>
      <c r="D212" t="s">
        <v>126</v>
      </c>
      <c r="E212">
        <v>7</v>
      </c>
      <c r="F212">
        <v>1007</v>
      </c>
      <c r="G212" t="s">
        <v>127</v>
      </c>
      <c r="J212" t="s">
        <v>128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ref="S212:S220" si="106">"14:41:16.234"</f>
        <v>14:41:16.234</v>
      </c>
      <c r="T212" t="str">
        <f t="shared" ref="T212:T220" si="107">"14:41:15.934"</f>
        <v>14:41:15.934</v>
      </c>
      <c r="U212" t="str">
        <f t="shared" si="99"/>
        <v>A9808D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186</v>
      </c>
      <c r="AJ212">
        <v>28.236065</v>
      </c>
      <c r="AK212" t="s">
        <v>184</v>
      </c>
      <c r="AL212">
        <v>-82.383555999999999</v>
      </c>
      <c r="AM212">
        <v>100</v>
      </c>
      <c r="AN212">
        <v>300</v>
      </c>
      <c r="AO212" t="s">
        <v>118</v>
      </c>
      <c r="AP212">
        <v>0</v>
      </c>
      <c r="AQ212">
        <v>83</v>
      </c>
      <c r="AR212">
        <v>512</v>
      </c>
      <c r="AZ212">
        <v>1200</v>
      </c>
      <c r="BA212">
        <v>1</v>
      </c>
      <c r="BB212" t="str">
        <f t="shared" si="81"/>
        <v xml:space="preserve">N711JA  </v>
      </c>
      <c r="BC212">
        <v>1</v>
      </c>
      <c r="BE212">
        <v>0</v>
      </c>
      <c r="BF212">
        <v>0</v>
      </c>
      <c r="BG212">
        <v>0</v>
      </c>
      <c r="BH212">
        <v>425</v>
      </c>
      <c r="BI212">
        <v>1</v>
      </c>
      <c r="BJ212">
        <v>1</v>
      </c>
      <c r="BK212">
        <v>0</v>
      </c>
      <c r="BL212">
        <v>0</v>
      </c>
      <c r="BO212">
        <v>0</v>
      </c>
      <c r="BP212">
        <v>0</v>
      </c>
      <c r="BW212" t="str">
        <f t="shared" ref="BW212:BW220" si="108">"14:41:16.236"</f>
        <v>14:41:16.236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343</v>
      </c>
      <c r="CR212">
        <v>1</v>
      </c>
      <c r="CW212">
        <v>10522901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 t="shared" si="105"/>
        <v>05/12/2020 14:40:58.419</v>
      </c>
      <c r="C213" t="str">
        <f t="shared" si="80"/>
        <v>FFDFD3C0</v>
      </c>
      <c r="D213" t="s">
        <v>131</v>
      </c>
      <c r="E213">
        <v>18</v>
      </c>
      <c r="F213">
        <v>2018</v>
      </c>
      <c r="G213" t="s">
        <v>161</v>
      </c>
      <c r="J213" t="s">
        <v>133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06"/>
        <v>14:41:16.234</v>
      </c>
      <c r="T213" t="str">
        <f t="shared" si="107"/>
        <v>14:41:15.934</v>
      </c>
      <c r="U213" t="str">
        <f t="shared" si="99"/>
        <v>A9808D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186</v>
      </c>
      <c r="AJ213">
        <v>28.236065</v>
      </c>
      <c r="AK213" t="s">
        <v>184</v>
      </c>
      <c r="AL213">
        <v>-82.383555999999999</v>
      </c>
      <c r="AM213">
        <v>100</v>
      </c>
      <c r="AN213">
        <v>300</v>
      </c>
      <c r="AO213" t="s">
        <v>118</v>
      </c>
      <c r="AP213">
        <v>0</v>
      </c>
      <c r="AQ213">
        <v>83</v>
      </c>
      <c r="AR213">
        <v>512</v>
      </c>
      <c r="AZ213">
        <v>1200</v>
      </c>
      <c r="BA213">
        <v>1</v>
      </c>
      <c r="BB213" t="str">
        <f t="shared" si="81"/>
        <v xml:space="preserve">N711JA  </v>
      </c>
      <c r="BC213">
        <v>1</v>
      </c>
      <c r="BE213">
        <v>0</v>
      </c>
      <c r="BF213">
        <v>0</v>
      </c>
      <c r="BG213">
        <v>0</v>
      </c>
      <c r="BH213">
        <v>425</v>
      </c>
      <c r="BI213">
        <v>1</v>
      </c>
      <c r="BJ213">
        <v>1</v>
      </c>
      <c r="BK213">
        <v>0</v>
      </c>
      <c r="BL213">
        <v>0</v>
      </c>
      <c r="BO213">
        <v>0</v>
      </c>
      <c r="BP213">
        <v>0</v>
      </c>
      <c r="BW213" t="str">
        <f t="shared" si="108"/>
        <v>14:41:16.236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343</v>
      </c>
      <c r="CR213">
        <v>1</v>
      </c>
      <c r="CW213">
        <v>10522901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 t="shared" si="105"/>
        <v>05/12/2020 14:40:58.419</v>
      </c>
      <c r="C214" t="str">
        <f t="shared" ref="C214:C277" si="109">"FFDFD3C0"</f>
        <v>FFDFD3C0</v>
      </c>
      <c r="D214" t="s">
        <v>131</v>
      </c>
      <c r="E214">
        <v>10</v>
      </c>
      <c r="F214">
        <v>2010</v>
      </c>
      <c r="G214" t="s">
        <v>132</v>
      </c>
      <c r="J214" t="s">
        <v>133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06"/>
        <v>14:41:16.234</v>
      </c>
      <c r="T214" t="str">
        <f t="shared" si="107"/>
        <v>14:41:15.934</v>
      </c>
      <c r="U214" t="str">
        <f t="shared" si="99"/>
        <v>A9808D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186</v>
      </c>
      <c r="AJ214">
        <v>28.236065</v>
      </c>
      <c r="AK214" t="s">
        <v>184</v>
      </c>
      <c r="AL214">
        <v>-82.383555999999999</v>
      </c>
      <c r="AM214">
        <v>100</v>
      </c>
      <c r="AN214">
        <v>300</v>
      </c>
      <c r="AO214" t="s">
        <v>118</v>
      </c>
      <c r="AP214">
        <v>0</v>
      </c>
      <c r="AQ214">
        <v>83</v>
      </c>
      <c r="AR214">
        <v>512</v>
      </c>
      <c r="AZ214">
        <v>1200</v>
      </c>
      <c r="BA214">
        <v>1</v>
      </c>
      <c r="BB214" t="str">
        <f t="shared" ref="BB214:BB277" si="110">"N711JA  "</f>
        <v xml:space="preserve">N711JA  </v>
      </c>
      <c r="BC214">
        <v>1</v>
      </c>
      <c r="BE214">
        <v>0</v>
      </c>
      <c r="BF214">
        <v>0</v>
      </c>
      <c r="BG214">
        <v>0</v>
      </c>
      <c r="BH214">
        <v>425</v>
      </c>
      <c r="BI214">
        <v>1</v>
      </c>
      <c r="BJ214">
        <v>1</v>
      </c>
      <c r="BK214">
        <v>0</v>
      </c>
      <c r="BL214">
        <v>0</v>
      </c>
      <c r="BO214">
        <v>0</v>
      </c>
      <c r="BP214">
        <v>0</v>
      </c>
      <c r="BW214" t="str">
        <f t="shared" si="108"/>
        <v>14:41:16.236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343</v>
      </c>
      <c r="CR214">
        <v>1</v>
      </c>
      <c r="CW214">
        <v>10522901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 t="shared" si="105"/>
        <v>05/12/2020 14:40:58.419</v>
      </c>
      <c r="C215" t="str">
        <f t="shared" si="109"/>
        <v>FFDFD3C0</v>
      </c>
      <c r="D215" t="s">
        <v>131</v>
      </c>
      <c r="E215">
        <v>12</v>
      </c>
      <c r="F215">
        <v>2012</v>
      </c>
      <c r="G215" t="s">
        <v>137</v>
      </c>
      <c r="J215" t="s">
        <v>133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06"/>
        <v>14:41:16.234</v>
      </c>
      <c r="T215" t="str">
        <f t="shared" si="107"/>
        <v>14:41:15.934</v>
      </c>
      <c r="U215" t="str">
        <f t="shared" si="99"/>
        <v>A9808D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186</v>
      </c>
      <c r="AJ215">
        <v>28.236065</v>
      </c>
      <c r="AK215" t="s">
        <v>184</v>
      </c>
      <c r="AL215">
        <v>-82.383555999999999</v>
      </c>
      <c r="AM215">
        <v>100</v>
      </c>
      <c r="AN215">
        <v>300</v>
      </c>
      <c r="AO215" t="s">
        <v>118</v>
      </c>
      <c r="AP215">
        <v>0</v>
      </c>
      <c r="AQ215">
        <v>83</v>
      </c>
      <c r="AR215">
        <v>512</v>
      </c>
      <c r="AZ215">
        <v>1200</v>
      </c>
      <c r="BA215">
        <v>1</v>
      </c>
      <c r="BB215" t="str">
        <f t="shared" si="110"/>
        <v xml:space="preserve">N711JA  </v>
      </c>
      <c r="BC215">
        <v>1</v>
      </c>
      <c r="BE215">
        <v>0</v>
      </c>
      <c r="BF215">
        <v>0</v>
      </c>
      <c r="BG215">
        <v>0</v>
      </c>
      <c r="BH215">
        <v>425</v>
      </c>
      <c r="BI215">
        <v>1</v>
      </c>
      <c r="BJ215">
        <v>1</v>
      </c>
      <c r="BK215">
        <v>0</v>
      </c>
      <c r="BL215">
        <v>0</v>
      </c>
      <c r="BO215">
        <v>0</v>
      </c>
      <c r="BP215">
        <v>0</v>
      </c>
      <c r="BW215" t="str">
        <f t="shared" si="108"/>
        <v>14:41:16.236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343</v>
      </c>
      <c r="CR215">
        <v>1</v>
      </c>
      <c r="CW215">
        <v>10522901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 t="shared" si="105"/>
        <v>05/12/2020 14:40:58.419</v>
      </c>
      <c r="C216" t="str">
        <f t="shared" si="109"/>
        <v>FFDFD3C0</v>
      </c>
      <c r="D216" t="s">
        <v>113</v>
      </c>
      <c r="E216">
        <v>3</v>
      </c>
      <c r="H216">
        <v>164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06"/>
        <v>14:41:16.234</v>
      </c>
      <c r="T216" t="str">
        <f t="shared" si="107"/>
        <v>14:41:15.934</v>
      </c>
      <c r="U216" t="str">
        <f t="shared" si="99"/>
        <v>A9808D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186</v>
      </c>
      <c r="AJ216">
        <v>28.236065</v>
      </c>
      <c r="AK216" t="s">
        <v>184</v>
      </c>
      <c r="AL216">
        <v>-82.383555999999999</v>
      </c>
      <c r="AM216">
        <v>100</v>
      </c>
      <c r="AN216">
        <v>300</v>
      </c>
      <c r="AO216" t="s">
        <v>118</v>
      </c>
      <c r="AP216">
        <v>0</v>
      </c>
      <c r="AQ216">
        <v>83</v>
      </c>
      <c r="AR216">
        <v>512</v>
      </c>
      <c r="AZ216">
        <v>1200</v>
      </c>
      <c r="BA216">
        <v>1</v>
      </c>
      <c r="BB216" t="str">
        <f t="shared" si="110"/>
        <v xml:space="preserve">N711JA  </v>
      </c>
      <c r="BC216">
        <v>1</v>
      </c>
      <c r="BE216">
        <v>0</v>
      </c>
      <c r="BF216">
        <v>0</v>
      </c>
      <c r="BG216">
        <v>0</v>
      </c>
      <c r="BH216">
        <v>425</v>
      </c>
      <c r="BI216">
        <v>1</v>
      </c>
      <c r="BJ216">
        <v>1</v>
      </c>
      <c r="BK216">
        <v>0</v>
      </c>
      <c r="BL216">
        <v>0</v>
      </c>
      <c r="BO216">
        <v>0</v>
      </c>
      <c r="BP216">
        <v>0</v>
      </c>
      <c r="BW216" t="str">
        <f t="shared" si="108"/>
        <v>14:41:16.236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343</v>
      </c>
      <c r="CR216">
        <v>1</v>
      </c>
      <c r="CW216">
        <v>10522901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 t="shared" si="105"/>
        <v>05/12/2020 14:40:58.419</v>
      </c>
      <c r="C217" t="str">
        <f t="shared" si="109"/>
        <v>FFDFD3C0</v>
      </c>
      <c r="D217" t="s">
        <v>134</v>
      </c>
      <c r="E217">
        <v>12</v>
      </c>
      <c r="H217">
        <v>64</v>
      </c>
      <c r="I217" t="s">
        <v>135</v>
      </c>
      <c r="J217" t="s">
        <v>136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06"/>
        <v>14:41:16.234</v>
      </c>
      <c r="T217" t="str">
        <f t="shared" si="107"/>
        <v>14:41:15.934</v>
      </c>
      <c r="U217" t="str">
        <f t="shared" si="99"/>
        <v>A9808D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186</v>
      </c>
      <c r="AJ217">
        <v>28.236065</v>
      </c>
      <c r="AK217" t="s">
        <v>184</v>
      </c>
      <c r="AL217">
        <v>-82.383555999999999</v>
      </c>
      <c r="AM217">
        <v>100</v>
      </c>
      <c r="AN217">
        <v>300</v>
      </c>
      <c r="AO217" t="s">
        <v>118</v>
      </c>
      <c r="AP217">
        <v>0</v>
      </c>
      <c r="AQ217">
        <v>83</v>
      </c>
      <c r="AR217">
        <v>512</v>
      </c>
      <c r="AZ217">
        <v>1200</v>
      </c>
      <c r="BA217">
        <v>1</v>
      </c>
      <c r="BB217" t="str">
        <f t="shared" si="110"/>
        <v xml:space="preserve">N711JA  </v>
      </c>
      <c r="BC217">
        <v>1</v>
      </c>
      <c r="BE217">
        <v>0</v>
      </c>
      <c r="BF217">
        <v>0</v>
      </c>
      <c r="BG217">
        <v>0</v>
      </c>
      <c r="BH217">
        <v>425</v>
      </c>
      <c r="BI217">
        <v>1</v>
      </c>
      <c r="BJ217">
        <v>1</v>
      </c>
      <c r="BK217">
        <v>0</v>
      </c>
      <c r="BL217">
        <v>0</v>
      </c>
      <c r="BO217">
        <v>0</v>
      </c>
      <c r="BP217">
        <v>0</v>
      </c>
      <c r="BW217" t="str">
        <f t="shared" si="108"/>
        <v>14:41:16.236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343</v>
      </c>
      <c r="CR217">
        <v>1</v>
      </c>
      <c r="CW217">
        <v>10522901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 t="shared" si="105"/>
        <v>05/12/2020 14:40:58.419</v>
      </c>
      <c r="C218" t="str">
        <f t="shared" si="109"/>
        <v>FFDFD3C0</v>
      </c>
      <c r="D218" t="s">
        <v>126</v>
      </c>
      <c r="E218">
        <v>6</v>
      </c>
      <c r="F218">
        <v>1006</v>
      </c>
      <c r="G218" t="s">
        <v>114</v>
      </c>
      <c r="J218" t="s">
        <v>128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06"/>
        <v>14:41:16.234</v>
      </c>
      <c r="T218" t="str">
        <f t="shared" si="107"/>
        <v>14:41:15.934</v>
      </c>
      <c r="U218" t="str">
        <f t="shared" si="99"/>
        <v>A9808D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186</v>
      </c>
      <c r="AJ218">
        <v>28.236065</v>
      </c>
      <c r="AK218" t="s">
        <v>184</v>
      </c>
      <c r="AL218">
        <v>-82.383555999999999</v>
      </c>
      <c r="AM218">
        <v>100</v>
      </c>
      <c r="AN218">
        <v>300</v>
      </c>
      <c r="AO218" t="s">
        <v>118</v>
      </c>
      <c r="AP218">
        <v>0</v>
      </c>
      <c r="AQ218">
        <v>83</v>
      </c>
      <c r="AR218">
        <v>512</v>
      </c>
      <c r="AZ218">
        <v>1200</v>
      </c>
      <c r="BA218">
        <v>1</v>
      </c>
      <c r="BB218" t="str">
        <f t="shared" si="110"/>
        <v xml:space="preserve">N711JA  </v>
      </c>
      <c r="BC218">
        <v>1</v>
      </c>
      <c r="BE218">
        <v>0</v>
      </c>
      <c r="BF218">
        <v>0</v>
      </c>
      <c r="BG218">
        <v>0</v>
      </c>
      <c r="BH218">
        <v>425</v>
      </c>
      <c r="BI218">
        <v>1</v>
      </c>
      <c r="BJ218">
        <v>1</v>
      </c>
      <c r="BK218">
        <v>0</v>
      </c>
      <c r="BL218">
        <v>0</v>
      </c>
      <c r="BO218">
        <v>0</v>
      </c>
      <c r="BP218">
        <v>0</v>
      </c>
      <c r="BW218" t="str">
        <f t="shared" si="108"/>
        <v>14:41:16.236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343</v>
      </c>
      <c r="CR218">
        <v>1</v>
      </c>
      <c r="CW218">
        <v>10522901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 t="shared" si="105"/>
        <v>05/12/2020 14:40:58.419</v>
      </c>
      <c r="C219" t="str">
        <f t="shared" si="109"/>
        <v>FFDFD3C0</v>
      </c>
      <c r="D219" t="s">
        <v>138</v>
      </c>
      <c r="E219">
        <v>2</v>
      </c>
      <c r="H219">
        <v>8</v>
      </c>
      <c r="I219" t="s">
        <v>139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06"/>
        <v>14:41:16.234</v>
      </c>
      <c r="T219" t="str">
        <f t="shared" si="107"/>
        <v>14:41:15.934</v>
      </c>
      <c r="U219" t="str">
        <f t="shared" si="99"/>
        <v>A9808D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186</v>
      </c>
      <c r="AJ219">
        <v>28.236065</v>
      </c>
      <c r="AK219" t="s">
        <v>184</v>
      </c>
      <c r="AL219">
        <v>-82.383555999999999</v>
      </c>
      <c r="AM219">
        <v>100</v>
      </c>
      <c r="AN219">
        <v>300</v>
      </c>
      <c r="AO219" t="s">
        <v>118</v>
      </c>
      <c r="AP219">
        <v>0</v>
      </c>
      <c r="AQ219">
        <v>83</v>
      </c>
      <c r="AR219">
        <v>512</v>
      </c>
      <c r="AZ219">
        <v>1200</v>
      </c>
      <c r="BA219">
        <v>1</v>
      </c>
      <c r="BB219" t="str">
        <f t="shared" si="110"/>
        <v xml:space="preserve">N711JA  </v>
      </c>
      <c r="BC219">
        <v>1</v>
      </c>
      <c r="BE219">
        <v>0</v>
      </c>
      <c r="BF219">
        <v>0</v>
      </c>
      <c r="BG219">
        <v>0</v>
      </c>
      <c r="BH219">
        <v>425</v>
      </c>
      <c r="BI219">
        <v>1</v>
      </c>
      <c r="BJ219">
        <v>1</v>
      </c>
      <c r="BK219">
        <v>0</v>
      </c>
      <c r="BL219">
        <v>0</v>
      </c>
      <c r="BO219">
        <v>0</v>
      </c>
      <c r="BP219">
        <v>0</v>
      </c>
      <c r="BW219" t="str">
        <f t="shared" si="108"/>
        <v>14:41:16.236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343</v>
      </c>
      <c r="CR219">
        <v>1</v>
      </c>
      <c r="CW219">
        <v>10522901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 t="shared" si="105"/>
        <v>05/12/2020 14:40:58.419</v>
      </c>
      <c r="C220" t="str">
        <f t="shared" si="109"/>
        <v>FFDFD3C0</v>
      </c>
      <c r="D220" t="s">
        <v>138</v>
      </c>
      <c r="E220">
        <v>3</v>
      </c>
      <c r="H220">
        <v>9</v>
      </c>
      <c r="I220" t="s">
        <v>140</v>
      </c>
      <c r="J220" t="s">
        <v>136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06"/>
        <v>14:41:16.234</v>
      </c>
      <c r="T220" t="str">
        <f t="shared" si="107"/>
        <v>14:41:15.934</v>
      </c>
      <c r="U220" t="str">
        <f t="shared" si="99"/>
        <v>A9808D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186</v>
      </c>
      <c r="AJ220">
        <v>28.236065</v>
      </c>
      <c r="AK220" t="s">
        <v>184</v>
      </c>
      <c r="AL220">
        <v>-82.383555999999999</v>
      </c>
      <c r="AM220">
        <v>100</v>
      </c>
      <c r="AN220">
        <v>300</v>
      </c>
      <c r="AO220" t="s">
        <v>118</v>
      </c>
      <c r="AP220">
        <v>0</v>
      </c>
      <c r="AQ220">
        <v>83</v>
      </c>
      <c r="AR220">
        <v>512</v>
      </c>
      <c r="AZ220">
        <v>1200</v>
      </c>
      <c r="BA220">
        <v>1</v>
      </c>
      <c r="BB220" t="str">
        <f t="shared" si="110"/>
        <v xml:space="preserve">N711JA  </v>
      </c>
      <c r="BC220">
        <v>1</v>
      </c>
      <c r="BE220">
        <v>0</v>
      </c>
      <c r="BF220">
        <v>0</v>
      </c>
      <c r="BG220">
        <v>0</v>
      </c>
      <c r="BH220">
        <v>425</v>
      </c>
      <c r="BI220">
        <v>1</v>
      </c>
      <c r="BJ220">
        <v>1</v>
      </c>
      <c r="BK220">
        <v>0</v>
      </c>
      <c r="BL220">
        <v>0</v>
      </c>
      <c r="BO220">
        <v>0</v>
      </c>
      <c r="BP220">
        <v>0</v>
      </c>
      <c r="BW220" t="str">
        <f t="shared" si="108"/>
        <v>14:41:16.236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343</v>
      </c>
      <c r="CR220">
        <v>1</v>
      </c>
      <c r="CW220">
        <v>10522901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"05/12/2020 14:40:59.356"</f>
        <v>05/12/2020 14:40:59.356</v>
      </c>
      <c r="C221" t="str">
        <f t="shared" si="109"/>
        <v>FFDFD3C0</v>
      </c>
      <c r="D221" t="s">
        <v>126</v>
      </c>
      <c r="E221">
        <v>6</v>
      </c>
      <c r="F221">
        <v>1006</v>
      </c>
      <c r="G221" t="s">
        <v>114</v>
      </c>
      <c r="J221" t="s">
        <v>128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"14:41:17.156"</f>
        <v>14:41:17.156</v>
      </c>
      <c r="T221" t="str">
        <f>"14:41:17.056"</f>
        <v>14:41:17.056</v>
      </c>
      <c r="U221" t="str">
        <f t="shared" si="99"/>
        <v>A9808D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187</v>
      </c>
      <c r="AJ221">
        <v>28.236429999999999</v>
      </c>
      <c r="AK221" t="s">
        <v>182</v>
      </c>
      <c r="AL221">
        <v>-82.383578</v>
      </c>
      <c r="AM221">
        <v>100</v>
      </c>
      <c r="AN221">
        <v>400</v>
      </c>
      <c r="AO221" t="s">
        <v>118</v>
      </c>
      <c r="AP221">
        <v>1</v>
      </c>
      <c r="AQ221">
        <v>83</v>
      </c>
      <c r="AR221">
        <v>320</v>
      </c>
      <c r="AZ221">
        <v>1200</v>
      </c>
      <c r="BA221">
        <v>1</v>
      </c>
      <c r="BB221" t="str">
        <f t="shared" si="110"/>
        <v xml:space="preserve">N711JA  </v>
      </c>
      <c r="BC221">
        <v>1</v>
      </c>
      <c r="BE221">
        <v>0</v>
      </c>
      <c r="BF221">
        <v>0</v>
      </c>
      <c r="BG221">
        <v>0</v>
      </c>
      <c r="BH221">
        <v>325</v>
      </c>
      <c r="BI221">
        <v>1</v>
      </c>
      <c r="BJ221">
        <v>1</v>
      </c>
      <c r="BK221">
        <v>0</v>
      </c>
      <c r="BL221">
        <v>0</v>
      </c>
      <c r="BO221">
        <v>0</v>
      </c>
      <c r="BP221">
        <v>0</v>
      </c>
      <c r="BW221" t="str">
        <f>"14:41:17.158"</f>
        <v>14:41:17.158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3</v>
      </c>
      <c r="CP221" t="s">
        <v>119</v>
      </c>
      <c r="CQ221">
        <v>358</v>
      </c>
      <c r="CR221">
        <v>0</v>
      </c>
      <c r="CW221">
        <v>4533451</v>
      </c>
      <c r="CY221">
        <v>1</v>
      </c>
      <c r="CZ221">
        <v>0</v>
      </c>
      <c r="DA221">
        <v>0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"05/12/2020 14:40:59.356"</f>
        <v>05/12/2020 14:40:59.356</v>
      </c>
      <c r="C222" t="str">
        <f t="shared" si="109"/>
        <v>FFDFD3C0</v>
      </c>
      <c r="D222" t="s">
        <v>138</v>
      </c>
      <c r="E222">
        <v>3</v>
      </c>
      <c r="H222">
        <v>9</v>
      </c>
      <c r="I222" t="s">
        <v>140</v>
      </c>
      <c r="J222" t="s">
        <v>136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"14:41:17.156"</f>
        <v>14:41:17.156</v>
      </c>
      <c r="T222" t="str">
        <f>"14:41:17.056"</f>
        <v>14:41:17.056</v>
      </c>
      <c r="U222" t="str">
        <f t="shared" si="99"/>
        <v>A9808D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187</v>
      </c>
      <c r="AJ222">
        <v>28.236429999999999</v>
      </c>
      <c r="AK222" t="s">
        <v>182</v>
      </c>
      <c r="AL222">
        <v>-82.383578</v>
      </c>
      <c r="AM222">
        <v>100</v>
      </c>
      <c r="AN222">
        <v>400</v>
      </c>
      <c r="AO222" t="s">
        <v>118</v>
      </c>
      <c r="AP222">
        <v>1</v>
      </c>
      <c r="AQ222">
        <v>83</v>
      </c>
      <c r="AR222">
        <v>320</v>
      </c>
      <c r="AZ222">
        <v>1200</v>
      </c>
      <c r="BA222">
        <v>1</v>
      </c>
      <c r="BB222" t="str">
        <f t="shared" si="110"/>
        <v xml:space="preserve">N711JA  </v>
      </c>
      <c r="BC222">
        <v>1</v>
      </c>
      <c r="BE222">
        <v>0</v>
      </c>
      <c r="BF222">
        <v>0</v>
      </c>
      <c r="BG222">
        <v>0</v>
      </c>
      <c r="BH222">
        <v>325</v>
      </c>
      <c r="BI222">
        <v>1</v>
      </c>
      <c r="BJ222">
        <v>1</v>
      </c>
      <c r="BK222">
        <v>0</v>
      </c>
      <c r="BL222">
        <v>0</v>
      </c>
      <c r="BO222">
        <v>0</v>
      </c>
      <c r="BP222">
        <v>0</v>
      </c>
      <c r="BW222" t="str">
        <f>"14:41:17.158"</f>
        <v>14:41:17.158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3</v>
      </c>
      <c r="CP222" t="s">
        <v>119</v>
      </c>
      <c r="CQ222">
        <v>358</v>
      </c>
      <c r="CR222">
        <v>0</v>
      </c>
      <c r="CW222">
        <v>4533451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"05/12/2020 14:40:59.356"</f>
        <v>05/12/2020 14:40:59.356</v>
      </c>
      <c r="C223" t="str">
        <f t="shared" si="109"/>
        <v>FFDFD3C0</v>
      </c>
      <c r="D223" t="s">
        <v>126</v>
      </c>
      <c r="E223">
        <v>7</v>
      </c>
      <c r="F223">
        <v>1007</v>
      </c>
      <c r="G223" t="s">
        <v>127</v>
      </c>
      <c r="J223" t="s">
        <v>128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"14:41:17.156"</f>
        <v>14:41:17.156</v>
      </c>
      <c r="T223" t="str">
        <f>"14:41:17.056"</f>
        <v>14:41:17.056</v>
      </c>
      <c r="U223" t="str">
        <f t="shared" si="99"/>
        <v>A9808D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187</v>
      </c>
      <c r="AJ223">
        <v>28.236429999999999</v>
      </c>
      <c r="AK223" t="s">
        <v>182</v>
      </c>
      <c r="AL223">
        <v>-82.383578</v>
      </c>
      <c r="AM223">
        <v>100</v>
      </c>
      <c r="AN223">
        <v>400</v>
      </c>
      <c r="AO223" t="s">
        <v>118</v>
      </c>
      <c r="AP223">
        <v>1</v>
      </c>
      <c r="AQ223">
        <v>83</v>
      </c>
      <c r="AR223">
        <v>320</v>
      </c>
      <c r="AZ223">
        <v>1200</v>
      </c>
      <c r="BA223">
        <v>1</v>
      </c>
      <c r="BB223" t="str">
        <f t="shared" si="110"/>
        <v xml:space="preserve">N711JA  </v>
      </c>
      <c r="BC223">
        <v>1</v>
      </c>
      <c r="BE223">
        <v>0</v>
      </c>
      <c r="BF223">
        <v>0</v>
      </c>
      <c r="BG223">
        <v>0</v>
      </c>
      <c r="BH223">
        <v>325</v>
      </c>
      <c r="BI223">
        <v>1</v>
      </c>
      <c r="BJ223">
        <v>1</v>
      </c>
      <c r="BK223">
        <v>0</v>
      </c>
      <c r="BL223">
        <v>0</v>
      </c>
      <c r="BO223">
        <v>0</v>
      </c>
      <c r="BP223">
        <v>0</v>
      </c>
      <c r="BW223" t="str">
        <f>"14:41:17.158"</f>
        <v>14:41:17.158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3</v>
      </c>
      <c r="CP223" t="s">
        <v>119</v>
      </c>
      <c r="CQ223">
        <v>358</v>
      </c>
      <c r="CR223">
        <v>0</v>
      </c>
      <c r="CW223">
        <v>4533451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"05/12/2020 14:40:59.356"</f>
        <v>05/12/2020 14:40:59.356</v>
      </c>
      <c r="C224" t="str">
        <f t="shared" si="109"/>
        <v>FFDFD3C0</v>
      </c>
      <c r="D224" t="s">
        <v>131</v>
      </c>
      <c r="E224">
        <v>10</v>
      </c>
      <c r="F224">
        <v>2010</v>
      </c>
      <c r="G224" t="s">
        <v>132</v>
      </c>
      <c r="J224" t="s">
        <v>133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"14:41:17.156"</f>
        <v>14:41:17.156</v>
      </c>
      <c r="T224" t="str">
        <f>"14:41:17.056"</f>
        <v>14:41:17.056</v>
      </c>
      <c r="U224" t="str">
        <f t="shared" si="99"/>
        <v>A9808D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187</v>
      </c>
      <c r="AJ224">
        <v>28.236429999999999</v>
      </c>
      <c r="AK224" t="s">
        <v>182</v>
      </c>
      <c r="AL224">
        <v>-82.383578</v>
      </c>
      <c r="AM224">
        <v>100</v>
      </c>
      <c r="AN224">
        <v>400</v>
      </c>
      <c r="AO224" t="s">
        <v>118</v>
      </c>
      <c r="AP224">
        <v>1</v>
      </c>
      <c r="AQ224">
        <v>83</v>
      </c>
      <c r="AR224">
        <v>320</v>
      </c>
      <c r="AZ224">
        <v>1200</v>
      </c>
      <c r="BA224">
        <v>1</v>
      </c>
      <c r="BB224" t="str">
        <f t="shared" si="110"/>
        <v xml:space="preserve">N711JA  </v>
      </c>
      <c r="BC224">
        <v>1</v>
      </c>
      <c r="BE224">
        <v>0</v>
      </c>
      <c r="BF224">
        <v>0</v>
      </c>
      <c r="BG224">
        <v>0</v>
      </c>
      <c r="BH224">
        <v>325</v>
      </c>
      <c r="BI224">
        <v>1</v>
      </c>
      <c r="BJ224">
        <v>1</v>
      </c>
      <c r="BK224">
        <v>0</v>
      </c>
      <c r="BL224">
        <v>0</v>
      </c>
      <c r="BO224">
        <v>0</v>
      </c>
      <c r="BP224">
        <v>0</v>
      </c>
      <c r="BW224" t="str">
        <f>"14:41:17.158"</f>
        <v>14:41:17.158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3</v>
      </c>
      <c r="CP224" t="s">
        <v>119</v>
      </c>
      <c r="CQ224">
        <v>358</v>
      </c>
      <c r="CR224">
        <v>0</v>
      </c>
      <c r="CW224">
        <v>4533451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"05/12/2020 14:40:59.356"</f>
        <v>05/12/2020 14:40:59.356</v>
      </c>
      <c r="C225" t="str">
        <f t="shared" si="109"/>
        <v>FFDFD3C0</v>
      </c>
      <c r="D225" t="s">
        <v>134</v>
      </c>
      <c r="E225">
        <v>12</v>
      </c>
      <c r="H225">
        <v>64</v>
      </c>
      <c r="I225" t="s">
        <v>135</v>
      </c>
      <c r="J225" t="s">
        <v>136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"14:41:17.156"</f>
        <v>14:41:17.156</v>
      </c>
      <c r="T225" t="str">
        <f>"14:41:17.056"</f>
        <v>14:41:17.056</v>
      </c>
      <c r="U225" t="str">
        <f t="shared" si="99"/>
        <v>A9808D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187</v>
      </c>
      <c r="AJ225">
        <v>28.236429999999999</v>
      </c>
      <c r="AK225" t="s">
        <v>182</v>
      </c>
      <c r="AL225">
        <v>-82.383578</v>
      </c>
      <c r="AM225">
        <v>100</v>
      </c>
      <c r="AN225">
        <v>400</v>
      </c>
      <c r="AO225" t="s">
        <v>118</v>
      </c>
      <c r="AP225">
        <v>1</v>
      </c>
      <c r="AQ225">
        <v>83</v>
      </c>
      <c r="AR225">
        <v>320</v>
      </c>
      <c r="AZ225">
        <v>1200</v>
      </c>
      <c r="BA225">
        <v>1</v>
      </c>
      <c r="BB225" t="str">
        <f t="shared" si="110"/>
        <v xml:space="preserve">N711JA  </v>
      </c>
      <c r="BC225">
        <v>1</v>
      </c>
      <c r="BE225">
        <v>0</v>
      </c>
      <c r="BF225">
        <v>0</v>
      </c>
      <c r="BG225">
        <v>0</v>
      </c>
      <c r="BH225">
        <v>325</v>
      </c>
      <c r="BI225">
        <v>1</v>
      </c>
      <c r="BJ225">
        <v>1</v>
      </c>
      <c r="BK225">
        <v>0</v>
      </c>
      <c r="BL225">
        <v>0</v>
      </c>
      <c r="BO225">
        <v>0</v>
      </c>
      <c r="BP225">
        <v>0</v>
      </c>
      <c r="BW225" t="str">
        <f>"14:41:17.158"</f>
        <v>14:41:17.158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3</v>
      </c>
      <c r="CP225" t="s">
        <v>119</v>
      </c>
      <c r="CQ225">
        <v>358</v>
      </c>
      <c r="CR225">
        <v>0</v>
      </c>
      <c r="CW225">
        <v>4533451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 t="shared" ref="A226:A234" si="111">"05/12/2020 14:41:00.881"</f>
        <v>05/12/2020 14:41:00.881</v>
      </c>
      <c r="C226" t="str">
        <f t="shared" si="109"/>
        <v>FFDFD3C0</v>
      </c>
      <c r="D226" t="s">
        <v>138</v>
      </c>
      <c r="E226">
        <v>2</v>
      </c>
      <c r="H226">
        <v>8</v>
      </c>
      <c r="I226" t="s">
        <v>139</v>
      </c>
      <c r="J226" t="s">
        <v>136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ref="S226:S234" si="112">"14:41:18.711"</f>
        <v>14:41:18.711</v>
      </c>
      <c r="T226" t="str">
        <f t="shared" ref="T226:T234" si="113">"14:41:18.411"</f>
        <v>14:41:18.411</v>
      </c>
      <c r="U226" t="str">
        <f t="shared" si="99"/>
        <v>A9808D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188</v>
      </c>
      <c r="AJ226">
        <v>28.237009</v>
      </c>
      <c r="AK226" t="s">
        <v>179</v>
      </c>
      <c r="AL226">
        <v>-82.383512999999994</v>
      </c>
      <c r="AM226">
        <v>100</v>
      </c>
      <c r="AN226">
        <v>400</v>
      </c>
      <c r="AO226" t="s">
        <v>118</v>
      </c>
      <c r="AP226">
        <v>3</v>
      </c>
      <c r="AQ226">
        <v>84</v>
      </c>
      <c r="AR226">
        <v>192</v>
      </c>
      <c r="AZ226">
        <v>1200</v>
      </c>
      <c r="BA226">
        <v>1</v>
      </c>
      <c r="BB226" t="str">
        <f t="shared" si="110"/>
        <v xml:space="preserve">N711JA  </v>
      </c>
      <c r="BC226">
        <v>1</v>
      </c>
      <c r="BE226">
        <v>0</v>
      </c>
      <c r="BF226">
        <v>0</v>
      </c>
      <c r="BG226">
        <v>0</v>
      </c>
      <c r="BH226">
        <v>450</v>
      </c>
      <c r="BI226">
        <v>1</v>
      </c>
      <c r="BJ226">
        <v>1</v>
      </c>
      <c r="BK226">
        <v>0</v>
      </c>
      <c r="BL226">
        <v>0</v>
      </c>
      <c r="BO226">
        <v>0</v>
      </c>
      <c r="BP226">
        <v>0</v>
      </c>
      <c r="BW226" t="str">
        <f t="shared" ref="BW226:BW234" si="114">"14:41:18.715"</f>
        <v>14:41:18.715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343</v>
      </c>
      <c r="CR226">
        <v>1</v>
      </c>
      <c r="CW226">
        <v>10525477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 t="shared" si="111"/>
        <v>05/12/2020 14:41:00.881</v>
      </c>
      <c r="C227" t="str">
        <f t="shared" si="109"/>
        <v>FFDFD3C0</v>
      </c>
      <c r="D227" t="s">
        <v>126</v>
      </c>
      <c r="E227">
        <v>7</v>
      </c>
      <c r="F227">
        <v>1007</v>
      </c>
      <c r="G227" t="s">
        <v>127</v>
      </c>
      <c r="J227" t="s">
        <v>128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12"/>
        <v>14:41:18.711</v>
      </c>
      <c r="T227" t="str">
        <f t="shared" si="113"/>
        <v>14:41:18.411</v>
      </c>
      <c r="U227" t="str">
        <f t="shared" si="99"/>
        <v>A9808D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188</v>
      </c>
      <c r="AJ227">
        <v>28.237009</v>
      </c>
      <c r="AK227" t="s">
        <v>179</v>
      </c>
      <c r="AL227">
        <v>-82.383512999999994</v>
      </c>
      <c r="AM227">
        <v>100</v>
      </c>
      <c r="AN227">
        <v>400</v>
      </c>
      <c r="AO227" t="s">
        <v>118</v>
      </c>
      <c r="AP227">
        <v>3</v>
      </c>
      <c r="AQ227">
        <v>84</v>
      </c>
      <c r="AR227">
        <v>192</v>
      </c>
      <c r="AZ227">
        <v>1200</v>
      </c>
      <c r="BA227">
        <v>1</v>
      </c>
      <c r="BB227" t="str">
        <f t="shared" si="110"/>
        <v xml:space="preserve">N711JA  </v>
      </c>
      <c r="BC227">
        <v>1</v>
      </c>
      <c r="BE227">
        <v>0</v>
      </c>
      <c r="BF227">
        <v>0</v>
      </c>
      <c r="BG227">
        <v>0</v>
      </c>
      <c r="BH227">
        <v>450</v>
      </c>
      <c r="BI227">
        <v>1</v>
      </c>
      <c r="BJ227">
        <v>1</v>
      </c>
      <c r="BK227">
        <v>0</v>
      </c>
      <c r="BL227">
        <v>0</v>
      </c>
      <c r="BO227">
        <v>0</v>
      </c>
      <c r="BP227">
        <v>0</v>
      </c>
      <c r="BW227" t="str">
        <f t="shared" si="114"/>
        <v>14:41:18.715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343</v>
      </c>
      <c r="CR227">
        <v>1</v>
      </c>
      <c r="CW227">
        <v>10525477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 t="shared" si="111"/>
        <v>05/12/2020 14:41:00.881</v>
      </c>
      <c r="C228" t="str">
        <f t="shared" si="109"/>
        <v>FFDFD3C0</v>
      </c>
      <c r="D228" t="s">
        <v>138</v>
      </c>
      <c r="E228">
        <v>3</v>
      </c>
      <c r="H228">
        <v>9</v>
      </c>
      <c r="I228" t="s">
        <v>140</v>
      </c>
      <c r="J228" t="s">
        <v>136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12"/>
        <v>14:41:18.711</v>
      </c>
      <c r="T228" t="str">
        <f t="shared" si="113"/>
        <v>14:41:18.411</v>
      </c>
      <c r="U228" t="str">
        <f t="shared" si="99"/>
        <v>A9808D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188</v>
      </c>
      <c r="AJ228">
        <v>28.237009</v>
      </c>
      <c r="AK228" t="s">
        <v>179</v>
      </c>
      <c r="AL228">
        <v>-82.383512999999994</v>
      </c>
      <c r="AM228">
        <v>100</v>
      </c>
      <c r="AN228">
        <v>400</v>
      </c>
      <c r="AO228" t="s">
        <v>118</v>
      </c>
      <c r="AP228">
        <v>3</v>
      </c>
      <c r="AQ228">
        <v>84</v>
      </c>
      <c r="AR228">
        <v>192</v>
      </c>
      <c r="AZ228">
        <v>1200</v>
      </c>
      <c r="BA228">
        <v>1</v>
      </c>
      <c r="BB228" t="str">
        <f t="shared" si="110"/>
        <v xml:space="preserve">N711JA  </v>
      </c>
      <c r="BC228">
        <v>1</v>
      </c>
      <c r="BE228">
        <v>0</v>
      </c>
      <c r="BF228">
        <v>0</v>
      </c>
      <c r="BG228">
        <v>0</v>
      </c>
      <c r="BH228">
        <v>450</v>
      </c>
      <c r="BI228">
        <v>1</v>
      </c>
      <c r="BJ228">
        <v>1</v>
      </c>
      <c r="BK228">
        <v>0</v>
      </c>
      <c r="BL228">
        <v>0</v>
      </c>
      <c r="BO228">
        <v>0</v>
      </c>
      <c r="BP228">
        <v>0</v>
      </c>
      <c r="BW228" t="str">
        <f t="shared" si="114"/>
        <v>14:41:18.715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343</v>
      </c>
      <c r="CR228">
        <v>1</v>
      </c>
      <c r="CW228">
        <v>10525477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 t="shared" si="111"/>
        <v>05/12/2020 14:41:00.881</v>
      </c>
      <c r="C229" t="str">
        <f t="shared" si="109"/>
        <v>FFDFD3C0</v>
      </c>
      <c r="D229" t="s">
        <v>131</v>
      </c>
      <c r="E229">
        <v>18</v>
      </c>
      <c r="F229">
        <v>2018</v>
      </c>
      <c r="G229" t="s">
        <v>161</v>
      </c>
      <c r="J229" t="s">
        <v>133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12"/>
        <v>14:41:18.711</v>
      </c>
      <c r="T229" t="str">
        <f t="shared" si="113"/>
        <v>14:41:18.411</v>
      </c>
      <c r="U229" t="str">
        <f t="shared" si="99"/>
        <v>A9808D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188</v>
      </c>
      <c r="AJ229">
        <v>28.237009</v>
      </c>
      <c r="AK229" t="s">
        <v>179</v>
      </c>
      <c r="AL229">
        <v>-82.383512999999994</v>
      </c>
      <c r="AM229">
        <v>100</v>
      </c>
      <c r="AN229">
        <v>400</v>
      </c>
      <c r="AO229" t="s">
        <v>118</v>
      </c>
      <c r="AP229">
        <v>3</v>
      </c>
      <c r="AQ229">
        <v>84</v>
      </c>
      <c r="AR229">
        <v>192</v>
      </c>
      <c r="AZ229">
        <v>1200</v>
      </c>
      <c r="BA229">
        <v>1</v>
      </c>
      <c r="BB229" t="str">
        <f t="shared" si="110"/>
        <v xml:space="preserve">N711JA  </v>
      </c>
      <c r="BC229">
        <v>1</v>
      </c>
      <c r="BE229">
        <v>0</v>
      </c>
      <c r="BF229">
        <v>0</v>
      </c>
      <c r="BG229">
        <v>0</v>
      </c>
      <c r="BH229">
        <v>450</v>
      </c>
      <c r="BI229">
        <v>1</v>
      </c>
      <c r="BJ229">
        <v>1</v>
      </c>
      <c r="BK229">
        <v>0</v>
      </c>
      <c r="BL229">
        <v>0</v>
      </c>
      <c r="BO229">
        <v>0</v>
      </c>
      <c r="BP229">
        <v>0</v>
      </c>
      <c r="BW229" t="str">
        <f t="shared" si="114"/>
        <v>14:41:18.715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343</v>
      </c>
      <c r="CR229">
        <v>1</v>
      </c>
      <c r="CW229">
        <v>10525477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 t="shared" si="111"/>
        <v>05/12/2020 14:41:00.881</v>
      </c>
      <c r="C230" t="str">
        <f t="shared" si="109"/>
        <v>FFDFD3C0</v>
      </c>
      <c r="D230" t="s">
        <v>131</v>
      </c>
      <c r="E230">
        <v>10</v>
      </c>
      <c r="F230">
        <v>2010</v>
      </c>
      <c r="G230" t="s">
        <v>132</v>
      </c>
      <c r="J230" t="s">
        <v>133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12"/>
        <v>14:41:18.711</v>
      </c>
      <c r="T230" t="str">
        <f t="shared" si="113"/>
        <v>14:41:18.411</v>
      </c>
      <c r="U230" t="str">
        <f t="shared" si="99"/>
        <v>A9808D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188</v>
      </c>
      <c r="AJ230">
        <v>28.237009</v>
      </c>
      <c r="AK230" t="s">
        <v>179</v>
      </c>
      <c r="AL230">
        <v>-82.383512999999994</v>
      </c>
      <c r="AM230">
        <v>100</v>
      </c>
      <c r="AN230">
        <v>400</v>
      </c>
      <c r="AO230" t="s">
        <v>118</v>
      </c>
      <c r="AP230">
        <v>3</v>
      </c>
      <c r="AQ230">
        <v>84</v>
      </c>
      <c r="AR230">
        <v>192</v>
      </c>
      <c r="AZ230">
        <v>1200</v>
      </c>
      <c r="BA230">
        <v>1</v>
      </c>
      <c r="BB230" t="str">
        <f t="shared" si="110"/>
        <v xml:space="preserve">N711JA  </v>
      </c>
      <c r="BC230">
        <v>1</v>
      </c>
      <c r="BE230">
        <v>0</v>
      </c>
      <c r="BF230">
        <v>0</v>
      </c>
      <c r="BG230">
        <v>0</v>
      </c>
      <c r="BH230">
        <v>450</v>
      </c>
      <c r="BI230">
        <v>1</v>
      </c>
      <c r="BJ230">
        <v>1</v>
      </c>
      <c r="BK230">
        <v>0</v>
      </c>
      <c r="BL230">
        <v>0</v>
      </c>
      <c r="BO230">
        <v>0</v>
      </c>
      <c r="BP230">
        <v>0</v>
      </c>
      <c r="BW230" t="str">
        <f t="shared" si="114"/>
        <v>14:41:18.715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343</v>
      </c>
      <c r="CR230">
        <v>1</v>
      </c>
      <c r="CW230">
        <v>10525477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 t="shared" si="111"/>
        <v>05/12/2020 14:41:00.881</v>
      </c>
      <c r="C231" t="str">
        <f t="shared" si="109"/>
        <v>FFDFD3C0</v>
      </c>
      <c r="D231" t="s">
        <v>131</v>
      </c>
      <c r="E231">
        <v>12</v>
      </c>
      <c r="F231">
        <v>2012</v>
      </c>
      <c r="G231" t="s">
        <v>137</v>
      </c>
      <c r="J231" t="s">
        <v>133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12"/>
        <v>14:41:18.711</v>
      </c>
      <c r="T231" t="str">
        <f t="shared" si="113"/>
        <v>14:41:18.411</v>
      </c>
      <c r="U231" t="str">
        <f t="shared" si="99"/>
        <v>A9808D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188</v>
      </c>
      <c r="AJ231">
        <v>28.237009</v>
      </c>
      <c r="AK231" t="s">
        <v>179</v>
      </c>
      <c r="AL231">
        <v>-82.383512999999994</v>
      </c>
      <c r="AM231">
        <v>100</v>
      </c>
      <c r="AN231">
        <v>400</v>
      </c>
      <c r="AO231" t="s">
        <v>118</v>
      </c>
      <c r="AP231">
        <v>3</v>
      </c>
      <c r="AQ231">
        <v>84</v>
      </c>
      <c r="AR231">
        <v>192</v>
      </c>
      <c r="AZ231">
        <v>1200</v>
      </c>
      <c r="BA231">
        <v>1</v>
      </c>
      <c r="BB231" t="str">
        <f t="shared" si="110"/>
        <v xml:space="preserve">N711JA  </v>
      </c>
      <c r="BC231">
        <v>1</v>
      </c>
      <c r="BE231">
        <v>0</v>
      </c>
      <c r="BF231">
        <v>0</v>
      </c>
      <c r="BG231">
        <v>0</v>
      </c>
      <c r="BH231">
        <v>450</v>
      </c>
      <c r="BI231">
        <v>1</v>
      </c>
      <c r="BJ231">
        <v>1</v>
      </c>
      <c r="BK231">
        <v>0</v>
      </c>
      <c r="BL231">
        <v>0</v>
      </c>
      <c r="BO231">
        <v>0</v>
      </c>
      <c r="BP231">
        <v>0</v>
      </c>
      <c r="BW231" t="str">
        <f t="shared" si="114"/>
        <v>14:41:18.715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343</v>
      </c>
      <c r="CR231">
        <v>1</v>
      </c>
      <c r="CW231">
        <v>10525477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 t="shared" si="111"/>
        <v>05/12/2020 14:41:00.881</v>
      </c>
      <c r="C232" t="str">
        <f t="shared" si="109"/>
        <v>FFDFD3C0</v>
      </c>
      <c r="D232" t="s">
        <v>134</v>
      </c>
      <c r="E232">
        <v>12</v>
      </c>
      <c r="H232">
        <v>64</v>
      </c>
      <c r="I232" t="s">
        <v>135</v>
      </c>
      <c r="J232" t="s">
        <v>136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12"/>
        <v>14:41:18.711</v>
      </c>
      <c r="T232" t="str">
        <f t="shared" si="113"/>
        <v>14:41:18.411</v>
      </c>
      <c r="U232" t="str">
        <f t="shared" si="99"/>
        <v>A9808D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188</v>
      </c>
      <c r="AJ232">
        <v>28.237009</v>
      </c>
      <c r="AK232" t="s">
        <v>179</v>
      </c>
      <c r="AL232">
        <v>-82.383512999999994</v>
      </c>
      <c r="AM232">
        <v>100</v>
      </c>
      <c r="AN232">
        <v>400</v>
      </c>
      <c r="AO232" t="s">
        <v>118</v>
      </c>
      <c r="AP232">
        <v>3</v>
      </c>
      <c r="AQ232">
        <v>84</v>
      </c>
      <c r="AR232">
        <v>192</v>
      </c>
      <c r="AZ232">
        <v>1200</v>
      </c>
      <c r="BA232">
        <v>1</v>
      </c>
      <c r="BB232" t="str">
        <f t="shared" si="110"/>
        <v xml:space="preserve">N711JA  </v>
      </c>
      <c r="BC232">
        <v>1</v>
      </c>
      <c r="BE232">
        <v>0</v>
      </c>
      <c r="BF232">
        <v>0</v>
      </c>
      <c r="BG232">
        <v>0</v>
      </c>
      <c r="BH232">
        <v>450</v>
      </c>
      <c r="BI232">
        <v>1</v>
      </c>
      <c r="BJ232">
        <v>1</v>
      </c>
      <c r="BK232">
        <v>0</v>
      </c>
      <c r="BL232">
        <v>0</v>
      </c>
      <c r="BO232">
        <v>0</v>
      </c>
      <c r="BP232">
        <v>0</v>
      </c>
      <c r="BW232" t="str">
        <f t="shared" si="114"/>
        <v>14:41:18.715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343</v>
      </c>
      <c r="CR232">
        <v>1</v>
      </c>
      <c r="CW232">
        <v>10525477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 t="shared" si="111"/>
        <v>05/12/2020 14:41:00.881</v>
      </c>
      <c r="C233" t="str">
        <f t="shared" si="109"/>
        <v>FFDFD3C0</v>
      </c>
      <c r="D233" t="s">
        <v>113</v>
      </c>
      <c r="E233">
        <v>3</v>
      </c>
      <c r="H233">
        <v>164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12"/>
        <v>14:41:18.711</v>
      </c>
      <c r="T233" t="str">
        <f t="shared" si="113"/>
        <v>14:41:18.411</v>
      </c>
      <c r="U233" t="str">
        <f t="shared" si="99"/>
        <v>A9808D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188</v>
      </c>
      <c r="AJ233">
        <v>28.237009</v>
      </c>
      <c r="AK233" t="s">
        <v>179</v>
      </c>
      <c r="AL233">
        <v>-82.383512999999994</v>
      </c>
      <c r="AM233">
        <v>100</v>
      </c>
      <c r="AN233">
        <v>400</v>
      </c>
      <c r="AO233" t="s">
        <v>118</v>
      </c>
      <c r="AP233">
        <v>3</v>
      </c>
      <c r="AQ233">
        <v>84</v>
      </c>
      <c r="AR233">
        <v>192</v>
      </c>
      <c r="AZ233">
        <v>1200</v>
      </c>
      <c r="BA233">
        <v>1</v>
      </c>
      <c r="BB233" t="str">
        <f t="shared" si="110"/>
        <v xml:space="preserve">N711JA  </v>
      </c>
      <c r="BC233">
        <v>1</v>
      </c>
      <c r="BE233">
        <v>0</v>
      </c>
      <c r="BF233">
        <v>0</v>
      </c>
      <c r="BG233">
        <v>0</v>
      </c>
      <c r="BH233">
        <v>450</v>
      </c>
      <c r="BI233">
        <v>1</v>
      </c>
      <c r="BJ233">
        <v>1</v>
      </c>
      <c r="BK233">
        <v>0</v>
      </c>
      <c r="BL233">
        <v>0</v>
      </c>
      <c r="BO233">
        <v>0</v>
      </c>
      <c r="BP233">
        <v>0</v>
      </c>
      <c r="BW233" t="str">
        <f t="shared" si="114"/>
        <v>14:41:18.715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343</v>
      </c>
      <c r="CR233">
        <v>1</v>
      </c>
      <c r="CW233">
        <v>10525477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 t="shared" si="111"/>
        <v>05/12/2020 14:41:00.881</v>
      </c>
      <c r="C234" t="str">
        <f t="shared" si="109"/>
        <v>FFDFD3C0</v>
      </c>
      <c r="D234" t="s">
        <v>126</v>
      </c>
      <c r="E234">
        <v>6</v>
      </c>
      <c r="F234">
        <v>1006</v>
      </c>
      <c r="G234" t="s">
        <v>114</v>
      </c>
      <c r="J234" t="s">
        <v>128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12"/>
        <v>14:41:18.711</v>
      </c>
      <c r="T234" t="str">
        <f t="shared" si="113"/>
        <v>14:41:18.411</v>
      </c>
      <c r="U234" t="str">
        <f t="shared" si="99"/>
        <v>A9808D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188</v>
      </c>
      <c r="AJ234">
        <v>28.237009</v>
      </c>
      <c r="AK234" t="s">
        <v>179</v>
      </c>
      <c r="AL234">
        <v>-82.383512999999994</v>
      </c>
      <c r="AM234">
        <v>100</v>
      </c>
      <c r="AN234">
        <v>400</v>
      </c>
      <c r="AO234" t="s">
        <v>118</v>
      </c>
      <c r="AP234">
        <v>3</v>
      </c>
      <c r="AQ234">
        <v>84</v>
      </c>
      <c r="AR234">
        <v>192</v>
      </c>
      <c r="AZ234">
        <v>1200</v>
      </c>
      <c r="BA234">
        <v>1</v>
      </c>
      <c r="BB234" t="str">
        <f t="shared" si="110"/>
        <v xml:space="preserve">N711JA  </v>
      </c>
      <c r="BC234">
        <v>1</v>
      </c>
      <c r="BE234">
        <v>0</v>
      </c>
      <c r="BF234">
        <v>0</v>
      </c>
      <c r="BG234">
        <v>0</v>
      </c>
      <c r="BH234">
        <v>450</v>
      </c>
      <c r="BI234">
        <v>1</v>
      </c>
      <c r="BJ234">
        <v>1</v>
      </c>
      <c r="BK234">
        <v>0</v>
      </c>
      <c r="BL234">
        <v>0</v>
      </c>
      <c r="BO234">
        <v>0</v>
      </c>
      <c r="BP234">
        <v>0</v>
      </c>
      <c r="BW234" t="str">
        <f t="shared" si="114"/>
        <v>14:41:18.715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343</v>
      </c>
      <c r="CR234">
        <v>1</v>
      </c>
      <c r="CW234">
        <v>10525477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 t="shared" ref="A235:A243" si="115">"05/12/2020 14:41:01.894"</f>
        <v>05/12/2020 14:41:01.894</v>
      </c>
      <c r="C235" t="str">
        <f t="shared" si="109"/>
        <v>FFDFD3C0</v>
      </c>
      <c r="D235" t="s">
        <v>131</v>
      </c>
      <c r="E235">
        <v>12</v>
      </c>
      <c r="F235">
        <v>2012</v>
      </c>
      <c r="G235" t="s">
        <v>137</v>
      </c>
      <c r="J235" t="s">
        <v>133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ref="S235:S243" si="116">"14:41:19.727"</f>
        <v>14:41:19.727</v>
      </c>
      <c r="T235" t="str">
        <f t="shared" ref="T235:T243" si="117">"14:41:19.427"</f>
        <v>14:41:19.427</v>
      </c>
      <c r="U235" t="str">
        <f t="shared" si="99"/>
        <v>A9808D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189</v>
      </c>
      <c r="AJ235">
        <v>28.237417000000001</v>
      </c>
      <c r="AK235" t="s">
        <v>179</v>
      </c>
      <c r="AL235">
        <v>-82.383512999999994</v>
      </c>
      <c r="AM235">
        <v>100</v>
      </c>
      <c r="AN235">
        <v>400</v>
      </c>
      <c r="AO235" t="s">
        <v>118</v>
      </c>
      <c r="AP235">
        <v>5</v>
      </c>
      <c r="AQ235">
        <v>84</v>
      </c>
      <c r="AR235">
        <v>192</v>
      </c>
      <c r="AZ235">
        <v>1200</v>
      </c>
      <c r="BA235">
        <v>1</v>
      </c>
      <c r="BB235" t="str">
        <f t="shared" si="110"/>
        <v xml:space="preserve">N711JA  </v>
      </c>
      <c r="BC235">
        <v>1</v>
      </c>
      <c r="BE235">
        <v>0</v>
      </c>
      <c r="BF235">
        <v>0</v>
      </c>
      <c r="BG235">
        <v>0</v>
      </c>
      <c r="BH235">
        <v>450</v>
      </c>
      <c r="BI235">
        <v>1</v>
      </c>
      <c r="BJ235">
        <v>1</v>
      </c>
      <c r="BK235">
        <v>0</v>
      </c>
      <c r="BL235">
        <v>0</v>
      </c>
      <c r="BO235">
        <v>0</v>
      </c>
      <c r="BP235">
        <v>0</v>
      </c>
      <c r="BW235" t="str">
        <f t="shared" ref="BW235:BW243" si="118">"14:41:19.733"</f>
        <v>14:41:19.733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343</v>
      </c>
      <c r="CR235">
        <v>2</v>
      </c>
      <c r="CW235">
        <v>12948723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 t="shared" si="115"/>
        <v>05/12/2020 14:41:01.894</v>
      </c>
      <c r="C236" t="str">
        <f t="shared" si="109"/>
        <v>FFDFD3C0</v>
      </c>
      <c r="D236" t="s">
        <v>126</v>
      </c>
      <c r="E236">
        <v>6</v>
      </c>
      <c r="F236">
        <v>1006</v>
      </c>
      <c r="G236" t="s">
        <v>114</v>
      </c>
      <c r="J236" t="s">
        <v>128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116"/>
        <v>14:41:19.727</v>
      </c>
      <c r="T236" t="str">
        <f t="shared" si="117"/>
        <v>14:41:19.427</v>
      </c>
      <c r="U236" t="str">
        <f t="shared" si="99"/>
        <v>A9808D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189</v>
      </c>
      <c r="AJ236">
        <v>28.237417000000001</v>
      </c>
      <c r="AK236" t="s">
        <v>179</v>
      </c>
      <c r="AL236">
        <v>-82.383512999999994</v>
      </c>
      <c r="AM236">
        <v>100</v>
      </c>
      <c r="AN236">
        <v>400</v>
      </c>
      <c r="AO236" t="s">
        <v>118</v>
      </c>
      <c r="AP236">
        <v>5</v>
      </c>
      <c r="AQ236">
        <v>84</v>
      </c>
      <c r="AR236">
        <v>192</v>
      </c>
      <c r="AZ236">
        <v>1200</v>
      </c>
      <c r="BA236">
        <v>1</v>
      </c>
      <c r="BB236" t="str">
        <f t="shared" si="110"/>
        <v xml:space="preserve">N711JA  </v>
      </c>
      <c r="BC236">
        <v>1</v>
      </c>
      <c r="BE236">
        <v>0</v>
      </c>
      <c r="BF236">
        <v>0</v>
      </c>
      <c r="BG236">
        <v>0</v>
      </c>
      <c r="BH236">
        <v>450</v>
      </c>
      <c r="BI236">
        <v>1</v>
      </c>
      <c r="BJ236">
        <v>1</v>
      </c>
      <c r="BK236">
        <v>0</v>
      </c>
      <c r="BL236">
        <v>0</v>
      </c>
      <c r="BO236">
        <v>0</v>
      </c>
      <c r="BP236">
        <v>0</v>
      </c>
      <c r="BW236" t="str">
        <f t="shared" si="118"/>
        <v>14:41:19.733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343</v>
      </c>
      <c r="CR236">
        <v>2</v>
      </c>
      <c r="CW236">
        <v>12948723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 t="shared" si="115"/>
        <v>05/12/2020 14:41:01.894</v>
      </c>
      <c r="C237" t="str">
        <f t="shared" si="109"/>
        <v>FFDFD3C0</v>
      </c>
      <c r="D237" t="s">
        <v>134</v>
      </c>
      <c r="E237">
        <v>12</v>
      </c>
      <c r="H237">
        <v>64</v>
      </c>
      <c r="I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16"/>
        <v>14:41:19.727</v>
      </c>
      <c r="T237" t="str">
        <f t="shared" si="117"/>
        <v>14:41:19.427</v>
      </c>
      <c r="U237" t="str">
        <f t="shared" si="99"/>
        <v>A9808D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189</v>
      </c>
      <c r="AJ237">
        <v>28.237417000000001</v>
      </c>
      <c r="AK237" t="s">
        <v>179</v>
      </c>
      <c r="AL237">
        <v>-82.383512999999994</v>
      </c>
      <c r="AM237">
        <v>100</v>
      </c>
      <c r="AN237">
        <v>400</v>
      </c>
      <c r="AO237" t="s">
        <v>118</v>
      </c>
      <c r="AP237">
        <v>5</v>
      </c>
      <c r="AQ237">
        <v>84</v>
      </c>
      <c r="AR237">
        <v>192</v>
      </c>
      <c r="AZ237">
        <v>1200</v>
      </c>
      <c r="BA237">
        <v>1</v>
      </c>
      <c r="BB237" t="str">
        <f t="shared" si="110"/>
        <v xml:space="preserve">N711JA  </v>
      </c>
      <c r="BC237">
        <v>1</v>
      </c>
      <c r="BE237">
        <v>0</v>
      </c>
      <c r="BF237">
        <v>0</v>
      </c>
      <c r="BG237">
        <v>0</v>
      </c>
      <c r="BH237">
        <v>450</v>
      </c>
      <c r="BI237">
        <v>1</v>
      </c>
      <c r="BJ237">
        <v>1</v>
      </c>
      <c r="BK237">
        <v>0</v>
      </c>
      <c r="BL237">
        <v>0</v>
      </c>
      <c r="BO237">
        <v>0</v>
      </c>
      <c r="BP237">
        <v>0</v>
      </c>
      <c r="BW237" t="str">
        <f t="shared" si="118"/>
        <v>14:41:19.733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343</v>
      </c>
      <c r="CR237">
        <v>2</v>
      </c>
      <c r="CW237">
        <v>12948723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 t="shared" si="115"/>
        <v>05/12/2020 14:41:01.894</v>
      </c>
      <c r="C238" t="str">
        <f t="shared" si="109"/>
        <v>FFDFD3C0</v>
      </c>
      <c r="D238" t="s">
        <v>113</v>
      </c>
      <c r="E238">
        <v>3</v>
      </c>
      <c r="H238">
        <v>164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16"/>
        <v>14:41:19.727</v>
      </c>
      <c r="T238" t="str">
        <f t="shared" si="117"/>
        <v>14:41:19.427</v>
      </c>
      <c r="U238" t="str">
        <f t="shared" si="99"/>
        <v>A9808D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189</v>
      </c>
      <c r="AJ238">
        <v>28.237417000000001</v>
      </c>
      <c r="AK238" t="s">
        <v>179</v>
      </c>
      <c r="AL238">
        <v>-82.383512999999994</v>
      </c>
      <c r="AM238">
        <v>100</v>
      </c>
      <c r="AN238">
        <v>400</v>
      </c>
      <c r="AO238" t="s">
        <v>118</v>
      </c>
      <c r="AP238">
        <v>5</v>
      </c>
      <c r="AQ238">
        <v>84</v>
      </c>
      <c r="AR238">
        <v>192</v>
      </c>
      <c r="AZ238">
        <v>1200</v>
      </c>
      <c r="BA238">
        <v>1</v>
      </c>
      <c r="BB238" t="str">
        <f t="shared" si="110"/>
        <v xml:space="preserve">N711JA  </v>
      </c>
      <c r="BC238">
        <v>1</v>
      </c>
      <c r="BE238">
        <v>0</v>
      </c>
      <c r="BF238">
        <v>0</v>
      </c>
      <c r="BG238">
        <v>0</v>
      </c>
      <c r="BH238">
        <v>450</v>
      </c>
      <c r="BI238">
        <v>1</v>
      </c>
      <c r="BJ238">
        <v>1</v>
      </c>
      <c r="BK238">
        <v>0</v>
      </c>
      <c r="BL238">
        <v>0</v>
      </c>
      <c r="BO238">
        <v>0</v>
      </c>
      <c r="BP238">
        <v>0</v>
      </c>
      <c r="BW238" t="str">
        <f t="shared" si="118"/>
        <v>14:41:19.733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343</v>
      </c>
      <c r="CR238">
        <v>2</v>
      </c>
      <c r="CW238">
        <v>12948723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 t="shared" si="115"/>
        <v>05/12/2020 14:41:01.894</v>
      </c>
      <c r="C239" t="str">
        <f t="shared" si="109"/>
        <v>FFDFD3C0</v>
      </c>
      <c r="D239" t="s">
        <v>126</v>
      </c>
      <c r="E239">
        <v>7</v>
      </c>
      <c r="F239">
        <v>1007</v>
      </c>
      <c r="G239" t="s">
        <v>127</v>
      </c>
      <c r="J239" t="s">
        <v>128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16"/>
        <v>14:41:19.727</v>
      </c>
      <c r="T239" t="str">
        <f t="shared" si="117"/>
        <v>14:41:19.427</v>
      </c>
      <c r="U239" t="str">
        <f t="shared" si="99"/>
        <v>A9808D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189</v>
      </c>
      <c r="AJ239">
        <v>28.237417000000001</v>
      </c>
      <c r="AK239" t="s">
        <v>179</v>
      </c>
      <c r="AL239">
        <v>-82.383512999999994</v>
      </c>
      <c r="AM239">
        <v>100</v>
      </c>
      <c r="AN239">
        <v>400</v>
      </c>
      <c r="AO239" t="s">
        <v>118</v>
      </c>
      <c r="AP239">
        <v>5</v>
      </c>
      <c r="AQ239">
        <v>84</v>
      </c>
      <c r="AR239">
        <v>192</v>
      </c>
      <c r="AZ239">
        <v>1200</v>
      </c>
      <c r="BA239">
        <v>1</v>
      </c>
      <c r="BB239" t="str">
        <f t="shared" si="110"/>
        <v xml:space="preserve">N711JA  </v>
      </c>
      <c r="BC239">
        <v>1</v>
      </c>
      <c r="BE239">
        <v>0</v>
      </c>
      <c r="BF239">
        <v>0</v>
      </c>
      <c r="BG239">
        <v>0</v>
      </c>
      <c r="BH239">
        <v>450</v>
      </c>
      <c r="BI239">
        <v>1</v>
      </c>
      <c r="BJ239">
        <v>1</v>
      </c>
      <c r="BK239">
        <v>0</v>
      </c>
      <c r="BL239">
        <v>0</v>
      </c>
      <c r="BO239">
        <v>0</v>
      </c>
      <c r="BP239">
        <v>0</v>
      </c>
      <c r="BW239" t="str">
        <f t="shared" si="118"/>
        <v>14:41:19.733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343</v>
      </c>
      <c r="CR239">
        <v>2</v>
      </c>
      <c r="CW239">
        <v>12948723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 t="shared" si="115"/>
        <v>05/12/2020 14:41:01.894</v>
      </c>
      <c r="C240" t="str">
        <f t="shared" si="109"/>
        <v>FFDFD3C0</v>
      </c>
      <c r="D240" t="s">
        <v>131</v>
      </c>
      <c r="E240">
        <v>18</v>
      </c>
      <c r="F240">
        <v>2018</v>
      </c>
      <c r="G240" t="s">
        <v>161</v>
      </c>
      <c r="J240" t="s">
        <v>133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16"/>
        <v>14:41:19.727</v>
      </c>
      <c r="T240" t="str">
        <f t="shared" si="117"/>
        <v>14:41:19.427</v>
      </c>
      <c r="U240" t="str">
        <f t="shared" si="99"/>
        <v>A9808D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189</v>
      </c>
      <c r="AJ240">
        <v>28.237417000000001</v>
      </c>
      <c r="AK240" t="s">
        <v>179</v>
      </c>
      <c r="AL240">
        <v>-82.383512999999994</v>
      </c>
      <c r="AM240">
        <v>100</v>
      </c>
      <c r="AN240">
        <v>400</v>
      </c>
      <c r="AO240" t="s">
        <v>118</v>
      </c>
      <c r="AP240">
        <v>5</v>
      </c>
      <c r="AQ240">
        <v>84</v>
      </c>
      <c r="AR240">
        <v>192</v>
      </c>
      <c r="AZ240">
        <v>1200</v>
      </c>
      <c r="BA240">
        <v>1</v>
      </c>
      <c r="BB240" t="str">
        <f t="shared" si="110"/>
        <v xml:space="preserve">N711JA  </v>
      </c>
      <c r="BC240">
        <v>1</v>
      </c>
      <c r="BE240">
        <v>0</v>
      </c>
      <c r="BF240">
        <v>0</v>
      </c>
      <c r="BG240">
        <v>0</v>
      </c>
      <c r="BH240">
        <v>450</v>
      </c>
      <c r="BI240">
        <v>1</v>
      </c>
      <c r="BJ240">
        <v>1</v>
      </c>
      <c r="BK240">
        <v>0</v>
      </c>
      <c r="BL240">
        <v>0</v>
      </c>
      <c r="BO240">
        <v>0</v>
      </c>
      <c r="BP240">
        <v>0</v>
      </c>
      <c r="BW240" t="str">
        <f t="shared" si="118"/>
        <v>14:41:19.733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343</v>
      </c>
      <c r="CR240">
        <v>2</v>
      </c>
      <c r="CW240">
        <v>12948723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 t="shared" si="115"/>
        <v>05/12/2020 14:41:01.894</v>
      </c>
      <c r="C241" t="str">
        <f t="shared" si="109"/>
        <v>FFDFD3C0</v>
      </c>
      <c r="D241" t="s">
        <v>131</v>
      </c>
      <c r="E241">
        <v>10</v>
      </c>
      <c r="F241">
        <v>2010</v>
      </c>
      <c r="G241" t="s">
        <v>132</v>
      </c>
      <c r="J241" t="s">
        <v>133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16"/>
        <v>14:41:19.727</v>
      </c>
      <c r="T241" t="str">
        <f t="shared" si="117"/>
        <v>14:41:19.427</v>
      </c>
      <c r="U241" t="str">
        <f t="shared" si="99"/>
        <v>A9808D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189</v>
      </c>
      <c r="AJ241">
        <v>28.237417000000001</v>
      </c>
      <c r="AK241" t="s">
        <v>179</v>
      </c>
      <c r="AL241">
        <v>-82.383512999999994</v>
      </c>
      <c r="AM241">
        <v>100</v>
      </c>
      <c r="AN241">
        <v>400</v>
      </c>
      <c r="AO241" t="s">
        <v>118</v>
      </c>
      <c r="AP241">
        <v>5</v>
      </c>
      <c r="AQ241">
        <v>84</v>
      </c>
      <c r="AR241">
        <v>192</v>
      </c>
      <c r="AZ241">
        <v>1200</v>
      </c>
      <c r="BA241">
        <v>1</v>
      </c>
      <c r="BB241" t="str">
        <f t="shared" si="110"/>
        <v xml:space="preserve">N711JA  </v>
      </c>
      <c r="BC241">
        <v>1</v>
      </c>
      <c r="BE241">
        <v>0</v>
      </c>
      <c r="BF241">
        <v>0</v>
      </c>
      <c r="BG241">
        <v>0</v>
      </c>
      <c r="BH241">
        <v>450</v>
      </c>
      <c r="BI241">
        <v>1</v>
      </c>
      <c r="BJ241">
        <v>1</v>
      </c>
      <c r="BK241">
        <v>0</v>
      </c>
      <c r="BL241">
        <v>0</v>
      </c>
      <c r="BO241">
        <v>0</v>
      </c>
      <c r="BP241">
        <v>0</v>
      </c>
      <c r="BW241" t="str">
        <f t="shared" si="118"/>
        <v>14:41:19.733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343</v>
      </c>
      <c r="CR241">
        <v>2</v>
      </c>
      <c r="CW241">
        <v>12948723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 t="shared" si="115"/>
        <v>05/12/2020 14:41:01.894</v>
      </c>
      <c r="C242" t="str">
        <f t="shared" si="109"/>
        <v>FFDFD3C0</v>
      </c>
      <c r="D242" t="s">
        <v>138</v>
      </c>
      <c r="E242">
        <v>3</v>
      </c>
      <c r="H242">
        <v>9</v>
      </c>
      <c r="I242" t="s">
        <v>140</v>
      </c>
      <c r="J242" t="s">
        <v>136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16"/>
        <v>14:41:19.727</v>
      </c>
      <c r="T242" t="str">
        <f t="shared" si="117"/>
        <v>14:41:19.427</v>
      </c>
      <c r="U242" t="str">
        <f t="shared" si="99"/>
        <v>A9808D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189</v>
      </c>
      <c r="AJ242">
        <v>28.237417000000001</v>
      </c>
      <c r="AK242" t="s">
        <v>179</v>
      </c>
      <c r="AL242">
        <v>-82.383512999999994</v>
      </c>
      <c r="AM242">
        <v>100</v>
      </c>
      <c r="AN242">
        <v>400</v>
      </c>
      <c r="AO242" t="s">
        <v>118</v>
      </c>
      <c r="AP242">
        <v>5</v>
      </c>
      <c r="AQ242">
        <v>84</v>
      </c>
      <c r="AR242">
        <v>192</v>
      </c>
      <c r="AZ242">
        <v>1200</v>
      </c>
      <c r="BA242">
        <v>1</v>
      </c>
      <c r="BB242" t="str">
        <f t="shared" si="110"/>
        <v xml:space="preserve">N711JA  </v>
      </c>
      <c r="BC242">
        <v>1</v>
      </c>
      <c r="BE242">
        <v>0</v>
      </c>
      <c r="BF242">
        <v>0</v>
      </c>
      <c r="BG242">
        <v>0</v>
      </c>
      <c r="BH242">
        <v>450</v>
      </c>
      <c r="BI242">
        <v>1</v>
      </c>
      <c r="BJ242">
        <v>1</v>
      </c>
      <c r="BK242">
        <v>0</v>
      </c>
      <c r="BL242">
        <v>0</v>
      </c>
      <c r="BO242">
        <v>0</v>
      </c>
      <c r="BP242">
        <v>0</v>
      </c>
      <c r="BW242" t="str">
        <f t="shared" si="118"/>
        <v>14:41:19.733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343</v>
      </c>
      <c r="CR242">
        <v>2</v>
      </c>
      <c r="CW242">
        <v>12948723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 t="shared" si="115"/>
        <v>05/12/2020 14:41:01.894</v>
      </c>
      <c r="C243" t="str">
        <f t="shared" si="109"/>
        <v>FFDFD3C0</v>
      </c>
      <c r="D243" t="s">
        <v>138</v>
      </c>
      <c r="E243">
        <v>2</v>
      </c>
      <c r="H243">
        <v>8</v>
      </c>
      <c r="I243" t="s">
        <v>139</v>
      </c>
      <c r="J243" t="s">
        <v>136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116"/>
        <v>14:41:19.727</v>
      </c>
      <c r="T243" t="str">
        <f t="shared" si="117"/>
        <v>14:41:19.427</v>
      </c>
      <c r="U243" t="str">
        <f t="shared" si="99"/>
        <v>A9808D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189</v>
      </c>
      <c r="AJ243">
        <v>28.237417000000001</v>
      </c>
      <c r="AK243" t="s">
        <v>179</v>
      </c>
      <c r="AL243">
        <v>-82.383512999999994</v>
      </c>
      <c r="AM243">
        <v>100</v>
      </c>
      <c r="AN243">
        <v>400</v>
      </c>
      <c r="AO243" t="s">
        <v>118</v>
      </c>
      <c r="AP243">
        <v>5</v>
      </c>
      <c r="AQ243">
        <v>84</v>
      </c>
      <c r="AR243">
        <v>192</v>
      </c>
      <c r="AZ243">
        <v>1200</v>
      </c>
      <c r="BA243">
        <v>1</v>
      </c>
      <c r="BB243" t="str">
        <f t="shared" si="110"/>
        <v xml:space="preserve">N711JA  </v>
      </c>
      <c r="BC243">
        <v>1</v>
      </c>
      <c r="BE243">
        <v>0</v>
      </c>
      <c r="BF243">
        <v>0</v>
      </c>
      <c r="BG243">
        <v>0</v>
      </c>
      <c r="BH243">
        <v>450</v>
      </c>
      <c r="BI243">
        <v>1</v>
      </c>
      <c r="BJ243">
        <v>1</v>
      </c>
      <c r="BK243">
        <v>0</v>
      </c>
      <c r="BL243">
        <v>0</v>
      </c>
      <c r="BO243">
        <v>0</v>
      </c>
      <c r="BP243">
        <v>0</v>
      </c>
      <c r="BW243" t="str">
        <f t="shared" si="118"/>
        <v>14:41:19.733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343</v>
      </c>
      <c r="CR243">
        <v>2</v>
      </c>
      <c r="CW243">
        <v>12948723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 t="shared" ref="A244:A252" si="119">"05/12/2020 14:41:02.800"</f>
        <v>05/12/2020 14:41:02.800</v>
      </c>
      <c r="C244" t="str">
        <f t="shared" si="109"/>
        <v>FFDFD3C0</v>
      </c>
      <c r="D244" t="s">
        <v>131</v>
      </c>
      <c r="E244">
        <v>12</v>
      </c>
      <c r="F244">
        <v>2012</v>
      </c>
      <c r="G244" t="s">
        <v>137</v>
      </c>
      <c r="J244" t="s">
        <v>133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ref="S244:S252" si="120">"14:41:20.602"</f>
        <v>14:41:20.602</v>
      </c>
      <c r="T244" t="str">
        <f t="shared" ref="T244:T252" si="121">"14:41:20.502"</f>
        <v>14:41:20.502</v>
      </c>
      <c r="U244" t="str">
        <f t="shared" si="99"/>
        <v>A9808D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190</v>
      </c>
      <c r="AJ244">
        <v>28.237760000000002</v>
      </c>
      <c r="AK244" t="s">
        <v>177</v>
      </c>
      <c r="AL244">
        <v>-82.383448999999999</v>
      </c>
      <c r="AM244">
        <v>100</v>
      </c>
      <c r="AN244">
        <v>400</v>
      </c>
      <c r="AO244" t="s">
        <v>118</v>
      </c>
      <c r="AP244">
        <v>6</v>
      </c>
      <c r="AQ244">
        <v>84</v>
      </c>
      <c r="AR244">
        <v>320</v>
      </c>
      <c r="AZ244">
        <v>1200</v>
      </c>
      <c r="BA244">
        <v>1</v>
      </c>
      <c r="BB244" t="str">
        <f t="shared" si="110"/>
        <v xml:space="preserve">N711JA  </v>
      </c>
      <c r="BC244">
        <v>1</v>
      </c>
      <c r="BE244">
        <v>0</v>
      </c>
      <c r="BF244">
        <v>0</v>
      </c>
      <c r="BG244">
        <v>0</v>
      </c>
      <c r="BH244">
        <v>450</v>
      </c>
      <c r="BI244">
        <v>1</v>
      </c>
      <c r="BJ244">
        <v>1</v>
      </c>
      <c r="BK244">
        <v>0</v>
      </c>
      <c r="BL244">
        <v>0</v>
      </c>
      <c r="BO244">
        <v>0</v>
      </c>
      <c r="BP244">
        <v>0</v>
      </c>
      <c r="BW244" t="str">
        <f t="shared" ref="BW244:BW252" si="122">"14:41:20.609"</f>
        <v>14:41:20.609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343</v>
      </c>
      <c r="CR244">
        <v>2</v>
      </c>
      <c r="CW244">
        <v>12949441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 t="shared" si="119"/>
        <v>05/12/2020 14:41:02.800</v>
      </c>
      <c r="C245" t="str">
        <f t="shared" si="109"/>
        <v>FFDFD3C0</v>
      </c>
      <c r="D245" t="s">
        <v>138</v>
      </c>
      <c r="E245">
        <v>2</v>
      </c>
      <c r="H245">
        <v>8</v>
      </c>
      <c r="I245" t="s">
        <v>139</v>
      </c>
      <c r="J245" t="s">
        <v>136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20"/>
        <v>14:41:20.602</v>
      </c>
      <c r="T245" t="str">
        <f t="shared" si="121"/>
        <v>14:41:20.502</v>
      </c>
      <c r="U245" t="str">
        <f t="shared" si="99"/>
        <v>A9808D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190</v>
      </c>
      <c r="AJ245">
        <v>28.237760000000002</v>
      </c>
      <c r="AK245" t="s">
        <v>177</v>
      </c>
      <c r="AL245">
        <v>-82.383448999999999</v>
      </c>
      <c r="AM245">
        <v>100</v>
      </c>
      <c r="AN245">
        <v>400</v>
      </c>
      <c r="AO245" t="s">
        <v>118</v>
      </c>
      <c r="AP245">
        <v>6</v>
      </c>
      <c r="AQ245">
        <v>84</v>
      </c>
      <c r="AR245">
        <v>320</v>
      </c>
      <c r="AZ245">
        <v>1200</v>
      </c>
      <c r="BA245">
        <v>1</v>
      </c>
      <c r="BB245" t="str">
        <f t="shared" si="110"/>
        <v xml:space="preserve">N711JA  </v>
      </c>
      <c r="BC245">
        <v>1</v>
      </c>
      <c r="BE245">
        <v>0</v>
      </c>
      <c r="BF245">
        <v>0</v>
      </c>
      <c r="BG245">
        <v>0</v>
      </c>
      <c r="BH245">
        <v>450</v>
      </c>
      <c r="BI245">
        <v>1</v>
      </c>
      <c r="BJ245">
        <v>1</v>
      </c>
      <c r="BK245">
        <v>0</v>
      </c>
      <c r="BL245">
        <v>0</v>
      </c>
      <c r="BO245">
        <v>0</v>
      </c>
      <c r="BP245">
        <v>0</v>
      </c>
      <c r="BW245" t="str">
        <f t="shared" si="122"/>
        <v>14:41:20.609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343</v>
      </c>
      <c r="CR245">
        <v>2</v>
      </c>
      <c r="CW245">
        <v>12949441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 t="shared" si="119"/>
        <v>05/12/2020 14:41:02.800</v>
      </c>
      <c r="C246" t="str">
        <f t="shared" si="109"/>
        <v>FFDFD3C0</v>
      </c>
      <c r="D246" t="s">
        <v>138</v>
      </c>
      <c r="E246">
        <v>3</v>
      </c>
      <c r="H246">
        <v>9</v>
      </c>
      <c r="I246" t="s">
        <v>140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20"/>
        <v>14:41:20.602</v>
      </c>
      <c r="T246" t="str">
        <f t="shared" si="121"/>
        <v>14:41:20.502</v>
      </c>
      <c r="U246" t="str">
        <f t="shared" si="99"/>
        <v>A9808D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190</v>
      </c>
      <c r="AJ246">
        <v>28.237760000000002</v>
      </c>
      <c r="AK246" t="s">
        <v>177</v>
      </c>
      <c r="AL246">
        <v>-82.383448999999999</v>
      </c>
      <c r="AM246">
        <v>100</v>
      </c>
      <c r="AN246">
        <v>400</v>
      </c>
      <c r="AO246" t="s">
        <v>118</v>
      </c>
      <c r="AP246">
        <v>6</v>
      </c>
      <c r="AQ246">
        <v>84</v>
      </c>
      <c r="AR246">
        <v>320</v>
      </c>
      <c r="AZ246">
        <v>1200</v>
      </c>
      <c r="BA246">
        <v>1</v>
      </c>
      <c r="BB246" t="str">
        <f t="shared" si="110"/>
        <v xml:space="preserve">N711JA  </v>
      </c>
      <c r="BC246">
        <v>1</v>
      </c>
      <c r="BE246">
        <v>0</v>
      </c>
      <c r="BF246">
        <v>0</v>
      </c>
      <c r="BG246">
        <v>0</v>
      </c>
      <c r="BH246">
        <v>450</v>
      </c>
      <c r="BI246">
        <v>1</v>
      </c>
      <c r="BJ246">
        <v>1</v>
      </c>
      <c r="BK246">
        <v>0</v>
      </c>
      <c r="BL246">
        <v>0</v>
      </c>
      <c r="BO246">
        <v>0</v>
      </c>
      <c r="BP246">
        <v>0</v>
      </c>
      <c r="BW246" t="str">
        <f t="shared" si="122"/>
        <v>14:41:20.609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343</v>
      </c>
      <c r="CR246">
        <v>2</v>
      </c>
      <c r="CW246">
        <v>12949441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 t="shared" si="119"/>
        <v>05/12/2020 14:41:02.800</v>
      </c>
      <c r="C247" t="str">
        <f t="shared" si="109"/>
        <v>FFDFD3C0</v>
      </c>
      <c r="D247" t="s">
        <v>126</v>
      </c>
      <c r="E247">
        <v>6</v>
      </c>
      <c r="F247">
        <v>1006</v>
      </c>
      <c r="G247" t="s">
        <v>114</v>
      </c>
      <c r="J247" t="s">
        <v>128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20"/>
        <v>14:41:20.602</v>
      </c>
      <c r="T247" t="str">
        <f t="shared" si="121"/>
        <v>14:41:20.502</v>
      </c>
      <c r="U247" t="str">
        <f t="shared" si="99"/>
        <v>A9808D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190</v>
      </c>
      <c r="AJ247">
        <v>28.237760000000002</v>
      </c>
      <c r="AK247" t="s">
        <v>177</v>
      </c>
      <c r="AL247">
        <v>-82.383448999999999</v>
      </c>
      <c r="AM247">
        <v>100</v>
      </c>
      <c r="AN247">
        <v>400</v>
      </c>
      <c r="AO247" t="s">
        <v>118</v>
      </c>
      <c r="AP247">
        <v>6</v>
      </c>
      <c r="AQ247">
        <v>84</v>
      </c>
      <c r="AR247">
        <v>320</v>
      </c>
      <c r="AZ247">
        <v>1200</v>
      </c>
      <c r="BA247">
        <v>1</v>
      </c>
      <c r="BB247" t="str">
        <f t="shared" si="110"/>
        <v xml:space="preserve">N711JA  </v>
      </c>
      <c r="BC247">
        <v>1</v>
      </c>
      <c r="BE247">
        <v>0</v>
      </c>
      <c r="BF247">
        <v>0</v>
      </c>
      <c r="BG247">
        <v>0</v>
      </c>
      <c r="BH247">
        <v>450</v>
      </c>
      <c r="BI247">
        <v>1</v>
      </c>
      <c r="BJ247">
        <v>1</v>
      </c>
      <c r="BK247">
        <v>0</v>
      </c>
      <c r="BL247">
        <v>0</v>
      </c>
      <c r="BO247">
        <v>0</v>
      </c>
      <c r="BP247">
        <v>0</v>
      </c>
      <c r="BW247" t="str">
        <f t="shared" si="122"/>
        <v>14:41:20.609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343</v>
      </c>
      <c r="CR247">
        <v>2</v>
      </c>
      <c r="CW247">
        <v>12949441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 t="shared" si="119"/>
        <v>05/12/2020 14:41:02.800</v>
      </c>
      <c r="C248" t="str">
        <f t="shared" si="109"/>
        <v>FFDFD3C0</v>
      </c>
      <c r="D248" t="s">
        <v>134</v>
      </c>
      <c r="E248">
        <v>12</v>
      </c>
      <c r="H248">
        <v>64</v>
      </c>
      <c r="I248" t="s">
        <v>135</v>
      </c>
      <c r="J248" t="s">
        <v>136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20"/>
        <v>14:41:20.602</v>
      </c>
      <c r="T248" t="str">
        <f t="shared" si="121"/>
        <v>14:41:20.502</v>
      </c>
      <c r="U248" t="str">
        <f t="shared" si="99"/>
        <v>A9808D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0</v>
      </c>
      <c r="AI248" t="s">
        <v>190</v>
      </c>
      <c r="AJ248">
        <v>28.237760000000002</v>
      </c>
      <c r="AK248" t="s">
        <v>177</v>
      </c>
      <c r="AL248">
        <v>-82.383448999999999</v>
      </c>
      <c r="AM248">
        <v>100</v>
      </c>
      <c r="AN248">
        <v>400</v>
      </c>
      <c r="AO248" t="s">
        <v>118</v>
      </c>
      <c r="AP248">
        <v>6</v>
      </c>
      <c r="AQ248">
        <v>84</v>
      </c>
      <c r="AR248">
        <v>320</v>
      </c>
      <c r="AZ248">
        <v>1200</v>
      </c>
      <c r="BA248">
        <v>1</v>
      </c>
      <c r="BB248" t="str">
        <f t="shared" si="110"/>
        <v xml:space="preserve">N711JA  </v>
      </c>
      <c r="BC248">
        <v>1</v>
      </c>
      <c r="BE248">
        <v>0</v>
      </c>
      <c r="BF248">
        <v>0</v>
      </c>
      <c r="BG248">
        <v>0</v>
      </c>
      <c r="BH248">
        <v>450</v>
      </c>
      <c r="BI248">
        <v>1</v>
      </c>
      <c r="BJ248">
        <v>1</v>
      </c>
      <c r="BK248">
        <v>0</v>
      </c>
      <c r="BL248">
        <v>0</v>
      </c>
      <c r="BO248">
        <v>0</v>
      </c>
      <c r="BP248">
        <v>0</v>
      </c>
      <c r="BW248" t="str">
        <f t="shared" si="122"/>
        <v>14:41:20.609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343</v>
      </c>
      <c r="CR248">
        <v>2</v>
      </c>
      <c r="CW248">
        <v>12949441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 t="shared" si="119"/>
        <v>05/12/2020 14:41:02.800</v>
      </c>
      <c r="C249" t="str">
        <f t="shared" si="109"/>
        <v>FFDFD3C0</v>
      </c>
      <c r="D249" t="s">
        <v>113</v>
      </c>
      <c r="E249">
        <v>3</v>
      </c>
      <c r="H249">
        <v>164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20"/>
        <v>14:41:20.602</v>
      </c>
      <c r="T249" t="str">
        <f t="shared" si="121"/>
        <v>14:41:20.502</v>
      </c>
      <c r="U249" t="str">
        <f t="shared" si="99"/>
        <v>A9808D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0</v>
      </c>
      <c r="AI249" t="s">
        <v>190</v>
      </c>
      <c r="AJ249">
        <v>28.237760000000002</v>
      </c>
      <c r="AK249" t="s">
        <v>177</v>
      </c>
      <c r="AL249">
        <v>-82.383448999999999</v>
      </c>
      <c r="AM249">
        <v>100</v>
      </c>
      <c r="AN249">
        <v>400</v>
      </c>
      <c r="AO249" t="s">
        <v>118</v>
      </c>
      <c r="AP249">
        <v>6</v>
      </c>
      <c r="AQ249">
        <v>84</v>
      </c>
      <c r="AR249">
        <v>320</v>
      </c>
      <c r="AZ249">
        <v>1200</v>
      </c>
      <c r="BA249">
        <v>1</v>
      </c>
      <c r="BB249" t="str">
        <f t="shared" si="110"/>
        <v xml:space="preserve">N711JA  </v>
      </c>
      <c r="BC249">
        <v>1</v>
      </c>
      <c r="BE249">
        <v>0</v>
      </c>
      <c r="BF249">
        <v>0</v>
      </c>
      <c r="BG249">
        <v>0</v>
      </c>
      <c r="BH249">
        <v>450</v>
      </c>
      <c r="BI249">
        <v>1</v>
      </c>
      <c r="BJ249">
        <v>1</v>
      </c>
      <c r="BK249">
        <v>0</v>
      </c>
      <c r="BL249">
        <v>0</v>
      </c>
      <c r="BO249">
        <v>0</v>
      </c>
      <c r="BP249">
        <v>0</v>
      </c>
      <c r="BW249" t="str">
        <f t="shared" si="122"/>
        <v>14:41:20.609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343</v>
      </c>
      <c r="CR249">
        <v>2</v>
      </c>
      <c r="CW249">
        <v>12949441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 t="shared" si="119"/>
        <v>05/12/2020 14:41:02.800</v>
      </c>
      <c r="C250" t="str">
        <f t="shared" si="109"/>
        <v>FFDFD3C0</v>
      </c>
      <c r="D250" t="s">
        <v>126</v>
      </c>
      <c r="E250">
        <v>7</v>
      </c>
      <c r="F250">
        <v>1007</v>
      </c>
      <c r="G250" t="s">
        <v>127</v>
      </c>
      <c r="J250" t="s">
        <v>128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20"/>
        <v>14:41:20.602</v>
      </c>
      <c r="T250" t="str">
        <f t="shared" si="121"/>
        <v>14:41:20.502</v>
      </c>
      <c r="U250" t="str">
        <f t="shared" si="99"/>
        <v>A9808D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0</v>
      </c>
      <c r="AI250" t="s">
        <v>190</v>
      </c>
      <c r="AJ250">
        <v>28.237760000000002</v>
      </c>
      <c r="AK250" t="s">
        <v>177</v>
      </c>
      <c r="AL250">
        <v>-82.383448999999999</v>
      </c>
      <c r="AM250">
        <v>100</v>
      </c>
      <c r="AN250">
        <v>400</v>
      </c>
      <c r="AO250" t="s">
        <v>118</v>
      </c>
      <c r="AP250">
        <v>6</v>
      </c>
      <c r="AQ250">
        <v>84</v>
      </c>
      <c r="AR250">
        <v>320</v>
      </c>
      <c r="AZ250">
        <v>1200</v>
      </c>
      <c r="BA250">
        <v>1</v>
      </c>
      <c r="BB250" t="str">
        <f t="shared" si="110"/>
        <v xml:space="preserve">N711JA  </v>
      </c>
      <c r="BC250">
        <v>1</v>
      </c>
      <c r="BE250">
        <v>0</v>
      </c>
      <c r="BF250">
        <v>0</v>
      </c>
      <c r="BG250">
        <v>0</v>
      </c>
      <c r="BH250">
        <v>450</v>
      </c>
      <c r="BI250">
        <v>1</v>
      </c>
      <c r="BJ250">
        <v>1</v>
      </c>
      <c r="BK250">
        <v>0</v>
      </c>
      <c r="BL250">
        <v>0</v>
      </c>
      <c r="BO250">
        <v>0</v>
      </c>
      <c r="BP250">
        <v>0</v>
      </c>
      <c r="BW250" t="str">
        <f t="shared" si="122"/>
        <v>14:41:20.609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343</v>
      </c>
      <c r="CR250">
        <v>2</v>
      </c>
      <c r="CW250">
        <v>12949441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 t="shared" si="119"/>
        <v>05/12/2020 14:41:02.800</v>
      </c>
      <c r="C251" t="str">
        <f t="shared" si="109"/>
        <v>FFDFD3C0</v>
      </c>
      <c r="D251" t="s">
        <v>131</v>
      </c>
      <c r="E251">
        <v>18</v>
      </c>
      <c r="F251">
        <v>2018</v>
      </c>
      <c r="G251" t="s">
        <v>161</v>
      </c>
      <c r="J251" t="s">
        <v>133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20"/>
        <v>14:41:20.602</v>
      </c>
      <c r="T251" t="str">
        <f t="shared" si="121"/>
        <v>14:41:20.502</v>
      </c>
      <c r="U251" t="str">
        <f t="shared" si="99"/>
        <v>A9808D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0</v>
      </c>
      <c r="AI251" t="s">
        <v>190</v>
      </c>
      <c r="AJ251">
        <v>28.237760000000002</v>
      </c>
      <c r="AK251" t="s">
        <v>177</v>
      </c>
      <c r="AL251">
        <v>-82.383448999999999</v>
      </c>
      <c r="AM251">
        <v>100</v>
      </c>
      <c r="AN251">
        <v>400</v>
      </c>
      <c r="AO251" t="s">
        <v>118</v>
      </c>
      <c r="AP251">
        <v>6</v>
      </c>
      <c r="AQ251">
        <v>84</v>
      </c>
      <c r="AR251">
        <v>320</v>
      </c>
      <c r="AZ251">
        <v>1200</v>
      </c>
      <c r="BA251">
        <v>1</v>
      </c>
      <c r="BB251" t="str">
        <f t="shared" si="110"/>
        <v xml:space="preserve">N711JA  </v>
      </c>
      <c r="BC251">
        <v>1</v>
      </c>
      <c r="BE251">
        <v>0</v>
      </c>
      <c r="BF251">
        <v>0</v>
      </c>
      <c r="BG251">
        <v>0</v>
      </c>
      <c r="BH251">
        <v>450</v>
      </c>
      <c r="BI251">
        <v>1</v>
      </c>
      <c r="BJ251">
        <v>1</v>
      </c>
      <c r="BK251">
        <v>0</v>
      </c>
      <c r="BL251">
        <v>0</v>
      </c>
      <c r="BO251">
        <v>0</v>
      </c>
      <c r="BP251">
        <v>0</v>
      </c>
      <c r="BW251" t="str">
        <f t="shared" si="122"/>
        <v>14:41:20.609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343</v>
      </c>
      <c r="CR251">
        <v>2</v>
      </c>
      <c r="CW251">
        <v>12949441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 t="shared" si="119"/>
        <v>05/12/2020 14:41:02.800</v>
      </c>
      <c r="C252" t="str">
        <f t="shared" si="109"/>
        <v>FFDFD3C0</v>
      </c>
      <c r="D252" t="s">
        <v>131</v>
      </c>
      <c r="E252">
        <v>10</v>
      </c>
      <c r="F252">
        <v>2010</v>
      </c>
      <c r="G252" t="s">
        <v>132</v>
      </c>
      <c r="J252" t="s">
        <v>133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20"/>
        <v>14:41:20.602</v>
      </c>
      <c r="T252" t="str">
        <f t="shared" si="121"/>
        <v>14:41:20.502</v>
      </c>
      <c r="U252" t="str">
        <f t="shared" si="99"/>
        <v>A9808D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0</v>
      </c>
      <c r="AI252" t="s">
        <v>190</v>
      </c>
      <c r="AJ252">
        <v>28.237760000000002</v>
      </c>
      <c r="AK252" t="s">
        <v>177</v>
      </c>
      <c r="AL252">
        <v>-82.383448999999999</v>
      </c>
      <c r="AM252">
        <v>100</v>
      </c>
      <c r="AN252">
        <v>400</v>
      </c>
      <c r="AO252" t="s">
        <v>118</v>
      </c>
      <c r="AP252">
        <v>6</v>
      </c>
      <c r="AQ252">
        <v>84</v>
      </c>
      <c r="AR252">
        <v>320</v>
      </c>
      <c r="AZ252">
        <v>1200</v>
      </c>
      <c r="BA252">
        <v>1</v>
      </c>
      <c r="BB252" t="str">
        <f t="shared" si="110"/>
        <v xml:space="preserve">N711JA  </v>
      </c>
      <c r="BC252">
        <v>1</v>
      </c>
      <c r="BE252">
        <v>0</v>
      </c>
      <c r="BF252">
        <v>0</v>
      </c>
      <c r="BG252">
        <v>0</v>
      </c>
      <c r="BH252">
        <v>450</v>
      </c>
      <c r="BI252">
        <v>1</v>
      </c>
      <c r="BJ252">
        <v>1</v>
      </c>
      <c r="BK252">
        <v>0</v>
      </c>
      <c r="BL252">
        <v>0</v>
      </c>
      <c r="BO252">
        <v>0</v>
      </c>
      <c r="BP252">
        <v>0</v>
      </c>
      <c r="BW252" t="str">
        <f t="shared" si="122"/>
        <v>14:41:20.609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343</v>
      </c>
      <c r="CR252">
        <v>2</v>
      </c>
      <c r="CW252">
        <v>12949441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"05/12/2020 14:41:03.801"</f>
        <v>05/12/2020 14:41:03.801</v>
      </c>
      <c r="C253" t="str">
        <f t="shared" si="109"/>
        <v>FFDFD3C0</v>
      </c>
      <c r="D253" t="s">
        <v>131</v>
      </c>
      <c r="E253">
        <v>10</v>
      </c>
      <c r="F253">
        <v>2010</v>
      </c>
      <c r="G253" t="s">
        <v>132</v>
      </c>
      <c r="J253" t="s">
        <v>133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"14:41:21.602"</f>
        <v>14:41:21.602</v>
      </c>
      <c r="T253" t="str">
        <f>"14:41:21.502"</f>
        <v>14:41:21.502</v>
      </c>
      <c r="U253" t="str">
        <f t="shared" si="99"/>
        <v>A9808D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0</v>
      </c>
      <c r="AI253" t="s">
        <v>191</v>
      </c>
      <c r="AJ253">
        <v>28.238168000000002</v>
      </c>
      <c r="AK253" t="s">
        <v>177</v>
      </c>
      <c r="AL253">
        <v>-82.383448999999999</v>
      </c>
      <c r="AM253">
        <v>100</v>
      </c>
      <c r="AN253">
        <v>400</v>
      </c>
      <c r="AO253" t="s">
        <v>118</v>
      </c>
      <c r="AP253">
        <v>6</v>
      </c>
      <c r="AQ253">
        <v>84</v>
      </c>
      <c r="AR253">
        <v>128</v>
      </c>
      <c r="AZ253">
        <v>1200</v>
      </c>
      <c r="BA253">
        <v>1</v>
      </c>
      <c r="BB253" t="str">
        <f t="shared" si="110"/>
        <v xml:space="preserve">N711JA  </v>
      </c>
      <c r="BC253">
        <v>1</v>
      </c>
      <c r="BE253">
        <v>0</v>
      </c>
      <c r="BF253">
        <v>0</v>
      </c>
      <c r="BG253">
        <v>0</v>
      </c>
      <c r="BH253">
        <v>450</v>
      </c>
      <c r="BI253">
        <v>1</v>
      </c>
      <c r="BJ253">
        <v>1</v>
      </c>
      <c r="BK253">
        <v>0</v>
      </c>
      <c r="BL253">
        <v>0</v>
      </c>
      <c r="BO253">
        <v>0</v>
      </c>
      <c r="BP253">
        <v>0</v>
      </c>
      <c r="BW253" t="str">
        <f>"14:41:21.605"</f>
        <v>14:41:21.605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3</v>
      </c>
      <c r="CP253" t="s">
        <v>119</v>
      </c>
      <c r="CQ253">
        <v>358</v>
      </c>
      <c r="CR253">
        <v>0</v>
      </c>
      <c r="CW253">
        <v>4538778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"05/12/2020 14:41:03.801"</f>
        <v>05/12/2020 14:41:03.801</v>
      </c>
      <c r="C254" t="str">
        <f t="shared" si="109"/>
        <v>FFDFD3C0</v>
      </c>
      <c r="D254" t="s">
        <v>138</v>
      </c>
      <c r="E254">
        <v>3</v>
      </c>
      <c r="H254">
        <v>9</v>
      </c>
      <c r="I254" t="s">
        <v>140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"14:41:21.602"</f>
        <v>14:41:21.602</v>
      </c>
      <c r="T254" t="str">
        <f>"14:41:21.502"</f>
        <v>14:41:21.502</v>
      </c>
      <c r="U254" t="str">
        <f t="shared" si="99"/>
        <v>A9808D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0</v>
      </c>
      <c r="AI254" t="s">
        <v>191</v>
      </c>
      <c r="AJ254">
        <v>28.238168000000002</v>
      </c>
      <c r="AK254" t="s">
        <v>177</v>
      </c>
      <c r="AL254">
        <v>-82.383448999999999</v>
      </c>
      <c r="AM254">
        <v>100</v>
      </c>
      <c r="AN254">
        <v>400</v>
      </c>
      <c r="AO254" t="s">
        <v>118</v>
      </c>
      <c r="AP254">
        <v>6</v>
      </c>
      <c r="AQ254">
        <v>84</v>
      </c>
      <c r="AR254">
        <v>128</v>
      </c>
      <c r="AZ254">
        <v>1200</v>
      </c>
      <c r="BA254">
        <v>1</v>
      </c>
      <c r="BB254" t="str">
        <f t="shared" si="110"/>
        <v xml:space="preserve">N711JA  </v>
      </c>
      <c r="BC254">
        <v>1</v>
      </c>
      <c r="BE254">
        <v>0</v>
      </c>
      <c r="BF254">
        <v>0</v>
      </c>
      <c r="BG254">
        <v>0</v>
      </c>
      <c r="BH254">
        <v>450</v>
      </c>
      <c r="BI254">
        <v>1</v>
      </c>
      <c r="BJ254">
        <v>1</v>
      </c>
      <c r="BK254">
        <v>0</v>
      </c>
      <c r="BL254">
        <v>0</v>
      </c>
      <c r="BO254">
        <v>0</v>
      </c>
      <c r="BP254">
        <v>0</v>
      </c>
      <c r="BW254" t="str">
        <f>"14:41:21.605"</f>
        <v>14:41:21.605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3</v>
      </c>
      <c r="CP254" t="s">
        <v>119</v>
      </c>
      <c r="CQ254">
        <v>358</v>
      </c>
      <c r="CR254">
        <v>0</v>
      </c>
      <c r="CW254">
        <v>4538778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"05/12/2020 14:41:03.801"</f>
        <v>05/12/2020 14:41:03.801</v>
      </c>
      <c r="C255" t="str">
        <f t="shared" si="109"/>
        <v>FFDFD3C0</v>
      </c>
      <c r="D255" t="s">
        <v>126</v>
      </c>
      <c r="E255">
        <v>6</v>
      </c>
      <c r="F255">
        <v>1006</v>
      </c>
      <c r="G255" t="s">
        <v>114</v>
      </c>
      <c r="J255" t="s">
        <v>128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"14:41:21.602"</f>
        <v>14:41:21.602</v>
      </c>
      <c r="T255" t="str">
        <f>"14:41:21.502"</f>
        <v>14:41:21.502</v>
      </c>
      <c r="U255" t="str">
        <f t="shared" si="99"/>
        <v>A9808D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0</v>
      </c>
      <c r="AI255" t="s">
        <v>191</v>
      </c>
      <c r="AJ255">
        <v>28.238168000000002</v>
      </c>
      <c r="AK255" t="s">
        <v>177</v>
      </c>
      <c r="AL255">
        <v>-82.383448999999999</v>
      </c>
      <c r="AM255">
        <v>100</v>
      </c>
      <c r="AN255">
        <v>400</v>
      </c>
      <c r="AO255" t="s">
        <v>118</v>
      </c>
      <c r="AP255">
        <v>6</v>
      </c>
      <c r="AQ255">
        <v>84</v>
      </c>
      <c r="AR255">
        <v>128</v>
      </c>
      <c r="AZ255">
        <v>1200</v>
      </c>
      <c r="BA255">
        <v>1</v>
      </c>
      <c r="BB255" t="str">
        <f t="shared" si="110"/>
        <v xml:space="preserve">N711JA  </v>
      </c>
      <c r="BC255">
        <v>1</v>
      </c>
      <c r="BE255">
        <v>0</v>
      </c>
      <c r="BF255">
        <v>0</v>
      </c>
      <c r="BG255">
        <v>0</v>
      </c>
      <c r="BH255">
        <v>450</v>
      </c>
      <c r="BI255">
        <v>1</v>
      </c>
      <c r="BJ255">
        <v>1</v>
      </c>
      <c r="BK255">
        <v>0</v>
      </c>
      <c r="BL255">
        <v>0</v>
      </c>
      <c r="BO255">
        <v>0</v>
      </c>
      <c r="BP255">
        <v>0</v>
      </c>
      <c r="BW255" t="str">
        <f>"14:41:21.605"</f>
        <v>14:41:21.605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3</v>
      </c>
      <c r="CP255" t="s">
        <v>119</v>
      </c>
      <c r="CQ255">
        <v>358</v>
      </c>
      <c r="CR255">
        <v>0</v>
      </c>
      <c r="CW255">
        <v>4538778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"05/12/2020 14:41:03.801"</f>
        <v>05/12/2020 14:41:03.801</v>
      </c>
      <c r="C256" t="str">
        <f t="shared" si="109"/>
        <v>FFDFD3C0</v>
      </c>
      <c r="D256" t="s">
        <v>134</v>
      </c>
      <c r="E256">
        <v>12</v>
      </c>
      <c r="H256">
        <v>64</v>
      </c>
      <c r="I256" t="s">
        <v>135</v>
      </c>
      <c r="J256" t="s">
        <v>136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"14:41:21.602"</f>
        <v>14:41:21.602</v>
      </c>
      <c r="T256" t="str">
        <f>"14:41:21.502"</f>
        <v>14:41:21.502</v>
      </c>
      <c r="U256" t="str">
        <f t="shared" si="99"/>
        <v>A9808D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0</v>
      </c>
      <c r="AI256" t="s">
        <v>191</v>
      </c>
      <c r="AJ256">
        <v>28.238168000000002</v>
      </c>
      <c r="AK256" t="s">
        <v>177</v>
      </c>
      <c r="AL256">
        <v>-82.383448999999999</v>
      </c>
      <c r="AM256">
        <v>100</v>
      </c>
      <c r="AN256">
        <v>400</v>
      </c>
      <c r="AO256" t="s">
        <v>118</v>
      </c>
      <c r="AP256">
        <v>6</v>
      </c>
      <c r="AQ256">
        <v>84</v>
      </c>
      <c r="AR256">
        <v>128</v>
      </c>
      <c r="AZ256">
        <v>1200</v>
      </c>
      <c r="BA256">
        <v>1</v>
      </c>
      <c r="BB256" t="str">
        <f t="shared" si="110"/>
        <v xml:space="preserve">N711JA  </v>
      </c>
      <c r="BC256">
        <v>1</v>
      </c>
      <c r="BE256">
        <v>0</v>
      </c>
      <c r="BF256">
        <v>0</v>
      </c>
      <c r="BG256">
        <v>0</v>
      </c>
      <c r="BH256">
        <v>450</v>
      </c>
      <c r="BI256">
        <v>1</v>
      </c>
      <c r="BJ256">
        <v>1</v>
      </c>
      <c r="BK256">
        <v>0</v>
      </c>
      <c r="BL256">
        <v>0</v>
      </c>
      <c r="BO256">
        <v>0</v>
      </c>
      <c r="BP256">
        <v>0</v>
      </c>
      <c r="BW256" t="str">
        <f>"14:41:21.605"</f>
        <v>14:41:21.605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3</v>
      </c>
      <c r="CP256" t="s">
        <v>119</v>
      </c>
      <c r="CQ256">
        <v>358</v>
      </c>
      <c r="CR256">
        <v>0</v>
      </c>
      <c r="CW256">
        <v>4538778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"05/12/2020 14:41:03.801"</f>
        <v>05/12/2020 14:41:03.801</v>
      </c>
      <c r="C257" t="str">
        <f t="shared" si="109"/>
        <v>FFDFD3C0</v>
      </c>
      <c r="D257" t="s">
        <v>126</v>
      </c>
      <c r="E257">
        <v>7</v>
      </c>
      <c r="F257">
        <v>1007</v>
      </c>
      <c r="G257" t="s">
        <v>127</v>
      </c>
      <c r="J257" t="s">
        <v>128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"14:41:21.602"</f>
        <v>14:41:21.602</v>
      </c>
      <c r="T257" t="str">
        <f>"14:41:21.502"</f>
        <v>14:41:21.502</v>
      </c>
      <c r="U257" t="str">
        <f t="shared" si="99"/>
        <v>A9808D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0</v>
      </c>
      <c r="AI257" t="s">
        <v>191</v>
      </c>
      <c r="AJ257">
        <v>28.238168000000002</v>
      </c>
      <c r="AK257" t="s">
        <v>177</v>
      </c>
      <c r="AL257">
        <v>-82.383448999999999</v>
      </c>
      <c r="AM257">
        <v>100</v>
      </c>
      <c r="AN257">
        <v>400</v>
      </c>
      <c r="AO257" t="s">
        <v>118</v>
      </c>
      <c r="AP257">
        <v>6</v>
      </c>
      <c r="AQ257">
        <v>84</v>
      </c>
      <c r="AR257">
        <v>128</v>
      </c>
      <c r="AZ257">
        <v>1200</v>
      </c>
      <c r="BA257">
        <v>1</v>
      </c>
      <c r="BB257" t="str">
        <f t="shared" si="110"/>
        <v xml:space="preserve">N711JA  </v>
      </c>
      <c r="BC257">
        <v>1</v>
      </c>
      <c r="BE257">
        <v>0</v>
      </c>
      <c r="BF257">
        <v>0</v>
      </c>
      <c r="BG257">
        <v>0</v>
      </c>
      <c r="BH257">
        <v>450</v>
      </c>
      <c r="BI257">
        <v>1</v>
      </c>
      <c r="BJ257">
        <v>1</v>
      </c>
      <c r="BK257">
        <v>0</v>
      </c>
      <c r="BL257">
        <v>0</v>
      </c>
      <c r="BO257">
        <v>0</v>
      </c>
      <c r="BP257">
        <v>0</v>
      </c>
      <c r="BW257" t="str">
        <f>"14:41:21.605"</f>
        <v>14:41:21.605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3</v>
      </c>
      <c r="CP257" t="s">
        <v>119</v>
      </c>
      <c r="CQ257">
        <v>358</v>
      </c>
      <c r="CR257">
        <v>0</v>
      </c>
      <c r="CW257">
        <v>4538778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 t="shared" ref="A258:A266" si="123">"05/12/2020 14:41:04.758"</f>
        <v>05/12/2020 14:41:04.758</v>
      </c>
      <c r="C258" t="str">
        <f t="shared" si="109"/>
        <v>FFDFD3C0</v>
      </c>
      <c r="D258" t="s">
        <v>134</v>
      </c>
      <c r="E258">
        <v>12</v>
      </c>
      <c r="H258">
        <v>64</v>
      </c>
      <c r="I258" t="s">
        <v>135</v>
      </c>
      <c r="J258" t="s">
        <v>136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ref="S258:T266" si="124">"14:41:22.570"</f>
        <v>14:41:22.570</v>
      </c>
      <c r="T258" t="str">
        <f t="shared" si="124"/>
        <v>14:41:22.570</v>
      </c>
      <c r="U258" t="str">
        <f t="shared" ref="U258:U321" si="125">"A9808D"</f>
        <v>A9808D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0</v>
      </c>
      <c r="AI258" t="s">
        <v>192</v>
      </c>
      <c r="AJ258">
        <v>28.238533</v>
      </c>
      <c r="AK258" t="s">
        <v>175</v>
      </c>
      <c r="AL258">
        <v>-82.383405999999994</v>
      </c>
      <c r="AM258">
        <v>100</v>
      </c>
      <c r="AN258">
        <v>400</v>
      </c>
      <c r="AO258" t="s">
        <v>118</v>
      </c>
      <c r="AP258">
        <v>7</v>
      </c>
      <c r="AQ258">
        <v>85</v>
      </c>
      <c r="AR258">
        <v>64</v>
      </c>
      <c r="AZ258">
        <v>1200</v>
      </c>
      <c r="BA258">
        <v>1</v>
      </c>
      <c r="BB258" t="str">
        <f t="shared" si="110"/>
        <v xml:space="preserve">N711JA  </v>
      </c>
      <c r="BC258">
        <v>1</v>
      </c>
      <c r="BE258">
        <v>0</v>
      </c>
      <c r="BF258">
        <v>0</v>
      </c>
      <c r="BG258">
        <v>0</v>
      </c>
      <c r="BH258">
        <v>450</v>
      </c>
      <c r="BI258">
        <v>1</v>
      </c>
      <c r="BJ258">
        <v>1</v>
      </c>
      <c r="BK258">
        <v>0</v>
      </c>
      <c r="BL258">
        <v>0</v>
      </c>
      <c r="BO258">
        <v>0</v>
      </c>
      <c r="BP258">
        <v>0</v>
      </c>
      <c r="BW258" t="str">
        <f t="shared" ref="BW258:BW266" si="126">"14:41:22.573"</f>
        <v>14:41:22.573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343</v>
      </c>
      <c r="CR258">
        <v>2</v>
      </c>
      <c r="CW258">
        <v>12950833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 t="shared" si="123"/>
        <v>05/12/2020 14:41:04.758</v>
      </c>
      <c r="C259" t="str">
        <f t="shared" si="109"/>
        <v>FFDFD3C0</v>
      </c>
      <c r="D259" t="s">
        <v>131</v>
      </c>
      <c r="E259">
        <v>12</v>
      </c>
      <c r="F259">
        <v>2012</v>
      </c>
      <c r="G259" t="s">
        <v>137</v>
      </c>
      <c r="J259" t="s">
        <v>133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24"/>
        <v>14:41:22.570</v>
      </c>
      <c r="T259" t="str">
        <f t="shared" si="124"/>
        <v>14:41:22.570</v>
      </c>
      <c r="U259" t="str">
        <f t="shared" si="125"/>
        <v>A9808D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0</v>
      </c>
      <c r="AI259" t="s">
        <v>192</v>
      </c>
      <c r="AJ259">
        <v>28.238533</v>
      </c>
      <c r="AK259" t="s">
        <v>175</v>
      </c>
      <c r="AL259">
        <v>-82.383405999999994</v>
      </c>
      <c r="AM259">
        <v>100</v>
      </c>
      <c r="AN259">
        <v>400</v>
      </c>
      <c r="AO259" t="s">
        <v>118</v>
      </c>
      <c r="AP259">
        <v>7</v>
      </c>
      <c r="AQ259">
        <v>85</v>
      </c>
      <c r="AR259">
        <v>64</v>
      </c>
      <c r="AZ259">
        <v>1200</v>
      </c>
      <c r="BA259">
        <v>1</v>
      </c>
      <c r="BB259" t="str">
        <f t="shared" si="110"/>
        <v xml:space="preserve">N711JA  </v>
      </c>
      <c r="BC259">
        <v>1</v>
      </c>
      <c r="BE259">
        <v>0</v>
      </c>
      <c r="BF259">
        <v>0</v>
      </c>
      <c r="BG259">
        <v>0</v>
      </c>
      <c r="BH259">
        <v>450</v>
      </c>
      <c r="BI259">
        <v>1</v>
      </c>
      <c r="BJ259">
        <v>1</v>
      </c>
      <c r="BK259">
        <v>0</v>
      </c>
      <c r="BL259">
        <v>0</v>
      </c>
      <c r="BO259">
        <v>0</v>
      </c>
      <c r="BP259">
        <v>0</v>
      </c>
      <c r="BW259" t="str">
        <f t="shared" si="126"/>
        <v>14:41:22.573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343</v>
      </c>
      <c r="CR259">
        <v>2</v>
      </c>
      <c r="CW259">
        <v>12950833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 t="shared" si="123"/>
        <v>05/12/2020 14:41:04.758</v>
      </c>
      <c r="C260" t="str">
        <f t="shared" si="109"/>
        <v>FFDFD3C0</v>
      </c>
      <c r="D260" t="s">
        <v>113</v>
      </c>
      <c r="E260">
        <v>3</v>
      </c>
      <c r="H260">
        <v>164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24"/>
        <v>14:41:22.570</v>
      </c>
      <c r="T260" t="str">
        <f t="shared" si="124"/>
        <v>14:41:22.570</v>
      </c>
      <c r="U260" t="str">
        <f t="shared" si="125"/>
        <v>A9808D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0</v>
      </c>
      <c r="AI260" t="s">
        <v>192</v>
      </c>
      <c r="AJ260">
        <v>28.238533</v>
      </c>
      <c r="AK260" t="s">
        <v>175</v>
      </c>
      <c r="AL260">
        <v>-82.383405999999994</v>
      </c>
      <c r="AM260">
        <v>100</v>
      </c>
      <c r="AN260">
        <v>400</v>
      </c>
      <c r="AO260" t="s">
        <v>118</v>
      </c>
      <c r="AP260">
        <v>7</v>
      </c>
      <c r="AQ260">
        <v>85</v>
      </c>
      <c r="AR260">
        <v>64</v>
      </c>
      <c r="AZ260">
        <v>1200</v>
      </c>
      <c r="BA260">
        <v>1</v>
      </c>
      <c r="BB260" t="str">
        <f t="shared" si="110"/>
        <v xml:space="preserve">N711JA  </v>
      </c>
      <c r="BC260">
        <v>1</v>
      </c>
      <c r="BE260">
        <v>0</v>
      </c>
      <c r="BF260">
        <v>0</v>
      </c>
      <c r="BG260">
        <v>0</v>
      </c>
      <c r="BH260">
        <v>450</v>
      </c>
      <c r="BI260">
        <v>1</v>
      </c>
      <c r="BJ260">
        <v>1</v>
      </c>
      <c r="BK260">
        <v>0</v>
      </c>
      <c r="BL260">
        <v>0</v>
      </c>
      <c r="BO260">
        <v>0</v>
      </c>
      <c r="BP260">
        <v>0</v>
      </c>
      <c r="BW260" t="str">
        <f t="shared" si="126"/>
        <v>14:41:22.573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343</v>
      </c>
      <c r="CR260">
        <v>2</v>
      </c>
      <c r="CW260">
        <v>12950833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si="123"/>
        <v>05/12/2020 14:41:04.758</v>
      </c>
      <c r="C261" t="str">
        <f t="shared" si="109"/>
        <v>FFDFD3C0</v>
      </c>
      <c r="D261" t="s">
        <v>138</v>
      </c>
      <c r="E261">
        <v>2</v>
      </c>
      <c r="H261">
        <v>8</v>
      </c>
      <c r="I261" t="s">
        <v>139</v>
      </c>
      <c r="J261" t="s">
        <v>136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24"/>
        <v>14:41:22.570</v>
      </c>
      <c r="T261" t="str">
        <f t="shared" si="124"/>
        <v>14:41:22.570</v>
      </c>
      <c r="U261" t="str">
        <f t="shared" si="125"/>
        <v>A9808D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192</v>
      </c>
      <c r="AJ261">
        <v>28.238533</v>
      </c>
      <c r="AK261" t="s">
        <v>175</v>
      </c>
      <c r="AL261">
        <v>-82.383405999999994</v>
      </c>
      <c r="AM261">
        <v>100</v>
      </c>
      <c r="AN261">
        <v>400</v>
      </c>
      <c r="AO261" t="s">
        <v>118</v>
      </c>
      <c r="AP261">
        <v>7</v>
      </c>
      <c r="AQ261">
        <v>85</v>
      </c>
      <c r="AR261">
        <v>64</v>
      </c>
      <c r="AZ261">
        <v>1200</v>
      </c>
      <c r="BA261">
        <v>1</v>
      </c>
      <c r="BB261" t="str">
        <f t="shared" si="110"/>
        <v xml:space="preserve">N711JA  </v>
      </c>
      <c r="BC261">
        <v>1</v>
      </c>
      <c r="BE261">
        <v>0</v>
      </c>
      <c r="BF261">
        <v>0</v>
      </c>
      <c r="BG261">
        <v>0</v>
      </c>
      <c r="BH261">
        <v>450</v>
      </c>
      <c r="BI261">
        <v>1</v>
      </c>
      <c r="BJ261">
        <v>1</v>
      </c>
      <c r="BK261">
        <v>0</v>
      </c>
      <c r="BL261">
        <v>0</v>
      </c>
      <c r="BO261">
        <v>0</v>
      </c>
      <c r="BP261">
        <v>0</v>
      </c>
      <c r="BW261" t="str">
        <f t="shared" si="126"/>
        <v>14:41:22.573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343</v>
      </c>
      <c r="CR261">
        <v>2</v>
      </c>
      <c r="CW261">
        <v>12950833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23"/>
        <v>05/12/2020 14:41:04.758</v>
      </c>
      <c r="C262" t="str">
        <f t="shared" si="109"/>
        <v>FFDFD3C0</v>
      </c>
      <c r="D262" t="s">
        <v>138</v>
      </c>
      <c r="E262">
        <v>3</v>
      </c>
      <c r="H262">
        <v>9</v>
      </c>
      <c r="I262" t="s">
        <v>140</v>
      </c>
      <c r="J262" t="s">
        <v>136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24"/>
        <v>14:41:22.570</v>
      </c>
      <c r="T262" t="str">
        <f t="shared" si="124"/>
        <v>14:41:22.570</v>
      </c>
      <c r="U262" t="str">
        <f t="shared" si="125"/>
        <v>A9808D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192</v>
      </c>
      <c r="AJ262">
        <v>28.238533</v>
      </c>
      <c r="AK262" t="s">
        <v>175</v>
      </c>
      <c r="AL262">
        <v>-82.383405999999994</v>
      </c>
      <c r="AM262">
        <v>100</v>
      </c>
      <c r="AN262">
        <v>400</v>
      </c>
      <c r="AO262" t="s">
        <v>118</v>
      </c>
      <c r="AP262">
        <v>7</v>
      </c>
      <c r="AQ262">
        <v>85</v>
      </c>
      <c r="AR262">
        <v>64</v>
      </c>
      <c r="AZ262">
        <v>1200</v>
      </c>
      <c r="BA262">
        <v>1</v>
      </c>
      <c r="BB262" t="str">
        <f t="shared" si="110"/>
        <v xml:space="preserve">N711JA  </v>
      </c>
      <c r="BC262">
        <v>1</v>
      </c>
      <c r="BE262">
        <v>0</v>
      </c>
      <c r="BF262">
        <v>0</v>
      </c>
      <c r="BG262">
        <v>0</v>
      </c>
      <c r="BH262">
        <v>450</v>
      </c>
      <c r="BI262">
        <v>1</v>
      </c>
      <c r="BJ262">
        <v>1</v>
      </c>
      <c r="BK262">
        <v>0</v>
      </c>
      <c r="BL262">
        <v>0</v>
      </c>
      <c r="BO262">
        <v>0</v>
      </c>
      <c r="BP262">
        <v>0</v>
      </c>
      <c r="BW262" t="str">
        <f t="shared" si="126"/>
        <v>14:41:22.573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343</v>
      </c>
      <c r="CR262">
        <v>2</v>
      </c>
      <c r="CW262">
        <v>12950833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23"/>
        <v>05/12/2020 14:41:04.758</v>
      </c>
      <c r="C263" t="str">
        <f t="shared" si="109"/>
        <v>FFDFD3C0</v>
      </c>
      <c r="D263" t="s">
        <v>126</v>
      </c>
      <c r="E263">
        <v>6</v>
      </c>
      <c r="F263">
        <v>1006</v>
      </c>
      <c r="G263" t="s">
        <v>114</v>
      </c>
      <c r="J263" t="s">
        <v>128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24"/>
        <v>14:41:22.570</v>
      </c>
      <c r="T263" t="str">
        <f t="shared" si="124"/>
        <v>14:41:22.570</v>
      </c>
      <c r="U263" t="str">
        <f t="shared" si="125"/>
        <v>A9808D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192</v>
      </c>
      <c r="AJ263">
        <v>28.238533</v>
      </c>
      <c r="AK263" t="s">
        <v>175</v>
      </c>
      <c r="AL263">
        <v>-82.383405999999994</v>
      </c>
      <c r="AM263">
        <v>100</v>
      </c>
      <c r="AN263">
        <v>400</v>
      </c>
      <c r="AO263" t="s">
        <v>118</v>
      </c>
      <c r="AP263">
        <v>7</v>
      </c>
      <c r="AQ263">
        <v>85</v>
      </c>
      <c r="AR263">
        <v>64</v>
      </c>
      <c r="AZ263">
        <v>1200</v>
      </c>
      <c r="BA263">
        <v>1</v>
      </c>
      <c r="BB263" t="str">
        <f t="shared" si="110"/>
        <v xml:space="preserve">N711JA  </v>
      </c>
      <c r="BC263">
        <v>1</v>
      </c>
      <c r="BE263">
        <v>0</v>
      </c>
      <c r="BF263">
        <v>0</v>
      </c>
      <c r="BG263">
        <v>0</v>
      </c>
      <c r="BH263">
        <v>450</v>
      </c>
      <c r="BI263">
        <v>1</v>
      </c>
      <c r="BJ263">
        <v>1</v>
      </c>
      <c r="BK263">
        <v>0</v>
      </c>
      <c r="BL263">
        <v>0</v>
      </c>
      <c r="BO263">
        <v>0</v>
      </c>
      <c r="BP263">
        <v>0</v>
      </c>
      <c r="BW263" t="str">
        <f t="shared" si="126"/>
        <v>14:41:22.573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343</v>
      </c>
      <c r="CR263">
        <v>2</v>
      </c>
      <c r="CW263">
        <v>12950833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si="123"/>
        <v>05/12/2020 14:41:04.758</v>
      </c>
      <c r="C264" t="str">
        <f t="shared" si="109"/>
        <v>FFDFD3C0</v>
      </c>
      <c r="D264" t="s">
        <v>131</v>
      </c>
      <c r="E264">
        <v>18</v>
      </c>
      <c r="F264">
        <v>2018</v>
      </c>
      <c r="G264" t="s">
        <v>161</v>
      </c>
      <c r="J264" t="s">
        <v>133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24"/>
        <v>14:41:22.570</v>
      </c>
      <c r="T264" t="str">
        <f t="shared" si="124"/>
        <v>14:41:22.570</v>
      </c>
      <c r="U264" t="str">
        <f t="shared" si="125"/>
        <v>A9808D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192</v>
      </c>
      <c r="AJ264">
        <v>28.238533</v>
      </c>
      <c r="AK264" t="s">
        <v>175</v>
      </c>
      <c r="AL264">
        <v>-82.383405999999994</v>
      </c>
      <c r="AM264">
        <v>100</v>
      </c>
      <c r="AN264">
        <v>400</v>
      </c>
      <c r="AO264" t="s">
        <v>118</v>
      </c>
      <c r="AP264">
        <v>7</v>
      </c>
      <c r="AQ264">
        <v>85</v>
      </c>
      <c r="AR264">
        <v>64</v>
      </c>
      <c r="AZ264">
        <v>1200</v>
      </c>
      <c r="BA264">
        <v>1</v>
      </c>
      <c r="BB264" t="str">
        <f t="shared" si="110"/>
        <v xml:space="preserve">N711JA  </v>
      </c>
      <c r="BC264">
        <v>1</v>
      </c>
      <c r="BE264">
        <v>0</v>
      </c>
      <c r="BF264">
        <v>0</v>
      </c>
      <c r="BG264">
        <v>0</v>
      </c>
      <c r="BH264">
        <v>450</v>
      </c>
      <c r="BI264">
        <v>1</v>
      </c>
      <c r="BJ264">
        <v>1</v>
      </c>
      <c r="BK264">
        <v>0</v>
      </c>
      <c r="BL264">
        <v>0</v>
      </c>
      <c r="BO264">
        <v>0</v>
      </c>
      <c r="BP264">
        <v>0</v>
      </c>
      <c r="BW264" t="str">
        <f t="shared" si="126"/>
        <v>14:41:22.573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343</v>
      </c>
      <c r="CR264">
        <v>2</v>
      </c>
      <c r="CW264">
        <v>12950833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si="123"/>
        <v>05/12/2020 14:41:04.758</v>
      </c>
      <c r="C265" t="str">
        <f t="shared" si="109"/>
        <v>FFDFD3C0</v>
      </c>
      <c r="D265" t="s">
        <v>126</v>
      </c>
      <c r="E265">
        <v>7</v>
      </c>
      <c r="F265">
        <v>1007</v>
      </c>
      <c r="G265" t="s">
        <v>127</v>
      </c>
      <c r="J265" t="s">
        <v>128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24"/>
        <v>14:41:22.570</v>
      </c>
      <c r="T265" t="str">
        <f t="shared" si="124"/>
        <v>14:41:22.570</v>
      </c>
      <c r="U265" t="str">
        <f t="shared" si="125"/>
        <v>A9808D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192</v>
      </c>
      <c r="AJ265">
        <v>28.238533</v>
      </c>
      <c r="AK265" t="s">
        <v>175</v>
      </c>
      <c r="AL265">
        <v>-82.383405999999994</v>
      </c>
      <c r="AM265">
        <v>100</v>
      </c>
      <c r="AN265">
        <v>400</v>
      </c>
      <c r="AO265" t="s">
        <v>118</v>
      </c>
      <c r="AP265">
        <v>7</v>
      </c>
      <c r="AQ265">
        <v>85</v>
      </c>
      <c r="AR265">
        <v>64</v>
      </c>
      <c r="AZ265">
        <v>1200</v>
      </c>
      <c r="BA265">
        <v>1</v>
      </c>
      <c r="BB265" t="str">
        <f t="shared" si="110"/>
        <v xml:space="preserve">N711JA  </v>
      </c>
      <c r="BC265">
        <v>1</v>
      </c>
      <c r="BE265">
        <v>0</v>
      </c>
      <c r="BF265">
        <v>0</v>
      </c>
      <c r="BG265">
        <v>0</v>
      </c>
      <c r="BH265">
        <v>450</v>
      </c>
      <c r="BI265">
        <v>1</v>
      </c>
      <c r="BJ265">
        <v>1</v>
      </c>
      <c r="BK265">
        <v>0</v>
      </c>
      <c r="BL265">
        <v>0</v>
      </c>
      <c r="BO265">
        <v>0</v>
      </c>
      <c r="BP265">
        <v>0</v>
      </c>
      <c r="BW265" t="str">
        <f t="shared" si="126"/>
        <v>14:41:22.573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343</v>
      </c>
      <c r="CR265">
        <v>2</v>
      </c>
      <c r="CW265">
        <v>12950833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si="123"/>
        <v>05/12/2020 14:41:04.758</v>
      </c>
      <c r="C266" t="str">
        <f t="shared" si="109"/>
        <v>FFDFD3C0</v>
      </c>
      <c r="D266" t="s">
        <v>131</v>
      </c>
      <c r="E266">
        <v>10</v>
      </c>
      <c r="F266">
        <v>2010</v>
      </c>
      <c r="G266" t="s">
        <v>132</v>
      </c>
      <c r="J266" t="s">
        <v>133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24"/>
        <v>14:41:22.570</v>
      </c>
      <c r="T266" t="str">
        <f t="shared" si="124"/>
        <v>14:41:22.570</v>
      </c>
      <c r="U266" t="str">
        <f t="shared" si="125"/>
        <v>A9808D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192</v>
      </c>
      <c r="AJ266">
        <v>28.238533</v>
      </c>
      <c r="AK266" t="s">
        <v>175</v>
      </c>
      <c r="AL266">
        <v>-82.383405999999994</v>
      </c>
      <c r="AM266">
        <v>100</v>
      </c>
      <c r="AN266">
        <v>400</v>
      </c>
      <c r="AO266" t="s">
        <v>118</v>
      </c>
      <c r="AP266">
        <v>7</v>
      </c>
      <c r="AQ266">
        <v>85</v>
      </c>
      <c r="AR266">
        <v>64</v>
      </c>
      <c r="AZ266">
        <v>1200</v>
      </c>
      <c r="BA266">
        <v>1</v>
      </c>
      <c r="BB266" t="str">
        <f t="shared" si="110"/>
        <v xml:space="preserve">N711JA  </v>
      </c>
      <c r="BC266">
        <v>1</v>
      </c>
      <c r="BE266">
        <v>0</v>
      </c>
      <c r="BF266">
        <v>0</v>
      </c>
      <c r="BG266">
        <v>0</v>
      </c>
      <c r="BH266">
        <v>450</v>
      </c>
      <c r="BI266">
        <v>1</v>
      </c>
      <c r="BJ266">
        <v>1</v>
      </c>
      <c r="BK266">
        <v>0</v>
      </c>
      <c r="BL266">
        <v>0</v>
      </c>
      <c r="BO266">
        <v>0</v>
      </c>
      <c r="BP266">
        <v>0</v>
      </c>
      <c r="BW266" t="str">
        <f t="shared" si="126"/>
        <v>14:41:22.573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343</v>
      </c>
      <c r="CR266">
        <v>2</v>
      </c>
      <c r="CW266">
        <v>12950833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ref="A267:A274" si="127">"05/12/2020 14:41:05.949"</f>
        <v>05/12/2020 14:41:05.949</v>
      </c>
      <c r="C267" t="str">
        <f t="shared" si="109"/>
        <v>FFDFD3C0</v>
      </c>
      <c r="D267" t="s">
        <v>126</v>
      </c>
      <c r="E267">
        <v>6</v>
      </c>
      <c r="F267">
        <v>1006</v>
      </c>
      <c r="G267" t="s">
        <v>114</v>
      </c>
      <c r="J267" t="s">
        <v>128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ref="S267:S274" si="128">"14:41:23.484"</f>
        <v>14:41:23.484</v>
      </c>
      <c r="T267" t="str">
        <f t="shared" ref="T267:T274" si="129">"14:41:21.984"</f>
        <v>14:41:21.984</v>
      </c>
      <c r="U267" t="str">
        <f t="shared" si="125"/>
        <v>A9808D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H267">
        <v>0</v>
      </c>
      <c r="AI267" t="s">
        <v>193</v>
      </c>
      <c r="AJ267">
        <v>28.238897000000001</v>
      </c>
      <c r="AK267" t="s">
        <v>194</v>
      </c>
      <c r="AL267">
        <v>-82.383363000000003</v>
      </c>
      <c r="AM267">
        <v>100</v>
      </c>
      <c r="AN267">
        <v>400</v>
      </c>
      <c r="AO267" t="s">
        <v>118</v>
      </c>
      <c r="AP267">
        <v>6</v>
      </c>
      <c r="AQ267">
        <v>85</v>
      </c>
      <c r="AR267">
        <v>64</v>
      </c>
      <c r="AZ267">
        <v>1200</v>
      </c>
      <c r="BA267">
        <v>1</v>
      </c>
      <c r="BB267" t="str">
        <f t="shared" si="110"/>
        <v xml:space="preserve">N711JA  </v>
      </c>
      <c r="BC267">
        <v>1</v>
      </c>
      <c r="BE267">
        <v>0</v>
      </c>
      <c r="BF267">
        <v>0</v>
      </c>
      <c r="BG267">
        <v>0</v>
      </c>
      <c r="BH267">
        <v>450</v>
      </c>
      <c r="BI267">
        <v>1</v>
      </c>
      <c r="BJ267">
        <v>1</v>
      </c>
      <c r="BK267">
        <v>0</v>
      </c>
      <c r="BL267">
        <v>0</v>
      </c>
      <c r="BO267">
        <v>0</v>
      </c>
      <c r="BP267">
        <v>0</v>
      </c>
      <c r="BW267" t="str">
        <f t="shared" ref="BW267:BW274" si="130">"14:41:23.486"</f>
        <v>14:41:23.486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1</v>
      </c>
      <c r="CP267" t="s">
        <v>119</v>
      </c>
      <c r="CQ267">
        <v>8</v>
      </c>
      <c r="CR267">
        <v>3</v>
      </c>
      <c r="CW267">
        <v>8652298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1</v>
      </c>
      <c r="DE267">
        <v>1</v>
      </c>
      <c r="DF267">
        <v>1</v>
      </c>
      <c r="DG267">
        <v>0</v>
      </c>
      <c r="DH267">
        <v>0</v>
      </c>
      <c r="DI267">
        <v>0</v>
      </c>
    </row>
    <row r="268" spans="1:113" x14ac:dyDescent="0.3">
      <c r="A268" t="str">
        <f t="shared" si="127"/>
        <v>05/12/2020 14:41:05.949</v>
      </c>
      <c r="C268" t="str">
        <f t="shared" si="109"/>
        <v>FFDFD3C0</v>
      </c>
      <c r="D268" t="s">
        <v>126</v>
      </c>
      <c r="E268">
        <v>7</v>
      </c>
      <c r="F268">
        <v>1007</v>
      </c>
      <c r="G268" t="s">
        <v>127</v>
      </c>
      <c r="J268" t="s">
        <v>128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28"/>
        <v>14:41:23.484</v>
      </c>
      <c r="T268" t="str">
        <f t="shared" si="129"/>
        <v>14:41:21.984</v>
      </c>
      <c r="U268" t="str">
        <f t="shared" si="125"/>
        <v>A9808D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H268">
        <v>0</v>
      </c>
      <c r="AI268" t="s">
        <v>193</v>
      </c>
      <c r="AJ268">
        <v>28.238897000000001</v>
      </c>
      <c r="AK268" t="s">
        <v>194</v>
      </c>
      <c r="AL268">
        <v>-82.383363000000003</v>
      </c>
      <c r="AM268">
        <v>100</v>
      </c>
      <c r="AN268">
        <v>400</v>
      </c>
      <c r="AO268" t="s">
        <v>118</v>
      </c>
      <c r="AP268">
        <v>6</v>
      </c>
      <c r="AQ268">
        <v>85</v>
      </c>
      <c r="AR268">
        <v>64</v>
      </c>
      <c r="AZ268">
        <v>1200</v>
      </c>
      <c r="BA268">
        <v>1</v>
      </c>
      <c r="BB268" t="str">
        <f t="shared" si="110"/>
        <v xml:space="preserve">N711JA  </v>
      </c>
      <c r="BC268">
        <v>1</v>
      </c>
      <c r="BE268">
        <v>0</v>
      </c>
      <c r="BF268">
        <v>0</v>
      </c>
      <c r="BG268">
        <v>0</v>
      </c>
      <c r="BH268">
        <v>450</v>
      </c>
      <c r="BI268">
        <v>1</v>
      </c>
      <c r="BJ268">
        <v>1</v>
      </c>
      <c r="BK268">
        <v>0</v>
      </c>
      <c r="BL268">
        <v>0</v>
      </c>
      <c r="BO268">
        <v>0</v>
      </c>
      <c r="BP268">
        <v>0</v>
      </c>
      <c r="BW268" t="str">
        <f t="shared" si="130"/>
        <v>14:41:23.486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1</v>
      </c>
      <c r="CP268" t="s">
        <v>119</v>
      </c>
      <c r="CQ268">
        <v>8</v>
      </c>
      <c r="CR268">
        <v>3</v>
      </c>
      <c r="CW268">
        <v>8652298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1</v>
      </c>
      <c r="DE268">
        <v>1</v>
      </c>
      <c r="DF268">
        <v>1</v>
      </c>
      <c r="DG268">
        <v>0</v>
      </c>
      <c r="DH268">
        <v>0</v>
      </c>
      <c r="DI268">
        <v>0</v>
      </c>
    </row>
    <row r="269" spans="1:113" x14ac:dyDescent="0.3">
      <c r="A269" t="str">
        <f t="shared" si="127"/>
        <v>05/12/2020 14:41:05.949</v>
      </c>
      <c r="C269" t="str">
        <f t="shared" si="109"/>
        <v>FFDFD3C0</v>
      </c>
      <c r="D269" t="s">
        <v>131</v>
      </c>
      <c r="E269">
        <v>10</v>
      </c>
      <c r="F269">
        <v>2010</v>
      </c>
      <c r="G269" t="s">
        <v>132</v>
      </c>
      <c r="J269" t="s">
        <v>133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28"/>
        <v>14:41:23.484</v>
      </c>
      <c r="T269" t="str">
        <f t="shared" si="129"/>
        <v>14:41:21.984</v>
      </c>
      <c r="U269" t="str">
        <f t="shared" si="125"/>
        <v>A9808D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H269">
        <v>0</v>
      </c>
      <c r="AI269" t="s">
        <v>193</v>
      </c>
      <c r="AJ269">
        <v>28.238897000000001</v>
      </c>
      <c r="AK269" t="s">
        <v>194</v>
      </c>
      <c r="AL269">
        <v>-82.383363000000003</v>
      </c>
      <c r="AM269">
        <v>100</v>
      </c>
      <c r="AN269">
        <v>400</v>
      </c>
      <c r="AO269" t="s">
        <v>118</v>
      </c>
      <c r="AP269">
        <v>6</v>
      </c>
      <c r="AQ269">
        <v>85</v>
      </c>
      <c r="AR269">
        <v>64</v>
      </c>
      <c r="AZ269">
        <v>1200</v>
      </c>
      <c r="BA269">
        <v>1</v>
      </c>
      <c r="BB269" t="str">
        <f t="shared" si="110"/>
        <v xml:space="preserve">N711JA  </v>
      </c>
      <c r="BC269">
        <v>1</v>
      </c>
      <c r="BE269">
        <v>0</v>
      </c>
      <c r="BF269">
        <v>0</v>
      </c>
      <c r="BG269">
        <v>0</v>
      </c>
      <c r="BH269">
        <v>450</v>
      </c>
      <c r="BI269">
        <v>1</v>
      </c>
      <c r="BJ269">
        <v>1</v>
      </c>
      <c r="BK269">
        <v>0</v>
      </c>
      <c r="BL269">
        <v>0</v>
      </c>
      <c r="BO269">
        <v>0</v>
      </c>
      <c r="BP269">
        <v>0</v>
      </c>
      <c r="BW269" t="str">
        <f t="shared" si="130"/>
        <v>14:41:23.486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1</v>
      </c>
      <c r="CP269" t="s">
        <v>119</v>
      </c>
      <c r="CQ269">
        <v>8</v>
      </c>
      <c r="CR269">
        <v>3</v>
      </c>
      <c r="CW269">
        <v>8652298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1</v>
      </c>
      <c r="DF269">
        <v>1</v>
      </c>
      <c r="DG269">
        <v>0</v>
      </c>
      <c r="DH269">
        <v>0</v>
      </c>
      <c r="DI269">
        <v>0</v>
      </c>
    </row>
    <row r="270" spans="1:113" x14ac:dyDescent="0.3">
      <c r="A270" t="str">
        <f t="shared" si="127"/>
        <v>05/12/2020 14:41:05.949</v>
      </c>
      <c r="C270" t="str">
        <f t="shared" si="109"/>
        <v>FFDFD3C0</v>
      </c>
      <c r="D270" t="s">
        <v>131</v>
      </c>
      <c r="E270">
        <v>12</v>
      </c>
      <c r="F270">
        <v>2012</v>
      </c>
      <c r="G270" t="s">
        <v>137</v>
      </c>
      <c r="J270" t="s">
        <v>133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28"/>
        <v>14:41:23.484</v>
      </c>
      <c r="T270" t="str">
        <f t="shared" si="129"/>
        <v>14:41:21.984</v>
      </c>
      <c r="U270" t="str">
        <f t="shared" si="125"/>
        <v>A9808D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H270">
        <v>0</v>
      </c>
      <c r="AI270" t="s">
        <v>193</v>
      </c>
      <c r="AJ270">
        <v>28.238897000000001</v>
      </c>
      <c r="AK270" t="s">
        <v>194</v>
      </c>
      <c r="AL270">
        <v>-82.383363000000003</v>
      </c>
      <c r="AM270">
        <v>100</v>
      </c>
      <c r="AN270">
        <v>400</v>
      </c>
      <c r="AO270" t="s">
        <v>118</v>
      </c>
      <c r="AP270">
        <v>6</v>
      </c>
      <c r="AQ270">
        <v>85</v>
      </c>
      <c r="AR270">
        <v>64</v>
      </c>
      <c r="AZ270">
        <v>1200</v>
      </c>
      <c r="BA270">
        <v>1</v>
      </c>
      <c r="BB270" t="str">
        <f t="shared" si="110"/>
        <v xml:space="preserve">N711JA  </v>
      </c>
      <c r="BC270">
        <v>1</v>
      </c>
      <c r="BE270">
        <v>0</v>
      </c>
      <c r="BF270">
        <v>0</v>
      </c>
      <c r="BG270">
        <v>0</v>
      </c>
      <c r="BH270">
        <v>450</v>
      </c>
      <c r="BI270">
        <v>1</v>
      </c>
      <c r="BJ270">
        <v>1</v>
      </c>
      <c r="BK270">
        <v>0</v>
      </c>
      <c r="BL270">
        <v>0</v>
      </c>
      <c r="BO270">
        <v>0</v>
      </c>
      <c r="BP270">
        <v>0</v>
      </c>
      <c r="BW270" t="str">
        <f t="shared" si="130"/>
        <v>14:41:23.486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1</v>
      </c>
      <c r="CP270" t="s">
        <v>119</v>
      </c>
      <c r="CQ270">
        <v>8</v>
      </c>
      <c r="CR270">
        <v>3</v>
      </c>
      <c r="CW270">
        <v>8652298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1</v>
      </c>
      <c r="DF270">
        <v>1</v>
      </c>
      <c r="DG270">
        <v>0</v>
      </c>
      <c r="DH270">
        <v>0</v>
      </c>
      <c r="DI270">
        <v>0</v>
      </c>
    </row>
    <row r="271" spans="1:113" x14ac:dyDescent="0.3">
      <c r="A271" t="str">
        <f t="shared" si="127"/>
        <v>05/12/2020 14:41:05.949</v>
      </c>
      <c r="C271" t="str">
        <f t="shared" si="109"/>
        <v>FFDFD3C0</v>
      </c>
      <c r="D271" t="s">
        <v>134</v>
      </c>
      <c r="E271">
        <v>12</v>
      </c>
      <c r="H271">
        <v>64</v>
      </c>
      <c r="I271" t="s">
        <v>135</v>
      </c>
      <c r="J271" t="s">
        <v>136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28"/>
        <v>14:41:23.484</v>
      </c>
      <c r="T271" t="str">
        <f t="shared" si="129"/>
        <v>14:41:21.984</v>
      </c>
      <c r="U271" t="str">
        <f t="shared" si="125"/>
        <v>A9808D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H271">
        <v>0</v>
      </c>
      <c r="AI271" t="s">
        <v>193</v>
      </c>
      <c r="AJ271">
        <v>28.238897000000001</v>
      </c>
      <c r="AK271" t="s">
        <v>194</v>
      </c>
      <c r="AL271">
        <v>-82.383363000000003</v>
      </c>
      <c r="AM271">
        <v>100</v>
      </c>
      <c r="AN271">
        <v>400</v>
      </c>
      <c r="AO271" t="s">
        <v>118</v>
      </c>
      <c r="AP271">
        <v>6</v>
      </c>
      <c r="AQ271">
        <v>85</v>
      </c>
      <c r="AR271">
        <v>64</v>
      </c>
      <c r="AZ271">
        <v>1200</v>
      </c>
      <c r="BA271">
        <v>1</v>
      </c>
      <c r="BB271" t="str">
        <f t="shared" si="110"/>
        <v xml:space="preserve">N711JA  </v>
      </c>
      <c r="BC271">
        <v>1</v>
      </c>
      <c r="BE271">
        <v>0</v>
      </c>
      <c r="BF271">
        <v>0</v>
      </c>
      <c r="BG271">
        <v>0</v>
      </c>
      <c r="BH271">
        <v>450</v>
      </c>
      <c r="BI271">
        <v>1</v>
      </c>
      <c r="BJ271">
        <v>1</v>
      </c>
      <c r="BK271">
        <v>0</v>
      </c>
      <c r="BL271">
        <v>0</v>
      </c>
      <c r="BO271">
        <v>0</v>
      </c>
      <c r="BP271">
        <v>0</v>
      </c>
      <c r="BW271" t="str">
        <f t="shared" si="130"/>
        <v>14:41:23.486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1</v>
      </c>
      <c r="CP271" t="s">
        <v>119</v>
      </c>
      <c r="CQ271">
        <v>8</v>
      </c>
      <c r="CR271">
        <v>3</v>
      </c>
      <c r="CW271">
        <v>8652298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1</v>
      </c>
      <c r="DF271">
        <v>1</v>
      </c>
      <c r="DG271">
        <v>0</v>
      </c>
      <c r="DH271">
        <v>0</v>
      </c>
      <c r="DI271">
        <v>0</v>
      </c>
    </row>
    <row r="272" spans="1:113" x14ac:dyDescent="0.3">
      <c r="A272" t="str">
        <f t="shared" si="127"/>
        <v>05/12/2020 14:41:05.949</v>
      </c>
      <c r="C272" t="str">
        <f t="shared" si="109"/>
        <v>FFDFD3C0</v>
      </c>
      <c r="D272" t="s">
        <v>113</v>
      </c>
      <c r="E272">
        <v>3</v>
      </c>
      <c r="H272">
        <v>164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28"/>
        <v>14:41:23.484</v>
      </c>
      <c r="T272" t="str">
        <f t="shared" si="129"/>
        <v>14:41:21.984</v>
      </c>
      <c r="U272" t="str">
        <f t="shared" si="125"/>
        <v>A9808D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H272">
        <v>0</v>
      </c>
      <c r="AI272" t="s">
        <v>193</v>
      </c>
      <c r="AJ272">
        <v>28.238897000000001</v>
      </c>
      <c r="AK272" t="s">
        <v>194</v>
      </c>
      <c r="AL272">
        <v>-82.383363000000003</v>
      </c>
      <c r="AM272">
        <v>100</v>
      </c>
      <c r="AN272">
        <v>400</v>
      </c>
      <c r="AO272" t="s">
        <v>118</v>
      </c>
      <c r="AP272">
        <v>6</v>
      </c>
      <c r="AQ272">
        <v>85</v>
      </c>
      <c r="AR272">
        <v>64</v>
      </c>
      <c r="AZ272">
        <v>1200</v>
      </c>
      <c r="BA272">
        <v>1</v>
      </c>
      <c r="BB272" t="str">
        <f t="shared" si="110"/>
        <v xml:space="preserve">N711JA  </v>
      </c>
      <c r="BC272">
        <v>1</v>
      </c>
      <c r="BE272">
        <v>0</v>
      </c>
      <c r="BF272">
        <v>0</v>
      </c>
      <c r="BG272">
        <v>0</v>
      </c>
      <c r="BH272">
        <v>450</v>
      </c>
      <c r="BI272">
        <v>1</v>
      </c>
      <c r="BJ272">
        <v>1</v>
      </c>
      <c r="BK272">
        <v>0</v>
      </c>
      <c r="BL272">
        <v>0</v>
      </c>
      <c r="BO272">
        <v>0</v>
      </c>
      <c r="BP272">
        <v>0</v>
      </c>
      <c r="BW272" t="str">
        <f t="shared" si="130"/>
        <v>14:41:23.486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1</v>
      </c>
      <c r="CP272" t="s">
        <v>119</v>
      </c>
      <c r="CQ272">
        <v>8</v>
      </c>
      <c r="CR272">
        <v>3</v>
      </c>
      <c r="CW272">
        <v>8652298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1</v>
      </c>
      <c r="DF272">
        <v>1</v>
      </c>
      <c r="DG272">
        <v>0</v>
      </c>
      <c r="DH272">
        <v>0</v>
      </c>
      <c r="DI272">
        <v>0</v>
      </c>
    </row>
    <row r="273" spans="1:113" x14ac:dyDescent="0.3">
      <c r="A273" t="str">
        <f t="shared" si="127"/>
        <v>05/12/2020 14:41:05.949</v>
      </c>
      <c r="C273" t="str">
        <f t="shared" si="109"/>
        <v>FFDFD3C0</v>
      </c>
      <c r="D273" t="s">
        <v>138</v>
      </c>
      <c r="E273">
        <v>2</v>
      </c>
      <c r="H273">
        <v>8</v>
      </c>
      <c r="I273" t="s">
        <v>139</v>
      </c>
      <c r="J273" t="s">
        <v>136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28"/>
        <v>14:41:23.484</v>
      </c>
      <c r="T273" t="str">
        <f t="shared" si="129"/>
        <v>14:41:21.984</v>
      </c>
      <c r="U273" t="str">
        <f t="shared" si="125"/>
        <v>A9808D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H273">
        <v>0</v>
      </c>
      <c r="AI273" t="s">
        <v>193</v>
      </c>
      <c r="AJ273">
        <v>28.238897000000001</v>
      </c>
      <c r="AK273" t="s">
        <v>194</v>
      </c>
      <c r="AL273">
        <v>-82.383363000000003</v>
      </c>
      <c r="AM273">
        <v>100</v>
      </c>
      <c r="AN273">
        <v>400</v>
      </c>
      <c r="AO273" t="s">
        <v>118</v>
      </c>
      <c r="AP273">
        <v>6</v>
      </c>
      <c r="AQ273">
        <v>85</v>
      </c>
      <c r="AR273">
        <v>64</v>
      </c>
      <c r="AZ273">
        <v>1200</v>
      </c>
      <c r="BA273">
        <v>1</v>
      </c>
      <c r="BB273" t="str">
        <f t="shared" si="110"/>
        <v xml:space="preserve">N711JA  </v>
      </c>
      <c r="BC273">
        <v>1</v>
      </c>
      <c r="BE273">
        <v>0</v>
      </c>
      <c r="BF273">
        <v>0</v>
      </c>
      <c r="BG273">
        <v>0</v>
      </c>
      <c r="BH273">
        <v>450</v>
      </c>
      <c r="BI273">
        <v>1</v>
      </c>
      <c r="BJ273">
        <v>1</v>
      </c>
      <c r="BK273">
        <v>0</v>
      </c>
      <c r="BL273">
        <v>0</v>
      </c>
      <c r="BO273">
        <v>0</v>
      </c>
      <c r="BP273">
        <v>0</v>
      </c>
      <c r="BW273" t="str">
        <f t="shared" si="130"/>
        <v>14:41:23.486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1</v>
      </c>
      <c r="CP273" t="s">
        <v>119</v>
      </c>
      <c r="CQ273">
        <v>8</v>
      </c>
      <c r="CR273">
        <v>3</v>
      </c>
      <c r="CW273">
        <v>8652298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1</v>
      </c>
      <c r="DF273">
        <v>1</v>
      </c>
      <c r="DG273">
        <v>0</v>
      </c>
      <c r="DH273">
        <v>0</v>
      </c>
      <c r="DI273">
        <v>0</v>
      </c>
    </row>
    <row r="274" spans="1:113" x14ac:dyDescent="0.3">
      <c r="A274" t="str">
        <f t="shared" si="127"/>
        <v>05/12/2020 14:41:05.949</v>
      </c>
      <c r="C274" t="str">
        <f t="shared" si="109"/>
        <v>FFDFD3C0</v>
      </c>
      <c r="D274" t="s">
        <v>138</v>
      </c>
      <c r="E274">
        <v>3</v>
      </c>
      <c r="H274">
        <v>9</v>
      </c>
      <c r="I274" t="s">
        <v>140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28"/>
        <v>14:41:23.484</v>
      </c>
      <c r="T274" t="str">
        <f t="shared" si="129"/>
        <v>14:41:21.984</v>
      </c>
      <c r="U274" t="str">
        <f t="shared" si="125"/>
        <v>A9808D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H274">
        <v>0</v>
      </c>
      <c r="AI274" t="s">
        <v>193</v>
      </c>
      <c r="AJ274">
        <v>28.238897000000001</v>
      </c>
      <c r="AK274" t="s">
        <v>194</v>
      </c>
      <c r="AL274">
        <v>-82.383363000000003</v>
      </c>
      <c r="AM274">
        <v>100</v>
      </c>
      <c r="AN274">
        <v>400</v>
      </c>
      <c r="AO274" t="s">
        <v>118</v>
      </c>
      <c r="AP274">
        <v>6</v>
      </c>
      <c r="AQ274">
        <v>85</v>
      </c>
      <c r="AR274">
        <v>64</v>
      </c>
      <c r="AZ274">
        <v>1200</v>
      </c>
      <c r="BA274">
        <v>1</v>
      </c>
      <c r="BB274" t="str">
        <f t="shared" si="110"/>
        <v xml:space="preserve">N711JA  </v>
      </c>
      <c r="BC274">
        <v>1</v>
      </c>
      <c r="BE274">
        <v>0</v>
      </c>
      <c r="BF274">
        <v>0</v>
      </c>
      <c r="BG274">
        <v>0</v>
      </c>
      <c r="BH274">
        <v>450</v>
      </c>
      <c r="BI274">
        <v>1</v>
      </c>
      <c r="BJ274">
        <v>1</v>
      </c>
      <c r="BK274">
        <v>0</v>
      </c>
      <c r="BL274">
        <v>0</v>
      </c>
      <c r="BO274">
        <v>0</v>
      </c>
      <c r="BP274">
        <v>0</v>
      </c>
      <c r="BW274" t="str">
        <f t="shared" si="130"/>
        <v>14:41:23.486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1</v>
      </c>
      <c r="CP274" t="s">
        <v>119</v>
      </c>
      <c r="CQ274">
        <v>8</v>
      </c>
      <c r="CR274">
        <v>3</v>
      </c>
      <c r="CW274">
        <v>8652298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1</v>
      </c>
      <c r="DF274">
        <v>1</v>
      </c>
      <c r="DG274">
        <v>0</v>
      </c>
      <c r="DH274">
        <v>0</v>
      </c>
      <c r="DI274">
        <v>0</v>
      </c>
    </row>
    <row r="275" spans="1:113" x14ac:dyDescent="0.3">
      <c r="A275" t="str">
        <f t="shared" ref="A275:A282" si="131">"05/12/2020 14:41:07.009"</f>
        <v>05/12/2020 14:41:07.009</v>
      </c>
      <c r="C275" t="str">
        <f t="shared" si="109"/>
        <v>FFDFD3C0</v>
      </c>
      <c r="D275" t="s">
        <v>126</v>
      </c>
      <c r="E275">
        <v>6</v>
      </c>
      <c r="F275">
        <v>1006</v>
      </c>
      <c r="G275" t="s">
        <v>114</v>
      </c>
      <c r="J275" t="s">
        <v>128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ref="S275:S282" si="132">"14:41:24.805"</f>
        <v>14:41:24.805</v>
      </c>
      <c r="T275" t="str">
        <f t="shared" ref="T275:T282" si="133">"14:41:24.505"</f>
        <v>14:41:24.505</v>
      </c>
      <c r="U275" t="str">
        <f t="shared" si="125"/>
        <v>A9808D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195</v>
      </c>
      <c r="AJ275">
        <v>28.239433999999999</v>
      </c>
      <c r="AK275" t="s">
        <v>173</v>
      </c>
      <c r="AL275">
        <v>-82.383298999999994</v>
      </c>
      <c r="AM275">
        <v>100</v>
      </c>
      <c r="AN275">
        <v>400</v>
      </c>
      <c r="AO275" t="s">
        <v>118</v>
      </c>
      <c r="AP275">
        <v>10</v>
      </c>
      <c r="AQ275">
        <v>86</v>
      </c>
      <c r="AR275">
        <v>448</v>
      </c>
      <c r="AZ275">
        <v>1200</v>
      </c>
      <c r="BA275">
        <v>1</v>
      </c>
      <c r="BB275" t="str">
        <f t="shared" si="110"/>
        <v xml:space="preserve">N711JA  </v>
      </c>
      <c r="BC275">
        <v>1</v>
      </c>
      <c r="BE275">
        <v>0</v>
      </c>
      <c r="BF275">
        <v>0</v>
      </c>
      <c r="BG275">
        <v>0</v>
      </c>
      <c r="BH275">
        <v>475</v>
      </c>
      <c r="BI275">
        <v>1</v>
      </c>
      <c r="BJ275">
        <v>1</v>
      </c>
      <c r="BK275">
        <v>0</v>
      </c>
      <c r="BL275">
        <v>0</v>
      </c>
      <c r="BO275">
        <v>0</v>
      </c>
      <c r="BP275">
        <v>0</v>
      </c>
      <c r="BW275" t="str">
        <f t="shared" ref="BW275:BW282" si="134">"14:41:24.810"</f>
        <v>14:41:24.810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2</v>
      </c>
      <c r="CP275" t="s">
        <v>119</v>
      </c>
      <c r="CQ275">
        <v>358</v>
      </c>
      <c r="CR275">
        <v>0</v>
      </c>
      <c r="CW275">
        <v>4542619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si="131"/>
        <v>05/12/2020 14:41:07.009</v>
      </c>
      <c r="C276" t="str">
        <f t="shared" si="109"/>
        <v>FFDFD3C0</v>
      </c>
      <c r="D276" t="s">
        <v>126</v>
      </c>
      <c r="E276">
        <v>7</v>
      </c>
      <c r="F276">
        <v>1007</v>
      </c>
      <c r="G276" t="s">
        <v>127</v>
      </c>
      <c r="J276" t="s">
        <v>128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32"/>
        <v>14:41:24.805</v>
      </c>
      <c r="T276" t="str">
        <f t="shared" si="133"/>
        <v>14:41:24.505</v>
      </c>
      <c r="U276" t="str">
        <f t="shared" si="125"/>
        <v>A9808D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195</v>
      </c>
      <c r="AJ276">
        <v>28.239433999999999</v>
      </c>
      <c r="AK276" t="s">
        <v>173</v>
      </c>
      <c r="AL276">
        <v>-82.383298999999994</v>
      </c>
      <c r="AM276">
        <v>100</v>
      </c>
      <c r="AN276">
        <v>400</v>
      </c>
      <c r="AO276" t="s">
        <v>118</v>
      </c>
      <c r="AP276">
        <v>10</v>
      </c>
      <c r="AQ276">
        <v>86</v>
      </c>
      <c r="AR276">
        <v>448</v>
      </c>
      <c r="AZ276">
        <v>1200</v>
      </c>
      <c r="BA276">
        <v>1</v>
      </c>
      <c r="BB276" t="str">
        <f t="shared" si="110"/>
        <v xml:space="preserve">N711JA  </v>
      </c>
      <c r="BC276">
        <v>1</v>
      </c>
      <c r="BE276">
        <v>0</v>
      </c>
      <c r="BF276">
        <v>0</v>
      </c>
      <c r="BG276">
        <v>0</v>
      </c>
      <c r="BH276">
        <v>475</v>
      </c>
      <c r="BI276">
        <v>1</v>
      </c>
      <c r="BJ276">
        <v>1</v>
      </c>
      <c r="BK276">
        <v>0</v>
      </c>
      <c r="BL276">
        <v>0</v>
      </c>
      <c r="BO276">
        <v>0</v>
      </c>
      <c r="BP276">
        <v>0</v>
      </c>
      <c r="BW276" t="str">
        <f t="shared" si="134"/>
        <v>14:41:24.810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2</v>
      </c>
      <c r="CP276" t="s">
        <v>119</v>
      </c>
      <c r="CQ276">
        <v>358</v>
      </c>
      <c r="CR276">
        <v>0</v>
      </c>
      <c r="CW276">
        <v>4542619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si="131"/>
        <v>05/12/2020 14:41:07.009</v>
      </c>
      <c r="C277" t="str">
        <f t="shared" si="109"/>
        <v>FFDFD3C0</v>
      </c>
      <c r="D277" t="s">
        <v>131</v>
      </c>
      <c r="E277">
        <v>10</v>
      </c>
      <c r="F277">
        <v>2010</v>
      </c>
      <c r="G277" t="s">
        <v>132</v>
      </c>
      <c r="J277" t="s">
        <v>133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32"/>
        <v>14:41:24.805</v>
      </c>
      <c r="T277" t="str">
        <f t="shared" si="133"/>
        <v>14:41:24.505</v>
      </c>
      <c r="U277" t="str">
        <f t="shared" si="125"/>
        <v>A9808D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195</v>
      </c>
      <c r="AJ277">
        <v>28.239433999999999</v>
      </c>
      <c r="AK277" t="s">
        <v>173</v>
      </c>
      <c r="AL277">
        <v>-82.383298999999994</v>
      </c>
      <c r="AM277">
        <v>100</v>
      </c>
      <c r="AN277">
        <v>400</v>
      </c>
      <c r="AO277" t="s">
        <v>118</v>
      </c>
      <c r="AP277">
        <v>10</v>
      </c>
      <c r="AQ277">
        <v>86</v>
      </c>
      <c r="AR277">
        <v>448</v>
      </c>
      <c r="AZ277">
        <v>1200</v>
      </c>
      <c r="BA277">
        <v>1</v>
      </c>
      <c r="BB277" t="str">
        <f t="shared" si="110"/>
        <v xml:space="preserve">N711JA  </v>
      </c>
      <c r="BC277">
        <v>1</v>
      </c>
      <c r="BE277">
        <v>0</v>
      </c>
      <c r="BF277">
        <v>0</v>
      </c>
      <c r="BG277">
        <v>0</v>
      </c>
      <c r="BH277">
        <v>475</v>
      </c>
      <c r="BI277">
        <v>1</v>
      </c>
      <c r="BJ277">
        <v>1</v>
      </c>
      <c r="BK277">
        <v>0</v>
      </c>
      <c r="BL277">
        <v>0</v>
      </c>
      <c r="BO277">
        <v>0</v>
      </c>
      <c r="BP277">
        <v>0</v>
      </c>
      <c r="BW277" t="str">
        <f t="shared" si="134"/>
        <v>14:41:24.810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2</v>
      </c>
      <c r="CP277" t="s">
        <v>119</v>
      </c>
      <c r="CQ277">
        <v>358</v>
      </c>
      <c r="CR277">
        <v>0</v>
      </c>
      <c r="CW277">
        <v>4542619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si="131"/>
        <v>05/12/2020 14:41:07.009</v>
      </c>
      <c r="C278" t="str">
        <f t="shared" ref="C278:C341" si="135">"FFDFD3C0"</f>
        <v>FFDFD3C0</v>
      </c>
      <c r="D278" t="s">
        <v>131</v>
      </c>
      <c r="E278">
        <v>12</v>
      </c>
      <c r="F278">
        <v>2012</v>
      </c>
      <c r="G278" t="s">
        <v>137</v>
      </c>
      <c r="J278" t="s">
        <v>133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32"/>
        <v>14:41:24.805</v>
      </c>
      <c r="T278" t="str">
        <f t="shared" si="133"/>
        <v>14:41:24.505</v>
      </c>
      <c r="U278" t="str">
        <f t="shared" si="125"/>
        <v>A9808D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195</v>
      </c>
      <c r="AJ278">
        <v>28.239433999999999</v>
      </c>
      <c r="AK278" t="s">
        <v>173</v>
      </c>
      <c r="AL278">
        <v>-82.383298999999994</v>
      </c>
      <c r="AM278">
        <v>100</v>
      </c>
      <c r="AN278">
        <v>400</v>
      </c>
      <c r="AO278" t="s">
        <v>118</v>
      </c>
      <c r="AP278">
        <v>10</v>
      </c>
      <c r="AQ278">
        <v>86</v>
      </c>
      <c r="AR278">
        <v>448</v>
      </c>
      <c r="AZ278">
        <v>1200</v>
      </c>
      <c r="BA278">
        <v>1</v>
      </c>
      <c r="BB278" t="str">
        <f t="shared" ref="BB278:BB341" si="136">"N711JA  "</f>
        <v xml:space="preserve">N711JA  </v>
      </c>
      <c r="BC278">
        <v>1</v>
      </c>
      <c r="BE278">
        <v>0</v>
      </c>
      <c r="BF278">
        <v>0</v>
      </c>
      <c r="BG278">
        <v>0</v>
      </c>
      <c r="BH278">
        <v>475</v>
      </c>
      <c r="BI278">
        <v>1</v>
      </c>
      <c r="BJ278">
        <v>1</v>
      </c>
      <c r="BK278">
        <v>0</v>
      </c>
      <c r="BL278">
        <v>0</v>
      </c>
      <c r="BO278">
        <v>0</v>
      </c>
      <c r="BP278">
        <v>0</v>
      </c>
      <c r="BW278" t="str">
        <f t="shared" si="134"/>
        <v>14:41:24.810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2</v>
      </c>
      <c r="CP278" t="s">
        <v>119</v>
      </c>
      <c r="CQ278">
        <v>8</v>
      </c>
      <c r="CR278">
        <v>3</v>
      </c>
      <c r="CW278">
        <v>8653753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131"/>
        <v>05/12/2020 14:41:07.009</v>
      </c>
      <c r="C279" t="str">
        <f t="shared" si="135"/>
        <v>FFDFD3C0</v>
      </c>
      <c r="D279" t="s">
        <v>134</v>
      </c>
      <c r="E279">
        <v>12</v>
      </c>
      <c r="H279">
        <v>64</v>
      </c>
      <c r="I279" t="s">
        <v>135</v>
      </c>
      <c r="J279" t="s">
        <v>136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32"/>
        <v>14:41:24.805</v>
      </c>
      <c r="T279" t="str">
        <f t="shared" si="133"/>
        <v>14:41:24.505</v>
      </c>
      <c r="U279" t="str">
        <f t="shared" si="125"/>
        <v>A9808D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195</v>
      </c>
      <c r="AJ279">
        <v>28.239433999999999</v>
      </c>
      <c r="AK279" t="s">
        <v>173</v>
      </c>
      <c r="AL279">
        <v>-82.383298999999994</v>
      </c>
      <c r="AM279">
        <v>100</v>
      </c>
      <c r="AN279">
        <v>400</v>
      </c>
      <c r="AO279" t="s">
        <v>118</v>
      </c>
      <c r="AP279">
        <v>10</v>
      </c>
      <c r="AQ279">
        <v>86</v>
      </c>
      <c r="AR279">
        <v>448</v>
      </c>
      <c r="AZ279">
        <v>1200</v>
      </c>
      <c r="BA279">
        <v>1</v>
      </c>
      <c r="BB279" t="str">
        <f t="shared" si="136"/>
        <v xml:space="preserve">N711JA  </v>
      </c>
      <c r="BC279">
        <v>1</v>
      </c>
      <c r="BE279">
        <v>0</v>
      </c>
      <c r="BF279">
        <v>0</v>
      </c>
      <c r="BG279">
        <v>0</v>
      </c>
      <c r="BH279">
        <v>475</v>
      </c>
      <c r="BI279">
        <v>1</v>
      </c>
      <c r="BJ279">
        <v>1</v>
      </c>
      <c r="BK279">
        <v>0</v>
      </c>
      <c r="BL279">
        <v>0</v>
      </c>
      <c r="BO279">
        <v>0</v>
      </c>
      <c r="BP279">
        <v>0</v>
      </c>
      <c r="BW279" t="str">
        <f t="shared" si="134"/>
        <v>14:41:24.810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2</v>
      </c>
      <c r="CP279" t="s">
        <v>119</v>
      </c>
      <c r="CQ279">
        <v>358</v>
      </c>
      <c r="CR279">
        <v>0</v>
      </c>
      <c r="CW279">
        <v>4542619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 t="shared" si="131"/>
        <v>05/12/2020 14:41:07.009</v>
      </c>
      <c r="C280" t="str">
        <f t="shared" si="135"/>
        <v>FFDFD3C0</v>
      </c>
      <c r="D280" t="s">
        <v>113</v>
      </c>
      <c r="E280">
        <v>3</v>
      </c>
      <c r="H280">
        <v>164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32"/>
        <v>14:41:24.805</v>
      </c>
      <c r="T280" t="str">
        <f t="shared" si="133"/>
        <v>14:41:24.505</v>
      </c>
      <c r="U280" t="str">
        <f t="shared" si="125"/>
        <v>A9808D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195</v>
      </c>
      <c r="AJ280">
        <v>28.239433999999999</v>
      </c>
      <c r="AK280" t="s">
        <v>173</v>
      </c>
      <c r="AL280">
        <v>-82.383298999999994</v>
      </c>
      <c r="AM280">
        <v>100</v>
      </c>
      <c r="AN280">
        <v>400</v>
      </c>
      <c r="AO280" t="s">
        <v>118</v>
      </c>
      <c r="AP280">
        <v>10</v>
      </c>
      <c r="AQ280">
        <v>86</v>
      </c>
      <c r="AR280">
        <v>448</v>
      </c>
      <c r="AZ280">
        <v>1200</v>
      </c>
      <c r="BA280">
        <v>1</v>
      </c>
      <c r="BB280" t="str">
        <f t="shared" si="136"/>
        <v xml:space="preserve">N711JA  </v>
      </c>
      <c r="BC280">
        <v>1</v>
      </c>
      <c r="BE280">
        <v>0</v>
      </c>
      <c r="BF280">
        <v>0</v>
      </c>
      <c r="BG280">
        <v>0</v>
      </c>
      <c r="BH280">
        <v>475</v>
      </c>
      <c r="BI280">
        <v>1</v>
      </c>
      <c r="BJ280">
        <v>1</v>
      </c>
      <c r="BK280">
        <v>0</v>
      </c>
      <c r="BL280">
        <v>0</v>
      </c>
      <c r="BO280">
        <v>0</v>
      </c>
      <c r="BP280">
        <v>0</v>
      </c>
      <c r="BW280" t="str">
        <f t="shared" si="134"/>
        <v>14:41:24.810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2</v>
      </c>
      <c r="CP280" t="s">
        <v>119</v>
      </c>
      <c r="CQ280">
        <v>8</v>
      </c>
      <c r="CR280">
        <v>3</v>
      </c>
      <c r="CW280">
        <v>8653753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si="131"/>
        <v>05/12/2020 14:41:07.009</v>
      </c>
      <c r="C281" t="str">
        <f t="shared" si="135"/>
        <v>FFDFD3C0</v>
      </c>
      <c r="D281" t="s">
        <v>138</v>
      </c>
      <c r="E281">
        <v>3</v>
      </c>
      <c r="H281">
        <v>9</v>
      </c>
      <c r="I281" t="s">
        <v>140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32"/>
        <v>14:41:24.805</v>
      </c>
      <c r="T281" t="str">
        <f t="shared" si="133"/>
        <v>14:41:24.505</v>
      </c>
      <c r="U281" t="str">
        <f t="shared" si="125"/>
        <v>A9808D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195</v>
      </c>
      <c r="AJ281">
        <v>28.239433999999999</v>
      </c>
      <c r="AK281" t="s">
        <v>173</v>
      </c>
      <c r="AL281">
        <v>-82.383298999999994</v>
      </c>
      <c r="AM281">
        <v>100</v>
      </c>
      <c r="AN281">
        <v>400</v>
      </c>
      <c r="AO281" t="s">
        <v>118</v>
      </c>
      <c r="AP281">
        <v>10</v>
      </c>
      <c r="AQ281">
        <v>86</v>
      </c>
      <c r="AR281">
        <v>448</v>
      </c>
      <c r="AZ281">
        <v>1200</v>
      </c>
      <c r="BA281">
        <v>1</v>
      </c>
      <c r="BB281" t="str">
        <f t="shared" si="136"/>
        <v xml:space="preserve">N711JA  </v>
      </c>
      <c r="BC281">
        <v>1</v>
      </c>
      <c r="BE281">
        <v>0</v>
      </c>
      <c r="BF281">
        <v>0</v>
      </c>
      <c r="BG281">
        <v>0</v>
      </c>
      <c r="BH281">
        <v>475</v>
      </c>
      <c r="BI281">
        <v>1</v>
      </c>
      <c r="BJ281">
        <v>1</v>
      </c>
      <c r="BK281">
        <v>0</v>
      </c>
      <c r="BL281">
        <v>0</v>
      </c>
      <c r="BO281">
        <v>0</v>
      </c>
      <c r="BP281">
        <v>0</v>
      </c>
      <c r="BW281" t="str">
        <f t="shared" si="134"/>
        <v>14:41:24.810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2</v>
      </c>
      <c r="CP281" t="s">
        <v>119</v>
      </c>
      <c r="CQ281">
        <v>358</v>
      </c>
      <c r="CR281">
        <v>0</v>
      </c>
      <c r="CW281">
        <v>4542619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131"/>
        <v>05/12/2020 14:41:07.009</v>
      </c>
      <c r="C282" t="str">
        <f t="shared" si="135"/>
        <v>FFDFD3C0</v>
      </c>
      <c r="D282" t="s">
        <v>138</v>
      </c>
      <c r="E282">
        <v>2</v>
      </c>
      <c r="H282">
        <v>8</v>
      </c>
      <c r="I282" t="s">
        <v>139</v>
      </c>
      <c r="J282" t="s">
        <v>136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32"/>
        <v>14:41:24.805</v>
      </c>
      <c r="T282" t="str">
        <f t="shared" si="133"/>
        <v>14:41:24.505</v>
      </c>
      <c r="U282" t="str">
        <f t="shared" si="125"/>
        <v>A9808D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195</v>
      </c>
      <c r="AJ282">
        <v>28.239433999999999</v>
      </c>
      <c r="AK282" t="s">
        <v>173</v>
      </c>
      <c r="AL282">
        <v>-82.383298999999994</v>
      </c>
      <c r="AM282">
        <v>100</v>
      </c>
      <c r="AN282">
        <v>400</v>
      </c>
      <c r="AO282" t="s">
        <v>118</v>
      </c>
      <c r="AP282">
        <v>10</v>
      </c>
      <c r="AQ282">
        <v>86</v>
      </c>
      <c r="AR282">
        <v>448</v>
      </c>
      <c r="AZ282">
        <v>1200</v>
      </c>
      <c r="BA282">
        <v>1</v>
      </c>
      <c r="BB282" t="str">
        <f t="shared" si="136"/>
        <v xml:space="preserve">N711JA  </v>
      </c>
      <c r="BC282">
        <v>1</v>
      </c>
      <c r="BE282">
        <v>0</v>
      </c>
      <c r="BF282">
        <v>0</v>
      </c>
      <c r="BG282">
        <v>0</v>
      </c>
      <c r="BH282">
        <v>475</v>
      </c>
      <c r="BI282">
        <v>1</v>
      </c>
      <c r="BJ282">
        <v>1</v>
      </c>
      <c r="BK282">
        <v>0</v>
      </c>
      <c r="BL282">
        <v>0</v>
      </c>
      <c r="BO282">
        <v>0</v>
      </c>
      <c r="BP282">
        <v>0</v>
      </c>
      <c r="BW282" t="str">
        <f t="shared" si="134"/>
        <v>14:41:24.810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2</v>
      </c>
      <c r="CP282" t="s">
        <v>119</v>
      </c>
      <c r="CQ282">
        <v>8</v>
      </c>
      <c r="CR282">
        <v>3</v>
      </c>
      <c r="CW282">
        <v>8653753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ref="A283:A291" si="137">"05/12/2020 14:41:08.069"</f>
        <v>05/12/2020 14:41:08.069</v>
      </c>
      <c r="C283" t="str">
        <f t="shared" si="135"/>
        <v>FFDFD3C0</v>
      </c>
      <c r="D283" t="s">
        <v>126</v>
      </c>
      <c r="E283">
        <v>6</v>
      </c>
      <c r="F283">
        <v>1006</v>
      </c>
      <c r="G283" t="s">
        <v>114</v>
      </c>
      <c r="J283" t="s">
        <v>128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ref="S283:S291" si="138">"14:41:25.883"</f>
        <v>14:41:25.883</v>
      </c>
      <c r="T283" t="str">
        <f t="shared" ref="T283:T291" si="139">"14:41:25.683"</f>
        <v>14:41:25.683</v>
      </c>
      <c r="U283" t="str">
        <f t="shared" si="125"/>
        <v>A9808D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196</v>
      </c>
      <c r="AJ283">
        <v>28.239863</v>
      </c>
      <c r="AK283" t="s">
        <v>197</v>
      </c>
      <c r="AL283">
        <v>-82.383256000000003</v>
      </c>
      <c r="AM283">
        <v>100</v>
      </c>
      <c r="AN283">
        <v>400</v>
      </c>
      <c r="AO283" t="s">
        <v>118</v>
      </c>
      <c r="AP283">
        <v>10</v>
      </c>
      <c r="AQ283">
        <v>86</v>
      </c>
      <c r="AR283">
        <v>640</v>
      </c>
      <c r="AZ283">
        <v>1200</v>
      </c>
      <c r="BA283">
        <v>1</v>
      </c>
      <c r="BB283" t="str">
        <f t="shared" si="136"/>
        <v xml:space="preserve">N711JA  </v>
      </c>
      <c r="BC283">
        <v>1</v>
      </c>
      <c r="BE283">
        <v>0</v>
      </c>
      <c r="BF283">
        <v>0</v>
      </c>
      <c r="BG283">
        <v>0</v>
      </c>
      <c r="BH283">
        <v>475</v>
      </c>
      <c r="BI283">
        <v>1</v>
      </c>
      <c r="BJ283">
        <v>1</v>
      </c>
      <c r="BK283">
        <v>0</v>
      </c>
      <c r="BL283">
        <v>0</v>
      </c>
      <c r="BO283">
        <v>0</v>
      </c>
      <c r="BP283">
        <v>0</v>
      </c>
      <c r="BW283" t="str">
        <f t="shared" ref="BW283:BW291" si="140">"14:41:25.890"</f>
        <v>14:41:25.890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343</v>
      </c>
      <c r="CR283">
        <v>2</v>
      </c>
      <c r="CW283">
        <v>12953471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si="137"/>
        <v>05/12/2020 14:41:08.069</v>
      </c>
      <c r="C284" t="str">
        <f t="shared" si="135"/>
        <v>FFDFD3C0</v>
      </c>
      <c r="D284" t="s">
        <v>131</v>
      </c>
      <c r="E284">
        <v>10</v>
      </c>
      <c r="F284">
        <v>2010</v>
      </c>
      <c r="G284" t="s">
        <v>132</v>
      </c>
      <c r="J284" t="s">
        <v>133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38"/>
        <v>14:41:25.883</v>
      </c>
      <c r="T284" t="str">
        <f t="shared" si="139"/>
        <v>14:41:25.683</v>
      </c>
      <c r="U284" t="str">
        <f t="shared" si="125"/>
        <v>A9808D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196</v>
      </c>
      <c r="AJ284">
        <v>28.239863</v>
      </c>
      <c r="AK284" t="s">
        <v>197</v>
      </c>
      <c r="AL284">
        <v>-82.383256000000003</v>
      </c>
      <c r="AM284">
        <v>100</v>
      </c>
      <c r="AN284">
        <v>400</v>
      </c>
      <c r="AO284" t="s">
        <v>118</v>
      </c>
      <c r="AP284">
        <v>10</v>
      </c>
      <c r="AQ284">
        <v>86</v>
      </c>
      <c r="AR284">
        <v>640</v>
      </c>
      <c r="AZ284">
        <v>1200</v>
      </c>
      <c r="BA284">
        <v>1</v>
      </c>
      <c r="BB284" t="str">
        <f t="shared" si="136"/>
        <v xml:space="preserve">N711JA  </v>
      </c>
      <c r="BC284">
        <v>1</v>
      </c>
      <c r="BE284">
        <v>0</v>
      </c>
      <c r="BF284">
        <v>0</v>
      </c>
      <c r="BG284">
        <v>0</v>
      </c>
      <c r="BH284">
        <v>475</v>
      </c>
      <c r="BI284">
        <v>1</v>
      </c>
      <c r="BJ284">
        <v>1</v>
      </c>
      <c r="BK284">
        <v>0</v>
      </c>
      <c r="BL284">
        <v>0</v>
      </c>
      <c r="BO284">
        <v>0</v>
      </c>
      <c r="BP284">
        <v>0</v>
      </c>
      <c r="BW284" t="str">
        <f t="shared" si="140"/>
        <v>14:41:25.890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343</v>
      </c>
      <c r="CR284">
        <v>2</v>
      </c>
      <c r="CW284">
        <v>12953471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137"/>
        <v>05/12/2020 14:41:08.069</v>
      </c>
      <c r="C285" t="str">
        <f t="shared" si="135"/>
        <v>FFDFD3C0</v>
      </c>
      <c r="D285" t="s">
        <v>126</v>
      </c>
      <c r="E285">
        <v>7</v>
      </c>
      <c r="F285">
        <v>1007</v>
      </c>
      <c r="G285" t="s">
        <v>127</v>
      </c>
      <c r="J285" t="s">
        <v>128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38"/>
        <v>14:41:25.883</v>
      </c>
      <c r="T285" t="str">
        <f t="shared" si="139"/>
        <v>14:41:25.683</v>
      </c>
      <c r="U285" t="str">
        <f t="shared" si="125"/>
        <v>A9808D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196</v>
      </c>
      <c r="AJ285">
        <v>28.239863</v>
      </c>
      <c r="AK285" t="s">
        <v>197</v>
      </c>
      <c r="AL285">
        <v>-82.383256000000003</v>
      </c>
      <c r="AM285">
        <v>100</v>
      </c>
      <c r="AN285">
        <v>400</v>
      </c>
      <c r="AO285" t="s">
        <v>118</v>
      </c>
      <c r="AP285">
        <v>10</v>
      </c>
      <c r="AQ285">
        <v>86</v>
      </c>
      <c r="AR285">
        <v>640</v>
      </c>
      <c r="AZ285">
        <v>1200</v>
      </c>
      <c r="BA285">
        <v>1</v>
      </c>
      <c r="BB285" t="str">
        <f t="shared" si="136"/>
        <v xml:space="preserve">N711JA  </v>
      </c>
      <c r="BC285">
        <v>1</v>
      </c>
      <c r="BE285">
        <v>0</v>
      </c>
      <c r="BF285">
        <v>0</v>
      </c>
      <c r="BG285">
        <v>0</v>
      </c>
      <c r="BH285">
        <v>475</v>
      </c>
      <c r="BI285">
        <v>1</v>
      </c>
      <c r="BJ285">
        <v>1</v>
      </c>
      <c r="BK285">
        <v>0</v>
      </c>
      <c r="BL285">
        <v>0</v>
      </c>
      <c r="BO285">
        <v>0</v>
      </c>
      <c r="BP285">
        <v>0</v>
      </c>
      <c r="BW285" t="str">
        <f t="shared" si="140"/>
        <v>14:41:25.890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343</v>
      </c>
      <c r="CR285">
        <v>2</v>
      </c>
      <c r="CW285">
        <v>12953471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137"/>
        <v>05/12/2020 14:41:08.069</v>
      </c>
      <c r="C286" t="str">
        <f t="shared" si="135"/>
        <v>FFDFD3C0</v>
      </c>
      <c r="D286" t="s">
        <v>131</v>
      </c>
      <c r="E286">
        <v>18</v>
      </c>
      <c r="F286">
        <v>2018</v>
      </c>
      <c r="G286" t="s">
        <v>161</v>
      </c>
      <c r="J286" t="s">
        <v>133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38"/>
        <v>14:41:25.883</v>
      </c>
      <c r="T286" t="str">
        <f t="shared" si="139"/>
        <v>14:41:25.683</v>
      </c>
      <c r="U286" t="str">
        <f t="shared" si="125"/>
        <v>A9808D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196</v>
      </c>
      <c r="AJ286">
        <v>28.239863</v>
      </c>
      <c r="AK286" t="s">
        <v>197</v>
      </c>
      <c r="AL286">
        <v>-82.383256000000003</v>
      </c>
      <c r="AM286">
        <v>100</v>
      </c>
      <c r="AN286">
        <v>400</v>
      </c>
      <c r="AO286" t="s">
        <v>118</v>
      </c>
      <c r="AP286">
        <v>10</v>
      </c>
      <c r="AQ286">
        <v>86</v>
      </c>
      <c r="AR286">
        <v>640</v>
      </c>
      <c r="AZ286">
        <v>1200</v>
      </c>
      <c r="BA286">
        <v>1</v>
      </c>
      <c r="BB286" t="str">
        <f t="shared" si="136"/>
        <v xml:space="preserve">N711JA  </v>
      </c>
      <c r="BC286">
        <v>1</v>
      </c>
      <c r="BE286">
        <v>0</v>
      </c>
      <c r="BF286">
        <v>0</v>
      </c>
      <c r="BG286">
        <v>0</v>
      </c>
      <c r="BH286">
        <v>475</v>
      </c>
      <c r="BI286">
        <v>1</v>
      </c>
      <c r="BJ286">
        <v>1</v>
      </c>
      <c r="BK286">
        <v>0</v>
      </c>
      <c r="BL286">
        <v>0</v>
      </c>
      <c r="BO286">
        <v>0</v>
      </c>
      <c r="BP286">
        <v>0</v>
      </c>
      <c r="BW286" t="str">
        <f t="shared" si="140"/>
        <v>14:41:25.890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343</v>
      </c>
      <c r="CR286">
        <v>2</v>
      </c>
      <c r="CW286">
        <v>12953471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137"/>
        <v>05/12/2020 14:41:08.069</v>
      </c>
      <c r="C287" t="str">
        <f t="shared" si="135"/>
        <v>FFDFD3C0</v>
      </c>
      <c r="D287" t="s">
        <v>131</v>
      </c>
      <c r="E287">
        <v>12</v>
      </c>
      <c r="F287">
        <v>2012</v>
      </c>
      <c r="G287" t="s">
        <v>137</v>
      </c>
      <c r="J287" t="s">
        <v>133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38"/>
        <v>14:41:25.883</v>
      </c>
      <c r="T287" t="str">
        <f t="shared" si="139"/>
        <v>14:41:25.683</v>
      </c>
      <c r="U287" t="str">
        <f t="shared" si="125"/>
        <v>A9808D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196</v>
      </c>
      <c r="AJ287">
        <v>28.239863</v>
      </c>
      <c r="AK287" t="s">
        <v>197</v>
      </c>
      <c r="AL287">
        <v>-82.383256000000003</v>
      </c>
      <c r="AM287">
        <v>100</v>
      </c>
      <c r="AN287">
        <v>400</v>
      </c>
      <c r="AO287" t="s">
        <v>118</v>
      </c>
      <c r="AP287">
        <v>10</v>
      </c>
      <c r="AQ287">
        <v>86</v>
      </c>
      <c r="AR287">
        <v>640</v>
      </c>
      <c r="AZ287">
        <v>1200</v>
      </c>
      <c r="BA287">
        <v>1</v>
      </c>
      <c r="BB287" t="str">
        <f t="shared" si="136"/>
        <v xml:space="preserve">N711JA  </v>
      </c>
      <c r="BC287">
        <v>1</v>
      </c>
      <c r="BE287">
        <v>0</v>
      </c>
      <c r="BF287">
        <v>0</v>
      </c>
      <c r="BG287">
        <v>0</v>
      </c>
      <c r="BH287">
        <v>475</v>
      </c>
      <c r="BI287">
        <v>1</v>
      </c>
      <c r="BJ287">
        <v>1</v>
      </c>
      <c r="BK287">
        <v>0</v>
      </c>
      <c r="BL287">
        <v>0</v>
      </c>
      <c r="BO287">
        <v>0</v>
      </c>
      <c r="BP287">
        <v>0</v>
      </c>
      <c r="BW287" t="str">
        <f t="shared" si="140"/>
        <v>14:41:25.890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343</v>
      </c>
      <c r="CR287">
        <v>2</v>
      </c>
      <c r="CW287">
        <v>12953471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137"/>
        <v>05/12/2020 14:41:08.069</v>
      </c>
      <c r="C288" t="str">
        <f t="shared" si="135"/>
        <v>FFDFD3C0</v>
      </c>
      <c r="D288" t="s">
        <v>134</v>
      </c>
      <c r="E288">
        <v>12</v>
      </c>
      <c r="H288">
        <v>64</v>
      </c>
      <c r="I288" t="s">
        <v>135</v>
      </c>
      <c r="J288" t="s">
        <v>136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38"/>
        <v>14:41:25.883</v>
      </c>
      <c r="T288" t="str">
        <f t="shared" si="139"/>
        <v>14:41:25.683</v>
      </c>
      <c r="U288" t="str">
        <f t="shared" si="125"/>
        <v>A9808D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196</v>
      </c>
      <c r="AJ288">
        <v>28.239863</v>
      </c>
      <c r="AK288" t="s">
        <v>197</v>
      </c>
      <c r="AL288">
        <v>-82.383256000000003</v>
      </c>
      <c r="AM288">
        <v>100</v>
      </c>
      <c r="AN288">
        <v>400</v>
      </c>
      <c r="AO288" t="s">
        <v>118</v>
      </c>
      <c r="AP288">
        <v>10</v>
      </c>
      <c r="AQ288">
        <v>86</v>
      </c>
      <c r="AR288">
        <v>640</v>
      </c>
      <c r="AZ288">
        <v>1200</v>
      </c>
      <c r="BA288">
        <v>1</v>
      </c>
      <c r="BB288" t="str">
        <f t="shared" si="136"/>
        <v xml:space="preserve">N711JA  </v>
      </c>
      <c r="BC288">
        <v>1</v>
      </c>
      <c r="BE288">
        <v>0</v>
      </c>
      <c r="BF288">
        <v>0</v>
      </c>
      <c r="BG288">
        <v>0</v>
      </c>
      <c r="BH288">
        <v>475</v>
      </c>
      <c r="BI288">
        <v>1</v>
      </c>
      <c r="BJ288">
        <v>1</v>
      </c>
      <c r="BK288">
        <v>0</v>
      </c>
      <c r="BL288">
        <v>0</v>
      </c>
      <c r="BO288">
        <v>0</v>
      </c>
      <c r="BP288">
        <v>0</v>
      </c>
      <c r="BW288" t="str">
        <f t="shared" si="140"/>
        <v>14:41:25.890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343</v>
      </c>
      <c r="CR288">
        <v>2</v>
      </c>
      <c r="CW288">
        <v>12953471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si="137"/>
        <v>05/12/2020 14:41:08.069</v>
      </c>
      <c r="C289" t="str">
        <f t="shared" si="135"/>
        <v>FFDFD3C0</v>
      </c>
      <c r="D289" t="s">
        <v>113</v>
      </c>
      <c r="E289">
        <v>3</v>
      </c>
      <c r="H289">
        <v>164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38"/>
        <v>14:41:25.883</v>
      </c>
      <c r="T289" t="str">
        <f t="shared" si="139"/>
        <v>14:41:25.683</v>
      </c>
      <c r="U289" t="str">
        <f t="shared" si="125"/>
        <v>A9808D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196</v>
      </c>
      <c r="AJ289">
        <v>28.239863</v>
      </c>
      <c r="AK289" t="s">
        <v>197</v>
      </c>
      <c r="AL289">
        <v>-82.383256000000003</v>
      </c>
      <c r="AM289">
        <v>100</v>
      </c>
      <c r="AN289">
        <v>400</v>
      </c>
      <c r="AO289" t="s">
        <v>118</v>
      </c>
      <c r="AP289">
        <v>10</v>
      </c>
      <c r="AQ289">
        <v>86</v>
      </c>
      <c r="AR289">
        <v>640</v>
      </c>
      <c r="AZ289">
        <v>1200</v>
      </c>
      <c r="BA289">
        <v>1</v>
      </c>
      <c r="BB289" t="str">
        <f t="shared" si="136"/>
        <v xml:space="preserve">N711JA  </v>
      </c>
      <c r="BC289">
        <v>1</v>
      </c>
      <c r="BE289">
        <v>0</v>
      </c>
      <c r="BF289">
        <v>0</v>
      </c>
      <c r="BG289">
        <v>0</v>
      </c>
      <c r="BH289">
        <v>475</v>
      </c>
      <c r="BI289">
        <v>1</v>
      </c>
      <c r="BJ289">
        <v>1</v>
      </c>
      <c r="BK289">
        <v>0</v>
      </c>
      <c r="BL289">
        <v>0</v>
      </c>
      <c r="BO289">
        <v>0</v>
      </c>
      <c r="BP289">
        <v>0</v>
      </c>
      <c r="BW289" t="str">
        <f t="shared" si="140"/>
        <v>14:41:25.890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343</v>
      </c>
      <c r="CR289">
        <v>2</v>
      </c>
      <c r="CW289">
        <v>12953471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 t="shared" si="137"/>
        <v>05/12/2020 14:41:08.069</v>
      </c>
      <c r="C290" t="str">
        <f t="shared" si="135"/>
        <v>FFDFD3C0</v>
      </c>
      <c r="D290" t="s">
        <v>138</v>
      </c>
      <c r="E290">
        <v>3</v>
      </c>
      <c r="H290">
        <v>9</v>
      </c>
      <c r="I290" t="s">
        <v>140</v>
      </c>
      <c r="J290" t="s">
        <v>136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38"/>
        <v>14:41:25.883</v>
      </c>
      <c r="T290" t="str">
        <f t="shared" si="139"/>
        <v>14:41:25.683</v>
      </c>
      <c r="U290" t="str">
        <f t="shared" si="125"/>
        <v>A9808D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196</v>
      </c>
      <c r="AJ290">
        <v>28.239863</v>
      </c>
      <c r="AK290" t="s">
        <v>197</v>
      </c>
      <c r="AL290">
        <v>-82.383256000000003</v>
      </c>
      <c r="AM290">
        <v>100</v>
      </c>
      <c r="AN290">
        <v>400</v>
      </c>
      <c r="AO290" t="s">
        <v>118</v>
      </c>
      <c r="AP290">
        <v>10</v>
      </c>
      <c r="AQ290">
        <v>86</v>
      </c>
      <c r="AR290">
        <v>640</v>
      </c>
      <c r="AZ290">
        <v>1200</v>
      </c>
      <c r="BA290">
        <v>1</v>
      </c>
      <c r="BB290" t="str">
        <f t="shared" si="136"/>
        <v xml:space="preserve">N711JA  </v>
      </c>
      <c r="BC290">
        <v>1</v>
      </c>
      <c r="BE290">
        <v>0</v>
      </c>
      <c r="BF290">
        <v>0</v>
      </c>
      <c r="BG290">
        <v>0</v>
      </c>
      <c r="BH290">
        <v>475</v>
      </c>
      <c r="BI290">
        <v>1</v>
      </c>
      <c r="BJ290">
        <v>1</v>
      </c>
      <c r="BK290">
        <v>0</v>
      </c>
      <c r="BL290">
        <v>0</v>
      </c>
      <c r="BO290">
        <v>0</v>
      </c>
      <c r="BP290">
        <v>0</v>
      </c>
      <c r="BW290" t="str">
        <f t="shared" si="140"/>
        <v>14:41:25.890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343</v>
      </c>
      <c r="CR290">
        <v>2</v>
      </c>
      <c r="CW290">
        <v>12953471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 t="shared" si="137"/>
        <v>05/12/2020 14:41:08.069</v>
      </c>
      <c r="C291" t="str">
        <f t="shared" si="135"/>
        <v>FFDFD3C0</v>
      </c>
      <c r="D291" t="s">
        <v>138</v>
      </c>
      <c r="E291">
        <v>2</v>
      </c>
      <c r="H291">
        <v>8</v>
      </c>
      <c r="I291" t="s">
        <v>139</v>
      </c>
      <c r="J291" t="s">
        <v>136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38"/>
        <v>14:41:25.883</v>
      </c>
      <c r="T291" t="str">
        <f t="shared" si="139"/>
        <v>14:41:25.683</v>
      </c>
      <c r="U291" t="str">
        <f t="shared" si="125"/>
        <v>A9808D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196</v>
      </c>
      <c r="AJ291">
        <v>28.239863</v>
      </c>
      <c r="AK291" t="s">
        <v>197</v>
      </c>
      <c r="AL291">
        <v>-82.383256000000003</v>
      </c>
      <c r="AM291">
        <v>100</v>
      </c>
      <c r="AN291">
        <v>400</v>
      </c>
      <c r="AO291" t="s">
        <v>118</v>
      </c>
      <c r="AP291">
        <v>10</v>
      </c>
      <c r="AQ291">
        <v>86</v>
      </c>
      <c r="AR291">
        <v>640</v>
      </c>
      <c r="AZ291">
        <v>1200</v>
      </c>
      <c r="BA291">
        <v>1</v>
      </c>
      <c r="BB291" t="str">
        <f t="shared" si="136"/>
        <v xml:space="preserve">N711JA  </v>
      </c>
      <c r="BC291">
        <v>1</v>
      </c>
      <c r="BE291">
        <v>0</v>
      </c>
      <c r="BF291">
        <v>0</v>
      </c>
      <c r="BG291">
        <v>0</v>
      </c>
      <c r="BH291">
        <v>475</v>
      </c>
      <c r="BI291">
        <v>1</v>
      </c>
      <c r="BJ291">
        <v>1</v>
      </c>
      <c r="BK291">
        <v>0</v>
      </c>
      <c r="BL291">
        <v>0</v>
      </c>
      <c r="BO291">
        <v>0</v>
      </c>
      <c r="BP291">
        <v>0</v>
      </c>
      <c r="BW291" t="str">
        <f t="shared" si="140"/>
        <v>14:41:25.890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343</v>
      </c>
      <c r="CR291">
        <v>2</v>
      </c>
      <c r="CW291">
        <v>12953471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ref="A292:A300" si="141">"05/12/2020 14:41:09.110"</f>
        <v>05/12/2020 14:41:09.110</v>
      </c>
      <c r="C292" t="str">
        <f t="shared" si="135"/>
        <v>FFDFD3C0</v>
      </c>
      <c r="D292" t="s">
        <v>134</v>
      </c>
      <c r="E292">
        <v>12</v>
      </c>
      <c r="H292">
        <v>64</v>
      </c>
      <c r="I292" t="s">
        <v>135</v>
      </c>
      <c r="J292" t="s">
        <v>136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300" si="142">"14:41:26.930"</f>
        <v>14:41:26.930</v>
      </c>
      <c r="T292" t="str">
        <f t="shared" ref="T292:T300" si="143">"14:41:26.730"</f>
        <v>14:41:26.730</v>
      </c>
      <c r="U292" t="str">
        <f t="shared" si="125"/>
        <v>A9808D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198</v>
      </c>
      <c r="AJ292">
        <v>28.240271</v>
      </c>
      <c r="AK292" t="s">
        <v>171</v>
      </c>
      <c r="AL292">
        <v>-82.383191999999994</v>
      </c>
      <c r="AM292">
        <v>100</v>
      </c>
      <c r="AN292">
        <v>400</v>
      </c>
      <c r="AO292" t="s">
        <v>118</v>
      </c>
      <c r="AP292">
        <v>11</v>
      </c>
      <c r="AQ292">
        <v>86</v>
      </c>
      <c r="AR292">
        <v>768</v>
      </c>
      <c r="AZ292">
        <v>1200</v>
      </c>
      <c r="BA292">
        <v>1</v>
      </c>
      <c r="BB292" t="str">
        <f t="shared" si="136"/>
        <v xml:space="preserve">N711JA  </v>
      </c>
      <c r="BC292">
        <v>1</v>
      </c>
      <c r="BE292">
        <v>0</v>
      </c>
      <c r="BF292">
        <v>0</v>
      </c>
      <c r="BG292">
        <v>0</v>
      </c>
      <c r="BH292">
        <v>475</v>
      </c>
      <c r="BI292">
        <v>1</v>
      </c>
      <c r="BJ292">
        <v>1</v>
      </c>
      <c r="BK292">
        <v>0</v>
      </c>
      <c r="BL292">
        <v>0</v>
      </c>
      <c r="BO292">
        <v>0</v>
      </c>
      <c r="BP292">
        <v>0</v>
      </c>
      <c r="BW292" t="str">
        <f t="shared" ref="BW292:BW300" si="144">"14:41:26.936"</f>
        <v>14:41:26.936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343</v>
      </c>
      <c r="CR292">
        <v>1</v>
      </c>
      <c r="CW292">
        <v>10534254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141"/>
        <v>05/12/2020 14:41:09.110</v>
      </c>
      <c r="C293" t="str">
        <f t="shared" si="135"/>
        <v>FFDFD3C0</v>
      </c>
      <c r="D293" t="s">
        <v>113</v>
      </c>
      <c r="E293">
        <v>3</v>
      </c>
      <c r="H293">
        <v>164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42"/>
        <v>14:41:26.930</v>
      </c>
      <c r="T293" t="str">
        <f t="shared" si="143"/>
        <v>14:41:26.730</v>
      </c>
      <c r="U293" t="str">
        <f t="shared" si="125"/>
        <v>A9808D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198</v>
      </c>
      <c r="AJ293">
        <v>28.240271</v>
      </c>
      <c r="AK293" t="s">
        <v>171</v>
      </c>
      <c r="AL293">
        <v>-82.383191999999994</v>
      </c>
      <c r="AM293">
        <v>100</v>
      </c>
      <c r="AN293">
        <v>400</v>
      </c>
      <c r="AO293" t="s">
        <v>118</v>
      </c>
      <c r="AP293">
        <v>11</v>
      </c>
      <c r="AQ293">
        <v>86</v>
      </c>
      <c r="AR293">
        <v>768</v>
      </c>
      <c r="AZ293">
        <v>1200</v>
      </c>
      <c r="BA293">
        <v>1</v>
      </c>
      <c r="BB293" t="str">
        <f t="shared" si="136"/>
        <v xml:space="preserve">N711JA  </v>
      </c>
      <c r="BC293">
        <v>1</v>
      </c>
      <c r="BE293">
        <v>0</v>
      </c>
      <c r="BF293">
        <v>0</v>
      </c>
      <c r="BG293">
        <v>0</v>
      </c>
      <c r="BH293">
        <v>475</v>
      </c>
      <c r="BI293">
        <v>1</v>
      </c>
      <c r="BJ293">
        <v>1</v>
      </c>
      <c r="BK293">
        <v>0</v>
      </c>
      <c r="BL293">
        <v>0</v>
      </c>
      <c r="BO293">
        <v>0</v>
      </c>
      <c r="BP293">
        <v>0</v>
      </c>
      <c r="BW293" t="str">
        <f t="shared" si="144"/>
        <v>14:41:26.936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343</v>
      </c>
      <c r="CR293">
        <v>1</v>
      </c>
      <c r="CW293">
        <v>10534254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141"/>
        <v>05/12/2020 14:41:09.110</v>
      </c>
      <c r="C294" t="str">
        <f t="shared" si="135"/>
        <v>FFDFD3C0</v>
      </c>
      <c r="D294" t="s">
        <v>126</v>
      </c>
      <c r="E294">
        <v>6</v>
      </c>
      <c r="F294">
        <v>1006</v>
      </c>
      <c r="G294" t="s">
        <v>114</v>
      </c>
      <c r="J294" t="s">
        <v>128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42"/>
        <v>14:41:26.930</v>
      </c>
      <c r="T294" t="str">
        <f t="shared" si="143"/>
        <v>14:41:26.730</v>
      </c>
      <c r="U294" t="str">
        <f t="shared" si="125"/>
        <v>A9808D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198</v>
      </c>
      <c r="AJ294">
        <v>28.240271</v>
      </c>
      <c r="AK294" t="s">
        <v>171</v>
      </c>
      <c r="AL294">
        <v>-82.383191999999994</v>
      </c>
      <c r="AM294">
        <v>100</v>
      </c>
      <c r="AN294">
        <v>400</v>
      </c>
      <c r="AO294" t="s">
        <v>118</v>
      </c>
      <c r="AP294">
        <v>11</v>
      </c>
      <c r="AQ294">
        <v>86</v>
      </c>
      <c r="AR294">
        <v>768</v>
      </c>
      <c r="AZ294">
        <v>1200</v>
      </c>
      <c r="BA294">
        <v>1</v>
      </c>
      <c r="BB294" t="str">
        <f t="shared" si="136"/>
        <v xml:space="preserve">N711JA  </v>
      </c>
      <c r="BC294">
        <v>1</v>
      </c>
      <c r="BE294">
        <v>0</v>
      </c>
      <c r="BF294">
        <v>0</v>
      </c>
      <c r="BG294">
        <v>0</v>
      </c>
      <c r="BH294">
        <v>475</v>
      </c>
      <c r="BI294">
        <v>1</v>
      </c>
      <c r="BJ294">
        <v>1</v>
      </c>
      <c r="BK294">
        <v>0</v>
      </c>
      <c r="BL294">
        <v>0</v>
      </c>
      <c r="BO294">
        <v>0</v>
      </c>
      <c r="BP294">
        <v>0</v>
      </c>
      <c r="BW294" t="str">
        <f t="shared" si="144"/>
        <v>14:41:26.936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343</v>
      </c>
      <c r="CR294">
        <v>1</v>
      </c>
      <c r="CW294">
        <v>10534254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si="141"/>
        <v>05/12/2020 14:41:09.110</v>
      </c>
      <c r="C295" t="str">
        <f t="shared" si="135"/>
        <v>FFDFD3C0</v>
      </c>
      <c r="D295" t="s">
        <v>131</v>
      </c>
      <c r="E295">
        <v>10</v>
      </c>
      <c r="F295">
        <v>2010</v>
      </c>
      <c r="G295" t="s">
        <v>132</v>
      </c>
      <c r="J295" t="s">
        <v>133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42"/>
        <v>14:41:26.930</v>
      </c>
      <c r="T295" t="str">
        <f t="shared" si="143"/>
        <v>14:41:26.730</v>
      </c>
      <c r="U295" t="str">
        <f t="shared" si="125"/>
        <v>A9808D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198</v>
      </c>
      <c r="AJ295">
        <v>28.240271</v>
      </c>
      <c r="AK295" t="s">
        <v>171</v>
      </c>
      <c r="AL295">
        <v>-82.383191999999994</v>
      </c>
      <c r="AM295">
        <v>100</v>
      </c>
      <c r="AN295">
        <v>400</v>
      </c>
      <c r="AO295" t="s">
        <v>118</v>
      </c>
      <c r="AP295">
        <v>11</v>
      </c>
      <c r="AQ295">
        <v>86</v>
      </c>
      <c r="AR295">
        <v>768</v>
      </c>
      <c r="AZ295">
        <v>1200</v>
      </c>
      <c r="BA295">
        <v>1</v>
      </c>
      <c r="BB295" t="str">
        <f t="shared" si="136"/>
        <v xml:space="preserve">N711JA  </v>
      </c>
      <c r="BC295">
        <v>1</v>
      </c>
      <c r="BE295">
        <v>0</v>
      </c>
      <c r="BF295">
        <v>0</v>
      </c>
      <c r="BG295">
        <v>0</v>
      </c>
      <c r="BH295">
        <v>475</v>
      </c>
      <c r="BI295">
        <v>1</v>
      </c>
      <c r="BJ295">
        <v>1</v>
      </c>
      <c r="BK295">
        <v>0</v>
      </c>
      <c r="BL295">
        <v>0</v>
      </c>
      <c r="BO295">
        <v>0</v>
      </c>
      <c r="BP295">
        <v>0</v>
      </c>
      <c r="BW295" t="str">
        <f t="shared" si="144"/>
        <v>14:41:26.936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343</v>
      </c>
      <c r="CR295">
        <v>1</v>
      </c>
      <c r="CW295">
        <v>10534254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si="141"/>
        <v>05/12/2020 14:41:09.110</v>
      </c>
      <c r="C296" t="str">
        <f t="shared" si="135"/>
        <v>FFDFD3C0</v>
      </c>
      <c r="D296" t="s">
        <v>126</v>
      </c>
      <c r="E296">
        <v>7</v>
      </c>
      <c r="F296">
        <v>1007</v>
      </c>
      <c r="G296" t="s">
        <v>127</v>
      </c>
      <c r="J296" t="s">
        <v>128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42"/>
        <v>14:41:26.930</v>
      </c>
      <c r="T296" t="str">
        <f t="shared" si="143"/>
        <v>14:41:26.730</v>
      </c>
      <c r="U296" t="str">
        <f t="shared" si="125"/>
        <v>A9808D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198</v>
      </c>
      <c r="AJ296">
        <v>28.240271</v>
      </c>
      <c r="AK296" t="s">
        <v>171</v>
      </c>
      <c r="AL296">
        <v>-82.383191999999994</v>
      </c>
      <c r="AM296">
        <v>100</v>
      </c>
      <c r="AN296">
        <v>400</v>
      </c>
      <c r="AO296" t="s">
        <v>118</v>
      </c>
      <c r="AP296">
        <v>11</v>
      </c>
      <c r="AQ296">
        <v>86</v>
      </c>
      <c r="AR296">
        <v>768</v>
      </c>
      <c r="AZ296">
        <v>1200</v>
      </c>
      <c r="BA296">
        <v>1</v>
      </c>
      <c r="BB296" t="str">
        <f t="shared" si="136"/>
        <v xml:space="preserve">N711JA  </v>
      </c>
      <c r="BC296">
        <v>1</v>
      </c>
      <c r="BE296">
        <v>0</v>
      </c>
      <c r="BF296">
        <v>0</v>
      </c>
      <c r="BG296">
        <v>0</v>
      </c>
      <c r="BH296">
        <v>475</v>
      </c>
      <c r="BI296">
        <v>1</v>
      </c>
      <c r="BJ296">
        <v>1</v>
      </c>
      <c r="BK296">
        <v>0</v>
      </c>
      <c r="BL296">
        <v>0</v>
      </c>
      <c r="BO296">
        <v>0</v>
      </c>
      <c r="BP296">
        <v>0</v>
      </c>
      <c r="BW296" t="str">
        <f t="shared" si="144"/>
        <v>14:41:26.936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343</v>
      </c>
      <c r="CR296">
        <v>1</v>
      </c>
      <c r="CW296">
        <v>10534254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141"/>
        <v>05/12/2020 14:41:09.110</v>
      </c>
      <c r="C297" t="str">
        <f t="shared" si="135"/>
        <v>FFDFD3C0</v>
      </c>
      <c r="D297" t="s">
        <v>131</v>
      </c>
      <c r="E297">
        <v>18</v>
      </c>
      <c r="F297">
        <v>2018</v>
      </c>
      <c r="G297" t="s">
        <v>161</v>
      </c>
      <c r="J297" t="s">
        <v>133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42"/>
        <v>14:41:26.930</v>
      </c>
      <c r="T297" t="str">
        <f t="shared" si="143"/>
        <v>14:41:26.730</v>
      </c>
      <c r="U297" t="str">
        <f t="shared" si="125"/>
        <v>A9808D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198</v>
      </c>
      <c r="AJ297">
        <v>28.240271</v>
      </c>
      <c r="AK297" t="s">
        <v>171</v>
      </c>
      <c r="AL297">
        <v>-82.383191999999994</v>
      </c>
      <c r="AM297">
        <v>100</v>
      </c>
      <c r="AN297">
        <v>400</v>
      </c>
      <c r="AO297" t="s">
        <v>118</v>
      </c>
      <c r="AP297">
        <v>11</v>
      </c>
      <c r="AQ297">
        <v>86</v>
      </c>
      <c r="AR297">
        <v>768</v>
      </c>
      <c r="AZ297">
        <v>1200</v>
      </c>
      <c r="BA297">
        <v>1</v>
      </c>
      <c r="BB297" t="str">
        <f t="shared" si="136"/>
        <v xml:space="preserve">N711JA  </v>
      </c>
      <c r="BC297">
        <v>1</v>
      </c>
      <c r="BE297">
        <v>0</v>
      </c>
      <c r="BF297">
        <v>0</v>
      </c>
      <c r="BG297">
        <v>0</v>
      </c>
      <c r="BH297">
        <v>475</v>
      </c>
      <c r="BI297">
        <v>1</v>
      </c>
      <c r="BJ297">
        <v>1</v>
      </c>
      <c r="BK297">
        <v>0</v>
      </c>
      <c r="BL297">
        <v>0</v>
      </c>
      <c r="BO297">
        <v>0</v>
      </c>
      <c r="BP297">
        <v>0</v>
      </c>
      <c r="BW297" t="str">
        <f t="shared" si="144"/>
        <v>14:41:26.936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343</v>
      </c>
      <c r="CR297">
        <v>1</v>
      </c>
      <c r="CW297">
        <v>10534254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141"/>
        <v>05/12/2020 14:41:09.110</v>
      </c>
      <c r="C298" t="str">
        <f t="shared" si="135"/>
        <v>FFDFD3C0</v>
      </c>
      <c r="D298" t="s">
        <v>138</v>
      </c>
      <c r="E298">
        <v>2</v>
      </c>
      <c r="H298">
        <v>8</v>
      </c>
      <c r="I298" t="s">
        <v>139</v>
      </c>
      <c r="J298" t="s">
        <v>136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42"/>
        <v>14:41:26.930</v>
      </c>
      <c r="T298" t="str">
        <f t="shared" si="143"/>
        <v>14:41:26.730</v>
      </c>
      <c r="U298" t="str">
        <f t="shared" si="125"/>
        <v>A9808D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198</v>
      </c>
      <c r="AJ298">
        <v>28.240271</v>
      </c>
      <c r="AK298" t="s">
        <v>171</v>
      </c>
      <c r="AL298">
        <v>-82.383191999999994</v>
      </c>
      <c r="AM298">
        <v>100</v>
      </c>
      <c r="AN298">
        <v>400</v>
      </c>
      <c r="AO298" t="s">
        <v>118</v>
      </c>
      <c r="AP298">
        <v>11</v>
      </c>
      <c r="AQ298">
        <v>86</v>
      </c>
      <c r="AR298">
        <v>768</v>
      </c>
      <c r="AZ298">
        <v>1200</v>
      </c>
      <c r="BA298">
        <v>1</v>
      </c>
      <c r="BB298" t="str">
        <f t="shared" si="136"/>
        <v xml:space="preserve">N711JA  </v>
      </c>
      <c r="BC298">
        <v>1</v>
      </c>
      <c r="BE298">
        <v>0</v>
      </c>
      <c r="BF298">
        <v>0</v>
      </c>
      <c r="BG298">
        <v>0</v>
      </c>
      <c r="BH298">
        <v>475</v>
      </c>
      <c r="BI298">
        <v>1</v>
      </c>
      <c r="BJ298">
        <v>1</v>
      </c>
      <c r="BK298">
        <v>0</v>
      </c>
      <c r="BL298">
        <v>0</v>
      </c>
      <c r="BO298">
        <v>0</v>
      </c>
      <c r="BP298">
        <v>0</v>
      </c>
      <c r="BW298" t="str">
        <f t="shared" si="144"/>
        <v>14:41:26.936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343</v>
      </c>
      <c r="CR298">
        <v>1</v>
      </c>
      <c r="CW298">
        <v>10534254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si="141"/>
        <v>05/12/2020 14:41:09.110</v>
      </c>
      <c r="C299" t="str">
        <f t="shared" si="135"/>
        <v>FFDFD3C0</v>
      </c>
      <c r="D299" t="s">
        <v>138</v>
      </c>
      <c r="E299">
        <v>3</v>
      </c>
      <c r="H299">
        <v>9</v>
      </c>
      <c r="I299" t="s">
        <v>140</v>
      </c>
      <c r="J299" t="s">
        <v>136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42"/>
        <v>14:41:26.930</v>
      </c>
      <c r="T299" t="str">
        <f t="shared" si="143"/>
        <v>14:41:26.730</v>
      </c>
      <c r="U299" t="str">
        <f t="shared" si="125"/>
        <v>A9808D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198</v>
      </c>
      <c r="AJ299">
        <v>28.240271</v>
      </c>
      <c r="AK299" t="s">
        <v>171</v>
      </c>
      <c r="AL299">
        <v>-82.383191999999994</v>
      </c>
      <c r="AM299">
        <v>100</v>
      </c>
      <c r="AN299">
        <v>400</v>
      </c>
      <c r="AO299" t="s">
        <v>118</v>
      </c>
      <c r="AP299">
        <v>11</v>
      </c>
      <c r="AQ299">
        <v>86</v>
      </c>
      <c r="AR299">
        <v>768</v>
      </c>
      <c r="AZ299">
        <v>1200</v>
      </c>
      <c r="BA299">
        <v>1</v>
      </c>
      <c r="BB299" t="str">
        <f t="shared" si="136"/>
        <v xml:space="preserve">N711JA  </v>
      </c>
      <c r="BC299">
        <v>1</v>
      </c>
      <c r="BE299">
        <v>0</v>
      </c>
      <c r="BF299">
        <v>0</v>
      </c>
      <c r="BG299">
        <v>0</v>
      </c>
      <c r="BH299">
        <v>475</v>
      </c>
      <c r="BI299">
        <v>1</v>
      </c>
      <c r="BJ299">
        <v>1</v>
      </c>
      <c r="BK299">
        <v>0</v>
      </c>
      <c r="BL299">
        <v>0</v>
      </c>
      <c r="BO299">
        <v>0</v>
      </c>
      <c r="BP299">
        <v>0</v>
      </c>
      <c r="BW299" t="str">
        <f t="shared" si="144"/>
        <v>14:41:26.936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343</v>
      </c>
      <c r="CR299">
        <v>1</v>
      </c>
      <c r="CW299">
        <v>10534254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141"/>
        <v>05/12/2020 14:41:09.110</v>
      </c>
      <c r="C300" t="str">
        <f t="shared" si="135"/>
        <v>FFDFD3C0</v>
      </c>
      <c r="D300" t="s">
        <v>131</v>
      </c>
      <c r="E300">
        <v>12</v>
      </c>
      <c r="F300">
        <v>2012</v>
      </c>
      <c r="G300" t="s">
        <v>137</v>
      </c>
      <c r="J300" t="s">
        <v>133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42"/>
        <v>14:41:26.930</v>
      </c>
      <c r="T300" t="str">
        <f t="shared" si="143"/>
        <v>14:41:26.730</v>
      </c>
      <c r="U300" t="str">
        <f t="shared" si="125"/>
        <v>A9808D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198</v>
      </c>
      <c r="AJ300">
        <v>28.240271</v>
      </c>
      <c r="AK300" t="s">
        <v>171</v>
      </c>
      <c r="AL300">
        <v>-82.383191999999994</v>
      </c>
      <c r="AM300">
        <v>100</v>
      </c>
      <c r="AN300">
        <v>400</v>
      </c>
      <c r="AO300" t="s">
        <v>118</v>
      </c>
      <c r="AP300">
        <v>11</v>
      </c>
      <c r="AQ300">
        <v>86</v>
      </c>
      <c r="AR300">
        <v>768</v>
      </c>
      <c r="AZ300">
        <v>1200</v>
      </c>
      <c r="BA300">
        <v>1</v>
      </c>
      <c r="BB300" t="str">
        <f t="shared" si="136"/>
        <v xml:space="preserve">N711JA  </v>
      </c>
      <c r="BC300">
        <v>1</v>
      </c>
      <c r="BE300">
        <v>0</v>
      </c>
      <c r="BF300">
        <v>0</v>
      </c>
      <c r="BG300">
        <v>0</v>
      </c>
      <c r="BH300">
        <v>475</v>
      </c>
      <c r="BI300">
        <v>1</v>
      </c>
      <c r="BJ300">
        <v>1</v>
      </c>
      <c r="BK300">
        <v>0</v>
      </c>
      <c r="BL300">
        <v>0</v>
      </c>
      <c r="BO300">
        <v>0</v>
      </c>
      <c r="BP300">
        <v>0</v>
      </c>
      <c r="BW300" t="str">
        <f t="shared" si="144"/>
        <v>14:41:26.936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343</v>
      </c>
      <c r="CR300">
        <v>1</v>
      </c>
      <c r="CW300">
        <v>10534254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ref="A301:A309" si="145">"05/12/2020 14:41:10.195"</f>
        <v>05/12/2020 14:41:10.195</v>
      </c>
      <c r="C301" t="str">
        <f t="shared" si="135"/>
        <v>FFDFD3C0</v>
      </c>
      <c r="D301" t="s">
        <v>138</v>
      </c>
      <c r="E301">
        <v>2</v>
      </c>
      <c r="H301">
        <v>8</v>
      </c>
      <c r="I301" t="s">
        <v>139</v>
      </c>
      <c r="J301" t="s">
        <v>136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ref="S301:S309" si="146">"14:41:28.000"</f>
        <v>14:41:28.000</v>
      </c>
      <c r="T301" t="str">
        <f t="shared" ref="T301:T309" si="147">"14:41:27.700"</f>
        <v>14:41:27.700</v>
      </c>
      <c r="U301" t="str">
        <f t="shared" si="125"/>
        <v>A9808D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199</v>
      </c>
      <c r="AJ301">
        <v>28.240677999999999</v>
      </c>
      <c r="AK301" t="s">
        <v>200</v>
      </c>
      <c r="AL301">
        <v>-82.383127000000002</v>
      </c>
      <c r="AM301">
        <v>100</v>
      </c>
      <c r="AN301">
        <v>400</v>
      </c>
      <c r="AO301" t="s">
        <v>118</v>
      </c>
      <c r="AP301">
        <v>10</v>
      </c>
      <c r="AQ301">
        <v>86</v>
      </c>
      <c r="AR301">
        <v>896</v>
      </c>
      <c r="AZ301">
        <v>1200</v>
      </c>
      <c r="BA301">
        <v>1</v>
      </c>
      <c r="BB301" t="str">
        <f t="shared" si="136"/>
        <v xml:space="preserve">N711JA  </v>
      </c>
      <c r="BC301">
        <v>1</v>
      </c>
      <c r="BE301">
        <v>0</v>
      </c>
      <c r="BF301">
        <v>0</v>
      </c>
      <c r="BG301">
        <v>0</v>
      </c>
      <c r="BH301">
        <v>500</v>
      </c>
      <c r="BI301">
        <v>1</v>
      </c>
      <c r="BJ301">
        <v>1</v>
      </c>
      <c r="BK301">
        <v>0</v>
      </c>
      <c r="BL301">
        <v>0</v>
      </c>
      <c r="BO301">
        <v>0</v>
      </c>
      <c r="BP301">
        <v>0</v>
      </c>
      <c r="BW301" t="str">
        <f t="shared" ref="BW301:BW309" si="148">"14:41:28.005"</f>
        <v>14:41:28.005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343</v>
      </c>
      <c r="CR301">
        <v>2</v>
      </c>
      <c r="CW301">
        <v>12955058</v>
      </c>
      <c r="CY301">
        <v>1</v>
      </c>
      <c r="CZ301">
        <v>0</v>
      </c>
      <c r="DA301">
        <v>0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si="145"/>
        <v>05/12/2020 14:41:10.195</v>
      </c>
      <c r="C302" t="str">
        <f t="shared" si="135"/>
        <v>FFDFD3C0</v>
      </c>
      <c r="D302" t="s">
        <v>138</v>
      </c>
      <c r="E302">
        <v>3</v>
      </c>
      <c r="H302">
        <v>9</v>
      </c>
      <c r="I302" t="s">
        <v>140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46"/>
        <v>14:41:28.000</v>
      </c>
      <c r="T302" t="str">
        <f t="shared" si="147"/>
        <v>14:41:27.700</v>
      </c>
      <c r="U302" t="str">
        <f t="shared" si="125"/>
        <v>A9808D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199</v>
      </c>
      <c r="AJ302">
        <v>28.240677999999999</v>
      </c>
      <c r="AK302" t="s">
        <v>200</v>
      </c>
      <c r="AL302">
        <v>-82.383127000000002</v>
      </c>
      <c r="AM302">
        <v>100</v>
      </c>
      <c r="AN302">
        <v>400</v>
      </c>
      <c r="AO302" t="s">
        <v>118</v>
      </c>
      <c r="AP302">
        <v>10</v>
      </c>
      <c r="AQ302">
        <v>86</v>
      </c>
      <c r="AR302">
        <v>896</v>
      </c>
      <c r="AZ302">
        <v>1200</v>
      </c>
      <c r="BA302">
        <v>1</v>
      </c>
      <c r="BB302" t="str">
        <f t="shared" si="136"/>
        <v xml:space="preserve">N711JA  </v>
      </c>
      <c r="BC302">
        <v>1</v>
      </c>
      <c r="BE302">
        <v>0</v>
      </c>
      <c r="BF302">
        <v>0</v>
      </c>
      <c r="BG302">
        <v>0</v>
      </c>
      <c r="BH302">
        <v>500</v>
      </c>
      <c r="BI302">
        <v>1</v>
      </c>
      <c r="BJ302">
        <v>1</v>
      </c>
      <c r="BK302">
        <v>0</v>
      </c>
      <c r="BL302">
        <v>0</v>
      </c>
      <c r="BO302">
        <v>0</v>
      </c>
      <c r="BP302">
        <v>0</v>
      </c>
      <c r="BW302" t="str">
        <f t="shared" si="148"/>
        <v>14:41:28.005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343</v>
      </c>
      <c r="CR302">
        <v>2</v>
      </c>
      <c r="CW302">
        <v>12955058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145"/>
        <v>05/12/2020 14:41:10.195</v>
      </c>
      <c r="C303" t="str">
        <f t="shared" si="135"/>
        <v>FFDFD3C0</v>
      </c>
      <c r="D303" t="s">
        <v>134</v>
      </c>
      <c r="E303">
        <v>12</v>
      </c>
      <c r="H303">
        <v>64</v>
      </c>
      <c r="I303" t="s">
        <v>135</v>
      </c>
      <c r="J303" t="s">
        <v>136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46"/>
        <v>14:41:28.000</v>
      </c>
      <c r="T303" t="str">
        <f t="shared" si="147"/>
        <v>14:41:27.700</v>
      </c>
      <c r="U303" t="str">
        <f t="shared" si="125"/>
        <v>A9808D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199</v>
      </c>
      <c r="AJ303">
        <v>28.240677999999999</v>
      </c>
      <c r="AK303" t="s">
        <v>200</v>
      </c>
      <c r="AL303">
        <v>-82.383127000000002</v>
      </c>
      <c r="AM303">
        <v>100</v>
      </c>
      <c r="AN303">
        <v>400</v>
      </c>
      <c r="AO303" t="s">
        <v>118</v>
      </c>
      <c r="AP303">
        <v>10</v>
      </c>
      <c r="AQ303">
        <v>86</v>
      </c>
      <c r="AR303">
        <v>896</v>
      </c>
      <c r="AZ303">
        <v>1200</v>
      </c>
      <c r="BA303">
        <v>1</v>
      </c>
      <c r="BB303" t="str">
        <f t="shared" si="136"/>
        <v xml:space="preserve">N711JA  </v>
      </c>
      <c r="BC303">
        <v>1</v>
      </c>
      <c r="BE303">
        <v>0</v>
      </c>
      <c r="BF303">
        <v>0</v>
      </c>
      <c r="BG303">
        <v>0</v>
      </c>
      <c r="BH303">
        <v>500</v>
      </c>
      <c r="BI303">
        <v>1</v>
      </c>
      <c r="BJ303">
        <v>1</v>
      </c>
      <c r="BK303">
        <v>0</v>
      </c>
      <c r="BL303">
        <v>0</v>
      </c>
      <c r="BO303">
        <v>0</v>
      </c>
      <c r="BP303">
        <v>0</v>
      </c>
      <c r="BW303" t="str">
        <f t="shared" si="148"/>
        <v>14:41:28.005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343</v>
      </c>
      <c r="CR303">
        <v>2</v>
      </c>
      <c r="CW303">
        <v>12955058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145"/>
        <v>05/12/2020 14:41:10.195</v>
      </c>
      <c r="C304" t="str">
        <f t="shared" si="135"/>
        <v>FFDFD3C0</v>
      </c>
      <c r="D304" t="s">
        <v>126</v>
      </c>
      <c r="E304">
        <v>6</v>
      </c>
      <c r="F304">
        <v>1006</v>
      </c>
      <c r="G304" t="s">
        <v>114</v>
      </c>
      <c r="J304" t="s">
        <v>128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46"/>
        <v>14:41:28.000</v>
      </c>
      <c r="T304" t="str">
        <f t="shared" si="147"/>
        <v>14:41:27.700</v>
      </c>
      <c r="U304" t="str">
        <f t="shared" si="125"/>
        <v>A9808D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199</v>
      </c>
      <c r="AJ304">
        <v>28.240677999999999</v>
      </c>
      <c r="AK304" t="s">
        <v>200</v>
      </c>
      <c r="AL304">
        <v>-82.383127000000002</v>
      </c>
      <c r="AM304">
        <v>100</v>
      </c>
      <c r="AN304">
        <v>400</v>
      </c>
      <c r="AO304" t="s">
        <v>118</v>
      </c>
      <c r="AP304">
        <v>10</v>
      </c>
      <c r="AQ304">
        <v>86</v>
      </c>
      <c r="AR304">
        <v>896</v>
      </c>
      <c r="AZ304">
        <v>1200</v>
      </c>
      <c r="BA304">
        <v>1</v>
      </c>
      <c r="BB304" t="str">
        <f t="shared" si="136"/>
        <v xml:space="preserve">N711JA  </v>
      </c>
      <c r="BC304">
        <v>1</v>
      </c>
      <c r="BE304">
        <v>0</v>
      </c>
      <c r="BF304">
        <v>0</v>
      </c>
      <c r="BG304">
        <v>0</v>
      </c>
      <c r="BH304">
        <v>500</v>
      </c>
      <c r="BI304">
        <v>1</v>
      </c>
      <c r="BJ304">
        <v>1</v>
      </c>
      <c r="BK304">
        <v>0</v>
      </c>
      <c r="BL304">
        <v>0</v>
      </c>
      <c r="BO304">
        <v>0</v>
      </c>
      <c r="BP304">
        <v>0</v>
      </c>
      <c r="BW304" t="str">
        <f t="shared" si="148"/>
        <v>14:41:28.005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343</v>
      </c>
      <c r="CR304">
        <v>2</v>
      </c>
      <c r="CW304">
        <v>12955058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145"/>
        <v>05/12/2020 14:41:10.195</v>
      </c>
      <c r="C305" t="str">
        <f t="shared" si="135"/>
        <v>FFDFD3C0</v>
      </c>
      <c r="D305" t="s">
        <v>113</v>
      </c>
      <c r="E305">
        <v>3</v>
      </c>
      <c r="H305">
        <v>164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46"/>
        <v>14:41:28.000</v>
      </c>
      <c r="T305" t="str">
        <f t="shared" si="147"/>
        <v>14:41:27.700</v>
      </c>
      <c r="U305" t="str">
        <f t="shared" si="125"/>
        <v>A9808D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199</v>
      </c>
      <c r="AJ305">
        <v>28.240677999999999</v>
      </c>
      <c r="AK305" t="s">
        <v>200</v>
      </c>
      <c r="AL305">
        <v>-82.383127000000002</v>
      </c>
      <c r="AM305">
        <v>100</v>
      </c>
      <c r="AN305">
        <v>400</v>
      </c>
      <c r="AO305" t="s">
        <v>118</v>
      </c>
      <c r="AP305">
        <v>10</v>
      </c>
      <c r="AQ305">
        <v>86</v>
      </c>
      <c r="AR305">
        <v>896</v>
      </c>
      <c r="AZ305">
        <v>1200</v>
      </c>
      <c r="BA305">
        <v>1</v>
      </c>
      <c r="BB305" t="str">
        <f t="shared" si="136"/>
        <v xml:space="preserve">N711JA  </v>
      </c>
      <c r="BC305">
        <v>1</v>
      </c>
      <c r="BE305">
        <v>0</v>
      </c>
      <c r="BF305">
        <v>0</v>
      </c>
      <c r="BG305">
        <v>0</v>
      </c>
      <c r="BH305">
        <v>500</v>
      </c>
      <c r="BI305">
        <v>1</v>
      </c>
      <c r="BJ305">
        <v>1</v>
      </c>
      <c r="BK305">
        <v>0</v>
      </c>
      <c r="BL305">
        <v>0</v>
      </c>
      <c r="BO305">
        <v>0</v>
      </c>
      <c r="BP305">
        <v>0</v>
      </c>
      <c r="BW305" t="str">
        <f t="shared" si="148"/>
        <v>14:41:28.005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343</v>
      </c>
      <c r="CR305">
        <v>2</v>
      </c>
      <c r="CW305">
        <v>12955058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 t="shared" si="145"/>
        <v>05/12/2020 14:41:10.195</v>
      </c>
      <c r="C306" t="str">
        <f t="shared" si="135"/>
        <v>FFDFD3C0</v>
      </c>
      <c r="D306" t="s">
        <v>131</v>
      </c>
      <c r="E306">
        <v>10</v>
      </c>
      <c r="F306">
        <v>2010</v>
      </c>
      <c r="G306" t="s">
        <v>132</v>
      </c>
      <c r="J306" t="s">
        <v>133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46"/>
        <v>14:41:28.000</v>
      </c>
      <c r="T306" t="str">
        <f t="shared" si="147"/>
        <v>14:41:27.700</v>
      </c>
      <c r="U306" t="str">
        <f t="shared" si="125"/>
        <v>A9808D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199</v>
      </c>
      <c r="AJ306">
        <v>28.240677999999999</v>
      </c>
      <c r="AK306" t="s">
        <v>200</v>
      </c>
      <c r="AL306">
        <v>-82.383127000000002</v>
      </c>
      <c r="AM306">
        <v>100</v>
      </c>
      <c r="AN306">
        <v>400</v>
      </c>
      <c r="AO306" t="s">
        <v>118</v>
      </c>
      <c r="AP306">
        <v>10</v>
      </c>
      <c r="AQ306">
        <v>86</v>
      </c>
      <c r="AR306">
        <v>896</v>
      </c>
      <c r="AZ306">
        <v>1200</v>
      </c>
      <c r="BA306">
        <v>1</v>
      </c>
      <c r="BB306" t="str">
        <f t="shared" si="136"/>
        <v xml:space="preserve">N711JA  </v>
      </c>
      <c r="BC306">
        <v>1</v>
      </c>
      <c r="BE306">
        <v>0</v>
      </c>
      <c r="BF306">
        <v>0</v>
      </c>
      <c r="BG306">
        <v>0</v>
      </c>
      <c r="BH306">
        <v>500</v>
      </c>
      <c r="BI306">
        <v>1</v>
      </c>
      <c r="BJ306">
        <v>1</v>
      </c>
      <c r="BK306">
        <v>0</v>
      </c>
      <c r="BL306">
        <v>0</v>
      </c>
      <c r="BO306">
        <v>0</v>
      </c>
      <c r="BP306">
        <v>0</v>
      </c>
      <c r="BW306" t="str">
        <f t="shared" si="148"/>
        <v>14:41:28.005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343</v>
      </c>
      <c r="CR306">
        <v>2</v>
      </c>
      <c r="CW306">
        <v>12955058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 t="shared" si="145"/>
        <v>05/12/2020 14:41:10.195</v>
      </c>
      <c r="C307" t="str">
        <f t="shared" si="135"/>
        <v>FFDFD3C0</v>
      </c>
      <c r="D307" t="s">
        <v>126</v>
      </c>
      <c r="E307">
        <v>7</v>
      </c>
      <c r="F307">
        <v>1007</v>
      </c>
      <c r="G307" t="s">
        <v>127</v>
      </c>
      <c r="J307" t="s">
        <v>128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46"/>
        <v>14:41:28.000</v>
      </c>
      <c r="T307" t="str">
        <f t="shared" si="147"/>
        <v>14:41:27.700</v>
      </c>
      <c r="U307" t="str">
        <f t="shared" si="125"/>
        <v>A9808D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199</v>
      </c>
      <c r="AJ307">
        <v>28.240677999999999</v>
      </c>
      <c r="AK307" t="s">
        <v>200</v>
      </c>
      <c r="AL307">
        <v>-82.383127000000002</v>
      </c>
      <c r="AM307">
        <v>100</v>
      </c>
      <c r="AN307">
        <v>400</v>
      </c>
      <c r="AO307" t="s">
        <v>118</v>
      </c>
      <c r="AP307">
        <v>10</v>
      </c>
      <c r="AQ307">
        <v>86</v>
      </c>
      <c r="AR307">
        <v>896</v>
      </c>
      <c r="AZ307">
        <v>1200</v>
      </c>
      <c r="BA307">
        <v>1</v>
      </c>
      <c r="BB307" t="str">
        <f t="shared" si="136"/>
        <v xml:space="preserve">N711JA  </v>
      </c>
      <c r="BC307">
        <v>1</v>
      </c>
      <c r="BE307">
        <v>0</v>
      </c>
      <c r="BF307">
        <v>0</v>
      </c>
      <c r="BG307">
        <v>0</v>
      </c>
      <c r="BH307">
        <v>500</v>
      </c>
      <c r="BI307">
        <v>1</v>
      </c>
      <c r="BJ307">
        <v>1</v>
      </c>
      <c r="BK307">
        <v>0</v>
      </c>
      <c r="BL307">
        <v>0</v>
      </c>
      <c r="BO307">
        <v>0</v>
      </c>
      <c r="BP307">
        <v>0</v>
      </c>
      <c r="BW307" t="str">
        <f t="shared" si="148"/>
        <v>14:41:28.005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343</v>
      </c>
      <c r="CR307">
        <v>2</v>
      </c>
      <c r="CW307">
        <v>12955058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si="145"/>
        <v>05/12/2020 14:41:10.195</v>
      </c>
      <c r="C308" t="str">
        <f t="shared" si="135"/>
        <v>FFDFD3C0</v>
      </c>
      <c r="D308" t="s">
        <v>131</v>
      </c>
      <c r="E308">
        <v>18</v>
      </c>
      <c r="F308">
        <v>2018</v>
      </c>
      <c r="G308" t="s">
        <v>161</v>
      </c>
      <c r="J308" t="s">
        <v>133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46"/>
        <v>14:41:28.000</v>
      </c>
      <c r="T308" t="str">
        <f t="shared" si="147"/>
        <v>14:41:27.700</v>
      </c>
      <c r="U308" t="str">
        <f t="shared" si="125"/>
        <v>A9808D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199</v>
      </c>
      <c r="AJ308">
        <v>28.240677999999999</v>
      </c>
      <c r="AK308" t="s">
        <v>200</v>
      </c>
      <c r="AL308">
        <v>-82.383127000000002</v>
      </c>
      <c r="AM308">
        <v>100</v>
      </c>
      <c r="AN308">
        <v>400</v>
      </c>
      <c r="AO308" t="s">
        <v>118</v>
      </c>
      <c r="AP308">
        <v>10</v>
      </c>
      <c r="AQ308">
        <v>86</v>
      </c>
      <c r="AR308">
        <v>896</v>
      </c>
      <c r="AZ308">
        <v>1200</v>
      </c>
      <c r="BA308">
        <v>1</v>
      </c>
      <c r="BB308" t="str">
        <f t="shared" si="136"/>
        <v xml:space="preserve">N711JA  </v>
      </c>
      <c r="BC308">
        <v>1</v>
      </c>
      <c r="BE308">
        <v>0</v>
      </c>
      <c r="BF308">
        <v>0</v>
      </c>
      <c r="BG308">
        <v>0</v>
      </c>
      <c r="BH308">
        <v>500</v>
      </c>
      <c r="BI308">
        <v>1</v>
      </c>
      <c r="BJ308">
        <v>1</v>
      </c>
      <c r="BK308">
        <v>0</v>
      </c>
      <c r="BL308">
        <v>0</v>
      </c>
      <c r="BO308">
        <v>0</v>
      </c>
      <c r="BP308">
        <v>0</v>
      </c>
      <c r="BW308" t="str">
        <f t="shared" si="148"/>
        <v>14:41:28.005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343</v>
      </c>
      <c r="CR308">
        <v>2</v>
      </c>
      <c r="CW308">
        <v>12955058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145"/>
        <v>05/12/2020 14:41:10.195</v>
      </c>
      <c r="C309" t="str">
        <f t="shared" si="135"/>
        <v>FFDFD3C0</v>
      </c>
      <c r="D309" t="s">
        <v>131</v>
      </c>
      <c r="E309">
        <v>12</v>
      </c>
      <c r="F309">
        <v>2012</v>
      </c>
      <c r="G309" t="s">
        <v>137</v>
      </c>
      <c r="J309" t="s">
        <v>133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46"/>
        <v>14:41:28.000</v>
      </c>
      <c r="T309" t="str">
        <f t="shared" si="147"/>
        <v>14:41:27.700</v>
      </c>
      <c r="U309" t="str">
        <f t="shared" si="125"/>
        <v>A9808D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199</v>
      </c>
      <c r="AJ309">
        <v>28.240677999999999</v>
      </c>
      <c r="AK309" t="s">
        <v>200</v>
      </c>
      <c r="AL309">
        <v>-82.383127000000002</v>
      </c>
      <c r="AM309">
        <v>100</v>
      </c>
      <c r="AN309">
        <v>400</v>
      </c>
      <c r="AO309" t="s">
        <v>118</v>
      </c>
      <c r="AP309">
        <v>10</v>
      </c>
      <c r="AQ309">
        <v>86</v>
      </c>
      <c r="AR309">
        <v>896</v>
      </c>
      <c r="AZ309">
        <v>1200</v>
      </c>
      <c r="BA309">
        <v>1</v>
      </c>
      <c r="BB309" t="str">
        <f t="shared" si="136"/>
        <v xml:space="preserve">N711JA  </v>
      </c>
      <c r="BC309">
        <v>1</v>
      </c>
      <c r="BE309">
        <v>0</v>
      </c>
      <c r="BF309">
        <v>0</v>
      </c>
      <c r="BG309">
        <v>0</v>
      </c>
      <c r="BH309">
        <v>500</v>
      </c>
      <c r="BI309">
        <v>1</v>
      </c>
      <c r="BJ309">
        <v>1</v>
      </c>
      <c r="BK309">
        <v>0</v>
      </c>
      <c r="BL309">
        <v>0</v>
      </c>
      <c r="BO309">
        <v>0</v>
      </c>
      <c r="BP309">
        <v>0</v>
      </c>
      <c r="BW309" t="str">
        <f t="shared" si="148"/>
        <v>14:41:28.005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343</v>
      </c>
      <c r="CR309">
        <v>2</v>
      </c>
      <c r="CW309">
        <v>12955058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ref="A310:A318" si="149">"05/12/2020 14:41:11.299"</f>
        <v>05/12/2020 14:41:11.299</v>
      </c>
      <c r="C310" t="str">
        <f t="shared" si="135"/>
        <v>FFDFD3C0</v>
      </c>
      <c r="D310" t="s">
        <v>113</v>
      </c>
      <c r="E310">
        <v>3</v>
      </c>
      <c r="H310">
        <v>164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ref="S310:S318" si="150">"14:41:29.125"</f>
        <v>14:41:29.125</v>
      </c>
      <c r="T310" t="str">
        <f t="shared" ref="T310:T318" si="151">"14:41:28.725"</f>
        <v>14:41:28.725</v>
      </c>
      <c r="U310" t="str">
        <f t="shared" si="125"/>
        <v>A9808D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201</v>
      </c>
      <c r="AJ310">
        <v>28.241129000000001</v>
      </c>
      <c r="AK310" t="s">
        <v>169</v>
      </c>
      <c r="AL310">
        <v>-82.383083999999997</v>
      </c>
      <c r="AM310">
        <v>100</v>
      </c>
      <c r="AN310">
        <v>400</v>
      </c>
      <c r="AO310" t="s">
        <v>118</v>
      </c>
      <c r="AP310">
        <v>9</v>
      </c>
      <c r="AQ310">
        <v>86</v>
      </c>
      <c r="AR310">
        <v>896</v>
      </c>
      <c r="AZ310">
        <v>1200</v>
      </c>
      <c r="BA310">
        <v>1</v>
      </c>
      <c r="BB310" t="str">
        <f t="shared" si="136"/>
        <v xml:space="preserve">N711JA  </v>
      </c>
      <c r="BC310">
        <v>1</v>
      </c>
      <c r="BE310">
        <v>0</v>
      </c>
      <c r="BF310">
        <v>0</v>
      </c>
      <c r="BG310">
        <v>0</v>
      </c>
      <c r="BH310">
        <v>525</v>
      </c>
      <c r="BI310">
        <v>1</v>
      </c>
      <c r="BJ310">
        <v>1</v>
      </c>
      <c r="BK310">
        <v>0</v>
      </c>
      <c r="BL310">
        <v>0</v>
      </c>
      <c r="BO310">
        <v>0</v>
      </c>
      <c r="BP310">
        <v>0</v>
      </c>
      <c r="BW310" t="str">
        <f t="shared" ref="BW310:BW318" si="152">"14:41:29.125"</f>
        <v>14:41:29.125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343</v>
      </c>
      <c r="CR310">
        <v>1</v>
      </c>
      <c r="CW310">
        <v>10536605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149"/>
        <v>05/12/2020 14:41:11.299</v>
      </c>
      <c r="C311" t="str">
        <f t="shared" si="135"/>
        <v>FFDFD3C0</v>
      </c>
      <c r="D311" t="s">
        <v>138</v>
      </c>
      <c r="E311">
        <v>2</v>
      </c>
      <c r="H311">
        <v>8</v>
      </c>
      <c r="I311" t="s">
        <v>139</v>
      </c>
      <c r="J311" t="s">
        <v>136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50"/>
        <v>14:41:29.125</v>
      </c>
      <c r="T311" t="str">
        <f t="shared" si="151"/>
        <v>14:41:28.725</v>
      </c>
      <c r="U311" t="str">
        <f t="shared" si="125"/>
        <v>A9808D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201</v>
      </c>
      <c r="AJ311">
        <v>28.241129000000001</v>
      </c>
      <c r="AK311" t="s">
        <v>169</v>
      </c>
      <c r="AL311">
        <v>-82.383083999999997</v>
      </c>
      <c r="AM311">
        <v>100</v>
      </c>
      <c r="AN311">
        <v>400</v>
      </c>
      <c r="AO311" t="s">
        <v>118</v>
      </c>
      <c r="AP311">
        <v>9</v>
      </c>
      <c r="AQ311">
        <v>86</v>
      </c>
      <c r="AR311">
        <v>896</v>
      </c>
      <c r="AZ311">
        <v>1200</v>
      </c>
      <c r="BA311">
        <v>1</v>
      </c>
      <c r="BB311" t="str">
        <f t="shared" si="136"/>
        <v xml:space="preserve">N711JA  </v>
      </c>
      <c r="BC311">
        <v>1</v>
      </c>
      <c r="BE311">
        <v>0</v>
      </c>
      <c r="BF311">
        <v>0</v>
      </c>
      <c r="BG311">
        <v>0</v>
      </c>
      <c r="BH311">
        <v>525</v>
      </c>
      <c r="BI311">
        <v>1</v>
      </c>
      <c r="BJ311">
        <v>1</v>
      </c>
      <c r="BK311">
        <v>0</v>
      </c>
      <c r="BL311">
        <v>0</v>
      </c>
      <c r="BO311">
        <v>0</v>
      </c>
      <c r="BP311">
        <v>0</v>
      </c>
      <c r="BW311" t="str">
        <f t="shared" si="152"/>
        <v>14:41:29.125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343</v>
      </c>
      <c r="CR311">
        <v>1</v>
      </c>
      <c r="CW311">
        <v>10536605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149"/>
        <v>05/12/2020 14:41:11.299</v>
      </c>
      <c r="C312" t="str">
        <f t="shared" si="135"/>
        <v>FFDFD3C0</v>
      </c>
      <c r="D312" t="s">
        <v>138</v>
      </c>
      <c r="E312">
        <v>3</v>
      </c>
      <c r="H312">
        <v>9</v>
      </c>
      <c r="I312" t="s">
        <v>140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50"/>
        <v>14:41:29.125</v>
      </c>
      <c r="T312" t="str">
        <f t="shared" si="151"/>
        <v>14:41:28.725</v>
      </c>
      <c r="U312" t="str">
        <f t="shared" si="125"/>
        <v>A9808D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201</v>
      </c>
      <c r="AJ312">
        <v>28.241129000000001</v>
      </c>
      <c r="AK312" t="s">
        <v>169</v>
      </c>
      <c r="AL312">
        <v>-82.383083999999997</v>
      </c>
      <c r="AM312">
        <v>100</v>
      </c>
      <c r="AN312">
        <v>400</v>
      </c>
      <c r="AO312" t="s">
        <v>118</v>
      </c>
      <c r="AP312">
        <v>9</v>
      </c>
      <c r="AQ312">
        <v>86</v>
      </c>
      <c r="AR312">
        <v>896</v>
      </c>
      <c r="AZ312">
        <v>1200</v>
      </c>
      <c r="BA312">
        <v>1</v>
      </c>
      <c r="BB312" t="str">
        <f t="shared" si="136"/>
        <v xml:space="preserve">N711JA  </v>
      </c>
      <c r="BC312">
        <v>1</v>
      </c>
      <c r="BE312">
        <v>0</v>
      </c>
      <c r="BF312">
        <v>0</v>
      </c>
      <c r="BG312">
        <v>0</v>
      </c>
      <c r="BH312">
        <v>525</v>
      </c>
      <c r="BI312">
        <v>1</v>
      </c>
      <c r="BJ312">
        <v>1</v>
      </c>
      <c r="BK312">
        <v>0</v>
      </c>
      <c r="BL312">
        <v>0</v>
      </c>
      <c r="BO312">
        <v>0</v>
      </c>
      <c r="BP312">
        <v>0</v>
      </c>
      <c r="BW312" t="str">
        <f t="shared" si="152"/>
        <v>14:41:29.125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343</v>
      </c>
      <c r="CR312">
        <v>1</v>
      </c>
      <c r="CW312">
        <v>10536605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si="149"/>
        <v>05/12/2020 14:41:11.299</v>
      </c>
      <c r="C313" t="str">
        <f t="shared" si="135"/>
        <v>FFDFD3C0</v>
      </c>
      <c r="D313" t="s">
        <v>126</v>
      </c>
      <c r="E313">
        <v>6</v>
      </c>
      <c r="F313">
        <v>1006</v>
      </c>
      <c r="G313" t="s">
        <v>114</v>
      </c>
      <c r="J313" t="s">
        <v>128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50"/>
        <v>14:41:29.125</v>
      </c>
      <c r="T313" t="str">
        <f t="shared" si="151"/>
        <v>14:41:28.725</v>
      </c>
      <c r="U313" t="str">
        <f t="shared" si="125"/>
        <v>A9808D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201</v>
      </c>
      <c r="AJ313">
        <v>28.241129000000001</v>
      </c>
      <c r="AK313" t="s">
        <v>169</v>
      </c>
      <c r="AL313">
        <v>-82.383083999999997</v>
      </c>
      <c r="AM313">
        <v>100</v>
      </c>
      <c r="AN313">
        <v>400</v>
      </c>
      <c r="AO313" t="s">
        <v>118</v>
      </c>
      <c r="AP313">
        <v>9</v>
      </c>
      <c r="AQ313">
        <v>86</v>
      </c>
      <c r="AR313">
        <v>896</v>
      </c>
      <c r="AZ313">
        <v>1200</v>
      </c>
      <c r="BA313">
        <v>1</v>
      </c>
      <c r="BB313" t="str">
        <f t="shared" si="136"/>
        <v xml:space="preserve">N711JA  </v>
      </c>
      <c r="BC313">
        <v>1</v>
      </c>
      <c r="BE313">
        <v>0</v>
      </c>
      <c r="BF313">
        <v>0</v>
      </c>
      <c r="BG313">
        <v>0</v>
      </c>
      <c r="BH313">
        <v>525</v>
      </c>
      <c r="BI313">
        <v>1</v>
      </c>
      <c r="BJ313">
        <v>1</v>
      </c>
      <c r="BK313">
        <v>0</v>
      </c>
      <c r="BL313">
        <v>0</v>
      </c>
      <c r="BO313">
        <v>0</v>
      </c>
      <c r="BP313">
        <v>0</v>
      </c>
      <c r="BW313" t="str">
        <f t="shared" si="152"/>
        <v>14:41:29.125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343</v>
      </c>
      <c r="CR313">
        <v>1</v>
      </c>
      <c r="CW313">
        <v>10536605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 t="shared" si="149"/>
        <v>05/12/2020 14:41:11.299</v>
      </c>
      <c r="C314" t="str">
        <f t="shared" si="135"/>
        <v>FFDFD3C0</v>
      </c>
      <c r="D314" t="s">
        <v>134</v>
      </c>
      <c r="E314">
        <v>12</v>
      </c>
      <c r="H314">
        <v>64</v>
      </c>
      <c r="I314" t="s">
        <v>135</v>
      </c>
      <c r="J314" t="s">
        <v>136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50"/>
        <v>14:41:29.125</v>
      </c>
      <c r="T314" t="str">
        <f t="shared" si="151"/>
        <v>14:41:28.725</v>
      </c>
      <c r="U314" t="str">
        <f t="shared" si="125"/>
        <v>A9808D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201</v>
      </c>
      <c r="AJ314">
        <v>28.241129000000001</v>
      </c>
      <c r="AK314" t="s">
        <v>169</v>
      </c>
      <c r="AL314">
        <v>-82.383083999999997</v>
      </c>
      <c r="AM314">
        <v>100</v>
      </c>
      <c r="AN314">
        <v>400</v>
      </c>
      <c r="AO314" t="s">
        <v>118</v>
      </c>
      <c r="AP314">
        <v>9</v>
      </c>
      <c r="AQ314">
        <v>86</v>
      </c>
      <c r="AR314">
        <v>896</v>
      </c>
      <c r="AZ314">
        <v>1200</v>
      </c>
      <c r="BA314">
        <v>1</v>
      </c>
      <c r="BB314" t="str">
        <f t="shared" si="136"/>
        <v xml:space="preserve">N711JA  </v>
      </c>
      <c r="BC314">
        <v>1</v>
      </c>
      <c r="BE314">
        <v>0</v>
      </c>
      <c r="BF314">
        <v>0</v>
      </c>
      <c r="BG314">
        <v>0</v>
      </c>
      <c r="BH314">
        <v>525</v>
      </c>
      <c r="BI314">
        <v>1</v>
      </c>
      <c r="BJ314">
        <v>1</v>
      </c>
      <c r="BK314">
        <v>0</v>
      </c>
      <c r="BL314">
        <v>0</v>
      </c>
      <c r="BO314">
        <v>0</v>
      </c>
      <c r="BP314">
        <v>0</v>
      </c>
      <c r="BW314" t="str">
        <f t="shared" si="152"/>
        <v>14:41:29.125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343</v>
      </c>
      <c r="CR314">
        <v>1</v>
      </c>
      <c r="CW314">
        <v>10536605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 t="shared" si="149"/>
        <v>05/12/2020 14:41:11.299</v>
      </c>
      <c r="C315" t="str">
        <f t="shared" si="135"/>
        <v>FFDFD3C0</v>
      </c>
      <c r="D315" t="s">
        <v>131</v>
      </c>
      <c r="E315">
        <v>10</v>
      </c>
      <c r="F315">
        <v>2010</v>
      </c>
      <c r="G315" t="s">
        <v>132</v>
      </c>
      <c r="J315" t="s">
        <v>133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50"/>
        <v>14:41:29.125</v>
      </c>
      <c r="T315" t="str">
        <f t="shared" si="151"/>
        <v>14:41:28.725</v>
      </c>
      <c r="U315" t="str">
        <f t="shared" si="125"/>
        <v>A9808D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201</v>
      </c>
      <c r="AJ315">
        <v>28.241129000000001</v>
      </c>
      <c r="AK315" t="s">
        <v>169</v>
      </c>
      <c r="AL315">
        <v>-82.383083999999997</v>
      </c>
      <c r="AM315">
        <v>100</v>
      </c>
      <c r="AN315">
        <v>400</v>
      </c>
      <c r="AO315" t="s">
        <v>118</v>
      </c>
      <c r="AP315">
        <v>9</v>
      </c>
      <c r="AQ315">
        <v>86</v>
      </c>
      <c r="AR315">
        <v>896</v>
      </c>
      <c r="AZ315">
        <v>1200</v>
      </c>
      <c r="BA315">
        <v>1</v>
      </c>
      <c r="BB315" t="str">
        <f t="shared" si="136"/>
        <v xml:space="preserve">N711JA  </v>
      </c>
      <c r="BC315">
        <v>1</v>
      </c>
      <c r="BE315">
        <v>0</v>
      </c>
      <c r="BF315">
        <v>0</v>
      </c>
      <c r="BG315">
        <v>0</v>
      </c>
      <c r="BH315">
        <v>525</v>
      </c>
      <c r="BI315">
        <v>1</v>
      </c>
      <c r="BJ315">
        <v>1</v>
      </c>
      <c r="BK315">
        <v>0</v>
      </c>
      <c r="BL315">
        <v>0</v>
      </c>
      <c r="BO315">
        <v>0</v>
      </c>
      <c r="BP315">
        <v>0</v>
      </c>
      <c r="BW315" t="str">
        <f t="shared" si="152"/>
        <v>14:41:29.125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343</v>
      </c>
      <c r="CR315">
        <v>1</v>
      </c>
      <c r="CW315">
        <v>10536605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 t="shared" si="149"/>
        <v>05/12/2020 14:41:11.299</v>
      </c>
      <c r="C316" t="str">
        <f t="shared" si="135"/>
        <v>FFDFD3C0</v>
      </c>
      <c r="D316" t="s">
        <v>126</v>
      </c>
      <c r="E316">
        <v>7</v>
      </c>
      <c r="F316">
        <v>1007</v>
      </c>
      <c r="G316" t="s">
        <v>127</v>
      </c>
      <c r="J316" t="s">
        <v>128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50"/>
        <v>14:41:29.125</v>
      </c>
      <c r="T316" t="str">
        <f t="shared" si="151"/>
        <v>14:41:28.725</v>
      </c>
      <c r="U316" t="str">
        <f t="shared" si="125"/>
        <v>A9808D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201</v>
      </c>
      <c r="AJ316">
        <v>28.241129000000001</v>
      </c>
      <c r="AK316" t="s">
        <v>169</v>
      </c>
      <c r="AL316">
        <v>-82.383083999999997</v>
      </c>
      <c r="AM316">
        <v>100</v>
      </c>
      <c r="AN316">
        <v>400</v>
      </c>
      <c r="AO316" t="s">
        <v>118</v>
      </c>
      <c r="AP316">
        <v>9</v>
      </c>
      <c r="AQ316">
        <v>86</v>
      </c>
      <c r="AR316">
        <v>896</v>
      </c>
      <c r="AZ316">
        <v>1200</v>
      </c>
      <c r="BA316">
        <v>1</v>
      </c>
      <c r="BB316" t="str">
        <f t="shared" si="136"/>
        <v xml:space="preserve">N711JA  </v>
      </c>
      <c r="BC316">
        <v>1</v>
      </c>
      <c r="BE316">
        <v>0</v>
      </c>
      <c r="BF316">
        <v>0</v>
      </c>
      <c r="BG316">
        <v>0</v>
      </c>
      <c r="BH316">
        <v>525</v>
      </c>
      <c r="BI316">
        <v>1</v>
      </c>
      <c r="BJ316">
        <v>1</v>
      </c>
      <c r="BK316">
        <v>0</v>
      </c>
      <c r="BL316">
        <v>0</v>
      </c>
      <c r="BO316">
        <v>0</v>
      </c>
      <c r="BP316">
        <v>0</v>
      </c>
      <c r="BW316" t="str">
        <f t="shared" si="152"/>
        <v>14:41:29.125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343</v>
      </c>
      <c r="CR316">
        <v>1</v>
      </c>
      <c r="CW316">
        <v>10536605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 t="shared" si="149"/>
        <v>05/12/2020 14:41:11.299</v>
      </c>
      <c r="C317" t="str">
        <f t="shared" si="135"/>
        <v>FFDFD3C0</v>
      </c>
      <c r="D317" t="s">
        <v>131</v>
      </c>
      <c r="E317">
        <v>18</v>
      </c>
      <c r="F317">
        <v>2018</v>
      </c>
      <c r="G317" t="s">
        <v>161</v>
      </c>
      <c r="J317" t="s">
        <v>133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50"/>
        <v>14:41:29.125</v>
      </c>
      <c r="T317" t="str">
        <f t="shared" si="151"/>
        <v>14:41:28.725</v>
      </c>
      <c r="U317" t="str">
        <f t="shared" si="125"/>
        <v>A9808D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201</v>
      </c>
      <c r="AJ317">
        <v>28.241129000000001</v>
      </c>
      <c r="AK317" t="s">
        <v>169</v>
      </c>
      <c r="AL317">
        <v>-82.383083999999997</v>
      </c>
      <c r="AM317">
        <v>100</v>
      </c>
      <c r="AN317">
        <v>400</v>
      </c>
      <c r="AO317" t="s">
        <v>118</v>
      </c>
      <c r="AP317">
        <v>9</v>
      </c>
      <c r="AQ317">
        <v>86</v>
      </c>
      <c r="AR317">
        <v>896</v>
      </c>
      <c r="AZ317">
        <v>1200</v>
      </c>
      <c r="BA317">
        <v>1</v>
      </c>
      <c r="BB317" t="str">
        <f t="shared" si="136"/>
        <v xml:space="preserve">N711JA  </v>
      </c>
      <c r="BC317">
        <v>1</v>
      </c>
      <c r="BE317">
        <v>0</v>
      </c>
      <c r="BF317">
        <v>0</v>
      </c>
      <c r="BG317">
        <v>0</v>
      </c>
      <c r="BH317">
        <v>525</v>
      </c>
      <c r="BI317">
        <v>1</v>
      </c>
      <c r="BJ317">
        <v>1</v>
      </c>
      <c r="BK317">
        <v>0</v>
      </c>
      <c r="BL317">
        <v>0</v>
      </c>
      <c r="BO317">
        <v>0</v>
      </c>
      <c r="BP317">
        <v>0</v>
      </c>
      <c r="BW317" t="str">
        <f t="shared" si="152"/>
        <v>14:41:29.125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343</v>
      </c>
      <c r="CR317">
        <v>1</v>
      </c>
      <c r="CW317">
        <v>10536605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 t="shared" si="149"/>
        <v>05/12/2020 14:41:11.299</v>
      </c>
      <c r="C318" t="str">
        <f t="shared" si="135"/>
        <v>FFDFD3C0</v>
      </c>
      <c r="D318" t="s">
        <v>131</v>
      </c>
      <c r="E318">
        <v>12</v>
      </c>
      <c r="F318">
        <v>2012</v>
      </c>
      <c r="G318" t="s">
        <v>137</v>
      </c>
      <c r="J318" t="s">
        <v>133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50"/>
        <v>14:41:29.125</v>
      </c>
      <c r="T318" t="str">
        <f t="shared" si="151"/>
        <v>14:41:28.725</v>
      </c>
      <c r="U318" t="str">
        <f t="shared" si="125"/>
        <v>A9808D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201</v>
      </c>
      <c r="AJ318">
        <v>28.241129000000001</v>
      </c>
      <c r="AK318" t="s">
        <v>169</v>
      </c>
      <c r="AL318">
        <v>-82.383083999999997</v>
      </c>
      <c r="AM318">
        <v>100</v>
      </c>
      <c r="AN318">
        <v>400</v>
      </c>
      <c r="AO318" t="s">
        <v>118</v>
      </c>
      <c r="AP318">
        <v>9</v>
      </c>
      <c r="AQ318">
        <v>86</v>
      </c>
      <c r="AR318">
        <v>896</v>
      </c>
      <c r="AZ318">
        <v>1200</v>
      </c>
      <c r="BA318">
        <v>1</v>
      </c>
      <c r="BB318" t="str">
        <f t="shared" si="136"/>
        <v xml:space="preserve">N711JA  </v>
      </c>
      <c r="BC318">
        <v>1</v>
      </c>
      <c r="BE318">
        <v>0</v>
      </c>
      <c r="BF318">
        <v>0</v>
      </c>
      <c r="BG318">
        <v>0</v>
      </c>
      <c r="BH318">
        <v>525</v>
      </c>
      <c r="BI318">
        <v>1</v>
      </c>
      <c r="BJ318">
        <v>1</v>
      </c>
      <c r="BK318">
        <v>0</v>
      </c>
      <c r="BL318">
        <v>0</v>
      </c>
      <c r="BO318">
        <v>0</v>
      </c>
      <c r="BP318">
        <v>0</v>
      </c>
      <c r="BW318" t="str">
        <f t="shared" si="152"/>
        <v>14:41:29.125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343</v>
      </c>
      <c r="CR318">
        <v>1</v>
      </c>
      <c r="CW318">
        <v>10536605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 t="shared" ref="A319:A327" si="153">"05/12/2020 14:41:12.354"</f>
        <v>05/12/2020 14:41:12.354</v>
      </c>
      <c r="C319" t="str">
        <f t="shared" si="135"/>
        <v>FFDFD3C0</v>
      </c>
      <c r="D319" t="s">
        <v>134</v>
      </c>
      <c r="E319">
        <v>12</v>
      </c>
      <c r="H319">
        <v>64</v>
      </c>
      <c r="I319" t="s">
        <v>135</v>
      </c>
      <c r="J319" t="s">
        <v>136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ref="S319:T327" si="154">"14:41:30.188"</f>
        <v>14:41:30.188</v>
      </c>
      <c r="T319" t="str">
        <f t="shared" si="154"/>
        <v>14:41:30.188</v>
      </c>
      <c r="U319" t="str">
        <f t="shared" si="125"/>
        <v>A9808D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202</v>
      </c>
      <c r="AJ319">
        <v>28.241558000000001</v>
      </c>
      <c r="AK319" t="s">
        <v>203</v>
      </c>
      <c r="AL319">
        <v>-82.383020000000002</v>
      </c>
      <c r="AM319">
        <v>100</v>
      </c>
      <c r="AN319">
        <v>500</v>
      </c>
      <c r="AO319" t="s">
        <v>118</v>
      </c>
      <c r="AP319">
        <v>9</v>
      </c>
      <c r="AQ319">
        <v>86</v>
      </c>
      <c r="AR319">
        <v>768</v>
      </c>
      <c r="AZ319">
        <v>1200</v>
      </c>
      <c r="BA319">
        <v>1</v>
      </c>
      <c r="BB319" t="str">
        <f t="shared" si="136"/>
        <v xml:space="preserve">N711JA  </v>
      </c>
      <c r="BC319">
        <v>1</v>
      </c>
      <c r="BE319">
        <v>0</v>
      </c>
      <c r="BF319">
        <v>0</v>
      </c>
      <c r="BG319">
        <v>0</v>
      </c>
      <c r="BH319">
        <v>425</v>
      </c>
      <c r="BI319">
        <v>1</v>
      </c>
      <c r="BJ319">
        <v>1</v>
      </c>
      <c r="BK319">
        <v>0</v>
      </c>
      <c r="BL319">
        <v>0</v>
      </c>
      <c r="BO319">
        <v>0</v>
      </c>
      <c r="BP319">
        <v>0</v>
      </c>
      <c r="BW319" t="str">
        <f t="shared" ref="BW319:BW327" si="155">"14:41:30.193"</f>
        <v>14:41:30.193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343</v>
      </c>
      <c r="CR319">
        <v>1</v>
      </c>
      <c r="CW319">
        <v>10537757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 t="shared" si="153"/>
        <v>05/12/2020 14:41:12.354</v>
      </c>
      <c r="C320" t="str">
        <f t="shared" si="135"/>
        <v>FFDFD3C0</v>
      </c>
      <c r="D320" t="s">
        <v>113</v>
      </c>
      <c r="E320">
        <v>3</v>
      </c>
      <c r="H320">
        <v>164</v>
      </c>
      <c r="I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54"/>
        <v>14:41:30.188</v>
      </c>
      <c r="T320" t="str">
        <f t="shared" si="154"/>
        <v>14:41:30.188</v>
      </c>
      <c r="U320" t="str">
        <f t="shared" si="125"/>
        <v>A9808D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202</v>
      </c>
      <c r="AJ320">
        <v>28.241558000000001</v>
      </c>
      <c r="AK320" t="s">
        <v>203</v>
      </c>
      <c r="AL320">
        <v>-82.383020000000002</v>
      </c>
      <c r="AM320">
        <v>100</v>
      </c>
      <c r="AN320">
        <v>500</v>
      </c>
      <c r="AO320" t="s">
        <v>118</v>
      </c>
      <c r="AP320">
        <v>9</v>
      </c>
      <c r="AQ320">
        <v>86</v>
      </c>
      <c r="AR320">
        <v>768</v>
      </c>
      <c r="AZ320">
        <v>1200</v>
      </c>
      <c r="BA320">
        <v>1</v>
      </c>
      <c r="BB320" t="str">
        <f t="shared" si="136"/>
        <v xml:space="preserve">N711JA  </v>
      </c>
      <c r="BC320">
        <v>1</v>
      </c>
      <c r="BE320">
        <v>0</v>
      </c>
      <c r="BF320">
        <v>0</v>
      </c>
      <c r="BG320">
        <v>0</v>
      </c>
      <c r="BH320">
        <v>425</v>
      </c>
      <c r="BI320">
        <v>1</v>
      </c>
      <c r="BJ320">
        <v>1</v>
      </c>
      <c r="BK320">
        <v>0</v>
      </c>
      <c r="BL320">
        <v>0</v>
      </c>
      <c r="BO320">
        <v>0</v>
      </c>
      <c r="BP320">
        <v>0</v>
      </c>
      <c r="BW320" t="str">
        <f t="shared" si="155"/>
        <v>14:41:30.193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343</v>
      </c>
      <c r="CR320">
        <v>1</v>
      </c>
      <c r="CW320">
        <v>10537757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 t="shared" si="153"/>
        <v>05/12/2020 14:41:12.354</v>
      </c>
      <c r="C321" t="str">
        <f t="shared" si="135"/>
        <v>FFDFD3C0</v>
      </c>
      <c r="D321" t="s">
        <v>138</v>
      </c>
      <c r="E321">
        <v>2</v>
      </c>
      <c r="H321">
        <v>8</v>
      </c>
      <c r="I321" t="s">
        <v>139</v>
      </c>
      <c r="J321" t="s">
        <v>136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154"/>
        <v>14:41:30.188</v>
      </c>
      <c r="T321" t="str">
        <f t="shared" si="154"/>
        <v>14:41:30.188</v>
      </c>
      <c r="U321" t="str">
        <f t="shared" si="125"/>
        <v>A9808D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202</v>
      </c>
      <c r="AJ321">
        <v>28.241558000000001</v>
      </c>
      <c r="AK321" t="s">
        <v>203</v>
      </c>
      <c r="AL321">
        <v>-82.383020000000002</v>
      </c>
      <c r="AM321">
        <v>100</v>
      </c>
      <c r="AN321">
        <v>500</v>
      </c>
      <c r="AO321" t="s">
        <v>118</v>
      </c>
      <c r="AP321">
        <v>9</v>
      </c>
      <c r="AQ321">
        <v>86</v>
      </c>
      <c r="AR321">
        <v>768</v>
      </c>
      <c r="AZ321">
        <v>1200</v>
      </c>
      <c r="BA321">
        <v>1</v>
      </c>
      <c r="BB321" t="str">
        <f t="shared" si="136"/>
        <v xml:space="preserve">N711JA  </v>
      </c>
      <c r="BC321">
        <v>1</v>
      </c>
      <c r="BE321">
        <v>0</v>
      </c>
      <c r="BF321">
        <v>0</v>
      </c>
      <c r="BG321">
        <v>0</v>
      </c>
      <c r="BH321">
        <v>425</v>
      </c>
      <c r="BI321">
        <v>1</v>
      </c>
      <c r="BJ321">
        <v>1</v>
      </c>
      <c r="BK321">
        <v>0</v>
      </c>
      <c r="BL321">
        <v>0</v>
      </c>
      <c r="BO321">
        <v>0</v>
      </c>
      <c r="BP321">
        <v>0</v>
      </c>
      <c r="BW321" t="str">
        <f t="shared" si="155"/>
        <v>14:41:30.193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343</v>
      </c>
      <c r="CR321">
        <v>1</v>
      </c>
      <c r="CW321">
        <v>10537757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 t="shared" si="153"/>
        <v>05/12/2020 14:41:12.354</v>
      </c>
      <c r="C322" t="str">
        <f t="shared" si="135"/>
        <v>FFDFD3C0</v>
      </c>
      <c r="D322" t="s">
        <v>138</v>
      </c>
      <c r="E322">
        <v>3</v>
      </c>
      <c r="H322">
        <v>9</v>
      </c>
      <c r="I322" t="s">
        <v>140</v>
      </c>
      <c r="J322" t="s">
        <v>136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54"/>
        <v>14:41:30.188</v>
      </c>
      <c r="T322" t="str">
        <f t="shared" si="154"/>
        <v>14:41:30.188</v>
      </c>
      <c r="U322" t="str">
        <f t="shared" ref="U322:U385" si="156">"A9808D"</f>
        <v>A9808D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202</v>
      </c>
      <c r="AJ322">
        <v>28.241558000000001</v>
      </c>
      <c r="AK322" t="s">
        <v>203</v>
      </c>
      <c r="AL322">
        <v>-82.383020000000002</v>
      </c>
      <c r="AM322">
        <v>100</v>
      </c>
      <c r="AN322">
        <v>500</v>
      </c>
      <c r="AO322" t="s">
        <v>118</v>
      </c>
      <c r="AP322">
        <v>9</v>
      </c>
      <c r="AQ322">
        <v>86</v>
      </c>
      <c r="AR322">
        <v>768</v>
      </c>
      <c r="AZ322">
        <v>1200</v>
      </c>
      <c r="BA322">
        <v>1</v>
      </c>
      <c r="BB322" t="str">
        <f t="shared" si="136"/>
        <v xml:space="preserve">N711JA  </v>
      </c>
      <c r="BC322">
        <v>1</v>
      </c>
      <c r="BE322">
        <v>0</v>
      </c>
      <c r="BF322">
        <v>0</v>
      </c>
      <c r="BG322">
        <v>0</v>
      </c>
      <c r="BH322">
        <v>425</v>
      </c>
      <c r="BI322">
        <v>1</v>
      </c>
      <c r="BJ322">
        <v>1</v>
      </c>
      <c r="BK322">
        <v>0</v>
      </c>
      <c r="BL322">
        <v>0</v>
      </c>
      <c r="BO322">
        <v>0</v>
      </c>
      <c r="BP322">
        <v>0</v>
      </c>
      <c r="BW322" t="str">
        <f t="shared" si="155"/>
        <v>14:41:30.193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343</v>
      </c>
      <c r="CR322">
        <v>1</v>
      </c>
      <c r="CW322">
        <v>10537757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 t="shared" si="153"/>
        <v>05/12/2020 14:41:12.354</v>
      </c>
      <c r="C323" t="str">
        <f t="shared" si="135"/>
        <v>FFDFD3C0</v>
      </c>
      <c r="D323" t="s">
        <v>126</v>
      </c>
      <c r="E323">
        <v>6</v>
      </c>
      <c r="F323">
        <v>1006</v>
      </c>
      <c r="G323" t="s">
        <v>114</v>
      </c>
      <c r="J323" t="s">
        <v>128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54"/>
        <v>14:41:30.188</v>
      </c>
      <c r="T323" t="str">
        <f t="shared" si="154"/>
        <v>14:41:30.188</v>
      </c>
      <c r="U323" t="str">
        <f t="shared" si="156"/>
        <v>A9808D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202</v>
      </c>
      <c r="AJ323">
        <v>28.241558000000001</v>
      </c>
      <c r="AK323" t="s">
        <v>203</v>
      </c>
      <c r="AL323">
        <v>-82.383020000000002</v>
      </c>
      <c r="AM323">
        <v>100</v>
      </c>
      <c r="AN323">
        <v>500</v>
      </c>
      <c r="AO323" t="s">
        <v>118</v>
      </c>
      <c r="AP323">
        <v>9</v>
      </c>
      <c r="AQ323">
        <v>86</v>
      </c>
      <c r="AR323">
        <v>768</v>
      </c>
      <c r="AZ323">
        <v>1200</v>
      </c>
      <c r="BA323">
        <v>1</v>
      </c>
      <c r="BB323" t="str">
        <f t="shared" si="136"/>
        <v xml:space="preserve">N711JA  </v>
      </c>
      <c r="BC323">
        <v>1</v>
      </c>
      <c r="BE323">
        <v>0</v>
      </c>
      <c r="BF323">
        <v>0</v>
      </c>
      <c r="BG323">
        <v>0</v>
      </c>
      <c r="BH323">
        <v>425</v>
      </c>
      <c r="BI323">
        <v>1</v>
      </c>
      <c r="BJ323">
        <v>1</v>
      </c>
      <c r="BK323">
        <v>0</v>
      </c>
      <c r="BL323">
        <v>0</v>
      </c>
      <c r="BO323">
        <v>0</v>
      </c>
      <c r="BP323">
        <v>0</v>
      </c>
      <c r="BW323" t="str">
        <f t="shared" si="155"/>
        <v>14:41:30.193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343</v>
      </c>
      <c r="CR323">
        <v>1</v>
      </c>
      <c r="CW323">
        <v>10537757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 t="shared" si="153"/>
        <v>05/12/2020 14:41:12.354</v>
      </c>
      <c r="C324" t="str">
        <f t="shared" si="135"/>
        <v>FFDFD3C0</v>
      </c>
      <c r="D324" t="s">
        <v>131</v>
      </c>
      <c r="E324">
        <v>10</v>
      </c>
      <c r="F324">
        <v>2010</v>
      </c>
      <c r="G324" t="s">
        <v>132</v>
      </c>
      <c r="J324" t="s">
        <v>133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54"/>
        <v>14:41:30.188</v>
      </c>
      <c r="T324" t="str">
        <f t="shared" si="154"/>
        <v>14:41:30.188</v>
      </c>
      <c r="U324" t="str">
        <f t="shared" si="156"/>
        <v>A9808D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202</v>
      </c>
      <c r="AJ324">
        <v>28.241558000000001</v>
      </c>
      <c r="AK324" t="s">
        <v>203</v>
      </c>
      <c r="AL324">
        <v>-82.383020000000002</v>
      </c>
      <c r="AM324">
        <v>100</v>
      </c>
      <c r="AN324">
        <v>500</v>
      </c>
      <c r="AO324" t="s">
        <v>118</v>
      </c>
      <c r="AP324">
        <v>9</v>
      </c>
      <c r="AQ324">
        <v>86</v>
      </c>
      <c r="AR324">
        <v>768</v>
      </c>
      <c r="AZ324">
        <v>1200</v>
      </c>
      <c r="BA324">
        <v>1</v>
      </c>
      <c r="BB324" t="str">
        <f t="shared" si="136"/>
        <v xml:space="preserve">N711JA  </v>
      </c>
      <c r="BC324">
        <v>1</v>
      </c>
      <c r="BE324">
        <v>0</v>
      </c>
      <c r="BF324">
        <v>0</v>
      </c>
      <c r="BG324">
        <v>0</v>
      </c>
      <c r="BH324">
        <v>425</v>
      </c>
      <c r="BI324">
        <v>1</v>
      </c>
      <c r="BJ324">
        <v>1</v>
      </c>
      <c r="BK324">
        <v>0</v>
      </c>
      <c r="BL324">
        <v>0</v>
      </c>
      <c r="BO324">
        <v>0</v>
      </c>
      <c r="BP324">
        <v>0</v>
      </c>
      <c r="BW324" t="str">
        <f t="shared" si="155"/>
        <v>14:41:30.193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343</v>
      </c>
      <c r="CR324">
        <v>1</v>
      </c>
      <c r="CW324">
        <v>10537757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 t="shared" si="153"/>
        <v>05/12/2020 14:41:12.354</v>
      </c>
      <c r="C325" t="str">
        <f t="shared" si="135"/>
        <v>FFDFD3C0</v>
      </c>
      <c r="D325" t="s">
        <v>126</v>
      </c>
      <c r="E325">
        <v>7</v>
      </c>
      <c r="F325">
        <v>1007</v>
      </c>
      <c r="G325" t="s">
        <v>127</v>
      </c>
      <c r="J325" t="s">
        <v>128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54"/>
        <v>14:41:30.188</v>
      </c>
      <c r="T325" t="str">
        <f t="shared" si="154"/>
        <v>14:41:30.188</v>
      </c>
      <c r="U325" t="str">
        <f t="shared" si="156"/>
        <v>A9808D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202</v>
      </c>
      <c r="AJ325">
        <v>28.241558000000001</v>
      </c>
      <c r="AK325" t="s">
        <v>203</v>
      </c>
      <c r="AL325">
        <v>-82.383020000000002</v>
      </c>
      <c r="AM325">
        <v>100</v>
      </c>
      <c r="AN325">
        <v>500</v>
      </c>
      <c r="AO325" t="s">
        <v>118</v>
      </c>
      <c r="AP325">
        <v>9</v>
      </c>
      <c r="AQ325">
        <v>86</v>
      </c>
      <c r="AR325">
        <v>768</v>
      </c>
      <c r="AZ325">
        <v>1200</v>
      </c>
      <c r="BA325">
        <v>1</v>
      </c>
      <c r="BB325" t="str">
        <f t="shared" si="136"/>
        <v xml:space="preserve">N711JA  </v>
      </c>
      <c r="BC325">
        <v>1</v>
      </c>
      <c r="BE325">
        <v>0</v>
      </c>
      <c r="BF325">
        <v>0</v>
      </c>
      <c r="BG325">
        <v>0</v>
      </c>
      <c r="BH325">
        <v>425</v>
      </c>
      <c r="BI325">
        <v>1</v>
      </c>
      <c r="BJ325">
        <v>1</v>
      </c>
      <c r="BK325">
        <v>0</v>
      </c>
      <c r="BL325">
        <v>0</v>
      </c>
      <c r="BO325">
        <v>0</v>
      </c>
      <c r="BP325">
        <v>0</v>
      </c>
      <c r="BW325" t="str">
        <f t="shared" si="155"/>
        <v>14:41:30.193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343</v>
      </c>
      <c r="CR325">
        <v>1</v>
      </c>
      <c r="CW325">
        <v>10537757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 t="shared" si="153"/>
        <v>05/12/2020 14:41:12.354</v>
      </c>
      <c r="C326" t="str">
        <f t="shared" si="135"/>
        <v>FFDFD3C0</v>
      </c>
      <c r="D326" t="s">
        <v>131</v>
      </c>
      <c r="E326">
        <v>18</v>
      </c>
      <c r="F326">
        <v>2018</v>
      </c>
      <c r="G326" t="s">
        <v>161</v>
      </c>
      <c r="J326" t="s">
        <v>133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54"/>
        <v>14:41:30.188</v>
      </c>
      <c r="T326" t="str">
        <f t="shared" si="154"/>
        <v>14:41:30.188</v>
      </c>
      <c r="U326" t="str">
        <f t="shared" si="156"/>
        <v>A9808D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202</v>
      </c>
      <c r="AJ326">
        <v>28.241558000000001</v>
      </c>
      <c r="AK326" t="s">
        <v>203</v>
      </c>
      <c r="AL326">
        <v>-82.383020000000002</v>
      </c>
      <c r="AM326">
        <v>100</v>
      </c>
      <c r="AN326">
        <v>500</v>
      </c>
      <c r="AO326" t="s">
        <v>118</v>
      </c>
      <c r="AP326">
        <v>9</v>
      </c>
      <c r="AQ326">
        <v>86</v>
      </c>
      <c r="AR326">
        <v>768</v>
      </c>
      <c r="AZ326">
        <v>1200</v>
      </c>
      <c r="BA326">
        <v>1</v>
      </c>
      <c r="BB326" t="str">
        <f t="shared" si="136"/>
        <v xml:space="preserve">N711JA  </v>
      </c>
      <c r="BC326">
        <v>1</v>
      </c>
      <c r="BE326">
        <v>0</v>
      </c>
      <c r="BF326">
        <v>0</v>
      </c>
      <c r="BG326">
        <v>0</v>
      </c>
      <c r="BH326">
        <v>425</v>
      </c>
      <c r="BI326">
        <v>1</v>
      </c>
      <c r="BJ326">
        <v>1</v>
      </c>
      <c r="BK326">
        <v>0</v>
      </c>
      <c r="BL326">
        <v>0</v>
      </c>
      <c r="BO326">
        <v>0</v>
      </c>
      <c r="BP326">
        <v>0</v>
      </c>
      <c r="BW326" t="str">
        <f t="shared" si="155"/>
        <v>14:41:30.193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343</v>
      </c>
      <c r="CR326">
        <v>1</v>
      </c>
      <c r="CW326">
        <v>10537757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 t="shared" si="153"/>
        <v>05/12/2020 14:41:12.354</v>
      </c>
      <c r="C327" t="str">
        <f t="shared" si="135"/>
        <v>FFDFD3C0</v>
      </c>
      <c r="D327" t="s">
        <v>131</v>
      </c>
      <c r="E327">
        <v>12</v>
      </c>
      <c r="F327">
        <v>2012</v>
      </c>
      <c r="G327" t="s">
        <v>137</v>
      </c>
      <c r="J327" t="s">
        <v>133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154"/>
        <v>14:41:30.188</v>
      </c>
      <c r="T327" t="str">
        <f t="shared" si="154"/>
        <v>14:41:30.188</v>
      </c>
      <c r="U327" t="str">
        <f t="shared" si="156"/>
        <v>A9808D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202</v>
      </c>
      <c r="AJ327">
        <v>28.241558000000001</v>
      </c>
      <c r="AK327" t="s">
        <v>203</v>
      </c>
      <c r="AL327">
        <v>-82.383020000000002</v>
      </c>
      <c r="AM327">
        <v>100</v>
      </c>
      <c r="AN327">
        <v>500</v>
      </c>
      <c r="AO327" t="s">
        <v>118</v>
      </c>
      <c r="AP327">
        <v>9</v>
      </c>
      <c r="AQ327">
        <v>86</v>
      </c>
      <c r="AR327">
        <v>768</v>
      </c>
      <c r="AZ327">
        <v>1200</v>
      </c>
      <c r="BA327">
        <v>1</v>
      </c>
      <c r="BB327" t="str">
        <f t="shared" si="136"/>
        <v xml:space="preserve">N711JA  </v>
      </c>
      <c r="BC327">
        <v>1</v>
      </c>
      <c r="BE327">
        <v>0</v>
      </c>
      <c r="BF327">
        <v>0</v>
      </c>
      <c r="BG327">
        <v>0</v>
      </c>
      <c r="BH327">
        <v>425</v>
      </c>
      <c r="BI327">
        <v>1</v>
      </c>
      <c r="BJ327">
        <v>1</v>
      </c>
      <c r="BK327">
        <v>0</v>
      </c>
      <c r="BL327">
        <v>0</v>
      </c>
      <c r="BO327">
        <v>0</v>
      </c>
      <c r="BP327">
        <v>0</v>
      </c>
      <c r="BW327" t="str">
        <f t="shared" si="155"/>
        <v>14:41:30.193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343</v>
      </c>
      <c r="CR327">
        <v>1</v>
      </c>
      <c r="CW327">
        <v>10537757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 t="shared" ref="A328:A336" si="157">"05/12/2020 14:41:13.283"</f>
        <v>05/12/2020 14:41:13.283</v>
      </c>
      <c r="C328" t="str">
        <f t="shared" si="135"/>
        <v>FFDFD3C0</v>
      </c>
      <c r="D328" t="s">
        <v>138</v>
      </c>
      <c r="E328">
        <v>2</v>
      </c>
      <c r="H328">
        <v>8</v>
      </c>
      <c r="I328" t="s">
        <v>139</v>
      </c>
      <c r="J328" t="s">
        <v>136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ref="S328:S336" si="158">"14:41:31.094"</f>
        <v>14:41:31.094</v>
      </c>
      <c r="T328" t="str">
        <f t="shared" ref="T328:T336" si="159">"14:41:30.694"</f>
        <v>14:41:30.694</v>
      </c>
      <c r="U328" t="str">
        <f t="shared" si="156"/>
        <v>A9808D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204</v>
      </c>
      <c r="AJ328">
        <v>28.241923</v>
      </c>
      <c r="AK328" t="s">
        <v>205</v>
      </c>
      <c r="AL328">
        <v>-82.382998000000001</v>
      </c>
      <c r="AM328">
        <v>100</v>
      </c>
      <c r="AN328">
        <v>500</v>
      </c>
      <c r="AO328" t="s">
        <v>118</v>
      </c>
      <c r="AP328">
        <v>9</v>
      </c>
      <c r="AQ328">
        <v>86</v>
      </c>
      <c r="AR328">
        <v>704</v>
      </c>
      <c r="AZ328">
        <v>1200</v>
      </c>
      <c r="BA328">
        <v>1</v>
      </c>
      <c r="BB328" t="str">
        <f t="shared" si="136"/>
        <v xml:space="preserve">N711JA  </v>
      </c>
      <c r="BC328">
        <v>1</v>
      </c>
      <c r="BE328">
        <v>0</v>
      </c>
      <c r="BF328">
        <v>0</v>
      </c>
      <c r="BG328">
        <v>0</v>
      </c>
      <c r="BH328">
        <v>550</v>
      </c>
      <c r="BI328">
        <v>1</v>
      </c>
      <c r="BJ328">
        <v>1</v>
      </c>
      <c r="BK328">
        <v>0</v>
      </c>
      <c r="BL328">
        <v>0</v>
      </c>
      <c r="BO328">
        <v>0</v>
      </c>
      <c r="BP328">
        <v>0</v>
      </c>
      <c r="BW328" t="str">
        <f t="shared" ref="BW328:BW336" si="160">"14:41:31.097"</f>
        <v>14:41:31.097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343</v>
      </c>
      <c r="CR328">
        <v>1</v>
      </c>
      <c r="CW328">
        <v>10538747</v>
      </c>
      <c r="CY328">
        <v>1</v>
      </c>
      <c r="CZ328">
        <v>0</v>
      </c>
      <c r="DA328">
        <v>0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 t="shared" si="157"/>
        <v>05/12/2020 14:41:13.283</v>
      </c>
      <c r="C329" t="str">
        <f t="shared" si="135"/>
        <v>FFDFD3C0</v>
      </c>
      <c r="D329" t="s">
        <v>138</v>
      </c>
      <c r="E329">
        <v>3</v>
      </c>
      <c r="H329">
        <v>9</v>
      </c>
      <c r="I329" t="s">
        <v>140</v>
      </c>
      <c r="J329" t="s">
        <v>136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58"/>
        <v>14:41:31.094</v>
      </c>
      <c r="T329" t="str">
        <f t="shared" si="159"/>
        <v>14:41:30.694</v>
      </c>
      <c r="U329" t="str">
        <f t="shared" si="156"/>
        <v>A9808D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204</v>
      </c>
      <c r="AJ329">
        <v>28.241923</v>
      </c>
      <c r="AK329" t="s">
        <v>205</v>
      </c>
      <c r="AL329">
        <v>-82.382998000000001</v>
      </c>
      <c r="AM329">
        <v>100</v>
      </c>
      <c r="AN329">
        <v>500</v>
      </c>
      <c r="AO329" t="s">
        <v>118</v>
      </c>
      <c r="AP329">
        <v>9</v>
      </c>
      <c r="AQ329">
        <v>86</v>
      </c>
      <c r="AR329">
        <v>704</v>
      </c>
      <c r="AZ329">
        <v>1200</v>
      </c>
      <c r="BA329">
        <v>1</v>
      </c>
      <c r="BB329" t="str">
        <f t="shared" si="136"/>
        <v xml:space="preserve">N711JA  </v>
      </c>
      <c r="BC329">
        <v>1</v>
      </c>
      <c r="BE329">
        <v>0</v>
      </c>
      <c r="BF329">
        <v>0</v>
      </c>
      <c r="BG329">
        <v>0</v>
      </c>
      <c r="BH329">
        <v>550</v>
      </c>
      <c r="BI329">
        <v>1</v>
      </c>
      <c r="BJ329">
        <v>1</v>
      </c>
      <c r="BK329">
        <v>0</v>
      </c>
      <c r="BL329">
        <v>0</v>
      </c>
      <c r="BO329">
        <v>0</v>
      </c>
      <c r="BP329">
        <v>0</v>
      </c>
      <c r="BW329" t="str">
        <f t="shared" si="160"/>
        <v>14:41:31.097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343</v>
      </c>
      <c r="CR329">
        <v>1</v>
      </c>
      <c r="CW329">
        <v>10538747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 t="shared" si="157"/>
        <v>05/12/2020 14:41:13.283</v>
      </c>
      <c r="C330" t="str">
        <f t="shared" si="135"/>
        <v>FFDFD3C0</v>
      </c>
      <c r="D330" t="s">
        <v>126</v>
      </c>
      <c r="E330">
        <v>6</v>
      </c>
      <c r="F330">
        <v>1006</v>
      </c>
      <c r="G330" t="s">
        <v>114</v>
      </c>
      <c r="J330" t="s">
        <v>128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58"/>
        <v>14:41:31.094</v>
      </c>
      <c r="T330" t="str">
        <f t="shared" si="159"/>
        <v>14:41:30.694</v>
      </c>
      <c r="U330" t="str">
        <f t="shared" si="156"/>
        <v>A9808D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204</v>
      </c>
      <c r="AJ330">
        <v>28.241923</v>
      </c>
      <c r="AK330" t="s">
        <v>205</v>
      </c>
      <c r="AL330">
        <v>-82.382998000000001</v>
      </c>
      <c r="AM330">
        <v>100</v>
      </c>
      <c r="AN330">
        <v>500</v>
      </c>
      <c r="AO330" t="s">
        <v>118</v>
      </c>
      <c r="AP330">
        <v>9</v>
      </c>
      <c r="AQ330">
        <v>86</v>
      </c>
      <c r="AR330">
        <v>704</v>
      </c>
      <c r="AZ330">
        <v>1200</v>
      </c>
      <c r="BA330">
        <v>1</v>
      </c>
      <c r="BB330" t="str">
        <f t="shared" si="136"/>
        <v xml:space="preserve">N711JA  </v>
      </c>
      <c r="BC330">
        <v>1</v>
      </c>
      <c r="BE330">
        <v>0</v>
      </c>
      <c r="BF330">
        <v>0</v>
      </c>
      <c r="BG330">
        <v>0</v>
      </c>
      <c r="BH330">
        <v>550</v>
      </c>
      <c r="BI330">
        <v>1</v>
      </c>
      <c r="BJ330">
        <v>1</v>
      </c>
      <c r="BK330">
        <v>0</v>
      </c>
      <c r="BL330">
        <v>0</v>
      </c>
      <c r="BO330">
        <v>0</v>
      </c>
      <c r="BP330">
        <v>0</v>
      </c>
      <c r="BW330" t="str">
        <f t="shared" si="160"/>
        <v>14:41:31.097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343</v>
      </c>
      <c r="CR330">
        <v>1</v>
      </c>
      <c r="CW330">
        <v>10538747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 t="shared" si="157"/>
        <v>05/12/2020 14:41:13.283</v>
      </c>
      <c r="C331" t="str">
        <f t="shared" si="135"/>
        <v>FFDFD3C0</v>
      </c>
      <c r="D331" t="s">
        <v>131</v>
      </c>
      <c r="E331">
        <v>10</v>
      </c>
      <c r="F331">
        <v>2010</v>
      </c>
      <c r="G331" t="s">
        <v>132</v>
      </c>
      <c r="J331" t="s">
        <v>133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58"/>
        <v>14:41:31.094</v>
      </c>
      <c r="T331" t="str">
        <f t="shared" si="159"/>
        <v>14:41:30.694</v>
      </c>
      <c r="U331" t="str">
        <f t="shared" si="156"/>
        <v>A9808D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204</v>
      </c>
      <c r="AJ331">
        <v>28.241923</v>
      </c>
      <c r="AK331" t="s">
        <v>205</v>
      </c>
      <c r="AL331">
        <v>-82.382998000000001</v>
      </c>
      <c r="AM331">
        <v>100</v>
      </c>
      <c r="AN331">
        <v>500</v>
      </c>
      <c r="AO331" t="s">
        <v>118</v>
      </c>
      <c r="AP331">
        <v>9</v>
      </c>
      <c r="AQ331">
        <v>86</v>
      </c>
      <c r="AR331">
        <v>704</v>
      </c>
      <c r="AZ331">
        <v>1200</v>
      </c>
      <c r="BA331">
        <v>1</v>
      </c>
      <c r="BB331" t="str">
        <f t="shared" si="136"/>
        <v xml:space="preserve">N711JA  </v>
      </c>
      <c r="BC331">
        <v>1</v>
      </c>
      <c r="BE331">
        <v>0</v>
      </c>
      <c r="BF331">
        <v>0</v>
      </c>
      <c r="BG331">
        <v>0</v>
      </c>
      <c r="BH331">
        <v>550</v>
      </c>
      <c r="BI331">
        <v>1</v>
      </c>
      <c r="BJ331">
        <v>1</v>
      </c>
      <c r="BK331">
        <v>0</v>
      </c>
      <c r="BL331">
        <v>0</v>
      </c>
      <c r="BO331">
        <v>0</v>
      </c>
      <c r="BP331">
        <v>0</v>
      </c>
      <c r="BW331" t="str">
        <f t="shared" si="160"/>
        <v>14:41:31.097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343</v>
      </c>
      <c r="CR331">
        <v>1</v>
      </c>
      <c r="CW331">
        <v>10538747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 t="shared" si="157"/>
        <v>05/12/2020 14:41:13.283</v>
      </c>
      <c r="C332" t="str">
        <f t="shared" si="135"/>
        <v>FFDFD3C0</v>
      </c>
      <c r="D332" t="s">
        <v>126</v>
      </c>
      <c r="E332">
        <v>7</v>
      </c>
      <c r="F332">
        <v>1007</v>
      </c>
      <c r="G332" t="s">
        <v>127</v>
      </c>
      <c r="J332" t="s">
        <v>128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58"/>
        <v>14:41:31.094</v>
      </c>
      <c r="T332" t="str">
        <f t="shared" si="159"/>
        <v>14:41:30.694</v>
      </c>
      <c r="U332" t="str">
        <f t="shared" si="156"/>
        <v>A9808D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204</v>
      </c>
      <c r="AJ332">
        <v>28.241923</v>
      </c>
      <c r="AK332" t="s">
        <v>205</v>
      </c>
      <c r="AL332">
        <v>-82.382998000000001</v>
      </c>
      <c r="AM332">
        <v>100</v>
      </c>
      <c r="AN332">
        <v>500</v>
      </c>
      <c r="AO332" t="s">
        <v>118</v>
      </c>
      <c r="AP332">
        <v>9</v>
      </c>
      <c r="AQ332">
        <v>86</v>
      </c>
      <c r="AR332">
        <v>704</v>
      </c>
      <c r="AZ332">
        <v>1200</v>
      </c>
      <c r="BA332">
        <v>1</v>
      </c>
      <c r="BB332" t="str">
        <f t="shared" si="136"/>
        <v xml:space="preserve">N711JA  </v>
      </c>
      <c r="BC332">
        <v>1</v>
      </c>
      <c r="BE332">
        <v>0</v>
      </c>
      <c r="BF332">
        <v>0</v>
      </c>
      <c r="BG332">
        <v>0</v>
      </c>
      <c r="BH332">
        <v>550</v>
      </c>
      <c r="BI332">
        <v>1</v>
      </c>
      <c r="BJ332">
        <v>1</v>
      </c>
      <c r="BK332">
        <v>0</v>
      </c>
      <c r="BL332">
        <v>0</v>
      </c>
      <c r="BO332">
        <v>0</v>
      </c>
      <c r="BP332">
        <v>0</v>
      </c>
      <c r="BW332" t="str">
        <f t="shared" si="160"/>
        <v>14:41:31.097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343</v>
      </c>
      <c r="CR332">
        <v>1</v>
      </c>
      <c r="CW332">
        <v>10538747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 t="shared" si="157"/>
        <v>05/12/2020 14:41:13.283</v>
      </c>
      <c r="C333" t="str">
        <f t="shared" si="135"/>
        <v>FFDFD3C0</v>
      </c>
      <c r="D333" t="s">
        <v>131</v>
      </c>
      <c r="E333">
        <v>18</v>
      </c>
      <c r="F333">
        <v>2018</v>
      </c>
      <c r="G333" t="s">
        <v>161</v>
      </c>
      <c r="J333" t="s">
        <v>133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158"/>
        <v>14:41:31.094</v>
      </c>
      <c r="T333" t="str">
        <f t="shared" si="159"/>
        <v>14:41:30.694</v>
      </c>
      <c r="U333" t="str">
        <f t="shared" si="156"/>
        <v>A9808D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204</v>
      </c>
      <c r="AJ333">
        <v>28.241923</v>
      </c>
      <c r="AK333" t="s">
        <v>205</v>
      </c>
      <c r="AL333">
        <v>-82.382998000000001</v>
      </c>
      <c r="AM333">
        <v>100</v>
      </c>
      <c r="AN333">
        <v>500</v>
      </c>
      <c r="AO333" t="s">
        <v>118</v>
      </c>
      <c r="AP333">
        <v>9</v>
      </c>
      <c r="AQ333">
        <v>86</v>
      </c>
      <c r="AR333">
        <v>704</v>
      </c>
      <c r="AZ333">
        <v>1200</v>
      </c>
      <c r="BA333">
        <v>1</v>
      </c>
      <c r="BB333" t="str">
        <f t="shared" si="136"/>
        <v xml:space="preserve">N711JA  </v>
      </c>
      <c r="BC333">
        <v>1</v>
      </c>
      <c r="BE333">
        <v>0</v>
      </c>
      <c r="BF333">
        <v>0</v>
      </c>
      <c r="BG333">
        <v>0</v>
      </c>
      <c r="BH333">
        <v>550</v>
      </c>
      <c r="BI333">
        <v>1</v>
      </c>
      <c r="BJ333">
        <v>1</v>
      </c>
      <c r="BK333">
        <v>0</v>
      </c>
      <c r="BL333">
        <v>0</v>
      </c>
      <c r="BO333">
        <v>0</v>
      </c>
      <c r="BP333">
        <v>0</v>
      </c>
      <c r="BW333" t="str">
        <f t="shared" si="160"/>
        <v>14:41:31.097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343</v>
      </c>
      <c r="CR333">
        <v>1</v>
      </c>
      <c r="CW333">
        <v>10538747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 t="shared" si="157"/>
        <v>05/12/2020 14:41:13.283</v>
      </c>
      <c r="C334" t="str">
        <f t="shared" si="135"/>
        <v>FFDFD3C0</v>
      </c>
      <c r="D334" t="s">
        <v>131</v>
      </c>
      <c r="E334">
        <v>12</v>
      </c>
      <c r="F334">
        <v>2012</v>
      </c>
      <c r="G334" t="s">
        <v>137</v>
      </c>
      <c r="J334" t="s">
        <v>133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58"/>
        <v>14:41:31.094</v>
      </c>
      <c r="T334" t="str">
        <f t="shared" si="159"/>
        <v>14:41:30.694</v>
      </c>
      <c r="U334" t="str">
        <f t="shared" si="156"/>
        <v>A9808D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204</v>
      </c>
      <c r="AJ334">
        <v>28.241923</v>
      </c>
      <c r="AK334" t="s">
        <v>205</v>
      </c>
      <c r="AL334">
        <v>-82.382998000000001</v>
      </c>
      <c r="AM334">
        <v>100</v>
      </c>
      <c r="AN334">
        <v>500</v>
      </c>
      <c r="AO334" t="s">
        <v>118</v>
      </c>
      <c r="AP334">
        <v>9</v>
      </c>
      <c r="AQ334">
        <v>86</v>
      </c>
      <c r="AR334">
        <v>704</v>
      </c>
      <c r="AZ334">
        <v>1200</v>
      </c>
      <c r="BA334">
        <v>1</v>
      </c>
      <c r="BB334" t="str">
        <f t="shared" si="136"/>
        <v xml:space="preserve">N711JA  </v>
      </c>
      <c r="BC334">
        <v>1</v>
      </c>
      <c r="BE334">
        <v>0</v>
      </c>
      <c r="BF334">
        <v>0</v>
      </c>
      <c r="BG334">
        <v>0</v>
      </c>
      <c r="BH334">
        <v>550</v>
      </c>
      <c r="BI334">
        <v>1</v>
      </c>
      <c r="BJ334">
        <v>1</v>
      </c>
      <c r="BK334">
        <v>0</v>
      </c>
      <c r="BL334">
        <v>0</v>
      </c>
      <c r="BO334">
        <v>0</v>
      </c>
      <c r="BP334">
        <v>0</v>
      </c>
      <c r="BW334" t="str">
        <f t="shared" si="160"/>
        <v>14:41:31.097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343</v>
      </c>
      <c r="CR334">
        <v>1</v>
      </c>
      <c r="CW334">
        <v>10538747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 t="shared" si="157"/>
        <v>05/12/2020 14:41:13.283</v>
      </c>
      <c r="C335" t="str">
        <f t="shared" si="135"/>
        <v>FFDFD3C0</v>
      </c>
      <c r="D335" t="s">
        <v>134</v>
      </c>
      <c r="E335">
        <v>12</v>
      </c>
      <c r="H335">
        <v>64</v>
      </c>
      <c r="I335" t="s">
        <v>135</v>
      </c>
      <c r="J335" t="s">
        <v>136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58"/>
        <v>14:41:31.094</v>
      </c>
      <c r="T335" t="str">
        <f t="shared" si="159"/>
        <v>14:41:30.694</v>
      </c>
      <c r="U335" t="str">
        <f t="shared" si="156"/>
        <v>A9808D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204</v>
      </c>
      <c r="AJ335">
        <v>28.241923</v>
      </c>
      <c r="AK335" t="s">
        <v>205</v>
      </c>
      <c r="AL335">
        <v>-82.382998000000001</v>
      </c>
      <c r="AM335">
        <v>100</v>
      </c>
      <c r="AN335">
        <v>500</v>
      </c>
      <c r="AO335" t="s">
        <v>118</v>
      </c>
      <c r="AP335">
        <v>9</v>
      </c>
      <c r="AQ335">
        <v>86</v>
      </c>
      <c r="AR335">
        <v>704</v>
      </c>
      <c r="AZ335">
        <v>1200</v>
      </c>
      <c r="BA335">
        <v>1</v>
      </c>
      <c r="BB335" t="str">
        <f t="shared" si="136"/>
        <v xml:space="preserve">N711JA  </v>
      </c>
      <c r="BC335">
        <v>1</v>
      </c>
      <c r="BE335">
        <v>0</v>
      </c>
      <c r="BF335">
        <v>0</v>
      </c>
      <c r="BG335">
        <v>0</v>
      </c>
      <c r="BH335">
        <v>550</v>
      </c>
      <c r="BI335">
        <v>1</v>
      </c>
      <c r="BJ335">
        <v>1</v>
      </c>
      <c r="BK335">
        <v>0</v>
      </c>
      <c r="BL335">
        <v>0</v>
      </c>
      <c r="BO335">
        <v>0</v>
      </c>
      <c r="BP335">
        <v>0</v>
      </c>
      <c r="BW335" t="str">
        <f t="shared" si="160"/>
        <v>14:41:31.097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343</v>
      </c>
      <c r="CR335">
        <v>1</v>
      </c>
      <c r="CW335">
        <v>10538747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 t="shared" si="157"/>
        <v>05/12/2020 14:41:13.283</v>
      </c>
      <c r="C336" t="str">
        <f t="shared" si="135"/>
        <v>FFDFD3C0</v>
      </c>
      <c r="D336" t="s">
        <v>113</v>
      </c>
      <c r="E336">
        <v>3</v>
      </c>
      <c r="H336">
        <v>164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58"/>
        <v>14:41:31.094</v>
      </c>
      <c r="T336" t="str">
        <f t="shared" si="159"/>
        <v>14:41:30.694</v>
      </c>
      <c r="U336" t="str">
        <f t="shared" si="156"/>
        <v>A9808D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204</v>
      </c>
      <c r="AJ336">
        <v>28.241923</v>
      </c>
      <c r="AK336" t="s">
        <v>205</v>
      </c>
      <c r="AL336">
        <v>-82.382998000000001</v>
      </c>
      <c r="AM336">
        <v>100</v>
      </c>
      <c r="AN336">
        <v>500</v>
      </c>
      <c r="AO336" t="s">
        <v>118</v>
      </c>
      <c r="AP336">
        <v>9</v>
      </c>
      <c r="AQ336">
        <v>86</v>
      </c>
      <c r="AR336">
        <v>704</v>
      </c>
      <c r="AZ336">
        <v>1200</v>
      </c>
      <c r="BA336">
        <v>1</v>
      </c>
      <c r="BB336" t="str">
        <f t="shared" si="136"/>
        <v xml:space="preserve">N711JA  </v>
      </c>
      <c r="BC336">
        <v>1</v>
      </c>
      <c r="BE336">
        <v>0</v>
      </c>
      <c r="BF336">
        <v>0</v>
      </c>
      <c r="BG336">
        <v>0</v>
      </c>
      <c r="BH336">
        <v>550</v>
      </c>
      <c r="BI336">
        <v>1</v>
      </c>
      <c r="BJ336">
        <v>1</v>
      </c>
      <c r="BK336">
        <v>0</v>
      </c>
      <c r="BL336">
        <v>0</v>
      </c>
      <c r="BO336">
        <v>0</v>
      </c>
      <c r="BP336">
        <v>0</v>
      </c>
      <c r="BW336" t="str">
        <f t="shared" si="160"/>
        <v>14:41:31.097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343</v>
      </c>
      <c r="CR336">
        <v>1</v>
      </c>
      <c r="CW336">
        <v>10538747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 t="shared" ref="A337:A344" si="161">"05/12/2020 14:41:14.310"</f>
        <v>05/12/2020 14:41:14.310</v>
      </c>
      <c r="C337" t="str">
        <f t="shared" si="135"/>
        <v>FFDFD3C0</v>
      </c>
      <c r="D337" t="s">
        <v>131</v>
      </c>
      <c r="E337">
        <v>10</v>
      </c>
      <c r="F337">
        <v>2010</v>
      </c>
      <c r="G337" t="s">
        <v>132</v>
      </c>
      <c r="J337" t="s">
        <v>133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ref="S337:S344" si="162">"14:41:32.117"</f>
        <v>14:41:32.117</v>
      </c>
      <c r="T337" t="str">
        <f t="shared" ref="T337:T344" si="163">"14:41:31.717"</f>
        <v>14:41:31.717</v>
      </c>
      <c r="U337" t="str">
        <f t="shared" si="156"/>
        <v>A9808D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206</v>
      </c>
      <c r="AJ337">
        <v>28.242331</v>
      </c>
      <c r="AK337" t="s">
        <v>207</v>
      </c>
      <c r="AL337">
        <v>-82.382934000000006</v>
      </c>
      <c r="AM337">
        <v>100</v>
      </c>
      <c r="AN337">
        <v>500</v>
      </c>
      <c r="AO337" t="s">
        <v>118</v>
      </c>
      <c r="AP337">
        <v>9</v>
      </c>
      <c r="AQ337">
        <v>86</v>
      </c>
      <c r="AR337">
        <v>640</v>
      </c>
      <c r="AZ337">
        <v>1200</v>
      </c>
      <c r="BA337">
        <v>1</v>
      </c>
      <c r="BB337" t="str">
        <f t="shared" si="136"/>
        <v xml:space="preserve">N711JA  </v>
      </c>
      <c r="BC337">
        <v>1</v>
      </c>
      <c r="BE337">
        <v>0</v>
      </c>
      <c r="BF337">
        <v>0</v>
      </c>
      <c r="BG337">
        <v>0</v>
      </c>
      <c r="BH337">
        <v>550</v>
      </c>
      <c r="BI337">
        <v>1</v>
      </c>
      <c r="BJ337">
        <v>1</v>
      </c>
      <c r="BK337">
        <v>0</v>
      </c>
      <c r="BL337">
        <v>0</v>
      </c>
      <c r="BO337">
        <v>0</v>
      </c>
      <c r="BP337">
        <v>0</v>
      </c>
      <c r="BW337" t="str">
        <f t="shared" ref="BW337:BW344" si="164">"14:41:32.122"</f>
        <v>14:41:32.122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3</v>
      </c>
      <c r="CP337" t="s">
        <v>119</v>
      </c>
      <c r="CQ337">
        <v>358</v>
      </c>
      <c r="CR337">
        <v>0</v>
      </c>
      <c r="CW337">
        <v>4551437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si="161"/>
        <v>05/12/2020 14:41:14.310</v>
      </c>
      <c r="C338" t="str">
        <f t="shared" si="135"/>
        <v>FFDFD3C0</v>
      </c>
      <c r="D338" t="s">
        <v>126</v>
      </c>
      <c r="E338">
        <v>7</v>
      </c>
      <c r="F338">
        <v>1007</v>
      </c>
      <c r="G338" t="s">
        <v>127</v>
      </c>
      <c r="J338" t="s">
        <v>128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62"/>
        <v>14:41:32.117</v>
      </c>
      <c r="T338" t="str">
        <f t="shared" si="163"/>
        <v>14:41:31.717</v>
      </c>
      <c r="U338" t="str">
        <f t="shared" si="156"/>
        <v>A9808D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206</v>
      </c>
      <c r="AJ338">
        <v>28.242331</v>
      </c>
      <c r="AK338" t="s">
        <v>207</v>
      </c>
      <c r="AL338">
        <v>-82.382934000000006</v>
      </c>
      <c r="AM338">
        <v>100</v>
      </c>
      <c r="AN338">
        <v>500</v>
      </c>
      <c r="AO338" t="s">
        <v>118</v>
      </c>
      <c r="AP338">
        <v>9</v>
      </c>
      <c r="AQ338">
        <v>86</v>
      </c>
      <c r="AR338">
        <v>640</v>
      </c>
      <c r="AZ338">
        <v>1200</v>
      </c>
      <c r="BA338">
        <v>1</v>
      </c>
      <c r="BB338" t="str">
        <f t="shared" si="136"/>
        <v xml:space="preserve">N711JA  </v>
      </c>
      <c r="BC338">
        <v>1</v>
      </c>
      <c r="BE338">
        <v>0</v>
      </c>
      <c r="BF338">
        <v>0</v>
      </c>
      <c r="BG338">
        <v>0</v>
      </c>
      <c r="BH338">
        <v>550</v>
      </c>
      <c r="BI338">
        <v>1</v>
      </c>
      <c r="BJ338">
        <v>1</v>
      </c>
      <c r="BK338">
        <v>0</v>
      </c>
      <c r="BL338">
        <v>0</v>
      </c>
      <c r="BO338">
        <v>0</v>
      </c>
      <c r="BP338">
        <v>0</v>
      </c>
      <c r="BW338" t="str">
        <f t="shared" si="164"/>
        <v>14:41:32.122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3</v>
      </c>
      <c r="CP338" t="s">
        <v>119</v>
      </c>
      <c r="CQ338">
        <v>358</v>
      </c>
      <c r="CR338">
        <v>0</v>
      </c>
      <c r="CW338">
        <v>4551437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si="161"/>
        <v>05/12/2020 14:41:14.310</v>
      </c>
      <c r="C339" t="str">
        <f t="shared" si="135"/>
        <v>FFDFD3C0</v>
      </c>
      <c r="D339" t="s">
        <v>126</v>
      </c>
      <c r="E339">
        <v>6</v>
      </c>
      <c r="F339">
        <v>1006</v>
      </c>
      <c r="G339" t="s">
        <v>114</v>
      </c>
      <c r="J339" t="s">
        <v>128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162"/>
        <v>14:41:32.117</v>
      </c>
      <c r="T339" t="str">
        <f t="shared" si="163"/>
        <v>14:41:31.717</v>
      </c>
      <c r="U339" t="str">
        <f t="shared" si="156"/>
        <v>A9808D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206</v>
      </c>
      <c r="AJ339">
        <v>28.242331</v>
      </c>
      <c r="AK339" t="s">
        <v>207</v>
      </c>
      <c r="AL339">
        <v>-82.382934000000006</v>
      </c>
      <c r="AM339">
        <v>100</v>
      </c>
      <c r="AN339">
        <v>500</v>
      </c>
      <c r="AO339" t="s">
        <v>118</v>
      </c>
      <c r="AP339">
        <v>9</v>
      </c>
      <c r="AQ339">
        <v>86</v>
      </c>
      <c r="AR339">
        <v>640</v>
      </c>
      <c r="AZ339">
        <v>1200</v>
      </c>
      <c r="BA339">
        <v>1</v>
      </c>
      <c r="BB339" t="str">
        <f t="shared" si="136"/>
        <v xml:space="preserve">N711JA  </v>
      </c>
      <c r="BC339">
        <v>1</v>
      </c>
      <c r="BE339">
        <v>0</v>
      </c>
      <c r="BF339">
        <v>0</v>
      </c>
      <c r="BG339">
        <v>0</v>
      </c>
      <c r="BH339">
        <v>550</v>
      </c>
      <c r="BI339">
        <v>1</v>
      </c>
      <c r="BJ339">
        <v>1</v>
      </c>
      <c r="BK339">
        <v>0</v>
      </c>
      <c r="BL339">
        <v>0</v>
      </c>
      <c r="BO339">
        <v>0</v>
      </c>
      <c r="BP339">
        <v>0</v>
      </c>
      <c r="BW339" t="str">
        <f t="shared" si="164"/>
        <v>14:41:32.122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3</v>
      </c>
      <c r="CP339" t="s">
        <v>119</v>
      </c>
      <c r="CQ339">
        <v>358</v>
      </c>
      <c r="CR339">
        <v>0</v>
      </c>
      <c r="CW339">
        <v>4551437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161"/>
        <v>05/12/2020 14:41:14.310</v>
      </c>
      <c r="C340" t="str">
        <f t="shared" si="135"/>
        <v>FFDFD3C0</v>
      </c>
      <c r="D340" t="s">
        <v>131</v>
      </c>
      <c r="E340">
        <v>12</v>
      </c>
      <c r="F340">
        <v>2012</v>
      </c>
      <c r="G340" t="s">
        <v>137</v>
      </c>
      <c r="J340" t="s">
        <v>133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62"/>
        <v>14:41:32.117</v>
      </c>
      <c r="T340" t="str">
        <f t="shared" si="163"/>
        <v>14:41:31.717</v>
      </c>
      <c r="U340" t="str">
        <f t="shared" si="156"/>
        <v>A9808D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206</v>
      </c>
      <c r="AJ340">
        <v>28.242331</v>
      </c>
      <c r="AK340" t="s">
        <v>207</v>
      </c>
      <c r="AL340">
        <v>-82.382934000000006</v>
      </c>
      <c r="AM340">
        <v>100</v>
      </c>
      <c r="AN340">
        <v>500</v>
      </c>
      <c r="AO340" t="s">
        <v>118</v>
      </c>
      <c r="AP340">
        <v>9</v>
      </c>
      <c r="AQ340">
        <v>86</v>
      </c>
      <c r="AR340">
        <v>640</v>
      </c>
      <c r="AZ340">
        <v>1200</v>
      </c>
      <c r="BA340">
        <v>1</v>
      </c>
      <c r="BB340" t="str">
        <f t="shared" si="136"/>
        <v xml:space="preserve">N711JA  </v>
      </c>
      <c r="BC340">
        <v>1</v>
      </c>
      <c r="BE340">
        <v>0</v>
      </c>
      <c r="BF340">
        <v>0</v>
      </c>
      <c r="BG340">
        <v>0</v>
      </c>
      <c r="BH340">
        <v>550</v>
      </c>
      <c r="BI340">
        <v>1</v>
      </c>
      <c r="BJ340">
        <v>1</v>
      </c>
      <c r="BK340">
        <v>0</v>
      </c>
      <c r="BL340">
        <v>0</v>
      </c>
      <c r="BO340">
        <v>0</v>
      </c>
      <c r="BP340">
        <v>0</v>
      </c>
      <c r="BW340" t="str">
        <f t="shared" si="164"/>
        <v>14:41:32.122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2</v>
      </c>
      <c r="CP340" t="s">
        <v>119</v>
      </c>
      <c r="CQ340">
        <v>8</v>
      </c>
      <c r="CR340">
        <v>3</v>
      </c>
      <c r="CW340">
        <v>8661678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si="161"/>
        <v>05/12/2020 14:41:14.310</v>
      </c>
      <c r="C341" t="str">
        <f t="shared" si="135"/>
        <v>FFDFD3C0</v>
      </c>
      <c r="D341" t="s">
        <v>134</v>
      </c>
      <c r="E341">
        <v>12</v>
      </c>
      <c r="H341">
        <v>64</v>
      </c>
      <c r="I341" t="s">
        <v>135</v>
      </c>
      <c r="J341" t="s">
        <v>136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62"/>
        <v>14:41:32.117</v>
      </c>
      <c r="T341" t="str">
        <f t="shared" si="163"/>
        <v>14:41:31.717</v>
      </c>
      <c r="U341" t="str">
        <f t="shared" si="156"/>
        <v>A9808D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206</v>
      </c>
      <c r="AJ341">
        <v>28.242331</v>
      </c>
      <c r="AK341" t="s">
        <v>207</v>
      </c>
      <c r="AL341">
        <v>-82.382934000000006</v>
      </c>
      <c r="AM341">
        <v>100</v>
      </c>
      <c r="AN341">
        <v>500</v>
      </c>
      <c r="AO341" t="s">
        <v>118</v>
      </c>
      <c r="AP341">
        <v>9</v>
      </c>
      <c r="AQ341">
        <v>86</v>
      </c>
      <c r="AR341">
        <v>640</v>
      </c>
      <c r="AZ341">
        <v>1200</v>
      </c>
      <c r="BA341">
        <v>1</v>
      </c>
      <c r="BB341" t="str">
        <f t="shared" si="136"/>
        <v xml:space="preserve">N711JA  </v>
      </c>
      <c r="BC341">
        <v>1</v>
      </c>
      <c r="BE341">
        <v>0</v>
      </c>
      <c r="BF341">
        <v>0</v>
      </c>
      <c r="BG341">
        <v>0</v>
      </c>
      <c r="BH341">
        <v>550</v>
      </c>
      <c r="BI341">
        <v>1</v>
      </c>
      <c r="BJ341">
        <v>1</v>
      </c>
      <c r="BK341">
        <v>0</v>
      </c>
      <c r="BL341">
        <v>0</v>
      </c>
      <c r="BO341">
        <v>0</v>
      </c>
      <c r="BP341">
        <v>0</v>
      </c>
      <c r="BW341" t="str">
        <f t="shared" si="164"/>
        <v>14:41:32.122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3</v>
      </c>
      <c r="CP341" t="s">
        <v>119</v>
      </c>
      <c r="CQ341">
        <v>358</v>
      </c>
      <c r="CR341">
        <v>0</v>
      </c>
      <c r="CW341">
        <v>4551437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161"/>
        <v>05/12/2020 14:41:14.310</v>
      </c>
      <c r="C342" t="str">
        <f t="shared" ref="C342:C405" si="165">"FFDFD3C0"</f>
        <v>FFDFD3C0</v>
      </c>
      <c r="D342" t="s">
        <v>113</v>
      </c>
      <c r="E342">
        <v>3</v>
      </c>
      <c r="H342">
        <v>164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62"/>
        <v>14:41:32.117</v>
      </c>
      <c r="T342" t="str">
        <f t="shared" si="163"/>
        <v>14:41:31.717</v>
      </c>
      <c r="U342" t="str">
        <f t="shared" si="156"/>
        <v>A9808D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206</v>
      </c>
      <c r="AJ342">
        <v>28.242331</v>
      </c>
      <c r="AK342" t="s">
        <v>207</v>
      </c>
      <c r="AL342">
        <v>-82.382934000000006</v>
      </c>
      <c r="AM342">
        <v>100</v>
      </c>
      <c r="AN342">
        <v>500</v>
      </c>
      <c r="AO342" t="s">
        <v>118</v>
      </c>
      <c r="AP342">
        <v>9</v>
      </c>
      <c r="AQ342">
        <v>86</v>
      </c>
      <c r="AR342">
        <v>640</v>
      </c>
      <c r="AZ342">
        <v>1200</v>
      </c>
      <c r="BA342">
        <v>1</v>
      </c>
      <c r="BB342" t="str">
        <f t="shared" ref="BB342:BB405" si="166">"N711JA  "</f>
        <v xml:space="preserve">N711JA  </v>
      </c>
      <c r="BC342">
        <v>1</v>
      </c>
      <c r="BE342">
        <v>0</v>
      </c>
      <c r="BF342">
        <v>0</v>
      </c>
      <c r="BG342">
        <v>0</v>
      </c>
      <c r="BH342">
        <v>550</v>
      </c>
      <c r="BI342">
        <v>1</v>
      </c>
      <c r="BJ342">
        <v>1</v>
      </c>
      <c r="BK342">
        <v>0</v>
      </c>
      <c r="BL342">
        <v>0</v>
      </c>
      <c r="BO342">
        <v>0</v>
      </c>
      <c r="BP342">
        <v>0</v>
      </c>
      <c r="BW342" t="str">
        <f t="shared" si="164"/>
        <v>14:41:32.122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2</v>
      </c>
      <c r="CP342" t="s">
        <v>119</v>
      </c>
      <c r="CQ342">
        <v>8</v>
      </c>
      <c r="CR342">
        <v>3</v>
      </c>
      <c r="CW342">
        <v>8661678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161"/>
        <v>05/12/2020 14:41:14.310</v>
      </c>
      <c r="C343" t="str">
        <f t="shared" si="165"/>
        <v>FFDFD3C0</v>
      </c>
      <c r="D343" t="s">
        <v>138</v>
      </c>
      <c r="E343">
        <v>2</v>
      </c>
      <c r="H343">
        <v>8</v>
      </c>
      <c r="I343" t="s">
        <v>139</v>
      </c>
      <c r="J343" t="s">
        <v>136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62"/>
        <v>14:41:32.117</v>
      </c>
      <c r="T343" t="str">
        <f t="shared" si="163"/>
        <v>14:41:31.717</v>
      </c>
      <c r="U343" t="str">
        <f t="shared" si="156"/>
        <v>A9808D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206</v>
      </c>
      <c r="AJ343">
        <v>28.242331</v>
      </c>
      <c r="AK343" t="s">
        <v>207</v>
      </c>
      <c r="AL343">
        <v>-82.382934000000006</v>
      </c>
      <c r="AM343">
        <v>100</v>
      </c>
      <c r="AN343">
        <v>500</v>
      </c>
      <c r="AO343" t="s">
        <v>118</v>
      </c>
      <c r="AP343">
        <v>9</v>
      </c>
      <c r="AQ343">
        <v>86</v>
      </c>
      <c r="AR343">
        <v>640</v>
      </c>
      <c r="AZ343">
        <v>1200</v>
      </c>
      <c r="BA343">
        <v>1</v>
      </c>
      <c r="BB343" t="str">
        <f t="shared" si="166"/>
        <v xml:space="preserve">N711JA  </v>
      </c>
      <c r="BC343">
        <v>1</v>
      </c>
      <c r="BE343">
        <v>0</v>
      </c>
      <c r="BF343">
        <v>0</v>
      </c>
      <c r="BG343">
        <v>0</v>
      </c>
      <c r="BH343">
        <v>550</v>
      </c>
      <c r="BI343">
        <v>1</v>
      </c>
      <c r="BJ343">
        <v>1</v>
      </c>
      <c r="BK343">
        <v>0</v>
      </c>
      <c r="BL343">
        <v>0</v>
      </c>
      <c r="BO343">
        <v>0</v>
      </c>
      <c r="BP343">
        <v>0</v>
      </c>
      <c r="BW343" t="str">
        <f t="shared" si="164"/>
        <v>14:41:32.122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2</v>
      </c>
      <c r="CP343" t="s">
        <v>119</v>
      </c>
      <c r="CQ343">
        <v>8</v>
      </c>
      <c r="CR343">
        <v>3</v>
      </c>
      <c r="CW343">
        <v>8661678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si="161"/>
        <v>05/12/2020 14:41:14.310</v>
      </c>
      <c r="C344" t="str">
        <f t="shared" si="165"/>
        <v>FFDFD3C0</v>
      </c>
      <c r="D344" t="s">
        <v>138</v>
      </c>
      <c r="E344">
        <v>3</v>
      </c>
      <c r="H344">
        <v>9</v>
      </c>
      <c r="I344" t="s">
        <v>140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62"/>
        <v>14:41:32.117</v>
      </c>
      <c r="T344" t="str">
        <f t="shared" si="163"/>
        <v>14:41:31.717</v>
      </c>
      <c r="U344" t="str">
        <f t="shared" si="156"/>
        <v>A9808D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206</v>
      </c>
      <c r="AJ344">
        <v>28.242331</v>
      </c>
      <c r="AK344" t="s">
        <v>207</v>
      </c>
      <c r="AL344">
        <v>-82.382934000000006</v>
      </c>
      <c r="AM344">
        <v>100</v>
      </c>
      <c r="AN344">
        <v>500</v>
      </c>
      <c r="AO344" t="s">
        <v>118</v>
      </c>
      <c r="AP344">
        <v>9</v>
      </c>
      <c r="AQ344">
        <v>86</v>
      </c>
      <c r="AR344">
        <v>640</v>
      </c>
      <c r="AZ344">
        <v>1200</v>
      </c>
      <c r="BA344">
        <v>1</v>
      </c>
      <c r="BB344" t="str">
        <f t="shared" si="166"/>
        <v xml:space="preserve">N711JA  </v>
      </c>
      <c r="BC344">
        <v>1</v>
      </c>
      <c r="BE344">
        <v>0</v>
      </c>
      <c r="BF344">
        <v>0</v>
      </c>
      <c r="BG344">
        <v>0</v>
      </c>
      <c r="BH344">
        <v>550</v>
      </c>
      <c r="BI344">
        <v>1</v>
      </c>
      <c r="BJ344">
        <v>1</v>
      </c>
      <c r="BK344">
        <v>0</v>
      </c>
      <c r="BL344">
        <v>0</v>
      </c>
      <c r="BO344">
        <v>0</v>
      </c>
      <c r="BP344">
        <v>0</v>
      </c>
      <c r="BW344" t="str">
        <f t="shared" si="164"/>
        <v>14:41:32.122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3</v>
      </c>
      <c r="CP344" t="s">
        <v>119</v>
      </c>
      <c r="CQ344">
        <v>358</v>
      </c>
      <c r="CR344">
        <v>0</v>
      </c>
      <c r="CW344">
        <v>4551437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 t="shared" ref="A345:A353" si="167">"05/12/2020 14:41:15.422"</f>
        <v>05/12/2020 14:41:15.422</v>
      </c>
      <c r="C345" t="str">
        <f t="shared" si="165"/>
        <v>FFDFD3C0</v>
      </c>
      <c r="D345" t="s">
        <v>126</v>
      </c>
      <c r="E345">
        <v>6</v>
      </c>
      <c r="F345">
        <v>1006</v>
      </c>
      <c r="G345" t="s">
        <v>114</v>
      </c>
      <c r="J345" t="s">
        <v>128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T353" si="168">"14:41:33.234"</f>
        <v>14:41:33.234</v>
      </c>
      <c r="T345" t="str">
        <f t="shared" si="168"/>
        <v>14:41:33.234</v>
      </c>
      <c r="U345" t="str">
        <f t="shared" si="156"/>
        <v>A9808D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208</v>
      </c>
      <c r="AJ345">
        <v>28.242781000000001</v>
      </c>
      <c r="AK345" t="s">
        <v>209</v>
      </c>
      <c r="AL345">
        <v>-82.382869999999997</v>
      </c>
      <c r="AM345">
        <v>100</v>
      </c>
      <c r="AN345">
        <v>500</v>
      </c>
      <c r="AO345" t="s">
        <v>118</v>
      </c>
      <c r="AP345">
        <v>11</v>
      </c>
      <c r="AQ345">
        <v>85</v>
      </c>
      <c r="AR345">
        <v>576</v>
      </c>
      <c r="AZ345">
        <v>1200</v>
      </c>
      <c r="BA345">
        <v>1</v>
      </c>
      <c r="BB345" t="str">
        <f t="shared" si="166"/>
        <v xml:space="preserve">N711JA  </v>
      </c>
      <c r="BC345">
        <v>1</v>
      </c>
      <c r="BE345">
        <v>0</v>
      </c>
      <c r="BF345">
        <v>0</v>
      </c>
      <c r="BG345">
        <v>0</v>
      </c>
      <c r="BH345">
        <v>575</v>
      </c>
      <c r="BI345">
        <v>1</v>
      </c>
      <c r="BJ345">
        <v>1</v>
      </c>
      <c r="BK345">
        <v>0</v>
      </c>
      <c r="BL345">
        <v>0</v>
      </c>
      <c r="BO345">
        <v>0</v>
      </c>
      <c r="BP345">
        <v>0</v>
      </c>
      <c r="BW345" t="str">
        <f t="shared" ref="BW345:BW353" si="169">"14:41:33.238"</f>
        <v>14:41:33.238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343</v>
      </c>
      <c r="CR345">
        <v>0</v>
      </c>
      <c r="CW345">
        <v>5601119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 t="shared" si="167"/>
        <v>05/12/2020 14:41:15.422</v>
      </c>
      <c r="C346" t="str">
        <f t="shared" si="165"/>
        <v>FFDFD3C0</v>
      </c>
      <c r="D346" t="s">
        <v>134</v>
      </c>
      <c r="E346">
        <v>12</v>
      </c>
      <c r="H346">
        <v>64</v>
      </c>
      <c r="I346" t="s">
        <v>135</v>
      </c>
      <c r="J346" t="s">
        <v>136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68"/>
        <v>14:41:33.234</v>
      </c>
      <c r="T346" t="str">
        <f t="shared" si="168"/>
        <v>14:41:33.234</v>
      </c>
      <c r="U346" t="str">
        <f t="shared" si="156"/>
        <v>A9808D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208</v>
      </c>
      <c r="AJ346">
        <v>28.242781000000001</v>
      </c>
      <c r="AK346" t="s">
        <v>209</v>
      </c>
      <c r="AL346">
        <v>-82.382869999999997</v>
      </c>
      <c r="AM346">
        <v>100</v>
      </c>
      <c r="AN346">
        <v>500</v>
      </c>
      <c r="AO346" t="s">
        <v>118</v>
      </c>
      <c r="AP346">
        <v>11</v>
      </c>
      <c r="AQ346">
        <v>85</v>
      </c>
      <c r="AR346">
        <v>576</v>
      </c>
      <c r="AZ346">
        <v>1200</v>
      </c>
      <c r="BA346">
        <v>1</v>
      </c>
      <c r="BB346" t="str">
        <f t="shared" si="166"/>
        <v xml:space="preserve">N711JA  </v>
      </c>
      <c r="BC346">
        <v>1</v>
      </c>
      <c r="BE346">
        <v>0</v>
      </c>
      <c r="BF346">
        <v>0</v>
      </c>
      <c r="BG346">
        <v>0</v>
      </c>
      <c r="BH346">
        <v>575</v>
      </c>
      <c r="BI346">
        <v>1</v>
      </c>
      <c r="BJ346">
        <v>1</v>
      </c>
      <c r="BK346">
        <v>0</v>
      </c>
      <c r="BL346">
        <v>0</v>
      </c>
      <c r="BO346">
        <v>0</v>
      </c>
      <c r="BP346">
        <v>0</v>
      </c>
      <c r="BW346" t="str">
        <f t="shared" si="169"/>
        <v>14:41:33.238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343</v>
      </c>
      <c r="CR346">
        <v>0</v>
      </c>
      <c r="CW346">
        <v>5601119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 t="shared" si="167"/>
        <v>05/12/2020 14:41:15.422</v>
      </c>
      <c r="C347" t="str">
        <f t="shared" si="165"/>
        <v>FFDFD3C0</v>
      </c>
      <c r="D347" t="s">
        <v>113</v>
      </c>
      <c r="E347">
        <v>3</v>
      </c>
      <c r="H347">
        <v>164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68"/>
        <v>14:41:33.234</v>
      </c>
      <c r="T347" t="str">
        <f t="shared" si="168"/>
        <v>14:41:33.234</v>
      </c>
      <c r="U347" t="str">
        <f t="shared" si="156"/>
        <v>A9808D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208</v>
      </c>
      <c r="AJ347">
        <v>28.242781000000001</v>
      </c>
      <c r="AK347" t="s">
        <v>209</v>
      </c>
      <c r="AL347">
        <v>-82.382869999999997</v>
      </c>
      <c r="AM347">
        <v>100</v>
      </c>
      <c r="AN347">
        <v>500</v>
      </c>
      <c r="AO347" t="s">
        <v>118</v>
      </c>
      <c r="AP347">
        <v>11</v>
      </c>
      <c r="AQ347">
        <v>85</v>
      </c>
      <c r="AR347">
        <v>576</v>
      </c>
      <c r="AZ347">
        <v>1200</v>
      </c>
      <c r="BA347">
        <v>1</v>
      </c>
      <c r="BB347" t="str">
        <f t="shared" si="166"/>
        <v xml:space="preserve">N711JA  </v>
      </c>
      <c r="BC347">
        <v>1</v>
      </c>
      <c r="BE347">
        <v>0</v>
      </c>
      <c r="BF347">
        <v>0</v>
      </c>
      <c r="BG347">
        <v>0</v>
      </c>
      <c r="BH347">
        <v>575</v>
      </c>
      <c r="BI347">
        <v>1</v>
      </c>
      <c r="BJ347">
        <v>1</v>
      </c>
      <c r="BK347">
        <v>0</v>
      </c>
      <c r="BL347">
        <v>0</v>
      </c>
      <c r="BO347">
        <v>0</v>
      </c>
      <c r="BP347">
        <v>0</v>
      </c>
      <c r="BW347" t="str">
        <f t="shared" si="169"/>
        <v>14:41:33.238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343</v>
      </c>
      <c r="CR347">
        <v>0</v>
      </c>
      <c r="CW347">
        <v>5601119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 t="shared" si="167"/>
        <v>05/12/2020 14:41:15.422</v>
      </c>
      <c r="C348" t="str">
        <f t="shared" si="165"/>
        <v>FFDFD3C0</v>
      </c>
      <c r="D348" t="s">
        <v>138</v>
      </c>
      <c r="E348">
        <v>2</v>
      </c>
      <c r="H348">
        <v>8</v>
      </c>
      <c r="I348" t="s">
        <v>139</v>
      </c>
      <c r="J348" t="s">
        <v>136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68"/>
        <v>14:41:33.234</v>
      </c>
      <c r="T348" t="str">
        <f t="shared" si="168"/>
        <v>14:41:33.234</v>
      </c>
      <c r="U348" t="str">
        <f t="shared" si="156"/>
        <v>A9808D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208</v>
      </c>
      <c r="AJ348">
        <v>28.242781000000001</v>
      </c>
      <c r="AK348" t="s">
        <v>209</v>
      </c>
      <c r="AL348">
        <v>-82.382869999999997</v>
      </c>
      <c r="AM348">
        <v>100</v>
      </c>
      <c r="AN348">
        <v>500</v>
      </c>
      <c r="AO348" t="s">
        <v>118</v>
      </c>
      <c r="AP348">
        <v>11</v>
      </c>
      <c r="AQ348">
        <v>85</v>
      </c>
      <c r="AR348">
        <v>576</v>
      </c>
      <c r="AZ348">
        <v>1200</v>
      </c>
      <c r="BA348">
        <v>1</v>
      </c>
      <c r="BB348" t="str">
        <f t="shared" si="166"/>
        <v xml:space="preserve">N711JA  </v>
      </c>
      <c r="BC348">
        <v>1</v>
      </c>
      <c r="BE348">
        <v>0</v>
      </c>
      <c r="BF348">
        <v>0</v>
      </c>
      <c r="BG348">
        <v>0</v>
      </c>
      <c r="BH348">
        <v>575</v>
      </c>
      <c r="BI348">
        <v>1</v>
      </c>
      <c r="BJ348">
        <v>1</v>
      </c>
      <c r="BK348">
        <v>0</v>
      </c>
      <c r="BL348">
        <v>0</v>
      </c>
      <c r="BO348">
        <v>0</v>
      </c>
      <c r="BP348">
        <v>0</v>
      </c>
      <c r="BW348" t="str">
        <f t="shared" si="169"/>
        <v>14:41:33.238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343</v>
      </c>
      <c r="CR348">
        <v>0</v>
      </c>
      <c r="CW348">
        <v>5601119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 t="shared" si="167"/>
        <v>05/12/2020 14:41:15.422</v>
      </c>
      <c r="C349" t="str">
        <f t="shared" si="165"/>
        <v>FFDFD3C0</v>
      </c>
      <c r="D349" t="s">
        <v>138</v>
      </c>
      <c r="E349">
        <v>3</v>
      </c>
      <c r="H349">
        <v>9</v>
      </c>
      <c r="I349" t="s">
        <v>140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68"/>
        <v>14:41:33.234</v>
      </c>
      <c r="T349" t="str">
        <f t="shared" si="168"/>
        <v>14:41:33.234</v>
      </c>
      <c r="U349" t="str">
        <f t="shared" si="156"/>
        <v>A9808D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208</v>
      </c>
      <c r="AJ349">
        <v>28.242781000000001</v>
      </c>
      <c r="AK349" t="s">
        <v>209</v>
      </c>
      <c r="AL349">
        <v>-82.382869999999997</v>
      </c>
      <c r="AM349">
        <v>100</v>
      </c>
      <c r="AN349">
        <v>500</v>
      </c>
      <c r="AO349" t="s">
        <v>118</v>
      </c>
      <c r="AP349">
        <v>11</v>
      </c>
      <c r="AQ349">
        <v>85</v>
      </c>
      <c r="AR349">
        <v>576</v>
      </c>
      <c r="AZ349">
        <v>1200</v>
      </c>
      <c r="BA349">
        <v>1</v>
      </c>
      <c r="BB349" t="str">
        <f t="shared" si="166"/>
        <v xml:space="preserve">N711JA  </v>
      </c>
      <c r="BC349">
        <v>1</v>
      </c>
      <c r="BE349">
        <v>0</v>
      </c>
      <c r="BF349">
        <v>0</v>
      </c>
      <c r="BG349">
        <v>0</v>
      </c>
      <c r="BH349">
        <v>575</v>
      </c>
      <c r="BI349">
        <v>1</v>
      </c>
      <c r="BJ349">
        <v>1</v>
      </c>
      <c r="BK349">
        <v>0</v>
      </c>
      <c r="BL349">
        <v>0</v>
      </c>
      <c r="BO349">
        <v>0</v>
      </c>
      <c r="BP349">
        <v>0</v>
      </c>
      <c r="BW349" t="str">
        <f t="shared" si="169"/>
        <v>14:41:33.238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343</v>
      </c>
      <c r="CR349">
        <v>0</v>
      </c>
      <c r="CW349">
        <v>5601119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 t="shared" si="167"/>
        <v>05/12/2020 14:41:15.422</v>
      </c>
      <c r="C350" t="str">
        <f t="shared" si="165"/>
        <v>FFDFD3C0</v>
      </c>
      <c r="D350" t="s">
        <v>131</v>
      </c>
      <c r="E350">
        <v>10</v>
      </c>
      <c r="F350">
        <v>2010</v>
      </c>
      <c r="G350" t="s">
        <v>132</v>
      </c>
      <c r="J350" t="s">
        <v>133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68"/>
        <v>14:41:33.234</v>
      </c>
      <c r="T350" t="str">
        <f t="shared" si="168"/>
        <v>14:41:33.234</v>
      </c>
      <c r="U350" t="str">
        <f t="shared" si="156"/>
        <v>A9808D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208</v>
      </c>
      <c r="AJ350">
        <v>28.242781000000001</v>
      </c>
      <c r="AK350" t="s">
        <v>209</v>
      </c>
      <c r="AL350">
        <v>-82.382869999999997</v>
      </c>
      <c r="AM350">
        <v>100</v>
      </c>
      <c r="AN350">
        <v>500</v>
      </c>
      <c r="AO350" t="s">
        <v>118</v>
      </c>
      <c r="AP350">
        <v>11</v>
      </c>
      <c r="AQ350">
        <v>85</v>
      </c>
      <c r="AR350">
        <v>576</v>
      </c>
      <c r="AZ350">
        <v>1200</v>
      </c>
      <c r="BA350">
        <v>1</v>
      </c>
      <c r="BB350" t="str">
        <f t="shared" si="166"/>
        <v xml:space="preserve">N711JA  </v>
      </c>
      <c r="BC350">
        <v>1</v>
      </c>
      <c r="BE350">
        <v>0</v>
      </c>
      <c r="BF350">
        <v>0</v>
      </c>
      <c r="BG350">
        <v>0</v>
      </c>
      <c r="BH350">
        <v>575</v>
      </c>
      <c r="BI350">
        <v>1</v>
      </c>
      <c r="BJ350">
        <v>1</v>
      </c>
      <c r="BK350">
        <v>0</v>
      </c>
      <c r="BL350">
        <v>0</v>
      </c>
      <c r="BO350">
        <v>0</v>
      </c>
      <c r="BP350">
        <v>0</v>
      </c>
      <c r="BW350" t="str">
        <f t="shared" si="169"/>
        <v>14:41:33.238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343</v>
      </c>
      <c r="CR350">
        <v>0</v>
      </c>
      <c r="CW350">
        <v>5601119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 t="shared" si="167"/>
        <v>05/12/2020 14:41:15.422</v>
      </c>
      <c r="C351" t="str">
        <f t="shared" si="165"/>
        <v>FFDFD3C0</v>
      </c>
      <c r="D351" t="s">
        <v>126</v>
      </c>
      <c r="E351">
        <v>7</v>
      </c>
      <c r="F351">
        <v>1007</v>
      </c>
      <c r="G351" t="s">
        <v>127</v>
      </c>
      <c r="J351" t="s">
        <v>128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68"/>
        <v>14:41:33.234</v>
      </c>
      <c r="T351" t="str">
        <f t="shared" si="168"/>
        <v>14:41:33.234</v>
      </c>
      <c r="U351" t="str">
        <f t="shared" si="156"/>
        <v>A9808D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208</v>
      </c>
      <c r="AJ351">
        <v>28.242781000000001</v>
      </c>
      <c r="AK351" t="s">
        <v>209</v>
      </c>
      <c r="AL351">
        <v>-82.382869999999997</v>
      </c>
      <c r="AM351">
        <v>100</v>
      </c>
      <c r="AN351">
        <v>500</v>
      </c>
      <c r="AO351" t="s">
        <v>118</v>
      </c>
      <c r="AP351">
        <v>11</v>
      </c>
      <c r="AQ351">
        <v>85</v>
      </c>
      <c r="AR351">
        <v>576</v>
      </c>
      <c r="AZ351">
        <v>1200</v>
      </c>
      <c r="BA351">
        <v>1</v>
      </c>
      <c r="BB351" t="str">
        <f t="shared" si="166"/>
        <v xml:space="preserve">N711JA  </v>
      </c>
      <c r="BC351">
        <v>1</v>
      </c>
      <c r="BE351">
        <v>0</v>
      </c>
      <c r="BF351">
        <v>0</v>
      </c>
      <c r="BG351">
        <v>0</v>
      </c>
      <c r="BH351">
        <v>575</v>
      </c>
      <c r="BI351">
        <v>1</v>
      </c>
      <c r="BJ351">
        <v>1</v>
      </c>
      <c r="BK351">
        <v>0</v>
      </c>
      <c r="BL351">
        <v>0</v>
      </c>
      <c r="BO351">
        <v>0</v>
      </c>
      <c r="BP351">
        <v>0</v>
      </c>
      <c r="BW351" t="str">
        <f t="shared" si="169"/>
        <v>14:41:33.238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343</v>
      </c>
      <c r="CR351">
        <v>0</v>
      </c>
      <c r="CW351">
        <v>5601119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 t="shared" si="167"/>
        <v>05/12/2020 14:41:15.422</v>
      </c>
      <c r="C352" t="str">
        <f t="shared" si="165"/>
        <v>FFDFD3C0</v>
      </c>
      <c r="D352" t="s">
        <v>131</v>
      </c>
      <c r="E352">
        <v>18</v>
      </c>
      <c r="F352">
        <v>2018</v>
      </c>
      <c r="G352" t="s">
        <v>161</v>
      </c>
      <c r="J352" t="s">
        <v>133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68"/>
        <v>14:41:33.234</v>
      </c>
      <c r="T352" t="str">
        <f t="shared" si="168"/>
        <v>14:41:33.234</v>
      </c>
      <c r="U352" t="str">
        <f t="shared" si="156"/>
        <v>A9808D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208</v>
      </c>
      <c r="AJ352">
        <v>28.242781000000001</v>
      </c>
      <c r="AK352" t="s">
        <v>209</v>
      </c>
      <c r="AL352">
        <v>-82.382869999999997</v>
      </c>
      <c r="AM352">
        <v>100</v>
      </c>
      <c r="AN352">
        <v>500</v>
      </c>
      <c r="AO352" t="s">
        <v>118</v>
      </c>
      <c r="AP352">
        <v>11</v>
      </c>
      <c r="AQ352">
        <v>85</v>
      </c>
      <c r="AR352">
        <v>576</v>
      </c>
      <c r="AZ352">
        <v>1200</v>
      </c>
      <c r="BA352">
        <v>1</v>
      </c>
      <c r="BB352" t="str">
        <f t="shared" si="166"/>
        <v xml:space="preserve">N711JA  </v>
      </c>
      <c r="BC352">
        <v>1</v>
      </c>
      <c r="BE352">
        <v>0</v>
      </c>
      <c r="BF352">
        <v>0</v>
      </c>
      <c r="BG352">
        <v>0</v>
      </c>
      <c r="BH352">
        <v>575</v>
      </c>
      <c r="BI352">
        <v>1</v>
      </c>
      <c r="BJ352">
        <v>1</v>
      </c>
      <c r="BK352">
        <v>0</v>
      </c>
      <c r="BL352">
        <v>0</v>
      </c>
      <c r="BO352">
        <v>0</v>
      </c>
      <c r="BP352">
        <v>0</v>
      </c>
      <c r="BW352" t="str">
        <f t="shared" si="169"/>
        <v>14:41:33.238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343</v>
      </c>
      <c r="CR352">
        <v>0</v>
      </c>
      <c r="CW352">
        <v>5601119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 t="shared" si="167"/>
        <v>05/12/2020 14:41:15.422</v>
      </c>
      <c r="C353" t="str">
        <f t="shared" si="165"/>
        <v>FFDFD3C0</v>
      </c>
      <c r="D353" t="s">
        <v>131</v>
      </c>
      <c r="E353">
        <v>12</v>
      </c>
      <c r="F353">
        <v>2012</v>
      </c>
      <c r="G353" t="s">
        <v>137</v>
      </c>
      <c r="J353" t="s">
        <v>133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68"/>
        <v>14:41:33.234</v>
      </c>
      <c r="T353" t="str">
        <f t="shared" si="168"/>
        <v>14:41:33.234</v>
      </c>
      <c r="U353" t="str">
        <f t="shared" si="156"/>
        <v>A9808D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208</v>
      </c>
      <c r="AJ353">
        <v>28.242781000000001</v>
      </c>
      <c r="AK353" t="s">
        <v>209</v>
      </c>
      <c r="AL353">
        <v>-82.382869999999997</v>
      </c>
      <c r="AM353">
        <v>100</v>
      </c>
      <c r="AN353">
        <v>500</v>
      </c>
      <c r="AO353" t="s">
        <v>118</v>
      </c>
      <c r="AP353">
        <v>11</v>
      </c>
      <c r="AQ353">
        <v>85</v>
      </c>
      <c r="AR353">
        <v>576</v>
      </c>
      <c r="AZ353">
        <v>1200</v>
      </c>
      <c r="BA353">
        <v>1</v>
      </c>
      <c r="BB353" t="str">
        <f t="shared" si="166"/>
        <v xml:space="preserve">N711JA  </v>
      </c>
      <c r="BC353">
        <v>1</v>
      </c>
      <c r="BE353">
        <v>0</v>
      </c>
      <c r="BF353">
        <v>0</v>
      </c>
      <c r="BG353">
        <v>0</v>
      </c>
      <c r="BH353">
        <v>575</v>
      </c>
      <c r="BI353">
        <v>1</v>
      </c>
      <c r="BJ353">
        <v>1</v>
      </c>
      <c r="BK353">
        <v>0</v>
      </c>
      <c r="BL353">
        <v>0</v>
      </c>
      <c r="BO353">
        <v>0</v>
      </c>
      <c r="BP353">
        <v>0</v>
      </c>
      <c r="BW353" t="str">
        <f t="shared" si="169"/>
        <v>14:41:33.238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343</v>
      </c>
      <c r="CR353">
        <v>0</v>
      </c>
      <c r="CW353">
        <v>5601119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 t="shared" ref="A354:A361" si="170">"05/12/2020 14:41:16.357"</f>
        <v>05/12/2020 14:41:16.357</v>
      </c>
      <c r="C354" t="str">
        <f t="shared" si="165"/>
        <v>FFDFD3C0</v>
      </c>
      <c r="D354" t="s">
        <v>134</v>
      </c>
      <c r="E354">
        <v>12</v>
      </c>
      <c r="H354">
        <v>64</v>
      </c>
      <c r="I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ref="S354:S361" si="171">"14:41:34.172"</f>
        <v>14:41:34.172</v>
      </c>
      <c r="T354" t="str">
        <f t="shared" ref="T354:T361" si="172">"14:41:33.772"</f>
        <v>14:41:33.772</v>
      </c>
      <c r="U354" t="str">
        <f t="shared" si="156"/>
        <v>A9808D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210</v>
      </c>
      <c r="AJ354">
        <v>28.243145999999999</v>
      </c>
      <c r="AK354" t="s">
        <v>211</v>
      </c>
      <c r="AL354">
        <v>-82.382784000000001</v>
      </c>
      <c r="AM354">
        <v>100</v>
      </c>
      <c r="AN354">
        <v>500</v>
      </c>
      <c r="AO354" t="s">
        <v>118</v>
      </c>
      <c r="AP354">
        <v>11</v>
      </c>
      <c r="AQ354">
        <v>85</v>
      </c>
      <c r="AR354">
        <v>576</v>
      </c>
      <c r="AZ354">
        <v>1200</v>
      </c>
      <c r="BA354">
        <v>1</v>
      </c>
      <c r="BB354" t="str">
        <f t="shared" si="166"/>
        <v xml:space="preserve">N711JA  </v>
      </c>
      <c r="BC354">
        <v>1</v>
      </c>
      <c r="BE354">
        <v>0</v>
      </c>
      <c r="BF354">
        <v>0</v>
      </c>
      <c r="BG354">
        <v>0</v>
      </c>
      <c r="BH354">
        <v>575</v>
      </c>
      <c r="BI354">
        <v>1</v>
      </c>
      <c r="BJ354">
        <v>1</v>
      </c>
      <c r="BK354">
        <v>0</v>
      </c>
      <c r="BL354">
        <v>0</v>
      </c>
      <c r="BO354">
        <v>0</v>
      </c>
      <c r="BP354">
        <v>0</v>
      </c>
      <c r="BW354" t="str">
        <f t="shared" ref="BW354:BW361" si="173">"14:41:34.178"</f>
        <v>14:41:34.178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4</v>
      </c>
      <c r="CP354" t="s">
        <v>119</v>
      </c>
      <c r="CQ354">
        <v>358</v>
      </c>
      <c r="CR354">
        <v>0</v>
      </c>
      <c r="CW354">
        <v>4553997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 t="shared" si="170"/>
        <v>05/12/2020 14:41:16.357</v>
      </c>
      <c r="C355" t="str">
        <f t="shared" si="165"/>
        <v>FFDFD3C0</v>
      </c>
      <c r="D355" t="s">
        <v>113</v>
      </c>
      <c r="E355">
        <v>3</v>
      </c>
      <c r="H355">
        <v>164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71"/>
        <v>14:41:34.172</v>
      </c>
      <c r="T355" t="str">
        <f t="shared" si="172"/>
        <v>14:41:33.772</v>
      </c>
      <c r="U355" t="str">
        <f t="shared" si="156"/>
        <v>A9808D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210</v>
      </c>
      <c r="AJ355">
        <v>28.243145999999999</v>
      </c>
      <c r="AK355" t="s">
        <v>211</v>
      </c>
      <c r="AL355">
        <v>-82.382784000000001</v>
      </c>
      <c r="AM355">
        <v>100</v>
      </c>
      <c r="AN355">
        <v>500</v>
      </c>
      <c r="AO355" t="s">
        <v>118</v>
      </c>
      <c r="AP355">
        <v>11</v>
      </c>
      <c r="AQ355">
        <v>85</v>
      </c>
      <c r="AR355">
        <v>576</v>
      </c>
      <c r="AZ355">
        <v>1200</v>
      </c>
      <c r="BA355">
        <v>1</v>
      </c>
      <c r="BB355" t="str">
        <f t="shared" si="166"/>
        <v xml:space="preserve">N711JA  </v>
      </c>
      <c r="BC355">
        <v>1</v>
      </c>
      <c r="BE355">
        <v>0</v>
      </c>
      <c r="BF355">
        <v>0</v>
      </c>
      <c r="BG355">
        <v>0</v>
      </c>
      <c r="BH355">
        <v>575</v>
      </c>
      <c r="BI355">
        <v>1</v>
      </c>
      <c r="BJ355">
        <v>1</v>
      </c>
      <c r="BK355">
        <v>0</v>
      </c>
      <c r="BL355">
        <v>0</v>
      </c>
      <c r="BO355">
        <v>0</v>
      </c>
      <c r="BP355">
        <v>0</v>
      </c>
      <c r="BW355" t="str">
        <f t="shared" si="173"/>
        <v>14:41:34.178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3</v>
      </c>
      <c r="CP355" t="s">
        <v>119</v>
      </c>
      <c r="CQ355">
        <v>8</v>
      </c>
      <c r="CR355">
        <v>3</v>
      </c>
      <c r="CW355">
        <v>8663894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 t="shared" si="170"/>
        <v>05/12/2020 14:41:16.357</v>
      </c>
      <c r="C356" t="str">
        <f t="shared" si="165"/>
        <v>FFDFD3C0</v>
      </c>
      <c r="D356" t="s">
        <v>138</v>
      </c>
      <c r="E356">
        <v>2</v>
      </c>
      <c r="H356">
        <v>8</v>
      </c>
      <c r="I356" t="s">
        <v>139</v>
      </c>
      <c r="J356" t="s">
        <v>136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171"/>
        <v>14:41:34.172</v>
      </c>
      <c r="T356" t="str">
        <f t="shared" si="172"/>
        <v>14:41:33.772</v>
      </c>
      <c r="U356" t="str">
        <f t="shared" si="156"/>
        <v>A9808D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210</v>
      </c>
      <c r="AJ356">
        <v>28.243145999999999</v>
      </c>
      <c r="AK356" t="s">
        <v>211</v>
      </c>
      <c r="AL356">
        <v>-82.382784000000001</v>
      </c>
      <c r="AM356">
        <v>100</v>
      </c>
      <c r="AN356">
        <v>500</v>
      </c>
      <c r="AO356" t="s">
        <v>118</v>
      </c>
      <c r="AP356">
        <v>11</v>
      </c>
      <c r="AQ356">
        <v>85</v>
      </c>
      <c r="AR356">
        <v>576</v>
      </c>
      <c r="AZ356">
        <v>1200</v>
      </c>
      <c r="BA356">
        <v>1</v>
      </c>
      <c r="BB356" t="str">
        <f t="shared" si="166"/>
        <v xml:space="preserve">N711JA  </v>
      </c>
      <c r="BC356">
        <v>1</v>
      </c>
      <c r="BE356">
        <v>0</v>
      </c>
      <c r="BF356">
        <v>0</v>
      </c>
      <c r="BG356">
        <v>0</v>
      </c>
      <c r="BH356">
        <v>575</v>
      </c>
      <c r="BI356">
        <v>1</v>
      </c>
      <c r="BJ356">
        <v>1</v>
      </c>
      <c r="BK356">
        <v>0</v>
      </c>
      <c r="BL356">
        <v>0</v>
      </c>
      <c r="BO356">
        <v>0</v>
      </c>
      <c r="BP356">
        <v>0</v>
      </c>
      <c r="BW356" t="str">
        <f t="shared" si="173"/>
        <v>14:41:34.178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3</v>
      </c>
      <c r="CP356" t="s">
        <v>119</v>
      </c>
      <c r="CQ356">
        <v>8</v>
      </c>
      <c r="CR356">
        <v>3</v>
      </c>
      <c r="CW356">
        <v>8663894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si="170"/>
        <v>05/12/2020 14:41:16.357</v>
      </c>
      <c r="C357" t="str">
        <f t="shared" si="165"/>
        <v>FFDFD3C0</v>
      </c>
      <c r="D357" t="s">
        <v>131</v>
      </c>
      <c r="E357">
        <v>10</v>
      </c>
      <c r="F357">
        <v>2010</v>
      </c>
      <c r="G357" t="s">
        <v>132</v>
      </c>
      <c r="J357" t="s">
        <v>133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171"/>
        <v>14:41:34.172</v>
      </c>
      <c r="T357" t="str">
        <f t="shared" si="172"/>
        <v>14:41:33.772</v>
      </c>
      <c r="U357" t="str">
        <f t="shared" si="156"/>
        <v>A9808D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210</v>
      </c>
      <c r="AJ357">
        <v>28.243145999999999</v>
      </c>
      <c r="AK357" t="s">
        <v>211</v>
      </c>
      <c r="AL357">
        <v>-82.382784000000001</v>
      </c>
      <c r="AM357">
        <v>100</v>
      </c>
      <c r="AN357">
        <v>500</v>
      </c>
      <c r="AO357" t="s">
        <v>118</v>
      </c>
      <c r="AP357">
        <v>11</v>
      </c>
      <c r="AQ357">
        <v>85</v>
      </c>
      <c r="AR357">
        <v>576</v>
      </c>
      <c r="AZ357">
        <v>1200</v>
      </c>
      <c r="BA357">
        <v>1</v>
      </c>
      <c r="BB357" t="str">
        <f t="shared" si="166"/>
        <v xml:space="preserve">N711JA  </v>
      </c>
      <c r="BC357">
        <v>1</v>
      </c>
      <c r="BE357">
        <v>0</v>
      </c>
      <c r="BF357">
        <v>0</v>
      </c>
      <c r="BG357">
        <v>0</v>
      </c>
      <c r="BH357">
        <v>575</v>
      </c>
      <c r="BI357">
        <v>1</v>
      </c>
      <c r="BJ357">
        <v>1</v>
      </c>
      <c r="BK357">
        <v>0</v>
      </c>
      <c r="BL357">
        <v>0</v>
      </c>
      <c r="BO357">
        <v>0</v>
      </c>
      <c r="BP357">
        <v>0</v>
      </c>
      <c r="BW357" t="str">
        <f t="shared" si="173"/>
        <v>14:41:34.178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4</v>
      </c>
      <c r="CP357" t="s">
        <v>119</v>
      </c>
      <c r="CQ357">
        <v>358</v>
      </c>
      <c r="CR357">
        <v>0</v>
      </c>
      <c r="CW357">
        <v>4553997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170"/>
        <v>05/12/2020 14:41:16.357</v>
      </c>
      <c r="C358" t="str">
        <f t="shared" si="165"/>
        <v>FFDFD3C0</v>
      </c>
      <c r="D358" t="s">
        <v>126</v>
      </c>
      <c r="E358">
        <v>7</v>
      </c>
      <c r="F358">
        <v>1007</v>
      </c>
      <c r="G358" t="s">
        <v>127</v>
      </c>
      <c r="J358" t="s">
        <v>128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71"/>
        <v>14:41:34.172</v>
      </c>
      <c r="T358" t="str">
        <f t="shared" si="172"/>
        <v>14:41:33.772</v>
      </c>
      <c r="U358" t="str">
        <f t="shared" si="156"/>
        <v>A9808D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210</v>
      </c>
      <c r="AJ358">
        <v>28.243145999999999</v>
      </c>
      <c r="AK358" t="s">
        <v>211</v>
      </c>
      <c r="AL358">
        <v>-82.382784000000001</v>
      </c>
      <c r="AM358">
        <v>100</v>
      </c>
      <c r="AN358">
        <v>500</v>
      </c>
      <c r="AO358" t="s">
        <v>118</v>
      </c>
      <c r="AP358">
        <v>11</v>
      </c>
      <c r="AQ358">
        <v>85</v>
      </c>
      <c r="AR358">
        <v>576</v>
      </c>
      <c r="AZ358">
        <v>1200</v>
      </c>
      <c r="BA358">
        <v>1</v>
      </c>
      <c r="BB358" t="str">
        <f t="shared" si="166"/>
        <v xml:space="preserve">N711JA  </v>
      </c>
      <c r="BC358">
        <v>1</v>
      </c>
      <c r="BE358">
        <v>0</v>
      </c>
      <c r="BF358">
        <v>0</v>
      </c>
      <c r="BG358">
        <v>0</v>
      </c>
      <c r="BH358">
        <v>575</v>
      </c>
      <c r="BI358">
        <v>1</v>
      </c>
      <c r="BJ358">
        <v>1</v>
      </c>
      <c r="BK358">
        <v>0</v>
      </c>
      <c r="BL358">
        <v>0</v>
      </c>
      <c r="BO358">
        <v>0</v>
      </c>
      <c r="BP358">
        <v>0</v>
      </c>
      <c r="BW358" t="str">
        <f t="shared" si="173"/>
        <v>14:41:34.178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4</v>
      </c>
      <c r="CP358" t="s">
        <v>119</v>
      </c>
      <c r="CQ358">
        <v>358</v>
      </c>
      <c r="CR358">
        <v>0</v>
      </c>
      <c r="CW358">
        <v>4553997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170"/>
        <v>05/12/2020 14:41:16.357</v>
      </c>
      <c r="C359" t="str">
        <f t="shared" si="165"/>
        <v>FFDFD3C0</v>
      </c>
      <c r="D359" t="s">
        <v>131</v>
      </c>
      <c r="E359">
        <v>12</v>
      </c>
      <c r="F359">
        <v>2012</v>
      </c>
      <c r="G359" t="s">
        <v>137</v>
      </c>
      <c r="J359" t="s">
        <v>133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71"/>
        <v>14:41:34.172</v>
      </c>
      <c r="T359" t="str">
        <f t="shared" si="172"/>
        <v>14:41:33.772</v>
      </c>
      <c r="U359" t="str">
        <f t="shared" si="156"/>
        <v>A9808D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210</v>
      </c>
      <c r="AJ359">
        <v>28.243145999999999</v>
      </c>
      <c r="AK359" t="s">
        <v>211</v>
      </c>
      <c r="AL359">
        <v>-82.382784000000001</v>
      </c>
      <c r="AM359">
        <v>100</v>
      </c>
      <c r="AN359">
        <v>500</v>
      </c>
      <c r="AO359" t="s">
        <v>118</v>
      </c>
      <c r="AP359">
        <v>11</v>
      </c>
      <c r="AQ359">
        <v>85</v>
      </c>
      <c r="AR359">
        <v>576</v>
      </c>
      <c r="AZ359">
        <v>1200</v>
      </c>
      <c r="BA359">
        <v>1</v>
      </c>
      <c r="BB359" t="str">
        <f t="shared" si="166"/>
        <v xml:space="preserve">N711JA  </v>
      </c>
      <c r="BC359">
        <v>1</v>
      </c>
      <c r="BE359">
        <v>0</v>
      </c>
      <c r="BF359">
        <v>0</v>
      </c>
      <c r="BG359">
        <v>0</v>
      </c>
      <c r="BH359">
        <v>575</v>
      </c>
      <c r="BI359">
        <v>1</v>
      </c>
      <c r="BJ359">
        <v>1</v>
      </c>
      <c r="BK359">
        <v>0</v>
      </c>
      <c r="BL359">
        <v>0</v>
      </c>
      <c r="BO359">
        <v>0</v>
      </c>
      <c r="BP359">
        <v>0</v>
      </c>
      <c r="BW359" t="str">
        <f t="shared" si="173"/>
        <v>14:41:34.178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3</v>
      </c>
      <c r="CP359" t="s">
        <v>119</v>
      </c>
      <c r="CQ359">
        <v>8</v>
      </c>
      <c r="CR359">
        <v>3</v>
      </c>
      <c r="CW359">
        <v>8663894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170"/>
        <v>05/12/2020 14:41:16.357</v>
      </c>
      <c r="C360" t="str">
        <f t="shared" si="165"/>
        <v>FFDFD3C0</v>
      </c>
      <c r="D360" t="s">
        <v>138</v>
      </c>
      <c r="E360">
        <v>3</v>
      </c>
      <c r="H360">
        <v>9</v>
      </c>
      <c r="I360" t="s">
        <v>140</v>
      </c>
      <c r="J360" t="s">
        <v>136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71"/>
        <v>14:41:34.172</v>
      </c>
      <c r="T360" t="str">
        <f t="shared" si="172"/>
        <v>14:41:33.772</v>
      </c>
      <c r="U360" t="str">
        <f t="shared" si="156"/>
        <v>A9808D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210</v>
      </c>
      <c r="AJ360">
        <v>28.243145999999999</v>
      </c>
      <c r="AK360" t="s">
        <v>211</v>
      </c>
      <c r="AL360">
        <v>-82.382784000000001</v>
      </c>
      <c r="AM360">
        <v>100</v>
      </c>
      <c r="AN360">
        <v>500</v>
      </c>
      <c r="AO360" t="s">
        <v>118</v>
      </c>
      <c r="AP360">
        <v>11</v>
      </c>
      <c r="AQ360">
        <v>85</v>
      </c>
      <c r="AR360">
        <v>576</v>
      </c>
      <c r="AZ360">
        <v>1200</v>
      </c>
      <c r="BA360">
        <v>1</v>
      </c>
      <c r="BB360" t="str">
        <f t="shared" si="166"/>
        <v xml:space="preserve">N711JA  </v>
      </c>
      <c r="BC360">
        <v>1</v>
      </c>
      <c r="BE360">
        <v>0</v>
      </c>
      <c r="BF360">
        <v>0</v>
      </c>
      <c r="BG360">
        <v>0</v>
      </c>
      <c r="BH360">
        <v>575</v>
      </c>
      <c r="BI360">
        <v>1</v>
      </c>
      <c r="BJ360">
        <v>1</v>
      </c>
      <c r="BK360">
        <v>0</v>
      </c>
      <c r="BL360">
        <v>0</v>
      </c>
      <c r="BO360">
        <v>0</v>
      </c>
      <c r="BP360">
        <v>0</v>
      </c>
      <c r="BW360" t="str">
        <f t="shared" si="173"/>
        <v>14:41:34.178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4</v>
      </c>
      <c r="CP360" t="s">
        <v>119</v>
      </c>
      <c r="CQ360">
        <v>358</v>
      </c>
      <c r="CR360">
        <v>0</v>
      </c>
      <c r="CW360">
        <v>4553997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si="170"/>
        <v>05/12/2020 14:41:16.357</v>
      </c>
      <c r="C361" t="str">
        <f t="shared" si="165"/>
        <v>FFDFD3C0</v>
      </c>
      <c r="D361" t="s">
        <v>126</v>
      </c>
      <c r="E361">
        <v>6</v>
      </c>
      <c r="F361">
        <v>1006</v>
      </c>
      <c r="G361" t="s">
        <v>114</v>
      </c>
      <c r="J361" t="s">
        <v>128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171"/>
        <v>14:41:34.172</v>
      </c>
      <c r="T361" t="str">
        <f t="shared" si="172"/>
        <v>14:41:33.772</v>
      </c>
      <c r="U361" t="str">
        <f t="shared" si="156"/>
        <v>A9808D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210</v>
      </c>
      <c r="AJ361">
        <v>28.243145999999999</v>
      </c>
      <c r="AK361" t="s">
        <v>211</v>
      </c>
      <c r="AL361">
        <v>-82.382784000000001</v>
      </c>
      <c r="AM361">
        <v>100</v>
      </c>
      <c r="AN361">
        <v>500</v>
      </c>
      <c r="AO361" t="s">
        <v>118</v>
      </c>
      <c r="AP361">
        <v>11</v>
      </c>
      <c r="AQ361">
        <v>85</v>
      </c>
      <c r="AR361">
        <v>576</v>
      </c>
      <c r="AZ361">
        <v>1200</v>
      </c>
      <c r="BA361">
        <v>1</v>
      </c>
      <c r="BB361" t="str">
        <f t="shared" si="166"/>
        <v xml:space="preserve">N711JA  </v>
      </c>
      <c r="BC361">
        <v>1</v>
      </c>
      <c r="BE361">
        <v>0</v>
      </c>
      <c r="BF361">
        <v>0</v>
      </c>
      <c r="BG361">
        <v>0</v>
      </c>
      <c r="BH361">
        <v>575</v>
      </c>
      <c r="BI361">
        <v>1</v>
      </c>
      <c r="BJ361">
        <v>1</v>
      </c>
      <c r="BK361">
        <v>0</v>
      </c>
      <c r="BL361">
        <v>0</v>
      </c>
      <c r="BO361">
        <v>0</v>
      </c>
      <c r="BP361">
        <v>0</v>
      </c>
      <c r="BW361" t="str">
        <f t="shared" si="173"/>
        <v>14:41:34.178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4</v>
      </c>
      <c r="CP361" t="s">
        <v>119</v>
      </c>
      <c r="CQ361">
        <v>358</v>
      </c>
      <c r="CR361">
        <v>0</v>
      </c>
      <c r="CW361">
        <v>4553997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ref="A362:A369" si="174">"05/12/2020 14:41:17.318"</f>
        <v>05/12/2020 14:41:17.318</v>
      </c>
      <c r="C362" t="str">
        <f t="shared" si="165"/>
        <v>FFDFD3C0</v>
      </c>
      <c r="D362" t="s">
        <v>134</v>
      </c>
      <c r="E362">
        <v>12</v>
      </c>
      <c r="H362">
        <v>64</v>
      </c>
      <c r="I362" t="s">
        <v>135</v>
      </c>
      <c r="J362" t="s">
        <v>136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ref="S362:S369" si="175">"14:41:35.086"</f>
        <v>14:41:35.086</v>
      </c>
      <c r="T362" t="str">
        <f t="shared" ref="T362:T369" si="176">"14:41:34.286"</f>
        <v>14:41:34.286</v>
      </c>
      <c r="U362" t="str">
        <f t="shared" si="156"/>
        <v>A9808D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212</v>
      </c>
      <c r="AJ362">
        <v>28.243511000000002</v>
      </c>
      <c r="AK362" t="s">
        <v>213</v>
      </c>
      <c r="AL362">
        <v>-82.382720000000006</v>
      </c>
      <c r="AM362">
        <v>100</v>
      </c>
      <c r="AN362">
        <v>500</v>
      </c>
      <c r="AO362" t="s">
        <v>118</v>
      </c>
      <c r="AP362">
        <v>11</v>
      </c>
      <c r="AQ362">
        <v>85</v>
      </c>
      <c r="AR362">
        <v>512</v>
      </c>
      <c r="AZ362">
        <v>1200</v>
      </c>
      <c r="BA362">
        <v>1</v>
      </c>
      <c r="BB362" t="str">
        <f t="shared" si="166"/>
        <v xml:space="preserve">N711JA  </v>
      </c>
      <c r="BC362">
        <v>1</v>
      </c>
      <c r="BE362">
        <v>0</v>
      </c>
      <c r="BF362">
        <v>0</v>
      </c>
      <c r="BG362">
        <v>0</v>
      </c>
      <c r="BH362">
        <v>575</v>
      </c>
      <c r="BI362">
        <v>1</v>
      </c>
      <c r="BJ362">
        <v>1</v>
      </c>
      <c r="BK362">
        <v>0</v>
      </c>
      <c r="BL362">
        <v>0</v>
      </c>
      <c r="BO362">
        <v>0</v>
      </c>
      <c r="BP362">
        <v>0</v>
      </c>
      <c r="BW362" t="str">
        <f t="shared" ref="BW362:BW369" si="177">"14:41:35.090"</f>
        <v>14:41:35.090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3</v>
      </c>
      <c r="CP362" t="s">
        <v>119</v>
      </c>
      <c r="CQ362">
        <v>8</v>
      </c>
      <c r="CR362">
        <v>3</v>
      </c>
      <c r="CW362">
        <v>8664923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174"/>
        <v>05/12/2020 14:41:17.318</v>
      </c>
      <c r="C363" t="str">
        <f t="shared" si="165"/>
        <v>FFDFD3C0</v>
      </c>
      <c r="D363" t="s">
        <v>131</v>
      </c>
      <c r="E363">
        <v>12</v>
      </c>
      <c r="F363">
        <v>2012</v>
      </c>
      <c r="G363" t="s">
        <v>137</v>
      </c>
      <c r="J363" t="s">
        <v>133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175"/>
        <v>14:41:35.086</v>
      </c>
      <c r="T363" t="str">
        <f t="shared" si="176"/>
        <v>14:41:34.286</v>
      </c>
      <c r="U363" t="str">
        <f t="shared" si="156"/>
        <v>A9808D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212</v>
      </c>
      <c r="AJ363">
        <v>28.243511000000002</v>
      </c>
      <c r="AK363" t="s">
        <v>213</v>
      </c>
      <c r="AL363">
        <v>-82.382720000000006</v>
      </c>
      <c r="AM363">
        <v>100</v>
      </c>
      <c r="AN363">
        <v>500</v>
      </c>
      <c r="AO363" t="s">
        <v>118</v>
      </c>
      <c r="AP363">
        <v>11</v>
      </c>
      <c r="AQ363">
        <v>85</v>
      </c>
      <c r="AR363">
        <v>512</v>
      </c>
      <c r="AZ363">
        <v>1200</v>
      </c>
      <c r="BA363">
        <v>1</v>
      </c>
      <c r="BB363" t="str">
        <f t="shared" si="166"/>
        <v xml:space="preserve">N711JA  </v>
      </c>
      <c r="BC363">
        <v>1</v>
      </c>
      <c r="BE363">
        <v>0</v>
      </c>
      <c r="BF363">
        <v>0</v>
      </c>
      <c r="BG363">
        <v>0</v>
      </c>
      <c r="BH363">
        <v>575</v>
      </c>
      <c r="BI363">
        <v>1</v>
      </c>
      <c r="BJ363">
        <v>1</v>
      </c>
      <c r="BK363">
        <v>0</v>
      </c>
      <c r="BL363">
        <v>0</v>
      </c>
      <c r="BO363">
        <v>0</v>
      </c>
      <c r="BP363">
        <v>0</v>
      </c>
      <c r="BW363" t="str">
        <f t="shared" si="177"/>
        <v>14:41:35.090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3</v>
      </c>
      <c r="CP363" t="s">
        <v>119</v>
      </c>
      <c r="CQ363">
        <v>8</v>
      </c>
      <c r="CR363">
        <v>3</v>
      </c>
      <c r="CW363">
        <v>8664923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174"/>
        <v>05/12/2020 14:41:17.318</v>
      </c>
      <c r="C364" t="str">
        <f t="shared" si="165"/>
        <v>FFDFD3C0</v>
      </c>
      <c r="D364" t="s">
        <v>131</v>
      </c>
      <c r="E364">
        <v>10</v>
      </c>
      <c r="F364">
        <v>2010</v>
      </c>
      <c r="G364" t="s">
        <v>132</v>
      </c>
      <c r="J364" t="s">
        <v>133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75"/>
        <v>14:41:35.086</v>
      </c>
      <c r="T364" t="str">
        <f t="shared" si="176"/>
        <v>14:41:34.286</v>
      </c>
      <c r="U364" t="str">
        <f t="shared" si="156"/>
        <v>A9808D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212</v>
      </c>
      <c r="AJ364">
        <v>28.243511000000002</v>
      </c>
      <c r="AK364" t="s">
        <v>213</v>
      </c>
      <c r="AL364">
        <v>-82.382720000000006</v>
      </c>
      <c r="AM364">
        <v>100</v>
      </c>
      <c r="AN364">
        <v>500</v>
      </c>
      <c r="AO364" t="s">
        <v>118</v>
      </c>
      <c r="AP364">
        <v>11</v>
      </c>
      <c r="AQ364">
        <v>85</v>
      </c>
      <c r="AR364">
        <v>512</v>
      </c>
      <c r="AZ364">
        <v>1200</v>
      </c>
      <c r="BA364">
        <v>1</v>
      </c>
      <c r="BB364" t="str">
        <f t="shared" si="166"/>
        <v xml:space="preserve">N711JA  </v>
      </c>
      <c r="BC364">
        <v>1</v>
      </c>
      <c r="BE364">
        <v>0</v>
      </c>
      <c r="BF364">
        <v>0</v>
      </c>
      <c r="BG364">
        <v>0</v>
      </c>
      <c r="BH364">
        <v>575</v>
      </c>
      <c r="BI364">
        <v>1</v>
      </c>
      <c r="BJ364">
        <v>1</v>
      </c>
      <c r="BK364">
        <v>0</v>
      </c>
      <c r="BL364">
        <v>0</v>
      </c>
      <c r="BO364">
        <v>0</v>
      </c>
      <c r="BP364">
        <v>0</v>
      </c>
      <c r="BW364" t="str">
        <f t="shared" si="177"/>
        <v>14:41:35.090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3</v>
      </c>
      <c r="CP364" t="s">
        <v>119</v>
      </c>
      <c r="CQ364">
        <v>8</v>
      </c>
      <c r="CR364">
        <v>3</v>
      </c>
      <c r="CW364">
        <v>8664923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174"/>
        <v>05/12/2020 14:41:17.318</v>
      </c>
      <c r="C365" t="str">
        <f t="shared" si="165"/>
        <v>FFDFD3C0</v>
      </c>
      <c r="D365" t="s">
        <v>113</v>
      </c>
      <c r="E365">
        <v>3</v>
      </c>
      <c r="H365">
        <v>164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175"/>
        <v>14:41:35.086</v>
      </c>
      <c r="T365" t="str">
        <f t="shared" si="176"/>
        <v>14:41:34.286</v>
      </c>
      <c r="U365" t="str">
        <f t="shared" si="156"/>
        <v>A9808D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212</v>
      </c>
      <c r="AJ365">
        <v>28.243511000000002</v>
      </c>
      <c r="AK365" t="s">
        <v>213</v>
      </c>
      <c r="AL365">
        <v>-82.382720000000006</v>
      </c>
      <c r="AM365">
        <v>100</v>
      </c>
      <c r="AN365">
        <v>500</v>
      </c>
      <c r="AO365" t="s">
        <v>118</v>
      </c>
      <c r="AP365">
        <v>11</v>
      </c>
      <c r="AQ365">
        <v>85</v>
      </c>
      <c r="AR365">
        <v>512</v>
      </c>
      <c r="AZ365">
        <v>1200</v>
      </c>
      <c r="BA365">
        <v>1</v>
      </c>
      <c r="BB365" t="str">
        <f t="shared" si="166"/>
        <v xml:space="preserve">N711JA  </v>
      </c>
      <c r="BC365">
        <v>1</v>
      </c>
      <c r="BE365">
        <v>0</v>
      </c>
      <c r="BF365">
        <v>0</v>
      </c>
      <c r="BG365">
        <v>0</v>
      </c>
      <c r="BH365">
        <v>575</v>
      </c>
      <c r="BI365">
        <v>1</v>
      </c>
      <c r="BJ365">
        <v>1</v>
      </c>
      <c r="BK365">
        <v>0</v>
      </c>
      <c r="BL365">
        <v>0</v>
      </c>
      <c r="BO365">
        <v>0</v>
      </c>
      <c r="BP365">
        <v>0</v>
      </c>
      <c r="BW365" t="str">
        <f t="shared" si="177"/>
        <v>14:41:35.090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3</v>
      </c>
      <c r="CP365" t="s">
        <v>119</v>
      </c>
      <c r="CQ365">
        <v>8</v>
      </c>
      <c r="CR365">
        <v>3</v>
      </c>
      <c r="CW365">
        <v>8664923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174"/>
        <v>05/12/2020 14:41:17.318</v>
      </c>
      <c r="C366" t="str">
        <f t="shared" si="165"/>
        <v>FFDFD3C0</v>
      </c>
      <c r="D366" t="s">
        <v>126</v>
      </c>
      <c r="E366">
        <v>7</v>
      </c>
      <c r="F366">
        <v>1007</v>
      </c>
      <c r="G366" t="s">
        <v>127</v>
      </c>
      <c r="J366" t="s">
        <v>128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75"/>
        <v>14:41:35.086</v>
      </c>
      <c r="T366" t="str">
        <f t="shared" si="176"/>
        <v>14:41:34.286</v>
      </c>
      <c r="U366" t="str">
        <f t="shared" si="156"/>
        <v>A9808D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212</v>
      </c>
      <c r="AJ366">
        <v>28.243511000000002</v>
      </c>
      <c r="AK366" t="s">
        <v>213</v>
      </c>
      <c r="AL366">
        <v>-82.382720000000006</v>
      </c>
      <c r="AM366">
        <v>100</v>
      </c>
      <c r="AN366">
        <v>500</v>
      </c>
      <c r="AO366" t="s">
        <v>118</v>
      </c>
      <c r="AP366">
        <v>11</v>
      </c>
      <c r="AQ366">
        <v>85</v>
      </c>
      <c r="AR366">
        <v>512</v>
      </c>
      <c r="AZ366">
        <v>1200</v>
      </c>
      <c r="BA366">
        <v>1</v>
      </c>
      <c r="BB366" t="str">
        <f t="shared" si="166"/>
        <v xml:space="preserve">N711JA  </v>
      </c>
      <c r="BC366">
        <v>1</v>
      </c>
      <c r="BE366">
        <v>0</v>
      </c>
      <c r="BF366">
        <v>0</v>
      </c>
      <c r="BG366">
        <v>0</v>
      </c>
      <c r="BH366">
        <v>575</v>
      </c>
      <c r="BI366">
        <v>1</v>
      </c>
      <c r="BJ366">
        <v>1</v>
      </c>
      <c r="BK366">
        <v>0</v>
      </c>
      <c r="BL366">
        <v>0</v>
      </c>
      <c r="BO366">
        <v>0</v>
      </c>
      <c r="BP366">
        <v>0</v>
      </c>
      <c r="BW366" t="str">
        <f t="shared" si="177"/>
        <v>14:41:35.090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3</v>
      </c>
      <c r="CP366" t="s">
        <v>119</v>
      </c>
      <c r="CQ366">
        <v>8</v>
      </c>
      <c r="CR366">
        <v>3</v>
      </c>
      <c r="CW366">
        <v>8664923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174"/>
        <v>05/12/2020 14:41:17.318</v>
      </c>
      <c r="C367" t="str">
        <f t="shared" si="165"/>
        <v>FFDFD3C0</v>
      </c>
      <c r="D367" t="s">
        <v>138</v>
      </c>
      <c r="E367">
        <v>2</v>
      </c>
      <c r="H367">
        <v>8</v>
      </c>
      <c r="I367" t="s">
        <v>139</v>
      </c>
      <c r="J367" t="s">
        <v>136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75"/>
        <v>14:41:35.086</v>
      </c>
      <c r="T367" t="str">
        <f t="shared" si="176"/>
        <v>14:41:34.286</v>
      </c>
      <c r="U367" t="str">
        <f t="shared" si="156"/>
        <v>A9808D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212</v>
      </c>
      <c r="AJ367">
        <v>28.243511000000002</v>
      </c>
      <c r="AK367" t="s">
        <v>213</v>
      </c>
      <c r="AL367">
        <v>-82.382720000000006</v>
      </c>
      <c r="AM367">
        <v>100</v>
      </c>
      <c r="AN367">
        <v>500</v>
      </c>
      <c r="AO367" t="s">
        <v>118</v>
      </c>
      <c r="AP367">
        <v>11</v>
      </c>
      <c r="AQ367">
        <v>85</v>
      </c>
      <c r="AR367">
        <v>512</v>
      </c>
      <c r="AZ367">
        <v>1200</v>
      </c>
      <c r="BA367">
        <v>1</v>
      </c>
      <c r="BB367" t="str">
        <f t="shared" si="166"/>
        <v xml:space="preserve">N711JA  </v>
      </c>
      <c r="BC367">
        <v>1</v>
      </c>
      <c r="BE367">
        <v>0</v>
      </c>
      <c r="BF367">
        <v>0</v>
      </c>
      <c r="BG367">
        <v>0</v>
      </c>
      <c r="BH367">
        <v>575</v>
      </c>
      <c r="BI367">
        <v>1</v>
      </c>
      <c r="BJ367">
        <v>1</v>
      </c>
      <c r="BK367">
        <v>0</v>
      </c>
      <c r="BL367">
        <v>0</v>
      </c>
      <c r="BO367">
        <v>0</v>
      </c>
      <c r="BP367">
        <v>0</v>
      </c>
      <c r="BW367" t="str">
        <f t="shared" si="177"/>
        <v>14:41:35.090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3</v>
      </c>
      <c r="CP367" t="s">
        <v>119</v>
      </c>
      <c r="CQ367">
        <v>8</v>
      </c>
      <c r="CR367">
        <v>3</v>
      </c>
      <c r="CW367">
        <v>8664923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si="174"/>
        <v>05/12/2020 14:41:17.318</v>
      </c>
      <c r="C368" t="str">
        <f t="shared" si="165"/>
        <v>FFDFD3C0</v>
      </c>
      <c r="D368" t="s">
        <v>126</v>
      </c>
      <c r="E368">
        <v>6</v>
      </c>
      <c r="F368">
        <v>1006</v>
      </c>
      <c r="G368" t="s">
        <v>114</v>
      </c>
      <c r="J368" t="s">
        <v>128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175"/>
        <v>14:41:35.086</v>
      </c>
      <c r="T368" t="str">
        <f t="shared" si="176"/>
        <v>14:41:34.286</v>
      </c>
      <c r="U368" t="str">
        <f t="shared" si="156"/>
        <v>A9808D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212</v>
      </c>
      <c r="AJ368">
        <v>28.243511000000002</v>
      </c>
      <c r="AK368" t="s">
        <v>213</v>
      </c>
      <c r="AL368">
        <v>-82.382720000000006</v>
      </c>
      <c r="AM368">
        <v>100</v>
      </c>
      <c r="AN368">
        <v>500</v>
      </c>
      <c r="AO368" t="s">
        <v>118</v>
      </c>
      <c r="AP368">
        <v>11</v>
      </c>
      <c r="AQ368">
        <v>85</v>
      </c>
      <c r="AR368">
        <v>512</v>
      </c>
      <c r="AZ368">
        <v>1200</v>
      </c>
      <c r="BA368">
        <v>1</v>
      </c>
      <c r="BB368" t="str">
        <f t="shared" si="166"/>
        <v xml:space="preserve">N711JA  </v>
      </c>
      <c r="BC368">
        <v>1</v>
      </c>
      <c r="BE368">
        <v>0</v>
      </c>
      <c r="BF368">
        <v>0</v>
      </c>
      <c r="BG368">
        <v>0</v>
      </c>
      <c r="BH368">
        <v>575</v>
      </c>
      <c r="BI368">
        <v>1</v>
      </c>
      <c r="BJ368">
        <v>1</v>
      </c>
      <c r="BK368">
        <v>0</v>
      </c>
      <c r="BL368">
        <v>0</v>
      </c>
      <c r="BO368">
        <v>0</v>
      </c>
      <c r="BP368">
        <v>0</v>
      </c>
      <c r="BW368" t="str">
        <f t="shared" si="177"/>
        <v>14:41:35.090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3</v>
      </c>
      <c r="CP368" t="s">
        <v>119</v>
      </c>
      <c r="CQ368">
        <v>8</v>
      </c>
      <c r="CR368">
        <v>3</v>
      </c>
      <c r="CW368">
        <v>8664923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174"/>
        <v>05/12/2020 14:41:17.318</v>
      </c>
      <c r="C369" t="str">
        <f t="shared" si="165"/>
        <v>FFDFD3C0</v>
      </c>
      <c r="D369" t="s">
        <v>138</v>
      </c>
      <c r="E369">
        <v>3</v>
      </c>
      <c r="H369">
        <v>9</v>
      </c>
      <c r="I369" t="s">
        <v>140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175"/>
        <v>14:41:35.086</v>
      </c>
      <c r="T369" t="str">
        <f t="shared" si="176"/>
        <v>14:41:34.286</v>
      </c>
      <c r="U369" t="str">
        <f t="shared" si="156"/>
        <v>A9808D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212</v>
      </c>
      <c r="AJ369">
        <v>28.243511000000002</v>
      </c>
      <c r="AK369" t="s">
        <v>213</v>
      </c>
      <c r="AL369">
        <v>-82.382720000000006</v>
      </c>
      <c r="AM369">
        <v>100</v>
      </c>
      <c r="AN369">
        <v>500</v>
      </c>
      <c r="AO369" t="s">
        <v>118</v>
      </c>
      <c r="AP369">
        <v>11</v>
      </c>
      <c r="AQ369">
        <v>85</v>
      </c>
      <c r="AR369">
        <v>512</v>
      </c>
      <c r="AZ369">
        <v>1200</v>
      </c>
      <c r="BA369">
        <v>1</v>
      </c>
      <c r="BB369" t="str">
        <f t="shared" si="166"/>
        <v xml:space="preserve">N711JA  </v>
      </c>
      <c r="BC369">
        <v>1</v>
      </c>
      <c r="BE369">
        <v>0</v>
      </c>
      <c r="BF369">
        <v>0</v>
      </c>
      <c r="BG369">
        <v>0</v>
      </c>
      <c r="BH369">
        <v>575</v>
      </c>
      <c r="BI369">
        <v>1</v>
      </c>
      <c r="BJ369">
        <v>1</v>
      </c>
      <c r="BK369">
        <v>0</v>
      </c>
      <c r="BL369">
        <v>0</v>
      </c>
      <c r="BO369">
        <v>0</v>
      </c>
      <c r="BP369">
        <v>0</v>
      </c>
      <c r="BW369" t="str">
        <f t="shared" si="177"/>
        <v>14:41:35.090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3</v>
      </c>
      <c r="CP369" t="s">
        <v>119</v>
      </c>
      <c r="CQ369">
        <v>8</v>
      </c>
      <c r="CR369">
        <v>3</v>
      </c>
      <c r="CW369">
        <v>8664923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ref="A370:A377" si="178">"05/12/2020 14:41:18.244"</f>
        <v>05/12/2020 14:41:18.244</v>
      </c>
      <c r="C370" t="str">
        <f t="shared" si="165"/>
        <v>FFDFD3C0</v>
      </c>
      <c r="D370" t="s">
        <v>126</v>
      </c>
      <c r="E370">
        <v>6</v>
      </c>
      <c r="F370">
        <v>1006</v>
      </c>
      <c r="G370" t="s">
        <v>114</v>
      </c>
      <c r="J370" t="s">
        <v>128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ref="S370:S377" si="179">"14:41:36.063"</f>
        <v>14:41:36.063</v>
      </c>
      <c r="T370" t="str">
        <f t="shared" ref="T370:T377" si="180">"14:41:35.963"</f>
        <v>14:41:35.963</v>
      </c>
      <c r="U370" t="str">
        <f t="shared" si="156"/>
        <v>A9808D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214</v>
      </c>
      <c r="AJ370">
        <v>28.243897</v>
      </c>
      <c r="AK370" t="s">
        <v>215</v>
      </c>
      <c r="AL370">
        <v>-82.382698000000005</v>
      </c>
      <c r="AM370">
        <v>100</v>
      </c>
      <c r="AN370">
        <v>500</v>
      </c>
      <c r="AO370" t="s">
        <v>118</v>
      </c>
      <c r="AP370">
        <v>12</v>
      </c>
      <c r="AQ370">
        <v>86</v>
      </c>
      <c r="AR370">
        <v>384</v>
      </c>
      <c r="AZ370">
        <v>1200</v>
      </c>
      <c r="BA370">
        <v>1</v>
      </c>
      <c r="BB370" t="str">
        <f t="shared" si="166"/>
        <v xml:space="preserve">N711JA  </v>
      </c>
      <c r="BC370">
        <v>1</v>
      </c>
      <c r="BE370">
        <v>0</v>
      </c>
      <c r="BF370">
        <v>0</v>
      </c>
      <c r="BG370">
        <v>0</v>
      </c>
      <c r="BH370">
        <v>600</v>
      </c>
      <c r="BI370">
        <v>1</v>
      </c>
      <c r="BJ370">
        <v>1</v>
      </c>
      <c r="BK370">
        <v>0</v>
      </c>
      <c r="BL370">
        <v>0</v>
      </c>
      <c r="BO370">
        <v>0</v>
      </c>
      <c r="BP370">
        <v>0</v>
      </c>
      <c r="BW370" t="str">
        <f t="shared" ref="BW370:BW377" si="181">"14:41:36.065"</f>
        <v>14:41:36.065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4</v>
      </c>
      <c r="CP370" t="s">
        <v>119</v>
      </c>
      <c r="CQ370">
        <v>358</v>
      </c>
      <c r="CR370">
        <v>0</v>
      </c>
      <c r="CW370">
        <v>4556351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178"/>
        <v>05/12/2020 14:41:18.244</v>
      </c>
      <c r="C371" t="str">
        <f t="shared" si="165"/>
        <v>FFDFD3C0</v>
      </c>
      <c r="D371" t="s">
        <v>138</v>
      </c>
      <c r="E371">
        <v>2</v>
      </c>
      <c r="H371">
        <v>8</v>
      </c>
      <c r="I371" t="s">
        <v>139</v>
      </c>
      <c r="J371" t="s">
        <v>136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79"/>
        <v>14:41:36.063</v>
      </c>
      <c r="T371" t="str">
        <f t="shared" si="180"/>
        <v>14:41:35.963</v>
      </c>
      <c r="U371" t="str">
        <f t="shared" si="156"/>
        <v>A9808D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214</v>
      </c>
      <c r="AJ371">
        <v>28.243897</v>
      </c>
      <c r="AK371" t="s">
        <v>215</v>
      </c>
      <c r="AL371">
        <v>-82.382698000000005</v>
      </c>
      <c r="AM371">
        <v>100</v>
      </c>
      <c r="AN371">
        <v>500</v>
      </c>
      <c r="AO371" t="s">
        <v>118</v>
      </c>
      <c r="AP371">
        <v>12</v>
      </c>
      <c r="AQ371">
        <v>86</v>
      </c>
      <c r="AR371">
        <v>384</v>
      </c>
      <c r="AZ371">
        <v>1200</v>
      </c>
      <c r="BA371">
        <v>1</v>
      </c>
      <c r="BB371" t="str">
        <f t="shared" si="166"/>
        <v xml:space="preserve">N711JA  </v>
      </c>
      <c r="BC371">
        <v>1</v>
      </c>
      <c r="BE371">
        <v>0</v>
      </c>
      <c r="BF371">
        <v>0</v>
      </c>
      <c r="BG371">
        <v>0</v>
      </c>
      <c r="BH371">
        <v>600</v>
      </c>
      <c r="BI371">
        <v>1</v>
      </c>
      <c r="BJ371">
        <v>1</v>
      </c>
      <c r="BK371">
        <v>0</v>
      </c>
      <c r="BL371">
        <v>0</v>
      </c>
      <c r="BO371">
        <v>0</v>
      </c>
      <c r="BP371">
        <v>0</v>
      </c>
      <c r="BW371" t="str">
        <f t="shared" si="181"/>
        <v>14:41:36.065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3</v>
      </c>
      <c r="CP371" t="s">
        <v>119</v>
      </c>
      <c r="CQ371">
        <v>8</v>
      </c>
      <c r="CR371">
        <v>3</v>
      </c>
      <c r="CW371">
        <v>8665960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178"/>
        <v>05/12/2020 14:41:18.244</v>
      </c>
      <c r="C372" t="str">
        <f t="shared" si="165"/>
        <v>FFDFD3C0</v>
      </c>
      <c r="D372" t="s">
        <v>138</v>
      </c>
      <c r="E372">
        <v>3</v>
      </c>
      <c r="H372">
        <v>9</v>
      </c>
      <c r="I372" t="s">
        <v>140</v>
      </c>
      <c r="J372" t="s">
        <v>136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179"/>
        <v>14:41:36.063</v>
      </c>
      <c r="T372" t="str">
        <f t="shared" si="180"/>
        <v>14:41:35.963</v>
      </c>
      <c r="U372" t="str">
        <f t="shared" si="156"/>
        <v>A9808D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214</v>
      </c>
      <c r="AJ372">
        <v>28.243897</v>
      </c>
      <c r="AK372" t="s">
        <v>215</v>
      </c>
      <c r="AL372">
        <v>-82.382698000000005</v>
      </c>
      <c r="AM372">
        <v>100</v>
      </c>
      <c r="AN372">
        <v>500</v>
      </c>
      <c r="AO372" t="s">
        <v>118</v>
      </c>
      <c r="AP372">
        <v>12</v>
      </c>
      <c r="AQ372">
        <v>86</v>
      </c>
      <c r="AR372">
        <v>384</v>
      </c>
      <c r="AZ372">
        <v>1200</v>
      </c>
      <c r="BA372">
        <v>1</v>
      </c>
      <c r="BB372" t="str">
        <f t="shared" si="166"/>
        <v xml:space="preserve">N711JA  </v>
      </c>
      <c r="BC372">
        <v>1</v>
      </c>
      <c r="BE372">
        <v>0</v>
      </c>
      <c r="BF372">
        <v>0</v>
      </c>
      <c r="BG372">
        <v>0</v>
      </c>
      <c r="BH372">
        <v>600</v>
      </c>
      <c r="BI372">
        <v>1</v>
      </c>
      <c r="BJ372">
        <v>1</v>
      </c>
      <c r="BK372">
        <v>0</v>
      </c>
      <c r="BL372">
        <v>0</v>
      </c>
      <c r="BO372">
        <v>0</v>
      </c>
      <c r="BP372">
        <v>0</v>
      </c>
      <c r="BW372" t="str">
        <f t="shared" si="181"/>
        <v>14:41:36.065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4</v>
      </c>
      <c r="CP372" t="s">
        <v>119</v>
      </c>
      <c r="CQ372">
        <v>358</v>
      </c>
      <c r="CR372">
        <v>0</v>
      </c>
      <c r="CW372">
        <v>4556351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si="178"/>
        <v>05/12/2020 14:41:18.244</v>
      </c>
      <c r="C373" t="str">
        <f t="shared" si="165"/>
        <v>FFDFD3C0</v>
      </c>
      <c r="D373" t="s">
        <v>134</v>
      </c>
      <c r="E373">
        <v>12</v>
      </c>
      <c r="H373">
        <v>64</v>
      </c>
      <c r="I373" t="s">
        <v>135</v>
      </c>
      <c r="J373" t="s">
        <v>136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79"/>
        <v>14:41:36.063</v>
      </c>
      <c r="T373" t="str">
        <f t="shared" si="180"/>
        <v>14:41:35.963</v>
      </c>
      <c r="U373" t="str">
        <f t="shared" si="156"/>
        <v>A9808D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214</v>
      </c>
      <c r="AJ373">
        <v>28.243897</v>
      </c>
      <c r="AK373" t="s">
        <v>215</v>
      </c>
      <c r="AL373">
        <v>-82.382698000000005</v>
      </c>
      <c r="AM373">
        <v>100</v>
      </c>
      <c r="AN373">
        <v>500</v>
      </c>
      <c r="AO373" t="s">
        <v>118</v>
      </c>
      <c r="AP373">
        <v>12</v>
      </c>
      <c r="AQ373">
        <v>86</v>
      </c>
      <c r="AR373">
        <v>384</v>
      </c>
      <c r="AZ373">
        <v>1200</v>
      </c>
      <c r="BA373">
        <v>1</v>
      </c>
      <c r="BB373" t="str">
        <f t="shared" si="166"/>
        <v xml:space="preserve">N711JA  </v>
      </c>
      <c r="BC373">
        <v>1</v>
      </c>
      <c r="BE373">
        <v>0</v>
      </c>
      <c r="BF373">
        <v>0</v>
      </c>
      <c r="BG373">
        <v>0</v>
      </c>
      <c r="BH373">
        <v>600</v>
      </c>
      <c r="BI373">
        <v>1</v>
      </c>
      <c r="BJ373">
        <v>1</v>
      </c>
      <c r="BK373">
        <v>0</v>
      </c>
      <c r="BL373">
        <v>0</v>
      </c>
      <c r="BO373">
        <v>0</v>
      </c>
      <c r="BP373">
        <v>0</v>
      </c>
      <c r="BW373" t="str">
        <f t="shared" si="181"/>
        <v>14:41:36.065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4</v>
      </c>
      <c r="CP373" t="s">
        <v>119</v>
      </c>
      <c r="CQ373">
        <v>358</v>
      </c>
      <c r="CR373">
        <v>0</v>
      </c>
      <c r="CW373">
        <v>4556351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si="178"/>
        <v>05/12/2020 14:41:18.244</v>
      </c>
      <c r="C374" t="str">
        <f t="shared" si="165"/>
        <v>FFDFD3C0</v>
      </c>
      <c r="D374" t="s">
        <v>131</v>
      </c>
      <c r="E374">
        <v>10</v>
      </c>
      <c r="F374">
        <v>2010</v>
      </c>
      <c r="G374" t="s">
        <v>132</v>
      </c>
      <c r="J374" t="s">
        <v>133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79"/>
        <v>14:41:36.063</v>
      </c>
      <c r="T374" t="str">
        <f t="shared" si="180"/>
        <v>14:41:35.963</v>
      </c>
      <c r="U374" t="str">
        <f t="shared" si="156"/>
        <v>A9808D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214</v>
      </c>
      <c r="AJ374">
        <v>28.243897</v>
      </c>
      <c r="AK374" t="s">
        <v>215</v>
      </c>
      <c r="AL374">
        <v>-82.382698000000005</v>
      </c>
      <c r="AM374">
        <v>100</v>
      </c>
      <c r="AN374">
        <v>500</v>
      </c>
      <c r="AO374" t="s">
        <v>118</v>
      </c>
      <c r="AP374">
        <v>12</v>
      </c>
      <c r="AQ374">
        <v>86</v>
      </c>
      <c r="AR374">
        <v>384</v>
      </c>
      <c r="AZ374">
        <v>1200</v>
      </c>
      <c r="BA374">
        <v>1</v>
      </c>
      <c r="BB374" t="str">
        <f t="shared" si="166"/>
        <v xml:space="preserve">N711JA  </v>
      </c>
      <c r="BC374">
        <v>1</v>
      </c>
      <c r="BE374">
        <v>0</v>
      </c>
      <c r="BF374">
        <v>0</v>
      </c>
      <c r="BG374">
        <v>0</v>
      </c>
      <c r="BH374">
        <v>600</v>
      </c>
      <c r="BI374">
        <v>1</v>
      </c>
      <c r="BJ374">
        <v>1</v>
      </c>
      <c r="BK374">
        <v>0</v>
      </c>
      <c r="BL374">
        <v>0</v>
      </c>
      <c r="BO374">
        <v>0</v>
      </c>
      <c r="BP374">
        <v>0</v>
      </c>
      <c r="BW374" t="str">
        <f t="shared" si="181"/>
        <v>14:41:36.065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4</v>
      </c>
      <c r="CP374" t="s">
        <v>119</v>
      </c>
      <c r="CQ374">
        <v>358</v>
      </c>
      <c r="CR374">
        <v>0</v>
      </c>
      <c r="CW374">
        <v>4556351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178"/>
        <v>05/12/2020 14:41:18.244</v>
      </c>
      <c r="C375" t="str">
        <f t="shared" si="165"/>
        <v>FFDFD3C0</v>
      </c>
      <c r="D375" t="s">
        <v>131</v>
      </c>
      <c r="E375">
        <v>12</v>
      </c>
      <c r="F375">
        <v>2012</v>
      </c>
      <c r="G375" t="s">
        <v>137</v>
      </c>
      <c r="J375" t="s">
        <v>133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179"/>
        <v>14:41:36.063</v>
      </c>
      <c r="T375" t="str">
        <f t="shared" si="180"/>
        <v>14:41:35.963</v>
      </c>
      <c r="U375" t="str">
        <f t="shared" si="156"/>
        <v>A9808D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214</v>
      </c>
      <c r="AJ375">
        <v>28.243897</v>
      </c>
      <c r="AK375" t="s">
        <v>215</v>
      </c>
      <c r="AL375">
        <v>-82.382698000000005</v>
      </c>
      <c r="AM375">
        <v>100</v>
      </c>
      <c r="AN375">
        <v>500</v>
      </c>
      <c r="AO375" t="s">
        <v>118</v>
      </c>
      <c r="AP375">
        <v>12</v>
      </c>
      <c r="AQ375">
        <v>86</v>
      </c>
      <c r="AR375">
        <v>384</v>
      </c>
      <c r="AZ375">
        <v>1200</v>
      </c>
      <c r="BA375">
        <v>1</v>
      </c>
      <c r="BB375" t="str">
        <f t="shared" si="166"/>
        <v xml:space="preserve">N711JA  </v>
      </c>
      <c r="BC375">
        <v>1</v>
      </c>
      <c r="BE375">
        <v>0</v>
      </c>
      <c r="BF375">
        <v>0</v>
      </c>
      <c r="BG375">
        <v>0</v>
      </c>
      <c r="BH375">
        <v>600</v>
      </c>
      <c r="BI375">
        <v>1</v>
      </c>
      <c r="BJ375">
        <v>1</v>
      </c>
      <c r="BK375">
        <v>0</v>
      </c>
      <c r="BL375">
        <v>0</v>
      </c>
      <c r="BO375">
        <v>0</v>
      </c>
      <c r="BP375">
        <v>0</v>
      </c>
      <c r="BW375" t="str">
        <f t="shared" si="181"/>
        <v>14:41:36.065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3</v>
      </c>
      <c r="CP375" t="s">
        <v>119</v>
      </c>
      <c r="CQ375">
        <v>8</v>
      </c>
      <c r="CR375">
        <v>3</v>
      </c>
      <c r="CW375">
        <v>8665960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si="178"/>
        <v>05/12/2020 14:41:18.244</v>
      </c>
      <c r="C376" t="str">
        <f t="shared" si="165"/>
        <v>FFDFD3C0</v>
      </c>
      <c r="D376" t="s">
        <v>126</v>
      </c>
      <c r="E376">
        <v>7</v>
      </c>
      <c r="F376">
        <v>1007</v>
      </c>
      <c r="G376" t="s">
        <v>127</v>
      </c>
      <c r="J376" t="s">
        <v>128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179"/>
        <v>14:41:36.063</v>
      </c>
      <c r="T376" t="str">
        <f t="shared" si="180"/>
        <v>14:41:35.963</v>
      </c>
      <c r="U376" t="str">
        <f t="shared" si="156"/>
        <v>A9808D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214</v>
      </c>
      <c r="AJ376">
        <v>28.243897</v>
      </c>
      <c r="AK376" t="s">
        <v>215</v>
      </c>
      <c r="AL376">
        <v>-82.382698000000005</v>
      </c>
      <c r="AM376">
        <v>100</v>
      </c>
      <c r="AN376">
        <v>500</v>
      </c>
      <c r="AO376" t="s">
        <v>118</v>
      </c>
      <c r="AP376">
        <v>12</v>
      </c>
      <c r="AQ376">
        <v>86</v>
      </c>
      <c r="AR376">
        <v>384</v>
      </c>
      <c r="AZ376">
        <v>1200</v>
      </c>
      <c r="BA376">
        <v>1</v>
      </c>
      <c r="BB376" t="str">
        <f t="shared" si="166"/>
        <v xml:space="preserve">N711JA  </v>
      </c>
      <c r="BC376">
        <v>1</v>
      </c>
      <c r="BE376">
        <v>0</v>
      </c>
      <c r="BF376">
        <v>0</v>
      </c>
      <c r="BG376">
        <v>0</v>
      </c>
      <c r="BH376">
        <v>600</v>
      </c>
      <c r="BI376">
        <v>1</v>
      </c>
      <c r="BJ376">
        <v>1</v>
      </c>
      <c r="BK376">
        <v>0</v>
      </c>
      <c r="BL376">
        <v>0</v>
      </c>
      <c r="BO376">
        <v>0</v>
      </c>
      <c r="BP376">
        <v>0</v>
      </c>
      <c r="BW376" t="str">
        <f t="shared" si="181"/>
        <v>14:41:36.065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4</v>
      </c>
      <c r="CP376" t="s">
        <v>119</v>
      </c>
      <c r="CQ376">
        <v>358</v>
      </c>
      <c r="CR376">
        <v>0</v>
      </c>
      <c r="CW376">
        <v>4556351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si="178"/>
        <v>05/12/2020 14:41:18.244</v>
      </c>
      <c r="C377" t="str">
        <f t="shared" si="165"/>
        <v>FFDFD3C0</v>
      </c>
      <c r="D377" t="s">
        <v>113</v>
      </c>
      <c r="E377">
        <v>3</v>
      </c>
      <c r="H377">
        <v>164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179"/>
        <v>14:41:36.063</v>
      </c>
      <c r="T377" t="str">
        <f t="shared" si="180"/>
        <v>14:41:35.963</v>
      </c>
      <c r="U377" t="str">
        <f t="shared" si="156"/>
        <v>A9808D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214</v>
      </c>
      <c r="AJ377">
        <v>28.243897</v>
      </c>
      <c r="AK377" t="s">
        <v>215</v>
      </c>
      <c r="AL377">
        <v>-82.382698000000005</v>
      </c>
      <c r="AM377">
        <v>100</v>
      </c>
      <c r="AN377">
        <v>500</v>
      </c>
      <c r="AO377" t="s">
        <v>118</v>
      </c>
      <c r="AP377">
        <v>12</v>
      </c>
      <c r="AQ377">
        <v>86</v>
      </c>
      <c r="AR377">
        <v>384</v>
      </c>
      <c r="AZ377">
        <v>1200</v>
      </c>
      <c r="BA377">
        <v>1</v>
      </c>
      <c r="BB377" t="str">
        <f t="shared" si="166"/>
        <v xml:space="preserve">N711JA  </v>
      </c>
      <c r="BC377">
        <v>1</v>
      </c>
      <c r="BE377">
        <v>0</v>
      </c>
      <c r="BF377">
        <v>0</v>
      </c>
      <c r="BG377">
        <v>0</v>
      </c>
      <c r="BH377">
        <v>600</v>
      </c>
      <c r="BI377">
        <v>1</v>
      </c>
      <c r="BJ377">
        <v>1</v>
      </c>
      <c r="BK377">
        <v>0</v>
      </c>
      <c r="BL377">
        <v>0</v>
      </c>
      <c r="BO377">
        <v>0</v>
      </c>
      <c r="BP377">
        <v>0</v>
      </c>
      <c r="BW377" t="str">
        <f t="shared" si="181"/>
        <v>14:41:36.065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3</v>
      </c>
      <c r="CP377" t="s">
        <v>119</v>
      </c>
      <c r="CQ377">
        <v>8</v>
      </c>
      <c r="CR377">
        <v>3</v>
      </c>
      <c r="CW377">
        <v>8665960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ref="A378:A386" si="182">"05/12/2020 14:41:19.310"</f>
        <v>05/12/2020 14:41:19.310</v>
      </c>
      <c r="C378" t="str">
        <f t="shared" si="165"/>
        <v>FFDFD3C0</v>
      </c>
      <c r="D378" t="s">
        <v>138</v>
      </c>
      <c r="E378">
        <v>3</v>
      </c>
      <c r="H378">
        <v>9</v>
      </c>
      <c r="I378" t="s">
        <v>140</v>
      </c>
      <c r="J378" t="s">
        <v>136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ref="S378:S386" si="183">"14:41:37.133"</f>
        <v>14:41:37.133</v>
      </c>
      <c r="T378" t="str">
        <f t="shared" ref="T378:T386" si="184">"14:41:37.033"</f>
        <v>14:41:37.033</v>
      </c>
      <c r="U378" t="str">
        <f t="shared" si="156"/>
        <v>A9808D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216</v>
      </c>
      <c r="AJ378">
        <v>28.244282999999999</v>
      </c>
      <c r="AK378" t="s">
        <v>217</v>
      </c>
      <c r="AL378">
        <v>-82.382611999999995</v>
      </c>
      <c r="AM378">
        <v>100</v>
      </c>
      <c r="AN378">
        <v>500</v>
      </c>
      <c r="AO378" t="s">
        <v>118</v>
      </c>
      <c r="AP378">
        <v>11</v>
      </c>
      <c r="AQ378">
        <v>86</v>
      </c>
      <c r="AR378">
        <v>384</v>
      </c>
      <c r="AZ378">
        <v>1200</v>
      </c>
      <c r="BA378">
        <v>1</v>
      </c>
      <c r="BB378" t="str">
        <f t="shared" si="166"/>
        <v xml:space="preserve">N711JA  </v>
      </c>
      <c r="BC378">
        <v>1</v>
      </c>
      <c r="BE378">
        <v>0</v>
      </c>
      <c r="BF378">
        <v>0</v>
      </c>
      <c r="BG378">
        <v>0</v>
      </c>
      <c r="BH378">
        <v>600</v>
      </c>
      <c r="BI378">
        <v>1</v>
      </c>
      <c r="BJ378">
        <v>1</v>
      </c>
      <c r="BK378">
        <v>0</v>
      </c>
      <c r="BL378">
        <v>0</v>
      </c>
      <c r="BO378">
        <v>0</v>
      </c>
      <c r="BP378">
        <v>0</v>
      </c>
      <c r="BW378" t="str">
        <f t="shared" ref="BW378:BW386" si="185">"14:41:37.135"</f>
        <v>14:41:37.135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343</v>
      </c>
      <c r="CR378">
        <v>2</v>
      </c>
      <c r="CW378">
        <v>12962276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si="182"/>
        <v>05/12/2020 14:41:19.310</v>
      </c>
      <c r="C379" t="str">
        <f t="shared" si="165"/>
        <v>FFDFD3C0</v>
      </c>
      <c r="D379" t="s">
        <v>131</v>
      </c>
      <c r="E379">
        <v>10</v>
      </c>
      <c r="F379">
        <v>2010</v>
      </c>
      <c r="G379" t="s">
        <v>132</v>
      </c>
      <c r="J379" t="s">
        <v>133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83"/>
        <v>14:41:37.133</v>
      </c>
      <c r="T379" t="str">
        <f t="shared" si="184"/>
        <v>14:41:37.033</v>
      </c>
      <c r="U379" t="str">
        <f t="shared" si="156"/>
        <v>A9808D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216</v>
      </c>
      <c r="AJ379">
        <v>28.244282999999999</v>
      </c>
      <c r="AK379" t="s">
        <v>217</v>
      </c>
      <c r="AL379">
        <v>-82.382611999999995</v>
      </c>
      <c r="AM379">
        <v>100</v>
      </c>
      <c r="AN379">
        <v>500</v>
      </c>
      <c r="AO379" t="s">
        <v>118</v>
      </c>
      <c r="AP379">
        <v>11</v>
      </c>
      <c r="AQ379">
        <v>86</v>
      </c>
      <c r="AR379">
        <v>384</v>
      </c>
      <c r="AZ379">
        <v>1200</v>
      </c>
      <c r="BA379">
        <v>1</v>
      </c>
      <c r="BB379" t="str">
        <f t="shared" si="166"/>
        <v xml:space="preserve">N711JA  </v>
      </c>
      <c r="BC379">
        <v>1</v>
      </c>
      <c r="BE379">
        <v>0</v>
      </c>
      <c r="BF379">
        <v>0</v>
      </c>
      <c r="BG379">
        <v>0</v>
      </c>
      <c r="BH379">
        <v>600</v>
      </c>
      <c r="BI379">
        <v>1</v>
      </c>
      <c r="BJ379">
        <v>1</v>
      </c>
      <c r="BK379">
        <v>0</v>
      </c>
      <c r="BL379">
        <v>0</v>
      </c>
      <c r="BO379">
        <v>0</v>
      </c>
      <c r="BP379">
        <v>0</v>
      </c>
      <c r="BW379" t="str">
        <f t="shared" si="185"/>
        <v>14:41:37.135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343</v>
      </c>
      <c r="CR379">
        <v>2</v>
      </c>
      <c r="CW379">
        <v>12962276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si="182"/>
        <v>05/12/2020 14:41:19.310</v>
      </c>
      <c r="C380" t="str">
        <f t="shared" si="165"/>
        <v>FFDFD3C0</v>
      </c>
      <c r="D380" t="s">
        <v>131</v>
      </c>
      <c r="E380">
        <v>12</v>
      </c>
      <c r="F380">
        <v>2012</v>
      </c>
      <c r="G380" t="s">
        <v>137</v>
      </c>
      <c r="J380" t="s">
        <v>133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183"/>
        <v>14:41:37.133</v>
      </c>
      <c r="T380" t="str">
        <f t="shared" si="184"/>
        <v>14:41:37.033</v>
      </c>
      <c r="U380" t="str">
        <f t="shared" si="156"/>
        <v>A9808D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216</v>
      </c>
      <c r="AJ380">
        <v>28.244282999999999</v>
      </c>
      <c r="AK380" t="s">
        <v>217</v>
      </c>
      <c r="AL380">
        <v>-82.382611999999995</v>
      </c>
      <c r="AM380">
        <v>100</v>
      </c>
      <c r="AN380">
        <v>500</v>
      </c>
      <c r="AO380" t="s">
        <v>118</v>
      </c>
      <c r="AP380">
        <v>11</v>
      </c>
      <c r="AQ380">
        <v>86</v>
      </c>
      <c r="AR380">
        <v>384</v>
      </c>
      <c r="AZ380">
        <v>1200</v>
      </c>
      <c r="BA380">
        <v>1</v>
      </c>
      <c r="BB380" t="str">
        <f t="shared" si="166"/>
        <v xml:space="preserve">N711JA  </v>
      </c>
      <c r="BC380">
        <v>1</v>
      </c>
      <c r="BE380">
        <v>0</v>
      </c>
      <c r="BF380">
        <v>0</v>
      </c>
      <c r="BG380">
        <v>0</v>
      </c>
      <c r="BH380">
        <v>600</v>
      </c>
      <c r="BI380">
        <v>1</v>
      </c>
      <c r="BJ380">
        <v>1</v>
      </c>
      <c r="BK380">
        <v>0</v>
      </c>
      <c r="BL380">
        <v>0</v>
      </c>
      <c r="BO380">
        <v>0</v>
      </c>
      <c r="BP380">
        <v>0</v>
      </c>
      <c r="BW380" t="str">
        <f t="shared" si="185"/>
        <v>14:41:37.135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343</v>
      </c>
      <c r="CR380">
        <v>2</v>
      </c>
      <c r="CW380">
        <v>12962276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182"/>
        <v>05/12/2020 14:41:19.310</v>
      </c>
      <c r="C381" t="str">
        <f t="shared" si="165"/>
        <v>FFDFD3C0</v>
      </c>
      <c r="D381" t="s">
        <v>131</v>
      </c>
      <c r="E381">
        <v>18</v>
      </c>
      <c r="F381">
        <v>2018</v>
      </c>
      <c r="G381" t="s">
        <v>161</v>
      </c>
      <c r="J381" t="s">
        <v>133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183"/>
        <v>14:41:37.133</v>
      </c>
      <c r="T381" t="str">
        <f t="shared" si="184"/>
        <v>14:41:37.033</v>
      </c>
      <c r="U381" t="str">
        <f t="shared" si="156"/>
        <v>A9808D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216</v>
      </c>
      <c r="AJ381">
        <v>28.244282999999999</v>
      </c>
      <c r="AK381" t="s">
        <v>217</v>
      </c>
      <c r="AL381">
        <v>-82.382611999999995</v>
      </c>
      <c r="AM381">
        <v>100</v>
      </c>
      <c r="AN381">
        <v>500</v>
      </c>
      <c r="AO381" t="s">
        <v>118</v>
      </c>
      <c r="AP381">
        <v>11</v>
      </c>
      <c r="AQ381">
        <v>86</v>
      </c>
      <c r="AR381">
        <v>384</v>
      </c>
      <c r="AZ381">
        <v>1200</v>
      </c>
      <c r="BA381">
        <v>1</v>
      </c>
      <c r="BB381" t="str">
        <f t="shared" si="166"/>
        <v xml:space="preserve">N711JA  </v>
      </c>
      <c r="BC381">
        <v>1</v>
      </c>
      <c r="BE381">
        <v>0</v>
      </c>
      <c r="BF381">
        <v>0</v>
      </c>
      <c r="BG381">
        <v>0</v>
      </c>
      <c r="BH381">
        <v>600</v>
      </c>
      <c r="BI381">
        <v>1</v>
      </c>
      <c r="BJ381">
        <v>1</v>
      </c>
      <c r="BK381">
        <v>0</v>
      </c>
      <c r="BL381">
        <v>0</v>
      </c>
      <c r="BO381">
        <v>0</v>
      </c>
      <c r="BP381">
        <v>0</v>
      </c>
      <c r="BW381" t="str">
        <f t="shared" si="185"/>
        <v>14:41:37.135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343</v>
      </c>
      <c r="CR381">
        <v>2</v>
      </c>
      <c r="CW381">
        <v>12962276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182"/>
        <v>05/12/2020 14:41:19.310</v>
      </c>
      <c r="C382" t="str">
        <f t="shared" si="165"/>
        <v>FFDFD3C0</v>
      </c>
      <c r="D382" t="s">
        <v>126</v>
      </c>
      <c r="E382">
        <v>7</v>
      </c>
      <c r="F382">
        <v>1007</v>
      </c>
      <c r="G382" t="s">
        <v>127</v>
      </c>
      <c r="J382" t="s">
        <v>128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183"/>
        <v>14:41:37.133</v>
      </c>
      <c r="T382" t="str">
        <f t="shared" si="184"/>
        <v>14:41:37.033</v>
      </c>
      <c r="U382" t="str">
        <f t="shared" si="156"/>
        <v>A9808D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216</v>
      </c>
      <c r="AJ382">
        <v>28.244282999999999</v>
      </c>
      <c r="AK382" t="s">
        <v>217</v>
      </c>
      <c r="AL382">
        <v>-82.382611999999995</v>
      </c>
      <c r="AM382">
        <v>100</v>
      </c>
      <c r="AN382">
        <v>500</v>
      </c>
      <c r="AO382" t="s">
        <v>118</v>
      </c>
      <c r="AP382">
        <v>11</v>
      </c>
      <c r="AQ382">
        <v>86</v>
      </c>
      <c r="AR382">
        <v>384</v>
      </c>
      <c r="AZ382">
        <v>1200</v>
      </c>
      <c r="BA382">
        <v>1</v>
      </c>
      <c r="BB382" t="str">
        <f t="shared" si="166"/>
        <v xml:space="preserve">N711JA  </v>
      </c>
      <c r="BC382">
        <v>1</v>
      </c>
      <c r="BE382">
        <v>0</v>
      </c>
      <c r="BF382">
        <v>0</v>
      </c>
      <c r="BG382">
        <v>0</v>
      </c>
      <c r="BH382">
        <v>600</v>
      </c>
      <c r="BI382">
        <v>1</v>
      </c>
      <c r="BJ382">
        <v>1</v>
      </c>
      <c r="BK382">
        <v>0</v>
      </c>
      <c r="BL382">
        <v>0</v>
      </c>
      <c r="BO382">
        <v>0</v>
      </c>
      <c r="BP382">
        <v>0</v>
      </c>
      <c r="BW382" t="str">
        <f t="shared" si="185"/>
        <v>14:41:37.135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343</v>
      </c>
      <c r="CR382">
        <v>2</v>
      </c>
      <c r="CW382">
        <v>12962276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182"/>
        <v>05/12/2020 14:41:19.310</v>
      </c>
      <c r="C383" t="str">
        <f t="shared" si="165"/>
        <v>FFDFD3C0</v>
      </c>
      <c r="D383" t="s">
        <v>134</v>
      </c>
      <c r="E383">
        <v>12</v>
      </c>
      <c r="H383">
        <v>64</v>
      </c>
      <c r="I383" t="s">
        <v>135</v>
      </c>
      <c r="J383" t="s">
        <v>136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83"/>
        <v>14:41:37.133</v>
      </c>
      <c r="T383" t="str">
        <f t="shared" si="184"/>
        <v>14:41:37.033</v>
      </c>
      <c r="U383" t="str">
        <f t="shared" si="156"/>
        <v>A9808D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216</v>
      </c>
      <c r="AJ383">
        <v>28.244282999999999</v>
      </c>
      <c r="AK383" t="s">
        <v>217</v>
      </c>
      <c r="AL383">
        <v>-82.382611999999995</v>
      </c>
      <c r="AM383">
        <v>100</v>
      </c>
      <c r="AN383">
        <v>500</v>
      </c>
      <c r="AO383" t="s">
        <v>118</v>
      </c>
      <c r="AP383">
        <v>11</v>
      </c>
      <c r="AQ383">
        <v>86</v>
      </c>
      <c r="AR383">
        <v>384</v>
      </c>
      <c r="AZ383">
        <v>1200</v>
      </c>
      <c r="BA383">
        <v>1</v>
      </c>
      <c r="BB383" t="str">
        <f t="shared" si="166"/>
        <v xml:space="preserve">N711JA  </v>
      </c>
      <c r="BC383">
        <v>1</v>
      </c>
      <c r="BE383">
        <v>0</v>
      </c>
      <c r="BF383">
        <v>0</v>
      </c>
      <c r="BG383">
        <v>0</v>
      </c>
      <c r="BH383">
        <v>600</v>
      </c>
      <c r="BI383">
        <v>1</v>
      </c>
      <c r="BJ383">
        <v>1</v>
      </c>
      <c r="BK383">
        <v>0</v>
      </c>
      <c r="BL383">
        <v>0</v>
      </c>
      <c r="BO383">
        <v>0</v>
      </c>
      <c r="BP383">
        <v>0</v>
      </c>
      <c r="BW383" t="str">
        <f t="shared" si="185"/>
        <v>14:41:37.135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343</v>
      </c>
      <c r="CR383">
        <v>2</v>
      </c>
      <c r="CW383">
        <v>12962276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182"/>
        <v>05/12/2020 14:41:19.310</v>
      </c>
      <c r="C384" t="str">
        <f t="shared" si="165"/>
        <v>FFDFD3C0</v>
      </c>
      <c r="D384" t="s">
        <v>126</v>
      </c>
      <c r="E384">
        <v>6</v>
      </c>
      <c r="F384">
        <v>1006</v>
      </c>
      <c r="G384" t="s">
        <v>114</v>
      </c>
      <c r="J384" t="s">
        <v>128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183"/>
        <v>14:41:37.133</v>
      </c>
      <c r="T384" t="str">
        <f t="shared" si="184"/>
        <v>14:41:37.033</v>
      </c>
      <c r="U384" t="str">
        <f t="shared" si="156"/>
        <v>A9808D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216</v>
      </c>
      <c r="AJ384">
        <v>28.244282999999999</v>
      </c>
      <c r="AK384" t="s">
        <v>217</v>
      </c>
      <c r="AL384">
        <v>-82.382611999999995</v>
      </c>
      <c r="AM384">
        <v>100</v>
      </c>
      <c r="AN384">
        <v>500</v>
      </c>
      <c r="AO384" t="s">
        <v>118</v>
      </c>
      <c r="AP384">
        <v>11</v>
      </c>
      <c r="AQ384">
        <v>86</v>
      </c>
      <c r="AR384">
        <v>384</v>
      </c>
      <c r="AZ384">
        <v>1200</v>
      </c>
      <c r="BA384">
        <v>1</v>
      </c>
      <c r="BB384" t="str">
        <f t="shared" si="166"/>
        <v xml:space="preserve">N711JA  </v>
      </c>
      <c r="BC384">
        <v>1</v>
      </c>
      <c r="BE384">
        <v>0</v>
      </c>
      <c r="BF384">
        <v>0</v>
      </c>
      <c r="BG384">
        <v>0</v>
      </c>
      <c r="BH384">
        <v>600</v>
      </c>
      <c r="BI384">
        <v>1</v>
      </c>
      <c r="BJ384">
        <v>1</v>
      </c>
      <c r="BK384">
        <v>0</v>
      </c>
      <c r="BL384">
        <v>0</v>
      </c>
      <c r="BO384">
        <v>0</v>
      </c>
      <c r="BP384">
        <v>0</v>
      </c>
      <c r="BW384" t="str">
        <f t="shared" si="185"/>
        <v>14:41:37.135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343</v>
      </c>
      <c r="CR384">
        <v>2</v>
      </c>
      <c r="CW384">
        <v>12962276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182"/>
        <v>05/12/2020 14:41:19.310</v>
      </c>
      <c r="C385" t="str">
        <f t="shared" si="165"/>
        <v>FFDFD3C0</v>
      </c>
      <c r="D385" t="s">
        <v>113</v>
      </c>
      <c r="E385">
        <v>3</v>
      </c>
      <c r="H385">
        <v>164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183"/>
        <v>14:41:37.133</v>
      </c>
      <c r="T385" t="str">
        <f t="shared" si="184"/>
        <v>14:41:37.033</v>
      </c>
      <c r="U385" t="str">
        <f t="shared" si="156"/>
        <v>A9808D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216</v>
      </c>
      <c r="AJ385">
        <v>28.244282999999999</v>
      </c>
      <c r="AK385" t="s">
        <v>217</v>
      </c>
      <c r="AL385">
        <v>-82.382611999999995</v>
      </c>
      <c r="AM385">
        <v>100</v>
      </c>
      <c r="AN385">
        <v>500</v>
      </c>
      <c r="AO385" t="s">
        <v>118</v>
      </c>
      <c r="AP385">
        <v>11</v>
      </c>
      <c r="AQ385">
        <v>86</v>
      </c>
      <c r="AR385">
        <v>384</v>
      </c>
      <c r="AZ385">
        <v>1200</v>
      </c>
      <c r="BA385">
        <v>1</v>
      </c>
      <c r="BB385" t="str">
        <f t="shared" si="166"/>
        <v xml:space="preserve">N711JA  </v>
      </c>
      <c r="BC385">
        <v>1</v>
      </c>
      <c r="BE385">
        <v>0</v>
      </c>
      <c r="BF385">
        <v>0</v>
      </c>
      <c r="BG385">
        <v>0</v>
      </c>
      <c r="BH385">
        <v>600</v>
      </c>
      <c r="BI385">
        <v>1</v>
      </c>
      <c r="BJ385">
        <v>1</v>
      </c>
      <c r="BK385">
        <v>0</v>
      </c>
      <c r="BL385">
        <v>0</v>
      </c>
      <c r="BO385">
        <v>0</v>
      </c>
      <c r="BP385">
        <v>0</v>
      </c>
      <c r="BW385" t="str">
        <f t="shared" si="185"/>
        <v>14:41:37.135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343</v>
      </c>
      <c r="CR385">
        <v>2</v>
      </c>
      <c r="CW385">
        <v>12962276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si="182"/>
        <v>05/12/2020 14:41:19.310</v>
      </c>
      <c r="C386" t="str">
        <f t="shared" si="165"/>
        <v>FFDFD3C0</v>
      </c>
      <c r="D386" t="s">
        <v>138</v>
      </c>
      <c r="E386">
        <v>2</v>
      </c>
      <c r="H386">
        <v>8</v>
      </c>
      <c r="I386" t="s">
        <v>139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83"/>
        <v>14:41:37.133</v>
      </c>
      <c r="T386" t="str">
        <f t="shared" si="184"/>
        <v>14:41:37.033</v>
      </c>
      <c r="U386" t="str">
        <f t="shared" ref="U386:U449" si="186">"A9808D"</f>
        <v>A9808D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216</v>
      </c>
      <c r="AJ386">
        <v>28.244282999999999</v>
      </c>
      <c r="AK386" t="s">
        <v>217</v>
      </c>
      <c r="AL386">
        <v>-82.382611999999995</v>
      </c>
      <c r="AM386">
        <v>100</v>
      </c>
      <c r="AN386">
        <v>500</v>
      </c>
      <c r="AO386" t="s">
        <v>118</v>
      </c>
      <c r="AP386">
        <v>11</v>
      </c>
      <c r="AQ386">
        <v>86</v>
      </c>
      <c r="AR386">
        <v>384</v>
      </c>
      <c r="AZ386">
        <v>1200</v>
      </c>
      <c r="BA386">
        <v>1</v>
      </c>
      <c r="BB386" t="str">
        <f t="shared" si="166"/>
        <v xml:space="preserve">N711JA  </v>
      </c>
      <c r="BC386">
        <v>1</v>
      </c>
      <c r="BE386">
        <v>0</v>
      </c>
      <c r="BF386">
        <v>0</v>
      </c>
      <c r="BG386">
        <v>0</v>
      </c>
      <c r="BH386">
        <v>600</v>
      </c>
      <c r="BI386">
        <v>1</v>
      </c>
      <c r="BJ386">
        <v>1</v>
      </c>
      <c r="BK386">
        <v>0</v>
      </c>
      <c r="BL386">
        <v>0</v>
      </c>
      <c r="BO386">
        <v>0</v>
      </c>
      <c r="BP386">
        <v>0</v>
      </c>
      <c r="BW386" t="str">
        <f t="shared" si="185"/>
        <v>14:41:37.135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343</v>
      </c>
      <c r="CR386">
        <v>2</v>
      </c>
      <c r="CW386">
        <v>12962276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ref="A387:A395" si="187">"05/12/2020 14:41:20.342"</f>
        <v>05/12/2020 14:41:20.342</v>
      </c>
      <c r="C387" t="str">
        <f t="shared" si="165"/>
        <v>FFDFD3C0</v>
      </c>
      <c r="D387" t="s">
        <v>131</v>
      </c>
      <c r="E387">
        <v>10</v>
      </c>
      <c r="F387">
        <v>2010</v>
      </c>
      <c r="G387" t="s">
        <v>132</v>
      </c>
      <c r="J387" t="s">
        <v>133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ref="S387:S395" si="188">"14:41:38.172"</f>
        <v>14:41:38.172</v>
      </c>
      <c r="T387" t="str">
        <f t="shared" ref="T387:T395" si="189">"14:41:37.872"</f>
        <v>14:41:37.872</v>
      </c>
      <c r="U387" t="str">
        <f t="shared" si="186"/>
        <v>A9808D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218</v>
      </c>
      <c r="AJ387">
        <v>28.244755000000001</v>
      </c>
      <c r="AK387" t="s">
        <v>219</v>
      </c>
      <c r="AL387">
        <v>-82.382569000000004</v>
      </c>
      <c r="AM387">
        <v>100</v>
      </c>
      <c r="AN387">
        <v>500</v>
      </c>
      <c r="AO387" t="s">
        <v>118</v>
      </c>
      <c r="AP387">
        <v>11</v>
      </c>
      <c r="AQ387">
        <v>86</v>
      </c>
      <c r="AR387">
        <v>448</v>
      </c>
      <c r="AZ387">
        <v>1200</v>
      </c>
      <c r="BA387">
        <v>1</v>
      </c>
      <c r="BB387" t="str">
        <f t="shared" si="166"/>
        <v xml:space="preserve">N711JA  </v>
      </c>
      <c r="BC387">
        <v>1</v>
      </c>
      <c r="BE387">
        <v>0</v>
      </c>
      <c r="BF387">
        <v>0</v>
      </c>
      <c r="BG387">
        <v>0</v>
      </c>
      <c r="BH387">
        <v>600</v>
      </c>
      <c r="BI387">
        <v>1</v>
      </c>
      <c r="BJ387">
        <v>1</v>
      </c>
      <c r="BK387">
        <v>0</v>
      </c>
      <c r="BL387">
        <v>0</v>
      </c>
      <c r="BO387">
        <v>0</v>
      </c>
      <c r="BP387">
        <v>0</v>
      </c>
      <c r="BW387" t="str">
        <f t="shared" ref="BW387:BW395" si="190">"14:41:38.179"</f>
        <v>14:41:38.179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343</v>
      </c>
      <c r="CR387">
        <v>2</v>
      </c>
      <c r="CW387">
        <v>12963136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si="187"/>
        <v>05/12/2020 14:41:20.342</v>
      </c>
      <c r="C388" t="str">
        <f t="shared" si="165"/>
        <v>FFDFD3C0</v>
      </c>
      <c r="D388" t="s">
        <v>131</v>
      </c>
      <c r="E388">
        <v>18</v>
      </c>
      <c r="F388">
        <v>2018</v>
      </c>
      <c r="G388" t="s">
        <v>161</v>
      </c>
      <c r="J388" t="s">
        <v>133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188"/>
        <v>14:41:38.172</v>
      </c>
      <c r="T388" t="str">
        <f t="shared" si="189"/>
        <v>14:41:37.872</v>
      </c>
      <c r="U388" t="str">
        <f t="shared" si="186"/>
        <v>A9808D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218</v>
      </c>
      <c r="AJ388">
        <v>28.244755000000001</v>
      </c>
      <c r="AK388" t="s">
        <v>219</v>
      </c>
      <c r="AL388">
        <v>-82.382569000000004</v>
      </c>
      <c r="AM388">
        <v>100</v>
      </c>
      <c r="AN388">
        <v>500</v>
      </c>
      <c r="AO388" t="s">
        <v>118</v>
      </c>
      <c r="AP388">
        <v>11</v>
      </c>
      <c r="AQ388">
        <v>86</v>
      </c>
      <c r="AR388">
        <v>448</v>
      </c>
      <c r="AZ388">
        <v>1200</v>
      </c>
      <c r="BA388">
        <v>1</v>
      </c>
      <c r="BB388" t="str">
        <f t="shared" si="166"/>
        <v xml:space="preserve">N711JA  </v>
      </c>
      <c r="BC388">
        <v>1</v>
      </c>
      <c r="BE388">
        <v>0</v>
      </c>
      <c r="BF388">
        <v>0</v>
      </c>
      <c r="BG388">
        <v>0</v>
      </c>
      <c r="BH388">
        <v>600</v>
      </c>
      <c r="BI388">
        <v>1</v>
      </c>
      <c r="BJ388">
        <v>1</v>
      </c>
      <c r="BK388">
        <v>0</v>
      </c>
      <c r="BL388">
        <v>0</v>
      </c>
      <c r="BO388">
        <v>0</v>
      </c>
      <c r="BP388">
        <v>0</v>
      </c>
      <c r="BW388" t="str">
        <f t="shared" si="190"/>
        <v>14:41:38.179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343</v>
      </c>
      <c r="CR388">
        <v>2</v>
      </c>
      <c r="CW388">
        <v>12963136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187"/>
        <v>05/12/2020 14:41:20.342</v>
      </c>
      <c r="C389" t="str">
        <f t="shared" si="165"/>
        <v>FFDFD3C0</v>
      </c>
      <c r="D389" t="s">
        <v>131</v>
      </c>
      <c r="E389">
        <v>12</v>
      </c>
      <c r="F389">
        <v>2012</v>
      </c>
      <c r="G389" t="s">
        <v>137</v>
      </c>
      <c r="J389" t="s">
        <v>133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188"/>
        <v>14:41:38.172</v>
      </c>
      <c r="T389" t="str">
        <f t="shared" si="189"/>
        <v>14:41:37.872</v>
      </c>
      <c r="U389" t="str">
        <f t="shared" si="186"/>
        <v>A9808D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218</v>
      </c>
      <c r="AJ389">
        <v>28.244755000000001</v>
      </c>
      <c r="AK389" t="s">
        <v>219</v>
      </c>
      <c r="AL389">
        <v>-82.382569000000004</v>
      </c>
      <c r="AM389">
        <v>100</v>
      </c>
      <c r="AN389">
        <v>500</v>
      </c>
      <c r="AO389" t="s">
        <v>118</v>
      </c>
      <c r="AP389">
        <v>11</v>
      </c>
      <c r="AQ389">
        <v>86</v>
      </c>
      <c r="AR389">
        <v>448</v>
      </c>
      <c r="AZ389">
        <v>1200</v>
      </c>
      <c r="BA389">
        <v>1</v>
      </c>
      <c r="BB389" t="str">
        <f t="shared" si="166"/>
        <v xml:space="preserve">N711JA  </v>
      </c>
      <c r="BC389">
        <v>1</v>
      </c>
      <c r="BE389">
        <v>0</v>
      </c>
      <c r="BF389">
        <v>0</v>
      </c>
      <c r="BG389">
        <v>0</v>
      </c>
      <c r="BH389">
        <v>600</v>
      </c>
      <c r="BI389">
        <v>1</v>
      </c>
      <c r="BJ389">
        <v>1</v>
      </c>
      <c r="BK389">
        <v>0</v>
      </c>
      <c r="BL389">
        <v>0</v>
      </c>
      <c r="BO389">
        <v>0</v>
      </c>
      <c r="BP389">
        <v>0</v>
      </c>
      <c r="BW389" t="str">
        <f t="shared" si="190"/>
        <v>14:41:38.179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343</v>
      </c>
      <c r="CR389">
        <v>2</v>
      </c>
      <c r="CW389">
        <v>12963136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 t="shared" si="187"/>
        <v>05/12/2020 14:41:20.342</v>
      </c>
      <c r="C390" t="str">
        <f t="shared" si="165"/>
        <v>FFDFD3C0</v>
      </c>
      <c r="D390" t="s">
        <v>126</v>
      </c>
      <c r="E390">
        <v>7</v>
      </c>
      <c r="F390">
        <v>1007</v>
      </c>
      <c r="G390" t="s">
        <v>127</v>
      </c>
      <c r="J390" t="s">
        <v>128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188"/>
        <v>14:41:38.172</v>
      </c>
      <c r="T390" t="str">
        <f t="shared" si="189"/>
        <v>14:41:37.872</v>
      </c>
      <c r="U390" t="str">
        <f t="shared" si="186"/>
        <v>A9808D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218</v>
      </c>
      <c r="AJ390">
        <v>28.244755000000001</v>
      </c>
      <c r="AK390" t="s">
        <v>219</v>
      </c>
      <c r="AL390">
        <v>-82.382569000000004</v>
      </c>
      <c r="AM390">
        <v>100</v>
      </c>
      <c r="AN390">
        <v>500</v>
      </c>
      <c r="AO390" t="s">
        <v>118</v>
      </c>
      <c r="AP390">
        <v>11</v>
      </c>
      <c r="AQ390">
        <v>86</v>
      </c>
      <c r="AR390">
        <v>448</v>
      </c>
      <c r="AZ390">
        <v>1200</v>
      </c>
      <c r="BA390">
        <v>1</v>
      </c>
      <c r="BB390" t="str">
        <f t="shared" si="166"/>
        <v xml:space="preserve">N711JA  </v>
      </c>
      <c r="BC390">
        <v>1</v>
      </c>
      <c r="BE390">
        <v>0</v>
      </c>
      <c r="BF390">
        <v>0</v>
      </c>
      <c r="BG390">
        <v>0</v>
      </c>
      <c r="BH390">
        <v>600</v>
      </c>
      <c r="BI390">
        <v>1</v>
      </c>
      <c r="BJ390">
        <v>1</v>
      </c>
      <c r="BK390">
        <v>0</v>
      </c>
      <c r="BL390">
        <v>0</v>
      </c>
      <c r="BO390">
        <v>0</v>
      </c>
      <c r="BP390">
        <v>0</v>
      </c>
      <c r="BW390" t="str">
        <f t="shared" si="190"/>
        <v>14:41:38.179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343</v>
      </c>
      <c r="CR390">
        <v>2</v>
      </c>
      <c r="CW390">
        <v>12963136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si="187"/>
        <v>05/12/2020 14:41:20.342</v>
      </c>
      <c r="C391" t="str">
        <f t="shared" si="165"/>
        <v>FFDFD3C0</v>
      </c>
      <c r="D391" t="s">
        <v>126</v>
      </c>
      <c r="E391">
        <v>6</v>
      </c>
      <c r="F391">
        <v>1006</v>
      </c>
      <c r="G391" t="s">
        <v>114</v>
      </c>
      <c r="J391" t="s">
        <v>128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188"/>
        <v>14:41:38.172</v>
      </c>
      <c r="T391" t="str">
        <f t="shared" si="189"/>
        <v>14:41:37.872</v>
      </c>
      <c r="U391" t="str">
        <f t="shared" si="186"/>
        <v>A9808D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218</v>
      </c>
      <c r="AJ391">
        <v>28.244755000000001</v>
      </c>
      <c r="AK391" t="s">
        <v>219</v>
      </c>
      <c r="AL391">
        <v>-82.382569000000004</v>
      </c>
      <c r="AM391">
        <v>100</v>
      </c>
      <c r="AN391">
        <v>500</v>
      </c>
      <c r="AO391" t="s">
        <v>118</v>
      </c>
      <c r="AP391">
        <v>11</v>
      </c>
      <c r="AQ391">
        <v>86</v>
      </c>
      <c r="AR391">
        <v>448</v>
      </c>
      <c r="AZ391">
        <v>1200</v>
      </c>
      <c r="BA391">
        <v>1</v>
      </c>
      <c r="BB391" t="str">
        <f t="shared" si="166"/>
        <v xml:space="preserve">N711JA  </v>
      </c>
      <c r="BC391">
        <v>1</v>
      </c>
      <c r="BE391">
        <v>0</v>
      </c>
      <c r="BF391">
        <v>0</v>
      </c>
      <c r="BG391">
        <v>0</v>
      </c>
      <c r="BH391">
        <v>600</v>
      </c>
      <c r="BI391">
        <v>1</v>
      </c>
      <c r="BJ391">
        <v>1</v>
      </c>
      <c r="BK391">
        <v>0</v>
      </c>
      <c r="BL391">
        <v>0</v>
      </c>
      <c r="BO391">
        <v>0</v>
      </c>
      <c r="BP391">
        <v>0</v>
      </c>
      <c r="BW391" t="str">
        <f t="shared" si="190"/>
        <v>14:41:38.179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343</v>
      </c>
      <c r="CR391">
        <v>2</v>
      </c>
      <c r="CW391">
        <v>12963136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si="187"/>
        <v>05/12/2020 14:41:20.342</v>
      </c>
      <c r="C392" t="str">
        <f t="shared" si="165"/>
        <v>FFDFD3C0</v>
      </c>
      <c r="D392" t="s">
        <v>134</v>
      </c>
      <c r="E392">
        <v>12</v>
      </c>
      <c r="H392">
        <v>64</v>
      </c>
      <c r="I392" t="s">
        <v>135</v>
      </c>
      <c r="J392" t="s">
        <v>136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188"/>
        <v>14:41:38.172</v>
      </c>
      <c r="T392" t="str">
        <f t="shared" si="189"/>
        <v>14:41:37.872</v>
      </c>
      <c r="U392" t="str">
        <f t="shared" si="186"/>
        <v>A9808D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218</v>
      </c>
      <c r="AJ392">
        <v>28.244755000000001</v>
      </c>
      <c r="AK392" t="s">
        <v>219</v>
      </c>
      <c r="AL392">
        <v>-82.382569000000004</v>
      </c>
      <c r="AM392">
        <v>100</v>
      </c>
      <c r="AN392">
        <v>500</v>
      </c>
      <c r="AO392" t="s">
        <v>118</v>
      </c>
      <c r="AP392">
        <v>11</v>
      </c>
      <c r="AQ392">
        <v>86</v>
      </c>
      <c r="AR392">
        <v>448</v>
      </c>
      <c r="AZ392">
        <v>1200</v>
      </c>
      <c r="BA392">
        <v>1</v>
      </c>
      <c r="BB392" t="str">
        <f t="shared" si="166"/>
        <v xml:space="preserve">N711JA  </v>
      </c>
      <c r="BC392">
        <v>1</v>
      </c>
      <c r="BE392">
        <v>0</v>
      </c>
      <c r="BF392">
        <v>0</v>
      </c>
      <c r="BG392">
        <v>0</v>
      </c>
      <c r="BH392">
        <v>600</v>
      </c>
      <c r="BI392">
        <v>1</v>
      </c>
      <c r="BJ392">
        <v>1</v>
      </c>
      <c r="BK392">
        <v>0</v>
      </c>
      <c r="BL392">
        <v>0</v>
      </c>
      <c r="BO392">
        <v>0</v>
      </c>
      <c r="BP392">
        <v>0</v>
      </c>
      <c r="BW392" t="str">
        <f t="shared" si="190"/>
        <v>14:41:38.179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343</v>
      </c>
      <c r="CR392">
        <v>2</v>
      </c>
      <c r="CW392">
        <v>12963136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187"/>
        <v>05/12/2020 14:41:20.342</v>
      </c>
      <c r="C393" t="str">
        <f t="shared" si="165"/>
        <v>FFDFD3C0</v>
      </c>
      <c r="D393" t="s">
        <v>113</v>
      </c>
      <c r="E393">
        <v>3</v>
      </c>
      <c r="H393">
        <v>164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188"/>
        <v>14:41:38.172</v>
      </c>
      <c r="T393" t="str">
        <f t="shared" si="189"/>
        <v>14:41:37.872</v>
      </c>
      <c r="U393" t="str">
        <f t="shared" si="186"/>
        <v>A9808D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218</v>
      </c>
      <c r="AJ393">
        <v>28.244755000000001</v>
      </c>
      <c r="AK393" t="s">
        <v>219</v>
      </c>
      <c r="AL393">
        <v>-82.382569000000004</v>
      </c>
      <c r="AM393">
        <v>100</v>
      </c>
      <c r="AN393">
        <v>500</v>
      </c>
      <c r="AO393" t="s">
        <v>118</v>
      </c>
      <c r="AP393">
        <v>11</v>
      </c>
      <c r="AQ393">
        <v>86</v>
      </c>
      <c r="AR393">
        <v>448</v>
      </c>
      <c r="AZ393">
        <v>1200</v>
      </c>
      <c r="BA393">
        <v>1</v>
      </c>
      <c r="BB393" t="str">
        <f t="shared" si="166"/>
        <v xml:space="preserve">N711JA  </v>
      </c>
      <c r="BC393">
        <v>1</v>
      </c>
      <c r="BE393">
        <v>0</v>
      </c>
      <c r="BF393">
        <v>0</v>
      </c>
      <c r="BG393">
        <v>0</v>
      </c>
      <c r="BH393">
        <v>600</v>
      </c>
      <c r="BI393">
        <v>1</v>
      </c>
      <c r="BJ393">
        <v>1</v>
      </c>
      <c r="BK393">
        <v>0</v>
      </c>
      <c r="BL393">
        <v>0</v>
      </c>
      <c r="BO393">
        <v>0</v>
      </c>
      <c r="BP393">
        <v>0</v>
      </c>
      <c r="BW393" t="str">
        <f t="shared" si="190"/>
        <v>14:41:38.179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343</v>
      </c>
      <c r="CR393">
        <v>2</v>
      </c>
      <c r="CW393">
        <v>12963136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187"/>
        <v>05/12/2020 14:41:20.342</v>
      </c>
      <c r="C394" t="str">
        <f t="shared" si="165"/>
        <v>FFDFD3C0</v>
      </c>
      <c r="D394" t="s">
        <v>138</v>
      </c>
      <c r="E394">
        <v>2</v>
      </c>
      <c r="H394">
        <v>8</v>
      </c>
      <c r="I394" t="s">
        <v>139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188"/>
        <v>14:41:38.172</v>
      </c>
      <c r="T394" t="str">
        <f t="shared" si="189"/>
        <v>14:41:37.872</v>
      </c>
      <c r="U394" t="str">
        <f t="shared" si="186"/>
        <v>A9808D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218</v>
      </c>
      <c r="AJ394">
        <v>28.244755000000001</v>
      </c>
      <c r="AK394" t="s">
        <v>219</v>
      </c>
      <c r="AL394">
        <v>-82.382569000000004</v>
      </c>
      <c r="AM394">
        <v>100</v>
      </c>
      <c r="AN394">
        <v>500</v>
      </c>
      <c r="AO394" t="s">
        <v>118</v>
      </c>
      <c r="AP394">
        <v>11</v>
      </c>
      <c r="AQ394">
        <v>86</v>
      </c>
      <c r="AR394">
        <v>448</v>
      </c>
      <c r="AZ394">
        <v>1200</v>
      </c>
      <c r="BA394">
        <v>1</v>
      </c>
      <c r="BB394" t="str">
        <f t="shared" si="166"/>
        <v xml:space="preserve">N711JA  </v>
      </c>
      <c r="BC394">
        <v>1</v>
      </c>
      <c r="BE394">
        <v>0</v>
      </c>
      <c r="BF394">
        <v>0</v>
      </c>
      <c r="BG394">
        <v>0</v>
      </c>
      <c r="BH394">
        <v>600</v>
      </c>
      <c r="BI394">
        <v>1</v>
      </c>
      <c r="BJ394">
        <v>1</v>
      </c>
      <c r="BK394">
        <v>0</v>
      </c>
      <c r="BL394">
        <v>0</v>
      </c>
      <c r="BO394">
        <v>0</v>
      </c>
      <c r="BP394">
        <v>0</v>
      </c>
      <c r="BW394" t="str">
        <f t="shared" si="190"/>
        <v>14:41:38.179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343</v>
      </c>
      <c r="CR394">
        <v>2</v>
      </c>
      <c r="CW394">
        <v>12963136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187"/>
        <v>05/12/2020 14:41:20.342</v>
      </c>
      <c r="C395" t="str">
        <f t="shared" si="165"/>
        <v>FFDFD3C0</v>
      </c>
      <c r="D395" t="s">
        <v>138</v>
      </c>
      <c r="E395">
        <v>3</v>
      </c>
      <c r="H395">
        <v>9</v>
      </c>
      <c r="I395" t="s">
        <v>140</v>
      </c>
      <c r="J395" t="s">
        <v>136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188"/>
        <v>14:41:38.172</v>
      </c>
      <c r="T395" t="str">
        <f t="shared" si="189"/>
        <v>14:41:37.872</v>
      </c>
      <c r="U395" t="str">
        <f t="shared" si="186"/>
        <v>A9808D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218</v>
      </c>
      <c r="AJ395">
        <v>28.244755000000001</v>
      </c>
      <c r="AK395" t="s">
        <v>219</v>
      </c>
      <c r="AL395">
        <v>-82.382569000000004</v>
      </c>
      <c r="AM395">
        <v>100</v>
      </c>
      <c r="AN395">
        <v>500</v>
      </c>
      <c r="AO395" t="s">
        <v>118</v>
      </c>
      <c r="AP395">
        <v>11</v>
      </c>
      <c r="AQ395">
        <v>86</v>
      </c>
      <c r="AR395">
        <v>448</v>
      </c>
      <c r="AZ395">
        <v>1200</v>
      </c>
      <c r="BA395">
        <v>1</v>
      </c>
      <c r="BB395" t="str">
        <f t="shared" si="166"/>
        <v xml:space="preserve">N711JA  </v>
      </c>
      <c r="BC395">
        <v>1</v>
      </c>
      <c r="BE395">
        <v>0</v>
      </c>
      <c r="BF395">
        <v>0</v>
      </c>
      <c r="BG395">
        <v>0</v>
      </c>
      <c r="BH395">
        <v>600</v>
      </c>
      <c r="BI395">
        <v>1</v>
      </c>
      <c r="BJ395">
        <v>1</v>
      </c>
      <c r="BK395">
        <v>0</v>
      </c>
      <c r="BL395">
        <v>0</v>
      </c>
      <c r="BO395">
        <v>0</v>
      </c>
      <c r="BP395">
        <v>0</v>
      </c>
      <c r="BW395" t="str">
        <f t="shared" si="190"/>
        <v>14:41:38.179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343</v>
      </c>
      <c r="CR395">
        <v>2</v>
      </c>
      <c r="CW395">
        <v>12963136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"05/12/2020 14:41:21.334"</f>
        <v>05/12/2020 14:41:21.334</v>
      </c>
      <c r="C396" t="str">
        <f t="shared" si="165"/>
        <v>FFDFD3C0</v>
      </c>
      <c r="D396" t="s">
        <v>138</v>
      </c>
      <c r="E396">
        <v>3</v>
      </c>
      <c r="H396">
        <v>9</v>
      </c>
      <c r="I396" t="s">
        <v>140</v>
      </c>
      <c r="J396" t="s">
        <v>136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"14:41:39.117"</f>
        <v>14:41:39.117</v>
      </c>
      <c r="T396" t="str">
        <f>"14:41:38.417"</f>
        <v>14:41:38.417</v>
      </c>
      <c r="U396" t="str">
        <f t="shared" si="186"/>
        <v>A9808D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220</v>
      </c>
      <c r="AJ396">
        <v>28.24512</v>
      </c>
      <c r="AK396" t="s">
        <v>221</v>
      </c>
      <c r="AL396">
        <v>-82.382504999999995</v>
      </c>
      <c r="AM396">
        <v>100</v>
      </c>
      <c r="AN396">
        <v>500</v>
      </c>
      <c r="AO396" t="s">
        <v>118</v>
      </c>
      <c r="AP396">
        <v>11</v>
      </c>
      <c r="AQ396">
        <v>86</v>
      </c>
      <c r="AR396">
        <v>576</v>
      </c>
      <c r="AZ396">
        <v>1200</v>
      </c>
      <c r="BA396">
        <v>1</v>
      </c>
      <c r="BB396" t="str">
        <f t="shared" si="166"/>
        <v xml:space="preserve">N711JA  </v>
      </c>
      <c r="BC396">
        <v>1</v>
      </c>
      <c r="BE396">
        <v>0</v>
      </c>
      <c r="BF396">
        <v>0</v>
      </c>
      <c r="BG396">
        <v>0</v>
      </c>
      <c r="BH396">
        <v>600</v>
      </c>
      <c r="BI396">
        <v>1</v>
      </c>
      <c r="BJ396">
        <v>1</v>
      </c>
      <c r="BK396">
        <v>0</v>
      </c>
      <c r="BL396">
        <v>0</v>
      </c>
      <c r="BO396">
        <v>0</v>
      </c>
      <c r="BP396">
        <v>0</v>
      </c>
      <c r="BW396" t="str">
        <f>"14:41:39.119"</f>
        <v>14:41:39.119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4</v>
      </c>
      <c r="CP396" t="s">
        <v>119</v>
      </c>
      <c r="CQ396">
        <v>358</v>
      </c>
      <c r="CR396">
        <v>0</v>
      </c>
      <c r="CW396">
        <v>4559987</v>
      </c>
      <c r="CY396">
        <v>1</v>
      </c>
      <c r="CZ396">
        <v>0</v>
      </c>
      <c r="DA396">
        <v>0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"05/12/2020 14:41:21.334"</f>
        <v>05/12/2020 14:41:21.334</v>
      </c>
      <c r="C397" t="str">
        <f t="shared" si="165"/>
        <v>FFDFD3C0</v>
      </c>
      <c r="D397" t="s">
        <v>126</v>
      </c>
      <c r="E397">
        <v>7</v>
      </c>
      <c r="F397">
        <v>1007</v>
      </c>
      <c r="G397" t="s">
        <v>127</v>
      </c>
      <c r="J397" t="s">
        <v>128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"14:41:39.117"</f>
        <v>14:41:39.117</v>
      </c>
      <c r="T397" t="str">
        <f>"14:41:38.417"</f>
        <v>14:41:38.417</v>
      </c>
      <c r="U397" t="str">
        <f t="shared" si="186"/>
        <v>A9808D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220</v>
      </c>
      <c r="AJ397">
        <v>28.24512</v>
      </c>
      <c r="AK397" t="s">
        <v>221</v>
      </c>
      <c r="AL397">
        <v>-82.382504999999995</v>
      </c>
      <c r="AM397">
        <v>100</v>
      </c>
      <c r="AN397">
        <v>500</v>
      </c>
      <c r="AO397" t="s">
        <v>118</v>
      </c>
      <c r="AP397">
        <v>11</v>
      </c>
      <c r="AQ397">
        <v>86</v>
      </c>
      <c r="AR397">
        <v>576</v>
      </c>
      <c r="AZ397">
        <v>1200</v>
      </c>
      <c r="BA397">
        <v>1</v>
      </c>
      <c r="BB397" t="str">
        <f t="shared" si="166"/>
        <v xml:space="preserve">N711JA  </v>
      </c>
      <c r="BC397">
        <v>1</v>
      </c>
      <c r="BE397">
        <v>0</v>
      </c>
      <c r="BF397">
        <v>0</v>
      </c>
      <c r="BG397">
        <v>0</v>
      </c>
      <c r="BH397">
        <v>600</v>
      </c>
      <c r="BI397">
        <v>1</v>
      </c>
      <c r="BJ397">
        <v>1</v>
      </c>
      <c r="BK397">
        <v>0</v>
      </c>
      <c r="BL397">
        <v>0</v>
      </c>
      <c r="BO397">
        <v>0</v>
      </c>
      <c r="BP397">
        <v>0</v>
      </c>
      <c r="BW397" t="str">
        <f>"14:41:39.119"</f>
        <v>14:41:39.119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4</v>
      </c>
      <c r="CP397" t="s">
        <v>119</v>
      </c>
      <c r="CQ397">
        <v>358</v>
      </c>
      <c r="CR397">
        <v>0</v>
      </c>
      <c r="CW397">
        <v>4559987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"05/12/2020 14:41:21.334"</f>
        <v>05/12/2020 14:41:21.334</v>
      </c>
      <c r="C398" t="str">
        <f t="shared" si="165"/>
        <v>FFDFD3C0</v>
      </c>
      <c r="D398" t="s">
        <v>131</v>
      </c>
      <c r="E398">
        <v>10</v>
      </c>
      <c r="F398">
        <v>2010</v>
      </c>
      <c r="G398" t="s">
        <v>132</v>
      </c>
      <c r="J398" t="s">
        <v>133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"14:41:39.117"</f>
        <v>14:41:39.117</v>
      </c>
      <c r="T398" t="str">
        <f>"14:41:38.417"</f>
        <v>14:41:38.417</v>
      </c>
      <c r="U398" t="str">
        <f t="shared" si="186"/>
        <v>A9808D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220</v>
      </c>
      <c r="AJ398">
        <v>28.24512</v>
      </c>
      <c r="AK398" t="s">
        <v>221</v>
      </c>
      <c r="AL398">
        <v>-82.382504999999995</v>
      </c>
      <c r="AM398">
        <v>100</v>
      </c>
      <c r="AN398">
        <v>500</v>
      </c>
      <c r="AO398" t="s">
        <v>118</v>
      </c>
      <c r="AP398">
        <v>11</v>
      </c>
      <c r="AQ398">
        <v>86</v>
      </c>
      <c r="AR398">
        <v>576</v>
      </c>
      <c r="AZ398">
        <v>1200</v>
      </c>
      <c r="BA398">
        <v>1</v>
      </c>
      <c r="BB398" t="str">
        <f t="shared" si="166"/>
        <v xml:space="preserve">N711JA  </v>
      </c>
      <c r="BC398">
        <v>1</v>
      </c>
      <c r="BE398">
        <v>0</v>
      </c>
      <c r="BF398">
        <v>0</v>
      </c>
      <c r="BG398">
        <v>0</v>
      </c>
      <c r="BH398">
        <v>600</v>
      </c>
      <c r="BI398">
        <v>1</v>
      </c>
      <c r="BJ398">
        <v>1</v>
      </c>
      <c r="BK398">
        <v>0</v>
      </c>
      <c r="BL398">
        <v>0</v>
      </c>
      <c r="BO398">
        <v>0</v>
      </c>
      <c r="BP398">
        <v>0</v>
      </c>
      <c r="BW398" t="str">
        <f>"14:41:39.119"</f>
        <v>14:41:39.119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4</v>
      </c>
      <c r="CP398" t="s">
        <v>119</v>
      </c>
      <c r="CQ398">
        <v>358</v>
      </c>
      <c r="CR398">
        <v>0</v>
      </c>
      <c r="CW398">
        <v>4559987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"05/12/2020 14:41:21.334"</f>
        <v>05/12/2020 14:41:21.334</v>
      </c>
      <c r="C399" t="str">
        <f t="shared" si="165"/>
        <v>FFDFD3C0</v>
      </c>
      <c r="D399" t="s">
        <v>126</v>
      </c>
      <c r="E399">
        <v>6</v>
      </c>
      <c r="F399">
        <v>1006</v>
      </c>
      <c r="G399" t="s">
        <v>114</v>
      </c>
      <c r="J399" t="s">
        <v>128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"14:41:39.117"</f>
        <v>14:41:39.117</v>
      </c>
      <c r="T399" t="str">
        <f>"14:41:38.417"</f>
        <v>14:41:38.417</v>
      </c>
      <c r="U399" t="str">
        <f t="shared" si="186"/>
        <v>A9808D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220</v>
      </c>
      <c r="AJ399">
        <v>28.24512</v>
      </c>
      <c r="AK399" t="s">
        <v>221</v>
      </c>
      <c r="AL399">
        <v>-82.382504999999995</v>
      </c>
      <c r="AM399">
        <v>100</v>
      </c>
      <c r="AN399">
        <v>500</v>
      </c>
      <c r="AO399" t="s">
        <v>118</v>
      </c>
      <c r="AP399">
        <v>11</v>
      </c>
      <c r="AQ399">
        <v>86</v>
      </c>
      <c r="AR399">
        <v>576</v>
      </c>
      <c r="AZ399">
        <v>1200</v>
      </c>
      <c r="BA399">
        <v>1</v>
      </c>
      <c r="BB399" t="str">
        <f t="shared" si="166"/>
        <v xml:space="preserve">N711JA  </v>
      </c>
      <c r="BC399">
        <v>1</v>
      </c>
      <c r="BE399">
        <v>0</v>
      </c>
      <c r="BF399">
        <v>0</v>
      </c>
      <c r="BG399">
        <v>0</v>
      </c>
      <c r="BH399">
        <v>600</v>
      </c>
      <c r="BI399">
        <v>1</v>
      </c>
      <c r="BJ399">
        <v>1</v>
      </c>
      <c r="BK399">
        <v>0</v>
      </c>
      <c r="BL399">
        <v>0</v>
      </c>
      <c r="BO399">
        <v>0</v>
      </c>
      <c r="BP399">
        <v>0</v>
      </c>
      <c r="BW399" t="str">
        <f>"14:41:39.119"</f>
        <v>14:41:39.119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4</v>
      </c>
      <c r="CP399" t="s">
        <v>119</v>
      </c>
      <c r="CQ399">
        <v>358</v>
      </c>
      <c r="CR399">
        <v>0</v>
      </c>
      <c r="CW399">
        <v>4559987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"05/12/2020 14:41:21.334"</f>
        <v>05/12/2020 14:41:21.334</v>
      </c>
      <c r="C400" t="str">
        <f t="shared" si="165"/>
        <v>FFDFD3C0</v>
      </c>
      <c r="D400" t="s">
        <v>134</v>
      </c>
      <c r="E400">
        <v>12</v>
      </c>
      <c r="H400">
        <v>64</v>
      </c>
      <c r="I400" t="s">
        <v>135</v>
      </c>
      <c r="J400" t="s">
        <v>136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"14:41:39.117"</f>
        <v>14:41:39.117</v>
      </c>
      <c r="T400" t="str">
        <f>"14:41:38.417"</f>
        <v>14:41:38.417</v>
      </c>
      <c r="U400" t="str">
        <f t="shared" si="186"/>
        <v>A9808D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220</v>
      </c>
      <c r="AJ400">
        <v>28.24512</v>
      </c>
      <c r="AK400" t="s">
        <v>221</v>
      </c>
      <c r="AL400">
        <v>-82.382504999999995</v>
      </c>
      <c r="AM400">
        <v>100</v>
      </c>
      <c r="AN400">
        <v>500</v>
      </c>
      <c r="AO400" t="s">
        <v>118</v>
      </c>
      <c r="AP400">
        <v>11</v>
      </c>
      <c r="AQ400">
        <v>86</v>
      </c>
      <c r="AR400">
        <v>576</v>
      </c>
      <c r="AZ400">
        <v>1200</v>
      </c>
      <c r="BA400">
        <v>1</v>
      </c>
      <c r="BB400" t="str">
        <f t="shared" si="166"/>
        <v xml:space="preserve">N711JA  </v>
      </c>
      <c r="BC400">
        <v>1</v>
      </c>
      <c r="BE400">
        <v>0</v>
      </c>
      <c r="BF400">
        <v>0</v>
      </c>
      <c r="BG400">
        <v>0</v>
      </c>
      <c r="BH400">
        <v>600</v>
      </c>
      <c r="BI400">
        <v>1</v>
      </c>
      <c r="BJ400">
        <v>1</v>
      </c>
      <c r="BK400">
        <v>0</v>
      </c>
      <c r="BL400">
        <v>0</v>
      </c>
      <c r="BO400">
        <v>0</v>
      </c>
      <c r="BP400">
        <v>0</v>
      </c>
      <c r="BW400" t="str">
        <f>"14:41:39.119"</f>
        <v>14:41:39.119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4</v>
      </c>
      <c r="CP400" t="s">
        <v>119</v>
      </c>
      <c r="CQ400">
        <v>358</v>
      </c>
      <c r="CR400">
        <v>0</v>
      </c>
      <c r="CW400">
        <v>4559987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ref="A401:A409" si="191">"05/12/2020 14:41:22.290"</f>
        <v>05/12/2020 14:41:22.290</v>
      </c>
      <c r="C401" t="str">
        <f t="shared" si="165"/>
        <v>FFDFD3C0</v>
      </c>
      <c r="D401" t="s">
        <v>113</v>
      </c>
      <c r="E401">
        <v>3</v>
      </c>
      <c r="H401">
        <v>164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ref="S401:S409" si="192">"14:41:40.109"</f>
        <v>14:41:40.109</v>
      </c>
      <c r="T401" t="str">
        <f t="shared" ref="T401:T409" si="193">"14:41:39.809"</f>
        <v>14:41:39.809</v>
      </c>
      <c r="U401" t="str">
        <f t="shared" si="186"/>
        <v>A9808D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222</v>
      </c>
      <c r="AJ401">
        <v>28.245528</v>
      </c>
      <c r="AK401" t="s">
        <v>223</v>
      </c>
      <c r="AL401">
        <v>-82.382462000000004</v>
      </c>
      <c r="AM401">
        <v>100</v>
      </c>
      <c r="AN401">
        <v>500</v>
      </c>
      <c r="AO401" t="s">
        <v>118</v>
      </c>
      <c r="AP401">
        <v>12</v>
      </c>
      <c r="AQ401">
        <v>86</v>
      </c>
      <c r="AR401">
        <v>384</v>
      </c>
      <c r="AZ401">
        <v>1200</v>
      </c>
      <c r="BA401">
        <v>1</v>
      </c>
      <c r="BB401" t="str">
        <f t="shared" si="166"/>
        <v xml:space="preserve">N711JA  </v>
      </c>
      <c r="BC401">
        <v>1</v>
      </c>
      <c r="BE401">
        <v>0</v>
      </c>
      <c r="BF401">
        <v>0</v>
      </c>
      <c r="BG401">
        <v>0</v>
      </c>
      <c r="BH401">
        <v>625</v>
      </c>
      <c r="BI401">
        <v>1</v>
      </c>
      <c r="BJ401">
        <v>1</v>
      </c>
      <c r="BK401">
        <v>0</v>
      </c>
      <c r="BL401">
        <v>0</v>
      </c>
      <c r="BO401">
        <v>0</v>
      </c>
      <c r="BP401">
        <v>0</v>
      </c>
      <c r="BW401" t="str">
        <f t="shared" ref="BW401:BW409" si="194">"14:41:40.112"</f>
        <v>14:41:40.112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343</v>
      </c>
      <c r="CR401">
        <v>2</v>
      </c>
      <c r="CW401">
        <v>12964596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191"/>
        <v>05/12/2020 14:41:22.290</v>
      </c>
      <c r="C402" t="str">
        <f t="shared" si="165"/>
        <v>FFDFD3C0</v>
      </c>
      <c r="D402" t="s">
        <v>138</v>
      </c>
      <c r="E402">
        <v>3</v>
      </c>
      <c r="H402">
        <v>9</v>
      </c>
      <c r="I402" t="s">
        <v>140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192"/>
        <v>14:41:40.109</v>
      </c>
      <c r="T402" t="str">
        <f t="shared" si="193"/>
        <v>14:41:39.809</v>
      </c>
      <c r="U402" t="str">
        <f t="shared" si="186"/>
        <v>A9808D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222</v>
      </c>
      <c r="AJ402">
        <v>28.245528</v>
      </c>
      <c r="AK402" t="s">
        <v>223</v>
      </c>
      <c r="AL402">
        <v>-82.382462000000004</v>
      </c>
      <c r="AM402">
        <v>100</v>
      </c>
      <c r="AN402">
        <v>500</v>
      </c>
      <c r="AO402" t="s">
        <v>118</v>
      </c>
      <c r="AP402">
        <v>12</v>
      </c>
      <c r="AQ402">
        <v>86</v>
      </c>
      <c r="AR402">
        <v>384</v>
      </c>
      <c r="AZ402">
        <v>1200</v>
      </c>
      <c r="BA402">
        <v>1</v>
      </c>
      <c r="BB402" t="str">
        <f t="shared" si="166"/>
        <v xml:space="preserve">N711JA  </v>
      </c>
      <c r="BC402">
        <v>1</v>
      </c>
      <c r="BE402">
        <v>0</v>
      </c>
      <c r="BF402">
        <v>0</v>
      </c>
      <c r="BG402">
        <v>0</v>
      </c>
      <c r="BH402">
        <v>625</v>
      </c>
      <c r="BI402">
        <v>1</v>
      </c>
      <c r="BJ402">
        <v>1</v>
      </c>
      <c r="BK402">
        <v>0</v>
      </c>
      <c r="BL402">
        <v>0</v>
      </c>
      <c r="BO402">
        <v>0</v>
      </c>
      <c r="BP402">
        <v>0</v>
      </c>
      <c r="BW402" t="str">
        <f t="shared" si="194"/>
        <v>14:41:40.112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343</v>
      </c>
      <c r="CR402">
        <v>2</v>
      </c>
      <c r="CW402">
        <v>12964596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si="191"/>
        <v>05/12/2020 14:41:22.290</v>
      </c>
      <c r="C403" t="str">
        <f t="shared" si="165"/>
        <v>FFDFD3C0</v>
      </c>
      <c r="D403" t="s">
        <v>138</v>
      </c>
      <c r="E403">
        <v>2</v>
      </c>
      <c r="H403">
        <v>8</v>
      </c>
      <c r="I403" t="s">
        <v>139</v>
      </c>
      <c r="J403" t="s">
        <v>136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192"/>
        <v>14:41:40.109</v>
      </c>
      <c r="T403" t="str">
        <f t="shared" si="193"/>
        <v>14:41:39.809</v>
      </c>
      <c r="U403" t="str">
        <f t="shared" si="186"/>
        <v>A9808D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222</v>
      </c>
      <c r="AJ403">
        <v>28.245528</v>
      </c>
      <c r="AK403" t="s">
        <v>223</v>
      </c>
      <c r="AL403">
        <v>-82.382462000000004</v>
      </c>
      <c r="AM403">
        <v>100</v>
      </c>
      <c r="AN403">
        <v>500</v>
      </c>
      <c r="AO403" t="s">
        <v>118</v>
      </c>
      <c r="AP403">
        <v>12</v>
      </c>
      <c r="AQ403">
        <v>86</v>
      </c>
      <c r="AR403">
        <v>384</v>
      </c>
      <c r="AZ403">
        <v>1200</v>
      </c>
      <c r="BA403">
        <v>1</v>
      </c>
      <c r="BB403" t="str">
        <f t="shared" si="166"/>
        <v xml:space="preserve">N711JA  </v>
      </c>
      <c r="BC403">
        <v>1</v>
      </c>
      <c r="BE403">
        <v>0</v>
      </c>
      <c r="BF403">
        <v>0</v>
      </c>
      <c r="BG403">
        <v>0</v>
      </c>
      <c r="BH403">
        <v>625</v>
      </c>
      <c r="BI403">
        <v>1</v>
      </c>
      <c r="BJ403">
        <v>1</v>
      </c>
      <c r="BK403">
        <v>0</v>
      </c>
      <c r="BL403">
        <v>0</v>
      </c>
      <c r="BO403">
        <v>0</v>
      </c>
      <c r="BP403">
        <v>0</v>
      </c>
      <c r="BW403" t="str">
        <f t="shared" si="194"/>
        <v>14:41:40.112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343</v>
      </c>
      <c r="CR403">
        <v>2</v>
      </c>
      <c r="CW403">
        <v>12964596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 t="shared" si="191"/>
        <v>05/12/2020 14:41:22.290</v>
      </c>
      <c r="C404" t="str">
        <f t="shared" si="165"/>
        <v>FFDFD3C0</v>
      </c>
      <c r="D404" t="s">
        <v>131</v>
      </c>
      <c r="E404">
        <v>10</v>
      </c>
      <c r="F404">
        <v>2010</v>
      </c>
      <c r="G404" t="s">
        <v>132</v>
      </c>
      <c r="J404" t="s">
        <v>133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192"/>
        <v>14:41:40.109</v>
      </c>
      <c r="T404" t="str">
        <f t="shared" si="193"/>
        <v>14:41:39.809</v>
      </c>
      <c r="U404" t="str">
        <f t="shared" si="186"/>
        <v>A9808D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222</v>
      </c>
      <c r="AJ404">
        <v>28.245528</v>
      </c>
      <c r="AK404" t="s">
        <v>223</v>
      </c>
      <c r="AL404">
        <v>-82.382462000000004</v>
      </c>
      <c r="AM404">
        <v>100</v>
      </c>
      <c r="AN404">
        <v>500</v>
      </c>
      <c r="AO404" t="s">
        <v>118</v>
      </c>
      <c r="AP404">
        <v>12</v>
      </c>
      <c r="AQ404">
        <v>86</v>
      </c>
      <c r="AR404">
        <v>384</v>
      </c>
      <c r="AZ404">
        <v>1200</v>
      </c>
      <c r="BA404">
        <v>1</v>
      </c>
      <c r="BB404" t="str">
        <f t="shared" si="166"/>
        <v xml:space="preserve">N711JA  </v>
      </c>
      <c r="BC404">
        <v>1</v>
      </c>
      <c r="BE404">
        <v>0</v>
      </c>
      <c r="BF404">
        <v>0</v>
      </c>
      <c r="BG404">
        <v>0</v>
      </c>
      <c r="BH404">
        <v>625</v>
      </c>
      <c r="BI404">
        <v>1</v>
      </c>
      <c r="BJ404">
        <v>1</v>
      </c>
      <c r="BK404">
        <v>0</v>
      </c>
      <c r="BL404">
        <v>0</v>
      </c>
      <c r="BO404">
        <v>0</v>
      </c>
      <c r="BP404">
        <v>0</v>
      </c>
      <c r="BW404" t="str">
        <f t="shared" si="194"/>
        <v>14:41:40.112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343</v>
      </c>
      <c r="CR404">
        <v>2</v>
      </c>
      <c r="CW404">
        <v>12964596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 t="shared" si="191"/>
        <v>05/12/2020 14:41:22.290</v>
      </c>
      <c r="C405" t="str">
        <f t="shared" si="165"/>
        <v>FFDFD3C0</v>
      </c>
      <c r="D405" t="s">
        <v>131</v>
      </c>
      <c r="E405">
        <v>12</v>
      </c>
      <c r="F405">
        <v>2012</v>
      </c>
      <c r="G405" t="s">
        <v>137</v>
      </c>
      <c r="J405" t="s">
        <v>133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192"/>
        <v>14:41:40.109</v>
      </c>
      <c r="T405" t="str">
        <f t="shared" si="193"/>
        <v>14:41:39.809</v>
      </c>
      <c r="U405" t="str">
        <f t="shared" si="186"/>
        <v>A9808D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222</v>
      </c>
      <c r="AJ405">
        <v>28.245528</v>
      </c>
      <c r="AK405" t="s">
        <v>223</v>
      </c>
      <c r="AL405">
        <v>-82.382462000000004</v>
      </c>
      <c r="AM405">
        <v>100</v>
      </c>
      <c r="AN405">
        <v>500</v>
      </c>
      <c r="AO405" t="s">
        <v>118</v>
      </c>
      <c r="AP405">
        <v>12</v>
      </c>
      <c r="AQ405">
        <v>86</v>
      </c>
      <c r="AR405">
        <v>384</v>
      </c>
      <c r="AZ405">
        <v>1200</v>
      </c>
      <c r="BA405">
        <v>1</v>
      </c>
      <c r="BB405" t="str">
        <f t="shared" si="166"/>
        <v xml:space="preserve">N711JA  </v>
      </c>
      <c r="BC405">
        <v>1</v>
      </c>
      <c r="BE405">
        <v>0</v>
      </c>
      <c r="BF405">
        <v>0</v>
      </c>
      <c r="BG405">
        <v>0</v>
      </c>
      <c r="BH405">
        <v>625</v>
      </c>
      <c r="BI405">
        <v>1</v>
      </c>
      <c r="BJ405">
        <v>1</v>
      </c>
      <c r="BK405">
        <v>0</v>
      </c>
      <c r="BL405">
        <v>0</v>
      </c>
      <c r="BO405">
        <v>0</v>
      </c>
      <c r="BP405">
        <v>0</v>
      </c>
      <c r="BW405" t="str">
        <f t="shared" si="194"/>
        <v>14:41:40.112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343</v>
      </c>
      <c r="CR405">
        <v>2</v>
      </c>
      <c r="CW405">
        <v>12964596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 t="shared" si="191"/>
        <v>05/12/2020 14:41:22.290</v>
      </c>
      <c r="C406" t="str">
        <f t="shared" ref="C406:C469" si="195">"FFDFD3C0"</f>
        <v>FFDFD3C0</v>
      </c>
      <c r="D406" t="s">
        <v>131</v>
      </c>
      <c r="E406">
        <v>18</v>
      </c>
      <c r="F406">
        <v>2018</v>
      </c>
      <c r="G406" t="s">
        <v>161</v>
      </c>
      <c r="J406" t="s">
        <v>133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192"/>
        <v>14:41:40.109</v>
      </c>
      <c r="T406" t="str">
        <f t="shared" si="193"/>
        <v>14:41:39.809</v>
      </c>
      <c r="U406" t="str">
        <f t="shared" si="186"/>
        <v>A9808D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222</v>
      </c>
      <c r="AJ406">
        <v>28.245528</v>
      </c>
      <c r="AK406" t="s">
        <v>223</v>
      </c>
      <c r="AL406">
        <v>-82.382462000000004</v>
      </c>
      <c r="AM406">
        <v>100</v>
      </c>
      <c r="AN406">
        <v>500</v>
      </c>
      <c r="AO406" t="s">
        <v>118</v>
      </c>
      <c r="AP406">
        <v>12</v>
      </c>
      <c r="AQ406">
        <v>86</v>
      </c>
      <c r="AR406">
        <v>384</v>
      </c>
      <c r="AZ406">
        <v>1200</v>
      </c>
      <c r="BA406">
        <v>1</v>
      </c>
      <c r="BB406" t="str">
        <f t="shared" ref="BB406:BB469" si="196">"N711JA  "</f>
        <v xml:space="preserve">N711JA  </v>
      </c>
      <c r="BC406">
        <v>1</v>
      </c>
      <c r="BE406">
        <v>0</v>
      </c>
      <c r="BF406">
        <v>0</v>
      </c>
      <c r="BG406">
        <v>0</v>
      </c>
      <c r="BH406">
        <v>625</v>
      </c>
      <c r="BI406">
        <v>1</v>
      </c>
      <c r="BJ406">
        <v>1</v>
      </c>
      <c r="BK406">
        <v>0</v>
      </c>
      <c r="BL406">
        <v>0</v>
      </c>
      <c r="BO406">
        <v>0</v>
      </c>
      <c r="BP406">
        <v>0</v>
      </c>
      <c r="BW406" t="str">
        <f t="shared" si="194"/>
        <v>14:41:40.112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343</v>
      </c>
      <c r="CR406">
        <v>2</v>
      </c>
      <c r="CW406">
        <v>12964596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 t="shared" si="191"/>
        <v>05/12/2020 14:41:22.290</v>
      </c>
      <c r="C407" t="str">
        <f t="shared" si="195"/>
        <v>FFDFD3C0</v>
      </c>
      <c r="D407" t="s">
        <v>126</v>
      </c>
      <c r="E407">
        <v>7</v>
      </c>
      <c r="F407">
        <v>1007</v>
      </c>
      <c r="G407" t="s">
        <v>127</v>
      </c>
      <c r="J407" t="s">
        <v>128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192"/>
        <v>14:41:40.109</v>
      </c>
      <c r="T407" t="str">
        <f t="shared" si="193"/>
        <v>14:41:39.809</v>
      </c>
      <c r="U407" t="str">
        <f t="shared" si="186"/>
        <v>A9808D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222</v>
      </c>
      <c r="AJ407">
        <v>28.245528</v>
      </c>
      <c r="AK407" t="s">
        <v>223</v>
      </c>
      <c r="AL407">
        <v>-82.382462000000004</v>
      </c>
      <c r="AM407">
        <v>100</v>
      </c>
      <c r="AN407">
        <v>500</v>
      </c>
      <c r="AO407" t="s">
        <v>118</v>
      </c>
      <c r="AP407">
        <v>12</v>
      </c>
      <c r="AQ407">
        <v>86</v>
      </c>
      <c r="AR407">
        <v>384</v>
      </c>
      <c r="AZ407">
        <v>1200</v>
      </c>
      <c r="BA407">
        <v>1</v>
      </c>
      <c r="BB407" t="str">
        <f t="shared" si="196"/>
        <v xml:space="preserve">N711JA  </v>
      </c>
      <c r="BC407">
        <v>1</v>
      </c>
      <c r="BE407">
        <v>0</v>
      </c>
      <c r="BF407">
        <v>0</v>
      </c>
      <c r="BG407">
        <v>0</v>
      </c>
      <c r="BH407">
        <v>625</v>
      </c>
      <c r="BI407">
        <v>1</v>
      </c>
      <c r="BJ407">
        <v>1</v>
      </c>
      <c r="BK407">
        <v>0</v>
      </c>
      <c r="BL407">
        <v>0</v>
      </c>
      <c r="BO407">
        <v>0</v>
      </c>
      <c r="BP407">
        <v>0</v>
      </c>
      <c r="BW407" t="str">
        <f t="shared" si="194"/>
        <v>14:41:40.112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343</v>
      </c>
      <c r="CR407">
        <v>2</v>
      </c>
      <c r="CW407">
        <v>12964596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 t="shared" si="191"/>
        <v>05/12/2020 14:41:22.290</v>
      </c>
      <c r="C408" t="str">
        <f t="shared" si="195"/>
        <v>FFDFD3C0</v>
      </c>
      <c r="D408" t="s">
        <v>126</v>
      </c>
      <c r="E408">
        <v>6</v>
      </c>
      <c r="F408">
        <v>1006</v>
      </c>
      <c r="G408" t="s">
        <v>114</v>
      </c>
      <c r="J408" t="s">
        <v>128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192"/>
        <v>14:41:40.109</v>
      </c>
      <c r="T408" t="str">
        <f t="shared" si="193"/>
        <v>14:41:39.809</v>
      </c>
      <c r="U408" t="str">
        <f t="shared" si="186"/>
        <v>A9808D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222</v>
      </c>
      <c r="AJ408">
        <v>28.245528</v>
      </c>
      <c r="AK408" t="s">
        <v>223</v>
      </c>
      <c r="AL408">
        <v>-82.382462000000004</v>
      </c>
      <c r="AM408">
        <v>100</v>
      </c>
      <c r="AN408">
        <v>500</v>
      </c>
      <c r="AO408" t="s">
        <v>118</v>
      </c>
      <c r="AP408">
        <v>12</v>
      </c>
      <c r="AQ408">
        <v>86</v>
      </c>
      <c r="AR408">
        <v>384</v>
      </c>
      <c r="AZ408">
        <v>1200</v>
      </c>
      <c r="BA408">
        <v>1</v>
      </c>
      <c r="BB408" t="str">
        <f t="shared" si="196"/>
        <v xml:space="preserve">N711JA  </v>
      </c>
      <c r="BC408">
        <v>1</v>
      </c>
      <c r="BE408">
        <v>0</v>
      </c>
      <c r="BF408">
        <v>0</v>
      </c>
      <c r="BG408">
        <v>0</v>
      </c>
      <c r="BH408">
        <v>625</v>
      </c>
      <c r="BI408">
        <v>1</v>
      </c>
      <c r="BJ408">
        <v>1</v>
      </c>
      <c r="BK408">
        <v>0</v>
      </c>
      <c r="BL408">
        <v>0</v>
      </c>
      <c r="BO408">
        <v>0</v>
      </c>
      <c r="BP408">
        <v>0</v>
      </c>
      <c r="BW408" t="str">
        <f t="shared" si="194"/>
        <v>14:41:40.112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343</v>
      </c>
      <c r="CR408">
        <v>2</v>
      </c>
      <c r="CW408">
        <v>12964596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 t="shared" si="191"/>
        <v>05/12/2020 14:41:22.290</v>
      </c>
      <c r="C409" t="str">
        <f t="shared" si="195"/>
        <v>FFDFD3C0</v>
      </c>
      <c r="D409" t="s">
        <v>134</v>
      </c>
      <c r="E409">
        <v>12</v>
      </c>
      <c r="H409">
        <v>64</v>
      </c>
      <c r="I409" t="s">
        <v>135</v>
      </c>
      <c r="J409" t="s">
        <v>136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192"/>
        <v>14:41:40.109</v>
      </c>
      <c r="T409" t="str">
        <f t="shared" si="193"/>
        <v>14:41:39.809</v>
      </c>
      <c r="U409" t="str">
        <f t="shared" si="186"/>
        <v>A9808D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222</v>
      </c>
      <c r="AJ409">
        <v>28.245528</v>
      </c>
      <c r="AK409" t="s">
        <v>223</v>
      </c>
      <c r="AL409">
        <v>-82.382462000000004</v>
      </c>
      <c r="AM409">
        <v>100</v>
      </c>
      <c r="AN409">
        <v>500</v>
      </c>
      <c r="AO409" t="s">
        <v>118</v>
      </c>
      <c r="AP409">
        <v>12</v>
      </c>
      <c r="AQ409">
        <v>86</v>
      </c>
      <c r="AR409">
        <v>384</v>
      </c>
      <c r="AZ409">
        <v>1200</v>
      </c>
      <c r="BA409">
        <v>1</v>
      </c>
      <c r="BB409" t="str">
        <f t="shared" si="196"/>
        <v xml:space="preserve">N711JA  </v>
      </c>
      <c r="BC409">
        <v>1</v>
      </c>
      <c r="BE409">
        <v>0</v>
      </c>
      <c r="BF409">
        <v>0</v>
      </c>
      <c r="BG409">
        <v>0</v>
      </c>
      <c r="BH409">
        <v>625</v>
      </c>
      <c r="BI409">
        <v>1</v>
      </c>
      <c r="BJ409">
        <v>1</v>
      </c>
      <c r="BK409">
        <v>0</v>
      </c>
      <c r="BL409">
        <v>0</v>
      </c>
      <c r="BO409">
        <v>0</v>
      </c>
      <c r="BP409">
        <v>0</v>
      </c>
      <c r="BW409" t="str">
        <f t="shared" si="194"/>
        <v>14:41:40.112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343</v>
      </c>
      <c r="CR409">
        <v>2</v>
      </c>
      <c r="CW409">
        <v>12964596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ref="A410:A418" si="197">"05/12/2020 14:41:23.242"</f>
        <v>05/12/2020 14:41:23.242</v>
      </c>
      <c r="C410" t="str">
        <f t="shared" si="195"/>
        <v>FFDFD3C0</v>
      </c>
      <c r="D410" t="s">
        <v>134</v>
      </c>
      <c r="E410">
        <v>12</v>
      </c>
      <c r="H410">
        <v>64</v>
      </c>
      <c r="I410" t="s">
        <v>135</v>
      </c>
      <c r="J410" t="s">
        <v>136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ref="S410:S418" si="198">"14:41:41.031"</f>
        <v>14:41:41.031</v>
      </c>
      <c r="T410" t="str">
        <f t="shared" ref="T410:T418" si="199">"14:41:40.731"</f>
        <v>14:41:40.731</v>
      </c>
      <c r="U410" t="str">
        <f t="shared" si="186"/>
        <v>A9808D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224</v>
      </c>
      <c r="AJ410">
        <v>28.245850000000001</v>
      </c>
      <c r="AK410" t="s">
        <v>160</v>
      </c>
      <c r="AL410">
        <v>-82.382375999999994</v>
      </c>
      <c r="AM410">
        <v>100</v>
      </c>
      <c r="AN410">
        <v>600</v>
      </c>
      <c r="AO410" t="s">
        <v>118</v>
      </c>
      <c r="AP410">
        <v>13</v>
      </c>
      <c r="AQ410">
        <v>86</v>
      </c>
      <c r="AR410">
        <v>448</v>
      </c>
      <c r="AZ410">
        <v>1200</v>
      </c>
      <c r="BA410">
        <v>1</v>
      </c>
      <c r="BB410" t="str">
        <f t="shared" si="196"/>
        <v xml:space="preserve">N711JA  </v>
      </c>
      <c r="BC410">
        <v>1</v>
      </c>
      <c r="BE410">
        <v>0</v>
      </c>
      <c r="BF410">
        <v>0</v>
      </c>
      <c r="BG410">
        <v>0</v>
      </c>
      <c r="BH410">
        <v>525</v>
      </c>
      <c r="BI410">
        <v>1</v>
      </c>
      <c r="BJ410">
        <v>1</v>
      </c>
      <c r="BK410">
        <v>0</v>
      </c>
      <c r="BL410">
        <v>0</v>
      </c>
      <c r="BO410">
        <v>0</v>
      </c>
      <c r="BP410">
        <v>0</v>
      </c>
      <c r="BW410" t="str">
        <f t="shared" ref="BW410:BW418" si="200">"14:41:41.034"</f>
        <v>14:41:41.034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343</v>
      </c>
      <c r="CR410">
        <v>1</v>
      </c>
      <c r="CW410">
        <v>10549371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si="197"/>
        <v>05/12/2020 14:41:23.242</v>
      </c>
      <c r="C411" t="str">
        <f t="shared" si="195"/>
        <v>FFDFD3C0</v>
      </c>
      <c r="D411" t="s">
        <v>113</v>
      </c>
      <c r="E411">
        <v>3</v>
      </c>
      <c r="H411">
        <v>164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198"/>
        <v>14:41:41.031</v>
      </c>
      <c r="T411" t="str">
        <f t="shared" si="199"/>
        <v>14:41:40.731</v>
      </c>
      <c r="U411" t="str">
        <f t="shared" si="186"/>
        <v>A9808D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224</v>
      </c>
      <c r="AJ411">
        <v>28.245850000000001</v>
      </c>
      <c r="AK411" t="s">
        <v>160</v>
      </c>
      <c r="AL411">
        <v>-82.382375999999994</v>
      </c>
      <c r="AM411">
        <v>100</v>
      </c>
      <c r="AN411">
        <v>600</v>
      </c>
      <c r="AO411" t="s">
        <v>118</v>
      </c>
      <c r="AP411">
        <v>13</v>
      </c>
      <c r="AQ411">
        <v>86</v>
      </c>
      <c r="AR411">
        <v>448</v>
      </c>
      <c r="AZ411">
        <v>1200</v>
      </c>
      <c r="BA411">
        <v>1</v>
      </c>
      <c r="BB411" t="str">
        <f t="shared" si="196"/>
        <v xml:space="preserve">N711JA  </v>
      </c>
      <c r="BC411">
        <v>1</v>
      </c>
      <c r="BE411">
        <v>0</v>
      </c>
      <c r="BF411">
        <v>0</v>
      </c>
      <c r="BG411">
        <v>0</v>
      </c>
      <c r="BH411">
        <v>525</v>
      </c>
      <c r="BI411">
        <v>1</v>
      </c>
      <c r="BJ411">
        <v>1</v>
      </c>
      <c r="BK411">
        <v>0</v>
      </c>
      <c r="BL411">
        <v>0</v>
      </c>
      <c r="BO411">
        <v>0</v>
      </c>
      <c r="BP411">
        <v>0</v>
      </c>
      <c r="BW411" t="str">
        <f t="shared" si="200"/>
        <v>14:41:41.034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343</v>
      </c>
      <c r="CR411">
        <v>1</v>
      </c>
      <c r="CW411">
        <v>10549371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197"/>
        <v>05/12/2020 14:41:23.242</v>
      </c>
      <c r="C412" t="str">
        <f t="shared" si="195"/>
        <v>FFDFD3C0</v>
      </c>
      <c r="D412" t="s">
        <v>131</v>
      </c>
      <c r="E412">
        <v>10</v>
      </c>
      <c r="F412">
        <v>2010</v>
      </c>
      <c r="G412" t="s">
        <v>132</v>
      </c>
      <c r="J412" t="s">
        <v>133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198"/>
        <v>14:41:41.031</v>
      </c>
      <c r="T412" t="str">
        <f t="shared" si="199"/>
        <v>14:41:40.731</v>
      </c>
      <c r="U412" t="str">
        <f t="shared" si="186"/>
        <v>A9808D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224</v>
      </c>
      <c r="AJ412">
        <v>28.245850000000001</v>
      </c>
      <c r="AK412" t="s">
        <v>160</v>
      </c>
      <c r="AL412">
        <v>-82.382375999999994</v>
      </c>
      <c r="AM412">
        <v>100</v>
      </c>
      <c r="AN412">
        <v>600</v>
      </c>
      <c r="AO412" t="s">
        <v>118</v>
      </c>
      <c r="AP412">
        <v>13</v>
      </c>
      <c r="AQ412">
        <v>86</v>
      </c>
      <c r="AR412">
        <v>448</v>
      </c>
      <c r="AZ412">
        <v>1200</v>
      </c>
      <c r="BA412">
        <v>1</v>
      </c>
      <c r="BB412" t="str">
        <f t="shared" si="196"/>
        <v xml:space="preserve">N711JA  </v>
      </c>
      <c r="BC412">
        <v>1</v>
      </c>
      <c r="BE412">
        <v>0</v>
      </c>
      <c r="BF412">
        <v>0</v>
      </c>
      <c r="BG412">
        <v>0</v>
      </c>
      <c r="BH412">
        <v>525</v>
      </c>
      <c r="BI412">
        <v>1</v>
      </c>
      <c r="BJ412">
        <v>1</v>
      </c>
      <c r="BK412">
        <v>0</v>
      </c>
      <c r="BL412">
        <v>0</v>
      </c>
      <c r="BO412">
        <v>0</v>
      </c>
      <c r="BP412">
        <v>0</v>
      </c>
      <c r="BW412" t="str">
        <f t="shared" si="200"/>
        <v>14:41:41.034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343</v>
      </c>
      <c r="CR412">
        <v>1</v>
      </c>
      <c r="CW412">
        <v>10549371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197"/>
        <v>05/12/2020 14:41:23.242</v>
      </c>
      <c r="C413" t="str">
        <f t="shared" si="195"/>
        <v>FFDFD3C0</v>
      </c>
      <c r="D413" t="s">
        <v>126</v>
      </c>
      <c r="E413">
        <v>7</v>
      </c>
      <c r="F413">
        <v>1007</v>
      </c>
      <c r="G413" t="s">
        <v>127</v>
      </c>
      <c r="J413" t="s">
        <v>128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198"/>
        <v>14:41:41.031</v>
      </c>
      <c r="T413" t="str">
        <f t="shared" si="199"/>
        <v>14:41:40.731</v>
      </c>
      <c r="U413" t="str">
        <f t="shared" si="186"/>
        <v>A9808D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224</v>
      </c>
      <c r="AJ413">
        <v>28.245850000000001</v>
      </c>
      <c r="AK413" t="s">
        <v>160</v>
      </c>
      <c r="AL413">
        <v>-82.382375999999994</v>
      </c>
      <c r="AM413">
        <v>100</v>
      </c>
      <c r="AN413">
        <v>600</v>
      </c>
      <c r="AO413" t="s">
        <v>118</v>
      </c>
      <c r="AP413">
        <v>13</v>
      </c>
      <c r="AQ413">
        <v>86</v>
      </c>
      <c r="AR413">
        <v>448</v>
      </c>
      <c r="AZ413">
        <v>1200</v>
      </c>
      <c r="BA413">
        <v>1</v>
      </c>
      <c r="BB413" t="str">
        <f t="shared" si="196"/>
        <v xml:space="preserve">N711JA  </v>
      </c>
      <c r="BC413">
        <v>1</v>
      </c>
      <c r="BE413">
        <v>0</v>
      </c>
      <c r="BF413">
        <v>0</v>
      </c>
      <c r="BG413">
        <v>0</v>
      </c>
      <c r="BH413">
        <v>525</v>
      </c>
      <c r="BI413">
        <v>1</v>
      </c>
      <c r="BJ413">
        <v>1</v>
      </c>
      <c r="BK413">
        <v>0</v>
      </c>
      <c r="BL413">
        <v>0</v>
      </c>
      <c r="BO413">
        <v>0</v>
      </c>
      <c r="BP413">
        <v>0</v>
      </c>
      <c r="BW413" t="str">
        <f t="shared" si="200"/>
        <v>14:41:41.034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343</v>
      </c>
      <c r="CR413">
        <v>1</v>
      </c>
      <c r="CW413">
        <v>10549371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197"/>
        <v>05/12/2020 14:41:23.242</v>
      </c>
      <c r="C414" t="str">
        <f t="shared" si="195"/>
        <v>FFDFD3C0</v>
      </c>
      <c r="D414" t="s">
        <v>138</v>
      </c>
      <c r="E414">
        <v>3</v>
      </c>
      <c r="H414">
        <v>9</v>
      </c>
      <c r="I414" t="s">
        <v>140</v>
      </c>
      <c r="J414" t="s">
        <v>136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198"/>
        <v>14:41:41.031</v>
      </c>
      <c r="T414" t="str">
        <f t="shared" si="199"/>
        <v>14:41:40.731</v>
      </c>
      <c r="U414" t="str">
        <f t="shared" si="186"/>
        <v>A9808D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224</v>
      </c>
      <c r="AJ414">
        <v>28.245850000000001</v>
      </c>
      <c r="AK414" t="s">
        <v>160</v>
      </c>
      <c r="AL414">
        <v>-82.382375999999994</v>
      </c>
      <c r="AM414">
        <v>100</v>
      </c>
      <c r="AN414">
        <v>600</v>
      </c>
      <c r="AO414" t="s">
        <v>118</v>
      </c>
      <c r="AP414">
        <v>13</v>
      </c>
      <c r="AQ414">
        <v>86</v>
      </c>
      <c r="AR414">
        <v>448</v>
      </c>
      <c r="AZ414">
        <v>1200</v>
      </c>
      <c r="BA414">
        <v>1</v>
      </c>
      <c r="BB414" t="str">
        <f t="shared" si="196"/>
        <v xml:space="preserve">N711JA  </v>
      </c>
      <c r="BC414">
        <v>1</v>
      </c>
      <c r="BE414">
        <v>0</v>
      </c>
      <c r="BF414">
        <v>0</v>
      </c>
      <c r="BG414">
        <v>0</v>
      </c>
      <c r="BH414">
        <v>525</v>
      </c>
      <c r="BI414">
        <v>1</v>
      </c>
      <c r="BJ414">
        <v>1</v>
      </c>
      <c r="BK414">
        <v>0</v>
      </c>
      <c r="BL414">
        <v>0</v>
      </c>
      <c r="BO414">
        <v>0</v>
      </c>
      <c r="BP414">
        <v>0</v>
      </c>
      <c r="BW414" t="str">
        <f t="shared" si="200"/>
        <v>14:41:41.034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343</v>
      </c>
      <c r="CR414">
        <v>1</v>
      </c>
      <c r="CW414">
        <v>10549371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 t="shared" si="197"/>
        <v>05/12/2020 14:41:23.242</v>
      </c>
      <c r="C415" t="str">
        <f t="shared" si="195"/>
        <v>FFDFD3C0</v>
      </c>
      <c r="D415" t="s">
        <v>131</v>
      </c>
      <c r="E415">
        <v>18</v>
      </c>
      <c r="F415">
        <v>2018</v>
      </c>
      <c r="G415" t="s">
        <v>161</v>
      </c>
      <c r="J415" t="s">
        <v>133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198"/>
        <v>14:41:41.031</v>
      </c>
      <c r="T415" t="str">
        <f t="shared" si="199"/>
        <v>14:41:40.731</v>
      </c>
      <c r="U415" t="str">
        <f t="shared" si="186"/>
        <v>A9808D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224</v>
      </c>
      <c r="AJ415">
        <v>28.245850000000001</v>
      </c>
      <c r="AK415" t="s">
        <v>160</v>
      </c>
      <c r="AL415">
        <v>-82.382375999999994</v>
      </c>
      <c r="AM415">
        <v>100</v>
      </c>
      <c r="AN415">
        <v>600</v>
      </c>
      <c r="AO415" t="s">
        <v>118</v>
      </c>
      <c r="AP415">
        <v>13</v>
      </c>
      <c r="AQ415">
        <v>86</v>
      </c>
      <c r="AR415">
        <v>448</v>
      </c>
      <c r="AZ415">
        <v>1200</v>
      </c>
      <c r="BA415">
        <v>1</v>
      </c>
      <c r="BB415" t="str">
        <f t="shared" si="196"/>
        <v xml:space="preserve">N711JA  </v>
      </c>
      <c r="BC415">
        <v>1</v>
      </c>
      <c r="BE415">
        <v>0</v>
      </c>
      <c r="BF415">
        <v>0</v>
      </c>
      <c r="BG415">
        <v>0</v>
      </c>
      <c r="BH415">
        <v>525</v>
      </c>
      <c r="BI415">
        <v>1</v>
      </c>
      <c r="BJ415">
        <v>1</v>
      </c>
      <c r="BK415">
        <v>0</v>
      </c>
      <c r="BL415">
        <v>0</v>
      </c>
      <c r="BO415">
        <v>0</v>
      </c>
      <c r="BP415">
        <v>0</v>
      </c>
      <c r="BW415" t="str">
        <f t="shared" si="200"/>
        <v>14:41:41.034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343</v>
      </c>
      <c r="CR415">
        <v>1</v>
      </c>
      <c r="CW415">
        <v>10549371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 t="shared" si="197"/>
        <v>05/12/2020 14:41:23.242</v>
      </c>
      <c r="C416" t="str">
        <f t="shared" si="195"/>
        <v>FFDFD3C0</v>
      </c>
      <c r="D416" t="s">
        <v>138</v>
      </c>
      <c r="E416">
        <v>2</v>
      </c>
      <c r="H416">
        <v>8</v>
      </c>
      <c r="I416" t="s">
        <v>139</v>
      </c>
      <c r="J416" t="s">
        <v>136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198"/>
        <v>14:41:41.031</v>
      </c>
      <c r="T416" t="str">
        <f t="shared" si="199"/>
        <v>14:41:40.731</v>
      </c>
      <c r="U416" t="str">
        <f t="shared" si="186"/>
        <v>A9808D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224</v>
      </c>
      <c r="AJ416">
        <v>28.245850000000001</v>
      </c>
      <c r="AK416" t="s">
        <v>160</v>
      </c>
      <c r="AL416">
        <v>-82.382375999999994</v>
      </c>
      <c r="AM416">
        <v>100</v>
      </c>
      <c r="AN416">
        <v>600</v>
      </c>
      <c r="AO416" t="s">
        <v>118</v>
      </c>
      <c r="AP416">
        <v>13</v>
      </c>
      <c r="AQ416">
        <v>86</v>
      </c>
      <c r="AR416">
        <v>448</v>
      </c>
      <c r="AZ416">
        <v>1200</v>
      </c>
      <c r="BA416">
        <v>1</v>
      </c>
      <c r="BB416" t="str">
        <f t="shared" si="196"/>
        <v xml:space="preserve">N711JA  </v>
      </c>
      <c r="BC416">
        <v>1</v>
      </c>
      <c r="BE416">
        <v>0</v>
      </c>
      <c r="BF416">
        <v>0</v>
      </c>
      <c r="BG416">
        <v>0</v>
      </c>
      <c r="BH416">
        <v>525</v>
      </c>
      <c r="BI416">
        <v>1</v>
      </c>
      <c r="BJ416">
        <v>1</v>
      </c>
      <c r="BK416">
        <v>0</v>
      </c>
      <c r="BL416">
        <v>0</v>
      </c>
      <c r="BO416">
        <v>0</v>
      </c>
      <c r="BP416">
        <v>0</v>
      </c>
      <c r="BW416" t="str">
        <f t="shared" si="200"/>
        <v>14:41:41.034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343</v>
      </c>
      <c r="CR416">
        <v>1</v>
      </c>
      <c r="CW416">
        <v>10549371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 t="shared" si="197"/>
        <v>05/12/2020 14:41:23.242</v>
      </c>
      <c r="C417" t="str">
        <f t="shared" si="195"/>
        <v>FFDFD3C0</v>
      </c>
      <c r="D417" t="s">
        <v>131</v>
      </c>
      <c r="E417">
        <v>12</v>
      </c>
      <c r="F417">
        <v>2012</v>
      </c>
      <c r="G417" t="s">
        <v>137</v>
      </c>
      <c r="J417" t="s">
        <v>133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198"/>
        <v>14:41:41.031</v>
      </c>
      <c r="T417" t="str">
        <f t="shared" si="199"/>
        <v>14:41:40.731</v>
      </c>
      <c r="U417" t="str">
        <f t="shared" si="186"/>
        <v>A9808D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224</v>
      </c>
      <c r="AJ417">
        <v>28.245850000000001</v>
      </c>
      <c r="AK417" t="s">
        <v>160</v>
      </c>
      <c r="AL417">
        <v>-82.382375999999994</v>
      </c>
      <c r="AM417">
        <v>100</v>
      </c>
      <c r="AN417">
        <v>600</v>
      </c>
      <c r="AO417" t="s">
        <v>118</v>
      </c>
      <c r="AP417">
        <v>13</v>
      </c>
      <c r="AQ417">
        <v>86</v>
      </c>
      <c r="AR417">
        <v>448</v>
      </c>
      <c r="AZ417">
        <v>1200</v>
      </c>
      <c r="BA417">
        <v>1</v>
      </c>
      <c r="BB417" t="str">
        <f t="shared" si="196"/>
        <v xml:space="preserve">N711JA  </v>
      </c>
      <c r="BC417">
        <v>1</v>
      </c>
      <c r="BE417">
        <v>0</v>
      </c>
      <c r="BF417">
        <v>0</v>
      </c>
      <c r="BG417">
        <v>0</v>
      </c>
      <c r="BH417">
        <v>525</v>
      </c>
      <c r="BI417">
        <v>1</v>
      </c>
      <c r="BJ417">
        <v>1</v>
      </c>
      <c r="BK417">
        <v>0</v>
      </c>
      <c r="BL417">
        <v>0</v>
      </c>
      <c r="BO417">
        <v>0</v>
      </c>
      <c r="BP417">
        <v>0</v>
      </c>
      <c r="BW417" t="str">
        <f t="shared" si="200"/>
        <v>14:41:41.034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343</v>
      </c>
      <c r="CR417">
        <v>1</v>
      </c>
      <c r="CW417">
        <v>10549371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 t="shared" si="197"/>
        <v>05/12/2020 14:41:23.242</v>
      </c>
      <c r="C418" t="str">
        <f t="shared" si="195"/>
        <v>FFDFD3C0</v>
      </c>
      <c r="D418" t="s">
        <v>126</v>
      </c>
      <c r="E418">
        <v>6</v>
      </c>
      <c r="F418">
        <v>1006</v>
      </c>
      <c r="G418" t="s">
        <v>114</v>
      </c>
      <c r="J418" t="s">
        <v>128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198"/>
        <v>14:41:41.031</v>
      </c>
      <c r="T418" t="str">
        <f t="shared" si="199"/>
        <v>14:41:40.731</v>
      </c>
      <c r="U418" t="str">
        <f t="shared" si="186"/>
        <v>A9808D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224</v>
      </c>
      <c r="AJ418">
        <v>28.245850000000001</v>
      </c>
      <c r="AK418" t="s">
        <v>160</v>
      </c>
      <c r="AL418">
        <v>-82.382375999999994</v>
      </c>
      <c r="AM418">
        <v>100</v>
      </c>
      <c r="AN418">
        <v>600</v>
      </c>
      <c r="AO418" t="s">
        <v>118</v>
      </c>
      <c r="AP418">
        <v>13</v>
      </c>
      <c r="AQ418">
        <v>86</v>
      </c>
      <c r="AR418">
        <v>448</v>
      </c>
      <c r="AZ418">
        <v>1200</v>
      </c>
      <c r="BA418">
        <v>1</v>
      </c>
      <c r="BB418" t="str">
        <f t="shared" si="196"/>
        <v xml:space="preserve">N711JA  </v>
      </c>
      <c r="BC418">
        <v>1</v>
      </c>
      <c r="BE418">
        <v>0</v>
      </c>
      <c r="BF418">
        <v>0</v>
      </c>
      <c r="BG418">
        <v>0</v>
      </c>
      <c r="BH418">
        <v>525</v>
      </c>
      <c r="BI418">
        <v>1</v>
      </c>
      <c r="BJ418">
        <v>1</v>
      </c>
      <c r="BK418">
        <v>0</v>
      </c>
      <c r="BL418">
        <v>0</v>
      </c>
      <c r="BO418">
        <v>0</v>
      </c>
      <c r="BP418">
        <v>0</v>
      </c>
      <c r="BW418" t="str">
        <f t="shared" si="200"/>
        <v>14:41:41.034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343</v>
      </c>
      <c r="CR418">
        <v>1</v>
      </c>
      <c r="CW418">
        <v>10549371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 t="shared" ref="A419:A426" si="201">"05/12/2020 14:41:24.173"</f>
        <v>05/12/2020 14:41:24.173</v>
      </c>
      <c r="C419" t="str">
        <f t="shared" si="195"/>
        <v>FFDFD3C0</v>
      </c>
      <c r="D419" t="s">
        <v>138</v>
      </c>
      <c r="E419">
        <v>3</v>
      </c>
      <c r="H419">
        <v>9</v>
      </c>
      <c r="I419" t="s">
        <v>140</v>
      </c>
      <c r="J419" t="s">
        <v>136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ref="S419:S426" si="202">"14:41:41.984"</f>
        <v>14:41:41.984</v>
      </c>
      <c r="T419" t="str">
        <f>"14:41:41.684"</f>
        <v>14:41:41.684</v>
      </c>
      <c r="U419" t="str">
        <f t="shared" si="186"/>
        <v>A9808D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225</v>
      </c>
      <c r="AJ419">
        <v>28.246279000000001</v>
      </c>
      <c r="AK419" t="s">
        <v>226</v>
      </c>
      <c r="AL419">
        <v>-82.382333000000003</v>
      </c>
      <c r="AM419">
        <v>100</v>
      </c>
      <c r="AN419">
        <v>600</v>
      </c>
      <c r="AO419" t="s">
        <v>118</v>
      </c>
      <c r="AP419">
        <v>13</v>
      </c>
      <c r="AQ419">
        <v>86</v>
      </c>
      <c r="AR419">
        <v>384</v>
      </c>
      <c r="AZ419">
        <v>1200</v>
      </c>
      <c r="BA419">
        <v>1</v>
      </c>
      <c r="BB419" t="str">
        <f t="shared" si="196"/>
        <v xml:space="preserve">N711JA  </v>
      </c>
      <c r="BC419">
        <v>1</v>
      </c>
      <c r="BE419">
        <v>0</v>
      </c>
      <c r="BF419">
        <v>0</v>
      </c>
      <c r="BG419">
        <v>0</v>
      </c>
      <c r="BH419">
        <v>625</v>
      </c>
      <c r="BI419">
        <v>1</v>
      </c>
      <c r="BJ419">
        <v>1</v>
      </c>
      <c r="BK419">
        <v>0</v>
      </c>
      <c r="BL419">
        <v>0</v>
      </c>
      <c r="BO419">
        <v>0</v>
      </c>
      <c r="BP419">
        <v>0</v>
      </c>
      <c r="BW419" t="str">
        <f t="shared" ref="BW419:BW426" si="203">"14:41:41.988"</f>
        <v>14:41:41.988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3</v>
      </c>
      <c r="CP419" t="s">
        <v>119</v>
      </c>
      <c r="CQ419">
        <v>358</v>
      </c>
      <c r="CR419">
        <v>0</v>
      </c>
      <c r="CW419">
        <v>4563418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 t="shared" si="201"/>
        <v>05/12/2020 14:41:24.173</v>
      </c>
      <c r="C420" t="str">
        <f t="shared" si="195"/>
        <v>FFDFD3C0</v>
      </c>
      <c r="D420" t="s">
        <v>138</v>
      </c>
      <c r="E420">
        <v>2</v>
      </c>
      <c r="H420">
        <v>8</v>
      </c>
      <c r="I420" t="s">
        <v>139</v>
      </c>
      <c r="J420" t="s">
        <v>136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02"/>
        <v>14:41:41.984</v>
      </c>
      <c r="T420" t="str">
        <f>"14:41:41.184"</f>
        <v>14:41:41.184</v>
      </c>
      <c r="U420" t="str">
        <f t="shared" si="186"/>
        <v>A9808D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225</v>
      </c>
      <c r="AJ420">
        <v>28.246279000000001</v>
      </c>
      <c r="AK420" t="s">
        <v>226</v>
      </c>
      <c r="AL420">
        <v>-82.382333000000003</v>
      </c>
      <c r="AM420">
        <v>100</v>
      </c>
      <c r="AN420">
        <v>600</v>
      </c>
      <c r="AO420" t="s">
        <v>118</v>
      </c>
      <c r="AP420">
        <v>13</v>
      </c>
      <c r="AQ420">
        <v>86</v>
      </c>
      <c r="AR420">
        <v>448</v>
      </c>
      <c r="AZ420">
        <v>1200</v>
      </c>
      <c r="BA420">
        <v>1</v>
      </c>
      <c r="BB420" t="str">
        <f t="shared" si="196"/>
        <v xml:space="preserve">N711JA  </v>
      </c>
      <c r="BC420">
        <v>1</v>
      </c>
      <c r="BE420">
        <v>0</v>
      </c>
      <c r="BF420">
        <v>0</v>
      </c>
      <c r="BG420">
        <v>0</v>
      </c>
      <c r="BH420">
        <v>525</v>
      </c>
      <c r="BI420">
        <v>1</v>
      </c>
      <c r="BJ420">
        <v>1</v>
      </c>
      <c r="BK420">
        <v>0</v>
      </c>
      <c r="BL420">
        <v>0</v>
      </c>
      <c r="BO420">
        <v>0</v>
      </c>
      <c r="BP420">
        <v>0</v>
      </c>
      <c r="BW420" t="str">
        <f t="shared" si="203"/>
        <v>14:41:41.988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3</v>
      </c>
      <c r="CP420" t="s">
        <v>119</v>
      </c>
      <c r="CQ420">
        <v>8</v>
      </c>
      <c r="CR420">
        <v>3</v>
      </c>
      <c r="CW420">
        <v>8672275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 t="shared" si="201"/>
        <v>05/12/2020 14:41:24.173</v>
      </c>
      <c r="C421" t="str">
        <f t="shared" si="195"/>
        <v>FFDFD3C0</v>
      </c>
      <c r="D421" t="s">
        <v>126</v>
      </c>
      <c r="E421">
        <v>6</v>
      </c>
      <c r="F421">
        <v>1006</v>
      </c>
      <c r="G421" t="s">
        <v>114</v>
      </c>
      <c r="J421" t="s">
        <v>128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02"/>
        <v>14:41:41.984</v>
      </c>
      <c r="T421" t="str">
        <f>"14:41:41.684"</f>
        <v>14:41:41.684</v>
      </c>
      <c r="U421" t="str">
        <f t="shared" si="186"/>
        <v>A9808D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225</v>
      </c>
      <c r="AJ421">
        <v>28.246279000000001</v>
      </c>
      <c r="AK421" t="s">
        <v>226</v>
      </c>
      <c r="AL421">
        <v>-82.382333000000003</v>
      </c>
      <c r="AM421">
        <v>100</v>
      </c>
      <c r="AN421">
        <v>600</v>
      </c>
      <c r="AO421" t="s">
        <v>118</v>
      </c>
      <c r="AP421">
        <v>13</v>
      </c>
      <c r="AQ421">
        <v>86</v>
      </c>
      <c r="AR421">
        <v>384</v>
      </c>
      <c r="AZ421">
        <v>1200</v>
      </c>
      <c r="BA421">
        <v>1</v>
      </c>
      <c r="BB421" t="str">
        <f t="shared" si="196"/>
        <v xml:space="preserve">N711JA  </v>
      </c>
      <c r="BC421">
        <v>1</v>
      </c>
      <c r="BE421">
        <v>0</v>
      </c>
      <c r="BF421">
        <v>0</v>
      </c>
      <c r="BG421">
        <v>0</v>
      </c>
      <c r="BH421">
        <v>625</v>
      </c>
      <c r="BI421">
        <v>1</v>
      </c>
      <c r="BJ421">
        <v>1</v>
      </c>
      <c r="BK421">
        <v>0</v>
      </c>
      <c r="BL421">
        <v>0</v>
      </c>
      <c r="BO421">
        <v>0</v>
      </c>
      <c r="BP421">
        <v>0</v>
      </c>
      <c r="BW421" t="str">
        <f t="shared" si="203"/>
        <v>14:41:41.988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3</v>
      </c>
      <c r="CP421" t="s">
        <v>119</v>
      </c>
      <c r="CQ421">
        <v>358</v>
      </c>
      <c r="CR421">
        <v>0</v>
      </c>
      <c r="CW421">
        <v>4563418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 t="shared" si="201"/>
        <v>05/12/2020 14:41:24.173</v>
      </c>
      <c r="C422" t="str">
        <f t="shared" si="195"/>
        <v>FFDFD3C0</v>
      </c>
      <c r="D422" t="s">
        <v>134</v>
      </c>
      <c r="E422">
        <v>12</v>
      </c>
      <c r="H422">
        <v>64</v>
      </c>
      <c r="I422" t="s">
        <v>135</v>
      </c>
      <c r="J422" t="s">
        <v>136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202"/>
        <v>14:41:41.984</v>
      </c>
      <c r="T422" t="str">
        <f>"14:41:41.684"</f>
        <v>14:41:41.684</v>
      </c>
      <c r="U422" t="str">
        <f t="shared" si="186"/>
        <v>A9808D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225</v>
      </c>
      <c r="AJ422">
        <v>28.246279000000001</v>
      </c>
      <c r="AK422" t="s">
        <v>226</v>
      </c>
      <c r="AL422">
        <v>-82.382333000000003</v>
      </c>
      <c r="AM422">
        <v>100</v>
      </c>
      <c r="AN422">
        <v>600</v>
      </c>
      <c r="AO422" t="s">
        <v>118</v>
      </c>
      <c r="AP422">
        <v>13</v>
      </c>
      <c r="AQ422">
        <v>86</v>
      </c>
      <c r="AR422">
        <v>384</v>
      </c>
      <c r="AZ422">
        <v>1200</v>
      </c>
      <c r="BA422">
        <v>1</v>
      </c>
      <c r="BB422" t="str">
        <f t="shared" si="196"/>
        <v xml:space="preserve">N711JA  </v>
      </c>
      <c r="BC422">
        <v>1</v>
      </c>
      <c r="BE422">
        <v>0</v>
      </c>
      <c r="BF422">
        <v>0</v>
      </c>
      <c r="BG422">
        <v>0</v>
      </c>
      <c r="BH422">
        <v>625</v>
      </c>
      <c r="BI422">
        <v>1</v>
      </c>
      <c r="BJ422">
        <v>1</v>
      </c>
      <c r="BK422">
        <v>0</v>
      </c>
      <c r="BL422">
        <v>0</v>
      </c>
      <c r="BO422">
        <v>0</v>
      </c>
      <c r="BP422">
        <v>0</v>
      </c>
      <c r="BW422" t="str">
        <f t="shared" si="203"/>
        <v>14:41:41.988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3</v>
      </c>
      <c r="CP422" t="s">
        <v>119</v>
      </c>
      <c r="CQ422">
        <v>358</v>
      </c>
      <c r="CR422">
        <v>0</v>
      </c>
      <c r="CW422">
        <v>4563418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si="201"/>
        <v>05/12/2020 14:41:24.173</v>
      </c>
      <c r="C423" t="str">
        <f t="shared" si="195"/>
        <v>FFDFD3C0</v>
      </c>
      <c r="D423" t="s">
        <v>126</v>
      </c>
      <c r="E423">
        <v>7</v>
      </c>
      <c r="F423">
        <v>1007</v>
      </c>
      <c r="G423" t="s">
        <v>127</v>
      </c>
      <c r="J423" t="s">
        <v>128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02"/>
        <v>14:41:41.984</v>
      </c>
      <c r="T423" t="str">
        <f>"14:41:41.684"</f>
        <v>14:41:41.684</v>
      </c>
      <c r="U423" t="str">
        <f t="shared" si="186"/>
        <v>A9808D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225</v>
      </c>
      <c r="AJ423">
        <v>28.246279000000001</v>
      </c>
      <c r="AK423" t="s">
        <v>226</v>
      </c>
      <c r="AL423">
        <v>-82.382333000000003</v>
      </c>
      <c r="AM423">
        <v>100</v>
      </c>
      <c r="AN423">
        <v>600</v>
      </c>
      <c r="AO423" t="s">
        <v>118</v>
      </c>
      <c r="AP423">
        <v>13</v>
      </c>
      <c r="AQ423">
        <v>86</v>
      </c>
      <c r="AR423">
        <v>384</v>
      </c>
      <c r="AZ423">
        <v>1200</v>
      </c>
      <c r="BA423">
        <v>1</v>
      </c>
      <c r="BB423" t="str">
        <f t="shared" si="196"/>
        <v xml:space="preserve">N711JA  </v>
      </c>
      <c r="BC423">
        <v>1</v>
      </c>
      <c r="BE423">
        <v>0</v>
      </c>
      <c r="BF423">
        <v>0</v>
      </c>
      <c r="BG423">
        <v>0</v>
      </c>
      <c r="BH423">
        <v>625</v>
      </c>
      <c r="BI423">
        <v>1</v>
      </c>
      <c r="BJ423">
        <v>1</v>
      </c>
      <c r="BK423">
        <v>0</v>
      </c>
      <c r="BL423">
        <v>0</v>
      </c>
      <c r="BO423">
        <v>0</v>
      </c>
      <c r="BP423">
        <v>0</v>
      </c>
      <c r="BW423" t="str">
        <f t="shared" si="203"/>
        <v>14:41:41.988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3</v>
      </c>
      <c r="CP423" t="s">
        <v>119</v>
      </c>
      <c r="CQ423">
        <v>358</v>
      </c>
      <c r="CR423">
        <v>0</v>
      </c>
      <c r="CW423">
        <v>4563418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201"/>
        <v>05/12/2020 14:41:24.173</v>
      </c>
      <c r="C424" t="str">
        <f t="shared" si="195"/>
        <v>FFDFD3C0</v>
      </c>
      <c r="D424" t="s">
        <v>131</v>
      </c>
      <c r="E424">
        <v>10</v>
      </c>
      <c r="F424">
        <v>2010</v>
      </c>
      <c r="G424" t="s">
        <v>132</v>
      </c>
      <c r="J424" t="s">
        <v>133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02"/>
        <v>14:41:41.984</v>
      </c>
      <c r="T424" t="str">
        <f>"14:41:41.684"</f>
        <v>14:41:41.684</v>
      </c>
      <c r="U424" t="str">
        <f t="shared" si="186"/>
        <v>A9808D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225</v>
      </c>
      <c r="AJ424">
        <v>28.246279000000001</v>
      </c>
      <c r="AK424" t="s">
        <v>226</v>
      </c>
      <c r="AL424">
        <v>-82.382333000000003</v>
      </c>
      <c r="AM424">
        <v>100</v>
      </c>
      <c r="AN424">
        <v>600</v>
      </c>
      <c r="AO424" t="s">
        <v>118</v>
      </c>
      <c r="AP424">
        <v>13</v>
      </c>
      <c r="AQ424">
        <v>86</v>
      </c>
      <c r="AR424">
        <v>384</v>
      </c>
      <c r="AZ424">
        <v>1200</v>
      </c>
      <c r="BA424">
        <v>1</v>
      </c>
      <c r="BB424" t="str">
        <f t="shared" si="196"/>
        <v xml:space="preserve">N711JA  </v>
      </c>
      <c r="BC424">
        <v>1</v>
      </c>
      <c r="BE424">
        <v>0</v>
      </c>
      <c r="BF424">
        <v>0</v>
      </c>
      <c r="BG424">
        <v>0</v>
      </c>
      <c r="BH424">
        <v>625</v>
      </c>
      <c r="BI424">
        <v>1</v>
      </c>
      <c r="BJ424">
        <v>1</v>
      </c>
      <c r="BK424">
        <v>0</v>
      </c>
      <c r="BL424">
        <v>0</v>
      </c>
      <c r="BO424">
        <v>0</v>
      </c>
      <c r="BP424">
        <v>0</v>
      </c>
      <c r="BW424" t="str">
        <f t="shared" si="203"/>
        <v>14:41:41.988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3</v>
      </c>
      <c r="CP424" t="s">
        <v>119</v>
      </c>
      <c r="CQ424">
        <v>358</v>
      </c>
      <c r="CR424">
        <v>0</v>
      </c>
      <c r="CW424">
        <v>4563418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si="201"/>
        <v>05/12/2020 14:41:24.173</v>
      </c>
      <c r="C425" t="str">
        <f t="shared" si="195"/>
        <v>FFDFD3C0</v>
      </c>
      <c r="D425" t="s">
        <v>113</v>
      </c>
      <c r="E425">
        <v>3</v>
      </c>
      <c r="H425">
        <v>164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02"/>
        <v>14:41:41.984</v>
      </c>
      <c r="T425" t="str">
        <f>"14:41:41.184"</f>
        <v>14:41:41.184</v>
      </c>
      <c r="U425" t="str">
        <f t="shared" si="186"/>
        <v>A9808D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225</v>
      </c>
      <c r="AJ425">
        <v>28.246279000000001</v>
      </c>
      <c r="AK425" t="s">
        <v>226</v>
      </c>
      <c r="AL425">
        <v>-82.382333000000003</v>
      </c>
      <c r="AM425">
        <v>100</v>
      </c>
      <c r="AN425">
        <v>600</v>
      </c>
      <c r="AO425" t="s">
        <v>118</v>
      </c>
      <c r="AP425">
        <v>13</v>
      </c>
      <c r="AQ425">
        <v>86</v>
      </c>
      <c r="AR425">
        <v>448</v>
      </c>
      <c r="AZ425">
        <v>1200</v>
      </c>
      <c r="BA425">
        <v>1</v>
      </c>
      <c r="BB425" t="str">
        <f t="shared" si="196"/>
        <v xml:space="preserve">N711JA  </v>
      </c>
      <c r="BC425">
        <v>1</v>
      </c>
      <c r="BE425">
        <v>0</v>
      </c>
      <c r="BF425">
        <v>0</v>
      </c>
      <c r="BG425">
        <v>0</v>
      </c>
      <c r="BH425">
        <v>525</v>
      </c>
      <c r="BI425">
        <v>1</v>
      </c>
      <c r="BJ425">
        <v>1</v>
      </c>
      <c r="BK425">
        <v>0</v>
      </c>
      <c r="BL425">
        <v>0</v>
      </c>
      <c r="BO425">
        <v>0</v>
      </c>
      <c r="BP425">
        <v>0</v>
      </c>
      <c r="BW425" t="str">
        <f t="shared" si="203"/>
        <v>14:41:41.988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3</v>
      </c>
      <c r="CP425" t="s">
        <v>119</v>
      </c>
      <c r="CQ425">
        <v>8</v>
      </c>
      <c r="CR425">
        <v>3</v>
      </c>
      <c r="CW425">
        <v>8672275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201"/>
        <v>05/12/2020 14:41:24.173</v>
      </c>
      <c r="C426" t="str">
        <f t="shared" si="195"/>
        <v>FFDFD3C0</v>
      </c>
      <c r="D426" t="s">
        <v>131</v>
      </c>
      <c r="E426">
        <v>12</v>
      </c>
      <c r="F426">
        <v>2012</v>
      </c>
      <c r="G426" t="s">
        <v>137</v>
      </c>
      <c r="J426" t="s">
        <v>133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02"/>
        <v>14:41:41.984</v>
      </c>
      <c r="T426" t="str">
        <f>"14:41:41.184"</f>
        <v>14:41:41.184</v>
      </c>
      <c r="U426" t="str">
        <f t="shared" si="186"/>
        <v>A9808D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225</v>
      </c>
      <c r="AJ426">
        <v>28.246279000000001</v>
      </c>
      <c r="AK426" t="s">
        <v>226</v>
      </c>
      <c r="AL426">
        <v>-82.382333000000003</v>
      </c>
      <c r="AM426">
        <v>100</v>
      </c>
      <c r="AN426">
        <v>600</v>
      </c>
      <c r="AO426" t="s">
        <v>118</v>
      </c>
      <c r="AP426">
        <v>13</v>
      </c>
      <c r="AQ426">
        <v>86</v>
      </c>
      <c r="AR426">
        <v>448</v>
      </c>
      <c r="AZ426">
        <v>1200</v>
      </c>
      <c r="BA426">
        <v>1</v>
      </c>
      <c r="BB426" t="str">
        <f t="shared" si="196"/>
        <v xml:space="preserve">N711JA  </v>
      </c>
      <c r="BC426">
        <v>1</v>
      </c>
      <c r="BE426">
        <v>0</v>
      </c>
      <c r="BF426">
        <v>0</v>
      </c>
      <c r="BG426">
        <v>0</v>
      </c>
      <c r="BH426">
        <v>525</v>
      </c>
      <c r="BI426">
        <v>1</v>
      </c>
      <c r="BJ426">
        <v>1</v>
      </c>
      <c r="BK426">
        <v>0</v>
      </c>
      <c r="BL426">
        <v>0</v>
      </c>
      <c r="BO426">
        <v>0</v>
      </c>
      <c r="BP426">
        <v>0</v>
      </c>
      <c r="BW426" t="str">
        <f t="shared" si="203"/>
        <v>14:41:41.988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3</v>
      </c>
      <c r="CP426" t="s">
        <v>119</v>
      </c>
      <c r="CQ426">
        <v>8</v>
      </c>
      <c r="CR426">
        <v>3</v>
      </c>
      <c r="CW426">
        <v>8672275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ref="A427:A435" si="204">"05/12/2020 14:41:25.219"</f>
        <v>05/12/2020 14:41:25.219</v>
      </c>
      <c r="C427" t="str">
        <f t="shared" si="195"/>
        <v>FFDFD3C0</v>
      </c>
      <c r="D427" t="s">
        <v>134</v>
      </c>
      <c r="E427">
        <v>12</v>
      </c>
      <c r="H427">
        <v>64</v>
      </c>
      <c r="I427" t="s">
        <v>135</v>
      </c>
      <c r="J427" t="s">
        <v>136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ref="S427:S435" si="205">"14:41:43.055"</f>
        <v>14:41:43.055</v>
      </c>
      <c r="T427" t="str">
        <f t="shared" ref="T427:T435" si="206">"14:41:42.655"</f>
        <v>14:41:42.655</v>
      </c>
      <c r="U427" t="str">
        <f t="shared" si="186"/>
        <v>A9808D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227</v>
      </c>
      <c r="AJ427">
        <v>28.246644</v>
      </c>
      <c r="AK427" t="s">
        <v>228</v>
      </c>
      <c r="AL427">
        <v>-82.382268999999994</v>
      </c>
      <c r="AM427">
        <v>100</v>
      </c>
      <c r="AN427">
        <v>600</v>
      </c>
      <c r="AO427" t="s">
        <v>118</v>
      </c>
      <c r="AP427">
        <v>13</v>
      </c>
      <c r="AQ427">
        <v>86</v>
      </c>
      <c r="AR427">
        <v>448</v>
      </c>
      <c r="AZ427">
        <v>1200</v>
      </c>
      <c r="BA427">
        <v>1</v>
      </c>
      <c r="BB427" t="str">
        <f t="shared" si="196"/>
        <v xml:space="preserve">N711JA  </v>
      </c>
      <c r="BC427">
        <v>1</v>
      </c>
      <c r="BE427">
        <v>0</v>
      </c>
      <c r="BF427">
        <v>0</v>
      </c>
      <c r="BG427">
        <v>0</v>
      </c>
      <c r="BH427">
        <v>650</v>
      </c>
      <c r="BI427">
        <v>1</v>
      </c>
      <c r="BJ427">
        <v>1</v>
      </c>
      <c r="BK427">
        <v>0</v>
      </c>
      <c r="BL427">
        <v>0</v>
      </c>
      <c r="BO427">
        <v>0</v>
      </c>
      <c r="BP427">
        <v>0</v>
      </c>
      <c r="BW427" t="str">
        <f t="shared" ref="BW427:BW435" si="207">"14:41:43.060"</f>
        <v>14:41:43.060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343</v>
      </c>
      <c r="CR427">
        <v>1</v>
      </c>
      <c r="CW427">
        <v>10551579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si="204"/>
        <v>05/12/2020 14:41:25.219</v>
      </c>
      <c r="C428" t="str">
        <f t="shared" si="195"/>
        <v>FFDFD3C0</v>
      </c>
      <c r="D428" t="s">
        <v>126</v>
      </c>
      <c r="E428">
        <v>7</v>
      </c>
      <c r="F428">
        <v>1007</v>
      </c>
      <c r="G428" t="s">
        <v>127</v>
      </c>
      <c r="J428" t="s">
        <v>128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205"/>
        <v>14:41:43.055</v>
      </c>
      <c r="T428" t="str">
        <f t="shared" si="206"/>
        <v>14:41:42.655</v>
      </c>
      <c r="U428" t="str">
        <f t="shared" si="186"/>
        <v>A9808D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227</v>
      </c>
      <c r="AJ428">
        <v>28.246644</v>
      </c>
      <c r="AK428" t="s">
        <v>228</v>
      </c>
      <c r="AL428">
        <v>-82.382268999999994</v>
      </c>
      <c r="AM428">
        <v>100</v>
      </c>
      <c r="AN428">
        <v>600</v>
      </c>
      <c r="AO428" t="s">
        <v>118</v>
      </c>
      <c r="AP428">
        <v>13</v>
      </c>
      <c r="AQ428">
        <v>86</v>
      </c>
      <c r="AR428">
        <v>448</v>
      </c>
      <c r="AZ428">
        <v>1200</v>
      </c>
      <c r="BA428">
        <v>1</v>
      </c>
      <c r="BB428" t="str">
        <f t="shared" si="196"/>
        <v xml:space="preserve">N711JA  </v>
      </c>
      <c r="BC428">
        <v>1</v>
      </c>
      <c r="BE428">
        <v>0</v>
      </c>
      <c r="BF428">
        <v>0</v>
      </c>
      <c r="BG428">
        <v>0</v>
      </c>
      <c r="BH428">
        <v>650</v>
      </c>
      <c r="BI428">
        <v>1</v>
      </c>
      <c r="BJ428">
        <v>1</v>
      </c>
      <c r="BK428">
        <v>0</v>
      </c>
      <c r="BL428">
        <v>0</v>
      </c>
      <c r="BO428">
        <v>0</v>
      </c>
      <c r="BP428">
        <v>0</v>
      </c>
      <c r="BW428" t="str">
        <f t="shared" si="207"/>
        <v>14:41:43.060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343</v>
      </c>
      <c r="CR428">
        <v>1</v>
      </c>
      <c r="CW428">
        <v>10551579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si="204"/>
        <v>05/12/2020 14:41:25.219</v>
      </c>
      <c r="C429" t="str">
        <f t="shared" si="195"/>
        <v>FFDFD3C0</v>
      </c>
      <c r="D429" t="s">
        <v>131</v>
      </c>
      <c r="E429">
        <v>10</v>
      </c>
      <c r="F429">
        <v>2010</v>
      </c>
      <c r="G429" t="s">
        <v>132</v>
      </c>
      <c r="J429" t="s">
        <v>133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05"/>
        <v>14:41:43.055</v>
      </c>
      <c r="T429" t="str">
        <f t="shared" si="206"/>
        <v>14:41:42.655</v>
      </c>
      <c r="U429" t="str">
        <f t="shared" si="186"/>
        <v>A9808D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227</v>
      </c>
      <c r="AJ429">
        <v>28.246644</v>
      </c>
      <c r="AK429" t="s">
        <v>228</v>
      </c>
      <c r="AL429">
        <v>-82.382268999999994</v>
      </c>
      <c r="AM429">
        <v>100</v>
      </c>
      <c r="AN429">
        <v>600</v>
      </c>
      <c r="AO429" t="s">
        <v>118</v>
      </c>
      <c r="AP429">
        <v>13</v>
      </c>
      <c r="AQ429">
        <v>86</v>
      </c>
      <c r="AR429">
        <v>448</v>
      </c>
      <c r="AZ429">
        <v>1200</v>
      </c>
      <c r="BA429">
        <v>1</v>
      </c>
      <c r="BB429" t="str">
        <f t="shared" si="196"/>
        <v xml:space="preserve">N711JA  </v>
      </c>
      <c r="BC429">
        <v>1</v>
      </c>
      <c r="BE429">
        <v>0</v>
      </c>
      <c r="BF429">
        <v>0</v>
      </c>
      <c r="BG429">
        <v>0</v>
      </c>
      <c r="BH429">
        <v>650</v>
      </c>
      <c r="BI429">
        <v>1</v>
      </c>
      <c r="BJ429">
        <v>1</v>
      </c>
      <c r="BK429">
        <v>0</v>
      </c>
      <c r="BL429">
        <v>0</v>
      </c>
      <c r="BO429">
        <v>0</v>
      </c>
      <c r="BP429">
        <v>0</v>
      </c>
      <c r="BW429" t="str">
        <f t="shared" si="207"/>
        <v>14:41:43.060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343</v>
      </c>
      <c r="CR429">
        <v>1</v>
      </c>
      <c r="CW429">
        <v>10551579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204"/>
        <v>05/12/2020 14:41:25.219</v>
      </c>
      <c r="C430" t="str">
        <f t="shared" si="195"/>
        <v>FFDFD3C0</v>
      </c>
      <c r="D430" t="s">
        <v>131</v>
      </c>
      <c r="E430">
        <v>12</v>
      </c>
      <c r="F430">
        <v>2012</v>
      </c>
      <c r="G430" t="s">
        <v>137</v>
      </c>
      <c r="J430" t="s">
        <v>133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05"/>
        <v>14:41:43.055</v>
      </c>
      <c r="T430" t="str">
        <f t="shared" si="206"/>
        <v>14:41:42.655</v>
      </c>
      <c r="U430" t="str">
        <f t="shared" si="186"/>
        <v>A9808D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227</v>
      </c>
      <c r="AJ430">
        <v>28.246644</v>
      </c>
      <c r="AK430" t="s">
        <v>228</v>
      </c>
      <c r="AL430">
        <v>-82.382268999999994</v>
      </c>
      <c r="AM430">
        <v>100</v>
      </c>
      <c r="AN430">
        <v>600</v>
      </c>
      <c r="AO430" t="s">
        <v>118</v>
      </c>
      <c r="AP430">
        <v>13</v>
      </c>
      <c r="AQ430">
        <v>86</v>
      </c>
      <c r="AR430">
        <v>448</v>
      </c>
      <c r="AZ430">
        <v>1200</v>
      </c>
      <c r="BA430">
        <v>1</v>
      </c>
      <c r="BB430" t="str">
        <f t="shared" si="196"/>
        <v xml:space="preserve">N711JA  </v>
      </c>
      <c r="BC430">
        <v>1</v>
      </c>
      <c r="BE430">
        <v>0</v>
      </c>
      <c r="BF430">
        <v>0</v>
      </c>
      <c r="BG430">
        <v>0</v>
      </c>
      <c r="BH430">
        <v>650</v>
      </c>
      <c r="BI430">
        <v>1</v>
      </c>
      <c r="BJ430">
        <v>1</v>
      </c>
      <c r="BK430">
        <v>0</v>
      </c>
      <c r="BL430">
        <v>0</v>
      </c>
      <c r="BO430">
        <v>0</v>
      </c>
      <c r="BP430">
        <v>0</v>
      </c>
      <c r="BW430" t="str">
        <f t="shared" si="207"/>
        <v>14:41:43.060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343</v>
      </c>
      <c r="CR430">
        <v>1</v>
      </c>
      <c r="CW430">
        <v>10551579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si="204"/>
        <v>05/12/2020 14:41:25.219</v>
      </c>
      <c r="C431" t="str">
        <f t="shared" si="195"/>
        <v>FFDFD3C0</v>
      </c>
      <c r="D431" t="s">
        <v>131</v>
      </c>
      <c r="E431">
        <v>18</v>
      </c>
      <c r="F431">
        <v>2018</v>
      </c>
      <c r="G431" t="s">
        <v>161</v>
      </c>
      <c r="J431" t="s">
        <v>133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05"/>
        <v>14:41:43.055</v>
      </c>
      <c r="T431" t="str">
        <f t="shared" si="206"/>
        <v>14:41:42.655</v>
      </c>
      <c r="U431" t="str">
        <f t="shared" si="186"/>
        <v>A9808D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227</v>
      </c>
      <c r="AJ431">
        <v>28.246644</v>
      </c>
      <c r="AK431" t="s">
        <v>228</v>
      </c>
      <c r="AL431">
        <v>-82.382268999999994</v>
      </c>
      <c r="AM431">
        <v>100</v>
      </c>
      <c r="AN431">
        <v>600</v>
      </c>
      <c r="AO431" t="s">
        <v>118</v>
      </c>
      <c r="AP431">
        <v>13</v>
      </c>
      <c r="AQ431">
        <v>86</v>
      </c>
      <c r="AR431">
        <v>448</v>
      </c>
      <c r="AZ431">
        <v>1200</v>
      </c>
      <c r="BA431">
        <v>1</v>
      </c>
      <c r="BB431" t="str">
        <f t="shared" si="196"/>
        <v xml:space="preserve">N711JA  </v>
      </c>
      <c r="BC431">
        <v>1</v>
      </c>
      <c r="BE431">
        <v>0</v>
      </c>
      <c r="BF431">
        <v>0</v>
      </c>
      <c r="BG431">
        <v>0</v>
      </c>
      <c r="BH431">
        <v>650</v>
      </c>
      <c r="BI431">
        <v>1</v>
      </c>
      <c r="BJ431">
        <v>1</v>
      </c>
      <c r="BK431">
        <v>0</v>
      </c>
      <c r="BL431">
        <v>0</v>
      </c>
      <c r="BO431">
        <v>0</v>
      </c>
      <c r="BP431">
        <v>0</v>
      </c>
      <c r="BW431" t="str">
        <f t="shared" si="207"/>
        <v>14:41:43.060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343</v>
      </c>
      <c r="CR431">
        <v>1</v>
      </c>
      <c r="CW431">
        <v>10551579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si="204"/>
        <v>05/12/2020 14:41:25.219</v>
      </c>
      <c r="C432" t="str">
        <f t="shared" si="195"/>
        <v>FFDFD3C0</v>
      </c>
      <c r="D432" t="s">
        <v>113</v>
      </c>
      <c r="E432">
        <v>3</v>
      </c>
      <c r="H432">
        <v>164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05"/>
        <v>14:41:43.055</v>
      </c>
      <c r="T432" t="str">
        <f t="shared" si="206"/>
        <v>14:41:42.655</v>
      </c>
      <c r="U432" t="str">
        <f t="shared" si="186"/>
        <v>A9808D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227</v>
      </c>
      <c r="AJ432">
        <v>28.246644</v>
      </c>
      <c r="AK432" t="s">
        <v>228</v>
      </c>
      <c r="AL432">
        <v>-82.382268999999994</v>
      </c>
      <c r="AM432">
        <v>100</v>
      </c>
      <c r="AN432">
        <v>600</v>
      </c>
      <c r="AO432" t="s">
        <v>118</v>
      </c>
      <c r="AP432">
        <v>13</v>
      </c>
      <c r="AQ432">
        <v>86</v>
      </c>
      <c r="AR432">
        <v>448</v>
      </c>
      <c r="AZ432">
        <v>1200</v>
      </c>
      <c r="BA432">
        <v>1</v>
      </c>
      <c r="BB432" t="str">
        <f t="shared" si="196"/>
        <v xml:space="preserve">N711JA  </v>
      </c>
      <c r="BC432">
        <v>1</v>
      </c>
      <c r="BE432">
        <v>0</v>
      </c>
      <c r="BF432">
        <v>0</v>
      </c>
      <c r="BG432">
        <v>0</v>
      </c>
      <c r="BH432">
        <v>650</v>
      </c>
      <c r="BI432">
        <v>1</v>
      </c>
      <c r="BJ432">
        <v>1</v>
      </c>
      <c r="BK432">
        <v>0</v>
      </c>
      <c r="BL432">
        <v>0</v>
      </c>
      <c r="BO432">
        <v>0</v>
      </c>
      <c r="BP432">
        <v>0</v>
      </c>
      <c r="BW432" t="str">
        <f t="shared" si="207"/>
        <v>14:41:43.060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343</v>
      </c>
      <c r="CR432">
        <v>1</v>
      </c>
      <c r="CW432">
        <v>10551579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si="204"/>
        <v>05/12/2020 14:41:25.219</v>
      </c>
      <c r="C433" t="str">
        <f t="shared" si="195"/>
        <v>FFDFD3C0</v>
      </c>
      <c r="D433" t="s">
        <v>138</v>
      </c>
      <c r="E433">
        <v>2</v>
      </c>
      <c r="H433">
        <v>8</v>
      </c>
      <c r="I433" t="s">
        <v>139</v>
      </c>
      <c r="J433" t="s">
        <v>136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05"/>
        <v>14:41:43.055</v>
      </c>
      <c r="T433" t="str">
        <f t="shared" si="206"/>
        <v>14:41:42.655</v>
      </c>
      <c r="U433" t="str">
        <f t="shared" si="186"/>
        <v>A9808D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227</v>
      </c>
      <c r="AJ433">
        <v>28.246644</v>
      </c>
      <c r="AK433" t="s">
        <v>228</v>
      </c>
      <c r="AL433">
        <v>-82.382268999999994</v>
      </c>
      <c r="AM433">
        <v>100</v>
      </c>
      <c r="AN433">
        <v>600</v>
      </c>
      <c r="AO433" t="s">
        <v>118</v>
      </c>
      <c r="AP433">
        <v>13</v>
      </c>
      <c r="AQ433">
        <v>86</v>
      </c>
      <c r="AR433">
        <v>448</v>
      </c>
      <c r="AZ433">
        <v>1200</v>
      </c>
      <c r="BA433">
        <v>1</v>
      </c>
      <c r="BB433" t="str">
        <f t="shared" si="196"/>
        <v xml:space="preserve">N711JA  </v>
      </c>
      <c r="BC433">
        <v>1</v>
      </c>
      <c r="BE433">
        <v>0</v>
      </c>
      <c r="BF433">
        <v>0</v>
      </c>
      <c r="BG433">
        <v>0</v>
      </c>
      <c r="BH433">
        <v>650</v>
      </c>
      <c r="BI433">
        <v>1</v>
      </c>
      <c r="BJ433">
        <v>1</v>
      </c>
      <c r="BK433">
        <v>0</v>
      </c>
      <c r="BL433">
        <v>0</v>
      </c>
      <c r="BO433">
        <v>0</v>
      </c>
      <c r="BP433">
        <v>0</v>
      </c>
      <c r="BW433" t="str">
        <f t="shared" si="207"/>
        <v>14:41:43.060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343</v>
      </c>
      <c r="CR433">
        <v>1</v>
      </c>
      <c r="CW433">
        <v>10551579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si="204"/>
        <v>05/12/2020 14:41:25.219</v>
      </c>
      <c r="C434" t="str">
        <f t="shared" si="195"/>
        <v>FFDFD3C0</v>
      </c>
      <c r="D434" t="s">
        <v>138</v>
      </c>
      <c r="E434">
        <v>3</v>
      </c>
      <c r="H434">
        <v>9</v>
      </c>
      <c r="I434" t="s">
        <v>140</v>
      </c>
      <c r="J434" t="s">
        <v>136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05"/>
        <v>14:41:43.055</v>
      </c>
      <c r="T434" t="str">
        <f t="shared" si="206"/>
        <v>14:41:42.655</v>
      </c>
      <c r="U434" t="str">
        <f t="shared" si="186"/>
        <v>A9808D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227</v>
      </c>
      <c r="AJ434">
        <v>28.246644</v>
      </c>
      <c r="AK434" t="s">
        <v>228</v>
      </c>
      <c r="AL434">
        <v>-82.382268999999994</v>
      </c>
      <c r="AM434">
        <v>100</v>
      </c>
      <c r="AN434">
        <v>600</v>
      </c>
      <c r="AO434" t="s">
        <v>118</v>
      </c>
      <c r="AP434">
        <v>13</v>
      </c>
      <c r="AQ434">
        <v>86</v>
      </c>
      <c r="AR434">
        <v>448</v>
      </c>
      <c r="AZ434">
        <v>1200</v>
      </c>
      <c r="BA434">
        <v>1</v>
      </c>
      <c r="BB434" t="str">
        <f t="shared" si="196"/>
        <v xml:space="preserve">N711JA  </v>
      </c>
      <c r="BC434">
        <v>1</v>
      </c>
      <c r="BE434">
        <v>0</v>
      </c>
      <c r="BF434">
        <v>0</v>
      </c>
      <c r="BG434">
        <v>0</v>
      </c>
      <c r="BH434">
        <v>650</v>
      </c>
      <c r="BI434">
        <v>1</v>
      </c>
      <c r="BJ434">
        <v>1</v>
      </c>
      <c r="BK434">
        <v>0</v>
      </c>
      <c r="BL434">
        <v>0</v>
      </c>
      <c r="BO434">
        <v>0</v>
      </c>
      <c r="BP434">
        <v>0</v>
      </c>
      <c r="BW434" t="str">
        <f t="shared" si="207"/>
        <v>14:41:43.060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343</v>
      </c>
      <c r="CR434">
        <v>1</v>
      </c>
      <c r="CW434">
        <v>10551579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si="204"/>
        <v>05/12/2020 14:41:25.219</v>
      </c>
      <c r="C435" t="str">
        <f t="shared" si="195"/>
        <v>FFDFD3C0</v>
      </c>
      <c r="D435" t="s">
        <v>126</v>
      </c>
      <c r="E435">
        <v>6</v>
      </c>
      <c r="F435">
        <v>1006</v>
      </c>
      <c r="G435" t="s">
        <v>114</v>
      </c>
      <c r="J435" t="s">
        <v>128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05"/>
        <v>14:41:43.055</v>
      </c>
      <c r="T435" t="str">
        <f t="shared" si="206"/>
        <v>14:41:42.655</v>
      </c>
      <c r="U435" t="str">
        <f t="shared" si="186"/>
        <v>A9808D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227</v>
      </c>
      <c r="AJ435">
        <v>28.246644</v>
      </c>
      <c r="AK435" t="s">
        <v>228</v>
      </c>
      <c r="AL435">
        <v>-82.382268999999994</v>
      </c>
      <c r="AM435">
        <v>100</v>
      </c>
      <c r="AN435">
        <v>600</v>
      </c>
      <c r="AO435" t="s">
        <v>118</v>
      </c>
      <c r="AP435">
        <v>13</v>
      </c>
      <c r="AQ435">
        <v>86</v>
      </c>
      <c r="AR435">
        <v>448</v>
      </c>
      <c r="AZ435">
        <v>1200</v>
      </c>
      <c r="BA435">
        <v>1</v>
      </c>
      <c r="BB435" t="str">
        <f t="shared" si="196"/>
        <v xml:space="preserve">N711JA  </v>
      </c>
      <c r="BC435">
        <v>1</v>
      </c>
      <c r="BE435">
        <v>0</v>
      </c>
      <c r="BF435">
        <v>0</v>
      </c>
      <c r="BG435">
        <v>0</v>
      </c>
      <c r="BH435">
        <v>650</v>
      </c>
      <c r="BI435">
        <v>1</v>
      </c>
      <c r="BJ435">
        <v>1</v>
      </c>
      <c r="BK435">
        <v>0</v>
      </c>
      <c r="BL435">
        <v>0</v>
      </c>
      <c r="BO435">
        <v>0</v>
      </c>
      <c r="BP435">
        <v>0</v>
      </c>
      <c r="BW435" t="str">
        <f t="shared" si="207"/>
        <v>14:41:43.060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343</v>
      </c>
      <c r="CR435">
        <v>1</v>
      </c>
      <c r="CW435">
        <v>10551579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ref="A436:A443" si="208">"05/12/2020 14:41:26.177"</f>
        <v>05/12/2020 14:41:26.177</v>
      </c>
      <c r="C436" t="str">
        <f t="shared" si="195"/>
        <v>FFDFD3C0</v>
      </c>
      <c r="D436" t="s">
        <v>126</v>
      </c>
      <c r="E436">
        <v>7</v>
      </c>
      <c r="F436">
        <v>1007</v>
      </c>
      <c r="G436" t="s">
        <v>127</v>
      </c>
      <c r="J436" t="s">
        <v>128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ref="S436:S443" si="209">"14:41:43.984"</f>
        <v>14:41:43.984</v>
      </c>
      <c r="T436" t="str">
        <f t="shared" ref="T436:T443" si="210">"14:41:43.784"</f>
        <v>14:41:43.784</v>
      </c>
      <c r="U436" t="str">
        <f t="shared" si="186"/>
        <v>A9808D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229</v>
      </c>
      <c r="AJ436">
        <v>28.247050999999999</v>
      </c>
      <c r="AK436" t="s">
        <v>230</v>
      </c>
      <c r="AL436">
        <v>-82.382161999999994</v>
      </c>
      <c r="AM436">
        <v>100</v>
      </c>
      <c r="AN436">
        <v>600</v>
      </c>
      <c r="AO436" t="s">
        <v>118</v>
      </c>
      <c r="AP436">
        <v>13</v>
      </c>
      <c r="AQ436">
        <v>86</v>
      </c>
      <c r="AR436">
        <v>448</v>
      </c>
      <c r="AZ436">
        <v>1200</v>
      </c>
      <c r="BA436">
        <v>1</v>
      </c>
      <c r="BB436" t="str">
        <f t="shared" si="196"/>
        <v xml:space="preserve">N711JA  </v>
      </c>
      <c r="BC436">
        <v>1</v>
      </c>
      <c r="BE436">
        <v>0</v>
      </c>
      <c r="BF436">
        <v>0</v>
      </c>
      <c r="BG436">
        <v>0</v>
      </c>
      <c r="BH436">
        <v>650</v>
      </c>
      <c r="BI436">
        <v>1</v>
      </c>
      <c r="BJ436">
        <v>1</v>
      </c>
      <c r="BK436">
        <v>0</v>
      </c>
      <c r="BL436">
        <v>0</v>
      </c>
      <c r="BO436">
        <v>0</v>
      </c>
      <c r="BP436">
        <v>0</v>
      </c>
      <c r="BW436" t="str">
        <f t="shared" ref="BW436:BW443" si="211">"14:41:43.990"</f>
        <v>14:41:43.990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4</v>
      </c>
      <c r="CP436" t="s">
        <v>119</v>
      </c>
      <c r="CQ436">
        <v>8</v>
      </c>
      <c r="CR436">
        <v>3</v>
      </c>
      <c r="CW436">
        <v>8674475</v>
      </c>
      <c r="CY436">
        <v>1</v>
      </c>
      <c r="CZ436">
        <v>0</v>
      </c>
      <c r="DA436">
        <v>0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 t="shared" si="208"/>
        <v>05/12/2020 14:41:26.177</v>
      </c>
      <c r="C437" t="str">
        <f t="shared" si="195"/>
        <v>FFDFD3C0</v>
      </c>
      <c r="D437" t="s">
        <v>131</v>
      </c>
      <c r="E437">
        <v>10</v>
      </c>
      <c r="F437">
        <v>2010</v>
      </c>
      <c r="G437" t="s">
        <v>132</v>
      </c>
      <c r="J437" t="s">
        <v>133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09"/>
        <v>14:41:43.984</v>
      </c>
      <c r="T437" t="str">
        <f t="shared" si="210"/>
        <v>14:41:43.784</v>
      </c>
      <c r="U437" t="str">
        <f t="shared" si="186"/>
        <v>A9808D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229</v>
      </c>
      <c r="AJ437">
        <v>28.247050999999999</v>
      </c>
      <c r="AK437" t="s">
        <v>230</v>
      </c>
      <c r="AL437">
        <v>-82.382161999999994</v>
      </c>
      <c r="AM437">
        <v>100</v>
      </c>
      <c r="AN437">
        <v>600</v>
      </c>
      <c r="AO437" t="s">
        <v>118</v>
      </c>
      <c r="AP437">
        <v>13</v>
      </c>
      <c r="AQ437">
        <v>86</v>
      </c>
      <c r="AR437">
        <v>448</v>
      </c>
      <c r="AZ437">
        <v>1200</v>
      </c>
      <c r="BA437">
        <v>1</v>
      </c>
      <c r="BB437" t="str">
        <f t="shared" si="196"/>
        <v xml:space="preserve">N711JA  </v>
      </c>
      <c r="BC437">
        <v>1</v>
      </c>
      <c r="BE437">
        <v>0</v>
      </c>
      <c r="BF437">
        <v>0</v>
      </c>
      <c r="BG437">
        <v>0</v>
      </c>
      <c r="BH437">
        <v>650</v>
      </c>
      <c r="BI437">
        <v>1</v>
      </c>
      <c r="BJ437">
        <v>1</v>
      </c>
      <c r="BK437">
        <v>0</v>
      </c>
      <c r="BL437">
        <v>0</v>
      </c>
      <c r="BO437">
        <v>0</v>
      </c>
      <c r="BP437">
        <v>0</v>
      </c>
      <c r="BW437" t="str">
        <f t="shared" si="211"/>
        <v>14:41:43.990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4</v>
      </c>
      <c r="CP437" t="s">
        <v>119</v>
      </c>
      <c r="CQ437">
        <v>8</v>
      </c>
      <c r="CR437">
        <v>3</v>
      </c>
      <c r="CW437">
        <v>8674475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 t="shared" si="208"/>
        <v>05/12/2020 14:41:26.177</v>
      </c>
      <c r="C438" t="str">
        <f t="shared" si="195"/>
        <v>FFDFD3C0</v>
      </c>
      <c r="D438" t="s">
        <v>131</v>
      </c>
      <c r="E438">
        <v>12</v>
      </c>
      <c r="F438">
        <v>2012</v>
      </c>
      <c r="G438" t="s">
        <v>137</v>
      </c>
      <c r="J438" t="s">
        <v>133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09"/>
        <v>14:41:43.984</v>
      </c>
      <c r="T438" t="str">
        <f t="shared" si="210"/>
        <v>14:41:43.784</v>
      </c>
      <c r="U438" t="str">
        <f t="shared" si="186"/>
        <v>A9808D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229</v>
      </c>
      <c r="AJ438">
        <v>28.247050999999999</v>
      </c>
      <c r="AK438" t="s">
        <v>230</v>
      </c>
      <c r="AL438">
        <v>-82.382161999999994</v>
      </c>
      <c r="AM438">
        <v>100</v>
      </c>
      <c r="AN438">
        <v>600</v>
      </c>
      <c r="AO438" t="s">
        <v>118</v>
      </c>
      <c r="AP438">
        <v>13</v>
      </c>
      <c r="AQ438">
        <v>86</v>
      </c>
      <c r="AR438">
        <v>448</v>
      </c>
      <c r="AZ438">
        <v>1200</v>
      </c>
      <c r="BA438">
        <v>1</v>
      </c>
      <c r="BB438" t="str">
        <f t="shared" si="196"/>
        <v xml:space="preserve">N711JA  </v>
      </c>
      <c r="BC438">
        <v>1</v>
      </c>
      <c r="BE438">
        <v>0</v>
      </c>
      <c r="BF438">
        <v>0</v>
      </c>
      <c r="BG438">
        <v>0</v>
      </c>
      <c r="BH438">
        <v>650</v>
      </c>
      <c r="BI438">
        <v>1</v>
      </c>
      <c r="BJ438">
        <v>1</v>
      </c>
      <c r="BK438">
        <v>0</v>
      </c>
      <c r="BL438">
        <v>0</v>
      </c>
      <c r="BO438">
        <v>0</v>
      </c>
      <c r="BP438">
        <v>0</v>
      </c>
      <c r="BW438" t="str">
        <f t="shared" si="211"/>
        <v>14:41:43.990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4</v>
      </c>
      <c r="CP438" t="s">
        <v>119</v>
      </c>
      <c r="CQ438">
        <v>8</v>
      </c>
      <c r="CR438">
        <v>3</v>
      </c>
      <c r="CW438">
        <v>8674475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 t="shared" si="208"/>
        <v>05/12/2020 14:41:26.177</v>
      </c>
      <c r="C439" t="str">
        <f t="shared" si="195"/>
        <v>FFDFD3C0</v>
      </c>
      <c r="D439" t="s">
        <v>134</v>
      </c>
      <c r="E439">
        <v>12</v>
      </c>
      <c r="H439">
        <v>64</v>
      </c>
      <c r="I439" t="s">
        <v>135</v>
      </c>
      <c r="J439" t="s">
        <v>136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09"/>
        <v>14:41:43.984</v>
      </c>
      <c r="T439" t="str">
        <f t="shared" si="210"/>
        <v>14:41:43.784</v>
      </c>
      <c r="U439" t="str">
        <f t="shared" si="186"/>
        <v>A9808D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229</v>
      </c>
      <c r="AJ439">
        <v>28.247050999999999</v>
      </c>
      <c r="AK439" t="s">
        <v>230</v>
      </c>
      <c r="AL439">
        <v>-82.382161999999994</v>
      </c>
      <c r="AM439">
        <v>100</v>
      </c>
      <c r="AN439">
        <v>600</v>
      </c>
      <c r="AO439" t="s">
        <v>118</v>
      </c>
      <c r="AP439">
        <v>13</v>
      </c>
      <c r="AQ439">
        <v>86</v>
      </c>
      <c r="AR439">
        <v>448</v>
      </c>
      <c r="AZ439">
        <v>1200</v>
      </c>
      <c r="BA439">
        <v>1</v>
      </c>
      <c r="BB439" t="str">
        <f t="shared" si="196"/>
        <v xml:space="preserve">N711JA  </v>
      </c>
      <c r="BC439">
        <v>1</v>
      </c>
      <c r="BE439">
        <v>0</v>
      </c>
      <c r="BF439">
        <v>0</v>
      </c>
      <c r="BG439">
        <v>0</v>
      </c>
      <c r="BH439">
        <v>650</v>
      </c>
      <c r="BI439">
        <v>1</v>
      </c>
      <c r="BJ439">
        <v>1</v>
      </c>
      <c r="BK439">
        <v>0</v>
      </c>
      <c r="BL439">
        <v>0</v>
      </c>
      <c r="BO439">
        <v>0</v>
      </c>
      <c r="BP439">
        <v>0</v>
      </c>
      <c r="BW439" t="str">
        <f t="shared" si="211"/>
        <v>14:41:43.990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4</v>
      </c>
      <c r="CP439" t="s">
        <v>119</v>
      </c>
      <c r="CQ439">
        <v>8</v>
      </c>
      <c r="CR439">
        <v>3</v>
      </c>
      <c r="CW439">
        <v>8674475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 t="shared" si="208"/>
        <v>05/12/2020 14:41:26.177</v>
      </c>
      <c r="C440" t="str">
        <f t="shared" si="195"/>
        <v>FFDFD3C0</v>
      </c>
      <c r="D440" t="s">
        <v>113</v>
      </c>
      <c r="E440">
        <v>3</v>
      </c>
      <c r="H440">
        <v>164</v>
      </c>
      <c r="I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09"/>
        <v>14:41:43.984</v>
      </c>
      <c r="T440" t="str">
        <f t="shared" si="210"/>
        <v>14:41:43.784</v>
      </c>
      <c r="U440" t="str">
        <f t="shared" si="186"/>
        <v>A9808D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229</v>
      </c>
      <c r="AJ440">
        <v>28.247050999999999</v>
      </c>
      <c r="AK440" t="s">
        <v>230</v>
      </c>
      <c r="AL440">
        <v>-82.382161999999994</v>
      </c>
      <c r="AM440">
        <v>100</v>
      </c>
      <c r="AN440">
        <v>600</v>
      </c>
      <c r="AO440" t="s">
        <v>118</v>
      </c>
      <c r="AP440">
        <v>13</v>
      </c>
      <c r="AQ440">
        <v>86</v>
      </c>
      <c r="AR440">
        <v>448</v>
      </c>
      <c r="AZ440">
        <v>1200</v>
      </c>
      <c r="BA440">
        <v>1</v>
      </c>
      <c r="BB440" t="str">
        <f t="shared" si="196"/>
        <v xml:space="preserve">N711JA  </v>
      </c>
      <c r="BC440">
        <v>1</v>
      </c>
      <c r="BE440">
        <v>0</v>
      </c>
      <c r="BF440">
        <v>0</v>
      </c>
      <c r="BG440">
        <v>0</v>
      </c>
      <c r="BH440">
        <v>650</v>
      </c>
      <c r="BI440">
        <v>1</v>
      </c>
      <c r="BJ440">
        <v>1</v>
      </c>
      <c r="BK440">
        <v>0</v>
      </c>
      <c r="BL440">
        <v>0</v>
      </c>
      <c r="BO440">
        <v>0</v>
      </c>
      <c r="BP440">
        <v>0</v>
      </c>
      <c r="BW440" t="str">
        <f t="shared" si="211"/>
        <v>14:41:43.990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4</v>
      </c>
      <c r="CP440" t="s">
        <v>119</v>
      </c>
      <c r="CQ440">
        <v>8</v>
      </c>
      <c r="CR440">
        <v>3</v>
      </c>
      <c r="CW440">
        <v>8674475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 t="shared" si="208"/>
        <v>05/12/2020 14:41:26.177</v>
      </c>
      <c r="C441" t="str">
        <f t="shared" si="195"/>
        <v>FFDFD3C0</v>
      </c>
      <c r="D441" t="s">
        <v>126</v>
      </c>
      <c r="E441">
        <v>6</v>
      </c>
      <c r="F441">
        <v>1006</v>
      </c>
      <c r="G441" t="s">
        <v>114</v>
      </c>
      <c r="J441" t="s">
        <v>128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09"/>
        <v>14:41:43.984</v>
      </c>
      <c r="T441" t="str">
        <f t="shared" si="210"/>
        <v>14:41:43.784</v>
      </c>
      <c r="U441" t="str">
        <f t="shared" si="186"/>
        <v>A9808D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229</v>
      </c>
      <c r="AJ441">
        <v>28.247050999999999</v>
      </c>
      <c r="AK441" t="s">
        <v>230</v>
      </c>
      <c r="AL441">
        <v>-82.382161999999994</v>
      </c>
      <c r="AM441">
        <v>100</v>
      </c>
      <c r="AN441">
        <v>600</v>
      </c>
      <c r="AO441" t="s">
        <v>118</v>
      </c>
      <c r="AP441">
        <v>13</v>
      </c>
      <c r="AQ441">
        <v>86</v>
      </c>
      <c r="AR441">
        <v>448</v>
      </c>
      <c r="AZ441">
        <v>1200</v>
      </c>
      <c r="BA441">
        <v>1</v>
      </c>
      <c r="BB441" t="str">
        <f t="shared" si="196"/>
        <v xml:space="preserve">N711JA  </v>
      </c>
      <c r="BC441">
        <v>1</v>
      </c>
      <c r="BE441">
        <v>0</v>
      </c>
      <c r="BF441">
        <v>0</v>
      </c>
      <c r="BG441">
        <v>0</v>
      </c>
      <c r="BH441">
        <v>650</v>
      </c>
      <c r="BI441">
        <v>1</v>
      </c>
      <c r="BJ441">
        <v>1</v>
      </c>
      <c r="BK441">
        <v>0</v>
      </c>
      <c r="BL441">
        <v>0</v>
      </c>
      <c r="BO441">
        <v>0</v>
      </c>
      <c r="BP441">
        <v>0</v>
      </c>
      <c r="BW441" t="str">
        <f t="shared" si="211"/>
        <v>14:41:43.990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4</v>
      </c>
      <c r="CP441" t="s">
        <v>119</v>
      </c>
      <c r="CQ441">
        <v>8</v>
      </c>
      <c r="CR441">
        <v>3</v>
      </c>
      <c r="CW441">
        <v>8674475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 t="shared" si="208"/>
        <v>05/12/2020 14:41:26.177</v>
      </c>
      <c r="C442" t="str">
        <f t="shared" si="195"/>
        <v>FFDFD3C0</v>
      </c>
      <c r="D442" t="s">
        <v>138</v>
      </c>
      <c r="E442">
        <v>2</v>
      </c>
      <c r="H442">
        <v>8</v>
      </c>
      <c r="I442" t="s">
        <v>139</v>
      </c>
      <c r="J442" t="s">
        <v>136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09"/>
        <v>14:41:43.984</v>
      </c>
      <c r="T442" t="str">
        <f t="shared" si="210"/>
        <v>14:41:43.784</v>
      </c>
      <c r="U442" t="str">
        <f t="shared" si="186"/>
        <v>A9808D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229</v>
      </c>
      <c r="AJ442">
        <v>28.247050999999999</v>
      </c>
      <c r="AK442" t="s">
        <v>230</v>
      </c>
      <c r="AL442">
        <v>-82.382161999999994</v>
      </c>
      <c r="AM442">
        <v>100</v>
      </c>
      <c r="AN442">
        <v>600</v>
      </c>
      <c r="AO442" t="s">
        <v>118</v>
      </c>
      <c r="AP442">
        <v>13</v>
      </c>
      <c r="AQ442">
        <v>86</v>
      </c>
      <c r="AR442">
        <v>448</v>
      </c>
      <c r="AZ442">
        <v>1200</v>
      </c>
      <c r="BA442">
        <v>1</v>
      </c>
      <c r="BB442" t="str">
        <f t="shared" si="196"/>
        <v xml:space="preserve">N711JA  </v>
      </c>
      <c r="BC442">
        <v>1</v>
      </c>
      <c r="BE442">
        <v>0</v>
      </c>
      <c r="BF442">
        <v>0</v>
      </c>
      <c r="BG442">
        <v>0</v>
      </c>
      <c r="BH442">
        <v>650</v>
      </c>
      <c r="BI442">
        <v>1</v>
      </c>
      <c r="BJ442">
        <v>1</v>
      </c>
      <c r="BK442">
        <v>0</v>
      </c>
      <c r="BL442">
        <v>0</v>
      </c>
      <c r="BO442">
        <v>0</v>
      </c>
      <c r="BP442">
        <v>0</v>
      </c>
      <c r="BW442" t="str">
        <f t="shared" si="211"/>
        <v>14:41:43.990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4</v>
      </c>
      <c r="CP442" t="s">
        <v>119</v>
      </c>
      <c r="CQ442">
        <v>8</v>
      </c>
      <c r="CR442">
        <v>3</v>
      </c>
      <c r="CW442">
        <v>8674475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 t="shared" si="208"/>
        <v>05/12/2020 14:41:26.177</v>
      </c>
      <c r="C443" t="str">
        <f t="shared" si="195"/>
        <v>FFDFD3C0</v>
      </c>
      <c r="D443" t="s">
        <v>138</v>
      </c>
      <c r="E443">
        <v>3</v>
      </c>
      <c r="H443">
        <v>9</v>
      </c>
      <c r="I443" t="s">
        <v>140</v>
      </c>
      <c r="J443" t="s">
        <v>136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09"/>
        <v>14:41:43.984</v>
      </c>
      <c r="T443" t="str">
        <f t="shared" si="210"/>
        <v>14:41:43.784</v>
      </c>
      <c r="U443" t="str">
        <f t="shared" si="186"/>
        <v>A9808D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229</v>
      </c>
      <c r="AJ443">
        <v>28.247050999999999</v>
      </c>
      <c r="AK443" t="s">
        <v>230</v>
      </c>
      <c r="AL443">
        <v>-82.382161999999994</v>
      </c>
      <c r="AM443">
        <v>100</v>
      </c>
      <c r="AN443">
        <v>600</v>
      </c>
      <c r="AO443" t="s">
        <v>118</v>
      </c>
      <c r="AP443">
        <v>13</v>
      </c>
      <c r="AQ443">
        <v>86</v>
      </c>
      <c r="AR443">
        <v>448</v>
      </c>
      <c r="AZ443">
        <v>1200</v>
      </c>
      <c r="BA443">
        <v>1</v>
      </c>
      <c r="BB443" t="str">
        <f t="shared" si="196"/>
        <v xml:space="preserve">N711JA  </v>
      </c>
      <c r="BC443">
        <v>1</v>
      </c>
      <c r="BE443">
        <v>0</v>
      </c>
      <c r="BF443">
        <v>0</v>
      </c>
      <c r="BG443">
        <v>0</v>
      </c>
      <c r="BH443">
        <v>650</v>
      </c>
      <c r="BI443">
        <v>1</v>
      </c>
      <c r="BJ443">
        <v>1</v>
      </c>
      <c r="BK443">
        <v>0</v>
      </c>
      <c r="BL443">
        <v>0</v>
      </c>
      <c r="BO443">
        <v>0</v>
      </c>
      <c r="BP443">
        <v>0</v>
      </c>
      <c r="BW443" t="str">
        <f t="shared" si="211"/>
        <v>14:41:43.990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4</v>
      </c>
      <c r="CP443" t="s">
        <v>119</v>
      </c>
      <c r="CQ443">
        <v>8</v>
      </c>
      <c r="CR443">
        <v>3</v>
      </c>
      <c r="CW443">
        <v>8674475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 t="shared" ref="A444:A451" si="212">"05/12/2020 14:41:27.080"</f>
        <v>05/12/2020 14:41:27.080</v>
      </c>
      <c r="C444" t="str">
        <f t="shared" si="195"/>
        <v>FFDFD3C0</v>
      </c>
      <c r="D444" t="s">
        <v>126</v>
      </c>
      <c r="E444">
        <v>7</v>
      </c>
      <c r="F444">
        <v>1007</v>
      </c>
      <c r="G444" t="s">
        <v>127</v>
      </c>
      <c r="J444" t="s">
        <v>128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ref="S444:S451" si="213">"14:41:44.883"</f>
        <v>14:41:44.883</v>
      </c>
      <c r="T444" t="str">
        <f t="shared" ref="T444:T451" si="214">"14:41:44.783"</f>
        <v>14:41:44.783</v>
      </c>
      <c r="U444" t="str">
        <f t="shared" si="186"/>
        <v>A9808D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231</v>
      </c>
      <c r="AJ444">
        <v>28.247416000000001</v>
      </c>
      <c r="AK444" t="s">
        <v>232</v>
      </c>
      <c r="AL444">
        <v>-82.382140000000007</v>
      </c>
      <c r="AM444">
        <v>100</v>
      </c>
      <c r="AN444">
        <v>600</v>
      </c>
      <c r="AO444" t="s">
        <v>118</v>
      </c>
      <c r="AP444">
        <v>12</v>
      </c>
      <c r="AQ444">
        <v>86</v>
      </c>
      <c r="AR444">
        <v>384</v>
      </c>
      <c r="AZ444">
        <v>1200</v>
      </c>
      <c r="BA444">
        <v>1</v>
      </c>
      <c r="BB444" t="str">
        <f t="shared" si="196"/>
        <v xml:space="preserve">N711JA  </v>
      </c>
      <c r="BC444">
        <v>1</v>
      </c>
      <c r="BE444">
        <v>0</v>
      </c>
      <c r="BF444">
        <v>0</v>
      </c>
      <c r="BG444">
        <v>0</v>
      </c>
      <c r="BH444">
        <v>650</v>
      </c>
      <c r="BI444">
        <v>1</v>
      </c>
      <c r="BJ444">
        <v>1</v>
      </c>
      <c r="BK444">
        <v>0</v>
      </c>
      <c r="BL444">
        <v>0</v>
      </c>
      <c r="BO444">
        <v>0</v>
      </c>
      <c r="BP444">
        <v>0</v>
      </c>
      <c r="BW444" t="str">
        <f t="shared" ref="BW444:BW451" si="215">"14:41:44.887"</f>
        <v>14:41:44.887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3</v>
      </c>
      <c r="CP444" t="s">
        <v>119</v>
      </c>
      <c r="CQ444">
        <v>8</v>
      </c>
      <c r="CR444">
        <v>3</v>
      </c>
      <c r="CW444">
        <v>8675451</v>
      </c>
      <c r="CY444">
        <v>1</v>
      </c>
      <c r="CZ444">
        <v>0</v>
      </c>
      <c r="DA444">
        <v>0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si="212"/>
        <v>05/12/2020 14:41:27.080</v>
      </c>
      <c r="C445" t="str">
        <f t="shared" si="195"/>
        <v>FFDFD3C0</v>
      </c>
      <c r="D445" t="s">
        <v>131</v>
      </c>
      <c r="E445">
        <v>10</v>
      </c>
      <c r="F445">
        <v>2010</v>
      </c>
      <c r="G445" t="s">
        <v>132</v>
      </c>
      <c r="J445" t="s">
        <v>133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13"/>
        <v>14:41:44.883</v>
      </c>
      <c r="T445" t="str">
        <f t="shared" si="214"/>
        <v>14:41:44.783</v>
      </c>
      <c r="U445" t="str">
        <f t="shared" si="186"/>
        <v>A9808D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231</v>
      </c>
      <c r="AJ445">
        <v>28.247416000000001</v>
      </c>
      <c r="AK445" t="s">
        <v>232</v>
      </c>
      <c r="AL445">
        <v>-82.382140000000007</v>
      </c>
      <c r="AM445">
        <v>100</v>
      </c>
      <c r="AN445">
        <v>600</v>
      </c>
      <c r="AO445" t="s">
        <v>118</v>
      </c>
      <c r="AP445">
        <v>12</v>
      </c>
      <c r="AQ445">
        <v>86</v>
      </c>
      <c r="AR445">
        <v>384</v>
      </c>
      <c r="AZ445">
        <v>1200</v>
      </c>
      <c r="BA445">
        <v>1</v>
      </c>
      <c r="BB445" t="str">
        <f t="shared" si="196"/>
        <v xml:space="preserve">N711JA  </v>
      </c>
      <c r="BC445">
        <v>1</v>
      </c>
      <c r="BE445">
        <v>0</v>
      </c>
      <c r="BF445">
        <v>0</v>
      </c>
      <c r="BG445">
        <v>0</v>
      </c>
      <c r="BH445">
        <v>650</v>
      </c>
      <c r="BI445">
        <v>1</v>
      </c>
      <c r="BJ445">
        <v>1</v>
      </c>
      <c r="BK445">
        <v>0</v>
      </c>
      <c r="BL445">
        <v>0</v>
      </c>
      <c r="BO445">
        <v>0</v>
      </c>
      <c r="BP445">
        <v>0</v>
      </c>
      <c r="BW445" t="str">
        <f t="shared" si="215"/>
        <v>14:41:44.887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3</v>
      </c>
      <c r="CP445" t="s">
        <v>119</v>
      </c>
      <c r="CQ445">
        <v>8</v>
      </c>
      <c r="CR445">
        <v>3</v>
      </c>
      <c r="CW445">
        <v>8675451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si="212"/>
        <v>05/12/2020 14:41:27.080</v>
      </c>
      <c r="C446" t="str">
        <f t="shared" si="195"/>
        <v>FFDFD3C0</v>
      </c>
      <c r="D446" t="s">
        <v>131</v>
      </c>
      <c r="E446">
        <v>12</v>
      </c>
      <c r="F446">
        <v>2012</v>
      </c>
      <c r="G446" t="s">
        <v>137</v>
      </c>
      <c r="J446" t="s">
        <v>133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213"/>
        <v>14:41:44.883</v>
      </c>
      <c r="T446" t="str">
        <f t="shared" si="214"/>
        <v>14:41:44.783</v>
      </c>
      <c r="U446" t="str">
        <f t="shared" si="186"/>
        <v>A9808D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231</v>
      </c>
      <c r="AJ446">
        <v>28.247416000000001</v>
      </c>
      <c r="AK446" t="s">
        <v>232</v>
      </c>
      <c r="AL446">
        <v>-82.382140000000007</v>
      </c>
      <c r="AM446">
        <v>100</v>
      </c>
      <c r="AN446">
        <v>600</v>
      </c>
      <c r="AO446" t="s">
        <v>118</v>
      </c>
      <c r="AP446">
        <v>12</v>
      </c>
      <c r="AQ446">
        <v>86</v>
      </c>
      <c r="AR446">
        <v>384</v>
      </c>
      <c r="AZ446">
        <v>1200</v>
      </c>
      <c r="BA446">
        <v>1</v>
      </c>
      <c r="BB446" t="str">
        <f t="shared" si="196"/>
        <v xml:space="preserve">N711JA  </v>
      </c>
      <c r="BC446">
        <v>1</v>
      </c>
      <c r="BE446">
        <v>0</v>
      </c>
      <c r="BF446">
        <v>0</v>
      </c>
      <c r="BG446">
        <v>0</v>
      </c>
      <c r="BH446">
        <v>650</v>
      </c>
      <c r="BI446">
        <v>1</v>
      </c>
      <c r="BJ446">
        <v>1</v>
      </c>
      <c r="BK446">
        <v>0</v>
      </c>
      <c r="BL446">
        <v>0</v>
      </c>
      <c r="BO446">
        <v>0</v>
      </c>
      <c r="BP446">
        <v>0</v>
      </c>
      <c r="BW446" t="str">
        <f t="shared" si="215"/>
        <v>14:41:44.887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3</v>
      </c>
      <c r="CP446" t="s">
        <v>119</v>
      </c>
      <c r="CQ446">
        <v>8</v>
      </c>
      <c r="CR446">
        <v>3</v>
      </c>
      <c r="CW446">
        <v>8675451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si="212"/>
        <v>05/12/2020 14:41:27.080</v>
      </c>
      <c r="C447" t="str">
        <f t="shared" si="195"/>
        <v>FFDFD3C0</v>
      </c>
      <c r="D447" t="s">
        <v>134</v>
      </c>
      <c r="E447">
        <v>12</v>
      </c>
      <c r="H447">
        <v>64</v>
      </c>
      <c r="I447" t="s">
        <v>135</v>
      </c>
      <c r="J447" t="s">
        <v>136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13"/>
        <v>14:41:44.883</v>
      </c>
      <c r="T447" t="str">
        <f t="shared" si="214"/>
        <v>14:41:44.783</v>
      </c>
      <c r="U447" t="str">
        <f t="shared" si="186"/>
        <v>A9808D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231</v>
      </c>
      <c r="AJ447">
        <v>28.247416000000001</v>
      </c>
      <c r="AK447" t="s">
        <v>232</v>
      </c>
      <c r="AL447">
        <v>-82.382140000000007</v>
      </c>
      <c r="AM447">
        <v>100</v>
      </c>
      <c r="AN447">
        <v>600</v>
      </c>
      <c r="AO447" t="s">
        <v>118</v>
      </c>
      <c r="AP447">
        <v>12</v>
      </c>
      <c r="AQ447">
        <v>86</v>
      </c>
      <c r="AR447">
        <v>384</v>
      </c>
      <c r="AZ447">
        <v>1200</v>
      </c>
      <c r="BA447">
        <v>1</v>
      </c>
      <c r="BB447" t="str">
        <f t="shared" si="196"/>
        <v xml:space="preserve">N711JA  </v>
      </c>
      <c r="BC447">
        <v>1</v>
      </c>
      <c r="BE447">
        <v>0</v>
      </c>
      <c r="BF447">
        <v>0</v>
      </c>
      <c r="BG447">
        <v>0</v>
      </c>
      <c r="BH447">
        <v>650</v>
      </c>
      <c r="BI447">
        <v>1</v>
      </c>
      <c r="BJ447">
        <v>1</v>
      </c>
      <c r="BK447">
        <v>0</v>
      </c>
      <c r="BL447">
        <v>0</v>
      </c>
      <c r="BO447">
        <v>0</v>
      </c>
      <c r="BP447">
        <v>0</v>
      </c>
      <c r="BW447" t="str">
        <f t="shared" si="215"/>
        <v>14:41:44.887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3</v>
      </c>
      <c r="CP447" t="s">
        <v>119</v>
      </c>
      <c r="CQ447">
        <v>8</v>
      </c>
      <c r="CR447">
        <v>3</v>
      </c>
      <c r="CW447">
        <v>8675451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212"/>
        <v>05/12/2020 14:41:27.080</v>
      </c>
      <c r="C448" t="str">
        <f t="shared" si="195"/>
        <v>FFDFD3C0</v>
      </c>
      <c r="D448" t="s">
        <v>126</v>
      </c>
      <c r="E448">
        <v>6</v>
      </c>
      <c r="F448">
        <v>1006</v>
      </c>
      <c r="G448" t="s">
        <v>114</v>
      </c>
      <c r="J448" t="s">
        <v>128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13"/>
        <v>14:41:44.883</v>
      </c>
      <c r="T448" t="str">
        <f t="shared" si="214"/>
        <v>14:41:44.783</v>
      </c>
      <c r="U448" t="str">
        <f t="shared" si="186"/>
        <v>A9808D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231</v>
      </c>
      <c r="AJ448">
        <v>28.247416000000001</v>
      </c>
      <c r="AK448" t="s">
        <v>232</v>
      </c>
      <c r="AL448">
        <v>-82.382140000000007</v>
      </c>
      <c r="AM448">
        <v>100</v>
      </c>
      <c r="AN448">
        <v>600</v>
      </c>
      <c r="AO448" t="s">
        <v>118</v>
      </c>
      <c r="AP448">
        <v>12</v>
      </c>
      <c r="AQ448">
        <v>86</v>
      </c>
      <c r="AR448">
        <v>384</v>
      </c>
      <c r="AZ448">
        <v>1200</v>
      </c>
      <c r="BA448">
        <v>1</v>
      </c>
      <c r="BB448" t="str">
        <f t="shared" si="196"/>
        <v xml:space="preserve">N711JA  </v>
      </c>
      <c r="BC448">
        <v>1</v>
      </c>
      <c r="BE448">
        <v>0</v>
      </c>
      <c r="BF448">
        <v>0</v>
      </c>
      <c r="BG448">
        <v>0</v>
      </c>
      <c r="BH448">
        <v>650</v>
      </c>
      <c r="BI448">
        <v>1</v>
      </c>
      <c r="BJ448">
        <v>1</v>
      </c>
      <c r="BK448">
        <v>0</v>
      </c>
      <c r="BL448">
        <v>0</v>
      </c>
      <c r="BO448">
        <v>0</v>
      </c>
      <c r="BP448">
        <v>0</v>
      </c>
      <c r="BW448" t="str">
        <f t="shared" si="215"/>
        <v>14:41:44.887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3</v>
      </c>
      <c r="CP448" t="s">
        <v>119</v>
      </c>
      <c r="CQ448">
        <v>8</v>
      </c>
      <c r="CR448">
        <v>3</v>
      </c>
      <c r="CW448">
        <v>8675451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si="212"/>
        <v>05/12/2020 14:41:27.080</v>
      </c>
      <c r="C449" t="str">
        <f t="shared" si="195"/>
        <v>FFDFD3C0</v>
      </c>
      <c r="D449" t="s">
        <v>113</v>
      </c>
      <c r="E449">
        <v>3</v>
      </c>
      <c r="H449">
        <v>164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13"/>
        <v>14:41:44.883</v>
      </c>
      <c r="T449" t="str">
        <f t="shared" si="214"/>
        <v>14:41:44.783</v>
      </c>
      <c r="U449" t="str">
        <f t="shared" si="186"/>
        <v>A9808D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231</v>
      </c>
      <c r="AJ449">
        <v>28.247416000000001</v>
      </c>
      <c r="AK449" t="s">
        <v>232</v>
      </c>
      <c r="AL449">
        <v>-82.382140000000007</v>
      </c>
      <c r="AM449">
        <v>100</v>
      </c>
      <c r="AN449">
        <v>600</v>
      </c>
      <c r="AO449" t="s">
        <v>118</v>
      </c>
      <c r="AP449">
        <v>12</v>
      </c>
      <c r="AQ449">
        <v>86</v>
      </c>
      <c r="AR449">
        <v>384</v>
      </c>
      <c r="AZ449">
        <v>1200</v>
      </c>
      <c r="BA449">
        <v>1</v>
      </c>
      <c r="BB449" t="str">
        <f t="shared" si="196"/>
        <v xml:space="preserve">N711JA  </v>
      </c>
      <c r="BC449">
        <v>1</v>
      </c>
      <c r="BE449">
        <v>0</v>
      </c>
      <c r="BF449">
        <v>0</v>
      </c>
      <c r="BG449">
        <v>0</v>
      </c>
      <c r="BH449">
        <v>650</v>
      </c>
      <c r="BI449">
        <v>1</v>
      </c>
      <c r="BJ449">
        <v>1</v>
      </c>
      <c r="BK449">
        <v>0</v>
      </c>
      <c r="BL449">
        <v>0</v>
      </c>
      <c r="BO449">
        <v>0</v>
      </c>
      <c r="BP449">
        <v>0</v>
      </c>
      <c r="BW449" t="str">
        <f t="shared" si="215"/>
        <v>14:41:44.887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3</v>
      </c>
      <c r="CP449" t="s">
        <v>119</v>
      </c>
      <c r="CQ449">
        <v>8</v>
      </c>
      <c r="CR449">
        <v>3</v>
      </c>
      <c r="CW449">
        <v>8675451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212"/>
        <v>05/12/2020 14:41:27.080</v>
      </c>
      <c r="C450" t="str">
        <f t="shared" si="195"/>
        <v>FFDFD3C0</v>
      </c>
      <c r="D450" t="s">
        <v>138</v>
      </c>
      <c r="E450">
        <v>2</v>
      </c>
      <c r="H450">
        <v>8</v>
      </c>
      <c r="I450" t="s">
        <v>139</v>
      </c>
      <c r="J450" t="s">
        <v>136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13"/>
        <v>14:41:44.883</v>
      </c>
      <c r="T450" t="str">
        <f t="shared" si="214"/>
        <v>14:41:44.783</v>
      </c>
      <c r="U450" t="str">
        <f t="shared" ref="U450:U513" si="216">"A9808D"</f>
        <v>A9808D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231</v>
      </c>
      <c r="AJ450">
        <v>28.247416000000001</v>
      </c>
      <c r="AK450" t="s">
        <v>232</v>
      </c>
      <c r="AL450">
        <v>-82.382140000000007</v>
      </c>
      <c r="AM450">
        <v>100</v>
      </c>
      <c r="AN450">
        <v>600</v>
      </c>
      <c r="AO450" t="s">
        <v>118</v>
      </c>
      <c r="AP450">
        <v>12</v>
      </c>
      <c r="AQ450">
        <v>86</v>
      </c>
      <c r="AR450">
        <v>384</v>
      </c>
      <c r="AZ450">
        <v>1200</v>
      </c>
      <c r="BA450">
        <v>1</v>
      </c>
      <c r="BB450" t="str">
        <f t="shared" si="196"/>
        <v xml:space="preserve">N711JA  </v>
      </c>
      <c r="BC450">
        <v>1</v>
      </c>
      <c r="BE450">
        <v>0</v>
      </c>
      <c r="BF450">
        <v>0</v>
      </c>
      <c r="BG450">
        <v>0</v>
      </c>
      <c r="BH450">
        <v>650</v>
      </c>
      <c r="BI450">
        <v>1</v>
      </c>
      <c r="BJ450">
        <v>1</v>
      </c>
      <c r="BK450">
        <v>0</v>
      </c>
      <c r="BL450">
        <v>0</v>
      </c>
      <c r="BO450">
        <v>0</v>
      </c>
      <c r="BP450">
        <v>0</v>
      </c>
      <c r="BW450" t="str">
        <f t="shared" si="215"/>
        <v>14:41:44.887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3</v>
      </c>
      <c r="CP450" t="s">
        <v>119</v>
      </c>
      <c r="CQ450">
        <v>8</v>
      </c>
      <c r="CR450">
        <v>3</v>
      </c>
      <c r="CW450">
        <v>8675451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212"/>
        <v>05/12/2020 14:41:27.080</v>
      </c>
      <c r="C451" t="str">
        <f t="shared" si="195"/>
        <v>FFDFD3C0</v>
      </c>
      <c r="D451" t="s">
        <v>138</v>
      </c>
      <c r="E451">
        <v>3</v>
      </c>
      <c r="H451">
        <v>9</v>
      </c>
      <c r="I451" t="s">
        <v>140</v>
      </c>
      <c r="J451" t="s">
        <v>136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13"/>
        <v>14:41:44.883</v>
      </c>
      <c r="T451" t="str">
        <f t="shared" si="214"/>
        <v>14:41:44.783</v>
      </c>
      <c r="U451" t="str">
        <f t="shared" si="216"/>
        <v>A9808D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231</v>
      </c>
      <c r="AJ451">
        <v>28.247416000000001</v>
      </c>
      <c r="AK451" t="s">
        <v>232</v>
      </c>
      <c r="AL451">
        <v>-82.382140000000007</v>
      </c>
      <c r="AM451">
        <v>100</v>
      </c>
      <c r="AN451">
        <v>600</v>
      </c>
      <c r="AO451" t="s">
        <v>118</v>
      </c>
      <c r="AP451">
        <v>12</v>
      </c>
      <c r="AQ451">
        <v>86</v>
      </c>
      <c r="AR451">
        <v>384</v>
      </c>
      <c r="AZ451">
        <v>1200</v>
      </c>
      <c r="BA451">
        <v>1</v>
      </c>
      <c r="BB451" t="str">
        <f t="shared" si="196"/>
        <v xml:space="preserve">N711JA  </v>
      </c>
      <c r="BC451">
        <v>1</v>
      </c>
      <c r="BE451">
        <v>0</v>
      </c>
      <c r="BF451">
        <v>0</v>
      </c>
      <c r="BG451">
        <v>0</v>
      </c>
      <c r="BH451">
        <v>650</v>
      </c>
      <c r="BI451">
        <v>1</v>
      </c>
      <c r="BJ451">
        <v>1</v>
      </c>
      <c r="BK451">
        <v>0</v>
      </c>
      <c r="BL451">
        <v>0</v>
      </c>
      <c r="BO451">
        <v>0</v>
      </c>
      <c r="BP451">
        <v>0</v>
      </c>
      <c r="BW451" t="str">
        <f t="shared" si="215"/>
        <v>14:41:44.887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3</v>
      </c>
      <c r="CP451" t="s">
        <v>119</v>
      </c>
      <c r="CQ451">
        <v>8</v>
      </c>
      <c r="CR451">
        <v>3</v>
      </c>
      <c r="CW451">
        <v>8675451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ref="A452:A460" si="217">"05/12/2020 14:41:28.162"</f>
        <v>05/12/2020 14:41:28.162</v>
      </c>
      <c r="C452" t="str">
        <f t="shared" si="195"/>
        <v>FFDFD3C0</v>
      </c>
      <c r="D452" t="s">
        <v>126</v>
      </c>
      <c r="E452">
        <v>6</v>
      </c>
      <c r="F452">
        <v>1006</v>
      </c>
      <c r="G452" t="s">
        <v>114</v>
      </c>
      <c r="J452" t="s">
        <v>128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S460" si="218">"14:41:45.969"</f>
        <v>14:41:45.969</v>
      </c>
      <c r="T452" t="str">
        <f t="shared" ref="T452:T460" si="219">"14:41:45.769"</f>
        <v>14:41:45.769</v>
      </c>
      <c r="U452" t="str">
        <f t="shared" si="216"/>
        <v>A9808D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233</v>
      </c>
      <c r="AJ452">
        <v>28.247824000000001</v>
      </c>
      <c r="AK452" t="s">
        <v>234</v>
      </c>
      <c r="AL452">
        <v>-82.382097000000002</v>
      </c>
      <c r="AM452">
        <v>100</v>
      </c>
      <c r="AN452">
        <v>600</v>
      </c>
      <c r="AO452" t="s">
        <v>118</v>
      </c>
      <c r="AP452">
        <v>12</v>
      </c>
      <c r="AQ452">
        <v>86</v>
      </c>
      <c r="AR452">
        <v>448</v>
      </c>
      <c r="AZ452">
        <v>1200</v>
      </c>
      <c r="BA452">
        <v>1</v>
      </c>
      <c r="BB452" t="str">
        <f t="shared" si="196"/>
        <v xml:space="preserve">N711JA  </v>
      </c>
      <c r="BC452">
        <v>1</v>
      </c>
      <c r="BE452">
        <v>0</v>
      </c>
      <c r="BF452">
        <v>0</v>
      </c>
      <c r="BG452">
        <v>0</v>
      </c>
      <c r="BH452">
        <v>650</v>
      </c>
      <c r="BI452">
        <v>1</v>
      </c>
      <c r="BJ452">
        <v>1</v>
      </c>
      <c r="BK452">
        <v>0</v>
      </c>
      <c r="BL452">
        <v>0</v>
      </c>
      <c r="BO452">
        <v>0</v>
      </c>
      <c r="BP452">
        <v>0</v>
      </c>
      <c r="BW452" t="str">
        <f t="shared" ref="BW452:BW460" si="220">"14:41:45.973"</f>
        <v>14:41:45.973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343</v>
      </c>
      <c r="CR452">
        <v>1</v>
      </c>
      <c r="CW452">
        <v>10554697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si="217"/>
        <v>05/12/2020 14:41:28.162</v>
      </c>
      <c r="C453" t="str">
        <f t="shared" si="195"/>
        <v>FFDFD3C0</v>
      </c>
      <c r="D453" t="s">
        <v>113</v>
      </c>
      <c r="E453">
        <v>3</v>
      </c>
      <c r="H453">
        <v>164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18"/>
        <v>14:41:45.969</v>
      </c>
      <c r="T453" t="str">
        <f t="shared" si="219"/>
        <v>14:41:45.769</v>
      </c>
      <c r="U453" t="str">
        <f t="shared" si="216"/>
        <v>A9808D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233</v>
      </c>
      <c r="AJ453">
        <v>28.247824000000001</v>
      </c>
      <c r="AK453" t="s">
        <v>234</v>
      </c>
      <c r="AL453">
        <v>-82.382097000000002</v>
      </c>
      <c r="AM453">
        <v>100</v>
      </c>
      <c r="AN453">
        <v>600</v>
      </c>
      <c r="AO453" t="s">
        <v>118</v>
      </c>
      <c r="AP453">
        <v>12</v>
      </c>
      <c r="AQ453">
        <v>86</v>
      </c>
      <c r="AR453">
        <v>448</v>
      </c>
      <c r="AZ453">
        <v>1200</v>
      </c>
      <c r="BA453">
        <v>1</v>
      </c>
      <c r="BB453" t="str">
        <f t="shared" si="196"/>
        <v xml:space="preserve">N711JA  </v>
      </c>
      <c r="BC453">
        <v>1</v>
      </c>
      <c r="BE453">
        <v>0</v>
      </c>
      <c r="BF453">
        <v>0</v>
      </c>
      <c r="BG453">
        <v>0</v>
      </c>
      <c r="BH453">
        <v>650</v>
      </c>
      <c r="BI453">
        <v>1</v>
      </c>
      <c r="BJ453">
        <v>1</v>
      </c>
      <c r="BK453">
        <v>0</v>
      </c>
      <c r="BL453">
        <v>0</v>
      </c>
      <c r="BO453">
        <v>0</v>
      </c>
      <c r="BP453">
        <v>0</v>
      </c>
      <c r="BW453" t="str">
        <f t="shared" si="220"/>
        <v>14:41:45.973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343</v>
      </c>
      <c r="CR453">
        <v>1</v>
      </c>
      <c r="CW453">
        <v>10554697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217"/>
        <v>05/12/2020 14:41:28.162</v>
      </c>
      <c r="C454" t="str">
        <f t="shared" si="195"/>
        <v>FFDFD3C0</v>
      </c>
      <c r="D454" t="s">
        <v>138</v>
      </c>
      <c r="E454">
        <v>2</v>
      </c>
      <c r="H454">
        <v>8</v>
      </c>
      <c r="I454" t="s">
        <v>139</v>
      </c>
      <c r="J454" t="s">
        <v>136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18"/>
        <v>14:41:45.969</v>
      </c>
      <c r="T454" t="str">
        <f t="shared" si="219"/>
        <v>14:41:45.769</v>
      </c>
      <c r="U454" t="str">
        <f t="shared" si="216"/>
        <v>A9808D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233</v>
      </c>
      <c r="AJ454">
        <v>28.247824000000001</v>
      </c>
      <c r="AK454" t="s">
        <v>234</v>
      </c>
      <c r="AL454">
        <v>-82.382097000000002</v>
      </c>
      <c r="AM454">
        <v>100</v>
      </c>
      <c r="AN454">
        <v>600</v>
      </c>
      <c r="AO454" t="s">
        <v>118</v>
      </c>
      <c r="AP454">
        <v>12</v>
      </c>
      <c r="AQ454">
        <v>86</v>
      </c>
      <c r="AR454">
        <v>448</v>
      </c>
      <c r="AZ454">
        <v>1200</v>
      </c>
      <c r="BA454">
        <v>1</v>
      </c>
      <c r="BB454" t="str">
        <f t="shared" si="196"/>
        <v xml:space="preserve">N711JA  </v>
      </c>
      <c r="BC454">
        <v>1</v>
      </c>
      <c r="BE454">
        <v>0</v>
      </c>
      <c r="BF454">
        <v>0</v>
      </c>
      <c r="BG454">
        <v>0</v>
      </c>
      <c r="BH454">
        <v>650</v>
      </c>
      <c r="BI454">
        <v>1</v>
      </c>
      <c r="BJ454">
        <v>1</v>
      </c>
      <c r="BK454">
        <v>0</v>
      </c>
      <c r="BL454">
        <v>0</v>
      </c>
      <c r="BO454">
        <v>0</v>
      </c>
      <c r="BP454">
        <v>0</v>
      </c>
      <c r="BW454" t="str">
        <f t="shared" si="220"/>
        <v>14:41:45.973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343</v>
      </c>
      <c r="CR454">
        <v>1</v>
      </c>
      <c r="CW454">
        <v>10554697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217"/>
        <v>05/12/2020 14:41:28.162</v>
      </c>
      <c r="C455" t="str">
        <f t="shared" si="195"/>
        <v>FFDFD3C0</v>
      </c>
      <c r="D455" t="s">
        <v>138</v>
      </c>
      <c r="E455">
        <v>3</v>
      </c>
      <c r="H455">
        <v>9</v>
      </c>
      <c r="I455" t="s">
        <v>140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18"/>
        <v>14:41:45.969</v>
      </c>
      <c r="T455" t="str">
        <f t="shared" si="219"/>
        <v>14:41:45.769</v>
      </c>
      <c r="U455" t="str">
        <f t="shared" si="216"/>
        <v>A9808D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233</v>
      </c>
      <c r="AJ455">
        <v>28.247824000000001</v>
      </c>
      <c r="AK455" t="s">
        <v>234</v>
      </c>
      <c r="AL455">
        <v>-82.382097000000002</v>
      </c>
      <c r="AM455">
        <v>100</v>
      </c>
      <c r="AN455">
        <v>600</v>
      </c>
      <c r="AO455" t="s">
        <v>118</v>
      </c>
      <c r="AP455">
        <v>12</v>
      </c>
      <c r="AQ455">
        <v>86</v>
      </c>
      <c r="AR455">
        <v>448</v>
      </c>
      <c r="AZ455">
        <v>1200</v>
      </c>
      <c r="BA455">
        <v>1</v>
      </c>
      <c r="BB455" t="str">
        <f t="shared" si="196"/>
        <v xml:space="preserve">N711JA  </v>
      </c>
      <c r="BC455">
        <v>1</v>
      </c>
      <c r="BE455">
        <v>0</v>
      </c>
      <c r="BF455">
        <v>0</v>
      </c>
      <c r="BG455">
        <v>0</v>
      </c>
      <c r="BH455">
        <v>650</v>
      </c>
      <c r="BI455">
        <v>1</v>
      </c>
      <c r="BJ455">
        <v>1</v>
      </c>
      <c r="BK455">
        <v>0</v>
      </c>
      <c r="BL455">
        <v>0</v>
      </c>
      <c r="BO455">
        <v>0</v>
      </c>
      <c r="BP455">
        <v>0</v>
      </c>
      <c r="BW455" t="str">
        <f t="shared" si="220"/>
        <v>14:41:45.973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343</v>
      </c>
      <c r="CR455">
        <v>1</v>
      </c>
      <c r="CW455">
        <v>10554697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217"/>
        <v>05/12/2020 14:41:28.162</v>
      </c>
      <c r="C456" t="str">
        <f t="shared" si="195"/>
        <v>FFDFD3C0</v>
      </c>
      <c r="D456" t="s">
        <v>126</v>
      </c>
      <c r="E456">
        <v>7</v>
      </c>
      <c r="F456">
        <v>1007</v>
      </c>
      <c r="G456" t="s">
        <v>127</v>
      </c>
      <c r="J456" t="s">
        <v>128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18"/>
        <v>14:41:45.969</v>
      </c>
      <c r="T456" t="str">
        <f t="shared" si="219"/>
        <v>14:41:45.769</v>
      </c>
      <c r="U456" t="str">
        <f t="shared" si="216"/>
        <v>A9808D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233</v>
      </c>
      <c r="AJ456">
        <v>28.247824000000001</v>
      </c>
      <c r="AK456" t="s">
        <v>234</v>
      </c>
      <c r="AL456">
        <v>-82.382097000000002</v>
      </c>
      <c r="AM456">
        <v>100</v>
      </c>
      <c r="AN456">
        <v>600</v>
      </c>
      <c r="AO456" t="s">
        <v>118</v>
      </c>
      <c r="AP456">
        <v>12</v>
      </c>
      <c r="AQ456">
        <v>86</v>
      </c>
      <c r="AR456">
        <v>448</v>
      </c>
      <c r="AZ456">
        <v>1200</v>
      </c>
      <c r="BA456">
        <v>1</v>
      </c>
      <c r="BB456" t="str">
        <f t="shared" si="196"/>
        <v xml:space="preserve">N711JA  </v>
      </c>
      <c r="BC456">
        <v>1</v>
      </c>
      <c r="BE456">
        <v>0</v>
      </c>
      <c r="BF456">
        <v>0</v>
      </c>
      <c r="BG456">
        <v>0</v>
      </c>
      <c r="BH456">
        <v>650</v>
      </c>
      <c r="BI456">
        <v>1</v>
      </c>
      <c r="BJ456">
        <v>1</v>
      </c>
      <c r="BK456">
        <v>0</v>
      </c>
      <c r="BL456">
        <v>0</v>
      </c>
      <c r="BO456">
        <v>0</v>
      </c>
      <c r="BP456">
        <v>0</v>
      </c>
      <c r="BW456" t="str">
        <f t="shared" si="220"/>
        <v>14:41:45.973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343</v>
      </c>
      <c r="CR456">
        <v>1</v>
      </c>
      <c r="CW456">
        <v>10554697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si="217"/>
        <v>05/12/2020 14:41:28.162</v>
      </c>
      <c r="C457" t="str">
        <f t="shared" si="195"/>
        <v>FFDFD3C0</v>
      </c>
      <c r="D457" t="s">
        <v>131</v>
      </c>
      <c r="E457">
        <v>10</v>
      </c>
      <c r="F457">
        <v>2010</v>
      </c>
      <c r="G457" t="s">
        <v>132</v>
      </c>
      <c r="J457" t="s">
        <v>133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18"/>
        <v>14:41:45.969</v>
      </c>
      <c r="T457" t="str">
        <f t="shared" si="219"/>
        <v>14:41:45.769</v>
      </c>
      <c r="U457" t="str">
        <f t="shared" si="216"/>
        <v>A9808D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233</v>
      </c>
      <c r="AJ457">
        <v>28.247824000000001</v>
      </c>
      <c r="AK457" t="s">
        <v>234</v>
      </c>
      <c r="AL457">
        <v>-82.382097000000002</v>
      </c>
      <c r="AM457">
        <v>100</v>
      </c>
      <c r="AN457">
        <v>600</v>
      </c>
      <c r="AO457" t="s">
        <v>118</v>
      </c>
      <c r="AP457">
        <v>12</v>
      </c>
      <c r="AQ457">
        <v>86</v>
      </c>
      <c r="AR457">
        <v>448</v>
      </c>
      <c r="AZ457">
        <v>1200</v>
      </c>
      <c r="BA457">
        <v>1</v>
      </c>
      <c r="BB457" t="str">
        <f t="shared" si="196"/>
        <v xml:space="preserve">N711JA  </v>
      </c>
      <c r="BC457">
        <v>1</v>
      </c>
      <c r="BE457">
        <v>0</v>
      </c>
      <c r="BF457">
        <v>0</v>
      </c>
      <c r="BG457">
        <v>0</v>
      </c>
      <c r="BH457">
        <v>650</v>
      </c>
      <c r="BI457">
        <v>1</v>
      </c>
      <c r="BJ457">
        <v>1</v>
      </c>
      <c r="BK457">
        <v>0</v>
      </c>
      <c r="BL457">
        <v>0</v>
      </c>
      <c r="BO457">
        <v>0</v>
      </c>
      <c r="BP457">
        <v>0</v>
      </c>
      <c r="BW457" t="str">
        <f t="shared" si="220"/>
        <v>14:41:45.973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343</v>
      </c>
      <c r="CR457">
        <v>1</v>
      </c>
      <c r="CW457">
        <v>10554697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si="217"/>
        <v>05/12/2020 14:41:28.162</v>
      </c>
      <c r="C458" t="str">
        <f t="shared" si="195"/>
        <v>FFDFD3C0</v>
      </c>
      <c r="D458" t="s">
        <v>131</v>
      </c>
      <c r="E458">
        <v>18</v>
      </c>
      <c r="F458">
        <v>2018</v>
      </c>
      <c r="G458" t="s">
        <v>161</v>
      </c>
      <c r="J458" t="s">
        <v>133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18"/>
        <v>14:41:45.969</v>
      </c>
      <c r="T458" t="str">
        <f t="shared" si="219"/>
        <v>14:41:45.769</v>
      </c>
      <c r="U458" t="str">
        <f t="shared" si="216"/>
        <v>A9808D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233</v>
      </c>
      <c r="AJ458">
        <v>28.247824000000001</v>
      </c>
      <c r="AK458" t="s">
        <v>234</v>
      </c>
      <c r="AL458">
        <v>-82.382097000000002</v>
      </c>
      <c r="AM458">
        <v>100</v>
      </c>
      <c r="AN458">
        <v>600</v>
      </c>
      <c r="AO458" t="s">
        <v>118</v>
      </c>
      <c r="AP458">
        <v>12</v>
      </c>
      <c r="AQ458">
        <v>86</v>
      </c>
      <c r="AR458">
        <v>448</v>
      </c>
      <c r="AZ458">
        <v>1200</v>
      </c>
      <c r="BA458">
        <v>1</v>
      </c>
      <c r="BB458" t="str">
        <f t="shared" si="196"/>
        <v xml:space="preserve">N711JA  </v>
      </c>
      <c r="BC458">
        <v>1</v>
      </c>
      <c r="BE458">
        <v>0</v>
      </c>
      <c r="BF458">
        <v>0</v>
      </c>
      <c r="BG458">
        <v>0</v>
      </c>
      <c r="BH458">
        <v>650</v>
      </c>
      <c r="BI458">
        <v>1</v>
      </c>
      <c r="BJ458">
        <v>1</v>
      </c>
      <c r="BK458">
        <v>0</v>
      </c>
      <c r="BL458">
        <v>0</v>
      </c>
      <c r="BO458">
        <v>0</v>
      </c>
      <c r="BP458">
        <v>0</v>
      </c>
      <c r="BW458" t="str">
        <f t="shared" si="220"/>
        <v>14:41:45.973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343</v>
      </c>
      <c r="CR458">
        <v>1</v>
      </c>
      <c r="CW458">
        <v>10554697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 t="shared" si="217"/>
        <v>05/12/2020 14:41:28.162</v>
      </c>
      <c r="C459" t="str">
        <f t="shared" si="195"/>
        <v>FFDFD3C0</v>
      </c>
      <c r="D459" t="s">
        <v>131</v>
      </c>
      <c r="E459">
        <v>12</v>
      </c>
      <c r="F459">
        <v>2012</v>
      </c>
      <c r="G459" t="s">
        <v>137</v>
      </c>
      <c r="J459" t="s">
        <v>133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18"/>
        <v>14:41:45.969</v>
      </c>
      <c r="T459" t="str">
        <f t="shared" si="219"/>
        <v>14:41:45.769</v>
      </c>
      <c r="U459" t="str">
        <f t="shared" si="216"/>
        <v>A9808D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233</v>
      </c>
      <c r="AJ459">
        <v>28.247824000000001</v>
      </c>
      <c r="AK459" t="s">
        <v>234</v>
      </c>
      <c r="AL459">
        <v>-82.382097000000002</v>
      </c>
      <c r="AM459">
        <v>100</v>
      </c>
      <c r="AN459">
        <v>600</v>
      </c>
      <c r="AO459" t="s">
        <v>118</v>
      </c>
      <c r="AP459">
        <v>12</v>
      </c>
      <c r="AQ459">
        <v>86</v>
      </c>
      <c r="AR459">
        <v>448</v>
      </c>
      <c r="AZ459">
        <v>1200</v>
      </c>
      <c r="BA459">
        <v>1</v>
      </c>
      <c r="BB459" t="str">
        <f t="shared" si="196"/>
        <v xml:space="preserve">N711JA  </v>
      </c>
      <c r="BC459">
        <v>1</v>
      </c>
      <c r="BE459">
        <v>0</v>
      </c>
      <c r="BF459">
        <v>0</v>
      </c>
      <c r="BG459">
        <v>0</v>
      </c>
      <c r="BH459">
        <v>650</v>
      </c>
      <c r="BI459">
        <v>1</v>
      </c>
      <c r="BJ459">
        <v>1</v>
      </c>
      <c r="BK459">
        <v>0</v>
      </c>
      <c r="BL459">
        <v>0</v>
      </c>
      <c r="BO459">
        <v>0</v>
      </c>
      <c r="BP459">
        <v>0</v>
      </c>
      <c r="BW459" t="str">
        <f t="shared" si="220"/>
        <v>14:41:45.973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343</v>
      </c>
      <c r="CR459">
        <v>1</v>
      </c>
      <c r="CW459">
        <v>10554697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 t="shared" si="217"/>
        <v>05/12/2020 14:41:28.162</v>
      </c>
      <c r="C460" t="str">
        <f t="shared" si="195"/>
        <v>FFDFD3C0</v>
      </c>
      <c r="D460" t="s">
        <v>134</v>
      </c>
      <c r="E460">
        <v>12</v>
      </c>
      <c r="H460">
        <v>64</v>
      </c>
      <c r="I460" t="s">
        <v>135</v>
      </c>
      <c r="J460" t="s">
        <v>136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18"/>
        <v>14:41:45.969</v>
      </c>
      <c r="T460" t="str">
        <f t="shared" si="219"/>
        <v>14:41:45.769</v>
      </c>
      <c r="U460" t="str">
        <f t="shared" si="216"/>
        <v>A9808D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233</v>
      </c>
      <c r="AJ460">
        <v>28.247824000000001</v>
      </c>
      <c r="AK460" t="s">
        <v>234</v>
      </c>
      <c r="AL460">
        <v>-82.382097000000002</v>
      </c>
      <c r="AM460">
        <v>100</v>
      </c>
      <c r="AN460">
        <v>600</v>
      </c>
      <c r="AO460" t="s">
        <v>118</v>
      </c>
      <c r="AP460">
        <v>12</v>
      </c>
      <c r="AQ460">
        <v>86</v>
      </c>
      <c r="AR460">
        <v>448</v>
      </c>
      <c r="AZ460">
        <v>1200</v>
      </c>
      <c r="BA460">
        <v>1</v>
      </c>
      <c r="BB460" t="str">
        <f t="shared" si="196"/>
        <v xml:space="preserve">N711JA  </v>
      </c>
      <c r="BC460">
        <v>1</v>
      </c>
      <c r="BE460">
        <v>0</v>
      </c>
      <c r="BF460">
        <v>0</v>
      </c>
      <c r="BG460">
        <v>0</v>
      </c>
      <c r="BH460">
        <v>650</v>
      </c>
      <c r="BI460">
        <v>1</v>
      </c>
      <c r="BJ460">
        <v>1</v>
      </c>
      <c r="BK460">
        <v>0</v>
      </c>
      <c r="BL460">
        <v>0</v>
      </c>
      <c r="BO460">
        <v>0</v>
      </c>
      <c r="BP460">
        <v>0</v>
      </c>
      <c r="BW460" t="str">
        <f t="shared" si="220"/>
        <v>14:41:45.973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343</v>
      </c>
      <c r="CR460">
        <v>1</v>
      </c>
      <c r="CW460">
        <v>10554697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 t="shared" ref="A461:A469" si="221">"05/12/2020 14:41:29.216"</f>
        <v>05/12/2020 14:41:29.216</v>
      </c>
      <c r="C461" t="str">
        <f t="shared" si="195"/>
        <v>FFDFD3C0</v>
      </c>
      <c r="D461" t="s">
        <v>134</v>
      </c>
      <c r="E461">
        <v>12</v>
      </c>
      <c r="H461">
        <v>64</v>
      </c>
      <c r="I461" t="s">
        <v>135</v>
      </c>
      <c r="J461" t="s">
        <v>136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ref="S461:S469" si="222">"14:41:47.055"</f>
        <v>14:41:47.055</v>
      </c>
      <c r="T461" t="str">
        <f t="shared" ref="T461:T469" si="223">"14:41:46.855"</f>
        <v>14:41:46.855</v>
      </c>
      <c r="U461" t="str">
        <f t="shared" si="216"/>
        <v>A9808D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235</v>
      </c>
      <c r="AJ461">
        <v>28.248273999999999</v>
      </c>
      <c r="AK461" t="s">
        <v>236</v>
      </c>
      <c r="AL461">
        <v>-82.382011000000006</v>
      </c>
      <c r="AM461">
        <v>100</v>
      </c>
      <c r="AN461">
        <v>600</v>
      </c>
      <c r="AO461" t="s">
        <v>118</v>
      </c>
      <c r="AP461">
        <v>13</v>
      </c>
      <c r="AQ461">
        <v>86</v>
      </c>
      <c r="AR461">
        <v>384</v>
      </c>
      <c r="AZ461">
        <v>1200</v>
      </c>
      <c r="BA461">
        <v>1</v>
      </c>
      <c r="BB461" t="str">
        <f t="shared" si="196"/>
        <v xml:space="preserve">N711JA  </v>
      </c>
      <c r="BC461">
        <v>1</v>
      </c>
      <c r="BE461">
        <v>0</v>
      </c>
      <c r="BF461">
        <v>0</v>
      </c>
      <c r="BG461">
        <v>0</v>
      </c>
      <c r="BH461">
        <v>675</v>
      </c>
      <c r="BI461">
        <v>1</v>
      </c>
      <c r="BJ461">
        <v>1</v>
      </c>
      <c r="BK461">
        <v>0</v>
      </c>
      <c r="BL461">
        <v>0</v>
      </c>
      <c r="BO461">
        <v>0</v>
      </c>
      <c r="BP461">
        <v>0</v>
      </c>
      <c r="BW461" t="str">
        <f t="shared" ref="BW461:BW469" si="224">"14:41:47.055"</f>
        <v>14:41:47.055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343</v>
      </c>
      <c r="CR461">
        <v>2</v>
      </c>
      <c r="CW461">
        <v>12970182</v>
      </c>
      <c r="CY461">
        <v>1</v>
      </c>
      <c r="CZ461">
        <v>0</v>
      </c>
      <c r="DA461">
        <v>0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 t="shared" si="221"/>
        <v>05/12/2020 14:41:29.216</v>
      </c>
      <c r="C462" t="str">
        <f t="shared" si="195"/>
        <v>FFDFD3C0</v>
      </c>
      <c r="D462" t="s">
        <v>126</v>
      </c>
      <c r="E462">
        <v>6</v>
      </c>
      <c r="F462">
        <v>1006</v>
      </c>
      <c r="G462" t="s">
        <v>114</v>
      </c>
      <c r="J462" t="s">
        <v>128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22"/>
        <v>14:41:47.055</v>
      </c>
      <c r="T462" t="str">
        <f t="shared" si="223"/>
        <v>14:41:46.855</v>
      </c>
      <c r="U462" t="str">
        <f t="shared" si="216"/>
        <v>A9808D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235</v>
      </c>
      <c r="AJ462">
        <v>28.248273999999999</v>
      </c>
      <c r="AK462" t="s">
        <v>236</v>
      </c>
      <c r="AL462">
        <v>-82.382011000000006</v>
      </c>
      <c r="AM462">
        <v>100</v>
      </c>
      <c r="AN462">
        <v>600</v>
      </c>
      <c r="AO462" t="s">
        <v>118</v>
      </c>
      <c r="AP462">
        <v>13</v>
      </c>
      <c r="AQ462">
        <v>86</v>
      </c>
      <c r="AR462">
        <v>384</v>
      </c>
      <c r="AZ462">
        <v>1200</v>
      </c>
      <c r="BA462">
        <v>1</v>
      </c>
      <c r="BB462" t="str">
        <f t="shared" si="196"/>
        <v xml:space="preserve">N711JA  </v>
      </c>
      <c r="BC462">
        <v>1</v>
      </c>
      <c r="BE462">
        <v>0</v>
      </c>
      <c r="BF462">
        <v>0</v>
      </c>
      <c r="BG462">
        <v>0</v>
      </c>
      <c r="BH462">
        <v>675</v>
      </c>
      <c r="BI462">
        <v>1</v>
      </c>
      <c r="BJ462">
        <v>1</v>
      </c>
      <c r="BK462">
        <v>0</v>
      </c>
      <c r="BL462">
        <v>0</v>
      </c>
      <c r="BO462">
        <v>0</v>
      </c>
      <c r="BP462">
        <v>0</v>
      </c>
      <c r="BW462" t="str">
        <f t="shared" si="224"/>
        <v>14:41:47.055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343</v>
      </c>
      <c r="CR462">
        <v>2</v>
      </c>
      <c r="CW462">
        <v>12970182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 t="shared" si="221"/>
        <v>05/12/2020 14:41:29.216</v>
      </c>
      <c r="C463" t="str">
        <f t="shared" si="195"/>
        <v>FFDFD3C0</v>
      </c>
      <c r="D463" t="s">
        <v>113</v>
      </c>
      <c r="E463">
        <v>3</v>
      </c>
      <c r="H463">
        <v>164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22"/>
        <v>14:41:47.055</v>
      </c>
      <c r="T463" t="str">
        <f t="shared" si="223"/>
        <v>14:41:46.855</v>
      </c>
      <c r="U463" t="str">
        <f t="shared" si="216"/>
        <v>A9808D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235</v>
      </c>
      <c r="AJ463">
        <v>28.248273999999999</v>
      </c>
      <c r="AK463" t="s">
        <v>236</v>
      </c>
      <c r="AL463">
        <v>-82.382011000000006</v>
      </c>
      <c r="AM463">
        <v>100</v>
      </c>
      <c r="AN463">
        <v>600</v>
      </c>
      <c r="AO463" t="s">
        <v>118</v>
      </c>
      <c r="AP463">
        <v>13</v>
      </c>
      <c r="AQ463">
        <v>86</v>
      </c>
      <c r="AR463">
        <v>384</v>
      </c>
      <c r="AZ463">
        <v>1200</v>
      </c>
      <c r="BA463">
        <v>1</v>
      </c>
      <c r="BB463" t="str">
        <f t="shared" si="196"/>
        <v xml:space="preserve">N711JA  </v>
      </c>
      <c r="BC463">
        <v>1</v>
      </c>
      <c r="BE463">
        <v>0</v>
      </c>
      <c r="BF463">
        <v>0</v>
      </c>
      <c r="BG463">
        <v>0</v>
      </c>
      <c r="BH463">
        <v>675</v>
      </c>
      <c r="BI463">
        <v>1</v>
      </c>
      <c r="BJ463">
        <v>1</v>
      </c>
      <c r="BK463">
        <v>0</v>
      </c>
      <c r="BL463">
        <v>0</v>
      </c>
      <c r="BO463">
        <v>0</v>
      </c>
      <c r="BP463">
        <v>0</v>
      </c>
      <c r="BW463" t="str">
        <f t="shared" si="224"/>
        <v>14:41:47.055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343</v>
      </c>
      <c r="CR463">
        <v>2</v>
      </c>
      <c r="CW463">
        <v>12970182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 t="shared" si="221"/>
        <v>05/12/2020 14:41:29.216</v>
      </c>
      <c r="C464" t="str">
        <f t="shared" si="195"/>
        <v>FFDFD3C0</v>
      </c>
      <c r="D464" t="s">
        <v>138</v>
      </c>
      <c r="E464">
        <v>2</v>
      </c>
      <c r="H464">
        <v>8</v>
      </c>
      <c r="I464" t="s">
        <v>139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22"/>
        <v>14:41:47.055</v>
      </c>
      <c r="T464" t="str">
        <f t="shared" si="223"/>
        <v>14:41:46.855</v>
      </c>
      <c r="U464" t="str">
        <f t="shared" si="216"/>
        <v>A9808D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235</v>
      </c>
      <c r="AJ464">
        <v>28.248273999999999</v>
      </c>
      <c r="AK464" t="s">
        <v>236</v>
      </c>
      <c r="AL464">
        <v>-82.382011000000006</v>
      </c>
      <c r="AM464">
        <v>100</v>
      </c>
      <c r="AN464">
        <v>600</v>
      </c>
      <c r="AO464" t="s">
        <v>118</v>
      </c>
      <c r="AP464">
        <v>13</v>
      </c>
      <c r="AQ464">
        <v>86</v>
      </c>
      <c r="AR464">
        <v>384</v>
      </c>
      <c r="AZ464">
        <v>1200</v>
      </c>
      <c r="BA464">
        <v>1</v>
      </c>
      <c r="BB464" t="str">
        <f t="shared" si="196"/>
        <v xml:space="preserve">N711JA  </v>
      </c>
      <c r="BC464">
        <v>1</v>
      </c>
      <c r="BE464">
        <v>0</v>
      </c>
      <c r="BF464">
        <v>0</v>
      </c>
      <c r="BG464">
        <v>0</v>
      </c>
      <c r="BH464">
        <v>675</v>
      </c>
      <c r="BI464">
        <v>1</v>
      </c>
      <c r="BJ464">
        <v>1</v>
      </c>
      <c r="BK464">
        <v>0</v>
      </c>
      <c r="BL464">
        <v>0</v>
      </c>
      <c r="BO464">
        <v>0</v>
      </c>
      <c r="BP464">
        <v>0</v>
      </c>
      <c r="BW464" t="str">
        <f t="shared" si="224"/>
        <v>14:41:47.055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343</v>
      </c>
      <c r="CR464">
        <v>2</v>
      </c>
      <c r="CW464">
        <v>12970182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 t="shared" si="221"/>
        <v>05/12/2020 14:41:29.216</v>
      </c>
      <c r="C465" t="str">
        <f t="shared" si="195"/>
        <v>FFDFD3C0</v>
      </c>
      <c r="D465" t="s">
        <v>138</v>
      </c>
      <c r="E465">
        <v>3</v>
      </c>
      <c r="H465">
        <v>9</v>
      </c>
      <c r="I465" t="s">
        <v>140</v>
      </c>
      <c r="J465" t="s">
        <v>136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22"/>
        <v>14:41:47.055</v>
      </c>
      <c r="T465" t="str">
        <f t="shared" si="223"/>
        <v>14:41:46.855</v>
      </c>
      <c r="U465" t="str">
        <f t="shared" si="216"/>
        <v>A9808D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235</v>
      </c>
      <c r="AJ465">
        <v>28.248273999999999</v>
      </c>
      <c r="AK465" t="s">
        <v>236</v>
      </c>
      <c r="AL465">
        <v>-82.382011000000006</v>
      </c>
      <c r="AM465">
        <v>100</v>
      </c>
      <c r="AN465">
        <v>600</v>
      </c>
      <c r="AO465" t="s">
        <v>118</v>
      </c>
      <c r="AP465">
        <v>13</v>
      </c>
      <c r="AQ465">
        <v>86</v>
      </c>
      <c r="AR465">
        <v>384</v>
      </c>
      <c r="AZ465">
        <v>1200</v>
      </c>
      <c r="BA465">
        <v>1</v>
      </c>
      <c r="BB465" t="str">
        <f t="shared" si="196"/>
        <v xml:space="preserve">N711JA  </v>
      </c>
      <c r="BC465">
        <v>1</v>
      </c>
      <c r="BE465">
        <v>0</v>
      </c>
      <c r="BF465">
        <v>0</v>
      </c>
      <c r="BG465">
        <v>0</v>
      </c>
      <c r="BH465">
        <v>675</v>
      </c>
      <c r="BI465">
        <v>1</v>
      </c>
      <c r="BJ465">
        <v>1</v>
      </c>
      <c r="BK465">
        <v>0</v>
      </c>
      <c r="BL465">
        <v>0</v>
      </c>
      <c r="BO465">
        <v>0</v>
      </c>
      <c r="BP465">
        <v>0</v>
      </c>
      <c r="BW465" t="str">
        <f t="shared" si="224"/>
        <v>14:41:47.055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343</v>
      </c>
      <c r="CR465">
        <v>2</v>
      </c>
      <c r="CW465">
        <v>12970182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 t="shared" si="221"/>
        <v>05/12/2020 14:41:29.216</v>
      </c>
      <c r="C466" t="str">
        <f t="shared" si="195"/>
        <v>FFDFD3C0</v>
      </c>
      <c r="D466" t="s">
        <v>126</v>
      </c>
      <c r="E466">
        <v>7</v>
      </c>
      <c r="F466">
        <v>1007</v>
      </c>
      <c r="G466" t="s">
        <v>127</v>
      </c>
      <c r="J466" t="s">
        <v>128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22"/>
        <v>14:41:47.055</v>
      </c>
      <c r="T466" t="str">
        <f t="shared" si="223"/>
        <v>14:41:46.855</v>
      </c>
      <c r="U466" t="str">
        <f t="shared" si="216"/>
        <v>A9808D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235</v>
      </c>
      <c r="AJ466">
        <v>28.248273999999999</v>
      </c>
      <c r="AK466" t="s">
        <v>236</v>
      </c>
      <c r="AL466">
        <v>-82.382011000000006</v>
      </c>
      <c r="AM466">
        <v>100</v>
      </c>
      <c r="AN466">
        <v>600</v>
      </c>
      <c r="AO466" t="s">
        <v>118</v>
      </c>
      <c r="AP466">
        <v>13</v>
      </c>
      <c r="AQ466">
        <v>86</v>
      </c>
      <c r="AR466">
        <v>384</v>
      </c>
      <c r="AZ466">
        <v>1200</v>
      </c>
      <c r="BA466">
        <v>1</v>
      </c>
      <c r="BB466" t="str">
        <f t="shared" si="196"/>
        <v xml:space="preserve">N711JA  </v>
      </c>
      <c r="BC466">
        <v>1</v>
      </c>
      <c r="BE466">
        <v>0</v>
      </c>
      <c r="BF466">
        <v>0</v>
      </c>
      <c r="BG466">
        <v>0</v>
      </c>
      <c r="BH466">
        <v>675</v>
      </c>
      <c r="BI466">
        <v>1</v>
      </c>
      <c r="BJ466">
        <v>1</v>
      </c>
      <c r="BK466">
        <v>0</v>
      </c>
      <c r="BL466">
        <v>0</v>
      </c>
      <c r="BO466">
        <v>0</v>
      </c>
      <c r="BP466">
        <v>0</v>
      </c>
      <c r="BW466" t="str">
        <f t="shared" si="224"/>
        <v>14:41:47.055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343</v>
      </c>
      <c r="CR466">
        <v>2</v>
      </c>
      <c r="CW466">
        <v>12970182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 t="shared" si="221"/>
        <v>05/12/2020 14:41:29.216</v>
      </c>
      <c r="C467" t="str">
        <f t="shared" si="195"/>
        <v>FFDFD3C0</v>
      </c>
      <c r="D467" t="s">
        <v>131</v>
      </c>
      <c r="E467">
        <v>10</v>
      </c>
      <c r="F467">
        <v>2010</v>
      </c>
      <c r="G467" t="s">
        <v>132</v>
      </c>
      <c r="J467" t="s">
        <v>133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22"/>
        <v>14:41:47.055</v>
      </c>
      <c r="T467" t="str">
        <f t="shared" si="223"/>
        <v>14:41:46.855</v>
      </c>
      <c r="U467" t="str">
        <f t="shared" si="216"/>
        <v>A9808D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235</v>
      </c>
      <c r="AJ467">
        <v>28.248273999999999</v>
      </c>
      <c r="AK467" t="s">
        <v>236</v>
      </c>
      <c r="AL467">
        <v>-82.382011000000006</v>
      </c>
      <c r="AM467">
        <v>100</v>
      </c>
      <c r="AN467">
        <v>600</v>
      </c>
      <c r="AO467" t="s">
        <v>118</v>
      </c>
      <c r="AP467">
        <v>13</v>
      </c>
      <c r="AQ467">
        <v>86</v>
      </c>
      <c r="AR467">
        <v>384</v>
      </c>
      <c r="AZ467">
        <v>1200</v>
      </c>
      <c r="BA467">
        <v>1</v>
      </c>
      <c r="BB467" t="str">
        <f t="shared" si="196"/>
        <v xml:space="preserve">N711JA  </v>
      </c>
      <c r="BC467">
        <v>1</v>
      </c>
      <c r="BE467">
        <v>0</v>
      </c>
      <c r="BF467">
        <v>0</v>
      </c>
      <c r="BG467">
        <v>0</v>
      </c>
      <c r="BH467">
        <v>675</v>
      </c>
      <c r="BI467">
        <v>1</v>
      </c>
      <c r="BJ467">
        <v>1</v>
      </c>
      <c r="BK467">
        <v>0</v>
      </c>
      <c r="BL467">
        <v>0</v>
      </c>
      <c r="BO467">
        <v>0</v>
      </c>
      <c r="BP467">
        <v>0</v>
      </c>
      <c r="BW467" t="str">
        <f t="shared" si="224"/>
        <v>14:41:47.055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343</v>
      </c>
      <c r="CR467">
        <v>2</v>
      </c>
      <c r="CW467">
        <v>12970182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 t="shared" si="221"/>
        <v>05/12/2020 14:41:29.216</v>
      </c>
      <c r="C468" t="str">
        <f t="shared" si="195"/>
        <v>FFDFD3C0</v>
      </c>
      <c r="D468" t="s">
        <v>131</v>
      </c>
      <c r="E468">
        <v>12</v>
      </c>
      <c r="F468">
        <v>2012</v>
      </c>
      <c r="G468" t="s">
        <v>137</v>
      </c>
      <c r="J468" t="s">
        <v>133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22"/>
        <v>14:41:47.055</v>
      </c>
      <c r="T468" t="str">
        <f t="shared" si="223"/>
        <v>14:41:46.855</v>
      </c>
      <c r="U468" t="str">
        <f t="shared" si="216"/>
        <v>A9808D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235</v>
      </c>
      <c r="AJ468">
        <v>28.248273999999999</v>
      </c>
      <c r="AK468" t="s">
        <v>236</v>
      </c>
      <c r="AL468">
        <v>-82.382011000000006</v>
      </c>
      <c r="AM468">
        <v>100</v>
      </c>
      <c r="AN468">
        <v>600</v>
      </c>
      <c r="AO468" t="s">
        <v>118</v>
      </c>
      <c r="AP468">
        <v>13</v>
      </c>
      <c r="AQ468">
        <v>86</v>
      </c>
      <c r="AR468">
        <v>384</v>
      </c>
      <c r="AZ468">
        <v>1200</v>
      </c>
      <c r="BA468">
        <v>1</v>
      </c>
      <c r="BB468" t="str">
        <f t="shared" si="196"/>
        <v xml:space="preserve">N711JA  </v>
      </c>
      <c r="BC468">
        <v>1</v>
      </c>
      <c r="BE468">
        <v>0</v>
      </c>
      <c r="BF468">
        <v>0</v>
      </c>
      <c r="BG468">
        <v>0</v>
      </c>
      <c r="BH468">
        <v>675</v>
      </c>
      <c r="BI468">
        <v>1</v>
      </c>
      <c r="BJ468">
        <v>1</v>
      </c>
      <c r="BK468">
        <v>0</v>
      </c>
      <c r="BL468">
        <v>0</v>
      </c>
      <c r="BO468">
        <v>0</v>
      </c>
      <c r="BP468">
        <v>0</v>
      </c>
      <c r="BW468" t="str">
        <f t="shared" si="224"/>
        <v>14:41:47.055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343</v>
      </c>
      <c r="CR468">
        <v>2</v>
      </c>
      <c r="CW468">
        <v>12970182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si="221"/>
        <v>05/12/2020 14:41:29.216</v>
      </c>
      <c r="C469" t="str">
        <f t="shared" si="195"/>
        <v>FFDFD3C0</v>
      </c>
      <c r="D469" t="s">
        <v>131</v>
      </c>
      <c r="E469">
        <v>18</v>
      </c>
      <c r="F469">
        <v>2018</v>
      </c>
      <c r="G469" t="s">
        <v>161</v>
      </c>
      <c r="J469" t="s">
        <v>133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22"/>
        <v>14:41:47.055</v>
      </c>
      <c r="T469" t="str">
        <f t="shared" si="223"/>
        <v>14:41:46.855</v>
      </c>
      <c r="U469" t="str">
        <f t="shared" si="216"/>
        <v>A9808D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235</v>
      </c>
      <c r="AJ469">
        <v>28.248273999999999</v>
      </c>
      <c r="AK469" t="s">
        <v>236</v>
      </c>
      <c r="AL469">
        <v>-82.382011000000006</v>
      </c>
      <c r="AM469">
        <v>100</v>
      </c>
      <c r="AN469">
        <v>600</v>
      </c>
      <c r="AO469" t="s">
        <v>118</v>
      </c>
      <c r="AP469">
        <v>13</v>
      </c>
      <c r="AQ469">
        <v>86</v>
      </c>
      <c r="AR469">
        <v>384</v>
      </c>
      <c r="AZ469">
        <v>1200</v>
      </c>
      <c r="BA469">
        <v>1</v>
      </c>
      <c r="BB469" t="str">
        <f t="shared" si="196"/>
        <v xml:space="preserve">N711JA  </v>
      </c>
      <c r="BC469">
        <v>1</v>
      </c>
      <c r="BE469">
        <v>0</v>
      </c>
      <c r="BF469">
        <v>0</v>
      </c>
      <c r="BG469">
        <v>0</v>
      </c>
      <c r="BH469">
        <v>675</v>
      </c>
      <c r="BI469">
        <v>1</v>
      </c>
      <c r="BJ469">
        <v>1</v>
      </c>
      <c r="BK469">
        <v>0</v>
      </c>
      <c r="BL469">
        <v>0</v>
      </c>
      <c r="BO469">
        <v>0</v>
      </c>
      <c r="BP469">
        <v>0</v>
      </c>
      <c r="BW469" t="str">
        <f t="shared" si="224"/>
        <v>14:41:47.055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343</v>
      </c>
      <c r="CR469">
        <v>2</v>
      </c>
      <c r="CW469">
        <v>12970182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ref="A470:A478" si="225">"05/12/2020 14:41:30.225"</f>
        <v>05/12/2020 14:41:30.225</v>
      </c>
      <c r="C470" t="str">
        <f t="shared" ref="C470:C533" si="226">"FFDFD3C0"</f>
        <v>FFDFD3C0</v>
      </c>
      <c r="D470" t="s">
        <v>126</v>
      </c>
      <c r="E470">
        <v>6</v>
      </c>
      <c r="F470">
        <v>1006</v>
      </c>
      <c r="G470" t="s">
        <v>114</v>
      </c>
      <c r="J470" t="s">
        <v>128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ref="S470:S478" si="227">"14:41:48.055"</f>
        <v>14:41:48.055</v>
      </c>
      <c r="T470" t="str">
        <f t="shared" ref="T470:T478" si="228">"14:41:47.955"</f>
        <v>14:41:47.955</v>
      </c>
      <c r="U470" t="str">
        <f t="shared" si="216"/>
        <v>A9808D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237</v>
      </c>
      <c r="AJ470">
        <v>28.248639000000001</v>
      </c>
      <c r="AK470" t="s">
        <v>238</v>
      </c>
      <c r="AL470">
        <v>-82.381904000000006</v>
      </c>
      <c r="AM470">
        <v>100</v>
      </c>
      <c r="AN470">
        <v>600</v>
      </c>
      <c r="AO470" t="s">
        <v>118</v>
      </c>
      <c r="AP470">
        <v>13</v>
      </c>
      <c r="AQ470">
        <v>86</v>
      </c>
      <c r="AR470">
        <v>384</v>
      </c>
      <c r="AZ470">
        <v>1200</v>
      </c>
      <c r="BA470">
        <v>1</v>
      </c>
      <c r="BB470" t="str">
        <f t="shared" ref="BB470:BB533" si="229">"N711JA  "</f>
        <v xml:space="preserve">N711JA  </v>
      </c>
      <c r="BC470">
        <v>1</v>
      </c>
      <c r="BE470">
        <v>0</v>
      </c>
      <c r="BF470">
        <v>0</v>
      </c>
      <c r="BG470">
        <v>0</v>
      </c>
      <c r="BH470">
        <v>675</v>
      </c>
      <c r="BI470">
        <v>1</v>
      </c>
      <c r="BJ470">
        <v>1</v>
      </c>
      <c r="BK470">
        <v>0</v>
      </c>
      <c r="BL470">
        <v>0</v>
      </c>
      <c r="BO470">
        <v>0</v>
      </c>
      <c r="BP470">
        <v>0</v>
      </c>
      <c r="BW470" t="str">
        <f t="shared" ref="BW470:BW478" si="230">"14:41:48.059"</f>
        <v>14:41:48.059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343</v>
      </c>
      <c r="CR470">
        <v>2</v>
      </c>
      <c r="CW470">
        <v>12971027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225"/>
        <v>05/12/2020 14:41:30.225</v>
      </c>
      <c r="C471" t="str">
        <f t="shared" si="226"/>
        <v>FFDFD3C0</v>
      </c>
      <c r="D471" t="s">
        <v>134</v>
      </c>
      <c r="E471">
        <v>12</v>
      </c>
      <c r="H471">
        <v>64</v>
      </c>
      <c r="I471" t="s">
        <v>135</v>
      </c>
      <c r="J471" t="s">
        <v>136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27"/>
        <v>14:41:48.055</v>
      </c>
      <c r="T471" t="str">
        <f t="shared" si="228"/>
        <v>14:41:47.955</v>
      </c>
      <c r="U471" t="str">
        <f t="shared" si="216"/>
        <v>A9808D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237</v>
      </c>
      <c r="AJ471">
        <v>28.248639000000001</v>
      </c>
      <c r="AK471" t="s">
        <v>238</v>
      </c>
      <c r="AL471">
        <v>-82.381904000000006</v>
      </c>
      <c r="AM471">
        <v>100</v>
      </c>
      <c r="AN471">
        <v>600</v>
      </c>
      <c r="AO471" t="s">
        <v>118</v>
      </c>
      <c r="AP471">
        <v>13</v>
      </c>
      <c r="AQ471">
        <v>86</v>
      </c>
      <c r="AR471">
        <v>384</v>
      </c>
      <c r="AZ471">
        <v>1200</v>
      </c>
      <c r="BA471">
        <v>1</v>
      </c>
      <c r="BB471" t="str">
        <f t="shared" si="229"/>
        <v xml:space="preserve">N711JA  </v>
      </c>
      <c r="BC471">
        <v>1</v>
      </c>
      <c r="BE471">
        <v>0</v>
      </c>
      <c r="BF471">
        <v>0</v>
      </c>
      <c r="BG471">
        <v>0</v>
      </c>
      <c r="BH471">
        <v>675</v>
      </c>
      <c r="BI471">
        <v>1</v>
      </c>
      <c r="BJ471">
        <v>1</v>
      </c>
      <c r="BK471">
        <v>0</v>
      </c>
      <c r="BL471">
        <v>0</v>
      </c>
      <c r="BO471">
        <v>0</v>
      </c>
      <c r="BP471">
        <v>0</v>
      </c>
      <c r="BW471" t="str">
        <f t="shared" si="230"/>
        <v>14:41:48.059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343</v>
      </c>
      <c r="CR471">
        <v>2</v>
      </c>
      <c r="CW471">
        <v>12971027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si="225"/>
        <v>05/12/2020 14:41:30.225</v>
      </c>
      <c r="C472" t="str">
        <f t="shared" si="226"/>
        <v>FFDFD3C0</v>
      </c>
      <c r="D472" t="s">
        <v>138</v>
      </c>
      <c r="E472">
        <v>3</v>
      </c>
      <c r="H472">
        <v>9</v>
      </c>
      <c r="I472" t="s">
        <v>140</v>
      </c>
      <c r="J472" t="s">
        <v>136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27"/>
        <v>14:41:48.055</v>
      </c>
      <c r="T472" t="str">
        <f t="shared" si="228"/>
        <v>14:41:47.955</v>
      </c>
      <c r="U472" t="str">
        <f t="shared" si="216"/>
        <v>A9808D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237</v>
      </c>
      <c r="AJ472">
        <v>28.248639000000001</v>
      </c>
      <c r="AK472" t="s">
        <v>238</v>
      </c>
      <c r="AL472">
        <v>-82.381904000000006</v>
      </c>
      <c r="AM472">
        <v>100</v>
      </c>
      <c r="AN472">
        <v>600</v>
      </c>
      <c r="AO472" t="s">
        <v>118</v>
      </c>
      <c r="AP472">
        <v>13</v>
      </c>
      <c r="AQ472">
        <v>86</v>
      </c>
      <c r="AR472">
        <v>384</v>
      </c>
      <c r="AZ472">
        <v>1200</v>
      </c>
      <c r="BA472">
        <v>1</v>
      </c>
      <c r="BB472" t="str">
        <f t="shared" si="229"/>
        <v xml:space="preserve">N711JA  </v>
      </c>
      <c r="BC472">
        <v>1</v>
      </c>
      <c r="BE472">
        <v>0</v>
      </c>
      <c r="BF472">
        <v>0</v>
      </c>
      <c r="BG472">
        <v>0</v>
      </c>
      <c r="BH472">
        <v>675</v>
      </c>
      <c r="BI472">
        <v>1</v>
      </c>
      <c r="BJ472">
        <v>1</v>
      </c>
      <c r="BK472">
        <v>0</v>
      </c>
      <c r="BL472">
        <v>0</v>
      </c>
      <c r="BO472">
        <v>0</v>
      </c>
      <c r="BP472">
        <v>0</v>
      </c>
      <c r="BW472" t="str">
        <f t="shared" si="230"/>
        <v>14:41:48.059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343</v>
      </c>
      <c r="CR472">
        <v>2</v>
      </c>
      <c r="CW472">
        <v>12971027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si="225"/>
        <v>05/12/2020 14:41:30.225</v>
      </c>
      <c r="C473" t="str">
        <f t="shared" si="226"/>
        <v>FFDFD3C0</v>
      </c>
      <c r="D473" t="s">
        <v>138</v>
      </c>
      <c r="E473">
        <v>2</v>
      </c>
      <c r="H473">
        <v>8</v>
      </c>
      <c r="I473" t="s">
        <v>139</v>
      </c>
      <c r="J473" t="s">
        <v>136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227"/>
        <v>14:41:48.055</v>
      </c>
      <c r="T473" t="str">
        <f t="shared" si="228"/>
        <v>14:41:47.955</v>
      </c>
      <c r="U473" t="str">
        <f t="shared" si="216"/>
        <v>A9808D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237</v>
      </c>
      <c r="AJ473">
        <v>28.248639000000001</v>
      </c>
      <c r="AK473" t="s">
        <v>238</v>
      </c>
      <c r="AL473">
        <v>-82.381904000000006</v>
      </c>
      <c r="AM473">
        <v>100</v>
      </c>
      <c r="AN473">
        <v>600</v>
      </c>
      <c r="AO473" t="s">
        <v>118</v>
      </c>
      <c r="AP473">
        <v>13</v>
      </c>
      <c r="AQ473">
        <v>86</v>
      </c>
      <c r="AR473">
        <v>384</v>
      </c>
      <c r="AZ473">
        <v>1200</v>
      </c>
      <c r="BA473">
        <v>1</v>
      </c>
      <c r="BB473" t="str">
        <f t="shared" si="229"/>
        <v xml:space="preserve">N711JA  </v>
      </c>
      <c r="BC473">
        <v>1</v>
      </c>
      <c r="BE473">
        <v>0</v>
      </c>
      <c r="BF473">
        <v>0</v>
      </c>
      <c r="BG473">
        <v>0</v>
      </c>
      <c r="BH473">
        <v>675</v>
      </c>
      <c r="BI473">
        <v>1</v>
      </c>
      <c r="BJ473">
        <v>1</v>
      </c>
      <c r="BK473">
        <v>0</v>
      </c>
      <c r="BL473">
        <v>0</v>
      </c>
      <c r="BO473">
        <v>0</v>
      </c>
      <c r="BP473">
        <v>0</v>
      </c>
      <c r="BW473" t="str">
        <f t="shared" si="230"/>
        <v>14:41:48.059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343</v>
      </c>
      <c r="CR473">
        <v>2</v>
      </c>
      <c r="CW473">
        <v>12971027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225"/>
        <v>05/12/2020 14:41:30.225</v>
      </c>
      <c r="C474" t="str">
        <f t="shared" si="226"/>
        <v>FFDFD3C0</v>
      </c>
      <c r="D474" t="s">
        <v>113</v>
      </c>
      <c r="E474">
        <v>3</v>
      </c>
      <c r="H474">
        <v>164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27"/>
        <v>14:41:48.055</v>
      </c>
      <c r="T474" t="str">
        <f t="shared" si="228"/>
        <v>14:41:47.955</v>
      </c>
      <c r="U474" t="str">
        <f t="shared" si="216"/>
        <v>A9808D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237</v>
      </c>
      <c r="AJ474">
        <v>28.248639000000001</v>
      </c>
      <c r="AK474" t="s">
        <v>238</v>
      </c>
      <c r="AL474">
        <v>-82.381904000000006</v>
      </c>
      <c r="AM474">
        <v>100</v>
      </c>
      <c r="AN474">
        <v>600</v>
      </c>
      <c r="AO474" t="s">
        <v>118</v>
      </c>
      <c r="AP474">
        <v>13</v>
      </c>
      <c r="AQ474">
        <v>86</v>
      </c>
      <c r="AR474">
        <v>384</v>
      </c>
      <c r="AZ474">
        <v>1200</v>
      </c>
      <c r="BA474">
        <v>1</v>
      </c>
      <c r="BB474" t="str">
        <f t="shared" si="229"/>
        <v xml:space="preserve">N711JA  </v>
      </c>
      <c r="BC474">
        <v>1</v>
      </c>
      <c r="BE474">
        <v>0</v>
      </c>
      <c r="BF474">
        <v>0</v>
      </c>
      <c r="BG474">
        <v>0</v>
      </c>
      <c r="BH474">
        <v>675</v>
      </c>
      <c r="BI474">
        <v>1</v>
      </c>
      <c r="BJ474">
        <v>1</v>
      </c>
      <c r="BK474">
        <v>0</v>
      </c>
      <c r="BL474">
        <v>0</v>
      </c>
      <c r="BO474">
        <v>0</v>
      </c>
      <c r="BP474">
        <v>0</v>
      </c>
      <c r="BW474" t="str">
        <f t="shared" si="230"/>
        <v>14:41:48.059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343</v>
      </c>
      <c r="CR474">
        <v>2</v>
      </c>
      <c r="CW474">
        <v>12971027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si="225"/>
        <v>05/12/2020 14:41:30.225</v>
      </c>
      <c r="C475" t="str">
        <f t="shared" si="226"/>
        <v>FFDFD3C0</v>
      </c>
      <c r="D475" t="s">
        <v>126</v>
      </c>
      <c r="E475">
        <v>7</v>
      </c>
      <c r="F475">
        <v>1007</v>
      </c>
      <c r="G475" t="s">
        <v>127</v>
      </c>
      <c r="J475" t="s">
        <v>128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27"/>
        <v>14:41:48.055</v>
      </c>
      <c r="T475" t="str">
        <f t="shared" si="228"/>
        <v>14:41:47.955</v>
      </c>
      <c r="U475" t="str">
        <f t="shared" si="216"/>
        <v>A9808D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237</v>
      </c>
      <c r="AJ475">
        <v>28.248639000000001</v>
      </c>
      <c r="AK475" t="s">
        <v>238</v>
      </c>
      <c r="AL475">
        <v>-82.381904000000006</v>
      </c>
      <c r="AM475">
        <v>100</v>
      </c>
      <c r="AN475">
        <v>600</v>
      </c>
      <c r="AO475" t="s">
        <v>118</v>
      </c>
      <c r="AP475">
        <v>13</v>
      </c>
      <c r="AQ475">
        <v>86</v>
      </c>
      <c r="AR475">
        <v>384</v>
      </c>
      <c r="AZ475">
        <v>1200</v>
      </c>
      <c r="BA475">
        <v>1</v>
      </c>
      <c r="BB475" t="str">
        <f t="shared" si="229"/>
        <v xml:space="preserve">N711JA  </v>
      </c>
      <c r="BC475">
        <v>1</v>
      </c>
      <c r="BE475">
        <v>0</v>
      </c>
      <c r="BF475">
        <v>0</v>
      </c>
      <c r="BG475">
        <v>0</v>
      </c>
      <c r="BH475">
        <v>675</v>
      </c>
      <c r="BI475">
        <v>1</v>
      </c>
      <c r="BJ475">
        <v>1</v>
      </c>
      <c r="BK475">
        <v>0</v>
      </c>
      <c r="BL475">
        <v>0</v>
      </c>
      <c r="BO475">
        <v>0</v>
      </c>
      <c r="BP475">
        <v>0</v>
      </c>
      <c r="BW475" t="str">
        <f t="shared" si="230"/>
        <v>14:41:48.059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343</v>
      </c>
      <c r="CR475">
        <v>2</v>
      </c>
      <c r="CW475">
        <v>12971027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si="225"/>
        <v>05/12/2020 14:41:30.225</v>
      </c>
      <c r="C476" t="str">
        <f t="shared" si="226"/>
        <v>FFDFD3C0</v>
      </c>
      <c r="D476" t="s">
        <v>131</v>
      </c>
      <c r="E476">
        <v>10</v>
      </c>
      <c r="F476">
        <v>2010</v>
      </c>
      <c r="G476" t="s">
        <v>132</v>
      </c>
      <c r="J476" t="s">
        <v>133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27"/>
        <v>14:41:48.055</v>
      </c>
      <c r="T476" t="str">
        <f t="shared" si="228"/>
        <v>14:41:47.955</v>
      </c>
      <c r="U476" t="str">
        <f t="shared" si="216"/>
        <v>A9808D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237</v>
      </c>
      <c r="AJ476">
        <v>28.248639000000001</v>
      </c>
      <c r="AK476" t="s">
        <v>238</v>
      </c>
      <c r="AL476">
        <v>-82.381904000000006</v>
      </c>
      <c r="AM476">
        <v>100</v>
      </c>
      <c r="AN476">
        <v>600</v>
      </c>
      <c r="AO476" t="s">
        <v>118</v>
      </c>
      <c r="AP476">
        <v>13</v>
      </c>
      <c r="AQ476">
        <v>86</v>
      </c>
      <c r="AR476">
        <v>384</v>
      </c>
      <c r="AZ476">
        <v>1200</v>
      </c>
      <c r="BA476">
        <v>1</v>
      </c>
      <c r="BB476" t="str">
        <f t="shared" si="229"/>
        <v xml:space="preserve">N711JA  </v>
      </c>
      <c r="BC476">
        <v>1</v>
      </c>
      <c r="BE476">
        <v>0</v>
      </c>
      <c r="BF476">
        <v>0</v>
      </c>
      <c r="BG476">
        <v>0</v>
      </c>
      <c r="BH476">
        <v>675</v>
      </c>
      <c r="BI476">
        <v>1</v>
      </c>
      <c r="BJ476">
        <v>1</v>
      </c>
      <c r="BK476">
        <v>0</v>
      </c>
      <c r="BL476">
        <v>0</v>
      </c>
      <c r="BO476">
        <v>0</v>
      </c>
      <c r="BP476">
        <v>0</v>
      </c>
      <c r="BW476" t="str">
        <f t="shared" si="230"/>
        <v>14:41:48.059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343</v>
      </c>
      <c r="CR476">
        <v>2</v>
      </c>
      <c r="CW476">
        <v>12971027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225"/>
        <v>05/12/2020 14:41:30.225</v>
      </c>
      <c r="C477" t="str">
        <f t="shared" si="226"/>
        <v>FFDFD3C0</v>
      </c>
      <c r="D477" t="s">
        <v>131</v>
      </c>
      <c r="E477">
        <v>12</v>
      </c>
      <c r="F477">
        <v>2012</v>
      </c>
      <c r="G477" t="s">
        <v>137</v>
      </c>
      <c r="J477" t="s">
        <v>133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27"/>
        <v>14:41:48.055</v>
      </c>
      <c r="T477" t="str">
        <f t="shared" si="228"/>
        <v>14:41:47.955</v>
      </c>
      <c r="U477" t="str">
        <f t="shared" si="216"/>
        <v>A9808D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237</v>
      </c>
      <c r="AJ477">
        <v>28.248639000000001</v>
      </c>
      <c r="AK477" t="s">
        <v>238</v>
      </c>
      <c r="AL477">
        <v>-82.381904000000006</v>
      </c>
      <c r="AM477">
        <v>100</v>
      </c>
      <c r="AN477">
        <v>600</v>
      </c>
      <c r="AO477" t="s">
        <v>118</v>
      </c>
      <c r="AP477">
        <v>13</v>
      </c>
      <c r="AQ477">
        <v>86</v>
      </c>
      <c r="AR477">
        <v>384</v>
      </c>
      <c r="AZ477">
        <v>1200</v>
      </c>
      <c r="BA477">
        <v>1</v>
      </c>
      <c r="BB477" t="str">
        <f t="shared" si="229"/>
        <v xml:space="preserve">N711JA  </v>
      </c>
      <c r="BC477">
        <v>1</v>
      </c>
      <c r="BE477">
        <v>0</v>
      </c>
      <c r="BF477">
        <v>0</v>
      </c>
      <c r="BG477">
        <v>0</v>
      </c>
      <c r="BH477">
        <v>675</v>
      </c>
      <c r="BI477">
        <v>1</v>
      </c>
      <c r="BJ477">
        <v>1</v>
      </c>
      <c r="BK477">
        <v>0</v>
      </c>
      <c r="BL477">
        <v>0</v>
      </c>
      <c r="BO477">
        <v>0</v>
      </c>
      <c r="BP477">
        <v>0</v>
      </c>
      <c r="BW477" t="str">
        <f t="shared" si="230"/>
        <v>14:41:48.059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343</v>
      </c>
      <c r="CR477">
        <v>2</v>
      </c>
      <c r="CW477">
        <v>12971027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225"/>
        <v>05/12/2020 14:41:30.225</v>
      </c>
      <c r="C478" t="str">
        <f t="shared" si="226"/>
        <v>FFDFD3C0</v>
      </c>
      <c r="D478" t="s">
        <v>131</v>
      </c>
      <c r="E478">
        <v>18</v>
      </c>
      <c r="F478">
        <v>2018</v>
      </c>
      <c r="G478" t="s">
        <v>161</v>
      </c>
      <c r="J478" t="s">
        <v>133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27"/>
        <v>14:41:48.055</v>
      </c>
      <c r="T478" t="str">
        <f t="shared" si="228"/>
        <v>14:41:47.955</v>
      </c>
      <c r="U478" t="str">
        <f t="shared" si="216"/>
        <v>A9808D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237</v>
      </c>
      <c r="AJ478">
        <v>28.248639000000001</v>
      </c>
      <c r="AK478" t="s">
        <v>238</v>
      </c>
      <c r="AL478">
        <v>-82.381904000000006</v>
      </c>
      <c r="AM478">
        <v>100</v>
      </c>
      <c r="AN478">
        <v>600</v>
      </c>
      <c r="AO478" t="s">
        <v>118</v>
      </c>
      <c r="AP478">
        <v>13</v>
      </c>
      <c r="AQ478">
        <v>86</v>
      </c>
      <c r="AR478">
        <v>384</v>
      </c>
      <c r="AZ478">
        <v>1200</v>
      </c>
      <c r="BA478">
        <v>1</v>
      </c>
      <c r="BB478" t="str">
        <f t="shared" si="229"/>
        <v xml:space="preserve">N711JA  </v>
      </c>
      <c r="BC478">
        <v>1</v>
      </c>
      <c r="BE478">
        <v>0</v>
      </c>
      <c r="BF478">
        <v>0</v>
      </c>
      <c r="BG478">
        <v>0</v>
      </c>
      <c r="BH478">
        <v>675</v>
      </c>
      <c r="BI478">
        <v>1</v>
      </c>
      <c r="BJ478">
        <v>1</v>
      </c>
      <c r="BK478">
        <v>0</v>
      </c>
      <c r="BL478">
        <v>0</v>
      </c>
      <c r="BO478">
        <v>0</v>
      </c>
      <c r="BP478">
        <v>0</v>
      </c>
      <c r="BW478" t="str">
        <f t="shared" si="230"/>
        <v>14:41:48.059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343</v>
      </c>
      <c r="CR478">
        <v>2</v>
      </c>
      <c r="CW478">
        <v>12971027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ref="A479:A487" si="231">"05/12/2020 14:41:31.154"</f>
        <v>05/12/2020 14:41:31.154</v>
      </c>
      <c r="C479" t="str">
        <f t="shared" si="226"/>
        <v>FFDFD3C0</v>
      </c>
      <c r="D479" t="s">
        <v>126</v>
      </c>
      <c r="E479">
        <v>7</v>
      </c>
      <c r="F479">
        <v>1007</v>
      </c>
      <c r="G479" t="s">
        <v>127</v>
      </c>
      <c r="J479" t="s">
        <v>128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ref="S479:S487" si="232">"14:41:48.938"</f>
        <v>14:41:48.938</v>
      </c>
      <c r="T479" t="str">
        <f t="shared" ref="T479:T487" si="233">"14:41:48.538"</f>
        <v>14:41:48.538</v>
      </c>
      <c r="U479" t="str">
        <f t="shared" si="216"/>
        <v>A9808D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239</v>
      </c>
      <c r="AJ479">
        <v>28.249003999999999</v>
      </c>
      <c r="AK479" t="s">
        <v>156</v>
      </c>
      <c r="AL479">
        <v>-82.381883000000002</v>
      </c>
      <c r="AM479">
        <v>100</v>
      </c>
      <c r="AN479">
        <v>600</v>
      </c>
      <c r="AO479" t="s">
        <v>118</v>
      </c>
      <c r="AP479">
        <v>13</v>
      </c>
      <c r="AQ479">
        <v>86</v>
      </c>
      <c r="AR479">
        <v>448</v>
      </c>
      <c r="AZ479">
        <v>1200</v>
      </c>
      <c r="BA479">
        <v>1</v>
      </c>
      <c r="BB479" t="str">
        <f t="shared" si="229"/>
        <v xml:space="preserve">N711JA  </v>
      </c>
      <c r="BC479">
        <v>1</v>
      </c>
      <c r="BE479">
        <v>0</v>
      </c>
      <c r="BF479">
        <v>0</v>
      </c>
      <c r="BG479">
        <v>0</v>
      </c>
      <c r="BH479">
        <v>675</v>
      </c>
      <c r="BI479">
        <v>1</v>
      </c>
      <c r="BJ479">
        <v>1</v>
      </c>
      <c r="BK479">
        <v>0</v>
      </c>
      <c r="BL479">
        <v>0</v>
      </c>
      <c r="BO479">
        <v>0</v>
      </c>
      <c r="BP479">
        <v>0</v>
      </c>
      <c r="BW479" t="str">
        <f t="shared" ref="BW479:BW487" si="234">"14:41:48.944"</f>
        <v>14:41:48.944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343</v>
      </c>
      <c r="CR479">
        <v>2</v>
      </c>
      <c r="CW479">
        <v>12971745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si="231"/>
        <v>05/12/2020 14:41:31.154</v>
      </c>
      <c r="C480" t="str">
        <f t="shared" si="226"/>
        <v>FFDFD3C0</v>
      </c>
      <c r="D480" t="s">
        <v>131</v>
      </c>
      <c r="E480">
        <v>10</v>
      </c>
      <c r="F480">
        <v>2010</v>
      </c>
      <c r="G480" t="s">
        <v>132</v>
      </c>
      <c r="J480" t="s">
        <v>133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32"/>
        <v>14:41:48.938</v>
      </c>
      <c r="T480" t="str">
        <f t="shared" si="233"/>
        <v>14:41:48.538</v>
      </c>
      <c r="U480" t="str">
        <f t="shared" si="216"/>
        <v>A9808D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239</v>
      </c>
      <c r="AJ480">
        <v>28.249003999999999</v>
      </c>
      <c r="AK480" t="s">
        <v>156</v>
      </c>
      <c r="AL480">
        <v>-82.381883000000002</v>
      </c>
      <c r="AM480">
        <v>100</v>
      </c>
      <c r="AN480">
        <v>600</v>
      </c>
      <c r="AO480" t="s">
        <v>118</v>
      </c>
      <c r="AP480">
        <v>13</v>
      </c>
      <c r="AQ480">
        <v>86</v>
      </c>
      <c r="AR480">
        <v>448</v>
      </c>
      <c r="AZ480">
        <v>1200</v>
      </c>
      <c r="BA480">
        <v>1</v>
      </c>
      <c r="BB480" t="str">
        <f t="shared" si="229"/>
        <v xml:space="preserve">N711JA  </v>
      </c>
      <c r="BC480">
        <v>1</v>
      </c>
      <c r="BE480">
        <v>0</v>
      </c>
      <c r="BF480">
        <v>0</v>
      </c>
      <c r="BG480">
        <v>0</v>
      </c>
      <c r="BH480">
        <v>675</v>
      </c>
      <c r="BI480">
        <v>1</v>
      </c>
      <c r="BJ480">
        <v>1</v>
      </c>
      <c r="BK480">
        <v>0</v>
      </c>
      <c r="BL480">
        <v>0</v>
      </c>
      <c r="BO480">
        <v>0</v>
      </c>
      <c r="BP480">
        <v>0</v>
      </c>
      <c r="BW480" t="str">
        <f t="shared" si="234"/>
        <v>14:41:48.944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343</v>
      </c>
      <c r="CR480">
        <v>2</v>
      </c>
      <c r="CW480">
        <v>12971745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si="231"/>
        <v>05/12/2020 14:41:31.154</v>
      </c>
      <c r="C481" t="str">
        <f t="shared" si="226"/>
        <v>FFDFD3C0</v>
      </c>
      <c r="D481" t="s">
        <v>138</v>
      </c>
      <c r="E481">
        <v>3</v>
      </c>
      <c r="H481">
        <v>9</v>
      </c>
      <c r="I481" t="s">
        <v>140</v>
      </c>
      <c r="J481" t="s">
        <v>136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32"/>
        <v>14:41:48.938</v>
      </c>
      <c r="T481" t="str">
        <f t="shared" si="233"/>
        <v>14:41:48.538</v>
      </c>
      <c r="U481" t="str">
        <f t="shared" si="216"/>
        <v>A9808D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239</v>
      </c>
      <c r="AJ481">
        <v>28.249003999999999</v>
      </c>
      <c r="AK481" t="s">
        <v>156</v>
      </c>
      <c r="AL481">
        <v>-82.381883000000002</v>
      </c>
      <c r="AM481">
        <v>100</v>
      </c>
      <c r="AN481">
        <v>600</v>
      </c>
      <c r="AO481" t="s">
        <v>118</v>
      </c>
      <c r="AP481">
        <v>13</v>
      </c>
      <c r="AQ481">
        <v>86</v>
      </c>
      <c r="AR481">
        <v>448</v>
      </c>
      <c r="AZ481">
        <v>1200</v>
      </c>
      <c r="BA481">
        <v>1</v>
      </c>
      <c r="BB481" t="str">
        <f t="shared" si="229"/>
        <v xml:space="preserve">N711JA  </v>
      </c>
      <c r="BC481">
        <v>1</v>
      </c>
      <c r="BE481">
        <v>0</v>
      </c>
      <c r="BF481">
        <v>0</v>
      </c>
      <c r="BG481">
        <v>0</v>
      </c>
      <c r="BH481">
        <v>675</v>
      </c>
      <c r="BI481">
        <v>1</v>
      </c>
      <c r="BJ481">
        <v>1</v>
      </c>
      <c r="BK481">
        <v>0</v>
      </c>
      <c r="BL481">
        <v>0</v>
      </c>
      <c r="BO481">
        <v>0</v>
      </c>
      <c r="BP481">
        <v>0</v>
      </c>
      <c r="BW481" t="str">
        <f t="shared" si="234"/>
        <v>14:41:48.944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343</v>
      </c>
      <c r="CR481">
        <v>2</v>
      </c>
      <c r="CW481">
        <v>12971745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si="231"/>
        <v>05/12/2020 14:41:31.154</v>
      </c>
      <c r="C482" t="str">
        <f t="shared" si="226"/>
        <v>FFDFD3C0</v>
      </c>
      <c r="D482" t="s">
        <v>138</v>
      </c>
      <c r="E482">
        <v>2</v>
      </c>
      <c r="H482">
        <v>8</v>
      </c>
      <c r="I482" t="s">
        <v>139</v>
      </c>
      <c r="J482" t="s">
        <v>136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32"/>
        <v>14:41:48.938</v>
      </c>
      <c r="T482" t="str">
        <f t="shared" si="233"/>
        <v>14:41:48.538</v>
      </c>
      <c r="U482" t="str">
        <f t="shared" si="216"/>
        <v>A9808D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239</v>
      </c>
      <c r="AJ482">
        <v>28.249003999999999</v>
      </c>
      <c r="AK482" t="s">
        <v>156</v>
      </c>
      <c r="AL482">
        <v>-82.381883000000002</v>
      </c>
      <c r="AM482">
        <v>100</v>
      </c>
      <c r="AN482">
        <v>600</v>
      </c>
      <c r="AO482" t="s">
        <v>118</v>
      </c>
      <c r="AP482">
        <v>13</v>
      </c>
      <c r="AQ482">
        <v>86</v>
      </c>
      <c r="AR482">
        <v>448</v>
      </c>
      <c r="AZ482">
        <v>1200</v>
      </c>
      <c r="BA482">
        <v>1</v>
      </c>
      <c r="BB482" t="str">
        <f t="shared" si="229"/>
        <v xml:space="preserve">N711JA  </v>
      </c>
      <c r="BC482">
        <v>1</v>
      </c>
      <c r="BE482">
        <v>0</v>
      </c>
      <c r="BF482">
        <v>0</v>
      </c>
      <c r="BG482">
        <v>0</v>
      </c>
      <c r="BH482">
        <v>675</v>
      </c>
      <c r="BI482">
        <v>1</v>
      </c>
      <c r="BJ482">
        <v>1</v>
      </c>
      <c r="BK482">
        <v>0</v>
      </c>
      <c r="BL482">
        <v>0</v>
      </c>
      <c r="BO482">
        <v>0</v>
      </c>
      <c r="BP482">
        <v>0</v>
      </c>
      <c r="BW482" t="str">
        <f t="shared" si="234"/>
        <v>14:41:48.944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343</v>
      </c>
      <c r="CR482">
        <v>2</v>
      </c>
      <c r="CW482">
        <v>12971745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231"/>
        <v>05/12/2020 14:41:31.154</v>
      </c>
      <c r="C483" t="str">
        <f t="shared" si="226"/>
        <v>FFDFD3C0</v>
      </c>
      <c r="D483" t="s">
        <v>131</v>
      </c>
      <c r="E483">
        <v>12</v>
      </c>
      <c r="F483">
        <v>2012</v>
      </c>
      <c r="G483" t="s">
        <v>137</v>
      </c>
      <c r="J483" t="s">
        <v>133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32"/>
        <v>14:41:48.938</v>
      </c>
      <c r="T483" t="str">
        <f t="shared" si="233"/>
        <v>14:41:48.538</v>
      </c>
      <c r="U483" t="str">
        <f t="shared" si="216"/>
        <v>A9808D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239</v>
      </c>
      <c r="AJ483">
        <v>28.249003999999999</v>
      </c>
      <c r="AK483" t="s">
        <v>156</v>
      </c>
      <c r="AL483">
        <v>-82.381883000000002</v>
      </c>
      <c r="AM483">
        <v>100</v>
      </c>
      <c r="AN483">
        <v>600</v>
      </c>
      <c r="AO483" t="s">
        <v>118</v>
      </c>
      <c r="AP483">
        <v>13</v>
      </c>
      <c r="AQ483">
        <v>86</v>
      </c>
      <c r="AR483">
        <v>448</v>
      </c>
      <c r="AZ483">
        <v>1200</v>
      </c>
      <c r="BA483">
        <v>1</v>
      </c>
      <c r="BB483" t="str">
        <f t="shared" si="229"/>
        <v xml:space="preserve">N711JA  </v>
      </c>
      <c r="BC483">
        <v>1</v>
      </c>
      <c r="BE483">
        <v>0</v>
      </c>
      <c r="BF483">
        <v>0</v>
      </c>
      <c r="BG483">
        <v>0</v>
      </c>
      <c r="BH483">
        <v>675</v>
      </c>
      <c r="BI483">
        <v>1</v>
      </c>
      <c r="BJ483">
        <v>1</v>
      </c>
      <c r="BK483">
        <v>0</v>
      </c>
      <c r="BL483">
        <v>0</v>
      </c>
      <c r="BO483">
        <v>0</v>
      </c>
      <c r="BP483">
        <v>0</v>
      </c>
      <c r="BW483" t="str">
        <f t="shared" si="234"/>
        <v>14:41:48.944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343</v>
      </c>
      <c r="CR483">
        <v>2</v>
      </c>
      <c r="CW483">
        <v>12971745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231"/>
        <v>05/12/2020 14:41:31.154</v>
      </c>
      <c r="C484" t="str">
        <f t="shared" si="226"/>
        <v>FFDFD3C0</v>
      </c>
      <c r="D484" t="s">
        <v>131</v>
      </c>
      <c r="E484">
        <v>18</v>
      </c>
      <c r="F484">
        <v>2018</v>
      </c>
      <c r="G484" t="s">
        <v>161</v>
      </c>
      <c r="J484" t="s">
        <v>133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32"/>
        <v>14:41:48.938</v>
      </c>
      <c r="T484" t="str">
        <f t="shared" si="233"/>
        <v>14:41:48.538</v>
      </c>
      <c r="U484" t="str">
        <f t="shared" si="216"/>
        <v>A9808D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239</v>
      </c>
      <c r="AJ484">
        <v>28.249003999999999</v>
      </c>
      <c r="AK484" t="s">
        <v>156</v>
      </c>
      <c r="AL484">
        <v>-82.381883000000002</v>
      </c>
      <c r="AM484">
        <v>100</v>
      </c>
      <c r="AN484">
        <v>600</v>
      </c>
      <c r="AO484" t="s">
        <v>118</v>
      </c>
      <c r="AP484">
        <v>13</v>
      </c>
      <c r="AQ484">
        <v>86</v>
      </c>
      <c r="AR484">
        <v>448</v>
      </c>
      <c r="AZ484">
        <v>1200</v>
      </c>
      <c r="BA484">
        <v>1</v>
      </c>
      <c r="BB484" t="str">
        <f t="shared" si="229"/>
        <v xml:space="preserve">N711JA  </v>
      </c>
      <c r="BC484">
        <v>1</v>
      </c>
      <c r="BE484">
        <v>0</v>
      </c>
      <c r="BF484">
        <v>0</v>
      </c>
      <c r="BG484">
        <v>0</v>
      </c>
      <c r="BH484">
        <v>675</v>
      </c>
      <c r="BI484">
        <v>1</v>
      </c>
      <c r="BJ484">
        <v>1</v>
      </c>
      <c r="BK484">
        <v>0</v>
      </c>
      <c r="BL484">
        <v>0</v>
      </c>
      <c r="BO484">
        <v>0</v>
      </c>
      <c r="BP484">
        <v>0</v>
      </c>
      <c r="BW484" t="str">
        <f t="shared" si="234"/>
        <v>14:41:48.944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343</v>
      </c>
      <c r="CR484">
        <v>2</v>
      </c>
      <c r="CW484">
        <v>12971745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 t="shared" si="231"/>
        <v>05/12/2020 14:41:31.154</v>
      </c>
      <c r="C485" t="str">
        <f t="shared" si="226"/>
        <v>FFDFD3C0</v>
      </c>
      <c r="D485" t="s">
        <v>113</v>
      </c>
      <c r="E485">
        <v>3</v>
      </c>
      <c r="H485">
        <v>164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32"/>
        <v>14:41:48.938</v>
      </c>
      <c r="T485" t="str">
        <f t="shared" si="233"/>
        <v>14:41:48.538</v>
      </c>
      <c r="U485" t="str">
        <f t="shared" si="216"/>
        <v>A9808D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239</v>
      </c>
      <c r="AJ485">
        <v>28.249003999999999</v>
      </c>
      <c r="AK485" t="s">
        <v>156</v>
      </c>
      <c r="AL485">
        <v>-82.381883000000002</v>
      </c>
      <c r="AM485">
        <v>100</v>
      </c>
      <c r="AN485">
        <v>600</v>
      </c>
      <c r="AO485" t="s">
        <v>118</v>
      </c>
      <c r="AP485">
        <v>13</v>
      </c>
      <c r="AQ485">
        <v>86</v>
      </c>
      <c r="AR485">
        <v>448</v>
      </c>
      <c r="AZ485">
        <v>1200</v>
      </c>
      <c r="BA485">
        <v>1</v>
      </c>
      <c r="BB485" t="str">
        <f t="shared" si="229"/>
        <v xml:space="preserve">N711JA  </v>
      </c>
      <c r="BC485">
        <v>1</v>
      </c>
      <c r="BE485">
        <v>0</v>
      </c>
      <c r="BF485">
        <v>0</v>
      </c>
      <c r="BG485">
        <v>0</v>
      </c>
      <c r="BH485">
        <v>675</v>
      </c>
      <c r="BI485">
        <v>1</v>
      </c>
      <c r="BJ485">
        <v>1</v>
      </c>
      <c r="BK485">
        <v>0</v>
      </c>
      <c r="BL485">
        <v>0</v>
      </c>
      <c r="BO485">
        <v>0</v>
      </c>
      <c r="BP485">
        <v>0</v>
      </c>
      <c r="BW485" t="str">
        <f t="shared" si="234"/>
        <v>14:41:48.944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343</v>
      </c>
      <c r="CR485">
        <v>2</v>
      </c>
      <c r="CW485">
        <v>12971745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 t="shared" si="231"/>
        <v>05/12/2020 14:41:31.154</v>
      </c>
      <c r="C486" t="str">
        <f t="shared" si="226"/>
        <v>FFDFD3C0</v>
      </c>
      <c r="D486" t="s">
        <v>126</v>
      </c>
      <c r="E486">
        <v>6</v>
      </c>
      <c r="F486">
        <v>1006</v>
      </c>
      <c r="G486" t="s">
        <v>114</v>
      </c>
      <c r="J486" t="s">
        <v>128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32"/>
        <v>14:41:48.938</v>
      </c>
      <c r="T486" t="str">
        <f t="shared" si="233"/>
        <v>14:41:48.538</v>
      </c>
      <c r="U486" t="str">
        <f t="shared" si="216"/>
        <v>A9808D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239</v>
      </c>
      <c r="AJ486">
        <v>28.249003999999999</v>
      </c>
      <c r="AK486" t="s">
        <v>156</v>
      </c>
      <c r="AL486">
        <v>-82.381883000000002</v>
      </c>
      <c r="AM486">
        <v>100</v>
      </c>
      <c r="AN486">
        <v>600</v>
      </c>
      <c r="AO486" t="s">
        <v>118</v>
      </c>
      <c r="AP486">
        <v>13</v>
      </c>
      <c r="AQ486">
        <v>86</v>
      </c>
      <c r="AR486">
        <v>448</v>
      </c>
      <c r="AZ486">
        <v>1200</v>
      </c>
      <c r="BA486">
        <v>1</v>
      </c>
      <c r="BB486" t="str">
        <f t="shared" si="229"/>
        <v xml:space="preserve">N711JA  </v>
      </c>
      <c r="BC486">
        <v>1</v>
      </c>
      <c r="BE486">
        <v>0</v>
      </c>
      <c r="BF486">
        <v>0</v>
      </c>
      <c r="BG486">
        <v>0</v>
      </c>
      <c r="BH486">
        <v>675</v>
      </c>
      <c r="BI486">
        <v>1</v>
      </c>
      <c r="BJ486">
        <v>1</v>
      </c>
      <c r="BK486">
        <v>0</v>
      </c>
      <c r="BL486">
        <v>0</v>
      </c>
      <c r="BO486">
        <v>0</v>
      </c>
      <c r="BP486">
        <v>0</v>
      </c>
      <c r="BW486" t="str">
        <f t="shared" si="234"/>
        <v>14:41:48.944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343</v>
      </c>
      <c r="CR486">
        <v>2</v>
      </c>
      <c r="CW486">
        <v>12971745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 t="shared" si="231"/>
        <v>05/12/2020 14:41:31.154</v>
      </c>
      <c r="C487" t="str">
        <f t="shared" si="226"/>
        <v>FFDFD3C0</v>
      </c>
      <c r="D487" t="s">
        <v>134</v>
      </c>
      <c r="E487">
        <v>12</v>
      </c>
      <c r="H487">
        <v>64</v>
      </c>
      <c r="I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32"/>
        <v>14:41:48.938</v>
      </c>
      <c r="T487" t="str">
        <f t="shared" si="233"/>
        <v>14:41:48.538</v>
      </c>
      <c r="U487" t="str">
        <f t="shared" si="216"/>
        <v>A9808D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239</v>
      </c>
      <c r="AJ487">
        <v>28.249003999999999</v>
      </c>
      <c r="AK487" t="s">
        <v>156</v>
      </c>
      <c r="AL487">
        <v>-82.381883000000002</v>
      </c>
      <c r="AM487">
        <v>100</v>
      </c>
      <c r="AN487">
        <v>600</v>
      </c>
      <c r="AO487" t="s">
        <v>118</v>
      </c>
      <c r="AP487">
        <v>13</v>
      </c>
      <c r="AQ487">
        <v>86</v>
      </c>
      <c r="AR487">
        <v>448</v>
      </c>
      <c r="AZ487">
        <v>1200</v>
      </c>
      <c r="BA487">
        <v>1</v>
      </c>
      <c r="BB487" t="str">
        <f t="shared" si="229"/>
        <v xml:space="preserve">N711JA  </v>
      </c>
      <c r="BC487">
        <v>1</v>
      </c>
      <c r="BE487">
        <v>0</v>
      </c>
      <c r="BF487">
        <v>0</v>
      </c>
      <c r="BG487">
        <v>0</v>
      </c>
      <c r="BH487">
        <v>675</v>
      </c>
      <c r="BI487">
        <v>1</v>
      </c>
      <c r="BJ487">
        <v>1</v>
      </c>
      <c r="BK487">
        <v>0</v>
      </c>
      <c r="BL487">
        <v>0</v>
      </c>
      <c r="BO487">
        <v>0</v>
      </c>
      <c r="BP487">
        <v>0</v>
      </c>
      <c r="BW487" t="str">
        <f t="shared" si="234"/>
        <v>14:41:48.944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343</v>
      </c>
      <c r="CR487">
        <v>2</v>
      </c>
      <c r="CW487">
        <v>12971745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 t="shared" ref="A488:A495" si="235">"05/12/2020 14:41:32.121"</f>
        <v>05/12/2020 14:41:32.121</v>
      </c>
      <c r="C488" t="str">
        <f t="shared" si="226"/>
        <v>FFDFD3C0</v>
      </c>
      <c r="D488" t="s">
        <v>138</v>
      </c>
      <c r="E488">
        <v>3</v>
      </c>
      <c r="H488">
        <v>9</v>
      </c>
      <c r="I488" t="s">
        <v>140</v>
      </c>
      <c r="J488" t="s">
        <v>136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T495" si="236">"14:41:49.961"</f>
        <v>14:41:49.961</v>
      </c>
      <c r="T488" t="str">
        <f t="shared" si="236"/>
        <v>14:41:49.961</v>
      </c>
      <c r="U488" t="str">
        <f t="shared" si="216"/>
        <v>A9808D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240</v>
      </c>
      <c r="AJ488">
        <v>28.249412</v>
      </c>
      <c r="AK488" t="s">
        <v>241</v>
      </c>
      <c r="AL488">
        <v>-82.381775000000005</v>
      </c>
      <c r="AM488">
        <v>100</v>
      </c>
      <c r="AN488">
        <v>600</v>
      </c>
      <c r="AO488" t="s">
        <v>118</v>
      </c>
      <c r="AP488">
        <v>13</v>
      </c>
      <c r="AQ488">
        <v>86</v>
      </c>
      <c r="AR488">
        <v>512</v>
      </c>
      <c r="AZ488">
        <v>1200</v>
      </c>
      <c r="BA488">
        <v>1</v>
      </c>
      <c r="BB488" t="str">
        <f t="shared" si="229"/>
        <v xml:space="preserve">N711JA  </v>
      </c>
      <c r="BC488">
        <v>1</v>
      </c>
      <c r="BE488">
        <v>0</v>
      </c>
      <c r="BF488">
        <v>0</v>
      </c>
      <c r="BG488">
        <v>0</v>
      </c>
      <c r="BH488">
        <v>700</v>
      </c>
      <c r="BI488">
        <v>1</v>
      </c>
      <c r="BJ488">
        <v>1</v>
      </c>
      <c r="BK488">
        <v>0</v>
      </c>
      <c r="BL488">
        <v>0</v>
      </c>
      <c r="BO488">
        <v>0</v>
      </c>
      <c r="BP488">
        <v>0</v>
      </c>
      <c r="BW488" t="str">
        <f t="shared" ref="BW488:BW495" si="237">"14:41:49.966"</f>
        <v>14:41:49.966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3</v>
      </c>
      <c r="CP488" t="s">
        <v>119</v>
      </c>
      <c r="CQ488">
        <v>8</v>
      </c>
      <c r="CR488">
        <v>3</v>
      </c>
      <c r="CW488">
        <v>8680972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 t="shared" si="235"/>
        <v>05/12/2020 14:41:32.121</v>
      </c>
      <c r="C489" t="str">
        <f t="shared" si="226"/>
        <v>FFDFD3C0</v>
      </c>
      <c r="D489" t="s">
        <v>113</v>
      </c>
      <c r="E489">
        <v>3</v>
      </c>
      <c r="H489">
        <v>164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36"/>
        <v>14:41:49.961</v>
      </c>
      <c r="T489" t="str">
        <f t="shared" si="236"/>
        <v>14:41:49.961</v>
      </c>
      <c r="U489" t="str">
        <f t="shared" si="216"/>
        <v>A9808D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240</v>
      </c>
      <c r="AJ489">
        <v>28.249412</v>
      </c>
      <c r="AK489" t="s">
        <v>241</v>
      </c>
      <c r="AL489">
        <v>-82.381775000000005</v>
      </c>
      <c r="AM489">
        <v>100</v>
      </c>
      <c r="AN489">
        <v>600</v>
      </c>
      <c r="AO489" t="s">
        <v>118</v>
      </c>
      <c r="AP489">
        <v>13</v>
      </c>
      <c r="AQ489">
        <v>86</v>
      </c>
      <c r="AR489">
        <v>512</v>
      </c>
      <c r="AZ489">
        <v>1200</v>
      </c>
      <c r="BA489">
        <v>1</v>
      </c>
      <c r="BB489" t="str">
        <f t="shared" si="229"/>
        <v xml:space="preserve">N711JA  </v>
      </c>
      <c r="BC489">
        <v>1</v>
      </c>
      <c r="BE489">
        <v>0</v>
      </c>
      <c r="BF489">
        <v>0</v>
      </c>
      <c r="BG489">
        <v>0</v>
      </c>
      <c r="BH489">
        <v>700</v>
      </c>
      <c r="BI489">
        <v>1</v>
      </c>
      <c r="BJ489">
        <v>1</v>
      </c>
      <c r="BK489">
        <v>0</v>
      </c>
      <c r="BL489">
        <v>0</v>
      </c>
      <c r="BO489">
        <v>0</v>
      </c>
      <c r="BP489">
        <v>0</v>
      </c>
      <c r="BW489" t="str">
        <f t="shared" si="237"/>
        <v>14:41:49.966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3</v>
      </c>
      <c r="CP489" t="s">
        <v>119</v>
      </c>
      <c r="CQ489">
        <v>8</v>
      </c>
      <c r="CR489">
        <v>3</v>
      </c>
      <c r="CW489">
        <v>8680972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 t="shared" si="235"/>
        <v>05/12/2020 14:41:32.121</v>
      </c>
      <c r="C490" t="str">
        <f t="shared" si="226"/>
        <v>FFDFD3C0</v>
      </c>
      <c r="D490" t="s">
        <v>138</v>
      </c>
      <c r="E490">
        <v>2</v>
      </c>
      <c r="H490">
        <v>8</v>
      </c>
      <c r="I490" t="s">
        <v>139</v>
      </c>
      <c r="J490" t="s">
        <v>136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36"/>
        <v>14:41:49.961</v>
      </c>
      <c r="T490" t="str">
        <f t="shared" si="236"/>
        <v>14:41:49.961</v>
      </c>
      <c r="U490" t="str">
        <f t="shared" si="216"/>
        <v>A9808D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240</v>
      </c>
      <c r="AJ490">
        <v>28.249412</v>
      </c>
      <c r="AK490" t="s">
        <v>241</v>
      </c>
      <c r="AL490">
        <v>-82.381775000000005</v>
      </c>
      <c r="AM490">
        <v>100</v>
      </c>
      <c r="AN490">
        <v>600</v>
      </c>
      <c r="AO490" t="s">
        <v>118</v>
      </c>
      <c r="AP490">
        <v>13</v>
      </c>
      <c r="AQ490">
        <v>86</v>
      </c>
      <c r="AR490">
        <v>512</v>
      </c>
      <c r="AZ490">
        <v>1200</v>
      </c>
      <c r="BA490">
        <v>1</v>
      </c>
      <c r="BB490" t="str">
        <f t="shared" si="229"/>
        <v xml:space="preserve">N711JA  </v>
      </c>
      <c r="BC490">
        <v>1</v>
      </c>
      <c r="BE490">
        <v>0</v>
      </c>
      <c r="BF490">
        <v>0</v>
      </c>
      <c r="BG490">
        <v>0</v>
      </c>
      <c r="BH490">
        <v>700</v>
      </c>
      <c r="BI490">
        <v>1</v>
      </c>
      <c r="BJ490">
        <v>1</v>
      </c>
      <c r="BK490">
        <v>0</v>
      </c>
      <c r="BL490">
        <v>0</v>
      </c>
      <c r="BO490">
        <v>0</v>
      </c>
      <c r="BP490">
        <v>0</v>
      </c>
      <c r="BW490" t="str">
        <f t="shared" si="237"/>
        <v>14:41:49.966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3</v>
      </c>
      <c r="CP490" t="s">
        <v>119</v>
      </c>
      <c r="CQ490">
        <v>8</v>
      </c>
      <c r="CR490">
        <v>3</v>
      </c>
      <c r="CW490">
        <v>8680972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 t="shared" si="235"/>
        <v>05/12/2020 14:41:32.121</v>
      </c>
      <c r="C491" t="str">
        <f t="shared" si="226"/>
        <v>FFDFD3C0</v>
      </c>
      <c r="D491" t="s">
        <v>126</v>
      </c>
      <c r="E491">
        <v>6</v>
      </c>
      <c r="F491">
        <v>1006</v>
      </c>
      <c r="G491" t="s">
        <v>114</v>
      </c>
      <c r="J491" t="s">
        <v>128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36"/>
        <v>14:41:49.961</v>
      </c>
      <c r="T491" t="str">
        <f t="shared" si="236"/>
        <v>14:41:49.961</v>
      </c>
      <c r="U491" t="str">
        <f t="shared" si="216"/>
        <v>A9808D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240</v>
      </c>
      <c r="AJ491">
        <v>28.249412</v>
      </c>
      <c r="AK491" t="s">
        <v>241</v>
      </c>
      <c r="AL491">
        <v>-82.381775000000005</v>
      </c>
      <c r="AM491">
        <v>100</v>
      </c>
      <c r="AN491">
        <v>600</v>
      </c>
      <c r="AO491" t="s">
        <v>118</v>
      </c>
      <c r="AP491">
        <v>13</v>
      </c>
      <c r="AQ491">
        <v>86</v>
      </c>
      <c r="AR491">
        <v>512</v>
      </c>
      <c r="AZ491">
        <v>1200</v>
      </c>
      <c r="BA491">
        <v>1</v>
      </c>
      <c r="BB491" t="str">
        <f t="shared" si="229"/>
        <v xml:space="preserve">N711JA  </v>
      </c>
      <c r="BC491">
        <v>1</v>
      </c>
      <c r="BE491">
        <v>0</v>
      </c>
      <c r="BF491">
        <v>0</v>
      </c>
      <c r="BG491">
        <v>0</v>
      </c>
      <c r="BH491">
        <v>700</v>
      </c>
      <c r="BI491">
        <v>1</v>
      </c>
      <c r="BJ491">
        <v>1</v>
      </c>
      <c r="BK491">
        <v>0</v>
      </c>
      <c r="BL491">
        <v>0</v>
      </c>
      <c r="BO491">
        <v>0</v>
      </c>
      <c r="BP491">
        <v>0</v>
      </c>
      <c r="BW491" t="str">
        <f t="shared" si="237"/>
        <v>14:41:49.966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3</v>
      </c>
      <c r="CP491" t="s">
        <v>119</v>
      </c>
      <c r="CQ491">
        <v>8</v>
      </c>
      <c r="CR491">
        <v>3</v>
      </c>
      <c r="CW491">
        <v>8680972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 t="shared" si="235"/>
        <v>05/12/2020 14:41:32.121</v>
      </c>
      <c r="C492" t="str">
        <f t="shared" si="226"/>
        <v>FFDFD3C0</v>
      </c>
      <c r="D492" t="s">
        <v>134</v>
      </c>
      <c r="E492">
        <v>12</v>
      </c>
      <c r="H492">
        <v>64</v>
      </c>
      <c r="I492" t="s">
        <v>135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36"/>
        <v>14:41:49.961</v>
      </c>
      <c r="T492" t="str">
        <f t="shared" si="236"/>
        <v>14:41:49.961</v>
      </c>
      <c r="U492" t="str">
        <f t="shared" si="216"/>
        <v>A9808D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240</v>
      </c>
      <c r="AJ492">
        <v>28.249412</v>
      </c>
      <c r="AK492" t="s">
        <v>241</v>
      </c>
      <c r="AL492">
        <v>-82.381775000000005</v>
      </c>
      <c r="AM492">
        <v>100</v>
      </c>
      <c r="AN492">
        <v>600</v>
      </c>
      <c r="AO492" t="s">
        <v>118</v>
      </c>
      <c r="AP492">
        <v>13</v>
      </c>
      <c r="AQ492">
        <v>86</v>
      </c>
      <c r="AR492">
        <v>512</v>
      </c>
      <c r="AZ492">
        <v>1200</v>
      </c>
      <c r="BA492">
        <v>1</v>
      </c>
      <c r="BB492" t="str">
        <f t="shared" si="229"/>
        <v xml:space="preserve">N711JA  </v>
      </c>
      <c r="BC492">
        <v>1</v>
      </c>
      <c r="BE492">
        <v>0</v>
      </c>
      <c r="BF492">
        <v>0</v>
      </c>
      <c r="BG492">
        <v>0</v>
      </c>
      <c r="BH492">
        <v>700</v>
      </c>
      <c r="BI492">
        <v>1</v>
      </c>
      <c r="BJ492">
        <v>1</v>
      </c>
      <c r="BK492">
        <v>0</v>
      </c>
      <c r="BL492">
        <v>0</v>
      </c>
      <c r="BO492">
        <v>0</v>
      </c>
      <c r="BP492">
        <v>0</v>
      </c>
      <c r="BW492" t="str">
        <f t="shared" si="237"/>
        <v>14:41:49.966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3</v>
      </c>
      <c r="CP492" t="s">
        <v>119</v>
      </c>
      <c r="CQ492">
        <v>8</v>
      </c>
      <c r="CR492">
        <v>3</v>
      </c>
      <c r="CW492">
        <v>8680972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 t="shared" si="235"/>
        <v>05/12/2020 14:41:32.121</v>
      </c>
      <c r="C493" t="str">
        <f t="shared" si="226"/>
        <v>FFDFD3C0</v>
      </c>
      <c r="D493" t="s">
        <v>126</v>
      </c>
      <c r="E493">
        <v>7</v>
      </c>
      <c r="F493">
        <v>1007</v>
      </c>
      <c r="G493" t="s">
        <v>127</v>
      </c>
      <c r="J493" t="s">
        <v>128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36"/>
        <v>14:41:49.961</v>
      </c>
      <c r="T493" t="str">
        <f t="shared" si="236"/>
        <v>14:41:49.961</v>
      </c>
      <c r="U493" t="str">
        <f t="shared" si="216"/>
        <v>A9808D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240</v>
      </c>
      <c r="AJ493">
        <v>28.249412</v>
      </c>
      <c r="AK493" t="s">
        <v>241</v>
      </c>
      <c r="AL493">
        <v>-82.381775000000005</v>
      </c>
      <c r="AM493">
        <v>100</v>
      </c>
      <c r="AN493">
        <v>600</v>
      </c>
      <c r="AO493" t="s">
        <v>118</v>
      </c>
      <c r="AP493">
        <v>13</v>
      </c>
      <c r="AQ493">
        <v>86</v>
      </c>
      <c r="AR493">
        <v>512</v>
      </c>
      <c r="AZ493">
        <v>1200</v>
      </c>
      <c r="BA493">
        <v>1</v>
      </c>
      <c r="BB493" t="str">
        <f t="shared" si="229"/>
        <v xml:space="preserve">N711JA  </v>
      </c>
      <c r="BC493">
        <v>1</v>
      </c>
      <c r="BE493">
        <v>0</v>
      </c>
      <c r="BF493">
        <v>0</v>
      </c>
      <c r="BG493">
        <v>0</v>
      </c>
      <c r="BH493">
        <v>700</v>
      </c>
      <c r="BI493">
        <v>1</v>
      </c>
      <c r="BJ493">
        <v>1</v>
      </c>
      <c r="BK493">
        <v>0</v>
      </c>
      <c r="BL493">
        <v>0</v>
      </c>
      <c r="BO493">
        <v>0</v>
      </c>
      <c r="BP493">
        <v>0</v>
      </c>
      <c r="BW493" t="str">
        <f t="shared" si="237"/>
        <v>14:41:49.966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3</v>
      </c>
      <c r="CP493" t="s">
        <v>119</v>
      </c>
      <c r="CQ493">
        <v>8</v>
      </c>
      <c r="CR493">
        <v>3</v>
      </c>
      <c r="CW493">
        <v>8680972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 t="shared" si="235"/>
        <v>05/12/2020 14:41:32.121</v>
      </c>
      <c r="C494" t="str">
        <f t="shared" si="226"/>
        <v>FFDFD3C0</v>
      </c>
      <c r="D494" t="s">
        <v>131</v>
      </c>
      <c r="E494">
        <v>10</v>
      </c>
      <c r="F494">
        <v>2010</v>
      </c>
      <c r="G494" t="s">
        <v>132</v>
      </c>
      <c r="J494" t="s">
        <v>133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236"/>
        <v>14:41:49.961</v>
      </c>
      <c r="T494" t="str">
        <f t="shared" si="236"/>
        <v>14:41:49.961</v>
      </c>
      <c r="U494" t="str">
        <f t="shared" si="216"/>
        <v>A9808D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240</v>
      </c>
      <c r="AJ494">
        <v>28.249412</v>
      </c>
      <c r="AK494" t="s">
        <v>241</v>
      </c>
      <c r="AL494">
        <v>-82.381775000000005</v>
      </c>
      <c r="AM494">
        <v>100</v>
      </c>
      <c r="AN494">
        <v>600</v>
      </c>
      <c r="AO494" t="s">
        <v>118</v>
      </c>
      <c r="AP494">
        <v>13</v>
      </c>
      <c r="AQ494">
        <v>86</v>
      </c>
      <c r="AR494">
        <v>512</v>
      </c>
      <c r="AZ494">
        <v>1200</v>
      </c>
      <c r="BA494">
        <v>1</v>
      </c>
      <c r="BB494" t="str">
        <f t="shared" si="229"/>
        <v xml:space="preserve">N711JA  </v>
      </c>
      <c r="BC494">
        <v>1</v>
      </c>
      <c r="BE494">
        <v>0</v>
      </c>
      <c r="BF494">
        <v>0</v>
      </c>
      <c r="BG494">
        <v>0</v>
      </c>
      <c r="BH494">
        <v>700</v>
      </c>
      <c r="BI494">
        <v>1</v>
      </c>
      <c r="BJ494">
        <v>1</v>
      </c>
      <c r="BK494">
        <v>0</v>
      </c>
      <c r="BL494">
        <v>0</v>
      </c>
      <c r="BO494">
        <v>0</v>
      </c>
      <c r="BP494">
        <v>0</v>
      </c>
      <c r="BW494" t="str">
        <f t="shared" si="237"/>
        <v>14:41:49.966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3</v>
      </c>
      <c r="CP494" t="s">
        <v>119</v>
      </c>
      <c r="CQ494">
        <v>8</v>
      </c>
      <c r="CR494">
        <v>3</v>
      </c>
      <c r="CW494">
        <v>8680972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 t="shared" si="235"/>
        <v>05/12/2020 14:41:32.121</v>
      </c>
      <c r="C495" t="str">
        <f t="shared" si="226"/>
        <v>FFDFD3C0</v>
      </c>
      <c r="D495" t="s">
        <v>131</v>
      </c>
      <c r="E495">
        <v>12</v>
      </c>
      <c r="F495">
        <v>2012</v>
      </c>
      <c r="G495" t="s">
        <v>137</v>
      </c>
      <c r="J495" t="s">
        <v>133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36"/>
        <v>14:41:49.961</v>
      </c>
      <c r="T495" t="str">
        <f t="shared" si="236"/>
        <v>14:41:49.961</v>
      </c>
      <c r="U495" t="str">
        <f t="shared" si="216"/>
        <v>A9808D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240</v>
      </c>
      <c r="AJ495">
        <v>28.249412</v>
      </c>
      <c r="AK495" t="s">
        <v>241</v>
      </c>
      <c r="AL495">
        <v>-82.381775000000005</v>
      </c>
      <c r="AM495">
        <v>100</v>
      </c>
      <c r="AN495">
        <v>600</v>
      </c>
      <c r="AO495" t="s">
        <v>118</v>
      </c>
      <c r="AP495">
        <v>13</v>
      </c>
      <c r="AQ495">
        <v>86</v>
      </c>
      <c r="AR495">
        <v>512</v>
      </c>
      <c r="AZ495">
        <v>1200</v>
      </c>
      <c r="BA495">
        <v>1</v>
      </c>
      <c r="BB495" t="str">
        <f t="shared" si="229"/>
        <v xml:space="preserve">N711JA  </v>
      </c>
      <c r="BC495">
        <v>1</v>
      </c>
      <c r="BE495">
        <v>0</v>
      </c>
      <c r="BF495">
        <v>0</v>
      </c>
      <c r="BG495">
        <v>0</v>
      </c>
      <c r="BH495">
        <v>700</v>
      </c>
      <c r="BI495">
        <v>1</v>
      </c>
      <c r="BJ495">
        <v>1</v>
      </c>
      <c r="BK495">
        <v>0</v>
      </c>
      <c r="BL495">
        <v>0</v>
      </c>
      <c r="BO495">
        <v>0</v>
      </c>
      <c r="BP495">
        <v>0</v>
      </c>
      <c r="BW495" t="str">
        <f t="shared" si="237"/>
        <v>14:41:49.966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3</v>
      </c>
      <c r="CP495" t="s">
        <v>119</v>
      </c>
      <c r="CQ495">
        <v>8</v>
      </c>
      <c r="CR495">
        <v>3</v>
      </c>
      <c r="CW495">
        <v>8680972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 t="shared" ref="A496:A504" si="238">"05/12/2020 14:41:33.082"</f>
        <v>05/12/2020 14:41:33.082</v>
      </c>
      <c r="C496" t="str">
        <f t="shared" si="226"/>
        <v>FFDFD3C0</v>
      </c>
      <c r="D496" t="s">
        <v>113</v>
      </c>
      <c r="E496">
        <v>3</v>
      </c>
      <c r="H496">
        <v>164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ref="S496:T504" si="239">"14:41:50.906"</f>
        <v>14:41:50.906</v>
      </c>
      <c r="T496" t="str">
        <f t="shared" si="239"/>
        <v>14:41:50.906</v>
      </c>
      <c r="U496" t="str">
        <f t="shared" si="216"/>
        <v>A9808D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242</v>
      </c>
      <c r="AJ496">
        <v>28.249841</v>
      </c>
      <c r="AK496" t="s">
        <v>243</v>
      </c>
      <c r="AL496">
        <v>-82.381710999999996</v>
      </c>
      <c r="AM496">
        <v>100</v>
      </c>
      <c r="AN496">
        <v>600</v>
      </c>
      <c r="AO496" t="s">
        <v>118</v>
      </c>
      <c r="AP496">
        <v>13</v>
      </c>
      <c r="AQ496">
        <v>87</v>
      </c>
      <c r="AR496">
        <v>576</v>
      </c>
      <c r="AZ496">
        <v>1200</v>
      </c>
      <c r="BA496">
        <v>1</v>
      </c>
      <c r="BB496" t="str">
        <f t="shared" si="229"/>
        <v xml:space="preserve">N711JA  </v>
      </c>
      <c r="BC496">
        <v>1</v>
      </c>
      <c r="BE496">
        <v>0</v>
      </c>
      <c r="BF496">
        <v>0</v>
      </c>
      <c r="BG496">
        <v>0</v>
      </c>
      <c r="BH496">
        <v>700</v>
      </c>
      <c r="BI496">
        <v>1</v>
      </c>
      <c r="BJ496">
        <v>1</v>
      </c>
      <c r="BK496">
        <v>0</v>
      </c>
      <c r="BL496">
        <v>0</v>
      </c>
      <c r="BO496">
        <v>0</v>
      </c>
      <c r="BP496">
        <v>0</v>
      </c>
      <c r="BW496" t="str">
        <f t="shared" ref="BW496:BW504" si="240">"14:41:50.910"</f>
        <v>14:41:50.910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343</v>
      </c>
      <c r="CR496">
        <v>1</v>
      </c>
      <c r="CW496">
        <v>10560108</v>
      </c>
      <c r="CY496">
        <v>1</v>
      </c>
      <c r="CZ496">
        <v>0</v>
      </c>
      <c r="DA496">
        <v>0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 t="shared" si="238"/>
        <v>05/12/2020 14:41:33.082</v>
      </c>
      <c r="C497" t="str">
        <f t="shared" si="226"/>
        <v>FFDFD3C0</v>
      </c>
      <c r="D497" t="s">
        <v>138</v>
      </c>
      <c r="E497">
        <v>2</v>
      </c>
      <c r="H497">
        <v>8</v>
      </c>
      <c r="I497" t="s">
        <v>139</v>
      </c>
      <c r="J497" t="s">
        <v>136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39"/>
        <v>14:41:50.906</v>
      </c>
      <c r="T497" t="str">
        <f t="shared" si="239"/>
        <v>14:41:50.906</v>
      </c>
      <c r="U497" t="str">
        <f t="shared" si="216"/>
        <v>A9808D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242</v>
      </c>
      <c r="AJ497">
        <v>28.249841</v>
      </c>
      <c r="AK497" t="s">
        <v>243</v>
      </c>
      <c r="AL497">
        <v>-82.381710999999996</v>
      </c>
      <c r="AM497">
        <v>100</v>
      </c>
      <c r="AN497">
        <v>600</v>
      </c>
      <c r="AO497" t="s">
        <v>118</v>
      </c>
      <c r="AP497">
        <v>13</v>
      </c>
      <c r="AQ497">
        <v>87</v>
      </c>
      <c r="AR497">
        <v>576</v>
      </c>
      <c r="AZ497">
        <v>1200</v>
      </c>
      <c r="BA497">
        <v>1</v>
      </c>
      <c r="BB497" t="str">
        <f t="shared" si="229"/>
        <v xml:space="preserve">N711JA  </v>
      </c>
      <c r="BC497">
        <v>1</v>
      </c>
      <c r="BE497">
        <v>0</v>
      </c>
      <c r="BF497">
        <v>0</v>
      </c>
      <c r="BG497">
        <v>0</v>
      </c>
      <c r="BH497">
        <v>700</v>
      </c>
      <c r="BI497">
        <v>1</v>
      </c>
      <c r="BJ497">
        <v>1</v>
      </c>
      <c r="BK497">
        <v>0</v>
      </c>
      <c r="BL497">
        <v>0</v>
      </c>
      <c r="BO497">
        <v>0</v>
      </c>
      <c r="BP497">
        <v>0</v>
      </c>
      <c r="BW497" t="str">
        <f t="shared" si="240"/>
        <v>14:41:50.910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343</v>
      </c>
      <c r="CR497">
        <v>1</v>
      </c>
      <c r="CW497">
        <v>10560108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 t="shared" si="238"/>
        <v>05/12/2020 14:41:33.082</v>
      </c>
      <c r="C498" t="str">
        <f t="shared" si="226"/>
        <v>FFDFD3C0</v>
      </c>
      <c r="D498" t="s">
        <v>138</v>
      </c>
      <c r="E498">
        <v>3</v>
      </c>
      <c r="H498">
        <v>9</v>
      </c>
      <c r="I498" t="s">
        <v>140</v>
      </c>
      <c r="J498" t="s">
        <v>136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39"/>
        <v>14:41:50.906</v>
      </c>
      <c r="T498" t="str">
        <f t="shared" si="239"/>
        <v>14:41:50.906</v>
      </c>
      <c r="U498" t="str">
        <f t="shared" si="216"/>
        <v>A9808D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242</v>
      </c>
      <c r="AJ498">
        <v>28.249841</v>
      </c>
      <c r="AK498" t="s">
        <v>243</v>
      </c>
      <c r="AL498">
        <v>-82.381710999999996</v>
      </c>
      <c r="AM498">
        <v>100</v>
      </c>
      <c r="AN498">
        <v>600</v>
      </c>
      <c r="AO498" t="s">
        <v>118</v>
      </c>
      <c r="AP498">
        <v>13</v>
      </c>
      <c r="AQ498">
        <v>87</v>
      </c>
      <c r="AR498">
        <v>576</v>
      </c>
      <c r="AZ498">
        <v>1200</v>
      </c>
      <c r="BA498">
        <v>1</v>
      </c>
      <c r="BB498" t="str">
        <f t="shared" si="229"/>
        <v xml:space="preserve">N711JA  </v>
      </c>
      <c r="BC498">
        <v>1</v>
      </c>
      <c r="BE498">
        <v>0</v>
      </c>
      <c r="BF498">
        <v>0</v>
      </c>
      <c r="BG498">
        <v>0</v>
      </c>
      <c r="BH498">
        <v>700</v>
      </c>
      <c r="BI498">
        <v>1</v>
      </c>
      <c r="BJ498">
        <v>1</v>
      </c>
      <c r="BK498">
        <v>0</v>
      </c>
      <c r="BL498">
        <v>0</v>
      </c>
      <c r="BO498">
        <v>0</v>
      </c>
      <c r="BP498">
        <v>0</v>
      </c>
      <c r="BW498" t="str">
        <f t="shared" si="240"/>
        <v>14:41:50.910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343</v>
      </c>
      <c r="CR498">
        <v>1</v>
      </c>
      <c r="CW498">
        <v>10560108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 t="shared" si="238"/>
        <v>05/12/2020 14:41:33.082</v>
      </c>
      <c r="C499" t="str">
        <f t="shared" si="226"/>
        <v>FFDFD3C0</v>
      </c>
      <c r="D499" t="s">
        <v>126</v>
      </c>
      <c r="E499">
        <v>6</v>
      </c>
      <c r="F499">
        <v>1006</v>
      </c>
      <c r="G499" t="s">
        <v>114</v>
      </c>
      <c r="J499" t="s">
        <v>128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39"/>
        <v>14:41:50.906</v>
      </c>
      <c r="T499" t="str">
        <f t="shared" si="239"/>
        <v>14:41:50.906</v>
      </c>
      <c r="U499" t="str">
        <f t="shared" si="216"/>
        <v>A9808D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242</v>
      </c>
      <c r="AJ499">
        <v>28.249841</v>
      </c>
      <c r="AK499" t="s">
        <v>243</v>
      </c>
      <c r="AL499">
        <v>-82.381710999999996</v>
      </c>
      <c r="AM499">
        <v>100</v>
      </c>
      <c r="AN499">
        <v>600</v>
      </c>
      <c r="AO499" t="s">
        <v>118</v>
      </c>
      <c r="AP499">
        <v>13</v>
      </c>
      <c r="AQ499">
        <v>87</v>
      </c>
      <c r="AR499">
        <v>576</v>
      </c>
      <c r="AZ499">
        <v>1200</v>
      </c>
      <c r="BA499">
        <v>1</v>
      </c>
      <c r="BB499" t="str">
        <f t="shared" si="229"/>
        <v xml:space="preserve">N711JA  </v>
      </c>
      <c r="BC499">
        <v>1</v>
      </c>
      <c r="BE499">
        <v>0</v>
      </c>
      <c r="BF499">
        <v>0</v>
      </c>
      <c r="BG499">
        <v>0</v>
      </c>
      <c r="BH499">
        <v>700</v>
      </c>
      <c r="BI499">
        <v>1</v>
      </c>
      <c r="BJ499">
        <v>1</v>
      </c>
      <c r="BK499">
        <v>0</v>
      </c>
      <c r="BL499">
        <v>0</v>
      </c>
      <c r="BO499">
        <v>0</v>
      </c>
      <c r="BP499">
        <v>0</v>
      </c>
      <c r="BW499" t="str">
        <f t="shared" si="240"/>
        <v>14:41:50.910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343</v>
      </c>
      <c r="CR499">
        <v>1</v>
      </c>
      <c r="CW499">
        <v>10560108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 t="shared" si="238"/>
        <v>05/12/2020 14:41:33.082</v>
      </c>
      <c r="C500" t="str">
        <f t="shared" si="226"/>
        <v>FFDFD3C0</v>
      </c>
      <c r="D500" t="s">
        <v>134</v>
      </c>
      <c r="E500">
        <v>12</v>
      </c>
      <c r="H500">
        <v>64</v>
      </c>
      <c r="I500" t="s">
        <v>135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239"/>
        <v>14:41:50.906</v>
      </c>
      <c r="T500" t="str">
        <f t="shared" si="239"/>
        <v>14:41:50.906</v>
      </c>
      <c r="U500" t="str">
        <f t="shared" si="216"/>
        <v>A9808D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242</v>
      </c>
      <c r="AJ500">
        <v>28.249841</v>
      </c>
      <c r="AK500" t="s">
        <v>243</v>
      </c>
      <c r="AL500">
        <v>-82.381710999999996</v>
      </c>
      <c r="AM500">
        <v>100</v>
      </c>
      <c r="AN500">
        <v>600</v>
      </c>
      <c r="AO500" t="s">
        <v>118</v>
      </c>
      <c r="AP500">
        <v>13</v>
      </c>
      <c r="AQ500">
        <v>87</v>
      </c>
      <c r="AR500">
        <v>576</v>
      </c>
      <c r="AZ500">
        <v>1200</v>
      </c>
      <c r="BA500">
        <v>1</v>
      </c>
      <c r="BB500" t="str">
        <f t="shared" si="229"/>
        <v xml:space="preserve">N711JA  </v>
      </c>
      <c r="BC500">
        <v>1</v>
      </c>
      <c r="BE500">
        <v>0</v>
      </c>
      <c r="BF500">
        <v>0</v>
      </c>
      <c r="BG500">
        <v>0</v>
      </c>
      <c r="BH500">
        <v>700</v>
      </c>
      <c r="BI500">
        <v>1</v>
      </c>
      <c r="BJ500">
        <v>1</v>
      </c>
      <c r="BK500">
        <v>0</v>
      </c>
      <c r="BL500">
        <v>0</v>
      </c>
      <c r="BO500">
        <v>0</v>
      </c>
      <c r="BP500">
        <v>0</v>
      </c>
      <c r="BW500" t="str">
        <f t="shared" si="240"/>
        <v>14:41:50.910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343</v>
      </c>
      <c r="CR500">
        <v>1</v>
      </c>
      <c r="CW500">
        <v>10560108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 t="shared" si="238"/>
        <v>05/12/2020 14:41:33.082</v>
      </c>
      <c r="C501" t="str">
        <f t="shared" si="226"/>
        <v>FFDFD3C0</v>
      </c>
      <c r="D501" t="s">
        <v>126</v>
      </c>
      <c r="E501">
        <v>7</v>
      </c>
      <c r="F501">
        <v>1007</v>
      </c>
      <c r="G501" t="s">
        <v>127</v>
      </c>
      <c r="J501" t="s">
        <v>128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39"/>
        <v>14:41:50.906</v>
      </c>
      <c r="T501" t="str">
        <f t="shared" si="239"/>
        <v>14:41:50.906</v>
      </c>
      <c r="U501" t="str">
        <f t="shared" si="216"/>
        <v>A9808D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242</v>
      </c>
      <c r="AJ501">
        <v>28.249841</v>
      </c>
      <c r="AK501" t="s">
        <v>243</v>
      </c>
      <c r="AL501">
        <v>-82.381710999999996</v>
      </c>
      <c r="AM501">
        <v>100</v>
      </c>
      <c r="AN501">
        <v>600</v>
      </c>
      <c r="AO501" t="s">
        <v>118</v>
      </c>
      <c r="AP501">
        <v>13</v>
      </c>
      <c r="AQ501">
        <v>87</v>
      </c>
      <c r="AR501">
        <v>576</v>
      </c>
      <c r="AZ501">
        <v>1200</v>
      </c>
      <c r="BA501">
        <v>1</v>
      </c>
      <c r="BB501" t="str">
        <f t="shared" si="229"/>
        <v xml:space="preserve">N711JA  </v>
      </c>
      <c r="BC501">
        <v>1</v>
      </c>
      <c r="BE501">
        <v>0</v>
      </c>
      <c r="BF501">
        <v>0</v>
      </c>
      <c r="BG501">
        <v>0</v>
      </c>
      <c r="BH501">
        <v>700</v>
      </c>
      <c r="BI501">
        <v>1</v>
      </c>
      <c r="BJ501">
        <v>1</v>
      </c>
      <c r="BK501">
        <v>0</v>
      </c>
      <c r="BL501">
        <v>0</v>
      </c>
      <c r="BO501">
        <v>0</v>
      </c>
      <c r="BP501">
        <v>0</v>
      </c>
      <c r="BW501" t="str">
        <f t="shared" si="240"/>
        <v>14:41:50.910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343</v>
      </c>
      <c r="CR501">
        <v>1</v>
      </c>
      <c r="CW501">
        <v>10560108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 t="shared" si="238"/>
        <v>05/12/2020 14:41:33.082</v>
      </c>
      <c r="C502" t="str">
        <f t="shared" si="226"/>
        <v>FFDFD3C0</v>
      </c>
      <c r="D502" t="s">
        <v>131</v>
      </c>
      <c r="E502">
        <v>10</v>
      </c>
      <c r="F502">
        <v>2010</v>
      </c>
      <c r="G502" t="s">
        <v>132</v>
      </c>
      <c r="J502" t="s">
        <v>133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39"/>
        <v>14:41:50.906</v>
      </c>
      <c r="T502" t="str">
        <f t="shared" si="239"/>
        <v>14:41:50.906</v>
      </c>
      <c r="U502" t="str">
        <f t="shared" si="216"/>
        <v>A9808D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242</v>
      </c>
      <c r="AJ502">
        <v>28.249841</v>
      </c>
      <c r="AK502" t="s">
        <v>243</v>
      </c>
      <c r="AL502">
        <v>-82.381710999999996</v>
      </c>
      <c r="AM502">
        <v>100</v>
      </c>
      <c r="AN502">
        <v>600</v>
      </c>
      <c r="AO502" t="s">
        <v>118</v>
      </c>
      <c r="AP502">
        <v>13</v>
      </c>
      <c r="AQ502">
        <v>87</v>
      </c>
      <c r="AR502">
        <v>576</v>
      </c>
      <c r="AZ502">
        <v>1200</v>
      </c>
      <c r="BA502">
        <v>1</v>
      </c>
      <c r="BB502" t="str">
        <f t="shared" si="229"/>
        <v xml:space="preserve">N711JA  </v>
      </c>
      <c r="BC502">
        <v>1</v>
      </c>
      <c r="BE502">
        <v>0</v>
      </c>
      <c r="BF502">
        <v>0</v>
      </c>
      <c r="BG502">
        <v>0</v>
      </c>
      <c r="BH502">
        <v>700</v>
      </c>
      <c r="BI502">
        <v>1</v>
      </c>
      <c r="BJ502">
        <v>1</v>
      </c>
      <c r="BK502">
        <v>0</v>
      </c>
      <c r="BL502">
        <v>0</v>
      </c>
      <c r="BO502">
        <v>0</v>
      </c>
      <c r="BP502">
        <v>0</v>
      </c>
      <c r="BW502" t="str">
        <f t="shared" si="240"/>
        <v>14:41:50.910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343</v>
      </c>
      <c r="CR502">
        <v>1</v>
      </c>
      <c r="CW502">
        <v>10560108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 t="shared" si="238"/>
        <v>05/12/2020 14:41:33.082</v>
      </c>
      <c r="C503" t="str">
        <f t="shared" si="226"/>
        <v>FFDFD3C0</v>
      </c>
      <c r="D503" t="s">
        <v>131</v>
      </c>
      <c r="E503">
        <v>12</v>
      </c>
      <c r="F503">
        <v>2012</v>
      </c>
      <c r="G503" t="s">
        <v>137</v>
      </c>
      <c r="J503" t="s">
        <v>133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39"/>
        <v>14:41:50.906</v>
      </c>
      <c r="T503" t="str">
        <f t="shared" si="239"/>
        <v>14:41:50.906</v>
      </c>
      <c r="U503" t="str">
        <f t="shared" si="216"/>
        <v>A9808D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242</v>
      </c>
      <c r="AJ503">
        <v>28.249841</v>
      </c>
      <c r="AK503" t="s">
        <v>243</v>
      </c>
      <c r="AL503">
        <v>-82.381710999999996</v>
      </c>
      <c r="AM503">
        <v>100</v>
      </c>
      <c r="AN503">
        <v>600</v>
      </c>
      <c r="AO503" t="s">
        <v>118</v>
      </c>
      <c r="AP503">
        <v>13</v>
      </c>
      <c r="AQ503">
        <v>87</v>
      </c>
      <c r="AR503">
        <v>576</v>
      </c>
      <c r="AZ503">
        <v>1200</v>
      </c>
      <c r="BA503">
        <v>1</v>
      </c>
      <c r="BB503" t="str">
        <f t="shared" si="229"/>
        <v xml:space="preserve">N711JA  </v>
      </c>
      <c r="BC503">
        <v>1</v>
      </c>
      <c r="BE503">
        <v>0</v>
      </c>
      <c r="BF503">
        <v>0</v>
      </c>
      <c r="BG503">
        <v>0</v>
      </c>
      <c r="BH503">
        <v>700</v>
      </c>
      <c r="BI503">
        <v>1</v>
      </c>
      <c r="BJ503">
        <v>1</v>
      </c>
      <c r="BK503">
        <v>0</v>
      </c>
      <c r="BL503">
        <v>0</v>
      </c>
      <c r="BO503">
        <v>0</v>
      </c>
      <c r="BP503">
        <v>0</v>
      </c>
      <c r="BW503" t="str">
        <f t="shared" si="240"/>
        <v>14:41:50.910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343</v>
      </c>
      <c r="CR503">
        <v>1</v>
      </c>
      <c r="CW503">
        <v>10560108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 t="shared" si="238"/>
        <v>05/12/2020 14:41:33.082</v>
      </c>
      <c r="C504" t="str">
        <f t="shared" si="226"/>
        <v>FFDFD3C0</v>
      </c>
      <c r="D504" t="s">
        <v>131</v>
      </c>
      <c r="E504">
        <v>18</v>
      </c>
      <c r="F504">
        <v>2018</v>
      </c>
      <c r="G504" t="s">
        <v>161</v>
      </c>
      <c r="J504" t="s">
        <v>133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39"/>
        <v>14:41:50.906</v>
      </c>
      <c r="T504" t="str">
        <f t="shared" si="239"/>
        <v>14:41:50.906</v>
      </c>
      <c r="U504" t="str">
        <f t="shared" si="216"/>
        <v>A9808D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242</v>
      </c>
      <c r="AJ504">
        <v>28.249841</v>
      </c>
      <c r="AK504" t="s">
        <v>243</v>
      </c>
      <c r="AL504">
        <v>-82.381710999999996</v>
      </c>
      <c r="AM504">
        <v>100</v>
      </c>
      <c r="AN504">
        <v>600</v>
      </c>
      <c r="AO504" t="s">
        <v>118</v>
      </c>
      <c r="AP504">
        <v>13</v>
      </c>
      <c r="AQ504">
        <v>87</v>
      </c>
      <c r="AR504">
        <v>576</v>
      </c>
      <c r="AZ504">
        <v>1200</v>
      </c>
      <c r="BA504">
        <v>1</v>
      </c>
      <c r="BB504" t="str">
        <f t="shared" si="229"/>
        <v xml:space="preserve">N711JA  </v>
      </c>
      <c r="BC504">
        <v>1</v>
      </c>
      <c r="BE504">
        <v>0</v>
      </c>
      <c r="BF504">
        <v>0</v>
      </c>
      <c r="BG504">
        <v>0</v>
      </c>
      <c r="BH504">
        <v>700</v>
      </c>
      <c r="BI504">
        <v>1</v>
      </c>
      <c r="BJ504">
        <v>1</v>
      </c>
      <c r="BK504">
        <v>0</v>
      </c>
      <c r="BL504">
        <v>0</v>
      </c>
      <c r="BO504">
        <v>0</v>
      </c>
      <c r="BP504">
        <v>0</v>
      </c>
      <c r="BW504" t="str">
        <f t="shared" si="240"/>
        <v>14:41:50.910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343</v>
      </c>
      <c r="CR504">
        <v>1</v>
      </c>
      <c r="CW504">
        <v>10560108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 t="shared" ref="A505:A513" si="241">"05/12/2020 14:41:34.075"</f>
        <v>05/12/2020 14:41:34.075</v>
      </c>
      <c r="C505" t="str">
        <f t="shared" si="226"/>
        <v>FFDFD3C0</v>
      </c>
      <c r="D505" t="s">
        <v>126</v>
      </c>
      <c r="E505">
        <v>7</v>
      </c>
      <c r="F505">
        <v>1007</v>
      </c>
      <c r="G505" t="s">
        <v>127</v>
      </c>
      <c r="J505" t="s">
        <v>128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ref="S505:S513" si="242">"14:41:51.898"</f>
        <v>14:41:51.898</v>
      </c>
      <c r="T505" t="str">
        <f t="shared" ref="T505:T513" si="243">"14:41:51.798"</f>
        <v>14:41:51.798</v>
      </c>
      <c r="U505" t="str">
        <f t="shared" si="216"/>
        <v>A9808D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244</v>
      </c>
      <c r="AJ505">
        <v>28.250247999999999</v>
      </c>
      <c r="AK505" t="s">
        <v>245</v>
      </c>
      <c r="AL505">
        <v>-82.381668000000005</v>
      </c>
      <c r="AM505">
        <v>100</v>
      </c>
      <c r="AN505">
        <v>600</v>
      </c>
      <c r="AO505" t="s">
        <v>118</v>
      </c>
      <c r="AP505">
        <v>13</v>
      </c>
      <c r="AQ505">
        <v>87</v>
      </c>
      <c r="AR505">
        <v>576</v>
      </c>
      <c r="AZ505">
        <v>1200</v>
      </c>
      <c r="BA505">
        <v>1</v>
      </c>
      <c r="BB505" t="str">
        <f t="shared" si="229"/>
        <v xml:space="preserve">N711JA  </v>
      </c>
      <c r="BC505">
        <v>1</v>
      </c>
      <c r="BE505">
        <v>0</v>
      </c>
      <c r="BF505">
        <v>0</v>
      </c>
      <c r="BG505">
        <v>0</v>
      </c>
      <c r="BH505">
        <v>700</v>
      </c>
      <c r="BI505">
        <v>1</v>
      </c>
      <c r="BJ505">
        <v>1</v>
      </c>
      <c r="BK505">
        <v>0</v>
      </c>
      <c r="BL505">
        <v>0</v>
      </c>
      <c r="BO505">
        <v>0</v>
      </c>
      <c r="BP505">
        <v>0</v>
      </c>
      <c r="BW505" t="str">
        <f t="shared" ref="BW505:BW513" si="244">"14:41:51.904"</f>
        <v>14:41:51.904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343</v>
      </c>
      <c r="CR505">
        <v>2</v>
      </c>
      <c r="CW505">
        <v>12974090</v>
      </c>
      <c r="CY505">
        <v>1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 t="shared" si="241"/>
        <v>05/12/2020 14:41:34.075</v>
      </c>
      <c r="C506" t="str">
        <f t="shared" si="226"/>
        <v>FFDFD3C0</v>
      </c>
      <c r="D506" t="s">
        <v>131</v>
      </c>
      <c r="E506">
        <v>10</v>
      </c>
      <c r="F506">
        <v>2010</v>
      </c>
      <c r="G506" t="s">
        <v>132</v>
      </c>
      <c r="J506" t="s">
        <v>133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42"/>
        <v>14:41:51.898</v>
      </c>
      <c r="T506" t="str">
        <f t="shared" si="243"/>
        <v>14:41:51.798</v>
      </c>
      <c r="U506" t="str">
        <f t="shared" si="216"/>
        <v>A9808D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244</v>
      </c>
      <c r="AJ506">
        <v>28.250247999999999</v>
      </c>
      <c r="AK506" t="s">
        <v>245</v>
      </c>
      <c r="AL506">
        <v>-82.381668000000005</v>
      </c>
      <c r="AM506">
        <v>100</v>
      </c>
      <c r="AN506">
        <v>600</v>
      </c>
      <c r="AO506" t="s">
        <v>118</v>
      </c>
      <c r="AP506">
        <v>13</v>
      </c>
      <c r="AQ506">
        <v>87</v>
      </c>
      <c r="AR506">
        <v>576</v>
      </c>
      <c r="AZ506">
        <v>1200</v>
      </c>
      <c r="BA506">
        <v>1</v>
      </c>
      <c r="BB506" t="str">
        <f t="shared" si="229"/>
        <v xml:space="preserve">N711JA  </v>
      </c>
      <c r="BC506">
        <v>1</v>
      </c>
      <c r="BE506">
        <v>0</v>
      </c>
      <c r="BF506">
        <v>0</v>
      </c>
      <c r="BG506">
        <v>0</v>
      </c>
      <c r="BH506">
        <v>700</v>
      </c>
      <c r="BI506">
        <v>1</v>
      </c>
      <c r="BJ506">
        <v>1</v>
      </c>
      <c r="BK506">
        <v>0</v>
      </c>
      <c r="BL506">
        <v>0</v>
      </c>
      <c r="BO506">
        <v>0</v>
      </c>
      <c r="BP506">
        <v>0</v>
      </c>
      <c r="BW506" t="str">
        <f t="shared" si="244"/>
        <v>14:41:51.904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343</v>
      </c>
      <c r="CR506">
        <v>2</v>
      </c>
      <c r="CW506">
        <v>12974090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 t="shared" si="241"/>
        <v>05/12/2020 14:41:34.075</v>
      </c>
      <c r="C507" t="str">
        <f t="shared" si="226"/>
        <v>FFDFD3C0</v>
      </c>
      <c r="D507" t="s">
        <v>131</v>
      </c>
      <c r="E507">
        <v>12</v>
      </c>
      <c r="F507">
        <v>2012</v>
      </c>
      <c r="G507" t="s">
        <v>137</v>
      </c>
      <c r="J507" t="s">
        <v>133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42"/>
        <v>14:41:51.898</v>
      </c>
      <c r="T507" t="str">
        <f t="shared" si="243"/>
        <v>14:41:51.798</v>
      </c>
      <c r="U507" t="str">
        <f t="shared" si="216"/>
        <v>A9808D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244</v>
      </c>
      <c r="AJ507">
        <v>28.250247999999999</v>
      </c>
      <c r="AK507" t="s">
        <v>245</v>
      </c>
      <c r="AL507">
        <v>-82.381668000000005</v>
      </c>
      <c r="AM507">
        <v>100</v>
      </c>
      <c r="AN507">
        <v>600</v>
      </c>
      <c r="AO507" t="s">
        <v>118</v>
      </c>
      <c r="AP507">
        <v>13</v>
      </c>
      <c r="AQ507">
        <v>87</v>
      </c>
      <c r="AR507">
        <v>576</v>
      </c>
      <c r="AZ507">
        <v>1200</v>
      </c>
      <c r="BA507">
        <v>1</v>
      </c>
      <c r="BB507" t="str">
        <f t="shared" si="229"/>
        <v xml:space="preserve">N711JA  </v>
      </c>
      <c r="BC507">
        <v>1</v>
      </c>
      <c r="BE507">
        <v>0</v>
      </c>
      <c r="BF507">
        <v>0</v>
      </c>
      <c r="BG507">
        <v>0</v>
      </c>
      <c r="BH507">
        <v>700</v>
      </c>
      <c r="BI507">
        <v>1</v>
      </c>
      <c r="BJ507">
        <v>1</v>
      </c>
      <c r="BK507">
        <v>0</v>
      </c>
      <c r="BL507">
        <v>0</v>
      </c>
      <c r="BO507">
        <v>0</v>
      </c>
      <c r="BP507">
        <v>0</v>
      </c>
      <c r="BW507" t="str">
        <f t="shared" si="244"/>
        <v>14:41:51.904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343</v>
      </c>
      <c r="CR507">
        <v>2</v>
      </c>
      <c r="CW507">
        <v>12974090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 t="shared" si="241"/>
        <v>05/12/2020 14:41:34.075</v>
      </c>
      <c r="C508" t="str">
        <f t="shared" si="226"/>
        <v>FFDFD3C0</v>
      </c>
      <c r="D508" t="s">
        <v>131</v>
      </c>
      <c r="E508">
        <v>18</v>
      </c>
      <c r="F508">
        <v>2018</v>
      </c>
      <c r="G508" t="s">
        <v>161</v>
      </c>
      <c r="J508" t="s">
        <v>133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42"/>
        <v>14:41:51.898</v>
      </c>
      <c r="T508" t="str">
        <f t="shared" si="243"/>
        <v>14:41:51.798</v>
      </c>
      <c r="U508" t="str">
        <f t="shared" si="216"/>
        <v>A9808D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244</v>
      </c>
      <c r="AJ508">
        <v>28.250247999999999</v>
      </c>
      <c r="AK508" t="s">
        <v>245</v>
      </c>
      <c r="AL508">
        <v>-82.381668000000005</v>
      </c>
      <c r="AM508">
        <v>100</v>
      </c>
      <c r="AN508">
        <v>600</v>
      </c>
      <c r="AO508" t="s">
        <v>118</v>
      </c>
      <c r="AP508">
        <v>13</v>
      </c>
      <c r="AQ508">
        <v>87</v>
      </c>
      <c r="AR508">
        <v>576</v>
      </c>
      <c r="AZ508">
        <v>1200</v>
      </c>
      <c r="BA508">
        <v>1</v>
      </c>
      <c r="BB508" t="str">
        <f t="shared" si="229"/>
        <v xml:space="preserve">N711JA  </v>
      </c>
      <c r="BC508">
        <v>1</v>
      </c>
      <c r="BE508">
        <v>0</v>
      </c>
      <c r="BF508">
        <v>0</v>
      </c>
      <c r="BG508">
        <v>0</v>
      </c>
      <c r="BH508">
        <v>700</v>
      </c>
      <c r="BI508">
        <v>1</v>
      </c>
      <c r="BJ508">
        <v>1</v>
      </c>
      <c r="BK508">
        <v>0</v>
      </c>
      <c r="BL508">
        <v>0</v>
      </c>
      <c r="BO508">
        <v>0</v>
      </c>
      <c r="BP508">
        <v>0</v>
      </c>
      <c r="BW508" t="str">
        <f t="shared" si="244"/>
        <v>14:41:51.904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343</v>
      </c>
      <c r="CR508">
        <v>2</v>
      </c>
      <c r="CW508">
        <v>12974090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si="241"/>
        <v>05/12/2020 14:41:34.075</v>
      </c>
      <c r="C509" t="str">
        <f t="shared" si="226"/>
        <v>FFDFD3C0</v>
      </c>
      <c r="D509" t="s">
        <v>113</v>
      </c>
      <c r="E509">
        <v>3</v>
      </c>
      <c r="H509">
        <v>164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242"/>
        <v>14:41:51.898</v>
      </c>
      <c r="T509" t="str">
        <f t="shared" si="243"/>
        <v>14:41:51.798</v>
      </c>
      <c r="U509" t="str">
        <f t="shared" si="216"/>
        <v>A9808D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244</v>
      </c>
      <c r="AJ509">
        <v>28.250247999999999</v>
      </c>
      <c r="AK509" t="s">
        <v>245</v>
      </c>
      <c r="AL509">
        <v>-82.381668000000005</v>
      </c>
      <c r="AM509">
        <v>100</v>
      </c>
      <c r="AN509">
        <v>600</v>
      </c>
      <c r="AO509" t="s">
        <v>118</v>
      </c>
      <c r="AP509">
        <v>13</v>
      </c>
      <c r="AQ509">
        <v>87</v>
      </c>
      <c r="AR509">
        <v>576</v>
      </c>
      <c r="AZ509">
        <v>1200</v>
      </c>
      <c r="BA509">
        <v>1</v>
      </c>
      <c r="BB509" t="str">
        <f t="shared" si="229"/>
        <v xml:space="preserve">N711JA  </v>
      </c>
      <c r="BC509">
        <v>1</v>
      </c>
      <c r="BE509">
        <v>0</v>
      </c>
      <c r="BF509">
        <v>0</v>
      </c>
      <c r="BG509">
        <v>0</v>
      </c>
      <c r="BH509">
        <v>700</v>
      </c>
      <c r="BI509">
        <v>1</v>
      </c>
      <c r="BJ509">
        <v>1</v>
      </c>
      <c r="BK509">
        <v>0</v>
      </c>
      <c r="BL509">
        <v>0</v>
      </c>
      <c r="BO509">
        <v>0</v>
      </c>
      <c r="BP509">
        <v>0</v>
      </c>
      <c r="BW509" t="str">
        <f t="shared" si="244"/>
        <v>14:41:51.904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343</v>
      </c>
      <c r="CR509">
        <v>2</v>
      </c>
      <c r="CW509">
        <v>12974090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241"/>
        <v>05/12/2020 14:41:34.075</v>
      </c>
      <c r="C510" t="str">
        <f t="shared" si="226"/>
        <v>FFDFD3C0</v>
      </c>
      <c r="D510" t="s">
        <v>138</v>
      </c>
      <c r="E510">
        <v>2</v>
      </c>
      <c r="H510">
        <v>8</v>
      </c>
      <c r="I510" t="s">
        <v>139</v>
      </c>
      <c r="J510" t="s">
        <v>136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242"/>
        <v>14:41:51.898</v>
      </c>
      <c r="T510" t="str">
        <f t="shared" si="243"/>
        <v>14:41:51.798</v>
      </c>
      <c r="U510" t="str">
        <f t="shared" si="216"/>
        <v>A9808D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244</v>
      </c>
      <c r="AJ510">
        <v>28.250247999999999</v>
      </c>
      <c r="AK510" t="s">
        <v>245</v>
      </c>
      <c r="AL510">
        <v>-82.381668000000005</v>
      </c>
      <c r="AM510">
        <v>100</v>
      </c>
      <c r="AN510">
        <v>600</v>
      </c>
      <c r="AO510" t="s">
        <v>118</v>
      </c>
      <c r="AP510">
        <v>13</v>
      </c>
      <c r="AQ510">
        <v>87</v>
      </c>
      <c r="AR510">
        <v>576</v>
      </c>
      <c r="AZ510">
        <v>1200</v>
      </c>
      <c r="BA510">
        <v>1</v>
      </c>
      <c r="BB510" t="str">
        <f t="shared" si="229"/>
        <v xml:space="preserve">N711JA  </v>
      </c>
      <c r="BC510">
        <v>1</v>
      </c>
      <c r="BE510">
        <v>0</v>
      </c>
      <c r="BF510">
        <v>0</v>
      </c>
      <c r="BG510">
        <v>0</v>
      </c>
      <c r="BH510">
        <v>700</v>
      </c>
      <c r="BI510">
        <v>1</v>
      </c>
      <c r="BJ510">
        <v>1</v>
      </c>
      <c r="BK510">
        <v>0</v>
      </c>
      <c r="BL510">
        <v>0</v>
      </c>
      <c r="BO510">
        <v>0</v>
      </c>
      <c r="BP510">
        <v>0</v>
      </c>
      <c r="BW510" t="str">
        <f t="shared" si="244"/>
        <v>14:41:51.904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343</v>
      </c>
      <c r="CR510">
        <v>2</v>
      </c>
      <c r="CW510">
        <v>12974090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241"/>
        <v>05/12/2020 14:41:34.075</v>
      </c>
      <c r="C511" t="str">
        <f t="shared" si="226"/>
        <v>FFDFD3C0</v>
      </c>
      <c r="D511" t="s">
        <v>138</v>
      </c>
      <c r="E511">
        <v>3</v>
      </c>
      <c r="H511">
        <v>9</v>
      </c>
      <c r="I511" t="s">
        <v>140</v>
      </c>
      <c r="J511" t="s">
        <v>136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242"/>
        <v>14:41:51.898</v>
      </c>
      <c r="T511" t="str">
        <f t="shared" si="243"/>
        <v>14:41:51.798</v>
      </c>
      <c r="U511" t="str">
        <f t="shared" si="216"/>
        <v>A9808D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244</v>
      </c>
      <c r="AJ511">
        <v>28.250247999999999</v>
      </c>
      <c r="AK511" t="s">
        <v>245</v>
      </c>
      <c r="AL511">
        <v>-82.381668000000005</v>
      </c>
      <c r="AM511">
        <v>100</v>
      </c>
      <c r="AN511">
        <v>600</v>
      </c>
      <c r="AO511" t="s">
        <v>118</v>
      </c>
      <c r="AP511">
        <v>13</v>
      </c>
      <c r="AQ511">
        <v>87</v>
      </c>
      <c r="AR511">
        <v>576</v>
      </c>
      <c r="AZ511">
        <v>1200</v>
      </c>
      <c r="BA511">
        <v>1</v>
      </c>
      <c r="BB511" t="str">
        <f t="shared" si="229"/>
        <v xml:space="preserve">N711JA  </v>
      </c>
      <c r="BC511">
        <v>1</v>
      </c>
      <c r="BE511">
        <v>0</v>
      </c>
      <c r="BF511">
        <v>0</v>
      </c>
      <c r="BG511">
        <v>0</v>
      </c>
      <c r="BH511">
        <v>700</v>
      </c>
      <c r="BI511">
        <v>1</v>
      </c>
      <c r="BJ511">
        <v>1</v>
      </c>
      <c r="BK511">
        <v>0</v>
      </c>
      <c r="BL511">
        <v>0</v>
      </c>
      <c r="BO511">
        <v>0</v>
      </c>
      <c r="BP511">
        <v>0</v>
      </c>
      <c r="BW511" t="str">
        <f t="shared" si="244"/>
        <v>14:41:51.904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343</v>
      </c>
      <c r="CR511">
        <v>2</v>
      </c>
      <c r="CW511">
        <v>12974090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si="241"/>
        <v>05/12/2020 14:41:34.075</v>
      </c>
      <c r="C512" t="str">
        <f t="shared" si="226"/>
        <v>FFDFD3C0</v>
      </c>
      <c r="D512" t="s">
        <v>126</v>
      </c>
      <c r="E512">
        <v>6</v>
      </c>
      <c r="F512">
        <v>1006</v>
      </c>
      <c r="G512" t="s">
        <v>114</v>
      </c>
      <c r="J512" t="s">
        <v>128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242"/>
        <v>14:41:51.898</v>
      </c>
      <c r="T512" t="str">
        <f t="shared" si="243"/>
        <v>14:41:51.798</v>
      </c>
      <c r="U512" t="str">
        <f t="shared" si="216"/>
        <v>A9808D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244</v>
      </c>
      <c r="AJ512">
        <v>28.250247999999999</v>
      </c>
      <c r="AK512" t="s">
        <v>245</v>
      </c>
      <c r="AL512">
        <v>-82.381668000000005</v>
      </c>
      <c r="AM512">
        <v>100</v>
      </c>
      <c r="AN512">
        <v>600</v>
      </c>
      <c r="AO512" t="s">
        <v>118</v>
      </c>
      <c r="AP512">
        <v>13</v>
      </c>
      <c r="AQ512">
        <v>87</v>
      </c>
      <c r="AR512">
        <v>576</v>
      </c>
      <c r="AZ512">
        <v>1200</v>
      </c>
      <c r="BA512">
        <v>1</v>
      </c>
      <c r="BB512" t="str">
        <f t="shared" si="229"/>
        <v xml:space="preserve">N711JA  </v>
      </c>
      <c r="BC512">
        <v>1</v>
      </c>
      <c r="BE512">
        <v>0</v>
      </c>
      <c r="BF512">
        <v>0</v>
      </c>
      <c r="BG512">
        <v>0</v>
      </c>
      <c r="BH512">
        <v>700</v>
      </c>
      <c r="BI512">
        <v>1</v>
      </c>
      <c r="BJ512">
        <v>1</v>
      </c>
      <c r="BK512">
        <v>0</v>
      </c>
      <c r="BL512">
        <v>0</v>
      </c>
      <c r="BO512">
        <v>0</v>
      </c>
      <c r="BP512">
        <v>0</v>
      </c>
      <c r="BW512" t="str">
        <f t="shared" si="244"/>
        <v>14:41:51.904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343</v>
      </c>
      <c r="CR512">
        <v>2</v>
      </c>
      <c r="CW512">
        <v>12974090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241"/>
        <v>05/12/2020 14:41:34.075</v>
      </c>
      <c r="C513" t="str">
        <f t="shared" si="226"/>
        <v>FFDFD3C0</v>
      </c>
      <c r="D513" t="s">
        <v>134</v>
      </c>
      <c r="E513">
        <v>12</v>
      </c>
      <c r="H513">
        <v>64</v>
      </c>
      <c r="I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42"/>
        <v>14:41:51.898</v>
      </c>
      <c r="T513" t="str">
        <f t="shared" si="243"/>
        <v>14:41:51.798</v>
      </c>
      <c r="U513" t="str">
        <f t="shared" si="216"/>
        <v>A9808D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244</v>
      </c>
      <c r="AJ513">
        <v>28.250247999999999</v>
      </c>
      <c r="AK513" t="s">
        <v>245</v>
      </c>
      <c r="AL513">
        <v>-82.381668000000005</v>
      </c>
      <c r="AM513">
        <v>100</v>
      </c>
      <c r="AN513">
        <v>600</v>
      </c>
      <c r="AO513" t="s">
        <v>118</v>
      </c>
      <c r="AP513">
        <v>13</v>
      </c>
      <c r="AQ513">
        <v>87</v>
      </c>
      <c r="AR513">
        <v>576</v>
      </c>
      <c r="AZ513">
        <v>1200</v>
      </c>
      <c r="BA513">
        <v>1</v>
      </c>
      <c r="BB513" t="str">
        <f t="shared" si="229"/>
        <v xml:space="preserve">N711JA  </v>
      </c>
      <c r="BC513">
        <v>1</v>
      </c>
      <c r="BE513">
        <v>0</v>
      </c>
      <c r="BF513">
        <v>0</v>
      </c>
      <c r="BG513">
        <v>0</v>
      </c>
      <c r="BH513">
        <v>700</v>
      </c>
      <c r="BI513">
        <v>1</v>
      </c>
      <c r="BJ513">
        <v>1</v>
      </c>
      <c r="BK513">
        <v>0</v>
      </c>
      <c r="BL513">
        <v>0</v>
      </c>
      <c r="BO513">
        <v>0</v>
      </c>
      <c r="BP513">
        <v>0</v>
      </c>
      <c r="BW513" t="str">
        <f t="shared" si="244"/>
        <v>14:41:51.904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343</v>
      </c>
      <c r="CR513">
        <v>2</v>
      </c>
      <c r="CW513">
        <v>12974090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ref="A514:A522" si="245">"05/12/2020 14:41:35.055"</f>
        <v>05/12/2020 14:41:35.055</v>
      </c>
      <c r="C514" t="str">
        <f t="shared" si="226"/>
        <v>FFDFD3C0</v>
      </c>
      <c r="D514" t="s">
        <v>113</v>
      </c>
      <c r="E514">
        <v>3</v>
      </c>
      <c r="H514">
        <v>164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ref="S514:T522" si="246">"14:41:52.891"</f>
        <v>14:41:52.891</v>
      </c>
      <c r="T514" t="str">
        <f t="shared" si="246"/>
        <v>14:41:52.891</v>
      </c>
      <c r="U514" t="str">
        <f t="shared" ref="U514:U577" si="247">"A9808D"</f>
        <v>A9808D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246</v>
      </c>
      <c r="AJ514">
        <v>28.250613000000001</v>
      </c>
      <c r="AK514" t="s">
        <v>154</v>
      </c>
      <c r="AL514">
        <v>-82.381625</v>
      </c>
      <c r="AM514">
        <v>100</v>
      </c>
      <c r="AN514">
        <v>600</v>
      </c>
      <c r="AO514" t="s">
        <v>118</v>
      </c>
      <c r="AP514">
        <v>12</v>
      </c>
      <c r="AQ514">
        <v>87</v>
      </c>
      <c r="AR514">
        <v>512</v>
      </c>
      <c r="AZ514">
        <v>1200</v>
      </c>
      <c r="BA514">
        <v>1</v>
      </c>
      <c r="BB514" t="str">
        <f t="shared" si="229"/>
        <v xml:space="preserve">N711JA  </v>
      </c>
      <c r="BC514">
        <v>1</v>
      </c>
      <c r="BE514">
        <v>0</v>
      </c>
      <c r="BF514">
        <v>0</v>
      </c>
      <c r="BG514">
        <v>0</v>
      </c>
      <c r="BH514">
        <v>725</v>
      </c>
      <c r="BI514">
        <v>1</v>
      </c>
      <c r="BJ514">
        <v>1</v>
      </c>
      <c r="BK514">
        <v>0</v>
      </c>
      <c r="BL514">
        <v>0</v>
      </c>
      <c r="BO514">
        <v>0</v>
      </c>
      <c r="BP514">
        <v>0</v>
      </c>
      <c r="BW514" t="str">
        <f t="shared" ref="BW514:BW522" si="248">"14:41:52.891"</f>
        <v>14:41:52.891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343</v>
      </c>
      <c r="CR514">
        <v>0</v>
      </c>
      <c r="CW514">
        <v>5626876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si="245"/>
        <v>05/12/2020 14:41:35.055</v>
      </c>
      <c r="C515" t="str">
        <f t="shared" si="226"/>
        <v>FFDFD3C0</v>
      </c>
      <c r="D515" t="s">
        <v>138</v>
      </c>
      <c r="E515">
        <v>2</v>
      </c>
      <c r="H515">
        <v>8</v>
      </c>
      <c r="I515" t="s">
        <v>139</v>
      </c>
      <c r="J515" t="s">
        <v>136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46"/>
        <v>14:41:52.891</v>
      </c>
      <c r="T515" t="str">
        <f t="shared" si="246"/>
        <v>14:41:52.891</v>
      </c>
      <c r="U515" t="str">
        <f t="shared" si="247"/>
        <v>A9808D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246</v>
      </c>
      <c r="AJ515">
        <v>28.250613000000001</v>
      </c>
      <c r="AK515" t="s">
        <v>154</v>
      </c>
      <c r="AL515">
        <v>-82.381625</v>
      </c>
      <c r="AM515">
        <v>100</v>
      </c>
      <c r="AN515">
        <v>600</v>
      </c>
      <c r="AO515" t="s">
        <v>118</v>
      </c>
      <c r="AP515">
        <v>12</v>
      </c>
      <c r="AQ515">
        <v>87</v>
      </c>
      <c r="AR515">
        <v>512</v>
      </c>
      <c r="AZ515">
        <v>1200</v>
      </c>
      <c r="BA515">
        <v>1</v>
      </c>
      <c r="BB515" t="str">
        <f t="shared" si="229"/>
        <v xml:space="preserve">N711JA  </v>
      </c>
      <c r="BC515">
        <v>1</v>
      </c>
      <c r="BE515">
        <v>0</v>
      </c>
      <c r="BF515">
        <v>0</v>
      </c>
      <c r="BG515">
        <v>0</v>
      </c>
      <c r="BH515">
        <v>725</v>
      </c>
      <c r="BI515">
        <v>1</v>
      </c>
      <c r="BJ515">
        <v>1</v>
      </c>
      <c r="BK515">
        <v>0</v>
      </c>
      <c r="BL515">
        <v>0</v>
      </c>
      <c r="BO515">
        <v>0</v>
      </c>
      <c r="BP515">
        <v>0</v>
      </c>
      <c r="BW515" t="str">
        <f t="shared" si="248"/>
        <v>14:41:52.891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343</v>
      </c>
      <c r="CR515">
        <v>0</v>
      </c>
      <c r="CW515">
        <v>5626876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si="245"/>
        <v>05/12/2020 14:41:35.055</v>
      </c>
      <c r="C516" t="str">
        <f t="shared" si="226"/>
        <v>FFDFD3C0</v>
      </c>
      <c r="D516" t="s">
        <v>138</v>
      </c>
      <c r="E516">
        <v>3</v>
      </c>
      <c r="H516">
        <v>9</v>
      </c>
      <c r="I516" t="s">
        <v>140</v>
      </c>
      <c r="J516" t="s">
        <v>136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46"/>
        <v>14:41:52.891</v>
      </c>
      <c r="T516" t="str">
        <f t="shared" si="246"/>
        <v>14:41:52.891</v>
      </c>
      <c r="U516" t="str">
        <f t="shared" si="247"/>
        <v>A9808D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246</v>
      </c>
      <c r="AJ516">
        <v>28.250613000000001</v>
      </c>
      <c r="AK516" t="s">
        <v>154</v>
      </c>
      <c r="AL516">
        <v>-82.381625</v>
      </c>
      <c r="AM516">
        <v>100</v>
      </c>
      <c r="AN516">
        <v>600</v>
      </c>
      <c r="AO516" t="s">
        <v>118</v>
      </c>
      <c r="AP516">
        <v>12</v>
      </c>
      <c r="AQ516">
        <v>87</v>
      </c>
      <c r="AR516">
        <v>512</v>
      </c>
      <c r="AZ516">
        <v>1200</v>
      </c>
      <c r="BA516">
        <v>1</v>
      </c>
      <c r="BB516" t="str">
        <f t="shared" si="229"/>
        <v xml:space="preserve">N711JA  </v>
      </c>
      <c r="BC516">
        <v>1</v>
      </c>
      <c r="BE516">
        <v>0</v>
      </c>
      <c r="BF516">
        <v>0</v>
      </c>
      <c r="BG516">
        <v>0</v>
      </c>
      <c r="BH516">
        <v>725</v>
      </c>
      <c r="BI516">
        <v>1</v>
      </c>
      <c r="BJ516">
        <v>1</v>
      </c>
      <c r="BK516">
        <v>0</v>
      </c>
      <c r="BL516">
        <v>0</v>
      </c>
      <c r="BO516">
        <v>0</v>
      </c>
      <c r="BP516">
        <v>0</v>
      </c>
      <c r="BW516" t="str">
        <f t="shared" si="248"/>
        <v>14:41:52.891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343</v>
      </c>
      <c r="CR516">
        <v>0</v>
      </c>
      <c r="CW516">
        <v>5626876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si="245"/>
        <v>05/12/2020 14:41:35.055</v>
      </c>
      <c r="C517" t="str">
        <f t="shared" si="226"/>
        <v>FFDFD3C0</v>
      </c>
      <c r="D517" t="s">
        <v>126</v>
      </c>
      <c r="E517">
        <v>6</v>
      </c>
      <c r="F517">
        <v>1006</v>
      </c>
      <c r="G517" t="s">
        <v>114</v>
      </c>
      <c r="J517" t="s">
        <v>128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46"/>
        <v>14:41:52.891</v>
      </c>
      <c r="T517" t="str">
        <f t="shared" si="246"/>
        <v>14:41:52.891</v>
      </c>
      <c r="U517" t="str">
        <f t="shared" si="247"/>
        <v>A9808D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246</v>
      </c>
      <c r="AJ517">
        <v>28.250613000000001</v>
      </c>
      <c r="AK517" t="s">
        <v>154</v>
      </c>
      <c r="AL517">
        <v>-82.381625</v>
      </c>
      <c r="AM517">
        <v>100</v>
      </c>
      <c r="AN517">
        <v>600</v>
      </c>
      <c r="AO517" t="s">
        <v>118</v>
      </c>
      <c r="AP517">
        <v>12</v>
      </c>
      <c r="AQ517">
        <v>87</v>
      </c>
      <c r="AR517">
        <v>512</v>
      </c>
      <c r="AZ517">
        <v>1200</v>
      </c>
      <c r="BA517">
        <v>1</v>
      </c>
      <c r="BB517" t="str">
        <f t="shared" si="229"/>
        <v xml:space="preserve">N711JA  </v>
      </c>
      <c r="BC517">
        <v>1</v>
      </c>
      <c r="BE517">
        <v>0</v>
      </c>
      <c r="BF517">
        <v>0</v>
      </c>
      <c r="BG517">
        <v>0</v>
      </c>
      <c r="BH517">
        <v>725</v>
      </c>
      <c r="BI517">
        <v>1</v>
      </c>
      <c r="BJ517">
        <v>1</v>
      </c>
      <c r="BK517">
        <v>0</v>
      </c>
      <c r="BL517">
        <v>0</v>
      </c>
      <c r="BO517">
        <v>0</v>
      </c>
      <c r="BP517">
        <v>0</v>
      </c>
      <c r="BW517" t="str">
        <f t="shared" si="248"/>
        <v>14:41:52.891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343</v>
      </c>
      <c r="CR517">
        <v>0</v>
      </c>
      <c r="CW517">
        <v>5626876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si="245"/>
        <v>05/12/2020 14:41:35.055</v>
      </c>
      <c r="C518" t="str">
        <f t="shared" si="226"/>
        <v>FFDFD3C0</v>
      </c>
      <c r="D518" t="s">
        <v>126</v>
      </c>
      <c r="E518">
        <v>7</v>
      </c>
      <c r="F518">
        <v>1007</v>
      </c>
      <c r="G518" t="s">
        <v>127</v>
      </c>
      <c r="J518" t="s">
        <v>128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246"/>
        <v>14:41:52.891</v>
      </c>
      <c r="T518" t="str">
        <f t="shared" si="246"/>
        <v>14:41:52.891</v>
      </c>
      <c r="U518" t="str">
        <f t="shared" si="247"/>
        <v>A9808D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246</v>
      </c>
      <c r="AJ518">
        <v>28.250613000000001</v>
      </c>
      <c r="AK518" t="s">
        <v>154</v>
      </c>
      <c r="AL518">
        <v>-82.381625</v>
      </c>
      <c r="AM518">
        <v>100</v>
      </c>
      <c r="AN518">
        <v>600</v>
      </c>
      <c r="AO518" t="s">
        <v>118</v>
      </c>
      <c r="AP518">
        <v>12</v>
      </c>
      <c r="AQ518">
        <v>87</v>
      </c>
      <c r="AR518">
        <v>512</v>
      </c>
      <c r="AZ518">
        <v>1200</v>
      </c>
      <c r="BA518">
        <v>1</v>
      </c>
      <c r="BB518" t="str">
        <f t="shared" si="229"/>
        <v xml:space="preserve">N711JA  </v>
      </c>
      <c r="BC518">
        <v>1</v>
      </c>
      <c r="BE518">
        <v>0</v>
      </c>
      <c r="BF518">
        <v>0</v>
      </c>
      <c r="BG518">
        <v>0</v>
      </c>
      <c r="BH518">
        <v>725</v>
      </c>
      <c r="BI518">
        <v>1</v>
      </c>
      <c r="BJ518">
        <v>1</v>
      </c>
      <c r="BK518">
        <v>0</v>
      </c>
      <c r="BL518">
        <v>0</v>
      </c>
      <c r="BO518">
        <v>0</v>
      </c>
      <c r="BP518">
        <v>0</v>
      </c>
      <c r="BW518" t="str">
        <f t="shared" si="248"/>
        <v>14:41:52.891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343</v>
      </c>
      <c r="CR518">
        <v>0</v>
      </c>
      <c r="CW518">
        <v>5626876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245"/>
        <v>05/12/2020 14:41:35.055</v>
      </c>
      <c r="C519" t="str">
        <f t="shared" si="226"/>
        <v>FFDFD3C0</v>
      </c>
      <c r="D519" t="s">
        <v>134</v>
      </c>
      <c r="E519">
        <v>12</v>
      </c>
      <c r="H519">
        <v>64</v>
      </c>
      <c r="I519" t="s">
        <v>135</v>
      </c>
      <c r="J519" t="s">
        <v>136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246"/>
        <v>14:41:52.891</v>
      </c>
      <c r="T519" t="str">
        <f t="shared" si="246"/>
        <v>14:41:52.891</v>
      </c>
      <c r="U519" t="str">
        <f t="shared" si="247"/>
        <v>A9808D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246</v>
      </c>
      <c r="AJ519">
        <v>28.250613000000001</v>
      </c>
      <c r="AK519" t="s">
        <v>154</v>
      </c>
      <c r="AL519">
        <v>-82.381625</v>
      </c>
      <c r="AM519">
        <v>100</v>
      </c>
      <c r="AN519">
        <v>600</v>
      </c>
      <c r="AO519" t="s">
        <v>118</v>
      </c>
      <c r="AP519">
        <v>12</v>
      </c>
      <c r="AQ519">
        <v>87</v>
      </c>
      <c r="AR519">
        <v>512</v>
      </c>
      <c r="AZ519">
        <v>1200</v>
      </c>
      <c r="BA519">
        <v>1</v>
      </c>
      <c r="BB519" t="str">
        <f t="shared" si="229"/>
        <v xml:space="preserve">N711JA  </v>
      </c>
      <c r="BC519">
        <v>1</v>
      </c>
      <c r="BE519">
        <v>0</v>
      </c>
      <c r="BF519">
        <v>0</v>
      </c>
      <c r="BG519">
        <v>0</v>
      </c>
      <c r="BH519">
        <v>725</v>
      </c>
      <c r="BI519">
        <v>1</v>
      </c>
      <c r="BJ519">
        <v>1</v>
      </c>
      <c r="BK519">
        <v>0</v>
      </c>
      <c r="BL519">
        <v>0</v>
      </c>
      <c r="BO519">
        <v>0</v>
      </c>
      <c r="BP519">
        <v>0</v>
      </c>
      <c r="BW519" t="str">
        <f t="shared" si="248"/>
        <v>14:41:52.891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343</v>
      </c>
      <c r="CR519">
        <v>0</v>
      </c>
      <c r="CW519">
        <v>5626876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si="245"/>
        <v>05/12/2020 14:41:35.055</v>
      </c>
      <c r="C520" t="str">
        <f t="shared" si="226"/>
        <v>FFDFD3C0</v>
      </c>
      <c r="D520" t="s">
        <v>131</v>
      </c>
      <c r="E520">
        <v>10</v>
      </c>
      <c r="F520">
        <v>2010</v>
      </c>
      <c r="G520" t="s">
        <v>132</v>
      </c>
      <c r="J520" t="s">
        <v>133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246"/>
        <v>14:41:52.891</v>
      </c>
      <c r="T520" t="str">
        <f t="shared" si="246"/>
        <v>14:41:52.891</v>
      </c>
      <c r="U520" t="str">
        <f t="shared" si="247"/>
        <v>A9808D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246</v>
      </c>
      <c r="AJ520">
        <v>28.250613000000001</v>
      </c>
      <c r="AK520" t="s">
        <v>154</v>
      </c>
      <c r="AL520">
        <v>-82.381625</v>
      </c>
      <c r="AM520">
        <v>100</v>
      </c>
      <c r="AN520">
        <v>600</v>
      </c>
      <c r="AO520" t="s">
        <v>118</v>
      </c>
      <c r="AP520">
        <v>12</v>
      </c>
      <c r="AQ520">
        <v>87</v>
      </c>
      <c r="AR520">
        <v>512</v>
      </c>
      <c r="AZ520">
        <v>1200</v>
      </c>
      <c r="BA520">
        <v>1</v>
      </c>
      <c r="BB520" t="str">
        <f t="shared" si="229"/>
        <v xml:space="preserve">N711JA  </v>
      </c>
      <c r="BC520">
        <v>1</v>
      </c>
      <c r="BE520">
        <v>0</v>
      </c>
      <c r="BF520">
        <v>0</v>
      </c>
      <c r="BG520">
        <v>0</v>
      </c>
      <c r="BH520">
        <v>725</v>
      </c>
      <c r="BI520">
        <v>1</v>
      </c>
      <c r="BJ520">
        <v>1</v>
      </c>
      <c r="BK520">
        <v>0</v>
      </c>
      <c r="BL520">
        <v>0</v>
      </c>
      <c r="BO520">
        <v>0</v>
      </c>
      <c r="BP520">
        <v>0</v>
      </c>
      <c r="BW520" t="str">
        <f t="shared" si="248"/>
        <v>14:41:52.891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343</v>
      </c>
      <c r="CR520">
        <v>0</v>
      </c>
      <c r="CW520">
        <v>5626876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si="245"/>
        <v>05/12/2020 14:41:35.055</v>
      </c>
      <c r="C521" t="str">
        <f t="shared" si="226"/>
        <v>FFDFD3C0</v>
      </c>
      <c r="D521" t="s">
        <v>131</v>
      </c>
      <c r="E521">
        <v>12</v>
      </c>
      <c r="F521">
        <v>2012</v>
      </c>
      <c r="G521" t="s">
        <v>137</v>
      </c>
      <c r="J521" t="s">
        <v>133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246"/>
        <v>14:41:52.891</v>
      </c>
      <c r="T521" t="str">
        <f t="shared" si="246"/>
        <v>14:41:52.891</v>
      </c>
      <c r="U521" t="str">
        <f t="shared" si="247"/>
        <v>A9808D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246</v>
      </c>
      <c r="AJ521">
        <v>28.250613000000001</v>
      </c>
      <c r="AK521" t="s">
        <v>154</v>
      </c>
      <c r="AL521">
        <v>-82.381625</v>
      </c>
      <c r="AM521">
        <v>100</v>
      </c>
      <c r="AN521">
        <v>600</v>
      </c>
      <c r="AO521" t="s">
        <v>118</v>
      </c>
      <c r="AP521">
        <v>12</v>
      </c>
      <c r="AQ521">
        <v>87</v>
      </c>
      <c r="AR521">
        <v>512</v>
      </c>
      <c r="AZ521">
        <v>1200</v>
      </c>
      <c r="BA521">
        <v>1</v>
      </c>
      <c r="BB521" t="str">
        <f t="shared" si="229"/>
        <v xml:space="preserve">N711JA  </v>
      </c>
      <c r="BC521">
        <v>1</v>
      </c>
      <c r="BE521">
        <v>0</v>
      </c>
      <c r="BF521">
        <v>0</v>
      </c>
      <c r="BG521">
        <v>0</v>
      </c>
      <c r="BH521">
        <v>725</v>
      </c>
      <c r="BI521">
        <v>1</v>
      </c>
      <c r="BJ521">
        <v>1</v>
      </c>
      <c r="BK521">
        <v>0</v>
      </c>
      <c r="BL521">
        <v>0</v>
      </c>
      <c r="BO521">
        <v>0</v>
      </c>
      <c r="BP521">
        <v>0</v>
      </c>
      <c r="BW521" t="str">
        <f t="shared" si="248"/>
        <v>14:41:52.891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343</v>
      </c>
      <c r="CR521">
        <v>0</v>
      </c>
      <c r="CW521">
        <v>5626876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245"/>
        <v>05/12/2020 14:41:35.055</v>
      </c>
      <c r="C522" t="str">
        <f t="shared" si="226"/>
        <v>FFDFD3C0</v>
      </c>
      <c r="D522" t="s">
        <v>131</v>
      </c>
      <c r="E522">
        <v>18</v>
      </c>
      <c r="F522">
        <v>2018</v>
      </c>
      <c r="G522" t="s">
        <v>161</v>
      </c>
      <c r="J522" t="s">
        <v>133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246"/>
        <v>14:41:52.891</v>
      </c>
      <c r="T522" t="str">
        <f t="shared" si="246"/>
        <v>14:41:52.891</v>
      </c>
      <c r="U522" t="str">
        <f t="shared" si="247"/>
        <v>A9808D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246</v>
      </c>
      <c r="AJ522">
        <v>28.250613000000001</v>
      </c>
      <c r="AK522" t="s">
        <v>154</v>
      </c>
      <c r="AL522">
        <v>-82.381625</v>
      </c>
      <c r="AM522">
        <v>100</v>
      </c>
      <c r="AN522">
        <v>600</v>
      </c>
      <c r="AO522" t="s">
        <v>118</v>
      </c>
      <c r="AP522">
        <v>12</v>
      </c>
      <c r="AQ522">
        <v>87</v>
      </c>
      <c r="AR522">
        <v>512</v>
      </c>
      <c r="AZ522">
        <v>1200</v>
      </c>
      <c r="BA522">
        <v>1</v>
      </c>
      <c r="BB522" t="str">
        <f t="shared" si="229"/>
        <v xml:space="preserve">N711JA  </v>
      </c>
      <c r="BC522">
        <v>1</v>
      </c>
      <c r="BE522">
        <v>0</v>
      </c>
      <c r="BF522">
        <v>0</v>
      </c>
      <c r="BG522">
        <v>0</v>
      </c>
      <c r="BH522">
        <v>725</v>
      </c>
      <c r="BI522">
        <v>1</v>
      </c>
      <c r="BJ522">
        <v>1</v>
      </c>
      <c r="BK522">
        <v>0</v>
      </c>
      <c r="BL522">
        <v>0</v>
      </c>
      <c r="BO522">
        <v>0</v>
      </c>
      <c r="BP522">
        <v>0</v>
      </c>
      <c r="BW522" t="str">
        <f t="shared" si="248"/>
        <v>14:41:52.891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343</v>
      </c>
      <c r="CR522">
        <v>0</v>
      </c>
      <c r="CW522">
        <v>5626876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ref="A523:A531" si="249">"05/12/2020 14:41:36.088"</f>
        <v>05/12/2020 14:41:36.088</v>
      </c>
      <c r="C523" t="str">
        <f t="shared" si="226"/>
        <v>FFDFD3C0</v>
      </c>
      <c r="D523" t="s">
        <v>126</v>
      </c>
      <c r="E523">
        <v>7</v>
      </c>
      <c r="F523">
        <v>1007</v>
      </c>
      <c r="G523" t="s">
        <v>127</v>
      </c>
      <c r="J523" t="s">
        <v>128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ref="S523:S531" si="250">"14:41:53.906"</f>
        <v>14:41:53.906</v>
      </c>
      <c r="T523" t="str">
        <f t="shared" ref="T523:T531" si="251">"14:41:53.506"</f>
        <v>14:41:53.506</v>
      </c>
      <c r="U523" t="str">
        <f t="shared" si="247"/>
        <v>A9808D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247</v>
      </c>
      <c r="AJ523">
        <v>28.251021000000001</v>
      </c>
      <c r="AK523" t="s">
        <v>248</v>
      </c>
      <c r="AL523">
        <v>-82.381518</v>
      </c>
      <c r="AM523">
        <v>100</v>
      </c>
      <c r="AN523">
        <v>600</v>
      </c>
      <c r="AO523" t="s">
        <v>118</v>
      </c>
      <c r="AP523">
        <v>12</v>
      </c>
      <c r="AQ523">
        <v>87</v>
      </c>
      <c r="AR523">
        <v>448</v>
      </c>
      <c r="AZ523">
        <v>1200</v>
      </c>
      <c r="BA523">
        <v>1</v>
      </c>
      <c r="BB523" t="str">
        <f t="shared" si="229"/>
        <v xml:space="preserve">N711JA  </v>
      </c>
      <c r="BC523">
        <v>1</v>
      </c>
      <c r="BE523">
        <v>0</v>
      </c>
      <c r="BF523">
        <v>0</v>
      </c>
      <c r="BG523">
        <v>0</v>
      </c>
      <c r="BH523">
        <v>725</v>
      </c>
      <c r="BI523">
        <v>1</v>
      </c>
      <c r="BJ523">
        <v>1</v>
      </c>
      <c r="BK523">
        <v>0</v>
      </c>
      <c r="BL523">
        <v>0</v>
      </c>
      <c r="BO523">
        <v>0</v>
      </c>
      <c r="BP523">
        <v>0</v>
      </c>
      <c r="BW523" t="str">
        <f t="shared" ref="BW523:BW531" si="252">"14:41:53.909"</f>
        <v>14:41:53.909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343</v>
      </c>
      <c r="CR523">
        <v>2</v>
      </c>
      <c r="CW523">
        <v>12975606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si="249"/>
        <v>05/12/2020 14:41:36.088</v>
      </c>
      <c r="C524" t="str">
        <f t="shared" si="226"/>
        <v>FFDFD3C0</v>
      </c>
      <c r="D524" t="s">
        <v>131</v>
      </c>
      <c r="E524">
        <v>10</v>
      </c>
      <c r="F524">
        <v>2010</v>
      </c>
      <c r="G524" t="s">
        <v>132</v>
      </c>
      <c r="J524" t="s">
        <v>133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250"/>
        <v>14:41:53.906</v>
      </c>
      <c r="T524" t="str">
        <f t="shared" si="251"/>
        <v>14:41:53.506</v>
      </c>
      <c r="U524" t="str">
        <f t="shared" si="247"/>
        <v>A9808D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247</v>
      </c>
      <c r="AJ524">
        <v>28.251021000000001</v>
      </c>
      <c r="AK524" t="s">
        <v>248</v>
      </c>
      <c r="AL524">
        <v>-82.381518</v>
      </c>
      <c r="AM524">
        <v>100</v>
      </c>
      <c r="AN524">
        <v>600</v>
      </c>
      <c r="AO524" t="s">
        <v>118</v>
      </c>
      <c r="AP524">
        <v>12</v>
      </c>
      <c r="AQ524">
        <v>87</v>
      </c>
      <c r="AR524">
        <v>448</v>
      </c>
      <c r="AZ524">
        <v>1200</v>
      </c>
      <c r="BA524">
        <v>1</v>
      </c>
      <c r="BB524" t="str">
        <f t="shared" si="229"/>
        <v xml:space="preserve">N711JA  </v>
      </c>
      <c r="BC524">
        <v>1</v>
      </c>
      <c r="BE524">
        <v>0</v>
      </c>
      <c r="BF524">
        <v>0</v>
      </c>
      <c r="BG524">
        <v>0</v>
      </c>
      <c r="BH524">
        <v>725</v>
      </c>
      <c r="BI524">
        <v>1</v>
      </c>
      <c r="BJ524">
        <v>1</v>
      </c>
      <c r="BK524">
        <v>0</v>
      </c>
      <c r="BL524">
        <v>0</v>
      </c>
      <c r="BO524">
        <v>0</v>
      </c>
      <c r="BP524">
        <v>0</v>
      </c>
      <c r="BW524" t="str">
        <f t="shared" si="252"/>
        <v>14:41:53.909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343</v>
      </c>
      <c r="CR524">
        <v>2</v>
      </c>
      <c r="CW524">
        <v>12975606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249"/>
        <v>05/12/2020 14:41:36.088</v>
      </c>
      <c r="C525" t="str">
        <f t="shared" si="226"/>
        <v>FFDFD3C0</v>
      </c>
      <c r="D525" t="s">
        <v>131</v>
      </c>
      <c r="E525">
        <v>12</v>
      </c>
      <c r="F525">
        <v>2012</v>
      </c>
      <c r="G525" t="s">
        <v>137</v>
      </c>
      <c r="J525" t="s">
        <v>133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50"/>
        <v>14:41:53.906</v>
      </c>
      <c r="T525" t="str">
        <f t="shared" si="251"/>
        <v>14:41:53.506</v>
      </c>
      <c r="U525" t="str">
        <f t="shared" si="247"/>
        <v>A9808D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247</v>
      </c>
      <c r="AJ525">
        <v>28.251021000000001</v>
      </c>
      <c r="AK525" t="s">
        <v>248</v>
      </c>
      <c r="AL525">
        <v>-82.381518</v>
      </c>
      <c r="AM525">
        <v>100</v>
      </c>
      <c r="AN525">
        <v>600</v>
      </c>
      <c r="AO525" t="s">
        <v>118</v>
      </c>
      <c r="AP525">
        <v>12</v>
      </c>
      <c r="AQ525">
        <v>87</v>
      </c>
      <c r="AR525">
        <v>448</v>
      </c>
      <c r="AZ525">
        <v>1200</v>
      </c>
      <c r="BA525">
        <v>1</v>
      </c>
      <c r="BB525" t="str">
        <f t="shared" si="229"/>
        <v xml:space="preserve">N711JA  </v>
      </c>
      <c r="BC525">
        <v>1</v>
      </c>
      <c r="BE525">
        <v>0</v>
      </c>
      <c r="BF525">
        <v>0</v>
      </c>
      <c r="BG525">
        <v>0</v>
      </c>
      <c r="BH525">
        <v>725</v>
      </c>
      <c r="BI525">
        <v>1</v>
      </c>
      <c r="BJ525">
        <v>1</v>
      </c>
      <c r="BK525">
        <v>0</v>
      </c>
      <c r="BL525">
        <v>0</v>
      </c>
      <c r="BO525">
        <v>0</v>
      </c>
      <c r="BP525">
        <v>0</v>
      </c>
      <c r="BW525" t="str">
        <f t="shared" si="252"/>
        <v>14:41:53.909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343</v>
      </c>
      <c r="CR525">
        <v>2</v>
      </c>
      <c r="CW525">
        <v>12975606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249"/>
        <v>05/12/2020 14:41:36.088</v>
      </c>
      <c r="C526" t="str">
        <f t="shared" si="226"/>
        <v>FFDFD3C0</v>
      </c>
      <c r="D526" t="s">
        <v>131</v>
      </c>
      <c r="E526">
        <v>18</v>
      </c>
      <c r="F526">
        <v>2018</v>
      </c>
      <c r="G526" t="s">
        <v>161</v>
      </c>
      <c r="J526" t="s">
        <v>133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50"/>
        <v>14:41:53.906</v>
      </c>
      <c r="T526" t="str">
        <f t="shared" si="251"/>
        <v>14:41:53.506</v>
      </c>
      <c r="U526" t="str">
        <f t="shared" si="247"/>
        <v>A9808D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247</v>
      </c>
      <c r="AJ526">
        <v>28.251021000000001</v>
      </c>
      <c r="AK526" t="s">
        <v>248</v>
      </c>
      <c r="AL526">
        <v>-82.381518</v>
      </c>
      <c r="AM526">
        <v>100</v>
      </c>
      <c r="AN526">
        <v>600</v>
      </c>
      <c r="AO526" t="s">
        <v>118</v>
      </c>
      <c r="AP526">
        <v>12</v>
      </c>
      <c r="AQ526">
        <v>87</v>
      </c>
      <c r="AR526">
        <v>448</v>
      </c>
      <c r="AZ526">
        <v>1200</v>
      </c>
      <c r="BA526">
        <v>1</v>
      </c>
      <c r="BB526" t="str">
        <f t="shared" si="229"/>
        <v xml:space="preserve">N711JA  </v>
      </c>
      <c r="BC526">
        <v>1</v>
      </c>
      <c r="BE526">
        <v>0</v>
      </c>
      <c r="BF526">
        <v>0</v>
      </c>
      <c r="BG526">
        <v>0</v>
      </c>
      <c r="BH526">
        <v>725</v>
      </c>
      <c r="BI526">
        <v>1</v>
      </c>
      <c r="BJ526">
        <v>1</v>
      </c>
      <c r="BK526">
        <v>0</v>
      </c>
      <c r="BL526">
        <v>0</v>
      </c>
      <c r="BO526">
        <v>0</v>
      </c>
      <c r="BP526">
        <v>0</v>
      </c>
      <c r="BW526" t="str">
        <f t="shared" si="252"/>
        <v>14:41:53.909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343</v>
      </c>
      <c r="CR526">
        <v>2</v>
      </c>
      <c r="CW526">
        <v>12975606</v>
      </c>
      <c r="CY526">
        <v>0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si="249"/>
        <v>05/12/2020 14:41:36.088</v>
      </c>
      <c r="C527" t="str">
        <f t="shared" si="226"/>
        <v>FFDFD3C0</v>
      </c>
      <c r="D527" t="s">
        <v>134</v>
      </c>
      <c r="E527">
        <v>12</v>
      </c>
      <c r="H527">
        <v>64</v>
      </c>
      <c r="I527" t="s">
        <v>135</v>
      </c>
      <c r="J527" t="s">
        <v>136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50"/>
        <v>14:41:53.906</v>
      </c>
      <c r="T527" t="str">
        <f t="shared" si="251"/>
        <v>14:41:53.506</v>
      </c>
      <c r="U527" t="str">
        <f t="shared" si="247"/>
        <v>A9808D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247</v>
      </c>
      <c r="AJ527">
        <v>28.251021000000001</v>
      </c>
      <c r="AK527" t="s">
        <v>248</v>
      </c>
      <c r="AL527">
        <v>-82.381518</v>
      </c>
      <c r="AM527">
        <v>100</v>
      </c>
      <c r="AN527">
        <v>600</v>
      </c>
      <c r="AO527" t="s">
        <v>118</v>
      </c>
      <c r="AP527">
        <v>12</v>
      </c>
      <c r="AQ527">
        <v>87</v>
      </c>
      <c r="AR527">
        <v>448</v>
      </c>
      <c r="AZ527">
        <v>1200</v>
      </c>
      <c r="BA527">
        <v>1</v>
      </c>
      <c r="BB527" t="str">
        <f t="shared" si="229"/>
        <v xml:space="preserve">N711JA  </v>
      </c>
      <c r="BC527">
        <v>1</v>
      </c>
      <c r="BE527">
        <v>0</v>
      </c>
      <c r="BF527">
        <v>0</v>
      </c>
      <c r="BG527">
        <v>0</v>
      </c>
      <c r="BH527">
        <v>725</v>
      </c>
      <c r="BI527">
        <v>1</v>
      </c>
      <c r="BJ527">
        <v>1</v>
      </c>
      <c r="BK527">
        <v>0</v>
      </c>
      <c r="BL527">
        <v>0</v>
      </c>
      <c r="BO527">
        <v>0</v>
      </c>
      <c r="BP527">
        <v>0</v>
      </c>
      <c r="BW527" t="str">
        <f t="shared" si="252"/>
        <v>14:41:53.909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343</v>
      </c>
      <c r="CR527">
        <v>2</v>
      </c>
      <c r="CW527">
        <v>12975606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si="249"/>
        <v>05/12/2020 14:41:36.088</v>
      </c>
      <c r="C528" t="str">
        <f t="shared" si="226"/>
        <v>FFDFD3C0</v>
      </c>
      <c r="D528" t="s">
        <v>113</v>
      </c>
      <c r="E528">
        <v>3</v>
      </c>
      <c r="H528">
        <v>164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250"/>
        <v>14:41:53.906</v>
      </c>
      <c r="T528" t="str">
        <f t="shared" si="251"/>
        <v>14:41:53.506</v>
      </c>
      <c r="U528" t="str">
        <f t="shared" si="247"/>
        <v>A9808D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247</v>
      </c>
      <c r="AJ528">
        <v>28.251021000000001</v>
      </c>
      <c r="AK528" t="s">
        <v>248</v>
      </c>
      <c r="AL528">
        <v>-82.381518</v>
      </c>
      <c r="AM528">
        <v>100</v>
      </c>
      <c r="AN528">
        <v>600</v>
      </c>
      <c r="AO528" t="s">
        <v>118</v>
      </c>
      <c r="AP528">
        <v>12</v>
      </c>
      <c r="AQ528">
        <v>87</v>
      </c>
      <c r="AR528">
        <v>448</v>
      </c>
      <c r="AZ528">
        <v>1200</v>
      </c>
      <c r="BA528">
        <v>1</v>
      </c>
      <c r="BB528" t="str">
        <f t="shared" si="229"/>
        <v xml:space="preserve">N711JA  </v>
      </c>
      <c r="BC528">
        <v>1</v>
      </c>
      <c r="BE528">
        <v>0</v>
      </c>
      <c r="BF528">
        <v>0</v>
      </c>
      <c r="BG528">
        <v>0</v>
      </c>
      <c r="BH528">
        <v>725</v>
      </c>
      <c r="BI528">
        <v>1</v>
      </c>
      <c r="BJ528">
        <v>1</v>
      </c>
      <c r="BK528">
        <v>0</v>
      </c>
      <c r="BL528">
        <v>0</v>
      </c>
      <c r="BO528">
        <v>0</v>
      </c>
      <c r="BP528">
        <v>0</v>
      </c>
      <c r="BW528" t="str">
        <f t="shared" si="252"/>
        <v>14:41:53.909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343</v>
      </c>
      <c r="CR528">
        <v>2</v>
      </c>
      <c r="CW528">
        <v>12975606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si="249"/>
        <v>05/12/2020 14:41:36.088</v>
      </c>
      <c r="C529" t="str">
        <f t="shared" si="226"/>
        <v>FFDFD3C0</v>
      </c>
      <c r="D529" t="s">
        <v>138</v>
      </c>
      <c r="E529">
        <v>2</v>
      </c>
      <c r="H529">
        <v>8</v>
      </c>
      <c r="I529" t="s">
        <v>139</v>
      </c>
      <c r="J529" t="s">
        <v>136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50"/>
        <v>14:41:53.906</v>
      </c>
      <c r="T529" t="str">
        <f t="shared" si="251"/>
        <v>14:41:53.506</v>
      </c>
      <c r="U529" t="str">
        <f t="shared" si="247"/>
        <v>A9808D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247</v>
      </c>
      <c r="AJ529">
        <v>28.251021000000001</v>
      </c>
      <c r="AK529" t="s">
        <v>248</v>
      </c>
      <c r="AL529">
        <v>-82.381518</v>
      </c>
      <c r="AM529">
        <v>100</v>
      </c>
      <c r="AN529">
        <v>600</v>
      </c>
      <c r="AO529" t="s">
        <v>118</v>
      </c>
      <c r="AP529">
        <v>12</v>
      </c>
      <c r="AQ529">
        <v>87</v>
      </c>
      <c r="AR529">
        <v>448</v>
      </c>
      <c r="AZ529">
        <v>1200</v>
      </c>
      <c r="BA529">
        <v>1</v>
      </c>
      <c r="BB529" t="str">
        <f t="shared" si="229"/>
        <v xml:space="preserve">N711JA  </v>
      </c>
      <c r="BC529">
        <v>1</v>
      </c>
      <c r="BE529">
        <v>0</v>
      </c>
      <c r="BF529">
        <v>0</v>
      </c>
      <c r="BG529">
        <v>0</v>
      </c>
      <c r="BH529">
        <v>725</v>
      </c>
      <c r="BI529">
        <v>1</v>
      </c>
      <c r="BJ529">
        <v>1</v>
      </c>
      <c r="BK529">
        <v>0</v>
      </c>
      <c r="BL529">
        <v>0</v>
      </c>
      <c r="BO529">
        <v>0</v>
      </c>
      <c r="BP529">
        <v>0</v>
      </c>
      <c r="BW529" t="str">
        <f t="shared" si="252"/>
        <v>14:41:53.909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343</v>
      </c>
      <c r="CR529">
        <v>2</v>
      </c>
      <c r="CW529">
        <v>12975606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 t="shared" si="249"/>
        <v>05/12/2020 14:41:36.088</v>
      </c>
      <c r="C530" t="str">
        <f t="shared" si="226"/>
        <v>FFDFD3C0</v>
      </c>
      <c r="D530" t="s">
        <v>138</v>
      </c>
      <c r="E530">
        <v>3</v>
      </c>
      <c r="H530">
        <v>9</v>
      </c>
      <c r="I530" t="s">
        <v>140</v>
      </c>
      <c r="J530" t="s">
        <v>136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250"/>
        <v>14:41:53.906</v>
      </c>
      <c r="T530" t="str">
        <f t="shared" si="251"/>
        <v>14:41:53.506</v>
      </c>
      <c r="U530" t="str">
        <f t="shared" si="247"/>
        <v>A9808D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247</v>
      </c>
      <c r="AJ530">
        <v>28.251021000000001</v>
      </c>
      <c r="AK530" t="s">
        <v>248</v>
      </c>
      <c r="AL530">
        <v>-82.381518</v>
      </c>
      <c r="AM530">
        <v>100</v>
      </c>
      <c r="AN530">
        <v>600</v>
      </c>
      <c r="AO530" t="s">
        <v>118</v>
      </c>
      <c r="AP530">
        <v>12</v>
      </c>
      <c r="AQ530">
        <v>87</v>
      </c>
      <c r="AR530">
        <v>448</v>
      </c>
      <c r="AZ530">
        <v>1200</v>
      </c>
      <c r="BA530">
        <v>1</v>
      </c>
      <c r="BB530" t="str">
        <f t="shared" si="229"/>
        <v xml:space="preserve">N711JA  </v>
      </c>
      <c r="BC530">
        <v>1</v>
      </c>
      <c r="BE530">
        <v>0</v>
      </c>
      <c r="BF530">
        <v>0</v>
      </c>
      <c r="BG530">
        <v>0</v>
      </c>
      <c r="BH530">
        <v>725</v>
      </c>
      <c r="BI530">
        <v>1</v>
      </c>
      <c r="BJ530">
        <v>1</v>
      </c>
      <c r="BK530">
        <v>0</v>
      </c>
      <c r="BL530">
        <v>0</v>
      </c>
      <c r="BO530">
        <v>0</v>
      </c>
      <c r="BP530">
        <v>0</v>
      </c>
      <c r="BW530" t="str">
        <f t="shared" si="252"/>
        <v>14:41:53.909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343</v>
      </c>
      <c r="CR530">
        <v>2</v>
      </c>
      <c r="CW530">
        <v>12975606</v>
      </c>
      <c r="CY530">
        <v>0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 t="shared" si="249"/>
        <v>05/12/2020 14:41:36.088</v>
      </c>
      <c r="C531" t="str">
        <f t="shared" si="226"/>
        <v>FFDFD3C0</v>
      </c>
      <c r="D531" t="s">
        <v>126</v>
      </c>
      <c r="E531">
        <v>6</v>
      </c>
      <c r="F531">
        <v>1006</v>
      </c>
      <c r="G531" t="s">
        <v>114</v>
      </c>
      <c r="J531" t="s">
        <v>128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250"/>
        <v>14:41:53.906</v>
      </c>
      <c r="T531" t="str">
        <f t="shared" si="251"/>
        <v>14:41:53.506</v>
      </c>
      <c r="U531" t="str">
        <f t="shared" si="247"/>
        <v>A9808D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247</v>
      </c>
      <c r="AJ531">
        <v>28.251021000000001</v>
      </c>
      <c r="AK531" t="s">
        <v>248</v>
      </c>
      <c r="AL531">
        <v>-82.381518</v>
      </c>
      <c r="AM531">
        <v>100</v>
      </c>
      <c r="AN531">
        <v>600</v>
      </c>
      <c r="AO531" t="s">
        <v>118</v>
      </c>
      <c r="AP531">
        <v>12</v>
      </c>
      <c r="AQ531">
        <v>87</v>
      </c>
      <c r="AR531">
        <v>448</v>
      </c>
      <c r="AZ531">
        <v>1200</v>
      </c>
      <c r="BA531">
        <v>1</v>
      </c>
      <c r="BB531" t="str">
        <f t="shared" si="229"/>
        <v xml:space="preserve">N711JA  </v>
      </c>
      <c r="BC531">
        <v>1</v>
      </c>
      <c r="BE531">
        <v>0</v>
      </c>
      <c r="BF531">
        <v>0</v>
      </c>
      <c r="BG531">
        <v>0</v>
      </c>
      <c r="BH531">
        <v>725</v>
      </c>
      <c r="BI531">
        <v>1</v>
      </c>
      <c r="BJ531">
        <v>1</v>
      </c>
      <c r="BK531">
        <v>0</v>
      </c>
      <c r="BL531">
        <v>0</v>
      </c>
      <c r="BO531">
        <v>0</v>
      </c>
      <c r="BP531">
        <v>0</v>
      </c>
      <c r="BW531" t="str">
        <f t="shared" si="252"/>
        <v>14:41:53.909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343</v>
      </c>
      <c r="CR531">
        <v>2</v>
      </c>
      <c r="CW531">
        <v>12975606</v>
      </c>
      <c r="CY531">
        <v>0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 t="shared" ref="A532:A540" si="253">"05/12/2020 14:41:37.225"</f>
        <v>05/12/2020 14:41:37.225</v>
      </c>
      <c r="C532" t="str">
        <f t="shared" si="226"/>
        <v>FFDFD3C0</v>
      </c>
      <c r="D532" t="s">
        <v>126</v>
      </c>
      <c r="E532">
        <v>6</v>
      </c>
      <c r="F532">
        <v>1006</v>
      </c>
      <c r="G532" t="s">
        <v>114</v>
      </c>
      <c r="J532" t="s">
        <v>128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S540" si="254">"14:41:55.016"</f>
        <v>14:41:55.016</v>
      </c>
      <c r="T532" t="str">
        <f t="shared" ref="T532:T540" si="255">"14:41:54.616"</f>
        <v>14:41:54.616</v>
      </c>
      <c r="U532" t="str">
        <f t="shared" si="247"/>
        <v>A9808D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249</v>
      </c>
      <c r="AJ532">
        <v>28.251493</v>
      </c>
      <c r="AK532" t="s">
        <v>250</v>
      </c>
      <c r="AL532">
        <v>-82.381474999999995</v>
      </c>
      <c r="AM532">
        <v>100</v>
      </c>
      <c r="AN532">
        <v>700</v>
      </c>
      <c r="AO532" t="s">
        <v>118</v>
      </c>
      <c r="AP532">
        <v>12</v>
      </c>
      <c r="AQ532">
        <v>87</v>
      </c>
      <c r="AR532">
        <v>512</v>
      </c>
      <c r="AZ532">
        <v>1200</v>
      </c>
      <c r="BA532">
        <v>1</v>
      </c>
      <c r="BB532" t="str">
        <f t="shared" si="229"/>
        <v xml:space="preserve">N711JA  </v>
      </c>
      <c r="BC532">
        <v>1</v>
      </c>
      <c r="BE532">
        <v>0</v>
      </c>
      <c r="BF532">
        <v>0</v>
      </c>
      <c r="BG532">
        <v>0</v>
      </c>
      <c r="BH532">
        <v>725</v>
      </c>
      <c r="BI532">
        <v>1</v>
      </c>
      <c r="BJ532">
        <v>1</v>
      </c>
      <c r="BK532">
        <v>0</v>
      </c>
      <c r="BL532">
        <v>0</v>
      </c>
      <c r="BO532">
        <v>0</v>
      </c>
      <c r="BP532">
        <v>0</v>
      </c>
      <c r="BW532" t="str">
        <f t="shared" ref="BW532:BW540" si="256">"14:41:55.017"</f>
        <v>14:41:55.017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343</v>
      </c>
      <c r="CR532">
        <v>2</v>
      </c>
      <c r="CW532">
        <v>12976437</v>
      </c>
      <c r="CY532">
        <v>1</v>
      </c>
      <c r="CZ532">
        <v>0</v>
      </c>
      <c r="DA532">
        <v>0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si="253"/>
        <v>05/12/2020 14:41:37.225</v>
      </c>
      <c r="C533" t="str">
        <f t="shared" si="226"/>
        <v>FFDFD3C0</v>
      </c>
      <c r="D533" t="s">
        <v>113</v>
      </c>
      <c r="E533">
        <v>3</v>
      </c>
      <c r="H533">
        <v>164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54"/>
        <v>14:41:55.016</v>
      </c>
      <c r="T533" t="str">
        <f t="shared" si="255"/>
        <v>14:41:54.616</v>
      </c>
      <c r="U533" t="str">
        <f t="shared" si="247"/>
        <v>A9808D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249</v>
      </c>
      <c r="AJ533">
        <v>28.251493</v>
      </c>
      <c r="AK533" t="s">
        <v>250</v>
      </c>
      <c r="AL533">
        <v>-82.381474999999995</v>
      </c>
      <c r="AM533">
        <v>100</v>
      </c>
      <c r="AN533">
        <v>700</v>
      </c>
      <c r="AO533" t="s">
        <v>118</v>
      </c>
      <c r="AP533">
        <v>12</v>
      </c>
      <c r="AQ533">
        <v>87</v>
      </c>
      <c r="AR533">
        <v>512</v>
      </c>
      <c r="AZ533">
        <v>1200</v>
      </c>
      <c r="BA533">
        <v>1</v>
      </c>
      <c r="BB533" t="str">
        <f t="shared" si="229"/>
        <v xml:space="preserve">N711JA  </v>
      </c>
      <c r="BC533">
        <v>1</v>
      </c>
      <c r="BE533">
        <v>0</v>
      </c>
      <c r="BF533">
        <v>0</v>
      </c>
      <c r="BG533">
        <v>0</v>
      </c>
      <c r="BH533">
        <v>725</v>
      </c>
      <c r="BI533">
        <v>1</v>
      </c>
      <c r="BJ533">
        <v>1</v>
      </c>
      <c r="BK533">
        <v>0</v>
      </c>
      <c r="BL533">
        <v>0</v>
      </c>
      <c r="BO533">
        <v>0</v>
      </c>
      <c r="BP533">
        <v>0</v>
      </c>
      <c r="BW533" t="str">
        <f t="shared" si="256"/>
        <v>14:41:55.017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343</v>
      </c>
      <c r="CR533">
        <v>2</v>
      </c>
      <c r="CW533">
        <v>12976437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253"/>
        <v>05/12/2020 14:41:37.225</v>
      </c>
      <c r="C534" t="str">
        <f t="shared" ref="C534:C597" si="257">"FFDFD3C0"</f>
        <v>FFDFD3C0</v>
      </c>
      <c r="D534" t="s">
        <v>138</v>
      </c>
      <c r="E534">
        <v>2</v>
      </c>
      <c r="H534">
        <v>8</v>
      </c>
      <c r="I534" t="s">
        <v>139</v>
      </c>
      <c r="J534" t="s">
        <v>136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54"/>
        <v>14:41:55.016</v>
      </c>
      <c r="T534" t="str">
        <f t="shared" si="255"/>
        <v>14:41:54.616</v>
      </c>
      <c r="U534" t="str">
        <f t="shared" si="247"/>
        <v>A9808D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249</v>
      </c>
      <c r="AJ534">
        <v>28.251493</v>
      </c>
      <c r="AK534" t="s">
        <v>250</v>
      </c>
      <c r="AL534">
        <v>-82.381474999999995</v>
      </c>
      <c r="AM534">
        <v>100</v>
      </c>
      <c r="AN534">
        <v>700</v>
      </c>
      <c r="AO534" t="s">
        <v>118</v>
      </c>
      <c r="AP534">
        <v>12</v>
      </c>
      <c r="AQ534">
        <v>87</v>
      </c>
      <c r="AR534">
        <v>512</v>
      </c>
      <c r="AZ534">
        <v>1200</v>
      </c>
      <c r="BA534">
        <v>1</v>
      </c>
      <c r="BB534" t="str">
        <f t="shared" ref="BB534:BB597" si="258">"N711JA  "</f>
        <v xml:space="preserve">N711JA  </v>
      </c>
      <c r="BC534">
        <v>1</v>
      </c>
      <c r="BE534">
        <v>0</v>
      </c>
      <c r="BF534">
        <v>0</v>
      </c>
      <c r="BG534">
        <v>0</v>
      </c>
      <c r="BH534">
        <v>725</v>
      </c>
      <c r="BI534">
        <v>1</v>
      </c>
      <c r="BJ534">
        <v>1</v>
      </c>
      <c r="BK534">
        <v>0</v>
      </c>
      <c r="BL534">
        <v>0</v>
      </c>
      <c r="BO534">
        <v>0</v>
      </c>
      <c r="BP534">
        <v>0</v>
      </c>
      <c r="BW534" t="str">
        <f t="shared" si="256"/>
        <v>14:41:55.017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343</v>
      </c>
      <c r="CR534">
        <v>2</v>
      </c>
      <c r="CW534">
        <v>12976437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si="253"/>
        <v>05/12/2020 14:41:37.225</v>
      </c>
      <c r="C535" t="str">
        <f t="shared" si="257"/>
        <v>FFDFD3C0</v>
      </c>
      <c r="D535" t="s">
        <v>138</v>
      </c>
      <c r="E535">
        <v>3</v>
      </c>
      <c r="H535">
        <v>9</v>
      </c>
      <c r="I535" t="s">
        <v>140</v>
      </c>
      <c r="J535" t="s">
        <v>136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54"/>
        <v>14:41:55.016</v>
      </c>
      <c r="T535" t="str">
        <f t="shared" si="255"/>
        <v>14:41:54.616</v>
      </c>
      <c r="U535" t="str">
        <f t="shared" si="247"/>
        <v>A9808D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249</v>
      </c>
      <c r="AJ535">
        <v>28.251493</v>
      </c>
      <c r="AK535" t="s">
        <v>250</v>
      </c>
      <c r="AL535">
        <v>-82.381474999999995</v>
      </c>
      <c r="AM535">
        <v>100</v>
      </c>
      <c r="AN535">
        <v>700</v>
      </c>
      <c r="AO535" t="s">
        <v>118</v>
      </c>
      <c r="AP535">
        <v>12</v>
      </c>
      <c r="AQ535">
        <v>87</v>
      </c>
      <c r="AR535">
        <v>512</v>
      </c>
      <c r="AZ535">
        <v>1200</v>
      </c>
      <c r="BA535">
        <v>1</v>
      </c>
      <c r="BB535" t="str">
        <f t="shared" si="258"/>
        <v xml:space="preserve">N711JA  </v>
      </c>
      <c r="BC535">
        <v>1</v>
      </c>
      <c r="BE535">
        <v>0</v>
      </c>
      <c r="BF535">
        <v>0</v>
      </c>
      <c r="BG535">
        <v>0</v>
      </c>
      <c r="BH535">
        <v>725</v>
      </c>
      <c r="BI535">
        <v>1</v>
      </c>
      <c r="BJ535">
        <v>1</v>
      </c>
      <c r="BK535">
        <v>0</v>
      </c>
      <c r="BL535">
        <v>0</v>
      </c>
      <c r="BO535">
        <v>0</v>
      </c>
      <c r="BP535">
        <v>0</v>
      </c>
      <c r="BW535" t="str">
        <f t="shared" si="256"/>
        <v>14:41:55.017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343</v>
      </c>
      <c r="CR535">
        <v>2</v>
      </c>
      <c r="CW535">
        <v>12976437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si="253"/>
        <v>05/12/2020 14:41:37.225</v>
      </c>
      <c r="C536" t="str">
        <f t="shared" si="257"/>
        <v>FFDFD3C0</v>
      </c>
      <c r="D536" t="s">
        <v>126</v>
      </c>
      <c r="E536">
        <v>7</v>
      </c>
      <c r="F536">
        <v>1007</v>
      </c>
      <c r="G536" t="s">
        <v>127</v>
      </c>
      <c r="J536" t="s">
        <v>128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254"/>
        <v>14:41:55.016</v>
      </c>
      <c r="T536" t="str">
        <f t="shared" si="255"/>
        <v>14:41:54.616</v>
      </c>
      <c r="U536" t="str">
        <f t="shared" si="247"/>
        <v>A9808D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249</v>
      </c>
      <c r="AJ536">
        <v>28.251493</v>
      </c>
      <c r="AK536" t="s">
        <v>250</v>
      </c>
      <c r="AL536">
        <v>-82.381474999999995</v>
      </c>
      <c r="AM536">
        <v>100</v>
      </c>
      <c r="AN536">
        <v>700</v>
      </c>
      <c r="AO536" t="s">
        <v>118</v>
      </c>
      <c r="AP536">
        <v>12</v>
      </c>
      <c r="AQ536">
        <v>87</v>
      </c>
      <c r="AR536">
        <v>512</v>
      </c>
      <c r="AZ536">
        <v>1200</v>
      </c>
      <c r="BA536">
        <v>1</v>
      </c>
      <c r="BB536" t="str">
        <f t="shared" si="258"/>
        <v xml:space="preserve">N711JA  </v>
      </c>
      <c r="BC536">
        <v>1</v>
      </c>
      <c r="BE536">
        <v>0</v>
      </c>
      <c r="BF536">
        <v>0</v>
      </c>
      <c r="BG536">
        <v>0</v>
      </c>
      <c r="BH536">
        <v>725</v>
      </c>
      <c r="BI536">
        <v>1</v>
      </c>
      <c r="BJ536">
        <v>1</v>
      </c>
      <c r="BK536">
        <v>0</v>
      </c>
      <c r="BL536">
        <v>0</v>
      </c>
      <c r="BO536">
        <v>0</v>
      </c>
      <c r="BP536">
        <v>0</v>
      </c>
      <c r="BW536" t="str">
        <f t="shared" si="256"/>
        <v>14:41:55.017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343</v>
      </c>
      <c r="CR536">
        <v>2</v>
      </c>
      <c r="CW536">
        <v>12976437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253"/>
        <v>05/12/2020 14:41:37.225</v>
      </c>
      <c r="C537" t="str">
        <f t="shared" si="257"/>
        <v>FFDFD3C0</v>
      </c>
      <c r="D537" t="s">
        <v>131</v>
      </c>
      <c r="E537">
        <v>10</v>
      </c>
      <c r="F537">
        <v>2010</v>
      </c>
      <c r="G537" t="s">
        <v>132</v>
      </c>
      <c r="J537" t="s">
        <v>133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254"/>
        <v>14:41:55.016</v>
      </c>
      <c r="T537" t="str">
        <f t="shared" si="255"/>
        <v>14:41:54.616</v>
      </c>
      <c r="U537" t="str">
        <f t="shared" si="247"/>
        <v>A9808D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249</v>
      </c>
      <c r="AJ537">
        <v>28.251493</v>
      </c>
      <c r="AK537" t="s">
        <v>250</v>
      </c>
      <c r="AL537">
        <v>-82.381474999999995</v>
      </c>
      <c r="AM537">
        <v>100</v>
      </c>
      <c r="AN537">
        <v>700</v>
      </c>
      <c r="AO537" t="s">
        <v>118</v>
      </c>
      <c r="AP537">
        <v>12</v>
      </c>
      <c r="AQ537">
        <v>87</v>
      </c>
      <c r="AR537">
        <v>512</v>
      </c>
      <c r="AZ537">
        <v>1200</v>
      </c>
      <c r="BA537">
        <v>1</v>
      </c>
      <c r="BB537" t="str">
        <f t="shared" si="258"/>
        <v xml:space="preserve">N711JA  </v>
      </c>
      <c r="BC537">
        <v>1</v>
      </c>
      <c r="BE537">
        <v>0</v>
      </c>
      <c r="BF537">
        <v>0</v>
      </c>
      <c r="BG537">
        <v>0</v>
      </c>
      <c r="BH537">
        <v>725</v>
      </c>
      <c r="BI537">
        <v>1</v>
      </c>
      <c r="BJ537">
        <v>1</v>
      </c>
      <c r="BK537">
        <v>0</v>
      </c>
      <c r="BL537">
        <v>0</v>
      </c>
      <c r="BO537">
        <v>0</v>
      </c>
      <c r="BP537">
        <v>0</v>
      </c>
      <c r="BW537" t="str">
        <f t="shared" si="256"/>
        <v>14:41:55.017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343</v>
      </c>
      <c r="CR537">
        <v>2</v>
      </c>
      <c r="CW537">
        <v>12976437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253"/>
        <v>05/12/2020 14:41:37.225</v>
      </c>
      <c r="C538" t="str">
        <f t="shared" si="257"/>
        <v>FFDFD3C0</v>
      </c>
      <c r="D538" t="s">
        <v>131</v>
      </c>
      <c r="E538">
        <v>18</v>
      </c>
      <c r="F538">
        <v>2018</v>
      </c>
      <c r="G538" t="s">
        <v>161</v>
      </c>
      <c r="J538" t="s">
        <v>133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254"/>
        <v>14:41:55.016</v>
      </c>
      <c r="T538" t="str">
        <f t="shared" si="255"/>
        <v>14:41:54.616</v>
      </c>
      <c r="U538" t="str">
        <f t="shared" si="247"/>
        <v>A9808D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249</v>
      </c>
      <c r="AJ538">
        <v>28.251493</v>
      </c>
      <c r="AK538" t="s">
        <v>250</v>
      </c>
      <c r="AL538">
        <v>-82.381474999999995</v>
      </c>
      <c r="AM538">
        <v>100</v>
      </c>
      <c r="AN538">
        <v>700</v>
      </c>
      <c r="AO538" t="s">
        <v>118</v>
      </c>
      <c r="AP538">
        <v>12</v>
      </c>
      <c r="AQ538">
        <v>87</v>
      </c>
      <c r="AR538">
        <v>512</v>
      </c>
      <c r="AZ538">
        <v>1200</v>
      </c>
      <c r="BA538">
        <v>1</v>
      </c>
      <c r="BB538" t="str">
        <f t="shared" si="258"/>
        <v xml:space="preserve">N711JA  </v>
      </c>
      <c r="BC538">
        <v>1</v>
      </c>
      <c r="BE538">
        <v>0</v>
      </c>
      <c r="BF538">
        <v>0</v>
      </c>
      <c r="BG538">
        <v>0</v>
      </c>
      <c r="BH538">
        <v>725</v>
      </c>
      <c r="BI538">
        <v>1</v>
      </c>
      <c r="BJ538">
        <v>1</v>
      </c>
      <c r="BK538">
        <v>0</v>
      </c>
      <c r="BL538">
        <v>0</v>
      </c>
      <c r="BO538">
        <v>0</v>
      </c>
      <c r="BP538">
        <v>0</v>
      </c>
      <c r="BW538" t="str">
        <f t="shared" si="256"/>
        <v>14:41:55.017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343</v>
      </c>
      <c r="CR538">
        <v>2</v>
      </c>
      <c r="CW538">
        <v>12976437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 t="shared" si="253"/>
        <v>05/12/2020 14:41:37.225</v>
      </c>
      <c r="C539" t="str">
        <f t="shared" si="257"/>
        <v>FFDFD3C0</v>
      </c>
      <c r="D539" t="s">
        <v>131</v>
      </c>
      <c r="E539">
        <v>12</v>
      </c>
      <c r="F539">
        <v>2012</v>
      </c>
      <c r="G539" t="s">
        <v>137</v>
      </c>
      <c r="J539" t="s">
        <v>133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254"/>
        <v>14:41:55.016</v>
      </c>
      <c r="T539" t="str">
        <f t="shared" si="255"/>
        <v>14:41:54.616</v>
      </c>
      <c r="U539" t="str">
        <f t="shared" si="247"/>
        <v>A9808D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249</v>
      </c>
      <c r="AJ539">
        <v>28.251493</v>
      </c>
      <c r="AK539" t="s">
        <v>250</v>
      </c>
      <c r="AL539">
        <v>-82.381474999999995</v>
      </c>
      <c r="AM539">
        <v>100</v>
      </c>
      <c r="AN539">
        <v>700</v>
      </c>
      <c r="AO539" t="s">
        <v>118</v>
      </c>
      <c r="AP539">
        <v>12</v>
      </c>
      <c r="AQ539">
        <v>87</v>
      </c>
      <c r="AR539">
        <v>512</v>
      </c>
      <c r="AZ539">
        <v>1200</v>
      </c>
      <c r="BA539">
        <v>1</v>
      </c>
      <c r="BB539" t="str">
        <f t="shared" si="258"/>
        <v xml:space="preserve">N711JA  </v>
      </c>
      <c r="BC539">
        <v>1</v>
      </c>
      <c r="BE539">
        <v>0</v>
      </c>
      <c r="BF539">
        <v>0</v>
      </c>
      <c r="BG539">
        <v>0</v>
      </c>
      <c r="BH539">
        <v>725</v>
      </c>
      <c r="BI539">
        <v>1</v>
      </c>
      <c r="BJ539">
        <v>1</v>
      </c>
      <c r="BK539">
        <v>0</v>
      </c>
      <c r="BL539">
        <v>0</v>
      </c>
      <c r="BO539">
        <v>0</v>
      </c>
      <c r="BP539">
        <v>0</v>
      </c>
      <c r="BW539" t="str">
        <f t="shared" si="256"/>
        <v>14:41:55.017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343</v>
      </c>
      <c r="CR539">
        <v>2</v>
      </c>
      <c r="CW539">
        <v>12976437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 t="shared" si="253"/>
        <v>05/12/2020 14:41:37.225</v>
      </c>
      <c r="C540" t="str">
        <f t="shared" si="257"/>
        <v>FFDFD3C0</v>
      </c>
      <c r="D540" t="s">
        <v>134</v>
      </c>
      <c r="E540">
        <v>12</v>
      </c>
      <c r="H540">
        <v>64</v>
      </c>
      <c r="I540" t="s">
        <v>135</v>
      </c>
      <c r="J540" t="s">
        <v>136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54"/>
        <v>14:41:55.016</v>
      </c>
      <c r="T540" t="str">
        <f t="shared" si="255"/>
        <v>14:41:54.616</v>
      </c>
      <c r="U540" t="str">
        <f t="shared" si="247"/>
        <v>A9808D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249</v>
      </c>
      <c r="AJ540">
        <v>28.251493</v>
      </c>
      <c r="AK540" t="s">
        <v>250</v>
      </c>
      <c r="AL540">
        <v>-82.381474999999995</v>
      </c>
      <c r="AM540">
        <v>100</v>
      </c>
      <c r="AN540">
        <v>700</v>
      </c>
      <c r="AO540" t="s">
        <v>118</v>
      </c>
      <c r="AP540">
        <v>12</v>
      </c>
      <c r="AQ540">
        <v>87</v>
      </c>
      <c r="AR540">
        <v>512</v>
      </c>
      <c r="AZ540">
        <v>1200</v>
      </c>
      <c r="BA540">
        <v>1</v>
      </c>
      <c r="BB540" t="str">
        <f t="shared" si="258"/>
        <v xml:space="preserve">N711JA  </v>
      </c>
      <c r="BC540">
        <v>1</v>
      </c>
      <c r="BE540">
        <v>0</v>
      </c>
      <c r="BF540">
        <v>0</v>
      </c>
      <c r="BG540">
        <v>0</v>
      </c>
      <c r="BH540">
        <v>725</v>
      </c>
      <c r="BI540">
        <v>1</v>
      </c>
      <c r="BJ540">
        <v>1</v>
      </c>
      <c r="BK540">
        <v>0</v>
      </c>
      <c r="BL540">
        <v>0</v>
      </c>
      <c r="BO540">
        <v>0</v>
      </c>
      <c r="BP540">
        <v>0</v>
      </c>
      <c r="BW540" t="str">
        <f t="shared" si="256"/>
        <v>14:41:55.017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343</v>
      </c>
      <c r="CR540">
        <v>2</v>
      </c>
      <c r="CW540">
        <v>12976437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 t="shared" ref="A541:A548" si="259">"05/12/2020 14:41:38.081"</f>
        <v>05/12/2020 14:41:38.081</v>
      </c>
      <c r="C541" t="str">
        <f t="shared" si="257"/>
        <v>FFDFD3C0</v>
      </c>
      <c r="D541" t="s">
        <v>126</v>
      </c>
      <c r="E541">
        <v>6</v>
      </c>
      <c r="F541">
        <v>1006</v>
      </c>
      <c r="G541" t="s">
        <v>114</v>
      </c>
      <c r="J541" t="s">
        <v>128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ref="S541:S548" si="260">"14:41:55.898"</f>
        <v>14:41:55.898</v>
      </c>
      <c r="T541" t="str">
        <f t="shared" ref="T541:T548" si="261">"14:41:55.698"</f>
        <v>14:41:55.698</v>
      </c>
      <c r="U541" t="str">
        <f t="shared" si="247"/>
        <v>A9808D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251</v>
      </c>
      <c r="AJ541">
        <v>28.251836000000001</v>
      </c>
      <c r="AK541" t="s">
        <v>152</v>
      </c>
      <c r="AL541">
        <v>-82.381411</v>
      </c>
      <c r="AM541">
        <v>100</v>
      </c>
      <c r="AN541">
        <v>700</v>
      </c>
      <c r="AO541" t="s">
        <v>118</v>
      </c>
      <c r="AP541">
        <v>13</v>
      </c>
      <c r="AQ541">
        <v>87</v>
      </c>
      <c r="AR541">
        <v>768</v>
      </c>
      <c r="AZ541">
        <v>1200</v>
      </c>
      <c r="BA541">
        <v>1</v>
      </c>
      <c r="BB541" t="str">
        <f t="shared" si="258"/>
        <v xml:space="preserve">N711JA  </v>
      </c>
      <c r="BC541">
        <v>1</v>
      </c>
      <c r="BE541">
        <v>0</v>
      </c>
      <c r="BF541">
        <v>0</v>
      </c>
      <c r="BG541">
        <v>0</v>
      </c>
      <c r="BH541">
        <v>750</v>
      </c>
      <c r="BI541">
        <v>1</v>
      </c>
      <c r="BJ541">
        <v>1</v>
      </c>
      <c r="BK541">
        <v>0</v>
      </c>
      <c r="BL541">
        <v>0</v>
      </c>
      <c r="BO541">
        <v>0</v>
      </c>
      <c r="BP541">
        <v>0</v>
      </c>
      <c r="BW541" t="str">
        <f t="shared" ref="BW541:BW548" si="262">"14:41:55.899"</f>
        <v>14:41:55.899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3</v>
      </c>
      <c r="CP541" t="s">
        <v>119</v>
      </c>
      <c r="CQ541">
        <v>8</v>
      </c>
      <c r="CR541">
        <v>3</v>
      </c>
      <c r="CW541">
        <v>8687365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 t="shared" si="259"/>
        <v>05/12/2020 14:41:38.081</v>
      </c>
      <c r="C542" t="str">
        <f t="shared" si="257"/>
        <v>FFDFD3C0</v>
      </c>
      <c r="D542" t="s">
        <v>138</v>
      </c>
      <c r="E542">
        <v>2</v>
      </c>
      <c r="H542">
        <v>8</v>
      </c>
      <c r="I542" t="s">
        <v>139</v>
      </c>
      <c r="J542" t="s">
        <v>136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60"/>
        <v>14:41:55.898</v>
      </c>
      <c r="T542" t="str">
        <f t="shared" si="261"/>
        <v>14:41:55.698</v>
      </c>
      <c r="U542" t="str">
        <f t="shared" si="247"/>
        <v>A9808D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251</v>
      </c>
      <c r="AJ542">
        <v>28.251836000000001</v>
      </c>
      <c r="AK542" t="s">
        <v>152</v>
      </c>
      <c r="AL542">
        <v>-82.381411</v>
      </c>
      <c r="AM542">
        <v>100</v>
      </c>
      <c r="AN542">
        <v>700</v>
      </c>
      <c r="AO542" t="s">
        <v>118</v>
      </c>
      <c r="AP542">
        <v>13</v>
      </c>
      <c r="AQ542">
        <v>87</v>
      </c>
      <c r="AR542">
        <v>768</v>
      </c>
      <c r="AZ542">
        <v>1200</v>
      </c>
      <c r="BA542">
        <v>1</v>
      </c>
      <c r="BB542" t="str">
        <f t="shared" si="258"/>
        <v xml:space="preserve">N711JA  </v>
      </c>
      <c r="BC542">
        <v>1</v>
      </c>
      <c r="BE542">
        <v>0</v>
      </c>
      <c r="BF542">
        <v>0</v>
      </c>
      <c r="BG542">
        <v>0</v>
      </c>
      <c r="BH542">
        <v>750</v>
      </c>
      <c r="BI542">
        <v>1</v>
      </c>
      <c r="BJ542">
        <v>1</v>
      </c>
      <c r="BK542">
        <v>0</v>
      </c>
      <c r="BL542">
        <v>0</v>
      </c>
      <c r="BO542">
        <v>0</v>
      </c>
      <c r="BP542">
        <v>0</v>
      </c>
      <c r="BW542" t="str">
        <f t="shared" si="262"/>
        <v>14:41:55.899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3</v>
      </c>
      <c r="CP542" t="s">
        <v>119</v>
      </c>
      <c r="CQ542">
        <v>8</v>
      </c>
      <c r="CR542">
        <v>3</v>
      </c>
      <c r="CW542">
        <v>8687365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 t="shared" si="259"/>
        <v>05/12/2020 14:41:38.081</v>
      </c>
      <c r="C543" t="str">
        <f t="shared" si="257"/>
        <v>FFDFD3C0</v>
      </c>
      <c r="D543" t="s">
        <v>113</v>
      </c>
      <c r="E543">
        <v>3</v>
      </c>
      <c r="H543">
        <v>164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60"/>
        <v>14:41:55.898</v>
      </c>
      <c r="T543" t="str">
        <f t="shared" si="261"/>
        <v>14:41:55.698</v>
      </c>
      <c r="U543" t="str">
        <f t="shared" si="247"/>
        <v>A9808D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251</v>
      </c>
      <c r="AJ543">
        <v>28.251836000000001</v>
      </c>
      <c r="AK543" t="s">
        <v>152</v>
      </c>
      <c r="AL543">
        <v>-82.381411</v>
      </c>
      <c r="AM543">
        <v>100</v>
      </c>
      <c r="AN543">
        <v>700</v>
      </c>
      <c r="AO543" t="s">
        <v>118</v>
      </c>
      <c r="AP543">
        <v>13</v>
      </c>
      <c r="AQ543">
        <v>87</v>
      </c>
      <c r="AR543">
        <v>768</v>
      </c>
      <c r="AZ543">
        <v>1200</v>
      </c>
      <c r="BA543">
        <v>1</v>
      </c>
      <c r="BB543" t="str">
        <f t="shared" si="258"/>
        <v xml:space="preserve">N711JA  </v>
      </c>
      <c r="BC543">
        <v>1</v>
      </c>
      <c r="BE543">
        <v>0</v>
      </c>
      <c r="BF543">
        <v>0</v>
      </c>
      <c r="BG543">
        <v>0</v>
      </c>
      <c r="BH543">
        <v>750</v>
      </c>
      <c r="BI543">
        <v>1</v>
      </c>
      <c r="BJ543">
        <v>1</v>
      </c>
      <c r="BK543">
        <v>0</v>
      </c>
      <c r="BL543">
        <v>0</v>
      </c>
      <c r="BO543">
        <v>0</v>
      </c>
      <c r="BP543">
        <v>0</v>
      </c>
      <c r="BW543" t="str">
        <f t="shared" si="262"/>
        <v>14:41:55.899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3</v>
      </c>
      <c r="CP543" t="s">
        <v>119</v>
      </c>
      <c r="CQ543">
        <v>8</v>
      </c>
      <c r="CR543">
        <v>3</v>
      </c>
      <c r="CW543">
        <v>8687365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si="259"/>
        <v>05/12/2020 14:41:38.081</v>
      </c>
      <c r="C544" t="str">
        <f t="shared" si="257"/>
        <v>FFDFD3C0</v>
      </c>
      <c r="D544" t="s">
        <v>138</v>
      </c>
      <c r="E544">
        <v>3</v>
      </c>
      <c r="H544">
        <v>9</v>
      </c>
      <c r="I544" t="s">
        <v>140</v>
      </c>
      <c r="J544" t="s">
        <v>136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260"/>
        <v>14:41:55.898</v>
      </c>
      <c r="T544" t="str">
        <f t="shared" si="261"/>
        <v>14:41:55.698</v>
      </c>
      <c r="U544" t="str">
        <f t="shared" si="247"/>
        <v>A9808D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251</v>
      </c>
      <c r="AJ544">
        <v>28.251836000000001</v>
      </c>
      <c r="AK544" t="s">
        <v>152</v>
      </c>
      <c r="AL544">
        <v>-82.381411</v>
      </c>
      <c r="AM544">
        <v>100</v>
      </c>
      <c r="AN544">
        <v>700</v>
      </c>
      <c r="AO544" t="s">
        <v>118</v>
      </c>
      <c r="AP544">
        <v>13</v>
      </c>
      <c r="AQ544">
        <v>87</v>
      </c>
      <c r="AR544">
        <v>768</v>
      </c>
      <c r="AZ544">
        <v>1200</v>
      </c>
      <c r="BA544">
        <v>1</v>
      </c>
      <c r="BB544" t="str">
        <f t="shared" si="258"/>
        <v xml:space="preserve">N711JA  </v>
      </c>
      <c r="BC544">
        <v>1</v>
      </c>
      <c r="BE544">
        <v>0</v>
      </c>
      <c r="BF544">
        <v>0</v>
      </c>
      <c r="BG544">
        <v>0</v>
      </c>
      <c r="BH544">
        <v>750</v>
      </c>
      <c r="BI544">
        <v>1</v>
      </c>
      <c r="BJ544">
        <v>1</v>
      </c>
      <c r="BK544">
        <v>0</v>
      </c>
      <c r="BL544">
        <v>0</v>
      </c>
      <c r="BO544">
        <v>0</v>
      </c>
      <c r="BP544">
        <v>0</v>
      </c>
      <c r="BW544" t="str">
        <f t="shared" si="262"/>
        <v>14:41:55.899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3</v>
      </c>
      <c r="CP544" t="s">
        <v>119</v>
      </c>
      <c r="CQ544">
        <v>8</v>
      </c>
      <c r="CR544">
        <v>3</v>
      </c>
      <c r="CW544">
        <v>8687365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si="259"/>
        <v>05/12/2020 14:41:38.081</v>
      </c>
      <c r="C545" t="str">
        <f t="shared" si="257"/>
        <v>FFDFD3C0</v>
      </c>
      <c r="D545" t="s">
        <v>126</v>
      </c>
      <c r="E545">
        <v>7</v>
      </c>
      <c r="F545">
        <v>1007</v>
      </c>
      <c r="G545" t="s">
        <v>127</v>
      </c>
      <c r="J545" t="s">
        <v>128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260"/>
        <v>14:41:55.898</v>
      </c>
      <c r="T545" t="str">
        <f t="shared" si="261"/>
        <v>14:41:55.698</v>
      </c>
      <c r="U545" t="str">
        <f t="shared" si="247"/>
        <v>A9808D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251</v>
      </c>
      <c r="AJ545">
        <v>28.251836000000001</v>
      </c>
      <c r="AK545" t="s">
        <v>152</v>
      </c>
      <c r="AL545">
        <v>-82.381411</v>
      </c>
      <c r="AM545">
        <v>100</v>
      </c>
      <c r="AN545">
        <v>700</v>
      </c>
      <c r="AO545" t="s">
        <v>118</v>
      </c>
      <c r="AP545">
        <v>13</v>
      </c>
      <c r="AQ545">
        <v>87</v>
      </c>
      <c r="AR545">
        <v>768</v>
      </c>
      <c r="AZ545">
        <v>1200</v>
      </c>
      <c r="BA545">
        <v>1</v>
      </c>
      <c r="BB545" t="str">
        <f t="shared" si="258"/>
        <v xml:space="preserve">N711JA  </v>
      </c>
      <c r="BC545">
        <v>1</v>
      </c>
      <c r="BE545">
        <v>0</v>
      </c>
      <c r="BF545">
        <v>0</v>
      </c>
      <c r="BG545">
        <v>0</v>
      </c>
      <c r="BH545">
        <v>750</v>
      </c>
      <c r="BI545">
        <v>1</v>
      </c>
      <c r="BJ545">
        <v>1</v>
      </c>
      <c r="BK545">
        <v>0</v>
      </c>
      <c r="BL545">
        <v>0</v>
      </c>
      <c r="BO545">
        <v>0</v>
      </c>
      <c r="BP545">
        <v>0</v>
      </c>
      <c r="BW545" t="str">
        <f t="shared" si="262"/>
        <v>14:41:55.899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3</v>
      </c>
      <c r="CP545" t="s">
        <v>119</v>
      </c>
      <c r="CQ545">
        <v>8</v>
      </c>
      <c r="CR545">
        <v>3</v>
      </c>
      <c r="CW545">
        <v>8687365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259"/>
        <v>05/12/2020 14:41:38.081</v>
      </c>
      <c r="C546" t="str">
        <f t="shared" si="257"/>
        <v>FFDFD3C0</v>
      </c>
      <c r="D546" t="s">
        <v>131</v>
      </c>
      <c r="E546">
        <v>10</v>
      </c>
      <c r="F546">
        <v>2010</v>
      </c>
      <c r="G546" t="s">
        <v>132</v>
      </c>
      <c r="J546" t="s">
        <v>133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260"/>
        <v>14:41:55.898</v>
      </c>
      <c r="T546" t="str">
        <f t="shared" si="261"/>
        <v>14:41:55.698</v>
      </c>
      <c r="U546" t="str">
        <f t="shared" si="247"/>
        <v>A9808D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251</v>
      </c>
      <c r="AJ546">
        <v>28.251836000000001</v>
      </c>
      <c r="AK546" t="s">
        <v>152</v>
      </c>
      <c r="AL546">
        <v>-82.381411</v>
      </c>
      <c r="AM546">
        <v>100</v>
      </c>
      <c r="AN546">
        <v>700</v>
      </c>
      <c r="AO546" t="s">
        <v>118</v>
      </c>
      <c r="AP546">
        <v>13</v>
      </c>
      <c r="AQ546">
        <v>87</v>
      </c>
      <c r="AR546">
        <v>768</v>
      </c>
      <c r="AZ546">
        <v>1200</v>
      </c>
      <c r="BA546">
        <v>1</v>
      </c>
      <c r="BB546" t="str">
        <f t="shared" si="258"/>
        <v xml:space="preserve">N711JA  </v>
      </c>
      <c r="BC546">
        <v>1</v>
      </c>
      <c r="BE546">
        <v>0</v>
      </c>
      <c r="BF546">
        <v>0</v>
      </c>
      <c r="BG546">
        <v>0</v>
      </c>
      <c r="BH546">
        <v>750</v>
      </c>
      <c r="BI546">
        <v>1</v>
      </c>
      <c r="BJ546">
        <v>1</v>
      </c>
      <c r="BK546">
        <v>0</v>
      </c>
      <c r="BL546">
        <v>0</v>
      </c>
      <c r="BO546">
        <v>0</v>
      </c>
      <c r="BP546">
        <v>0</v>
      </c>
      <c r="BW546" t="str">
        <f t="shared" si="262"/>
        <v>14:41:55.899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3</v>
      </c>
      <c r="CP546" t="s">
        <v>119</v>
      </c>
      <c r="CQ546">
        <v>8</v>
      </c>
      <c r="CR546">
        <v>3</v>
      </c>
      <c r="CW546">
        <v>8687365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si="259"/>
        <v>05/12/2020 14:41:38.081</v>
      </c>
      <c r="C547" t="str">
        <f t="shared" si="257"/>
        <v>FFDFD3C0</v>
      </c>
      <c r="D547" t="s">
        <v>131</v>
      </c>
      <c r="E547">
        <v>12</v>
      </c>
      <c r="F547">
        <v>2012</v>
      </c>
      <c r="G547" t="s">
        <v>137</v>
      </c>
      <c r="J547" t="s">
        <v>133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60"/>
        <v>14:41:55.898</v>
      </c>
      <c r="T547" t="str">
        <f t="shared" si="261"/>
        <v>14:41:55.698</v>
      </c>
      <c r="U547" t="str">
        <f t="shared" si="247"/>
        <v>A9808D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251</v>
      </c>
      <c r="AJ547">
        <v>28.251836000000001</v>
      </c>
      <c r="AK547" t="s">
        <v>152</v>
      </c>
      <c r="AL547">
        <v>-82.381411</v>
      </c>
      <c r="AM547">
        <v>100</v>
      </c>
      <c r="AN547">
        <v>700</v>
      </c>
      <c r="AO547" t="s">
        <v>118</v>
      </c>
      <c r="AP547">
        <v>13</v>
      </c>
      <c r="AQ547">
        <v>87</v>
      </c>
      <c r="AR547">
        <v>768</v>
      </c>
      <c r="AZ547">
        <v>1200</v>
      </c>
      <c r="BA547">
        <v>1</v>
      </c>
      <c r="BB547" t="str">
        <f t="shared" si="258"/>
        <v xml:space="preserve">N711JA  </v>
      </c>
      <c r="BC547">
        <v>1</v>
      </c>
      <c r="BE547">
        <v>0</v>
      </c>
      <c r="BF547">
        <v>0</v>
      </c>
      <c r="BG547">
        <v>0</v>
      </c>
      <c r="BH547">
        <v>750</v>
      </c>
      <c r="BI547">
        <v>1</v>
      </c>
      <c r="BJ547">
        <v>1</v>
      </c>
      <c r="BK547">
        <v>0</v>
      </c>
      <c r="BL547">
        <v>0</v>
      </c>
      <c r="BO547">
        <v>0</v>
      </c>
      <c r="BP547">
        <v>0</v>
      </c>
      <c r="BW547" t="str">
        <f t="shared" si="262"/>
        <v>14:41:55.899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3</v>
      </c>
      <c r="CP547" t="s">
        <v>119</v>
      </c>
      <c r="CQ547">
        <v>8</v>
      </c>
      <c r="CR547">
        <v>3</v>
      </c>
      <c r="CW547">
        <v>8687365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si="259"/>
        <v>05/12/2020 14:41:38.081</v>
      </c>
      <c r="C548" t="str">
        <f t="shared" si="257"/>
        <v>FFDFD3C0</v>
      </c>
      <c r="D548" t="s">
        <v>134</v>
      </c>
      <c r="E548">
        <v>12</v>
      </c>
      <c r="H548">
        <v>64</v>
      </c>
      <c r="I548" t="s">
        <v>135</v>
      </c>
      <c r="J548" t="s">
        <v>136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60"/>
        <v>14:41:55.898</v>
      </c>
      <c r="T548" t="str">
        <f t="shared" si="261"/>
        <v>14:41:55.698</v>
      </c>
      <c r="U548" t="str">
        <f t="shared" si="247"/>
        <v>A9808D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251</v>
      </c>
      <c r="AJ548">
        <v>28.251836000000001</v>
      </c>
      <c r="AK548" t="s">
        <v>152</v>
      </c>
      <c r="AL548">
        <v>-82.381411</v>
      </c>
      <c r="AM548">
        <v>100</v>
      </c>
      <c r="AN548">
        <v>700</v>
      </c>
      <c r="AO548" t="s">
        <v>118</v>
      </c>
      <c r="AP548">
        <v>13</v>
      </c>
      <c r="AQ548">
        <v>87</v>
      </c>
      <c r="AR548">
        <v>768</v>
      </c>
      <c r="AZ548">
        <v>1200</v>
      </c>
      <c r="BA548">
        <v>1</v>
      </c>
      <c r="BB548" t="str">
        <f t="shared" si="258"/>
        <v xml:space="preserve">N711JA  </v>
      </c>
      <c r="BC548">
        <v>1</v>
      </c>
      <c r="BE548">
        <v>0</v>
      </c>
      <c r="BF548">
        <v>0</v>
      </c>
      <c r="BG548">
        <v>0</v>
      </c>
      <c r="BH548">
        <v>750</v>
      </c>
      <c r="BI548">
        <v>1</v>
      </c>
      <c r="BJ548">
        <v>1</v>
      </c>
      <c r="BK548">
        <v>0</v>
      </c>
      <c r="BL548">
        <v>0</v>
      </c>
      <c r="BO548">
        <v>0</v>
      </c>
      <c r="BP548">
        <v>0</v>
      </c>
      <c r="BW548" t="str">
        <f t="shared" si="262"/>
        <v>14:41:55.899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3</v>
      </c>
      <c r="CP548" t="s">
        <v>119</v>
      </c>
      <c r="CQ548">
        <v>8</v>
      </c>
      <c r="CR548">
        <v>3</v>
      </c>
      <c r="CW548">
        <v>8687365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ref="A549:A557" si="263">"05/12/2020 14:41:39.232"</f>
        <v>05/12/2020 14:41:39.232</v>
      </c>
      <c r="C549" t="str">
        <f t="shared" si="257"/>
        <v>FFDFD3C0</v>
      </c>
      <c r="D549" t="s">
        <v>134</v>
      </c>
      <c r="E549">
        <v>12</v>
      </c>
      <c r="H549">
        <v>64</v>
      </c>
      <c r="I549" t="s">
        <v>135</v>
      </c>
      <c r="J549" t="s">
        <v>136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ref="S549:T557" si="264">"14:41:57.016"</f>
        <v>14:41:57.016</v>
      </c>
      <c r="T549" t="str">
        <f t="shared" si="264"/>
        <v>14:41:57.016</v>
      </c>
      <c r="U549" t="str">
        <f t="shared" si="247"/>
        <v>A9808D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252</v>
      </c>
      <c r="AJ549">
        <v>28.252265000000001</v>
      </c>
      <c r="AK549" t="s">
        <v>253</v>
      </c>
      <c r="AL549">
        <v>-82.381303000000003</v>
      </c>
      <c r="AM549">
        <v>100</v>
      </c>
      <c r="AN549">
        <v>700</v>
      </c>
      <c r="AO549" t="s">
        <v>118</v>
      </c>
      <c r="AP549">
        <v>12</v>
      </c>
      <c r="AQ549">
        <v>87</v>
      </c>
      <c r="AR549">
        <v>896</v>
      </c>
      <c r="AZ549">
        <v>1200</v>
      </c>
      <c r="BA549">
        <v>1</v>
      </c>
      <c r="BB549" t="str">
        <f t="shared" si="258"/>
        <v xml:space="preserve">N711JA  </v>
      </c>
      <c r="BC549">
        <v>1</v>
      </c>
      <c r="BE549">
        <v>0</v>
      </c>
      <c r="BF549">
        <v>0</v>
      </c>
      <c r="BG549">
        <v>0</v>
      </c>
      <c r="BH549">
        <v>775</v>
      </c>
      <c r="BI549">
        <v>1</v>
      </c>
      <c r="BJ549">
        <v>1</v>
      </c>
      <c r="BK549">
        <v>0</v>
      </c>
      <c r="BL549">
        <v>0</v>
      </c>
      <c r="BO549">
        <v>0</v>
      </c>
      <c r="BP549">
        <v>0</v>
      </c>
      <c r="BW549" t="str">
        <f t="shared" ref="BW549:BW557" si="265">"14:41:57.020"</f>
        <v>14:41:57.020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343</v>
      </c>
      <c r="CR549">
        <v>2</v>
      </c>
      <c r="CW549">
        <v>12978063</v>
      </c>
      <c r="CY549">
        <v>1</v>
      </c>
      <c r="CZ549">
        <v>0</v>
      </c>
      <c r="DA549">
        <v>0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263"/>
        <v>05/12/2020 14:41:39.232</v>
      </c>
      <c r="C550" t="str">
        <f t="shared" si="257"/>
        <v>FFDFD3C0</v>
      </c>
      <c r="D550" t="s">
        <v>126</v>
      </c>
      <c r="E550">
        <v>6</v>
      </c>
      <c r="F550">
        <v>1006</v>
      </c>
      <c r="G550" t="s">
        <v>114</v>
      </c>
      <c r="J550" t="s">
        <v>128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64"/>
        <v>14:41:57.016</v>
      </c>
      <c r="T550" t="str">
        <f t="shared" si="264"/>
        <v>14:41:57.016</v>
      </c>
      <c r="U550" t="str">
        <f t="shared" si="247"/>
        <v>A9808D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252</v>
      </c>
      <c r="AJ550">
        <v>28.252265000000001</v>
      </c>
      <c r="AK550" t="s">
        <v>253</v>
      </c>
      <c r="AL550">
        <v>-82.381303000000003</v>
      </c>
      <c r="AM550">
        <v>100</v>
      </c>
      <c r="AN550">
        <v>700</v>
      </c>
      <c r="AO550" t="s">
        <v>118</v>
      </c>
      <c r="AP550">
        <v>12</v>
      </c>
      <c r="AQ550">
        <v>87</v>
      </c>
      <c r="AR550">
        <v>896</v>
      </c>
      <c r="AZ550">
        <v>1200</v>
      </c>
      <c r="BA550">
        <v>1</v>
      </c>
      <c r="BB550" t="str">
        <f t="shared" si="258"/>
        <v xml:space="preserve">N711JA  </v>
      </c>
      <c r="BC550">
        <v>1</v>
      </c>
      <c r="BE550">
        <v>0</v>
      </c>
      <c r="BF550">
        <v>0</v>
      </c>
      <c r="BG550">
        <v>0</v>
      </c>
      <c r="BH550">
        <v>775</v>
      </c>
      <c r="BI550">
        <v>1</v>
      </c>
      <c r="BJ550">
        <v>1</v>
      </c>
      <c r="BK550">
        <v>0</v>
      </c>
      <c r="BL550">
        <v>0</v>
      </c>
      <c r="BO550">
        <v>0</v>
      </c>
      <c r="BP550">
        <v>0</v>
      </c>
      <c r="BW550" t="str">
        <f t="shared" si="265"/>
        <v>14:41:57.020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343</v>
      </c>
      <c r="CR550">
        <v>2</v>
      </c>
      <c r="CW550">
        <v>12978063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 t="shared" si="263"/>
        <v>05/12/2020 14:41:39.232</v>
      </c>
      <c r="C551" t="str">
        <f t="shared" si="257"/>
        <v>FFDFD3C0</v>
      </c>
      <c r="D551" t="s">
        <v>113</v>
      </c>
      <c r="E551">
        <v>3</v>
      </c>
      <c r="H551">
        <v>164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264"/>
        <v>14:41:57.016</v>
      </c>
      <c r="T551" t="str">
        <f t="shared" si="264"/>
        <v>14:41:57.016</v>
      </c>
      <c r="U551" t="str">
        <f t="shared" si="247"/>
        <v>A9808D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252</v>
      </c>
      <c r="AJ551">
        <v>28.252265000000001</v>
      </c>
      <c r="AK551" t="s">
        <v>253</v>
      </c>
      <c r="AL551">
        <v>-82.381303000000003</v>
      </c>
      <c r="AM551">
        <v>100</v>
      </c>
      <c r="AN551">
        <v>700</v>
      </c>
      <c r="AO551" t="s">
        <v>118</v>
      </c>
      <c r="AP551">
        <v>12</v>
      </c>
      <c r="AQ551">
        <v>87</v>
      </c>
      <c r="AR551">
        <v>896</v>
      </c>
      <c r="AZ551">
        <v>1200</v>
      </c>
      <c r="BA551">
        <v>1</v>
      </c>
      <c r="BB551" t="str">
        <f t="shared" si="258"/>
        <v xml:space="preserve">N711JA  </v>
      </c>
      <c r="BC551">
        <v>1</v>
      </c>
      <c r="BE551">
        <v>0</v>
      </c>
      <c r="BF551">
        <v>0</v>
      </c>
      <c r="BG551">
        <v>0</v>
      </c>
      <c r="BH551">
        <v>775</v>
      </c>
      <c r="BI551">
        <v>1</v>
      </c>
      <c r="BJ551">
        <v>1</v>
      </c>
      <c r="BK551">
        <v>0</v>
      </c>
      <c r="BL551">
        <v>0</v>
      </c>
      <c r="BO551">
        <v>0</v>
      </c>
      <c r="BP551">
        <v>0</v>
      </c>
      <c r="BW551" t="str">
        <f t="shared" si="265"/>
        <v>14:41:57.020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343</v>
      </c>
      <c r="CR551">
        <v>2</v>
      </c>
      <c r="CW551">
        <v>12978063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 t="shared" si="263"/>
        <v>05/12/2020 14:41:39.232</v>
      </c>
      <c r="C552" t="str">
        <f t="shared" si="257"/>
        <v>FFDFD3C0</v>
      </c>
      <c r="D552" t="s">
        <v>138</v>
      </c>
      <c r="E552">
        <v>3</v>
      </c>
      <c r="H552">
        <v>9</v>
      </c>
      <c r="I552" t="s">
        <v>140</v>
      </c>
      <c r="J552" t="s">
        <v>136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264"/>
        <v>14:41:57.016</v>
      </c>
      <c r="T552" t="str">
        <f t="shared" si="264"/>
        <v>14:41:57.016</v>
      </c>
      <c r="U552" t="str">
        <f t="shared" si="247"/>
        <v>A9808D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252</v>
      </c>
      <c r="AJ552">
        <v>28.252265000000001</v>
      </c>
      <c r="AK552" t="s">
        <v>253</v>
      </c>
      <c r="AL552">
        <v>-82.381303000000003</v>
      </c>
      <c r="AM552">
        <v>100</v>
      </c>
      <c r="AN552">
        <v>700</v>
      </c>
      <c r="AO552" t="s">
        <v>118</v>
      </c>
      <c r="AP552">
        <v>12</v>
      </c>
      <c r="AQ552">
        <v>87</v>
      </c>
      <c r="AR552">
        <v>896</v>
      </c>
      <c r="AZ552">
        <v>1200</v>
      </c>
      <c r="BA552">
        <v>1</v>
      </c>
      <c r="BB552" t="str">
        <f t="shared" si="258"/>
        <v xml:space="preserve">N711JA  </v>
      </c>
      <c r="BC552">
        <v>1</v>
      </c>
      <c r="BE552">
        <v>0</v>
      </c>
      <c r="BF552">
        <v>0</v>
      </c>
      <c r="BG552">
        <v>0</v>
      </c>
      <c r="BH552">
        <v>775</v>
      </c>
      <c r="BI552">
        <v>1</v>
      </c>
      <c r="BJ552">
        <v>1</v>
      </c>
      <c r="BK552">
        <v>0</v>
      </c>
      <c r="BL552">
        <v>0</v>
      </c>
      <c r="BO552">
        <v>0</v>
      </c>
      <c r="BP552">
        <v>0</v>
      </c>
      <c r="BW552" t="str">
        <f t="shared" si="265"/>
        <v>14:41:57.020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343</v>
      </c>
      <c r="CR552">
        <v>2</v>
      </c>
      <c r="CW552">
        <v>12978063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 t="shared" si="263"/>
        <v>05/12/2020 14:41:39.232</v>
      </c>
      <c r="C553" t="str">
        <f t="shared" si="257"/>
        <v>FFDFD3C0</v>
      </c>
      <c r="D553" t="s">
        <v>126</v>
      </c>
      <c r="E553">
        <v>7</v>
      </c>
      <c r="F553">
        <v>1007</v>
      </c>
      <c r="G553" t="s">
        <v>127</v>
      </c>
      <c r="J553" t="s">
        <v>128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264"/>
        <v>14:41:57.016</v>
      </c>
      <c r="T553" t="str">
        <f t="shared" si="264"/>
        <v>14:41:57.016</v>
      </c>
      <c r="U553" t="str">
        <f t="shared" si="247"/>
        <v>A9808D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252</v>
      </c>
      <c r="AJ553">
        <v>28.252265000000001</v>
      </c>
      <c r="AK553" t="s">
        <v>253</v>
      </c>
      <c r="AL553">
        <v>-82.381303000000003</v>
      </c>
      <c r="AM553">
        <v>100</v>
      </c>
      <c r="AN553">
        <v>700</v>
      </c>
      <c r="AO553" t="s">
        <v>118</v>
      </c>
      <c r="AP553">
        <v>12</v>
      </c>
      <c r="AQ553">
        <v>87</v>
      </c>
      <c r="AR553">
        <v>896</v>
      </c>
      <c r="AZ553">
        <v>1200</v>
      </c>
      <c r="BA553">
        <v>1</v>
      </c>
      <c r="BB553" t="str">
        <f t="shared" si="258"/>
        <v xml:space="preserve">N711JA  </v>
      </c>
      <c r="BC553">
        <v>1</v>
      </c>
      <c r="BE553">
        <v>0</v>
      </c>
      <c r="BF553">
        <v>0</v>
      </c>
      <c r="BG553">
        <v>0</v>
      </c>
      <c r="BH553">
        <v>775</v>
      </c>
      <c r="BI553">
        <v>1</v>
      </c>
      <c r="BJ553">
        <v>1</v>
      </c>
      <c r="BK553">
        <v>0</v>
      </c>
      <c r="BL553">
        <v>0</v>
      </c>
      <c r="BO553">
        <v>0</v>
      </c>
      <c r="BP553">
        <v>0</v>
      </c>
      <c r="BW553" t="str">
        <f t="shared" si="265"/>
        <v>14:41:57.020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343</v>
      </c>
      <c r="CR553">
        <v>2</v>
      </c>
      <c r="CW553">
        <v>12978063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si="263"/>
        <v>05/12/2020 14:41:39.232</v>
      </c>
      <c r="C554" t="str">
        <f t="shared" si="257"/>
        <v>FFDFD3C0</v>
      </c>
      <c r="D554" t="s">
        <v>131</v>
      </c>
      <c r="E554">
        <v>10</v>
      </c>
      <c r="F554">
        <v>2010</v>
      </c>
      <c r="G554" t="s">
        <v>132</v>
      </c>
      <c r="J554" t="s">
        <v>133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264"/>
        <v>14:41:57.016</v>
      </c>
      <c r="T554" t="str">
        <f t="shared" si="264"/>
        <v>14:41:57.016</v>
      </c>
      <c r="U554" t="str">
        <f t="shared" si="247"/>
        <v>A9808D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252</v>
      </c>
      <c r="AJ554">
        <v>28.252265000000001</v>
      </c>
      <c r="AK554" t="s">
        <v>253</v>
      </c>
      <c r="AL554">
        <v>-82.381303000000003</v>
      </c>
      <c r="AM554">
        <v>100</v>
      </c>
      <c r="AN554">
        <v>700</v>
      </c>
      <c r="AO554" t="s">
        <v>118</v>
      </c>
      <c r="AP554">
        <v>12</v>
      </c>
      <c r="AQ554">
        <v>87</v>
      </c>
      <c r="AR554">
        <v>896</v>
      </c>
      <c r="AZ554">
        <v>1200</v>
      </c>
      <c r="BA554">
        <v>1</v>
      </c>
      <c r="BB554" t="str">
        <f t="shared" si="258"/>
        <v xml:space="preserve">N711JA  </v>
      </c>
      <c r="BC554">
        <v>1</v>
      </c>
      <c r="BE554">
        <v>0</v>
      </c>
      <c r="BF554">
        <v>0</v>
      </c>
      <c r="BG554">
        <v>0</v>
      </c>
      <c r="BH554">
        <v>775</v>
      </c>
      <c r="BI554">
        <v>1</v>
      </c>
      <c r="BJ554">
        <v>1</v>
      </c>
      <c r="BK554">
        <v>0</v>
      </c>
      <c r="BL554">
        <v>0</v>
      </c>
      <c r="BO554">
        <v>0</v>
      </c>
      <c r="BP554">
        <v>0</v>
      </c>
      <c r="BW554" t="str">
        <f t="shared" si="265"/>
        <v>14:41:57.020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343</v>
      </c>
      <c r="CR554">
        <v>2</v>
      </c>
      <c r="CW554">
        <v>12978063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263"/>
        <v>05/12/2020 14:41:39.232</v>
      </c>
      <c r="C555" t="str">
        <f t="shared" si="257"/>
        <v>FFDFD3C0</v>
      </c>
      <c r="D555" t="s">
        <v>131</v>
      </c>
      <c r="E555">
        <v>18</v>
      </c>
      <c r="F555">
        <v>2018</v>
      </c>
      <c r="G555" t="s">
        <v>161</v>
      </c>
      <c r="J555" t="s">
        <v>133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264"/>
        <v>14:41:57.016</v>
      </c>
      <c r="T555" t="str">
        <f t="shared" si="264"/>
        <v>14:41:57.016</v>
      </c>
      <c r="U555" t="str">
        <f t="shared" si="247"/>
        <v>A9808D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252</v>
      </c>
      <c r="AJ555">
        <v>28.252265000000001</v>
      </c>
      <c r="AK555" t="s">
        <v>253</v>
      </c>
      <c r="AL555">
        <v>-82.381303000000003</v>
      </c>
      <c r="AM555">
        <v>100</v>
      </c>
      <c r="AN555">
        <v>700</v>
      </c>
      <c r="AO555" t="s">
        <v>118</v>
      </c>
      <c r="AP555">
        <v>12</v>
      </c>
      <c r="AQ555">
        <v>87</v>
      </c>
      <c r="AR555">
        <v>896</v>
      </c>
      <c r="AZ555">
        <v>1200</v>
      </c>
      <c r="BA555">
        <v>1</v>
      </c>
      <c r="BB555" t="str">
        <f t="shared" si="258"/>
        <v xml:space="preserve">N711JA  </v>
      </c>
      <c r="BC555">
        <v>1</v>
      </c>
      <c r="BE555">
        <v>0</v>
      </c>
      <c r="BF555">
        <v>0</v>
      </c>
      <c r="BG555">
        <v>0</v>
      </c>
      <c r="BH555">
        <v>775</v>
      </c>
      <c r="BI555">
        <v>1</v>
      </c>
      <c r="BJ555">
        <v>1</v>
      </c>
      <c r="BK555">
        <v>0</v>
      </c>
      <c r="BL555">
        <v>0</v>
      </c>
      <c r="BO555">
        <v>0</v>
      </c>
      <c r="BP555">
        <v>0</v>
      </c>
      <c r="BW555" t="str">
        <f t="shared" si="265"/>
        <v>14:41:57.020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343</v>
      </c>
      <c r="CR555">
        <v>2</v>
      </c>
      <c r="CW555">
        <v>12978063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263"/>
        <v>05/12/2020 14:41:39.232</v>
      </c>
      <c r="C556" t="str">
        <f t="shared" si="257"/>
        <v>FFDFD3C0</v>
      </c>
      <c r="D556" t="s">
        <v>131</v>
      </c>
      <c r="E556">
        <v>12</v>
      </c>
      <c r="F556">
        <v>2012</v>
      </c>
      <c r="G556" t="s">
        <v>137</v>
      </c>
      <c r="J556" t="s">
        <v>133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64"/>
        <v>14:41:57.016</v>
      </c>
      <c r="T556" t="str">
        <f t="shared" si="264"/>
        <v>14:41:57.016</v>
      </c>
      <c r="U556" t="str">
        <f t="shared" si="247"/>
        <v>A9808D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252</v>
      </c>
      <c r="AJ556">
        <v>28.252265000000001</v>
      </c>
      <c r="AK556" t="s">
        <v>253</v>
      </c>
      <c r="AL556">
        <v>-82.381303000000003</v>
      </c>
      <c r="AM556">
        <v>100</v>
      </c>
      <c r="AN556">
        <v>700</v>
      </c>
      <c r="AO556" t="s">
        <v>118</v>
      </c>
      <c r="AP556">
        <v>12</v>
      </c>
      <c r="AQ556">
        <v>87</v>
      </c>
      <c r="AR556">
        <v>896</v>
      </c>
      <c r="AZ556">
        <v>1200</v>
      </c>
      <c r="BA556">
        <v>1</v>
      </c>
      <c r="BB556" t="str">
        <f t="shared" si="258"/>
        <v xml:space="preserve">N711JA  </v>
      </c>
      <c r="BC556">
        <v>1</v>
      </c>
      <c r="BE556">
        <v>0</v>
      </c>
      <c r="BF556">
        <v>0</v>
      </c>
      <c r="BG556">
        <v>0</v>
      </c>
      <c r="BH556">
        <v>775</v>
      </c>
      <c r="BI556">
        <v>1</v>
      </c>
      <c r="BJ556">
        <v>1</v>
      </c>
      <c r="BK556">
        <v>0</v>
      </c>
      <c r="BL556">
        <v>0</v>
      </c>
      <c r="BO556">
        <v>0</v>
      </c>
      <c r="BP556">
        <v>0</v>
      </c>
      <c r="BW556" t="str">
        <f t="shared" si="265"/>
        <v>14:41:57.020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343</v>
      </c>
      <c r="CR556">
        <v>2</v>
      </c>
      <c r="CW556">
        <v>12978063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263"/>
        <v>05/12/2020 14:41:39.232</v>
      </c>
      <c r="C557" t="str">
        <f t="shared" si="257"/>
        <v>FFDFD3C0</v>
      </c>
      <c r="D557" t="s">
        <v>138</v>
      </c>
      <c r="E557">
        <v>2</v>
      </c>
      <c r="H557">
        <v>8</v>
      </c>
      <c r="I557" t="s">
        <v>139</v>
      </c>
      <c r="J557" t="s">
        <v>136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264"/>
        <v>14:41:57.016</v>
      </c>
      <c r="T557" t="str">
        <f t="shared" si="264"/>
        <v>14:41:57.016</v>
      </c>
      <c r="U557" t="str">
        <f t="shared" si="247"/>
        <v>A9808D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252</v>
      </c>
      <c r="AJ557">
        <v>28.252265000000001</v>
      </c>
      <c r="AK557" t="s">
        <v>253</v>
      </c>
      <c r="AL557">
        <v>-82.381303000000003</v>
      </c>
      <c r="AM557">
        <v>100</v>
      </c>
      <c r="AN557">
        <v>700</v>
      </c>
      <c r="AO557" t="s">
        <v>118</v>
      </c>
      <c r="AP557">
        <v>12</v>
      </c>
      <c r="AQ557">
        <v>87</v>
      </c>
      <c r="AR557">
        <v>896</v>
      </c>
      <c r="AZ557">
        <v>1200</v>
      </c>
      <c r="BA557">
        <v>1</v>
      </c>
      <c r="BB557" t="str">
        <f t="shared" si="258"/>
        <v xml:space="preserve">N711JA  </v>
      </c>
      <c r="BC557">
        <v>1</v>
      </c>
      <c r="BE557">
        <v>0</v>
      </c>
      <c r="BF557">
        <v>0</v>
      </c>
      <c r="BG557">
        <v>0</v>
      </c>
      <c r="BH557">
        <v>775</v>
      </c>
      <c r="BI557">
        <v>1</v>
      </c>
      <c r="BJ557">
        <v>1</v>
      </c>
      <c r="BK557">
        <v>0</v>
      </c>
      <c r="BL557">
        <v>0</v>
      </c>
      <c r="BO557">
        <v>0</v>
      </c>
      <c r="BP557">
        <v>0</v>
      </c>
      <c r="BW557" t="str">
        <f t="shared" si="265"/>
        <v>14:41:57.020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343</v>
      </c>
      <c r="CR557">
        <v>2</v>
      </c>
      <c r="CW557">
        <v>12978063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ref="A558:A566" si="266">"05/12/2020 14:41:40.293"</f>
        <v>05/12/2020 14:41:40.293</v>
      </c>
      <c r="C558" t="str">
        <f t="shared" si="257"/>
        <v>FFDFD3C0</v>
      </c>
      <c r="D558" t="s">
        <v>134</v>
      </c>
      <c r="E558">
        <v>12</v>
      </c>
      <c r="H558">
        <v>64</v>
      </c>
      <c r="I558" t="s">
        <v>135</v>
      </c>
      <c r="J558" t="s">
        <v>136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ref="S558:S566" si="267">"14:41:58.078"</f>
        <v>14:41:58.078</v>
      </c>
      <c r="T558" t="str">
        <f t="shared" ref="T558:T566" si="268">"14:41:57.678"</f>
        <v>14:41:57.678</v>
      </c>
      <c r="U558" t="str">
        <f t="shared" si="247"/>
        <v>A9808D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254</v>
      </c>
      <c r="AJ558">
        <v>28.252715999999999</v>
      </c>
      <c r="AK558" t="s">
        <v>255</v>
      </c>
      <c r="AL558">
        <v>-82.381238999999994</v>
      </c>
      <c r="AM558">
        <v>100</v>
      </c>
      <c r="AN558">
        <v>700</v>
      </c>
      <c r="AO558" t="s">
        <v>118</v>
      </c>
      <c r="AP558">
        <v>11</v>
      </c>
      <c r="AQ558">
        <v>87</v>
      </c>
      <c r="AR558">
        <v>832</v>
      </c>
      <c r="AZ558">
        <v>1200</v>
      </c>
      <c r="BA558">
        <v>1</v>
      </c>
      <c r="BB558" t="str">
        <f t="shared" si="258"/>
        <v xml:space="preserve">N711JA  </v>
      </c>
      <c r="BC558">
        <v>1</v>
      </c>
      <c r="BE558">
        <v>0</v>
      </c>
      <c r="BF558">
        <v>0</v>
      </c>
      <c r="BG558">
        <v>0</v>
      </c>
      <c r="BH558">
        <v>775</v>
      </c>
      <c r="BI558">
        <v>1</v>
      </c>
      <c r="BJ558">
        <v>1</v>
      </c>
      <c r="BK558">
        <v>0</v>
      </c>
      <c r="BL558">
        <v>0</v>
      </c>
      <c r="BO558">
        <v>0</v>
      </c>
      <c r="BP558">
        <v>0</v>
      </c>
      <c r="BW558" t="str">
        <f t="shared" ref="BW558:BW566" si="269">"14:41:58.078"</f>
        <v>14:41:58.078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343</v>
      </c>
      <c r="CR558">
        <v>1</v>
      </c>
      <c r="CW558">
        <v>10567784</v>
      </c>
      <c r="CY558">
        <v>1</v>
      </c>
      <c r="CZ558">
        <v>0</v>
      </c>
      <c r="DA558">
        <v>0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266"/>
        <v>05/12/2020 14:41:40.293</v>
      </c>
      <c r="C559" t="str">
        <f t="shared" si="257"/>
        <v>FFDFD3C0</v>
      </c>
      <c r="D559" t="s">
        <v>126</v>
      </c>
      <c r="E559">
        <v>6</v>
      </c>
      <c r="F559">
        <v>1006</v>
      </c>
      <c r="G559" t="s">
        <v>114</v>
      </c>
      <c r="J559" t="s">
        <v>128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67"/>
        <v>14:41:58.078</v>
      </c>
      <c r="T559" t="str">
        <f t="shared" si="268"/>
        <v>14:41:57.678</v>
      </c>
      <c r="U559" t="str">
        <f t="shared" si="247"/>
        <v>A9808D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254</v>
      </c>
      <c r="AJ559">
        <v>28.252715999999999</v>
      </c>
      <c r="AK559" t="s">
        <v>255</v>
      </c>
      <c r="AL559">
        <v>-82.381238999999994</v>
      </c>
      <c r="AM559">
        <v>100</v>
      </c>
      <c r="AN559">
        <v>700</v>
      </c>
      <c r="AO559" t="s">
        <v>118</v>
      </c>
      <c r="AP559">
        <v>11</v>
      </c>
      <c r="AQ559">
        <v>87</v>
      </c>
      <c r="AR559">
        <v>832</v>
      </c>
      <c r="AZ559">
        <v>1200</v>
      </c>
      <c r="BA559">
        <v>1</v>
      </c>
      <c r="BB559" t="str">
        <f t="shared" si="258"/>
        <v xml:space="preserve">N711JA  </v>
      </c>
      <c r="BC559">
        <v>1</v>
      </c>
      <c r="BE559">
        <v>0</v>
      </c>
      <c r="BF559">
        <v>0</v>
      </c>
      <c r="BG559">
        <v>0</v>
      </c>
      <c r="BH559">
        <v>775</v>
      </c>
      <c r="BI559">
        <v>1</v>
      </c>
      <c r="BJ559">
        <v>1</v>
      </c>
      <c r="BK559">
        <v>0</v>
      </c>
      <c r="BL559">
        <v>0</v>
      </c>
      <c r="BO559">
        <v>0</v>
      </c>
      <c r="BP559">
        <v>0</v>
      </c>
      <c r="BW559" t="str">
        <f t="shared" si="269"/>
        <v>14:41:58.078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343</v>
      </c>
      <c r="CR559">
        <v>1</v>
      </c>
      <c r="CW559">
        <v>10567784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si="266"/>
        <v>05/12/2020 14:41:40.293</v>
      </c>
      <c r="C560" t="str">
        <f t="shared" si="257"/>
        <v>FFDFD3C0</v>
      </c>
      <c r="D560" t="s">
        <v>126</v>
      </c>
      <c r="E560">
        <v>7</v>
      </c>
      <c r="F560">
        <v>1007</v>
      </c>
      <c r="G560" t="s">
        <v>127</v>
      </c>
      <c r="J560" t="s">
        <v>128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267"/>
        <v>14:41:58.078</v>
      </c>
      <c r="T560" t="str">
        <f t="shared" si="268"/>
        <v>14:41:57.678</v>
      </c>
      <c r="U560" t="str">
        <f t="shared" si="247"/>
        <v>A9808D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254</v>
      </c>
      <c r="AJ560">
        <v>28.252715999999999</v>
      </c>
      <c r="AK560" t="s">
        <v>255</v>
      </c>
      <c r="AL560">
        <v>-82.381238999999994</v>
      </c>
      <c r="AM560">
        <v>100</v>
      </c>
      <c r="AN560">
        <v>700</v>
      </c>
      <c r="AO560" t="s">
        <v>118</v>
      </c>
      <c r="AP560">
        <v>11</v>
      </c>
      <c r="AQ560">
        <v>87</v>
      </c>
      <c r="AR560">
        <v>832</v>
      </c>
      <c r="AZ560">
        <v>1200</v>
      </c>
      <c r="BA560">
        <v>1</v>
      </c>
      <c r="BB560" t="str">
        <f t="shared" si="258"/>
        <v xml:space="preserve">N711JA  </v>
      </c>
      <c r="BC560">
        <v>1</v>
      </c>
      <c r="BE560">
        <v>0</v>
      </c>
      <c r="BF560">
        <v>0</v>
      </c>
      <c r="BG560">
        <v>0</v>
      </c>
      <c r="BH560">
        <v>775</v>
      </c>
      <c r="BI560">
        <v>1</v>
      </c>
      <c r="BJ560">
        <v>1</v>
      </c>
      <c r="BK560">
        <v>0</v>
      </c>
      <c r="BL560">
        <v>0</v>
      </c>
      <c r="BO560">
        <v>0</v>
      </c>
      <c r="BP560">
        <v>0</v>
      </c>
      <c r="BW560" t="str">
        <f t="shared" si="269"/>
        <v>14:41:58.078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343</v>
      </c>
      <c r="CR560">
        <v>1</v>
      </c>
      <c r="CW560">
        <v>10567784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266"/>
        <v>05/12/2020 14:41:40.293</v>
      </c>
      <c r="C561" t="str">
        <f t="shared" si="257"/>
        <v>FFDFD3C0</v>
      </c>
      <c r="D561" t="s">
        <v>131</v>
      </c>
      <c r="E561">
        <v>10</v>
      </c>
      <c r="F561">
        <v>2010</v>
      </c>
      <c r="G561" t="s">
        <v>132</v>
      </c>
      <c r="J561" t="s">
        <v>133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67"/>
        <v>14:41:58.078</v>
      </c>
      <c r="T561" t="str">
        <f t="shared" si="268"/>
        <v>14:41:57.678</v>
      </c>
      <c r="U561" t="str">
        <f t="shared" si="247"/>
        <v>A9808D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254</v>
      </c>
      <c r="AJ561">
        <v>28.252715999999999</v>
      </c>
      <c r="AK561" t="s">
        <v>255</v>
      </c>
      <c r="AL561">
        <v>-82.381238999999994</v>
      </c>
      <c r="AM561">
        <v>100</v>
      </c>
      <c r="AN561">
        <v>700</v>
      </c>
      <c r="AO561" t="s">
        <v>118</v>
      </c>
      <c r="AP561">
        <v>11</v>
      </c>
      <c r="AQ561">
        <v>87</v>
      </c>
      <c r="AR561">
        <v>832</v>
      </c>
      <c r="AZ561">
        <v>1200</v>
      </c>
      <c r="BA561">
        <v>1</v>
      </c>
      <c r="BB561" t="str">
        <f t="shared" si="258"/>
        <v xml:space="preserve">N711JA  </v>
      </c>
      <c r="BC561">
        <v>1</v>
      </c>
      <c r="BE561">
        <v>0</v>
      </c>
      <c r="BF561">
        <v>0</v>
      </c>
      <c r="BG561">
        <v>0</v>
      </c>
      <c r="BH561">
        <v>775</v>
      </c>
      <c r="BI561">
        <v>1</v>
      </c>
      <c r="BJ561">
        <v>1</v>
      </c>
      <c r="BK561">
        <v>0</v>
      </c>
      <c r="BL561">
        <v>0</v>
      </c>
      <c r="BO561">
        <v>0</v>
      </c>
      <c r="BP561">
        <v>0</v>
      </c>
      <c r="BW561" t="str">
        <f t="shared" si="269"/>
        <v>14:41:58.078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343</v>
      </c>
      <c r="CR561">
        <v>1</v>
      </c>
      <c r="CW561">
        <v>10567784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 t="shared" si="266"/>
        <v>05/12/2020 14:41:40.293</v>
      </c>
      <c r="C562" t="str">
        <f t="shared" si="257"/>
        <v>FFDFD3C0</v>
      </c>
      <c r="D562" t="s">
        <v>131</v>
      </c>
      <c r="E562">
        <v>12</v>
      </c>
      <c r="F562">
        <v>2012</v>
      </c>
      <c r="G562" t="s">
        <v>137</v>
      </c>
      <c r="J562" t="s">
        <v>133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267"/>
        <v>14:41:58.078</v>
      </c>
      <c r="T562" t="str">
        <f t="shared" si="268"/>
        <v>14:41:57.678</v>
      </c>
      <c r="U562" t="str">
        <f t="shared" si="247"/>
        <v>A9808D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254</v>
      </c>
      <c r="AJ562">
        <v>28.252715999999999</v>
      </c>
      <c r="AK562" t="s">
        <v>255</v>
      </c>
      <c r="AL562">
        <v>-82.381238999999994</v>
      </c>
      <c r="AM562">
        <v>100</v>
      </c>
      <c r="AN562">
        <v>700</v>
      </c>
      <c r="AO562" t="s">
        <v>118</v>
      </c>
      <c r="AP562">
        <v>11</v>
      </c>
      <c r="AQ562">
        <v>87</v>
      </c>
      <c r="AR562">
        <v>832</v>
      </c>
      <c r="AZ562">
        <v>1200</v>
      </c>
      <c r="BA562">
        <v>1</v>
      </c>
      <c r="BB562" t="str">
        <f t="shared" si="258"/>
        <v xml:space="preserve">N711JA  </v>
      </c>
      <c r="BC562">
        <v>1</v>
      </c>
      <c r="BE562">
        <v>0</v>
      </c>
      <c r="BF562">
        <v>0</v>
      </c>
      <c r="BG562">
        <v>0</v>
      </c>
      <c r="BH562">
        <v>775</v>
      </c>
      <c r="BI562">
        <v>1</v>
      </c>
      <c r="BJ562">
        <v>1</v>
      </c>
      <c r="BK562">
        <v>0</v>
      </c>
      <c r="BL562">
        <v>0</v>
      </c>
      <c r="BO562">
        <v>0</v>
      </c>
      <c r="BP562">
        <v>0</v>
      </c>
      <c r="BW562" t="str">
        <f t="shared" si="269"/>
        <v>14:41:58.078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343</v>
      </c>
      <c r="CR562">
        <v>1</v>
      </c>
      <c r="CW562">
        <v>10567784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 t="shared" si="266"/>
        <v>05/12/2020 14:41:40.293</v>
      </c>
      <c r="C563" t="str">
        <f t="shared" si="257"/>
        <v>FFDFD3C0</v>
      </c>
      <c r="D563" t="s">
        <v>131</v>
      </c>
      <c r="E563">
        <v>18</v>
      </c>
      <c r="F563">
        <v>2018</v>
      </c>
      <c r="G563" t="s">
        <v>161</v>
      </c>
      <c r="J563" t="s">
        <v>133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267"/>
        <v>14:41:58.078</v>
      </c>
      <c r="T563" t="str">
        <f t="shared" si="268"/>
        <v>14:41:57.678</v>
      </c>
      <c r="U563" t="str">
        <f t="shared" si="247"/>
        <v>A9808D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254</v>
      </c>
      <c r="AJ563">
        <v>28.252715999999999</v>
      </c>
      <c r="AK563" t="s">
        <v>255</v>
      </c>
      <c r="AL563">
        <v>-82.381238999999994</v>
      </c>
      <c r="AM563">
        <v>100</v>
      </c>
      <c r="AN563">
        <v>700</v>
      </c>
      <c r="AO563" t="s">
        <v>118</v>
      </c>
      <c r="AP563">
        <v>11</v>
      </c>
      <c r="AQ563">
        <v>87</v>
      </c>
      <c r="AR563">
        <v>832</v>
      </c>
      <c r="AZ563">
        <v>1200</v>
      </c>
      <c r="BA563">
        <v>1</v>
      </c>
      <c r="BB563" t="str">
        <f t="shared" si="258"/>
        <v xml:space="preserve">N711JA  </v>
      </c>
      <c r="BC563">
        <v>1</v>
      </c>
      <c r="BE563">
        <v>0</v>
      </c>
      <c r="BF563">
        <v>0</v>
      </c>
      <c r="BG563">
        <v>0</v>
      </c>
      <c r="BH563">
        <v>775</v>
      </c>
      <c r="BI563">
        <v>1</v>
      </c>
      <c r="BJ563">
        <v>1</v>
      </c>
      <c r="BK563">
        <v>0</v>
      </c>
      <c r="BL563">
        <v>0</v>
      </c>
      <c r="BO563">
        <v>0</v>
      </c>
      <c r="BP563">
        <v>0</v>
      </c>
      <c r="BW563" t="str">
        <f t="shared" si="269"/>
        <v>14:41:58.078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343</v>
      </c>
      <c r="CR563">
        <v>1</v>
      </c>
      <c r="CW563">
        <v>10567784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 t="shared" si="266"/>
        <v>05/12/2020 14:41:40.293</v>
      </c>
      <c r="C564" t="str">
        <f t="shared" si="257"/>
        <v>FFDFD3C0</v>
      </c>
      <c r="D564" t="s">
        <v>113</v>
      </c>
      <c r="E564">
        <v>3</v>
      </c>
      <c r="H564">
        <v>164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67"/>
        <v>14:41:58.078</v>
      </c>
      <c r="T564" t="str">
        <f t="shared" si="268"/>
        <v>14:41:57.678</v>
      </c>
      <c r="U564" t="str">
        <f t="shared" si="247"/>
        <v>A9808D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254</v>
      </c>
      <c r="AJ564">
        <v>28.252715999999999</v>
      </c>
      <c r="AK564" t="s">
        <v>255</v>
      </c>
      <c r="AL564">
        <v>-82.381238999999994</v>
      </c>
      <c r="AM564">
        <v>100</v>
      </c>
      <c r="AN564">
        <v>700</v>
      </c>
      <c r="AO564" t="s">
        <v>118</v>
      </c>
      <c r="AP564">
        <v>11</v>
      </c>
      <c r="AQ564">
        <v>87</v>
      </c>
      <c r="AR564">
        <v>832</v>
      </c>
      <c r="AZ564">
        <v>1200</v>
      </c>
      <c r="BA564">
        <v>1</v>
      </c>
      <c r="BB564" t="str">
        <f t="shared" si="258"/>
        <v xml:space="preserve">N711JA  </v>
      </c>
      <c r="BC564">
        <v>1</v>
      </c>
      <c r="BE564">
        <v>0</v>
      </c>
      <c r="BF564">
        <v>0</v>
      </c>
      <c r="BG564">
        <v>0</v>
      </c>
      <c r="BH564">
        <v>775</v>
      </c>
      <c r="BI564">
        <v>1</v>
      </c>
      <c r="BJ564">
        <v>1</v>
      </c>
      <c r="BK564">
        <v>0</v>
      </c>
      <c r="BL564">
        <v>0</v>
      </c>
      <c r="BO564">
        <v>0</v>
      </c>
      <c r="BP564">
        <v>0</v>
      </c>
      <c r="BW564" t="str">
        <f t="shared" si="269"/>
        <v>14:41:58.078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343</v>
      </c>
      <c r="CR564">
        <v>1</v>
      </c>
      <c r="CW564">
        <v>10567784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 t="shared" si="266"/>
        <v>05/12/2020 14:41:40.293</v>
      </c>
      <c r="C565" t="str">
        <f t="shared" si="257"/>
        <v>FFDFD3C0</v>
      </c>
      <c r="D565" t="s">
        <v>138</v>
      </c>
      <c r="E565">
        <v>2</v>
      </c>
      <c r="H565">
        <v>8</v>
      </c>
      <c r="I565" t="s">
        <v>139</v>
      </c>
      <c r="J565" t="s">
        <v>136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267"/>
        <v>14:41:58.078</v>
      </c>
      <c r="T565" t="str">
        <f t="shared" si="268"/>
        <v>14:41:57.678</v>
      </c>
      <c r="U565" t="str">
        <f t="shared" si="247"/>
        <v>A9808D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254</v>
      </c>
      <c r="AJ565">
        <v>28.252715999999999</v>
      </c>
      <c r="AK565" t="s">
        <v>255</v>
      </c>
      <c r="AL565">
        <v>-82.381238999999994</v>
      </c>
      <c r="AM565">
        <v>100</v>
      </c>
      <c r="AN565">
        <v>700</v>
      </c>
      <c r="AO565" t="s">
        <v>118</v>
      </c>
      <c r="AP565">
        <v>11</v>
      </c>
      <c r="AQ565">
        <v>87</v>
      </c>
      <c r="AR565">
        <v>832</v>
      </c>
      <c r="AZ565">
        <v>1200</v>
      </c>
      <c r="BA565">
        <v>1</v>
      </c>
      <c r="BB565" t="str">
        <f t="shared" si="258"/>
        <v xml:space="preserve">N711JA  </v>
      </c>
      <c r="BC565">
        <v>1</v>
      </c>
      <c r="BE565">
        <v>0</v>
      </c>
      <c r="BF565">
        <v>0</v>
      </c>
      <c r="BG565">
        <v>0</v>
      </c>
      <c r="BH565">
        <v>775</v>
      </c>
      <c r="BI565">
        <v>1</v>
      </c>
      <c r="BJ565">
        <v>1</v>
      </c>
      <c r="BK565">
        <v>0</v>
      </c>
      <c r="BL565">
        <v>0</v>
      </c>
      <c r="BO565">
        <v>0</v>
      </c>
      <c r="BP565">
        <v>0</v>
      </c>
      <c r="BW565" t="str">
        <f t="shared" si="269"/>
        <v>14:41:58.078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343</v>
      </c>
      <c r="CR565">
        <v>1</v>
      </c>
      <c r="CW565">
        <v>10567784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 t="shared" si="266"/>
        <v>05/12/2020 14:41:40.293</v>
      </c>
      <c r="C566" t="str">
        <f t="shared" si="257"/>
        <v>FFDFD3C0</v>
      </c>
      <c r="D566" t="s">
        <v>138</v>
      </c>
      <c r="E566">
        <v>3</v>
      </c>
      <c r="H566">
        <v>9</v>
      </c>
      <c r="I566" t="s">
        <v>140</v>
      </c>
      <c r="J566" t="s">
        <v>136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67"/>
        <v>14:41:58.078</v>
      </c>
      <c r="T566" t="str">
        <f t="shared" si="268"/>
        <v>14:41:57.678</v>
      </c>
      <c r="U566" t="str">
        <f t="shared" si="247"/>
        <v>A9808D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254</v>
      </c>
      <c r="AJ566">
        <v>28.252715999999999</v>
      </c>
      <c r="AK566" t="s">
        <v>255</v>
      </c>
      <c r="AL566">
        <v>-82.381238999999994</v>
      </c>
      <c r="AM566">
        <v>100</v>
      </c>
      <c r="AN566">
        <v>700</v>
      </c>
      <c r="AO566" t="s">
        <v>118</v>
      </c>
      <c r="AP566">
        <v>11</v>
      </c>
      <c r="AQ566">
        <v>87</v>
      </c>
      <c r="AR566">
        <v>832</v>
      </c>
      <c r="AZ566">
        <v>1200</v>
      </c>
      <c r="BA566">
        <v>1</v>
      </c>
      <c r="BB566" t="str">
        <f t="shared" si="258"/>
        <v xml:space="preserve">N711JA  </v>
      </c>
      <c r="BC566">
        <v>1</v>
      </c>
      <c r="BE566">
        <v>0</v>
      </c>
      <c r="BF566">
        <v>0</v>
      </c>
      <c r="BG566">
        <v>0</v>
      </c>
      <c r="BH566">
        <v>775</v>
      </c>
      <c r="BI566">
        <v>1</v>
      </c>
      <c r="BJ566">
        <v>1</v>
      </c>
      <c r="BK566">
        <v>0</v>
      </c>
      <c r="BL566">
        <v>0</v>
      </c>
      <c r="BO566">
        <v>0</v>
      </c>
      <c r="BP566">
        <v>0</v>
      </c>
      <c r="BW566" t="str">
        <f t="shared" si="269"/>
        <v>14:41:58.078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343</v>
      </c>
      <c r="CR566">
        <v>1</v>
      </c>
      <c r="CW566">
        <v>10567784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 t="shared" ref="A567:A575" si="270">"05/12/2020 14:41:41.419"</f>
        <v>05/12/2020 14:41:41.419</v>
      </c>
      <c r="C567" t="str">
        <f t="shared" si="257"/>
        <v>FFDFD3C0</v>
      </c>
      <c r="D567" t="s">
        <v>126</v>
      </c>
      <c r="E567">
        <v>7</v>
      </c>
      <c r="F567">
        <v>1007</v>
      </c>
      <c r="G567" t="s">
        <v>127</v>
      </c>
      <c r="J567" t="s">
        <v>128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ref="S567:T575" si="271">"14:41:59.250"</f>
        <v>14:41:59.250</v>
      </c>
      <c r="T567" t="str">
        <f t="shared" si="271"/>
        <v>14:41:59.250</v>
      </c>
      <c r="U567" t="str">
        <f t="shared" si="247"/>
        <v>A9808D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256</v>
      </c>
      <c r="AJ567">
        <v>28.253167000000001</v>
      </c>
      <c r="AK567" t="s">
        <v>150</v>
      </c>
      <c r="AL567">
        <v>-82.381196000000003</v>
      </c>
      <c r="AM567">
        <v>100</v>
      </c>
      <c r="AN567">
        <v>700</v>
      </c>
      <c r="AO567" t="s">
        <v>118</v>
      </c>
      <c r="AP567">
        <v>10</v>
      </c>
      <c r="AQ567">
        <v>88</v>
      </c>
      <c r="AR567">
        <v>768</v>
      </c>
      <c r="AZ567">
        <v>1200</v>
      </c>
      <c r="BA567">
        <v>1</v>
      </c>
      <c r="BB567" t="str">
        <f t="shared" si="258"/>
        <v xml:space="preserve">N711JA  </v>
      </c>
      <c r="BC567">
        <v>1</v>
      </c>
      <c r="BE567">
        <v>0</v>
      </c>
      <c r="BF567">
        <v>0</v>
      </c>
      <c r="BG567">
        <v>0</v>
      </c>
      <c r="BH567">
        <v>800</v>
      </c>
      <c r="BI567">
        <v>1</v>
      </c>
      <c r="BJ567">
        <v>1</v>
      </c>
      <c r="BK567">
        <v>0</v>
      </c>
      <c r="BL567">
        <v>0</v>
      </c>
      <c r="BO567">
        <v>0</v>
      </c>
      <c r="BP567">
        <v>0</v>
      </c>
      <c r="BW567" t="str">
        <f t="shared" ref="BW567:BW575" si="272">"14:41:59.256"</f>
        <v>14:41:59.256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343</v>
      </c>
      <c r="CR567">
        <v>1</v>
      </c>
      <c r="CW567">
        <v>10569033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 t="shared" si="270"/>
        <v>05/12/2020 14:41:41.419</v>
      </c>
      <c r="C568" t="str">
        <f t="shared" si="257"/>
        <v>FFDFD3C0</v>
      </c>
      <c r="D568" t="s">
        <v>131</v>
      </c>
      <c r="E568">
        <v>10</v>
      </c>
      <c r="F568">
        <v>2010</v>
      </c>
      <c r="G568" t="s">
        <v>132</v>
      </c>
      <c r="J568" t="s">
        <v>133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71"/>
        <v>14:41:59.250</v>
      </c>
      <c r="T568" t="str">
        <f t="shared" si="271"/>
        <v>14:41:59.250</v>
      </c>
      <c r="U568" t="str">
        <f t="shared" si="247"/>
        <v>A9808D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256</v>
      </c>
      <c r="AJ568">
        <v>28.253167000000001</v>
      </c>
      <c r="AK568" t="s">
        <v>150</v>
      </c>
      <c r="AL568">
        <v>-82.381196000000003</v>
      </c>
      <c r="AM568">
        <v>100</v>
      </c>
      <c r="AN568">
        <v>700</v>
      </c>
      <c r="AO568" t="s">
        <v>118</v>
      </c>
      <c r="AP568">
        <v>10</v>
      </c>
      <c r="AQ568">
        <v>88</v>
      </c>
      <c r="AR568">
        <v>768</v>
      </c>
      <c r="AZ568">
        <v>1200</v>
      </c>
      <c r="BA568">
        <v>1</v>
      </c>
      <c r="BB568" t="str">
        <f t="shared" si="258"/>
        <v xml:space="preserve">N711JA  </v>
      </c>
      <c r="BC568">
        <v>1</v>
      </c>
      <c r="BE568">
        <v>0</v>
      </c>
      <c r="BF568">
        <v>0</v>
      </c>
      <c r="BG568">
        <v>0</v>
      </c>
      <c r="BH568">
        <v>800</v>
      </c>
      <c r="BI568">
        <v>1</v>
      </c>
      <c r="BJ568">
        <v>1</v>
      </c>
      <c r="BK568">
        <v>0</v>
      </c>
      <c r="BL568">
        <v>0</v>
      </c>
      <c r="BO568">
        <v>0</v>
      </c>
      <c r="BP568">
        <v>0</v>
      </c>
      <c r="BW568" t="str">
        <f t="shared" si="272"/>
        <v>14:41:59.256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343</v>
      </c>
      <c r="CR568">
        <v>1</v>
      </c>
      <c r="CW568">
        <v>10569033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 t="shared" si="270"/>
        <v>05/12/2020 14:41:41.419</v>
      </c>
      <c r="C569" t="str">
        <f t="shared" si="257"/>
        <v>FFDFD3C0</v>
      </c>
      <c r="D569" t="s">
        <v>131</v>
      </c>
      <c r="E569">
        <v>18</v>
      </c>
      <c r="F569">
        <v>2018</v>
      </c>
      <c r="G569" t="s">
        <v>161</v>
      </c>
      <c r="J569" t="s">
        <v>133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271"/>
        <v>14:41:59.250</v>
      </c>
      <c r="T569" t="str">
        <f t="shared" si="271"/>
        <v>14:41:59.250</v>
      </c>
      <c r="U569" t="str">
        <f t="shared" si="247"/>
        <v>A9808D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256</v>
      </c>
      <c r="AJ569">
        <v>28.253167000000001</v>
      </c>
      <c r="AK569" t="s">
        <v>150</v>
      </c>
      <c r="AL569">
        <v>-82.381196000000003</v>
      </c>
      <c r="AM569">
        <v>100</v>
      </c>
      <c r="AN569">
        <v>700</v>
      </c>
      <c r="AO569" t="s">
        <v>118</v>
      </c>
      <c r="AP569">
        <v>10</v>
      </c>
      <c r="AQ569">
        <v>88</v>
      </c>
      <c r="AR569">
        <v>768</v>
      </c>
      <c r="AZ569">
        <v>1200</v>
      </c>
      <c r="BA569">
        <v>1</v>
      </c>
      <c r="BB569" t="str">
        <f t="shared" si="258"/>
        <v xml:space="preserve">N711JA  </v>
      </c>
      <c r="BC569">
        <v>1</v>
      </c>
      <c r="BE569">
        <v>0</v>
      </c>
      <c r="BF569">
        <v>0</v>
      </c>
      <c r="BG569">
        <v>0</v>
      </c>
      <c r="BH569">
        <v>800</v>
      </c>
      <c r="BI569">
        <v>1</v>
      </c>
      <c r="BJ569">
        <v>1</v>
      </c>
      <c r="BK569">
        <v>0</v>
      </c>
      <c r="BL569">
        <v>0</v>
      </c>
      <c r="BO569">
        <v>0</v>
      </c>
      <c r="BP569">
        <v>0</v>
      </c>
      <c r="BW569" t="str">
        <f t="shared" si="272"/>
        <v>14:41:59.256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343</v>
      </c>
      <c r="CR569">
        <v>1</v>
      </c>
      <c r="CW569">
        <v>10569033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 t="shared" si="270"/>
        <v>05/12/2020 14:41:41.419</v>
      </c>
      <c r="C570" t="str">
        <f t="shared" si="257"/>
        <v>FFDFD3C0</v>
      </c>
      <c r="D570" t="s">
        <v>131</v>
      </c>
      <c r="E570">
        <v>12</v>
      </c>
      <c r="F570">
        <v>2012</v>
      </c>
      <c r="G570" t="s">
        <v>137</v>
      </c>
      <c r="J570" t="s">
        <v>133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271"/>
        <v>14:41:59.250</v>
      </c>
      <c r="T570" t="str">
        <f t="shared" si="271"/>
        <v>14:41:59.250</v>
      </c>
      <c r="U570" t="str">
        <f t="shared" si="247"/>
        <v>A9808D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256</v>
      </c>
      <c r="AJ570">
        <v>28.253167000000001</v>
      </c>
      <c r="AK570" t="s">
        <v>150</v>
      </c>
      <c r="AL570">
        <v>-82.381196000000003</v>
      </c>
      <c r="AM570">
        <v>100</v>
      </c>
      <c r="AN570">
        <v>700</v>
      </c>
      <c r="AO570" t="s">
        <v>118</v>
      </c>
      <c r="AP570">
        <v>10</v>
      </c>
      <c r="AQ570">
        <v>88</v>
      </c>
      <c r="AR570">
        <v>768</v>
      </c>
      <c r="AZ570">
        <v>1200</v>
      </c>
      <c r="BA570">
        <v>1</v>
      </c>
      <c r="BB570" t="str">
        <f t="shared" si="258"/>
        <v xml:space="preserve">N711JA  </v>
      </c>
      <c r="BC570">
        <v>1</v>
      </c>
      <c r="BE570">
        <v>0</v>
      </c>
      <c r="BF570">
        <v>0</v>
      </c>
      <c r="BG570">
        <v>0</v>
      </c>
      <c r="BH570">
        <v>800</v>
      </c>
      <c r="BI570">
        <v>1</v>
      </c>
      <c r="BJ570">
        <v>1</v>
      </c>
      <c r="BK570">
        <v>0</v>
      </c>
      <c r="BL570">
        <v>0</v>
      </c>
      <c r="BO570">
        <v>0</v>
      </c>
      <c r="BP570">
        <v>0</v>
      </c>
      <c r="BW570" t="str">
        <f t="shared" si="272"/>
        <v>14:41:59.256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343</v>
      </c>
      <c r="CR570">
        <v>1</v>
      </c>
      <c r="CW570">
        <v>10569033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 t="shared" si="270"/>
        <v>05/12/2020 14:41:41.419</v>
      </c>
      <c r="C571" t="str">
        <f t="shared" si="257"/>
        <v>FFDFD3C0</v>
      </c>
      <c r="D571" t="s">
        <v>113</v>
      </c>
      <c r="E571">
        <v>3</v>
      </c>
      <c r="H571">
        <v>164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271"/>
        <v>14:41:59.250</v>
      </c>
      <c r="T571" t="str">
        <f t="shared" si="271"/>
        <v>14:41:59.250</v>
      </c>
      <c r="U571" t="str">
        <f t="shared" si="247"/>
        <v>A9808D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256</v>
      </c>
      <c r="AJ571">
        <v>28.253167000000001</v>
      </c>
      <c r="AK571" t="s">
        <v>150</v>
      </c>
      <c r="AL571">
        <v>-82.381196000000003</v>
      </c>
      <c r="AM571">
        <v>100</v>
      </c>
      <c r="AN571">
        <v>700</v>
      </c>
      <c r="AO571" t="s">
        <v>118</v>
      </c>
      <c r="AP571">
        <v>10</v>
      </c>
      <c r="AQ571">
        <v>88</v>
      </c>
      <c r="AR571">
        <v>768</v>
      </c>
      <c r="AZ571">
        <v>1200</v>
      </c>
      <c r="BA571">
        <v>1</v>
      </c>
      <c r="BB571" t="str">
        <f t="shared" si="258"/>
        <v xml:space="preserve">N711JA  </v>
      </c>
      <c r="BC571">
        <v>1</v>
      </c>
      <c r="BE571">
        <v>0</v>
      </c>
      <c r="BF571">
        <v>0</v>
      </c>
      <c r="BG571">
        <v>0</v>
      </c>
      <c r="BH571">
        <v>800</v>
      </c>
      <c r="BI571">
        <v>1</v>
      </c>
      <c r="BJ571">
        <v>1</v>
      </c>
      <c r="BK571">
        <v>0</v>
      </c>
      <c r="BL571">
        <v>0</v>
      </c>
      <c r="BO571">
        <v>0</v>
      </c>
      <c r="BP571">
        <v>0</v>
      </c>
      <c r="BW571" t="str">
        <f t="shared" si="272"/>
        <v>14:41:59.256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343</v>
      </c>
      <c r="CR571">
        <v>1</v>
      </c>
      <c r="CW571">
        <v>10569033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 t="shared" si="270"/>
        <v>05/12/2020 14:41:41.419</v>
      </c>
      <c r="C572" t="str">
        <f t="shared" si="257"/>
        <v>FFDFD3C0</v>
      </c>
      <c r="D572" t="s">
        <v>138</v>
      </c>
      <c r="E572">
        <v>2</v>
      </c>
      <c r="H572">
        <v>8</v>
      </c>
      <c r="I572" t="s">
        <v>139</v>
      </c>
      <c r="J572" t="s">
        <v>136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271"/>
        <v>14:41:59.250</v>
      </c>
      <c r="T572" t="str">
        <f t="shared" si="271"/>
        <v>14:41:59.250</v>
      </c>
      <c r="U572" t="str">
        <f t="shared" si="247"/>
        <v>A9808D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256</v>
      </c>
      <c r="AJ572">
        <v>28.253167000000001</v>
      </c>
      <c r="AK572" t="s">
        <v>150</v>
      </c>
      <c r="AL572">
        <v>-82.381196000000003</v>
      </c>
      <c r="AM572">
        <v>100</v>
      </c>
      <c r="AN572">
        <v>700</v>
      </c>
      <c r="AO572" t="s">
        <v>118</v>
      </c>
      <c r="AP572">
        <v>10</v>
      </c>
      <c r="AQ572">
        <v>88</v>
      </c>
      <c r="AR572">
        <v>768</v>
      </c>
      <c r="AZ572">
        <v>1200</v>
      </c>
      <c r="BA572">
        <v>1</v>
      </c>
      <c r="BB572" t="str">
        <f t="shared" si="258"/>
        <v xml:space="preserve">N711JA  </v>
      </c>
      <c r="BC572">
        <v>1</v>
      </c>
      <c r="BE572">
        <v>0</v>
      </c>
      <c r="BF572">
        <v>0</v>
      </c>
      <c r="BG572">
        <v>0</v>
      </c>
      <c r="BH572">
        <v>800</v>
      </c>
      <c r="BI572">
        <v>1</v>
      </c>
      <c r="BJ572">
        <v>1</v>
      </c>
      <c r="BK572">
        <v>0</v>
      </c>
      <c r="BL572">
        <v>0</v>
      </c>
      <c r="BO572">
        <v>0</v>
      </c>
      <c r="BP572">
        <v>0</v>
      </c>
      <c r="BW572" t="str">
        <f t="shared" si="272"/>
        <v>14:41:59.256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343</v>
      </c>
      <c r="CR572">
        <v>1</v>
      </c>
      <c r="CW572">
        <v>10569033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 t="shared" si="270"/>
        <v>05/12/2020 14:41:41.419</v>
      </c>
      <c r="C573" t="str">
        <f t="shared" si="257"/>
        <v>FFDFD3C0</v>
      </c>
      <c r="D573" t="s">
        <v>138</v>
      </c>
      <c r="E573">
        <v>3</v>
      </c>
      <c r="H573">
        <v>9</v>
      </c>
      <c r="I573" t="s">
        <v>140</v>
      </c>
      <c r="J573" t="s">
        <v>136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271"/>
        <v>14:41:59.250</v>
      </c>
      <c r="T573" t="str">
        <f t="shared" si="271"/>
        <v>14:41:59.250</v>
      </c>
      <c r="U573" t="str">
        <f t="shared" si="247"/>
        <v>A9808D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256</v>
      </c>
      <c r="AJ573">
        <v>28.253167000000001</v>
      </c>
      <c r="AK573" t="s">
        <v>150</v>
      </c>
      <c r="AL573">
        <v>-82.381196000000003</v>
      </c>
      <c r="AM573">
        <v>100</v>
      </c>
      <c r="AN573">
        <v>700</v>
      </c>
      <c r="AO573" t="s">
        <v>118</v>
      </c>
      <c r="AP573">
        <v>10</v>
      </c>
      <c r="AQ573">
        <v>88</v>
      </c>
      <c r="AR573">
        <v>768</v>
      </c>
      <c r="AZ573">
        <v>1200</v>
      </c>
      <c r="BA573">
        <v>1</v>
      </c>
      <c r="BB573" t="str">
        <f t="shared" si="258"/>
        <v xml:space="preserve">N711JA  </v>
      </c>
      <c r="BC573">
        <v>1</v>
      </c>
      <c r="BE573">
        <v>0</v>
      </c>
      <c r="BF573">
        <v>0</v>
      </c>
      <c r="BG573">
        <v>0</v>
      </c>
      <c r="BH573">
        <v>800</v>
      </c>
      <c r="BI573">
        <v>1</v>
      </c>
      <c r="BJ573">
        <v>1</v>
      </c>
      <c r="BK573">
        <v>0</v>
      </c>
      <c r="BL573">
        <v>0</v>
      </c>
      <c r="BO573">
        <v>0</v>
      </c>
      <c r="BP573">
        <v>0</v>
      </c>
      <c r="BW573" t="str">
        <f t="shared" si="272"/>
        <v>14:41:59.256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343</v>
      </c>
      <c r="CR573">
        <v>1</v>
      </c>
      <c r="CW573">
        <v>10569033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 t="shared" si="270"/>
        <v>05/12/2020 14:41:41.419</v>
      </c>
      <c r="C574" t="str">
        <f t="shared" si="257"/>
        <v>FFDFD3C0</v>
      </c>
      <c r="D574" t="s">
        <v>134</v>
      </c>
      <c r="E574">
        <v>12</v>
      </c>
      <c r="H574">
        <v>64</v>
      </c>
      <c r="I574" t="s">
        <v>135</v>
      </c>
      <c r="J574" t="s">
        <v>136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271"/>
        <v>14:41:59.250</v>
      </c>
      <c r="T574" t="str">
        <f t="shared" si="271"/>
        <v>14:41:59.250</v>
      </c>
      <c r="U574" t="str">
        <f t="shared" si="247"/>
        <v>A9808D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256</v>
      </c>
      <c r="AJ574">
        <v>28.253167000000001</v>
      </c>
      <c r="AK574" t="s">
        <v>150</v>
      </c>
      <c r="AL574">
        <v>-82.381196000000003</v>
      </c>
      <c r="AM574">
        <v>100</v>
      </c>
      <c r="AN574">
        <v>700</v>
      </c>
      <c r="AO574" t="s">
        <v>118</v>
      </c>
      <c r="AP574">
        <v>10</v>
      </c>
      <c r="AQ574">
        <v>88</v>
      </c>
      <c r="AR574">
        <v>768</v>
      </c>
      <c r="AZ574">
        <v>1200</v>
      </c>
      <c r="BA574">
        <v>1</v>
      </c>
      <c r="BB574" t="str">
        <f t="shared" si="258"/>
        <v xml:space="preserve">N711JA  </v>
      </c>
      <c r="BC574">
        <v>1</v>
      </c>
      <c r="BE574">
        <v>0</v>
      </c>
      <c r="BF574">
        <v>0</v>
      </c>
      <c r="BG574">
        <v>0</v>
      </c>
      <c r="BH574">
        <v>800</v>
      </c>
      <c r="BI574">
        <v>1</v>
      </c>
      <c r="BJ574">
        <v>1</v>
      </c>
      <c r="BK574">
        <v>0</v>
      </c>
      <c r="BL574">
        <v>0</v>
      </c>
      <c r="BO574">
        <v>0</v>
      </c>
      <c r="BP574">
        <v>0</v>
      </c>
      <c r="BW574" t="str">
        <f t="shared" si="272"/>
        <v>14:41:59.256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343</v>
      </c>
      <c r="CR574">
        <v>1</v>
      </c>
      <c r="CW574">
        <v>10569033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 t="shared" si="270"/>
        <v>05/12/2020 14:41:41.419</v>
      </c>
      <c r="C575" t="str">
        <f t="shared" si="257"/>
        <v>FFDFD3C0</v>
      </c>
      <c r="D575" t="s">
        <v>126</v>
      </c>
      <c r="E575">
        <v>6</v>
      </c>
      <c r="F575">
        <v>1006</v>
      </c>
      <c r="G575" t="s">
        <v>114</v>
      </c>
      <c r="J575" t="s">
        <v>128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271"/>
        <v>14:41:59.250</v>
      </c>
      <c r="T575" t="str">
        <f t="shared" si="271"/>
        <v>14:41:59.250</v>
      </c>
      <c r="U575" t="str">
        <f t="shared" si="247"/>
        <v>A9808D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256</v>
      </c>
      <c r="AJ575">
        <v>28.253167000000001</v>
      </c>
      <c r="AK575" t="s">
        <v>150</v>
      </c>
      <c r="AL575">
        <v>-82.381196000000003</v>
      </c>
      <c r="AM575">
        <v>100</v>
      </c>
      <c r="AN575">
        <v>700</v>
      </c>
      <c r="AO575" t="s">
        <v>118</v>
      </c>
      <c r="AP575">
        <v>10</v>
      </c>
      <c r="AQ575">
        <v>88</v>
      </c>
      <c r="AR575">
        <v>768</v>
      </c>
      <c r="AZ575">
        <v>1200</v>
      </c>
      <c r="BA575">
        <v>1</v>
      </c>
      <c r="BB575" t="str">
        <f t="shared" si="258"/>
        <v xml:space="preserve">N711JA  </v>
      </c>
      <c r="BC575">
        <v>1</v>
      </c>
      <c r="BE575">
        <v>0</v>
      </c>
      <c r="BF575">
        <v>0</v>
      </c>
      <c r="BG575">
        <v>0</v>
      </c>
      <c r="BH575">
        <v>800</v>
      </c>
      <c r="BI575">
        <v>1</v>
      </c>
      <c r="BJ575">
        <v>1</v>
      </c>
      <c r="BK575">
        <v>0</v>
      </c>
      <c r="BL575">
        <v>0</v>
      </c>
      <c r="BO575">
        <v>0</v>
      </c>
      <c r="BP575">
        <v>0</v>
      </c>
      <c r="BW575" t="str">
        <f t="shared" si="272"/>
        <v>14:41:59.256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343</v>
      </c>
      <c r="CR575">
        <v>1</v>
      </c>
      <c r="CW575">
        <v>10569033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ref="A576:A584" si="273">"05/12/2020 14:41:42.429"</f>
        <v>05/12/2020 14:41:42.429</v>
      </c>
      <c r="C576" t="str">
        <f t="shared" si="257"/>
        <v>FFDFD3C0</v>
      </c>
      <c r="D576" t="s">
        <v>131</v>
      </c>
      <c r="E576">
        <v>18</v>
      </c>
      <c r="F576">
        <v>2018</v>
      </c>
      <c r="G576" t="s">
        <v>161</v>
      </c>
      <c r="J576" t="s">
        <v>133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ref="S576:S584" si="274">"14:42:00.266"</f>
        <v>14:42:00.266</v>
      </c>
      <c r="T576" t="str">
        <f t="shared" ref="T576:T584" si="275">"14:42:00.166"</f>
        <v>14:42:00.166</v>
      </c>
      <c r="U576" t="str">
        <f t="shared" si="247"/>
        <v>A9808D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257</v>
      </c>
      <c r="AJ576">
        <v>28.253574</v>
      </c>
      <c r="AK576" t="s">
        <v>258</v>
      </c>
      <c r="AL576">
        <v>-82.381152999999998</v>
      </c>
      <c r="AM576">
        <v>100</v>
      </c>
      <c r="AN576">
        <v>700</v>
      </c>
      <c r="AO576" t="s">
        <v>118</v>
      </c>
      <c r="AP576">
        <v>10</v>
      </c>
      <c r="AQ576">
        <v>88</v>
      </c>
      <c r="AR576">
        <v>704</v>
      </c>
      <c r="AZ576">
        <v>1200</v>
      </c>
      <c r="BA576">
        <v>1</v>
      </c>
      <c r="BB576" t="str">
        <f t="shared" si="258"/>
        <v xml:space="preserve">N711JA  </v>
      </c>
      <c r="BC576">
        <v>1</v>
      </c>
      <c r="BE576">
        <v>0</v>
      </c>
      <c r="BF576">
        <v>0</v>
      </c>
      <c r="BG576">
        <v>0</v>
      </c>
      <c r="BH576">
        <v>800</v>
      </c>
      <c r="BI576">
        <v>1</v>
      </c>
      <c r="BJ576">
        <v>1</v>
      </c>
      <c r="BK576">
        <v>0</v>
      </c>
      <c r="BL576">
        <v>0</v>
      </c>
      <c r="BO576">
        <v>0</v>
      </c>
      <c r="BP576">
        <v>0</v>
      </c>
      <c r="BW576" t="str">
        <f t="shared" ref="BW576:BW584" si="276">"14:42:00.272"</f>
        <v>14:42:00.272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343</v>
      </c>
      <c r="CR576">
        <v>0</v>
      </c>
      <c r="CW576">
        <v>5636576</v>
      </c>
      <c r="CY576">
        <v>1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si="273"/>
        <v>05/12/2020 14:41:42.429</v>
      </c>
      <c r="C577" t="str">
        <f t="shared" si="257"/>
        <v>FFDFD3C0</v>
      </c>
      <c r="D577" t="s">
        <v>113</v>
      </c>
      <c r="E577">
        <v>3</v>
      </c>
      <c r="H577">
        <v>164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74"/>
        <v>14:42:00.266</v>
      </c>
      <c r="T577" t="str">
        <f t="shared" si="275"/>
        <v>14:42:00.166</v>
      </c>
      <c r="U577" t="str">
        <f t="shared" si="247"/>
        <v>A9808D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257</v>
      </c>
      <c r="AJ577">
        <v>28.253574</v>
      </c>
      <c r="AK577" t="s">
        <v>258</v>
      </c>
      <c r="AL577">
        <v>-82.381152999999998</v>
      </c>
      <c r="AM577">
        <v>100</v>
      </c>
      <c r="AN577">
        <v>700</v>
      </c>
      <c r="AO577" t="s">
        <v>118</v>
      </c>
      <c r="AP577">
        <v>10</v>
      </c>
      <c r="AQ577">
        <v>88</v>
      </c>
      <c r="AR577">
        <v>704</v>
      </c>
      <c r="AZ577">
        <v>1200</v>
      </c>
      <c r="BA577">
        <v>1</v>
      </c>
      <c r="BB577" t="str">
        <f t="shared" si="258"/>
        <v xml:space="preserve">N711JA  </v>
      </c>
      <c r="BC577">
        <v>1</v>
      </c>
      <c r="BE577">
        <v>0</v>
      </c>
      <c r="BF577">
        <v>0</v>
      </c>
      <c r="BG577">
        <v>0</v>
      </c>
      <c r="BH577">
        <v>800</v>
      </c>
      <c r="BI577">
        <v>1</v>
      </c>
      <c r="BJ577">
        <v>1</v>
      </c>
      <c r="BK577">
        <v>0</v>
      </c>
      <c r="BL577">
        <v>0</v>
      </c>
      <c r="BO577">
        <v>0</v>
      </c>
      <c r="BP577">
        <v>0</v>
      </c>
      <c r="BW577" t="str">
        <f t="shared" si="276"/>
        <v>14:42:00.272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343</v>
      </c>
      <c r="CR577">
        <v>0</v>
      </c>
      <c r="CW577">
        <v>5636576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si="273"/>
        <v>05/12/2020 14:41:42.429</v>
      </c>
      <c r="C578" t="str">
        <f t="shared" si="257"/>
        <v>FFDFD3C0</v>
      </c>
      <c r="D578" t="s">
        <v>138</v>
      </c>
      <c r="E578">
        <v>2</v>
      </c>
      <c r="H578">
        <v>8</v>
      </c>
      <c r="I578" t="s">
        <v>139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274"/>
        <v>14:42:00.266</v>
      </c>
      <c r="T578" t="str">
        <f t="shared" si="275"/>
        <v>14:42:00.166</v>
      </c>
      <c r="U578" t="str">
        <f t="shared" ref="U578:U641" si="277">"A9808D"</f>
        <v>A9808D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257</v>
      </c>
      <c r="AJ578">
        <v>28.253574</v>
      </c>
      <c r="AK578" t="s">
        <v>258</v>
      </c>
      <c r="AL578">
        <v>-82.381152999999998</v>
      </c>
      <c r="AM578">
        <v>100</v>
      </c>
      <c r="AN578">
        <v>700</v>
      </c>
      <c r="AO578" t="s">
        <v>118</v>
      </c>
      <c r="AP578">
        <v>10</v>
      </c>
      <c r="AQ578">
        <v>88</v>
      </c>
      <c r="AR578">
        <v>704</v>
      </c>
      <c r="AZ578">
        <v>1200</v>
      </c>
      <c r="BA578">
        <v>1</v>
      </c>
      <c r="BB578" t="str">
        <f t="shared" si="258"/>
        <v xml:space="preserve">N711JA  </v>
      </c>
      <c r="BC578">
        <v>1</v>
      </c>
      <c r="BE578">
        <v>0</v>
      </c>
      <c r="BF578">
        <v>0</v>
      </c>
      <c r="BG578">
        <v>0</v>
      </c>
      <c r="BH578">
        <v>800</v>
      </c>
      <c r="BI578">
        <v>1</v>
      </c>
      <c r="BJ578">
        <v>1</v>
      </c>
      <c r="BK578">
        <v>0</v>
      </c>
      <c r="BL578">
        <v>0</v>
      </c>
      <c r="BO578">
        <v>0</v>
      </c>
      <c r="BP578">
        <v>0</v>
      </c>
      <c r="BW578" t="str">
        <f t="shared" si="276"/>
        <v>14:42:00.272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343</v>
      </c>
      <c r="CR578">
        <v>0</v>
      </c>
      <c r="CW578">
        <v>5636576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273"/>
        <v>05/12/2020 14:41:42.429</v>
      </c>
      <c r="C579" t="str">
        <f t="shared" si="257"/>
        <v>FFDFD3C0</v>
      </c>
      <c r="D579" t="s">
        <v>138</v>
      </c>
      <c r="E579">
        <v>3</v>
      </c>
      <c r="H579">
        <v>9</v>
      </c>
      <c r="I579" t="s">
        <v>140</v>
      </c>
      <c r="J579" t="s">
        <v>136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274"/>
        <v>14:42:00.266</v>
      </c>
      <c r="T579" t="str">
        <f t="shared" si="275"/>
        <v>14:42:00.166</v>
      </c>
      <c r="U579" t="str">
        <f t="shared" si="277"/>
        <v>A9808D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257</v>
      </c>
      <c r="AJ579">
        <v>28.253574</v>
      </c>
      <c r="AK579" t="s">
        <v>258</v>
      </c>
      <c r="AL579">
        <v>-82.381152999999998</v>
      </c>
      <c r="AM579">
        <v>100</v>
      </c>
      <c r="AN579">
        <v>700</v>
      </c>
      <c r="AO579" t="s">
        <v>118</v>
      </c>
      <c r="AP579">
        <v>10</v>
      </c>
      <c r="AQ579">
        <v>88</v>
      </c>
      <c r="AR579">
        <v>704</v>
      </c>
      <c r="AZ579">
        <v>1200</v>
      </c>
      <c r="BA579">
        <v>1</v>
      </c>
      <c r="BB579" t="str">
        <f t="shared" si="258"/>
        <v xml:space="preserve">N711JA  </v>
      </c>
      <c r="BC579">
        <v>1</v>
      </c>
      <c r="BE579">
        <v>0</v>
      </c>
      <c r="BF579">
        <v>0</v>
      </c>
      <c r="BG579">
        <v>0</v>
      </c>
      <c r="BH579">
        <v>800</v>
      </c>
      <c r="BI579">
        <v>1</v>
      </c>
      <c r="BJ579">
        <v>1</v>
      </c>
      <c r="BK579">
        <v>0</v>
      </c>
      <c r="BL579">
        <v>0</v>
      </c>
      <c r="BO579">
        <v>0</v>
      </c>
      <c r="BP579">
        <v>0</v>
      </c>
      <c r="BW579" t="str">
        <f t="shared" si="276"/>
        <v>14:42:00.272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343</v>
      </c>
      <c r="CR579">
        <v>0</v>
      </c>
      <c r="CW579">
        <v>5636576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273"/>
        <v>05/12/2020 14:41:42.429</v>
      </c>
      <c r="C580" t="str">
        <f t="shared" si="257"/>
        <v>FFDFD3C0</v>
      </c>
      <c r="D580" t="s">
        <v>126</v>
      </c>
      <c r="E580">
        <v>6</v>
      </c>
      <c r="F580">
        <v>1006</v>
      </c>
      <c r="G580" t="s">
        <v>114</v>
      </c>
      <c r="J580" t="s">
        <v>128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74"/>
        <v>14:42:00.266</v>
      </c>
      <c r="T580" t="str">
        <f t="shared" si="275"/>
        <v>14:42:00.166</v>
      </c>
      <c r="U580" t="str">
        <f t="shared" si="277"/>
        <v>A9808D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257</v>
      </c>
      <c r="AJ580">
        <v>28.253574</v>
      </c>
      <c r="AK580" t="s">
        <v>258</v>
      </c>
      <c r="AL580">
        <v>-82.381152999999998</v>
      </c>
      <c r="AM580">
        <v>100</v>
      </c>
      <c r="AN580">
        <v>700</v>
      </c>
      <c r="AO580" t="s">
        <v>118</v>
      </c>
      <c r="AP580">
        <v>10</v>
      </c>
      <c r="AQ580">
        <v>88</v>
      </c>
      <c r="AR580">
        <v>704</v>
      </c>
      <c r="AZ580">
        <v>1200</v>
      </c>
      <c r="BA580">
        <v>1</v>
      </c>
      <c r="BB580" t="str">
        <f t="shared" si="258"/>
        <v xml:space="preserve">N711JA  </v>
      </c>
      <c r="BC580">
        <v>1</v>
      </c>
      <c r="BE580">
        <v>0</v>
      </c>
      <c r="BF580">
        <v>0</v>
      </c>
      <c r="BG580">
        <v>0</v>
      </c>
      <c r="BH580">
        <v>800</v>
      </c>
      <c r="BI580">
        <v>1</v>
      </c>
      <c r="BJ580">
        <v>1</v>
      </c>
      <c r="BK580">
        <v>0</v>
      </c>
      <c r="BL580">
        <v>0</v>
      </c>
      <c r="BO580">
        <v>0</v>
      </c>
      <c r="BP580">
        <v>0</v>
      </c>
      <c r="BW580" t="str">
        <f t="shared" si="276"/>
        <v>14:42:00.272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343</v>
      </c>
      <c r="CR580">
        <v>0</v>
      </c>
      <c r="CW580">
        <v>5636576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273"/>
        <v>05/12/2020 14:41:42.429</v>
      </c>
      <c r="C581" t="str">
        <f t="shared" si="257"/>
        <v>FFDFD3C0</v>
      </c>
      <c r="D581" t="s">
        <v>134</v>
      </c>
      <c r="E581">
        <v>12</v>
      </c>
      <c r="H581">
        <v>64</v>
      </c>
      <c r="I581" t="s">
        <v>135</v>
      </c>
      <c r="J581" t="s">
        <v>136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274"/>
        <v>14:42:00.266</v>
      </c>
      <c r="T581" t="str">
        <f t="shared" si="275"/>
        <v>14:42:00.166</v>
      </c>
      <c r="U581" t="str">
        <f t="shared" si="277"/>
        <v>A9808D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257</v>
      </c>
      <c r="AJ581">
        <v>28.253574</v>
      </c>
      <c r="AK581" t="s">
        <v>258</v>
      </c>
      <c r="AL581">
        <v>-82.381152999999998</v>
      </c>
      <c r="AM581">
        <v>100</v>
      </c>
      <c r="AN581">
        <v>700</v>
      </c>
      <c r="AO581" t="s">
        <v>118</v>
      </c>
      <c r="AP581">
        <v>10</v>
      </c>
      <c r="AQ581">
        <v>88</v>
      </c>
      <c r="AR581">
        <v>704</v>
      </c>
      <c r="AZ581">
        <v>1200</v>
      </c>
      <c r="BA581">
        <v>1</v>
      </c>
      <c r="BB581" t="str">
        <f t="shared" si="258"/>
        <v xml:space="preserve">N711JA  </v>
      </c>
      <c r="BC581">
        <v>1</v>
      </c>
      <c r="BE581">
        <v>0</v>
      </c>
      <c r="BF581">
        <v>0</v>
      </c>
      <c r="BG581">
        <v>0</v>
      </c>
      <c r="BH581">
        <v>800</v>
      </c>
      <c r="BI581">
        <v>1</v>
      </c>
      <c r="BJ581">
        <v>1</v>
      </c>
      <c r="BK581">
        <v>0</v>
      </c>
      <c r="BL581">
        <v>0</v>
      </c>
      <c r="BO581">
        <v>0</v>
      </c>
      <c r="BP581">
        <v>0</v>
      </c>
      <c r="BW581" t="str">
        <f t="shared" si="276"/>
        <v>14:42:00.272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343</v>
      </c>
      <c r="CR581">
        <v>0</v>
      </c>
      <c r="CW581">
        <v>5636576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273"/>
        <v>05/12/2020 14:41:42.429</v>
      </c>
      <c r="C582" t="str">
        <f t="shared" si="257"/>
        <v>FFDFD3C0</v>
      </c>
      <c r="D582" t="s">
        <v>131</v>
      </c>
      <c r="E582">
        <v>10</v>
      </c>
      <c r="F582">
        <v>2010</v>
      </c>
      <c r="G582" t="s">
        <v>132</v>
      </c>
      <c r="J582" t="s">
        <v>133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74"/>
        <v>14:42:00.266</v>
      </c>
      <c r="T582" t="str">
        <f t="shared" si="275"/>
        <v>14:42:00.166</v>
      </c>
      <c r="U582" t="str">
        <f t="shared" si="277"/>
        <v>A9808D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257</v>
      </c>
      <c r="AJ582">
        <v>28.253574</v>
      </c>
      <c r="AK582" t="s">
        <v>258</v>
      </c>
      <c r="AL582">
        <v>-82.381152999999998</v>
      </c>
      <c r="AM582">
        <v>100</v>
      </c>
      <c r="AN582">
        <v>700</v>
      </c>
      <c r="AO582" t="s">
        <v>118</v>
      </c>
      <c r="AP582">
        <v>10</v>
      </c>
      <c r="AQ582">
        <v>88</v>
      </c>
      <c r="AR582">
        <v>704</v>
      </c>
      <c r="AZ582">
        <v>1200</v>
      </c>
      <c r="BA582">
        <v>1</v>
      </c>
      <c r="BB582" t="str">
        <f t="shared" si="258"/>
        <v xml:space="preserve">N711JA  </v>
      </c>
      <c r="BC582">
        <v>1</v>
      </c>
      <c r="BE582">
        <v>0</v>
      </c>
      <c r="BF582">
        <v>0</v>
      </c>
      <c r="BG582">
        <v>0</v>
      </c>
      <c r="BH582">
        <v>800</v>
      </c>
      <c r="BI582">
        <v>1</v>
      </c>
      <c r="BJ582">
        <v>1</v>
      </c>
      <c r="BK582">
        <v>0</v>
      </c>
      <c r="BL582">
        <v>0</v>
      </c>
      <c r="BO582">
        <v>0</v>
      </c>
      <c r="BP582">
        <v>0</v>
      </c>
      <c r="BW582" t="str">
        <f t="shared" si="276"/>
        <v>14:42:00.272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343</v>
      </c>
      <c r="CR582">
        <v>0</v>
      </c>
      <c r="CW582">
        <v>5636576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si="273"/>
        <v>05/12/2020 14:41:42.429</v>
      </c>
      <c r="C583" t="str">
        <f t="shared" si="257"/>
        <v>FFDFD3C0</v>
      </c>
      <c r="D583" t="s">
        <v>126</v>
      </c>
      <c r="E583">
        <v>7</v>
      </c>
      <c r="F583">
        <v>1007</v>
      </c>
      <c r="G583" t="s">
        <v>127</v>
      </c>
      <c r="J583" t="s">
        <v>128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274"/>
        <v>14:42:00.266</v>
      </c>
      <c r="T583" t="str">
        <f t="shared" si="275"/>
        <v>14:42:00.166</v>
      </c>
      <c r="U583" t="str">
        <f t="shared" si="277"/>
        <v>A9808D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257</v>
      </c>
      <c r="AJ583">
        <v>28.253574</v>
      </c>
      <c r="AK583" t="s">
        <v>258</v>
      </c>
      <c r="AL583">
        <v>-82.381152999999998</v>
      </c>
      <c r="AM583">
        <v>100</v>
      </c>
      <c r="AN583">
        <v>700</v>
      </c>
      <c r="AO583" t="s">
        <v>118</v>
      </c>
      <c r="AP583">
        <v>10</v>
      </c>
      <c r="AQ583">
        <v>88</v>
      </c>
      <c r="AR583">
        <v>704</v>
      </c>
      <c r="AZ583">
        <v>1200</v>
      </c>
      <c r="BA583">
        <v>1</v>
      </c>
      <c r="BB583" t="str">
        <f t="shared" si="258"/>
        <v xml:space="preserve">N711JA  </v>
      </c>
      <c r="BC583">
        <v>1</v>
      </c>
      <c r="BE583">
        <v>0</v>
      </c>
      <c r="BF583">
        <v>0</v>
      </c>
      <c r="BG583">
        <v>0</v>
      </c>
      <c r="BH583">
        <v>800</v>
      </c>
      <c r="BI583">
        <v>1</v>
      </c>
      <c r="BJ583">
        <v>1</v>
      </c>
      <c r="BK583">
        <v>0</v>
      </c>
      <c r="BL583">
        <v>0</v>
      </c>
      <c r="BO583">
        <v>0</v>
      </c>
      <c r="BP583">
        <v>0</v>
      </c>
      <c r="BW583" t="str">
        <f t="shared" si="276"/>
        <v>14:42:00.272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343</v>
      </c>
      <c r="CR583">
        <v>0</v>
      </c>
      <c r="CW583">
        <v>5636576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si="273"/>
        <v>05/12/2020 14:41:42.429</v>
      </c>
      <c r="C584" t="str">
        <f t="shared" si="257"/>
        <v>FFDFD3C0</v>
      </c>
      <c r="D584" t="s">
        <v>131</v>
      </c>
      <c r="E584">
        <v>12</v>
      </c>
      <c r="F584">
        <v>2012</v>
      </c>
      <c r="G584" t="s">
        <v>137</v>
      </c>
      <c r="J584" t="s">
        <v>133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74"/>
        <v>14:42:00.266</v>
      </c>
      <c r="T584" t="str">
        <f t="shared" si="275"/>
        <v>14:42:00.166</v>
      </c>
      <c r="U584" t="str">
        <f t="shared" si="277"/>
        <v>A9808D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257</v>
      </c>
      <c r="AJ584">
        <v>28.253574</v>
      </c>
      <c r="AK584" t="s">
        <v>258</v>
      </c>
      <c r="AL584">
        <v>-82.381152999999998</v>
      </c>
      <c r="AM584">
        <v>100</v>
      </c>
      <c r="AN584">
        <v>700</v>
      </c>
      <c r="AO584" t="s">
        <v>118</v>
      </c>
      <c r="AP584">
        <v>10</v>
      </c>
      <c r="AQ584">
        <v>88</v>
      </c>
      <c r="AR584">
        <v>704</v>
      </c>
      <c r="AZ584">
        <v>1200</v>
      </c>
      <c r="BA584">
        <v>1</v>
      </c>
      <c r="BB584" t="str">
        <f t="shared" si="258"/>
        <v xml:space="preserve">N711JA  </v>
      </c>
      <c r="BC584">
        <v>1</v>
      </c>
      <c r="BE584">
        <v>0</v>
      </c>
      <c r="BF584">
        <v>0</v>
      </c>
      <c r="BG584">
        <v>0</v>
      </c>
      <c r="BH584">
        <v>800</v>
      </c>
      <c r="BI584">
        <v>1</v>
      </c>
      <c r="BJ584">
        <v>1</v>
      </c>
      <c r="BK584">
        <v>0</v>
      </c>
      <c r="BL584">
        <v>0</v>
      </c>
      <c r="BO584">
        <v>0</v>
      </c>
      <c r="BP584">
        <v>0</v>
      </c>
      <c r="BW584" t="str">
        <f t="shared" si="276"/>
        <v>14:42:00.272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343</v>
      </c>
      <c r="CR584">
        <v>0</v>
      </c>
      <c r="CW584">
        <v>5636576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ref="A585:A592" si="278">"05/12/2020 14:41:43.355"</f>
        <v>05/12/2020 14:41:43.355</v>
      </c>
      <c r="C585" t="str">
        <f t="shared" si="257"/>
        <v>FFDFD3C0</v>
      </c>
      <c r="D585" t="s">
        <v>113</v>
      </c>
      <c r="E585">
        <v>3</v>
      </c>
      <c r="H585">
        <v>164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ref="S585:S592" si="279">"14:42:01.156"</f>
        <v>14:42:01.156</v>
      </c>
      <c r="T585" t="str">
        <f>"14:42:00.656"</f>
        <v>14:42:00.656</v>
      </c>
      <c r="U585" t="str">
        <f t="shared" si="277"/>
        <v>A9808D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259</v>
      </c>
      <c r="AJ585">
        <v>28.253961</v>
      </c>
      <c r="AK585" t="s">
        <v>260</v>
      </c>
      <c r="AL585">
        <v>-82.381089000000003</v>
      </c>
      <c r="AM585">
        <v>100</v>
      </c>
      <c r="AN585">
        <v>700</v>
      </c>
      <c r="AO585" t="s">
        <v>118</v>
      </c>
      <c r="AP585">
        <v>10</v>
      </c>
      <c r="AQ585">
        <v>88</v>
      </c>
      <c r="AR585">
        <v>704</v>
      </c>
      <c r="AZ585">
        <v>1200</v>
      </c>
      <c r="BA585">
        <v>1</v>
      </c>
      <c r="BB585" t="str">
        <f t="shared" si="258"/>
        <v xml:space="preserve">N711JA  </v>
      </c>
      <c r="BC585">
        <v>1</v>
      </c>
      <c r="BE585">
        <v>0</v>
      </c>
      <c r="BF585">
        <v>0</v>
      </c>
      <c r="BG585">
        <v>0</v>
      </c>
      <c r="BH585">
        <v>825</v>
      </c>
      <c r="BI585">
        <v>1</v>
      </c>
      <c r="BJ585">
        <v>1</v>
      </c>
      <c r="BK585">
        <v>0</v>
      </c>
      <c r="BL585">
        <v>0</v>
      </c>
      <c r="BO585">
        <v>0</v>
      </c>
      <c r="BP585">
        <v>0</v>
      </c>
      <c r="BW585" t="str">
        <f>"14:42:01.157"</f>
        <v>14:42:01.157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3</v>
      </c>
      <c r="CP585" t="s">
        <v>119</v>
      </c>
      <c r="CQ585">
        <v>8</v>
      </c>
      <c r="CR585">
        <v>3</v>
      </c>
      <c r="CW585">
        <v>8692972</v>
      </c>
      <c r="CY585">
        <v>1</v>
      </c>
      <c r="CZ585">
        <v>0</v>
      </c>
      <c r="DA585">
        <v>0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278"/>
        <v>05/12/2020 14:41:43.355</v>
      </c>
      <c r="C586" t="str">
        <f t="shared" si="257"/>
        <v>FFDFD3C0</v>
      </c>
      <c r="D586" t="s">
        <v>138</v>
      </c>
      <c r="E586">
        <v>3</v>
      </c>
      <c r="H586">
        <v>9</v>
      </c>
      <c r="I586" t="s">
        <v>140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279"/>
        <v>14:42:01.156</v>
      </c>
      <c r="T586" t="str">
        <f>"14:42:01.156"</f>
        <v>14:42:01.156</v>
      </c>
      <c r="U586" t="str">
        <f t="shared" si="277"/>
        <v>A9808D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259</v>
      </c>
      <c r="AJ586">
        <v>28.253961</v>
      </c>
      <c r="AK586" t="s">
        <v>260</v>
      </c>
      <c r="AL586">
        <v>-82.381089000000003</v>
      </c>
      <c r="AM586">
        <v>100</v>
      </c>
      <c r="AN586">
        <v>700</v>
      </c>
      <c r="AO586" t="s">
        <v>118</v>
      </c>
      <c r="AP586">
        <v>9</v>
      </c>
      <c r="AQ586">
        <v>88</v>
      </c>
      <c r="AR586">
        <v>640</v>
      </c>
      <c r="AZ586">
        <v>1200</v>
      </c>
      <c r="BA586">
        <v>1</v>
      </c>
      <c r="BB586" t="str">
        <f t="shared" si="258"/>
        <v xml:space="preserve">N711JA  </v>
      </c>
      <c r="BC586">
        <v>1</v>
      </c>
      <c r="BE586">
        <v>0</v>
      </c>
      <c r="BF586">
        <v>0</v>
      </c>
      <c r="BG586">
        <v>0</v>
      </c>
      <c r="BH586">
        <v>825</v>
      </c>
      <c r="BI586">
        <v>1</v>
      </c>
      <c r="BJ586">
        <v>1</v>
      </c>
      <c r="BK586">
        <v>0</v>
      </c>
      <c r="BL586">
        <v>0</v>
      </c>
      <c r="BO586">
        <v>0</v>
      </c>
      <c r="BP586">
        <v>0</v>
      </c>
      <c r="BW586" t="str">
        <f>"14:42:01.158"</f>
        <v>14:42:01.158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3</v>
      </c>
      <c r="CP586" t="s">
        <v>119</v>
      </c>
      <c r="CQ586">
        <v>358</v>
      </c>
      <c r="CR586">
        <v>0</v>
      </c>
      <c r="CW586">
        <v>4586820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si="278"/>
        <v>05/12/2020 14:41:43.355</v>
      </c>
      <c r="C587" t="str">
        <f t="shared" si="257"/>
        <v>FFDFD3C0</v>
      </c>
      <c r="D587" t="s">
        <v>138</v>
      </c>
      <c r="E587">
        <v>2</v>
      </c>
      <c r="H587">
        <v>8</v>
      </c>
      <c r="I587" t="s">
        <v>139</v>
      </c>
      <c r="J587" t="s">
        <v>136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279"/>
        <v>14:42:01.156</v>
      </c>
      <c r="T587" t="str">
        <f>"14:42:00.656"</f>
        <v>14:42:00.656</v>
      </c>
      <c r="U587" t="str">
        <f t="shared" si="277"/>
        <v>A9808D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259</v>
      </c>
      <c r="AJ587">
        <v>28.253961</v>
      </c>
      <c r="AK587" t="s">
        <v>260</v>
      </c>
      <c r="AL587">
        <v>-82.381089000000003</v>
      </c>
      <c r="AM587">
        <v>100</v>
      </c>
      <c r="AN587">
        <v>700</v>
      </c>
      <c r="AO587" t="s">
        <v>118</v>
      </c>
      <c r="AP587">
        <v>10</v>
      </c>
      <c r="AQ587">
        <v>88</v>
      </c>
      <c r="AR587">
        <v>704</v>
      </c>
      <c r="AZ587">
        <v>1200</v>
      </c>
      <c r="BA587">
        <v>1</v>
      </c>
      <c r="BB587" t="str">
        <f t="shared" si="258"/>
        <v xml:space="preserve">N711JA  </v>
      </c>
      <c r="BC587">
        <v>1</v>
      </c>
      <c r="BE587">
        <v>0</v>
      </c>
      <c r="BF587">
        <v>0</v>
      </c>
      <c r="BG587">
        <v>0</v>
      </c>
      <c r="BH587">
        <v>825</v>
      </c>
      <c r="BI587">
        <v>1</v>
      </c>
      <c r="BJ587">
        <v>1</v>
      </c>
      <c r="BK587">
        <v>0</v>
      </c>
      <c r="BL587">
        <v>0</v>
      </c>
      <c r="BO587">
        <v>0</v>
      </c>
      <c r="BP587">
        <v>0</v>
      </c>
      <c r="BW587" t="str">
        <f>"14:42:01.157"</f>
        <v>14:42:01.157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3</v>
      </c>
      <c r="CP587" t="s">
        <v>119</v>
      </c>
      <c r="CQ587">
        <v>8</v>
      </c>
      <c r="CR587">
        <v>3</v>
      </c>
      <c r="CW587">
        <v>8692972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278"/>
        <v>05/12/2020 14:41:43.355</v>
      </c>
      <c r="C588" t="str">
        <f t="shared" si="257"/>
        <v>FFDFD3C0</v>
      </c>
      <c r="D588" t="s">
        <v>126</v>
      </c>
      <c r="E588">
        <v>6</v>
      </c>
      <c r="F588">
        <v>1006</v>
      </c>
      <c r="G588" t="s">
        <v>114</v>
      </c>
      <c r="J588" t="s">
        <v>128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279"/>
        <v>14:42:01.156</v>
      </c>
      <c r="T588" t="str">
        <f>"14:42:01.156"</f>
        <v>14:42:01.156</v>
      </c>
      <c r="U588" t="str">
        <f t="shared" si="277"/>
        <v>A9808D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259</v>
      </c>
      <c r="AJ588">
        <v>28.253961</v>
      </c>
      <c r="AK588" t="s">
        <v>260</v>
      </c>
      <c r="AL588">
        <v>-82.381089000000003</v>
      </c>
      <c r="AM588">
        <v>100</v>
      </c>
      <c r="AN588">
        <v>700</v>
      </c>
      <c r="AO588" t="s">
        <v>118</v>
      </c>
      <c r="AP588">
        <v>9</v>
      </c>
      <c r="AQ588">
        <v>88</v>
      </c>
      <c r="AR588">
        <v>640</v>
      </c>
      <c r="AZ588">
        <v>1200</v>
      </c>
      <c r="BA588">
        <v>1</v>
      </c>
      <c r="BB588" t="str">
        <f t="shared" si="258"/>
        <v xml:space="preserve">N711JA  </v>
      </c>
      <c r="BC588">
        <v>1</v>
      </c>
      <c r="BE588">
        <v>0</v>
      </c>
      <c r="BF588">
        <v>0</v>
      </c>
      <c r="BG588">
        <v>0</v>
      </c>
      <c r="BH588">
        <v>825</v>
      </c>
      <c r="BI588">
        <v>1</v>
      </c>
      <c r="BJ588">
        <v>1</v>
      </c>
      <c r="BK588">
        <v>0</v>
      </c>
      <c r="BL588">
        <v>0</v>
      </c>
      <c r="BO588">
        <v>0</v>
      </c>
      <c r="BP588">
        <v>0</v>
      </c>
      <c r="BW588" t="str">
        <f>"14:42:01.158"</f>
        <v>14:42:01.158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3</v>
      </c>
      <c r="CP588" t="s">
        <v>119</v>
      </c>
      <c r="CQ588">
        <v>358</v>
      </c>
      <c r="CR588">
        <v>0</v>
      </c>
      <c r="CW588">
        <v>4586820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si="278"/>
        <v>05/12/2020 14:41:43.355</v>
      </c>
      <c r="C589" t="str">
        <f t="shared" si="257"/>
        <v>FFDFD3C0</v>
      </c>
      <c r="D589" t="s">
        <v>131</v>
      </c>
      <c r="E589">
        <v>10</v>
      </c>
      <c r="F589">
        <v>2010</v>
      </c>
      <c r="G589" t="s">
        <v>132</v>
      </c>
      <c r="J589" t="s">
        <v>133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279"/>
        <v>14:42:01.156</v>
      </c>
      <c r="T589" t="str">
        <f>"14:42:01.156"</f>
        <v>14:42:01.156</v>
      </c>
      <c r="U589" t="str">
        <f t="shared" si="277"/>
        <v>A9808D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259</v>
      </c>
      <c r="AJ589">
        <v>28.253961</v>
      </c>
      <c r="AK589" t="s">
        <v>260</v>
      </c>
      <c r="AL589">
        <v>-82.381089000000003</v>
      </c>
      <c r="AM589">
        <v>100</v>
      </c>
      <c r="AN589">
        <v>700</v>
      </c>
      <c r="AO589" t="s">
        <v>118</v>
      </c>
      <c r="AP589">
        <v>9</v>
      </c>
      <c r="AQ589">
        <v>88</v>
      </c>
      <c r="AR589">
        <v>640</v>
      </c>
      <c r="AZ589">
        <v>1200</v>
      </c>
      <c r="BA589">
        <v>1</v>
      </c>
      <c r="BB589" t="str">
        <f t="shared" si="258"/>
        <v xml:space="preserve">N711JA  </v>
      </c>
      <c r="BC589">
        <v>1</v>
      </c>
      <c r="BE589">
        <v>0</v>
      </c>
      <c r="BF589">
        <v>0</v>
      </c>
      <c r="BG589">
        <v>0</v>
      </c>
      <c r="BH589">
        <v>825</v>
      </c>
      <c r="BI589">
        <v>1</v>
      </c>
      <c r="BJ589">
        <v>1</v>
      </c>
      <c r="BK589">
        <v>0</v>
      </c>
      <c r="BL589">
        <v>0</v>
      </c>
      <c r="BO589">
        <v>0</v>
      </c>
      <c r="BP589">
        <v>0</v>
      </c>
      <c r="BW589" t="str">
        <f>"14:42:01.158"</f>
        <v>14:42:01.158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3</v>
      </c>
      <c r="CP589" t="s">
        <v>119</v>
      </c>
      <c r="CQ589">
        <v>358</v>
      </c>
      <c r="CR589">
        <v>0</v>
      </c>
      <c r="CW589">
        <v>4586820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 t="shared" si="278"/>
        <v>05/12/2020 14:41:43.355</v>
      </c>
      <c r="C590" t="str">
        <f t="shared" si="257"/>
        <v>FFDFD3C0</v>
      </c>
      <c r="D590" t="s">
        <v>134</v>
      </c>
      <c r="E590">
        <v>12</v>
      </c>
      <c r="H590">
        <v>64</v>
      </c>
      <c r="I590" t="s">
        <v>135</v>
      </c>
      <c r="J590" t="s">
        <v>136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279"/>
        <v>14:42:01.156</v>
      </c>
      <c r="T590" t="str">
        <f>"14:42:01.156"</f>
        <v>14:42:01.156</v>
      </c>
      <c r="U590" t="str">
        <f t="shared" si="277"/>
        <v>A9808D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259</v>
      </c>
      <c r="AJ590">
        <v>28.253961</v>
      </c>
      <c r="AK590" t="s">
        <v>260</v>
      </c>
      <c r="AL590">
        <v>-82.381089000000003</v>
      </c>
      <c r="AM590">
        <v>100</v>
      </c>
      <c r="AN590">
        <v>700</v>
      </c>
      <c r="AO590" t="s">
        <v>118</v>
      </c>
      <c r="AP590">
        <v>9</v>
      </c>
      <c r="AQ590">
        <v>88</v>
      </c>
      <c r="AR590">
        <v>640</v>
      </c>
      <c r="AZ590">
        <v>1200</v>
      </c>
      <c r="BA590">
        <v>1</v>
      </c>
      <c r="BB590" t="str">
        <f t="shared" si="258"/>
        <v xml:space="preserve">N711JA  </v>
      </c>
      <c r="BC590">
        <v>1</v>
      </c>
      <c r="BE590">
        <v>0</v>
      </c>
      <c r="BF590">
        <v>0</v>
      </c>
      <c r="BG590">
        <v>0</v>
      </c>
      <c r="BH590">
        <v>825</v>
      </c>
      <c r="BI590">
        <v>1</v>
      </c>
      <c r="BJ590">
        <v>1</v>
      </c>
      <c r="BK590">
        <v>0</v>
      </c>
      <c r="BL590">
        <v>0</v>
      </c>
      <c r="BO590">
        <v>0</v>
      </c>
      <c r="BP590">
        <v>0</v>
      </c>
      <c r="BW590" t="str">
        <f>"14:42:01.158"</f>
        <v>14:42:01.158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3</v>
      </c>
      <c r="CP590" t="s">
        <v>119</v>
      </c>
      <c r="CQ590">
        <v>358</v>
      </c>
      <c r="CR590">
        <v>0</v>
      </c>
      <c r="CW590">
        <v>4586820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 t="shared" si="278"/>
        <v>05/12/2020 14:41:43.355</v>
      </c>
      <c r="C591" t="str">
        <f t="shared" si="257"/>
        <v>FFDFD3C0</v>
      </c>
      <c r="D591" t="s">
        <v>131</v>
      </c>
      <c r="E591">
        <v>12</v>
      </c>
      <c r="F591">
        <v>2012</v>
      </c>
      <c r="G591" t="s">
        <v>137</v>
      </c>
      <c r="J591" t="s">
        <v>133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79"/>
        <v>14:42:01.156</v>
      </c>
      <c r="T591" t="str">
        <f>"14:42:00.656"</f>
        <v>14:42:00.656</v>
      </c>
      <c r="U591" t="str">
        <f t="shared" si="277"/>
        <v>A9808D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259</v>
      </c>
      <c r="AJ591">
        <v>28.253961</v>
      </c>
      <c r="AK591" t="s">
        <v>260</v>
      </c>
      <c r="AL591">
        <v>-82.381089000000003</v>
      </c>
      <c r="AM591">
        <v>100</v>
      </c>
      <c r="AN591">
        <v>700</v>
      </c>
      <c r="AO591" t="s">
        <v>118</v>
      </c>
      <c r="AP591">
        <v>10</v>
      </c>
      <c r="AQ591">
        <v>88</v>
      </c>
      <c r="AR591">
        <v>704</v>
      </c>
      <c r="AZ591">
        <v>1200</v>
      </c>
      <c r="BA591">
        <v>1</v>
      </c>
      <c r="BB591" t="str">
        <f t="shared" si="258"/>
        <v xml:space="preserve">N711JA  </v>
      </c>
      <c r="BC591">
        <v>1</v>
      </c>
      <c r="BE591">
        <v>0</v>
      </c>
      <c r="BF591">
        <v>0</v>
      </c>
      <c r="BG591">
        <v>0</v>
      </c>
      <c r="BH591">
        <v>825</v>
      </c>
      <c r="BI591">
        <v>1</v>
      </c>
      <c r="BJ591">
        <v>1</v>
      </c>
      <c r="BK591">
        <v>0</v>
      </c>
      <c r="BL591">
        <v>0</v>
      </c>
      <c r="BO591">
        <v>0</v>
      </c>
      <c r="BP591">
        <v>0</v>
      </c>
      <c r="BW591" t="str">
        <f>"14:42:01.157"</f>
        <v>14:42:01.157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3</v>
      </c>
      <c r="CP591" t="s">
        <v>119</v>
      </c>
      <c r="CQ591">
        <v>8</v>
      </c>
      <c r="CR591">
        <v>3</v>
      </c>
      <c r="CW591">
        <v>8692972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 t="shared" si="278"/>
        <v>05/12/2020 14:41:43.355</v>
      </c>
      <c r="C592" t="str">
        <f t="shared" si="257"/>
        <v>FFDFD3C0</v>
      </c>
      <c r="D592" t="s">
        <v>126</v>
      </c>
      <c r="E592">
        <v>7</v>
      </c>
      <c r="F592">
        <v>1007</v>
      </c>
      <c r="G592" t="s">
        <v>127</v>
      </c>
      <c r="J592" t="s">
        <v>128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79"/>
        <v>14:42:01.156</v>
      </c>
      <c r="T592" t="str">
        <f>"14:42:01.156"</f>
        <v>14:42:01.156</v>
      </c>
      <c r="U592" t="str">
        <f t="shared" si="277"/>
        <v>A9808D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259</v>
      </c>
      <c r="AJ592">
        <v>28.253961</v>
      </c>
      <c r="AK592" t="s">
        <v>260</v>
      </c>
      <c r="AL592">
        <v>-82.381089000000003</v>
      </c>
      <c r="AM592">
        <v>100</v>
      </c>
      <c r="AN592">
        <v>700</v>
      </c>
      <c r="AO592" t="s">
        <v>118</v>
      </c>
      <c r="AP592">
        <v>9</v>
      </c>
      <c r="AQ592">
        <v>88</v>
      </c>
      <c r="AR592">
        <v>640</v>
      </c>
      <c r="AZ592">
        <v>1200</v>
      </c>
      <c r="BA592">
        <v>1</v>
      </c>
      <c r="BB592" t="str">
        <f t="shared" si="258"/>
        <v xml:space="preserve">N711JA  </v>
      </c>
      <c r="BC592">
        <v>1</v>
      </c>
      <c r="BE592">
        <v>0</v>
      </c>
      <c r="BF592">
        <v>0</v>
      </c>
      <c r="BG592">
        <v>0</v>
      </c>
      <c r="BH592">
        <v>825</v>
      </c>
      <c r="BI592">
        <v>1</v>
      </c>
      <c r="BJ592">
        <v>1</v>
      </c>
      <c r="BK592">
        <v>0</v>
      </c>
      <c r="BL592">
        <v>0</v>
      </c>
      <c r="BO592">
        <v>0</v>
      </c>
      <c r="BP592">
        <v>0</v>
      </c>
      <c r="BW592" t="str">
        <f>"14:42:01.158"</f>
        <v>14:42:01.158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3</v>
      </c>
      <c r="CP592" t="s">
        <v>119</v>
      </c>
      <c r="CQ592">
        <v>358</v>
      </c>
      <c r="CR592">
        <v>0</v>
      </c>
      <c r="CW592">
        <v>4586820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 t="shared" ref="A593:A601" si="280">"05/12/2020 14:41:44.369"</f>
        <v>05/12/2020 14:41:44.369</v>
      </c>
      <c r="C593" t="str">
        <f t="shared" si="257"/>
        <v>FFDFD3C0</v>
      </c>
      <c r="D593" t="s">
        <v>113</v>
      </c>
      <c r="E593">
        <v>3</v>
      </c>
      <c r="H593">
        <v>164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ref="S593:S601" si="281">"14:42:02.180"</f>
        <v>14:42:02.180</v>
      </c>
      <c r="T593" t="str">
        <f t="shared" ref="T593:T601" si="282">"14:42:01.680"</f>
        <v>14:42:01.680</v>
      </c>
      <c r="U593" t="str">
        <f t="shared" si="277"/>
        <v>A9808D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261</v>
      </c>
      <c r="AJ593">
        <v>28.254411000000001</v>
      </c>
      <c r="AK593" t="s">
        <v>262</v>
      </c>
      <c r="AL593">
        <v>-82.381045999999998</v>
      </c>
      <c r="AM593">
        <v>100</v>
      </c>
      <c r="AN593">
        <v>700</v>
      </c>
      <c r="AO593" t="s">
        <v>118</v>
      </c>
      <c r="AP593">
        <v>10</v>
      </c>
      <c r="AQ593">
        <v>88</v>
      </c>
      <c r="AR593">
        <v>640</v>
      </c>
      <c r="AZ593">
        <v>1200</v>
      </c>
      <c r="BA593">
        <v>1</v>
      </c>
      <c r="BB593" t="str">
        <f t="shared" si="258"/>
        <v xml:space="preserve">N711JA  </v>
      </c>
      <c r="BC593">
        <v>1</v>
      </c>
      <c r="BE593">
        <v>0</v>
      </c>
      <c r="BF593">
        <v>0</v>
      </c>
      <c r="BG593">
        <v>0</v>
      </c>
      <c r="BH593">
        <v>825</v>
      </c>
      <c r="BI593">
        <v>1</v>
      </c>
      <c r="BJ593">
        <v>1</v>
      </c>
      <c r="BK593">
        <v>0</v>
      </c>
      <c r="BL593">
        <v>0</v>
      </c>
      <c r="BO593">
        <v>0</v>
      </c>
      <c r="BP593">
        <v>0</v>
      </c>
      <c r="BW593" t="str">
        <f t="shared" ref="BW593:BW601" si="283">"14:42:02.183"</f>
        <v>14:42:02.183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343</v>
      </c>
      <c r="CR593">
        <v>2</v>
      </c>
      <c r="CW593">
        <v>12982191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 t="shared" si="280"/>
        <v>05/12/2020 14:41:44.369</v>
      </c>
      <c r="C594" t="str">
        <f t="shared" si="257"/>
        <v>FFDFD3C0</v>
      </c>
      <c r="D594" t="s">
        <v>138</v>
      </c>
      <c r="E594">
        <v>2</v>
      </c>
      <c r="H594">
        <v>8</v>
      </c>
      <c r="I594" t="s">
        <v>139</v>
      </c>
      <c r="J594" t="s">
        <v>136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81"/>
        <v>14:42:02.180</v>
      </c>
      <c r="T594" t="str">
        <f t="shared" si="282"/>
        <v>14:42:01.680</v>
      </c>
      <c r="U594" t="str">
        <f t="shared" si="277"/>
        <v>A9808D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261</v>
      </c>
      <c r="AJ594">
        <v>28.254411000000001</v>
      </c>
      <c r="AK594" t="s">
        <v>262</v>
      </c>
      <c r="AL594">
        <v>-82.381045999999998</v>
      </c>
      <c r="AM594">
        <v>100</v>
      </c>
      <c r="AN594">
        <v>700</v>
      </c>
      <c r="AO594" t="s">
        <v>118</v>
      </c>
      <c r="AP594">
        <v>10</v>
      </c>
      <c r="AQ594">
        <v>88</v>
      </c>
      <c r="AR594">
        <v>640</v>
      </c>
      <c r="AZ594">
        <v>1200</v>
      </c>
      <c r="BA594">
        <v>1</v>
      </c>
      <c r="BB594" t="str">
        <f t="shared" si="258"/>
        <v xml:space="preserve">N711JA  </v>
      </c>
      <c r="BC594">
        <v>1</v>
      </c>
      <c r="BE594">
        <v>0</v>
      </c>
      <c r="BF594">
        <v>0</v>
      </c>
      <c r="BG594">
        <v>0</v>
      </c>
      <c r="BH594">
        <v>825</v>
      </c>
      <c r="BI594">
        <v>1</v>
      </c>
      <c r="BJ594">
        <v>1</v>
      </c>
      <c r="BK594">
        <v>0</v>
      </c>
      <c r="BL594">
        <v>0</v>
      </c>
      <c r="BO594">
        <v>0</v>
      </c>
      <c r="BP594">
        <v>0</v>
      </c>
      <c r="BW594" t="str">
        <f t="shared" si="283"/>
        <v>14:42:02.183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343</v>
      </c>
      <c r="CR594">
        <v>2</v>
      </c>
      <c r="CW594">
        <v>12982191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 t="shared" si="280"/>
        <v>05/12/2020 14:41:44.369</v>
      </c>
      <c r="C595" t="str">
        <f t="shared" si="257"/>
        <v>FFDFD3C0</v>
      </c>
      <c r="D595" t="s">
        <v>138</v>
      </c>
      <c r="E595">
        <v>3</v>
      </c>
      <c r="H595">
        <v>9</v>
      </c>
      <c r="I595" t="s">
        <v>140</v>
      </c>
      <c r="J595" t="s">
        <v>136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81"/>
        <v>14:42:02.180</v>
      </c>
      <c r="T595" t="str">
        <f t="shared" si="282"/>
        <v>14:42:01.680</v>
      </c>
      <c r="U595" t="str">
        <f t="shared" si="277"/>
        <v>A9808D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261</v>
      </c>
      <c r="AJ595">
        <v>28.254411000000001</v>
      </c>
      <c r="AK595" t="s">
        <v>262</v>
      </c>
      <c r="AL595">
        <v>-82.381045999999998</v>
      </c>
      <c r="AM595">
        <v>100</v>
      </c>
      <c r="AN595">
        <v>700</v>
      </c>
      <c r="AO595" t="s">
        <v>118</v>
      </c>
      <c r="AP595">
        <v>10</v>
      </c>
      <c r="AQ595">
        <v>88</v>
      </c>
      <c r="AR595">
        <v>640</v>
      </c>
      <c r="AZ595">
        <v>1200</v>
      </c>
      <c r="BA595">
        <v>1</v>
      </c>
      <c r="BB595" t="str">
        <f t="shared" si="258"/>
        <v xml:space="preserve">N711JA  </v>
      </c>
      <c r="BC595">
        <v>1</v>
      </c>
      <c r="BE595">
        <v>0</v>
      </c>
      <c r="BF595">
        <v>0</v>
      </c>
      <c r="BG595">
        <v>0</v>
      </c>
      <c r="BH595">
        <v>825</v>
      </c>
      <c r="BI595">
        <v>1</v>
      </c>
      <c r="BJ595">
        <v>1</v>
      </c>
      <c r="BK595">
        <v>0</v>
      </c>
      <c r="BL595">
        <v>0</v>
      </c>
      <c r="BO595">
        <v>0</v>
      </c>
      <c r="BP595">
        <v>0</v>
      </c>
      <c r="BW595" t="str">
        <f t="shared" si="283"/>
        <v>14:42:02.183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343</v>
      </c>
      <c r="CR595">
        <v>2</v>
      </c>
      <c r="CW595">
        <v>12982191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 t="shared" si="280"/>
        <v>05/12/2020 14:41:44.369</v>
      </c>
      <c r="C596" t="str">
        <f t="shared" si="257"/>
        <v>FFDFD3C0</v>
      </c>
      <c r="D596" t="s">
        <v>126</v>
      </c>
      <c r="E596">
        <v>6</v>
      </c>
      <c r="F596">
        <v>1006</v>
      </c>
      <c r="G596" t="s">
        <v>114</v>
      </c>
      <c r="J596" t="s">
        <v>128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281"/>
        <v>14:42:02.180</v>
      </c>
      <c r="T596" t="str">
        <f t="shared" si="282"/>
        <v>14:42:01.680</v>
      </c>
      <c r="U596" t="str">
        <f t="shared" si="277"/>
        <v>A9808D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261</v>
      </c>
      <c r="AJ596">
        <v>28.254411000000001</v>
      </c>
      <c r="AK596" t="s">
        <v>262</v>
      </c>
      <c r="AL596">
        <v>-82.381045999999998</v>
      </c>
      <c r="AM596">
        <v>100</v>
      </c>
      <c r="AN596">
        <v>700</v>
      </c>
      <c r="AO596" t="s">
        <v>118</v>
      </c>
      <c r="AP596">
        <v>10</v>
      </c>
      <c r="AQ596">
        <v>88</v>
      </c>
      <c r="AR596">
        <v>640</v>
      </c>
      <c r="AZ596">
        <v>1200</v>
      </c>
      <c r="BA596">
        <v>1</v>
      </c>
      <c r="BB596" t="str">
        <f t="shared" si="258"/>
        <v xml:space="preserve">N711JA  </v>
      </c>
      <c r="BC596">
        <v>1</v>
      </c>
      <c r="BE596">
        <v>0</v>
      </c>
      <c r="BF596">
        <v>0</v>
      </c>
      <c r="BG596">
        <v>0</v>
      </c>
      <c r="BH596">
        <v>825</v>
      </c>
      <c r="BI596">
        <v>1</v>
      </c>
      <c r="BJ596">
        <v>1</v>
      </c>
      <c r="BK596">
        <v>0</v>
      </c>
      <c r="BL596">
        <v>0</v>
      </c>
      <c r="BO596">
        <v>0</v>
      </c>
      <c r="BP596">
        <v>0</v>
      </c>
      <c r="BW596" t="str">
        <f t="shared" si="283"/>
        <v>14:42:02.183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343</v>
      </c>
      <c r="CR596">
        <v>2</v>
      </c>
      <c r="CW596">
        <v>12982191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 t="shared" si="280"/>
        <v>05/12/2020 14:41:44.369</v>
      </c>
      <c r="C597" t="str">
        <f t="shared" si="257"/>
        <v>FFDFD3C0</v>
      </c>
      <c r="D597" t="s">
        <v>131</v>
      </c>
      <c r="E597">
        <v>10</v>
      </c>
      <c r="F597">
        <v>2010</v>
      </c>
      <c r="G597" t="s">
        <v>132</v>
      </c>
      <c r="J597" t="s">
        <v>133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281"/>
        <v>14:42:02.180</v>
      </c>
      <c r="T597" t="str">
        <f t="shared" si="282"/>
        <v>14:42:01.680</v>
      </c>
      <c r="U597" t="str">
        <f t="shared" si="277"/>
        <v>A9808D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261</v>
      </c>
      <c r="AJ597">
        <v>28.254411000000001</v>
      </c>
      <c r="AK597" t="s">
        <v>262</v>
      </c>
      <c r="AL597">
        <v>-82.381045999999998</v>
      </c>
      <c r="AM597">
        <v>100</v>
      </c>
      <c r="AN597">
        <v>700</v>
      </c>
      <c r="AO597" t="s">
        <v>118</v>
      </c>
      <c r="AP597">
        <v>10</v>
      </c>
      <c r="AQ597">
        <v>88</v>
      </c>
      <c r="AR597">
        <v>640</v>
      </c>
      <c r="AZ597">
        <v>1200</v>
      </c>
      <c r="BA597">
        <v>1</v>
      </c>
      <c r="BB597" t="str">
        <f t="shared" si="258"/>
        <v xml:space="preserve">N711JA  </v>
      </c>
      <c r="BC597">
        <v>1</v>
      </c>
      <c r="BE597">
        <v>0</v>
      </c>
      <c r="BF597">
        <v>0</v>
      </c>
      <c r="BG597">
        <v>0</v>
      </c>
      <c r="BH597">
        <v>825</v>
      </c>
      <c r="BI597">
        <v>1</v>
      </c>
      <c r="BJ597">
        <v>1</v>
      </c>
      <c r="BK597">
        <v>0</v>
      </c>
      <c r="BL597">
        <v>0</v>
      </c>
      <c r="BO597">
        <v>0</v>
      </c>
      <c r="BP597">
        <v>0</v>
      </c>
      <c r="BW597" t="str">
        <f t="shared" si="283"/>
        <v>14:42:02.183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343</v>
      </c>
      <c r="CR597">
        <v>2</v>
      </c>
      <c r="CW597">
        <v>12982191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 t="shared" si="280"/>
        <v>05/12/2020 14:41:44.369</v>
      </c>
      <c r="C598" t="str">
        <f t="shared" ref="C598:C661" si="284">"FFDFD3C0"</f>
        <v>FFDFD3C0</v>
      </c>
      <c r="D598" t="s">
        <v>131</v>
      </c>
      <c r="E598">
        <v>12</v>
      </c>
      <c r="F598">
        <v>2012</v>
      </c>
      <c r="G598" t="s">
        <v>137</v>
      </c>
      <c r="J598" t="s">
        <v>133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281"/>
        <v>14:42:02.180</v>
      </c>
      <c r="T598" t="str">
        <f t="shared" si="282"/>
        <v>14:42:01.680</v>
      </c>
      <c r="U598" t="str">
        <f t="shared" si="277"/>
        <v>A9808D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261</v>
      </c>
      <c r="AJ598">
        <v>28.254411000000001</v>
      </c>
      <c r="AK598" t="s">
        <v>262</v>
      </c>
      <c r="AL598">
        <v>-82.381045999999998</v>
      </c>
      <c r="AM598">
        <v>100</v>
      </c>
      <c r="AN598">
        <v>700</v>
      </c>
      <c r="AO598" t="s">
        <v>118</v>
      </c>
      <c r="AP598">
        <v>10</v>
      </c>
      <c r="AQ598">
        <v>88</v>
      </c>
      <c r="AR598">
        <v>640</v>
      </c>
      <c r="AZ598">
        <v>1200</v>
      </c>
      <c r="BA598">
        <v>1</v>
      </c>
      <c r="BB598" t="str">
        <f t="shared" ref="BB598:BB661" si="285">"N711JA  "</f>
        <v xml:space="preserve">N711JA  </v>
      </c>
      <c r="BC598">
        <v>1</v>
      </c>
      <c r="BE598">
        <v>0</v>
      </c>
      <c r="BF598">
        <v>0</v>
      </c>
      <c r="BG598">
        <v>0</v>
      </c>
      <c r="BH598">
        <v>825</v>
      </c>
      <c r="BI598">
        <v>1</v>
      </c>
      <c r="BJ598">
        <v>1</v>
      </c>
      <c r="BK598">
        <v>0</v>
      </c>
      <c r="BL598">
        <v>0</v>
      </c>
      <c r="BO598">
        <v>0</v>
      </c>
      <c r="BP598">
        <v>0</v>
      </c>
      <c r="BW598" t="str">
        <f t="shared" si="283"/>
        <v>14:42:02.183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343</v>
      </c>
      <c r="CR598">
        <v>2</v>
      </c>
      <c r="CW598">
        <v>12982191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 t="shared" si="280"/>
        <v>05/12/2020 14:41:44.369</v>
      </c>
      <c r="C599" t="str">
        <f t="shared" si="284"/>
        <v>FFDFD3C0</v>
      </c>
      <c r="D599" t="s">
        <v>126</v>
      </c>
      <c r="E599">
        <v>7</v>
      </c>
      <c r="F599">
        <v>1007</v>
      </c>
      <c r="G599" t="s">
        <v>127</v>
      </c>
      <c r="J599" t="s">
        <v>128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281"/>
        <v>14:42:02.180</v>
      </c>
      <c r="T599" t="str">
        <f t="shared" si="282"/>
        <v>14:42:01.680</v>
      </c>
      <c r="U599" t="str">
        <f t="shared" si="277"/>
        <v>A9808D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261</v>
      </c>
      <c r="AJ599">
        <v>28.254411000000001</v>
      </c>
      <c r="AK599" t="s">
        <v>262</v>
      </c>
      <c r="AL599">
        <v>-82.381045999999998</v>
      </c>
      <c r="AM599">
        <v>100</v>
      </c>
      <c r="AN599">
        <v>700</v>
      </c>
      <c r="AO599" t="s">
        <v>118</v>
      </c>
      <c r="AP599">
        <v>10</v>
      </c>
      <c r="AQ599">
        <v>88</v>
      </c>
      <c r="AR599">
        <v>640</v>
      </c>
      <c r="AZ599">
        <v>1200</v>
      </c>
      <c r="BA599">
        <v>1</v>
      </c>
      <c r="BB599" t="str">
        <f t="shared" si="285"/>
        <v xml:space="preserve">N711JA  </v>
      </c>
      <c r="BC599">
        <v>1</v>
      </c>
      <c r="BE599">
        <v>0</v>
      </c>
      <c r="BF599">
        <v>0</v>
      </c>
      <c r="BG599">
        <v>0</v>
      </c>
      <c r="BH599">
        <v>825</v>
      </c>
      <c r="BI599">
        <v>1</v>
      </c>
      <c r="BJ599">
        <v>1</v>
      </c>
      <c r="BK599">
        <v>0</v>
      </c>
      <c r="BL599">
        <v>0</v>
      </c>
      <c r="BO599">
        <v>0</v>
      </c>
      <c r="BP599">
        <v>0</v>
      </c>
      <c r="BW599" t="str">
        <f t="shared" si="283"/>
        <v>14:42:02.183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343</v>
      </c>
      <c r="CR599">
        <v>2</v>
      </c>
      <c r="CW599">
        <v>12982191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 t="shared" si="280"/>
        <v>05/12/2020 14:41:44.369</v>
      </c>
      <c r="C600" t="str">
        <f t="shared" si="284"/>
        <v>FFDFD3C0</v>
      </c>
      <c r="D600" t="s">
        <v>131</v>
      </c>
      <c r="E600">
        <v>18</v>
      </c>
      <c r="F600">
        <v>2018</v>
      </c>
      <c r="G600" t="s">
        <v>161</v>
      </c>
      <c r="J600" t="s">
        <v>133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281"/>
        <v>14:42:02.180</v>
      </c>
      <c r="T600" t="str">
        <f t="shared" si="282"/>
        <v>14:42:01.680</v>
      </c>
      <c r="U600" t="str">
        <f t="shared" si="277"/>
        <v>A9808D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261</v>
      </c>
      <c r="AJ600">
        <v>28.254411000000001</v>
      </c>
      <c r="AK600" t="s">
        <v>262</v>
      </c>
      <c r="AL600">
        <v>-82.381045999999998</v>
      </c>
      <c r="AM600">
        <v>100</v>
      </c>
      <c r="AN600">
        <v>700</v>
      </c>
      <c r="AO600" t="s">
        <v>118</v>
      </c>
      <c r="AP600">
        <v>10</v>
      </c>
      <c r="AQ600">
        <v>88</v>
      </c>
      <c r="AR600">
        <v>640</v>
      </c>
      <c r="AZ600">
        <v>1200</v>
      </c>
      <c r="BA600">
        <v>1</v>
      </c>
      <c r="BB600" t="str">
        <f t="shared" si="285"/>
        <v xml:space="preserve">N711JA  </v>
      </c>
      <c r="BC600">
        <v>1</v>
      </c>
      <c r="BE600">
        <v>0</v>
      </c>
      <c r="BF600">
        <v>0</v>
      </c>
      <c r="BG600">
        <v>0</v>
      </c>
      <c r="BH600">
        <v>825</v>
      </c>
      <c r="BI600">
        <v>1</v>
      </c>
      <c r="BJ600">
        <v>1</v>
      </c>
      <c r="BK600">
        <v>0</v>
      </c>
      <c r="BL600">
        <v>0</v>
      </c>
      <c r="BO600">
        <v>0</v>
      </c>
      <c r="BP600">
        <v>0</v>
      </c>
      <c r="BW600" t="str">
        <f t="shared" si="283"/>
        <v>14:42:02.183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343</v>
      </c>
      <c r="CR600">
        <v>2</v>
      </c>
      <c r="CW600">
        <v>12982191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 t="shared" si="280"/>
        <v>05/12/2020 14:41:44.369</v>
      </c>
      <c r="C601" t="str">
        <f t="shared" si="284"/>
        <v>FFDFD3C0</v>
      </c>
      <c r="D601" t="s">
        <v>134</v>
      </c>
      <c r="E601">
        <v>12</v>
      </c>
      <c r="H601">
        <v>64</v>
      </c>
      <c r="I601" t="s">
        <v>135</v>
      </c>
      <c r="J601" t="s">
        <v>136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281"/>
        <v>14:42:02.180</v>
      </c>
      <c r="T601" t="str">
        <f t="shared" si="282"/>
        <v>14:42:01.680</v>
      </c>
      <c r="U601" t="str">
        <f t="shared" si="277"/>
        <v>A9808D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261</v>
      </c>
      <c r="AJ601">
        <v>28.254411000000001</v>
      </c>
      <c r="AK601" t="s">
        <v>262</v>
      </c>
      <c r="AL601">
        <v>-82.381045999999998</v>
      </c>
      <c r="AM601">
        <v>100</v>
      </c>
      <c r="AN601">
        <v>700</v>
      </c>
      <c r="AO601" t="s">
        <v>118</v>
      </c>
      <c r="AP601">
        <v>10</v>
      </c>
      <c r="AQ601">
        <v>88</v>
      </c>
      <c r="AR601">
        <v>640</v>
      </c>
      <c r="AZ601">
        <v>1200</v>
      </c>
      <c r="BA601">
        <v>1</v>
      </c>
      <c r="BB601" t="str">
        <f t="shared" si="285"/>
        <v xml:space="preserve">N711JA  </v>
      </c>
      <c r="BC601">
        <v>1</v>
      </c>
      <c r="BE601">
        <v>0</v>
      </c>
      <c r="BF601">
        <v>0</v>
      </c>
      <c r="BG601">
        <v>0</v>
      </c>
      <c r="BH601">
        <v>825</v>
      </c>
      <c r="BI601">
        <v>1</v>
      </c>
      <c r="BJ601">
        <v>1</v>
      </c>
      <c r="BK601">
        <v>0</v>
      </c>
      <c r="BL601">
        <v>0</v>
      </c>
      <c r="BO601">
        <v>0</v>
      </c>
      <c r="BP601">
        <v>0</v>
      </c>
      <c r="BW601" t="str">
        <f t="shared" si="283"/>
        <v>14:42:02.183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343</v>
      </c>
      <c r="CR601">
        <v>2</v>
      </c>
      <c r="CW601">
        <v>12982191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 t="shared" ref="A602:A610" si="286">"05/12/2020 14:41:45.383"</f>
        <v>05/12/2020 14:41:45.383</v>
      </c>
      <c r="C602" t="str">
        <f t="shared" si="284"/>
        <v>FFDFD3C0</v>
      </c>
      <c r="D602" t="s">
        <v>126</v>
      </c>
      <c r="E602">
        <v>6</v>
      </c>
      <c r="F602">
        <v>1006</v>
      </c>
      <c r="G602" t="s">
        <v>114</v>
      </c>
      <c r="J602" t="s">
        <v>128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S610" si="287">"14:42:03.211"</f>
        <v>14:42:03.211</v>
      </c>
      <c r="T602" t="str">
        <f t="shared" ref="T602:T610" si="288">"14:42:02.711"</f>
        <v>14:42:02.711</v>
      </c>
      <c r="U602" t="str">
        <f t="shared" si="277"/>
        <v>A9808D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263</v>
      </c>
      <c r="AJ602">
        <v>28.254840000000002</v>
      </c>
      <c r="AK602" t="s">
        <v>264</v>
      </c>
      <c r="AL602">
        <v>-82.380981000000006</v>
      </c>
      <c r="AM602">
        <v>100</v>
      </c>
      <c r="AN602">
        <v>700</v>
      </c>
      <c r="AO602" t="s">
        <v>118</v>
      </c>
      <c r="AP602">
        <v>10</v>
      </c>
      <c r="AQ602">
        <v>88</v>
      </c>
      <c r="AR602">
        <v>768</v>
      </c>
      <c r="AZ602">
        <v>1200</v>
      </c>
      <c r="BA602">
        <v>1</v>
      </c>
      <c r="BB602" t="str">
        <f t="shared" si="285"/>
        <v xml:space="preserve">N711JA  </v>
      </c>
      <c r="BC602">
        <v>1</v>
      </c>
      <c r="BE602">
        <v>0</v>
      </c>
      <c r="BF602">
        <v>0</v>
      </c>
      <c r="BG602">
        <v>0</v>
      </c>
      <c r="BH602">
        <v>850</v>
      </c>
      <c r="BI602">
        <v>1</v>
      </c>
      <c r="BJ602">
        <v>1</v>
      </c>
      <c r="BK602">
        <v>0</v>
      </c>
      <c r="BL602">
        <v>0</v>
      </c>
      <c r="BO602">
        <v>0</v>
      </c>
      <c r="BP602">
        <v>0</v>
      </c>
      <c r="BW602" t="str">
        <f t="shared" ref="BW602:BW610" si="289">"14:42:03.215"</f>
        <v>14:42:03.215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343</v>
      </c>
      <c r="CR602">
        <v>0</v>
      </c>
      <c r="CW602">
        <v>5640504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 t="shared" si="286"/>
        <v>05/12/2020 14:41:45.383</v>
      </c>
      <c r="C603" t="str">
        <f t="shared" si="284"/>
        <v>FFDFD3C0</v>
      </c>
      <c r="D603" t="s">
        <v>113</v>
      </c>
      <c r="E603">
        <v>3</v>
      </c>
      <c r="H603">
        <v>164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287"/>
        <v>14:42:03.211</v>
      </c>
      <c r="T603" t="str">
        <f t="shared" si="288"/>
        <v>14:42:02.711</v>
      </c>
      <c r="U603" t="str">
        <f t="shared" si="277"/>
        <v>A9808D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263</v>
      </c>
      <c r="AJ603">
        <v>28.254840000000002</v>
      </c>
      <c r="AK603" t="s">
        <v>264</v>
      </c>
      <c r="AL603">
        <v>-82.380981000000006</v>
      </c>
      <c r="AM603">
        <v>100</v>
      </c>
      <c r="AN603">
        <v>700</v>
      </c>
      <c r="AO603" t="s">
        <v>118</v>
      </c>
      <c r="AP603">
        <v>10</v>
      </c>
      <c r="AQ603">
        <v>88</v>
      </c>
      <c r="AR603">
        <v>768</v>
      </c>
      <c r="AZ603">
        <v>1200</v>
      </c>
      <c r="BA603">
        <v>1</v>
      </c>
      <c r="BB603" t="str">
        <f t="shared" si="285"/>
        <v xml:space="preserve">N711JA  </v>
      </c>
      <c r="BC603">
        <v>1</v>
      </c>
      <c r="BE603">
        <v>0</v>
      </c>
      <c r="BF603">
        <v>0</v>
      </c>
      <c r="BG603">
        <v>0</v>
      </c>
      <c r="BH603">
        <v>850</v>
      </c>
      <c r="BI603">
        <v>1</v>
      </c>
      <c r="BJ603">
        <v>1</v>
      </c>
      <c r="BK603">
        <v>0</v>
      </c>
      <c r="BL603">
        <v>0</v>
      </c>
      <c r="BO603">
        <v>0</v>
      </c>
      <c r="BP603">
        <v>0</v>
      </c>
      <c r="BW603" t="str">
        <f t="shared" si="289"/>
        <v>14:42:03.215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343</v>
      </c>
      <c r="CR603">
        <v>0</v>
      </c>
      <c r="CW603">
        <v>5640504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 t="shared" si="286"/>
        <v>05/12/2020 14:41:45.383</v>
      </c>
      <c r="C604" t="str">
        <f t="shared" si="284"/>
        <v>FFDFD3C0</v>
      </c>
      <c r="D604" t="s">
        <v>138</v>
      </c>
      <c r="E604">
        <v>2</v>
      </c>
      <c r="H604">
        <v>8</v>
      </c>
      <c r="I604" t="s">
        <v>139</v>
      </c>
      <c r="J604" t="s">
        <v>136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287"/>
        <v>14:42:03.211</v>
      </c>
      <c r="T604" t="str">
        <f t="shared" si="288"/>
        <v>14:42:02.711</v>
      </c>
      <c r="U604" t="str">
        <f t="shared" si="277"/>
        <v>A9808D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263</v>
      </c>
      <c r="AJ604">
        <v>28.254840000000002</v>
      </c>
      <c r="AK604" t="s">
        <v>264</v>
      </c>
      <c r="AL604">
        <v>-82.380981000000006</v>
      </c>
      <c r="AM604">
        <v>100</v>
      </c>
      <c r="AN604">
        <v>700</v>
      </c>
      <c r="AO604" t="s">
        <v>118</v>
      </c>
      <c r="AP604">
        <v>10</v>
      </c>
      <c r="AQ604">
        <v>88</v>
      </c>
      <c r="AR604">
        <v>768</v>
      </c>
      <c r="AZ604">
        <v>1200</v>
      </c>
      <c r="BA604">
        <v>1</v>
      </c>
      <c r="BB604" t="str">
        <f t="shared" si="285"/>
        <v xml:space="preserve">N711JA  </v>
      </c>
      <c r="BC604">
        <v>1</v>
      </c>
      <c r="BE604">
        <v>0</v>
      </c>
      <c r="BF604">
        <v>0</v>
      </c>
      <c r="BG604">
        <v>0</v>
      </c>
      <c r="BH604">
        <v>850</v>
      </c>
      <c r="BI604">
        <v>1</v>
      </c>
      <c r="BJ604">
        <v>1</v>
      </c>
      <c r="BK604">
        <v>0</v>
      </c>
      <c r="BL604">
        <v>0</v>
      </c>
      <c r="BO604">
        <v>0</v>
      </c>
      <c r="BP604">
        <v>0</v>
      </c>
      <c r="BW604" t="str">
        <f t="shared" si="289"/>
        <v>14:42:03.215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343</v>
      </c>
      <c r="CR604">
        <v>0</v>
      </c>
      <c r="CW604">
        <v>5640504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 t="shared" si="286"/>
        <v>05/12/2020 14:41:45.383</v>
      </c>
      <c r="C605" t="str">
        <f t="shared" si="284"/>
        <v>FFDFD3C0</v>
      </c>
      <c r="D605" t="s">
        <v>138</v>
      </c>
      <c r="E605">
        <v>3</v>
      </c>
      <c r="H605">
        <v>9</v>
      </c>
      <c r="I605" t="s">
        <v>140</v>
      </c>
      <c r="J605" t="s">
        <v>136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287"/>
        <v>14:42:03.211</v>
      </c>
      <c r="T605" t="str">
        <f t="shared" si="288"/>
        <v>14:42:02.711</v>
      </c>
      <c r="U605" t="str">
        <f t="shared" si="277"/>
        <v>A9808D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263</v>
      </c>
      <c r="AJ605">
        <v>28.254840000000002</v>
      </c>
      <c r="AK605" t="s">
        <v>264</v>
      </c>
      <c r="AL605">
        <v>-82.380981000000006</v>
      </c>
      <c r="AM605">
        <v>100</v>
      </c>
      <c r="AN605">
        <v>700</v>
      </c>
      <c r="AO605" t="s">
        <v>118</v>
      </c>
      <c r="AP605">
        <v>10</v>
      </c>
      <c r="AQ605">
        <v>88</v>
      </c>
      <c r="AR605">
        <v>768</v>
      </c>
      <c r="AZ605">
        <v>1200</v>
      </c>
      <c r="BA605">
        <v>1</v>
      </c>
      <c r="BB605" t="str">
        <f t="shared" si="285"/>
        <v xml:space="preserve">N711JA  </v>
      </c>
      <c r="BC605">
        <v>1</v>
      </c>
      <c r="BE605">
        <v>0</v>
      </c>
      <c r="BF605">
        <v>0</v>
      </c>
      <c r="BG605">
        <v>0</v>
      </c>
      <c r="BH605">
        <v>850</v>
      </c>
      <c r="BI605">
        <v>1</v>
      </c>
      <c r="BJ605">
        <v>1</v>
      </c>
      <c r="BK605">
        <v>0</v>
      </c>
      <c r="BL605">
        <v>0</v>
      </c>
      <c r="BO605">
        <v>0</v>
      </c>
      <c r="BP605">
        <v>0</v>
      </c>
      <c r="BW605" t="str">
        <f t="shared" si="289"/>
        <v>14:42:03.215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343</v>
      </c>
      <c r="CR605">
        <v>0</v>
      </c>
      <c r="CW605">
        <v>5640504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 t="shared" si="286"/>
        <v>05/12/2020 14:41:45.383</v>
      </c>
      <c r="C606" t="str">
        <f t="shared" si="284"/>
        <v>FFDFD3C0</v>
      </c>
      <c r="D606" t="s">
        <v>126</v>
      </c>
      <c r="E606">
        <v>7</v>
      </c>
      <c r="F606">
        <v>1007</v>
      </c>
      <c r="G606" t="s">
        <v>127</v>
      </c>
      <c r="J606" t="s">
        <v>128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287"/>
        <v>14:42:03.211</v>
      </c>
      <c r="T606" t="str">
        <f t="shared" si="288"/>
        <v>14:42:02.711</v>
      </c>
      <c r="U606" t="str">
        <f t="shared" si="277"/>
        <v>A9808D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263</v>
      </c>
      <c r="AJ606">
        <v>28.254840000000002</v>
      </c>
      <c r="AK606" t="s">
        <v>264</v>
      </c>
      <c r="AL606">
        <v>-82.380981000000006</v>
      </c>
      <c r="AM606">
        <v>100</v>
      </c>
      <c r="AN606">
        <v>700</v>
      </c>
      <c r="AO606" t="s">
        <v>118</v>
      </c>
      <c r="AP606">
        <v>10</v>
      </c>
      <c r="AQ606">
        <v>88</v>
      </c>
      <c r="AR606">
        <v>768</v>
      </c>
      <c r="AZ606">
        <v>1200</v>
      </c>
      <c r="BA606">
        <v>1</v>
      </c>
      <c r="BB606" t="str">
        <f t="shared" si="285"/>
        <v xml:space="preserve">N711JA  </v>
      </c>
      <c r="BC606">
        <v>1</v>
      </c>
      <c r="BE606">
        <v>0</v>
      </c>
      <c r="BF606">
        <v>0</v>
      </c>
      <c r="BG606">
        <v>0</v>
      </c>
      <c r="BH606">
        <v>850</v>
      </c>
      <c r="BI606">
        <v>1</v>
      </c>
      <c r="BJ606">
        <v>1</v>
      </c>
      <c r="BK606">
        <v>0</v>
      </c>
      <c r="BL606">
        <v>0</v>
      </c>
      <c r="BO606">
        <v>0</v>
      </c>
      <c r="BP606">
        <v>0</v>
      </c>
      <c r="BW606" t="str">
        <f t="shared" si="289"/>
        <v>14:42:03.215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343</v>
      </c>
      <c r="CR606">
        <v>0</v>
      </c>
      <c r="CW606">
        <v>5640504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 t="shared" si="286"/>
        <v>05/12/2020 14:41:45.383</v>
      </c>
      <c r="C607" t="str">
        <f t="shared" si="284"/>
        <v>FFDFD3C0</v>
      </c>
      <c r="D607" t="s">
        <v>131</v>
      </c>
      <c r="E607">
        <v>12</v>
      </c>
      <c r="F607">
        <v>2012</v>
      </c>
      <c r="G607" t="s">
        <v>137</v>
      </c>
      <c r="J607" t="s">
        <v>133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287"/>
        <v>14:42:03.211</v>
      </c>
      <c r="T607" t="str">
        <f t="shared" si="288"/>
        <v>14:42:02.711</v>
      </c>
      <c r="U607" t="str">
        <f t="shared" si="277"/>
        <v>A9808D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263</v>
      </c>
      <c r="AJ607">
        <v>28.254840000000002</v>
      </c>
      <c r="AK607" t="s">
        <v>264</v>
      </c>
      <c r="AL607">
        <v>-82.380981000000006</v>
      </c>
      <c r="AM607">
        <v>100</v>
      </c>
      <c r="AN607">
        <v>700</v>
      </c>
      <c r="AO607" t="s">
        <v>118</v>
      </c>
      <c r="AP607">
        <v>10</v>
      </c>
      <c r="AQ607">
        <v>88</v>
      </c>
      <c r="AR607">
        <v>768</v>
      </c>
      <c r="AZ607">
        <v>1200</v>
      </c>
      <c r="BA607">
        <v>1</v>
      </c>
      <c r="BB607" t="str">
        <f t="shared" si="285"/>
        <v xml:space="preserve">N711JA  </v>
      </c>
      <c r="BC607">
        <v>1</v>
      </c>
      <c r="BE607">
        <v>0</v>
      </c>
      <c r="BF607">
        <v>0</v>
      </c>
      <c r="BG607">
        <v>0</v>
      </c>
      <c r="BH607">
        <v>850</v>
      </c>
      <c r="BI607">
        <v>1</v>
      </c>
      <c r="BJ607">
        <v>1</v>
      </c>
      <c r="BK607">
        <v>0</v>
      </c>
      <c r="BL607">
        <v>0</v>
      </c>
      <c r="BO607">
        <v>0</v>
      </c>
      <c r="BP607">
        <v>0</v>
      </c>
      <c r="BW607" t="str">
        <f t="shared" si="289"/>
        <v>14:42:03.215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343</v>
      </c>
      <c r="CR607">
        <v>0</v>
      </c>
      <c r="CW607">
        <v>5640504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 t="shared" si="286"/>
        <v>05/12/2020 14:41:45.383</v>
      </c>
      <c r="C608" t="str">
        <f t="shared" si="284"/>
        <v>FFDFD3C0</v>
      </c>
      <c r="D608" t="s">
        <v>131</v>
      </c>
      <c r="E608">
        <v>10</v>
      </c>
      <c r="F608">
        <v>2010</v>
      </c>
      <c r="G608" t="s">
        <v>132</v>
      </c>
      <c r="J608" t="s">
        <v>133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287"/>
        <v>14:42:03.211</v>
      </c>
      <c r="T608" t="str">
        <f t="shared" si="288"/>
        <v>14:42:02.711</v>
      </c>
      <c r="U608" t="str">
        <f t="shared" si="277"/>
        <v>A9808D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263</v>
      </c>
      <c r="AJ608">
        <v>28.254840000000002</v>
      </c>
      <c r="AK608" t="s">
        <v>264</v>
      </c>
      <c r="AL608">
        <v>-82.380981000000006</v>
      </c>
      <c r="AM608">
        <v>100</v>
      </c>
      <c r="AN608">
        <v>700</v>
      </c>
      <c r="AO608" t="s">
        <v>118</v>
      </c>
      <c r="AP608">
        <v>10</v>
      </c>
      <c r="AQ608">
        <v>88</v>
      </c>
      <c r="AR608">
        <v>768</v>
      </c>
      <c r="AZ608">
        <v>1200</v>
      </c>
      <c r="BA608">
        <v>1</v>
      </c>
      <c r="BB608" t="str">
        <f t="shared" si="285"/>
        <v xml:space="preserve">N711JA  </v>
      </c>
      <c r="BC608">
        <v>1</v>
      </c>
      <c r="BE608">
        <v>0</v>
      </c>
      <c r="BF608">
        <v>0</v>
      </c>
      <c r="BG608">
        <v>0</v>
      </c>
      <c r="BH608">
        <v>850</v>
      </c>
      <c r="BI608">
        <v>1</v>
      </c>
      <c r="BJ608">
        <v>1</v>
      </c>
      <c r="BK608">
        <v>0</v>
      </c>
      <c r="BL608">
        <v>0</v>
      </c>
      <c r="BO608">
        <v>0</v>
      </c>
      <c r="BP608">
        <v>0</v>
      </c>
      <c r="BW608" t="str">
        <f t="shared" si="289"/>
        <v>14:42:03.215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343</v>
      </c>
      <c r="CR608">
        <v>0</v>
      </c>
      <c r="CW608">
        <v>5640504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si="286"/>
        <v>05/12/2020 14:41:45.383</v>
      </c>
      <c r="C609" t="str">
        <f t="shared" si="284"/>
        <v>FFDFD3C0</v>
      </c>
      <c r="D609" t="s">
        <v>131</v>
      </c>
      <c r="E609">
        <v>18</v>
      </c>
      <c r="F609">
        <v>2018</v>
      </c>
      <c r="G609" t="s">
        <v>161</v>
      </c>
      <c r="J609" t="s">
        <v>133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287"/>
        <v>14:42:03.211</v>
      </c>
      <c r="T609" t="str">
        <f t="shared" si="288"/>
        <v>14:42:02.711</v>
      </c>
      <c r="U609" t="str">
        <f t="shared" si="277"/>
        <v>A9808D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263</v>
      </c>
      <c r="AJ609">
        <v>28.254840000000002</v>
      </c>
      <c r="AK609" t="s">
        <v>264</v>
      </c>
      <c r="AL609">
        <v>-82.380981000000006</v>
      </c>
      <c r="AM609">
        <v>100</v>
      </c>
      <c r="AN609">
        <v>700</v>
      </c>
      <c r="AO609" t="s">
        <v>118</v>
      </c>
      <c r="AP609">
        <v>10</v>
      </c>
      <c r="AQ609">
        <v>88</v>
      </c>
      <c r="AR609">
        <v>768</v>
      </c>
      <c r="AZ609">
        <v>1200</v>
      </c>
      <c r="BA609">
        <v>1</v>
      </c>
      <c r="BB609" t="str">
        <f t="shared" si="285"/>
        <v xml:space="preserve">N711JA  </v>
      </c>
      <c r="BC609">
        <v>1</v>
      </c>
      <c r="BE609">
        <v>0</v>
      </c>
      <c r="BF609">
        <v>0</v>
      </c>
      <c r="BG609">
        <v>0</v>
      </c>
      <c r="BH609">
        <v>850</v>
      </c>
      <c r="BI609">
        <v>1</v>
      </c>
      <c r="BJ609">
        <v>1</v>
      </c>
      <c r="BK609">
        <v>0</v>
      </c>
      <c r="BL609">
        <v>0</v>
      </c>
      <c r="BO609">
        <v>0</v>
      </c>
      <c r="BP609">
        <v>0</v>
      </c>
      <c r="BW609" t="str">
        <f t="shared" si="289"/>
        <v>14:42:03.215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343</v>
      </c>
      <c r="CR609">
        <v>0</v>
      </c>
      <c r="CW609">
        <v>5640504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286"/>
        <v>05/12/2020 14:41:45.383</v>
      </c>
      <c r="C610" t="str">
        <f t="shared" si="284"/>
        <v>FFDFD3C0</v>
      </c>
      <c r="D610" t="s">
        <v>134</v>
      </c>
      <c r="E610">
        <v>12</v>
      </c>
      <c r="H610">
        <v>64</v>
      </c>
      <c r="I610" t="s">
        <v>135</v>
      </c>
      <c r="J610" t="s">
        <v>136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287"/>
        <v>14:42:03.211</v>
      </c>
      <c r="T610" t="str">
        <f t="shared" si="288"/>
        <v>14:42:02.711</v>
      </c>
      <c r="U610" t="str">
        <f t="shared" si="277"/>
        <v>A9808D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263</v>
      </c>
      <c r="AJ610">
        <v>28.254840000000002</v>
      </c>
      <c r="AK610" t="s">
        <v>264</v>
      </c>
      <c r="AL610">
        <v>-82.380981000000006</v>
      </c>
      <c r="AM610">
        <v>100</v>
      </c>
      <c r="AN610">
        <v>700</v>
      </c>
      <c r="AO610" t="s">
        <v>118</v>
      </c>
      <c r="AP610">
        <v>10</v>
      </c>
      <c r="AQ610">
        <v>88</v>
      </c>
      <c r="AR610">
        <v>768</v>
      </c>
      <c r="AZ610">
        <v>1200</v>
      </c>
      <c r="BA610">
        <v>1</v>
      </c>
      <c r="BB610" t="str">
        <f t="shared" si="285"/>
        <v xml:space="preserve">N711JA  </v>
      </c>
      <c r="BC610">
        <v>1</v>
      </c>
      <c r="BE610">
        <v>0</v>
      </c>
      <c r="BF610">
        <v>0</v>
      </c>
      <c r="BG610">
        <v>0</v>
      </c>
      <c r="BH610">
        <v>850</v>
      </c>
      <c r="BI610">
        <v>1</v>
      </c>
      <c r="BJ610">
        <v>1</v>
      </c>
      <c r="BK610">
        <v>0</v>
      </c>
      <c r="BL610">
        <v>0</v>
      </c>
      <c r="BO610">
        <v>0</v>
      </c>
      <c r="BP610">
        <v>0</v>
      </c>
      <c r="BW610" t="str">
        <f t="shared" si="289"/>
        <v>14:42:03.215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343</v>
      </c>
      <c r="CR610">
        <v>0</v>
      </c>
      <c r="CW610">
        <v>5640504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 t="shared" ref="A611:A619" si="290">"05/12/2020 14:41:46.302"</f>
        <v>05/12/2020 14:41:46.302</v>
      </c>
      <c r="C611" t="str">
        <f t="shared" si="284"/>
        <v>FFDFD3C0</v>
      </c>
      <c r="D611" t="s">
        <v>131</v>
      </c>
      <c r="E611">
        <v>10</v>
      </c>
      <c r="F611">
        <v>2010</v>
      </c>
      <c r="G611" t="s">
        <v>132</v>
      </c>
      <c r="J611" t="s">
        <v>133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ref="S611:T619" si="291">"14:42:04.125"</f>
        <v>14:42:04.125</v>
      </c>
      <c r="T611" t="str">
        <f t="shared" si="291"/>
        <v>14:42:04.125</v>
      </c>
      <c r="U611" t="str">
        <f t="shared" si="277"/>
        <v>A9808D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265</v>
      </c>
      <c r="AJ611">
        <v>28.255184</v>
      </c>
      <c r="AK611" t="s">
        <v>266</v>
      </c>
      <c r="AL611">
        <v>-82.380938999999998</v>
      </c>
      <c r="AM611">
        <v>100</v>
      </c>
      <c r="AN611">
        <v>800</v>
      </c>
      <c r="AO611" t="s">
        <v>118</v>
      </c>
      <c r="AP611">
        <v>9</v>
      </c>
      <c r="AQ611">
        <v>89</v>
      </c>
      <c r="AR611">
        <v>640</v>
      </c>
      <c r="AZ611">
        <v>1200</v>
      </c>
      <c r="BA611">
        <v>1</v>
      </c>
      <c r="BB611" t="str">
        <f t="shared" si="285"/>
        <v xml:space="preserve">N711JA  </v>
      </c>
      <c r="BC611">
        <v>1</v>
      </c>
      <c r="BE611">
        <v>0</v>
      </c>
      <c r="BF611">
        <v>0</v>
      </c>
      <c r="BG611">
        <v>0</v>
      </c>
      <c r="BH611">
        <v>850</v>
      </c>
      <c r="BI611">
        <v>1</v>
      </c>
      <c r="BJ611">
        <v>1</v>
      </c>
      <c r="BK611">
        <v>0</v>
      </c>
      <c r="BL611">
        <v>0</v>
      </c>
      <c r="BO611">
        <v>0</v>
      </c>
      <c r="BP611">
        <v>0</v>
      </c>
      <c r="BW611" t="str">
        <f t="shared" ref="BW611:BW619" si="292">"14:42:04.133"</f>
        <v>14:42:04.133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343</v>
      </c>
      <c r="CR611">
        <v>2</v>
      </c>
      <c r="CW611">
        <v>12983618</v>
      </c>
      <c r="CY611">
        <v>1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 t="shared" si="290"/>
        <v>05/12/2020 14:41:46.302</v>
      </c>
      <c r="C612" t="str">
        <f t="shared" si="284"/>
        <v>FFDFD3C0</v>
      </c>
      <c r="D612" t="s">
        <v>131</v>
      </c>
      <c r="E612">
        <v>12</v>
      </c>
      <c r="F612">
        <v>2012</v>
      </c>
      <c r="G612" t="s">
        <v>137</v>
      </c>
      <c r="J612" t="s">
        <v>133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291"/>
        <v>14:42:04.125</v>
      </c>
      <c r="T612" t="str">
        <f t="shared" si="291"/>
        <v>14:42:04.125</v>
      </c>
      <c r="U612" t="str">
        <f t="shared" si="277"/>
        <v>A9808D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265</v>
      </c>
      <c r="AJ612">
        <v>28.255184</v>
      </c>
      <c r="AK612" t="s">
        <v>266</v>
      </c>
      <c r="AL612">
        <v>-82.380938999999998</v>
      </c>
      <c r="AM612">
        <v>100</v>
      </c>
      <c r="AN612">
        <v>800</v>
      </c>
      <c r="AO612" t="s">
        <v>118</v>
      </c>
      <c r="AP612">
        <v>9</v>
      </c>
      <c r="AQ612">
        <v>89</v>
      </c>
      <c r="AR612">
        <v>640</v>
      </c>
      <c r="AZ612">
        <v>1200</v>
      </c>
      <c r="BA612">
        <v>1</v>
      </c>
      <c r="BB612" t="str">
        <f t="shared" si="285"/>
        <v xml:space="preserve">N711JA  </v>
      </c>
      <c r="BC612">
        <v>1</v>
      </c>
      <c r="BE612">
        <v>0</v>
      </c>
      <c r="BF612">
        <v>0</v>
      </c>
      <c r="BG612">
        <v>0</v>
      </c>
      <c r="BH612">
        <v>850</v>
      </c>
      <c r="BI612">
        <v>1</v>
      </c>
      <c r="BJ612">
        <v>1</v>
      </c>
      <c r="BK612">
        <v>0</v>
      </c>
      <c r="BL612">
        <v>0</v>
      </c>
      <c r="BO612">
        <v>0</v>
      </c>
      <c r="BP612">
        <v>0</v>
      </c>
      <c r="BW612" t="str">
        <f t="shared" si="292"/>
        <v>14:42:04.133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343</v>
      </c>
      <c r="CR612">
        <v>2</v>
      </c>
      <c r="CW612">
        <v>12983618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 t="shared" si="290"/>
        <v>05/12/2020 14:41:46.302</v>
      </c>
      <c r="C613" t="str">
        <f t="shared" si="284"/>
        <v>FFDFD3C0</v>
      </c>
      <c r="D613" t="s">
        <v>131</v>
      </c>
      <c r="E613">
        <v>18</v>
      </c>
      <c r="F613">
        <v>2018</v>
      </c>
      <c r="G613" t="s">
        <v>161</v>
      </c>
      <c r="J613" t="s">
        <v>133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291"/>
        <v>14:42:04.125</v>
      </c>
      <c r="T613" t="str">
        <f t="shared" si="291"/>
        <v>14:42:04.125</v>
      </c>
      <c r="U613" t="str">
        <f t="shared" si="277"/>
        <v>A9808D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265</v>
      </c>
      <c r="AJ613">
        <v>28.255184</v>
      </c>
      <c r="AK613" t="s">
        <v>266</v>
      </c>
      <c r="AL613">
        <v>-82.380938999999998</v>
      </c>
      <c r="AM613">
        <v>100</v>
      </c>
      <c r="AN613">
        <v>800</v>
      </c>
      <c r="AO613" t="s">
        <v>118</v>
      </c>
      <c r="AP613">
        <v>9</v>
      </c>
      <c r="AQ613">
        <v>89</v>
      </c>
      <c r="AR613">
        <v>640</v>
      </c>
      <c r="AZ613">
        <v>1200</v>
      </c>
      <c r="BA613">
        <v>1</v>
      </c>
      <c r="BB613" t="str">
        <f t="shared" si="285"/>
        <v xml:space="preserve">N711JA  </v>
      </c>
      <c r="BC613">
        <v>1</v>
      </c>
      <c r="BE613">
        <v>0</v>
      </c>
      <c r="BF613">
        <v>0</v>
      </c>
      <c r="BG613">
        <v>0</v>
      </c>
      <c r="BH613">
        <v>850</v>
      </c>
      <c r="BI613">
        <v>1</v>
      </c>
      <c r="BJ613">
        <v>1</v>
      </c>
      <c r="BK613">
        <v>0</v>
      </c>
      <c r="BL613">
        <v>0</v>
      </c>
      <c r="BO613">
        <v>0</v>
      </c>
      <c r="BP613">
        <v>0</v>
      </c>
      <c r="BW613" t="str">
        <f t="shared" si="292"/>
        <v>14:42:04.133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343</v>
      </c>
      <c r="CR613">
        <v>2</v>
      </c>
      <c r="CW613">
        <v>12983618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si="290"/>
        <v>05/12/2020 14:41:46.302</v>
      </c>
      <c r="C614" t="str">
        <f t="shared" si="284"/>
        <v>FFDFD3C0</v>
      </c>
      <c r="D614" t="s">
        <v>134</v>
      </c>
      <c r="E614">
        <v>12</v>
      </c>
      <c r="H614">
        <v>64</v>
      </c>
      <c r="I614" t="s">
        <v>135</v>
      </c>
      <c r="J614" t="s">
        <v>136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291"/>
        <v>14:42:04.125</v>
      </c>
      <c r="T614" t="str">
        <f t="shared" si="291"/>
        <v>14:42:04.125</v>
      </c>
      <c r="U614" t="str">
        <f t="shared" si="277"/>
        <v>A9808D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265</v>
      </c>
      <c r="AJ614">
        <v>28.255184</v>
      </c>
      <c r="AK614" t="s">
        <v>266</v>
      </c>
      <c r="AL614">
        <v>-82.380938999999998</v>
      </c>
      <c r="AM614">
        <v>100</v>
      </c>
      <c r="AN614">
        <v>800</v>
      </c>
      <c r="AO614" t="s">
        <v>118</v>
      </c>
      <c r="AP614">
        <v>9</v>
      </c>
      <c r="AQ614">
        <v>89</v>
      </c>
      <c r="AR614">
        <v>640</v>
      </c>
      <c r="AZ614">
        <v>1200</v>
      </c>
      <c r="BA614">
        <v>1</v>
      </c>
      <c r="BB614" t="str">
        <f t="shared" si="285"/>
        <v xml:space="preserve">N711JA  </v>
      </c>
      <c r="BC614">
        <v>1</v>
      </c>
      <c r="BE614">
        <v>0</v>
      </c>
      <c r="BF614">
        <v>0</v>
      </c>
      <c r="BG614">
        <v>0</v>
      </c>
      <c r="BH614">
        <v>850</v>
      </c>
      <c r="BI614">
        <v>1</v>
      </c>
      <c r="BJ614">
        <v>1</v>
      </c>
      <c r="BK614">
        <v>0</v>
      </c>
      <c r="BL614">
        <v>0</v>
      </c>
      <c r="BO614">
        <v>0</v>
      </c>
      <c r="BP614">
        <v>0</v>
      </c>
      <c r="BW614" t="str">
        <f t="shared" si="292"/>
        <v>14:42:04.133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343</v>
      </c>
      <c r="CR614">
        <v>2</v>
      </c>
      <c r="CW614">
        <v>12983618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290"/>
        <v>05/12/2020 14:41:46.302</v>
      </c>
      <c r="C615" t="str">
        <f t="shared" si="284"/>
        <v>FFDFD3C0</v>
      </c>
      <c r="D615" t="s">
        <v>126</v>
      </c>
      <c r="E615">
        <v>6</v>
      </c>
      <c r="F615">
        <v>1006</v>
      </c>
      <c r="G615" t="s">
        <v>114</v>
      </c>
      <c r="J615" t="s">
        <v>128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291"/>
        <v>14:42:04.125</v>
      </c>
      <c r="T615" t="str">
        <f t="shared" si="291"/>
        <v>14:42:04.125</v>
      </c>
      <c r="U615" t="str">
        <f t="shared" si="277"/>
        <v>A9808D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265</v>
      </c>
      <c r="AJ615">
        <v>28.255184</v>
      </c>
      <c r="AK615" t="s">
        <v>266</v>
      </c>
      <c r="AL615">
        <v>-82.380938999999998</v>
      </c>
      <c r="AM615">
        <v>100</v>
      </c>
      <c r="AN615">
        <v>800</v>
      </c>
      <c r="AO615" t="s">
        <v>118</v>
      </c>
      <c r="AP615">
        <v>9</v>
      </c>
      <c r="AQ615">
        <v>89</v>
      </c>
      <c r="AR615">
        <v>640</v>
      </c>
      <c r="AZ615">
        <v>1200</v>
      </c>
      <c r="BA615">
        <v>1</v>
      </c>
      <c r="BB615" t="str">
        <f t="shared" si="285"/>
        <v xml:space="preserve">N711JA  </v>
      </c>
      <c r="BC615">
        <v>1</v>
      </c>
      <c r="BE615">
        <v>0</v>
      </c>
      <c r="BF615">
        <v>0</v>
      </c>
      <c r="BG615">
        <v>0</v>
      </c>
      <c r="BH615">
        <v>850</v>
      </c>
      <c r="BI615">
        <v>1</v>
      </c>
      <c r="BJ615">
        <v>1</v>
      </c>
      <c r="BK615">
        <v>0</v>
      </c>
      <c r="BL615">
        <v>0</v>
      </c>
      <c r="BO615">
        <v>0</v>
      </c>
      <c r="BP615">
        <v>0</v>
      </c>
      <c r="BW615" t="str">
        <f t="shared" si="292"/>
        <v>14:42:04.133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343</v>
      </c>
      <c r="CR615">
        <v>2</v>
      </c>
      <c r="CW615">
        <v>12983618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290"/>
        <v>05/12/2020 14:41:46.302</v>
      </c>
      <c r="C616" t="str">
        <f t="shared" si="284"/>
        <v>FFDFD3C0</v>
      </c>
      <c r="D616" t="s">
        <v>113</v>
      </c>
      <c r="E616">
        <v>3</v>
      </c>
      <c r="H616">
        <v>164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291"/>
        <v>14:42:04.125</v>
      </c>
      <c r="T616" t="str">
        <f t="shared" si="291"/>
        <v>14:42:04.125</v>
      </c>
      <c r="U616" t="str">
        <f t="shared" si="277"/>
        <v>A9808D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265</v>
      </c>
      <c r="AJ616">
        <v>28.255184</v>
      </c>
      <c r="AK616" t="s">
        <v>266</v>
      </c>
      <c r="AL616">
        <v>-82.380938999999998</v>
      </c>
      <c r="AM616">
        <v>100</v>
      </c>
      <c r="AN616">
        <v>800</v>
      </c>
      <c r="AO616" t="s">
        <v>118</v>
      </c>
      <c r="AP616">
        <v>9</v>
      </c>
      <c r="AQ616">
        <v>89</v>
      </c>
      <c r="AR616">
        <v>640</v>
      </c>
      <c r="AZ616">
        <v>1200</v>
      </c>
      <c r="BA616">
        <v>1</v>
      </c>
      <c r="BB616" t="str">
        <f t="shared" si="285"/>
        <v xml:space="preserve">N711JA  </v>
      </c>
      <c r="BC616">
        <v>1</v>
      </c>
      <c r="BE616">
        <v>0</v>
      </c>
      <c r="BF616">
        <v>0</v>
      </c>
      <c r="BG616">
        <v>0</v>
      </c>
      <c r="BH616">
        <v>850</v>
      </c>
      <c r="BI616">
        <v>1</v>
      </c>
      <c r="BJ616">
        <v>1</v>
      </c>
      <c r="BK616">
        <v>0</v>
      </c>
      <c r="BL616">
        <v>0</v>
      </c>
      <c r="BO616">
        <v>0</v>
      </c>
      <c r="BP616">
        <v>0</v>
      </c>
      <c r="BW616" t="str">
        <f t="shared" si="292"/>
        <v>14:42:04.133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343</v>
      </c>
      <c r="CR616">
        <v>2</v>
      </c>
      <c r="CW616">
        <v>12983618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290"/>
        <v>05/12/2020 14:41:46.302</v>
      </c>
      <c r="C617" t="str">
        <f t="shared" si="284"/>
        <v>FFDFD3C0</v>
      </c>
      <c r="D617" t="s">
        <v>138</v>
      </c>
      <c r="E617">
        <v>3</v>
      </c>
      <c r="H617">
        <v>9</v>
      </c>
      <c r="I617" t="s">
        <v>140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291"/>
        <v>14:42:04.125</v>
      </c>
      <c r="T617" t="str">
        <f t="shared" si="291"/>
        <v>14:42:04.125</v>
      </c>
      <c r="U617" t="str">
        <f t="shared" si="277"/>
        <v>A9808D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265</v>
      </c>
      <c r="AJ617">
        <v>28.255184</v>
      </c>
      <c r="AK617" t="s">
        <v>266</v>
      </c>
      <c r="AL617">
        <v>-82.380938999999998</v>
      </c>
      <c r="AM617">
        <v>100</v>
      </c>
      <c r="AN617">
        <v>800</v>
      </c>
      <c r="AO617" t="s">
        <v>118</v>
      </c>
      <c r="AP617">
        <v>9</v>
      </c>
      <c r="AQ617">
        <v>89</v>
      </c>
      <c r="AR617">
        <v>640</v>
      </c>
      <c r="AZ617">
        <v>1200</v>
      </c>
      <c r="BA617">
        <v>1</v>
      </c>
      <c r="BB617" t="str">
        <f t="shared" si="285"/>
        <v xml:space="preserve">N711JA  </v>
      </c>
      <c r="BC617">
        <v>1</v>
      </c>
      <c r="BE617">
        <v>0</v>
      </c>
      <c r="BF617">
        <v>0</v>
      </c>
      <c r="BG617">
        <v>0</v>
      </c>
      <c r="BH617">
        <v>850</v>
      </c>
      <c r="BI617">
        <v>1</v>
      </c>
      <c r="BJ617">
        <v>1</v>
      </c>
      <c r="BK617">
        <v>0</v>
      </c>
      <c r="BL617">
        <v>0</v>
      </c>
      <c r="BO617">
        <v>0</v>
      </c>
      <c r="BP617">
        <v>0</v>
      </c>
      <c r="BW617" t="str">
        <f t="shared" si="292"/>
        <v>14:42:04.133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343</v>
      </c>
      <c r="CR617">
        <v>2</v>
      </c>
      <c r="CW617">
        <v>12983618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290"/>
        <v>05/12/2020 14:41:46.302</v>
      </c>
      <c r="C618" t="str">
        <f t="shared" si="284"/>
        <v>FFDFD3C0</v>
      </c>
      <c r="D618" t="s">
        <v>138</v>
      </c>
      <c r="E618">
        <v>2</v>
      </c>
      <c r="H618">
        <v>8</v>
      </c>
      <c r="I618" t="s">
        <v>139</v>
      </c>
      <c r="J618" t="s">
        <v>136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291"/>
        <v>14:42:04.125</v>
      </c>
      <c r="T618" t="str">
        <f t="shared" si="291"/>
        <v>14:42:04.125</v>
      </c>
      <c r="U618" t="str">
        <f t="shared" si="277"/>
        <v>A9808D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265</v>
      </c>
      <c r="AJ618">
        <v>28.255184</v>
      </c>
      <c r="AK618" t="s">
        <v>266</v>
      </c>
      <c r="AL618">
        <v>-82.380938999999998</v>
      </c>
      <c r="AM618">
        <v>100</v>
      </c>
      <c r="AN618">
        <v>800</v>
      </c>
      <c r="AO618" t="s">
        <v>118</v>
      </c>
      <c r="AP618">
        <v>9</v>
      </c>
      <c r="AQ618">
        <v>89</v>
      </c>
      <c r="AR618">
        <v>640</v>
      </c>
      <c r="AZ618">
        <v>1200</v>
      </c>
      <c r="BA618">
        <v>1</v>
      </c>
      <c r="BB618" t="str">
        <f t="shared" si="285"/>
        <v xml:space="preserve">N711JA  </v>
      </c>
      <c r="BC618">
        <v>1</v>
      </c>
      <c r="BE618">
        <v>0</v>
      </c>
      <c r="BF618">
        <v>0</v>
      </c>
      <c r="BG618">
        <v>0</v>
      </c>
      <c r="BH618">
        <v>850</v>
      </c>
      <c r="BI618">
        <v>1</v>
      </c>
      <c r="BJ618">
        <v>1</v>
      </c>
      <c r="BK618">
        <v>0</v>
      </c>
      <c r="BL618">
        <v>0</v>
      </c>
      <c r="BO618">
        <v>0</v>
      </c>
      <c r="BP618">
        <v>0</v>
      </c>
      <c r="BW618" t="str">
        <f t="shared" si="292"/>
        <v>14:42:04.133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343</v>
      </c>
      <c r="CR618">
        <v>2</v>
      </c>
      <c r="CW618">
        <v>12983618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si="290"/>
        <v>05/12/2020 14:41:46.302</v>
      </c>
      <c r="C619" t="str">
        <f t="shared" si="284"/>
        <v>FFDFD3C0</v>
      </c>
      <c r="D619" t="s">
        <v>126</v>
      </c>
      <c r="E619">
        <v>7</v>
      </c>
      <c r="F619">
        <v>1007</v>
      </c>
      <c r="G619" t="s">
        <v>127</v>
      </c>
      <c r="J619" t="s">
        <v>128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291"/>
        <v>14:42:04.125</v>
      </c>
      <c r="T619" t="str">
        <f t="shared" si="291"/>
        <v>14:42:04.125</v>
      </c>
      <c r="U619" t="str">
        <f t="shared" si="277"/>
        <v>A9808D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265</v>
      </c>
      <c r="AJ619">
        <v>28.255184</v>
      </c>
      <c r="AK619" t="s">
        <v>266</v>
      </c>
      <c r="AL619">
        <v>-82.380938999999998</v>
      </c>
      <c r="AM619">
        <v>100</v>
      </c>
      <c r="AN619">
        <v>800</v>
      </c>
      <c r="AO619" t="s">
        <v>118</v>
      </c>
      <c r="AP619">
        <v>9</v>
      </c>
      <c r="AQ619">
        <v>89</v>
      </c>
      <c r="AR619">
        <v>640</v>
      </c>
      <c r="AZ619">
        <v>1200</v>
      </c>
      <c r="BA619">
        <v>1</v>
      </c>
      <c r="BB619" t="str">
        <f t="shared" si="285"/>
        <v xml:space="preserve">N711JA  </v>
      </c>
      <c r="BC619">
        <v>1</v>
      </c>
      <c r="BE619">
        <v>0</v>
      </c>
      <c r="BF619">
        <v>0</v>
      </c>
      <c r="BG619">
        <v>0</v>
      </c>
      <c r="BH619">
        <v>850</v>
      </c>
      <c r="BI619">
        <v>1</v>
      </c>
      <c r="BJ619">
        <v>1</v>
      </c>
      <c r="BK619">
        <v>0</v>
      </c>
      <c r="BL619">
        <v>0</v>
      </c>
      <c r="BO619">
        <v>0</v>
      </c>
      <c r="BP619">
        <v>0</v>
      </c>
      <c r="BW619" t="str">
        <f t="shared" si="292"/>
        <v>14:42:04.133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343</v>
      </c>
      <c r="CR619">
        <v>2</v>
      </c>
      <c r="CW619">
        <v>12983618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 t="shared" ref="A620:A627" si="293">"05/12/2020 14:41:47.181"</f>
        <v>05/12/2020 14:41:47.181</v>
      </c>
      <c r="C620" t="str">
        <f t="shared" si="284"/>
        <v>FFDFD3C0</v>
      </c>
      <c r="D620" t="s">
        <v>134</v>
      </c>
      <c r="E620">
        <v>12</v>
      </c>
      <c r="H620">
        <v>64</v>
      </c>
      <c r="I620" t="s">
        <v>135</v>
      </c>
      <c r="J620" t="s">
        <v>136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ref="S620:S627" si="294">"14:42:05.008"</f>
        <v>14:42:05.008</v>
      </c>
      <c r="T620" t="str">
        <f t="shared" ref="T620:T627" si="295">"14:42:04.108"</f>
        <v>14:42:04.108</v>
      </c>
      <c r="U620" t="str">
        <f t="shared" si="277"/>
        <v>A9808D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267</v>
      </c>
      <c r="AJ620">
        <v>28.255527000000001</v>
      </c>
      <c r="AK620" t="s">
        <v>268</v>
      </c>
      <c r="AL620">
        <v>-82.380916999999997</v>
      </c>
      <c r="AM620">
        <v>100</v>
      </c>
      <c r="AN620">
        <v>800</v>
      </c>
      <c r="AO620" t="s">
        <v>118</v>
      </c>
      <c r="AP620">
        <v>9</v>
      </c>
      <c r="AQ620">
        <v>89</v>
      </c>
      <c r="AR620">
        <v>640</v>
      </c>
      <c r="AZ620">
        <v>1200</v>
      </c>
      <c r="BA620">
        <v>1</v>
      </c>
      <c r="BB620" t="str">
        <f t="shared" si="285"/>
        <v xml:space="preserve">N711JA  </v>
      </c>
      <c r="BC620">
        <v>1</v>
      </c>
      <c r="BE620">
        <v>0</v>
      </c>
      <c r="BF620">
        <v>0</v>
      </c>
      <c r="BG620">
        <v>0</v>
      </c>
      <c r="BH620">
        <v>850</v>
      </c>
      <c r="BI620">
        <v>1</v>
      </c>
      <c r="BJ620">
        <v>1</v>
      </c>
      <c r="BK620">
        <v>0</v>
      </c>
      <c r="BL620">
        <v>0</v>
      </c>
      <c r="BO620">
        <v>0</v>
      </c>
      <c r="BP620">
        <v>0</v>
      </c>
      <c r="BW620" t="str">
        <f t="shared" ref="BW620:BW627" si="296">"14:42:05.011"</f>
        <v>14:42:05.011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4</v>
      </c>
      <c r="CP620" t="s">
        <v>119</v>
      </c>
      <c r="CQ620">
        <v>8</v>
      </c>
      <c r="CR620">
        <v>3</v>
      </c>
      <c r="CW620">
        <v>8697028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 t="shared" si="293"/>
        <v>05/12/2020 14:41:47.181</v>
      </c>
      <c r="C621" t="str">
        <f t="shared" si="284"/>
        <v>FFDFD3C0</v>
      </c>
      <c r="D621" t="s">
        <v>126</v>
      </c>
      <c r="E621">
        <v>6</v>
      </c>
      <c r="F621">
        <v>1006</v>
      </c>
      <c r="G621" t="s">
        <v>114</v>
      </c>
      <c r="J621" t="s">
        <v>128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294"/>
        <v>14:42:05.008</v>
      </c>
      <c r="T621" t="str">
        <f t="shared" si="295"/>
        <v>14:42:04.108</v>
      </c>
      <c r="U621" t="str">
        <f t="shared" si="277"/>
        <v>A9808D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267</v>
      </c>
      <c r="AJ621">
        <v>28.255527000000001</v>
      </c>
      <c r="AK621" t="s">
        <v>268</v>
      </c>
      <c r="AL621">
        <v>-82.380916999999997</v>
      </c>
      <c r="AM621">
        <v>100</v>
      </c>
      <c r="AN621">
        <v>800</v>
      </c>
      <c r="AO621" t="s">
        <v>118</v>
      </c>
      <c r="AP621">
        <v>9</v>
      </c>
      <c r="AQ621">
        <v>89</v>
      </c>
      <c r="AR621">
        <v>640</v>
      </c>
      <c r="AZ621">
        <v>1200</v>
      </c>
      <c r="BA621">
        <v>1</v>
      </c>
      <c r="BB621" t="str">
        <f t="shared" si="285"/>
        <v xml:space="preserve">N711JA  </v>
      </c>
      <c r="BC621">
        <v>1</v>
      </c>
      <c r="BE621">
        <v>0</v>
      </c>
      <c r="BF621">
        <v>0</v>
      </c>
      <c r="BG621">
        <v>0</v>
      </c>
      <c r="BH621">
        <v>850</v>
      </c>
      <c r="BI621">
        <v>1</v>
      </c>
      <c r="BJ621">
        <v>1</v>
      </c>
      <c r="BK621">
        <v>0</v>
      </c>
      <c r="BL621">
        <v>0</v>
      </c>
      <c r="BO621">
        <v>0</v>
      </c>
      <c r="BP621">
        <v>0</v>
      </c>
      <c r="BW621" t="str">
        <f t="shared" si="296"/>
        <v>14:42:05.011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4</v>
      </c>
      <c r="CP621" t="s">
        <v>119</v>
      </c>
      <c r="CQ621">
        <v>8</v>
      </c>
      <c r="CR621">
        <v>3</v>
      </c>
      <c r="CW621">
        <v>8697028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 t="shared" si="293"/>
        <v>05/12/2020 14:41:47.181</v>
      </c>
      <c r="C622" t="str">
        <f t="shared" si="284"/>
        <v>FFDFD3C0</v>
      </c>
      <c r="D622" t="s">
        <v>113</v>
      </c>
      <c r="E622">
        <v>3</v>
      </c>
      <c r="H622">
        <v>164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294"/>
        <v>14:42:05.008</v>
      </c>
      <c r="T622" t="str">
        <f t="shared" si="295"/>
        <v>14:42:04.108</v>
      </c>
      <c r="U622" t="str">
        <f t="shared" si="277"/>
        <v>A9808D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267</v>
      </c>
      <c r="AJ622">
        <v>28.255527000000001</v>
      </c>
      <c r="AK622" t="s">
        <v>268</v>
      </c>
      <c r="AL622">
        <v>-82.380916999999997</v>
      </c>
      <c r="AM622">
        <v>100</v>
      </c>
      <c r="AN622">
        <v>800</v>
      </c>
      <c r="AO622" t="s">
        <v>118</v>
      </c>
      <c r="AP622">
        <v>9</v>
      </c>
      <c r="AQ622">
        <v>89</v>
      </c>
      <c r="AR622">
        <v>640</v>
      </c>
      <c r="AZ622">
        <v>1200</v>
      </c>
      <c r="BA622">
        <v>1</v>
      </c>
      <c r="BB622" t="str">
        <f t="shared" si="285"/>
        <v xml:space="preserve">N711JA  </v>
      </c>
      <c r="BC622">
        <v>1</v>
      </c>
      <c r="BE622">
        <v>0</v>
      </c>
      <c r="BF622">
        <v>0</v>
      </c>
      <c r="BG622">
        <v>0</v>
      </c>
      <c r="BH622">
        <v>850</v>
      </c>
      <c r="BI622">
        <v>1</v>
      </c>
      <c r="BJ622">
        <v>1</v>
      </c>
      <c r="BK622">
        <v>0</v>
      </c>
      <c r="BL622">
        <v>0</v>
      </c>
      <c r="BO622">
        <v>0</v>
      </c>
      <c r="BP622">
        <v>0</v>
      </c>
      <c r="BW622" t="str">
        <f t="shared" si="296"/>
        <v>14:42:05.011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4</v>
      </c>
      <c r="CP622" t="s">
        <v>119</v>
      </c>
      <c r="CQ622">
        <v>8</v>
      </c>
      <c r="CR622">
        <v>3</v>
      </c>
      <c r="CW622">
        <v>8697028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 t="shared" si="293"/>
        <v>05/12/2020 14:41:47.181</v>
      </c>
      <c r="C623" t="str">
        <f t="shared" si="284"/>
        <v>FFDFD3C0</v>
      </c>
      <c r="D623" t="s">
        <v>126</v>
      </c>
      <c r="E623">
        <v>7</v>
      </c>
      <c r="F623">
        <v>1007</v>
      </c>
      <c r="G623" t="s">
        <v>127</v>
      </c>
      <c r="J623" t="s">
        <v>128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294"/>
        <v>14:42:05.008</v>
      </c>
      <c r="T623" t="str">
        <f t="shared" si="295"/>
        <v>14:42:04.108</v>
      </c>
      <c r="U623" t="str">
        <f t="shared" si="277"/>
        <v>A9808D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267</v>
      </c>
      <c r="AJ623">
        <v>28.255527000000001</v>
      </c>
      <c r="AK623" t="s">
        <v>268</v>
      </c>
      <c r="AL623">
        <v>-82.380916999999997</v>
      </c>
      <c r="AM623">
        <v>100</v>
      </c>
      <c r="AN623">
        <v>800</v>
      </c>
      <c r="AO623" t="s">
        <v>118</v>
      </c>
      <c r="AP623">
        <v>9</v>
      </c>
      <c r="AQ623">
        <v>89</v>
      </c>
      <c r="AR623">
        <v>640</v>
      </c>
      <c r="AZ623">
        <v>1200</v>
      </c>
      <c r="BA623">
        <v>1</v>
      </c>
      <c r="BB623" t="str">
        <f t="shared" si="285"/>
        <v xml:space="preserve">N711JA  </v>
      </c>
      <c r="BC623">
        <v>1</v>
      </c>
      <c r="BE623">
        <v>0</v>
      </c>
      <c r="BF623">
        <v>0</v>
      </c>
      <c r="BG623">
        <v>0</v>
      </c>
      <c r="BH623">
        <v>850</v>
      </c>
      <c r="BI623">
        <v>1</v>
      </c>
      <c r="BJ623">
        <v>1</v>
      </c>
      <c r="BK623">
        <v>0</v>
      </c>
      <c r="BL623">
        <v>0</v>
      </c>
      <c r="BO623">
        <v>0</v>
      </c>
      <c r="BP623">
        <v>0</v>
      </c>
      <c r="BW623" t="str">
        <f t="shared" si="296"/>
        <v>14:42:05.011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4</v>
      </c>
      <c r="CP623" t="s">
        <v>119</v>
      </c>
      <c r="CQ623">
        <v>8</v>
      </c>
      <c r="CR623">
        <v>3</v>
      </c>
      <c r="CW623">
        <v>8697028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 t="shared" si="293"/>
        <v>05/12/2020 14:41:47.181</v>
      </c>
      <c r="C624" t="str">
        <f t="shared" si="284"/>
        <v>FFDFD3C0</v>
      </c>
      <c r="D624" t="s">
        <v>138</v>
      </c>
      <c r="E624">
        <v>2</v>
      </c>
      <c r="H624">
        <v>8</v>
      </c>
      <c r="I624" t="s">
        <v>139</v>
      </c>
      <c r="J624" t="s">
        <v>136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294"/>
        <v>14:42:05.008</v>
      </c>
      <c r="T624" t="str">
        <f t="shared" si="295"/>
        <v>14:42:04.108</v>
      </c>
      <c r="U624" t="str">
        <f t="shared" si="277"/>
        <v>A9808D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267</v>
      </c>
      <c r="AJ624">
        <v>28.255527000000001</v>
      </c>
      <c r="AK624" t="s">
        <v>268</v>
      </c>
      <c r="AL624">
        <v>-82.380916999999997</v>
      </c>
      <c r="AM624">
        <v>100</v>
      </c>
      <c r="AN624">
        <v>800</v>
      </c>
      <c r="AO624" t="s">
        <v>118</v>
      </c>
      <c r="AP624">
        <v>9</v>
      </c>
      <c r="AQ624">
        <v>89</v>
      </c>
      <c r="AR624">
        <v>640</v>
      </c>
      <c r="AZ624">
        <v>1200</v>
      </c>
      <c r="BA624">
        <v>1</v>
      </c>
      <c r="BB624" t="str">
        <f t="shared" si="285"/>
        <v xml:space="preserve">N711JA  </v>
      </c>
      <c r="BC624">
        <v>1</v>
      </c>
      <c r="BE624">
        <v>0</v>
      </c>
      <c r="BF624">
        <v>0</v>
      </c>
      <c r="BG624">
        <v>0</v>
      </c>
      <c r="BH624">
        <v>850</v>
      </c>
      <c r="BI624">
        <v>1</v>
      </c>
      <c r="BJ624">
        <v>1</v>
      </c>
      <c r="BK624">
        <v>0</v>
      </c>
      <c r="BL624">
        <v>0</v>
      </c>
      <c r="BO624">
        <v>0</v>
      </c>
      <c r="BP624">
        <v>0</v>
      </c>
      <c r="BW624" t="str">
        <f t="shared" si="296"/>
        <v>14:42:05.011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4</v>
      </c>
      <c r="CP624" t="s">
        <v>119</v>
      </c>
      <c r="CQ624">
        <v>8</v>
      </c>
      <c r="CR624">
        <v>3</v>
      </c>
      <c r="CW624">
        <v>8697028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 t="shared" si="293"/>
        <v>05/12/2020 14:41:47.181</v>
      </c>
      <c r="C625" t="str">
        <f t="shared" si="284"/>
        <v>FFDFD3C0</v>
      </c>
      <c r="D625" t="s">
        <v>138</v>
      </c>
      <c r="E625">
        <v>3</v>
      </c>
      <c r="H625">
        <v>9</v>
      </c>
      <c r="I625" t="s">
        <v>140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294"/>
        <v>14:42:05.008</v>
      </c>
      <c r="T625" t="str">
        <f t="shared" si="295"/>
        <v>14:42:04.108</v>
      </c>
      <c r="U625" t="str">
        <f t="shared" si="277"/>
        <v>A9808D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267</v>
      </c>
      <c r="AJ625">
        <v>28.255527000000001</v>
      </c>
      <c r="AK625" t="s">
        <v>268</v>
      </c>
      <c r="AL625">
        <v>-82.380916999999997</v>
      </c>
      <c r="AM625">
        <v>100</v>
      </c>
      <c r="AN625">
        <v>800</v>
      </c>
      <c r="AO625" t="s">
        <v>118</v>
      </c>
      <c r="AP625">
        <v>9</v>
      </c>
      <c r="AQ625">
        <v>89</v>
      </c>
      <c r="AR625">
        <v>640</v>
      </c>
      <c r="AZ625">
        <v>1200</v>
      </c>
      <c r="BA625">
        <v>1</v>
      </c>
      <c r="BB625" t="str">
        <f t="shared" si="285"/>
        <v xml:space="preserve">N711JA  </v>
      </c>
      <c r="BC625">
        <v>1</v>
      </c>
      <c r="BE625">
        <v>0</v>
      </c>
      <c r="BF625">
        <v>0</v>
      </c>
      <c r="BG625">
        <v>0</v>
      </c>
      <c r="BH625">
        <v>850</v>
      </c>
      <c r="BI625">
        <v>1</v>
      </c>
      <c r="BJ625">
        <v>1</v>
      </c>
      <c r="BK625">
        <v>0</v>
      </c>
      <c r="BL625">
        <v>0</v>
      </c>
      <c r="BO625">
        <v>0</v>
      </c>
      <c r="BP625">
        <v>0</v>
      </c>
      <c r="BW625" t="str">
        <f t="shared" si="296"/>
        <v>14:42:05.011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4</v>
      </c>
      <c r="CP625" t="s">
        <v>119</v>
      </c>
      <c r="CQ625">
        <v>8</v>
      </c>
      <c r="CR625">
        <v>3</v>
      </c>
      <c r="CW625">
        <v>8697028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 t="shared" si="293"/>
        <v>05/12/2020 14:41:47.181</v>
      </c>
      <c r="C626" t="str">
        <f t="shared" si="284"/>
        <v>FFDFD3C0</v>
      </c>
      <c r="D626" t="s">
        <v>131</v>
      </c>
      <c r="E626">
        <v>12</v>
      </c>
      <c r="F626">
        <v>2012</v>
      </c>
      <c r="G626" t="s">
        <v>137</v>
      </c>
      <c r="J626" t="s">
        <v>133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294"/>
        <v>14:42:05.008</v>
      </c>
      <c r="T626" t="str">
        <f t="shared" si="295"/>
        <v>14:42:04.108</v>
      </c>
      <c r="U626" t="str">
        <f t="shared" si="277"/>
        <v>A9808D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267</v>
      </c>
      <c r="AJ626">
        <v>28.255527000000001</v>
      </c>
      <c r="AK626" t="s">
        <v>268</v>
      </c>
      <c r="AL626">
        <v>-82.380916999999997</v>
      </c>
      <c r="AM626">
        <v>100</v>
      </c>
      <c r="AN626">
        <v>800</v>
      </c>
      <c r="AO626" t="s">
        <v>118</v>
      </c>
      <c r="AP626">
        <v>9</v>
      </c>
      <c r="AQ626">
        <v>89</v>
      </c>
      <c r="AR626">
        <v>640</v>
      </c>
      <c r="AZ626">
        <v>1200</v>
      </c>
      <c r="BA626">
        <v>1</v>
      </c>
      <c r="BB626" t="str">
        <f t="shared" si="285"/>
        <v xml:space="preserve">N711JA  </v>
      </c>
      <c r="BC626">
        <v>1</v>
      </c>
      <c r="BE626">
        <v>0</v>
      </c>
      <c r="BF626">
        <v>0</v>
      </c>
      <c r="BG626">
        <v>0</v>
      </c>
      <c r="BH626">
        <v>850</v>
      </c>
      <c r="BI626">
        <v>1</v>
      </c>
      <c r="BJ626">
        <v>1</v>
      </c>
      <c r="BK626">
        <v>0</v>
      </c>
      <c r="BL626">
        <v>0</v>
      </c>
      <c r="BO626">
        <v>0</v>
      </c>
      <c r="BP626">
        <v>0</v>
      </c>
      <c r="BW626" t="str">
        <f t="shared" si="296"/>
        <v>14:42:05.011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4</v>
      </c>
      <c r="CP626" t="s">
        <v>119</v>
      </c>
      <c r="CQ626">
        <v>8</v>
      </c>
      <c r="CR626">
        <v>3</v>
      </c>
      <c r="CW626">
        <v>8697028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 t="shared" si="293"/>
        <v>05/12/2020 14:41:47.181</v>
      </c>
      <c r="C627" t="str">
        <f t="shared" si="284"/>
        <v>FFDFD3C0</v>
      </c>
      <c r="D627" t="s">
        <v>131</v>
      </c>
      <c r="E627">
        <v>10</v>
      </c>
      <c r="F627">
        <v>2010</v>
      </c>
      <c r="G627" t="s">
        <v>132</v>
      </c>
      <c r="J627" t="s">
        <v>133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294"/>
        <v>14:42:05.008</v>
      </c>
      <c r="T627" t="str">
        <f t="shared" si="295"/>
        <v>14:42:04.108</v>
      </c>
      <c r="U627" t="str">
        <f t="shared" si="277"/>
        <v>A9808D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267</v>
      </c>
      <c r="AJ627">
        <v>28.255527000000001</v>
      </c>
      <c r="AK627" t="s">
        <v>268</v>
      </c>
      <c r="AL627">
        <v>-82.380916999999997</v>
      </c>
      <c r="AM627">
        <v>100</v>
      </c>
      <c r="AN627">
        <v>800</v>
      </c>
      <c r="AO627" t="s">
        <v>118</v>
      </c>
      <c r="AP627">
        <v>9</v>
      </c>
      <c r="AQ627">
        <v>89</v>
      </c>
      <c r="AR627">
        <v>640</v>
      </c>
      <c r="AZ627">
        <v>1200</v>
      </c>
      <c r="BA627">
        <v>1</v>
      </c>
      <c r="BB627" t="str">
        <f t="shared" si="285"/>
        <v xml:space="preserve">N711JA  </v>
      </c>
      <c r="BC627">
        <v>1</v>
      </c>
      <c r="BE627">
        <v>0</v>
      </c>
      <c r="BF627">
        <v>0</v>
      </c>
      <c r="BG627">
        <v>0</v>
      </c>
      <c r="BH627">
        <v>850</v>
      </c>
      <c r="BI627">
        <v>1</v>
      </c>
      <c r="BJ627">
        <v>1</v>
      </c>
      <c r="BK627">
        <v>0</v>
      </c>
      <c r="BL627">
        <v>0</v>
      </c>
      <c r="BO627">
        <v>0</v>
      </c>
      <c r="BP627">
        <v>0</v>
      </c>
      <c r="BW627" t="str">
        <f t="shared" si="296"/>
        <v>14:42:05.011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4</v>
      </c>
      <c r="CP627" t="s">
        <v>119</v>
      </c>
      <c r="CQ627">
        <v>8</v>
      </c>
      <c r="CR627">
        <v>3</v>
      </c>
      <c r="CW627">
        <v>8697028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 t="shared" ref="A628:A636" si="297">"05/12/2020 14:41:48.116"</f>
        <v>05/12/2020 14:41:48.116</v>
      </c>
      <c r="C628" t="str">
        <f t="shared" si="284"/>
        <v>FFDFD3C0</v>
      </c>
      <c r="D628" t="s">
        <v>131</v>
      </c>
      <c r="E628">
        <v>18</v>
      </c>
      <c r="F628">
        <v>2018</v>
      </c>
      <c r="G628" t="s">
        <v>161</v>
      </c>
      <c r="J628" t="s">
        <v>133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ref="S628:S636" si="298">"14:42:05.953"</f>
        <v>14:42:05.953</v>
      </c>
      <c r="T628" t="str">
        <f t="shared" ref="T628:T636" si="299">"14:42:05.153"</f>
        <v>14:42:05.153</v>
      </c>
      <c r="U628" t="str">
        <f t="shared" si="277"/>
        <v>A9808D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269</v>
      </c>
      <c r="AJ628">
        <v>28.255913</v>
      </c>
      <c r="AK628" t="s">
        <v>148</v>
      </c>
      <c r="AL628">
        <v>-82.380874000000006</v>
      </c>
      <c r="AM628">
        <v>100</v>
      </c>
      <c r="AN628">
        <v>800</v>
      </c>
      <c r="AO628" t="s">
        <v>118</v>
      </c>
      <c r="AP628">
        <v>10</v>
      </c>
      <c r="AQ628">
        <v>89</v>
      </c>
      <c r="AR628">
        <v>640</v>
      </c>
      <c r="AZ628">
        <v>1200</v>
      </c>
      <c r="BA628">
        <v>1</v>
      </c>
      <c r="BB628" t="str">
        <f t="shared" si="285"/>
        <v xml:space="preserve">N711JA  </v>
      </c>
      <c r="BC628">
        <v>1</v>
      </c>
      <c r="BE628">
        <v>0</v>
      </c>
      <c r="BF628">
        <v>0</v>
      </c>
      <c r="BG628">
        <v>0</v>
      </c>
      <c r="BH628">
        <v>875</v>
      </c>
      <c r="BI628">
        <v>1</v>
      </c>
      <c r="BJ628">
        <v>1</v>
      </c>
      <c r="BK628">
        <v>0</v>
      </c>
      <c r="BL628">
        <v>0</v>
      </c>
      <c r="BO628">
        <v>0</v>
      </c>
      <c r="BP628">
        <v>0</v>
      </c>
      <c r="BW628" t="str">
        <f t="shared" ref="BW628:BW636" si="300">"14:42:05.956"</f>
        <v>14:42:05.956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343</v>
      </c>
      <c r="CR628">
        <v>0</v>
      </c>
      <c r="CW628">
        <v>5644079</v>
      </c>
      <c r="CY628">
        <v>1</v>
      </c>
      <c r="CZ628">
        <v>0</v>
      </c>
      <c r="DA628">
        <v>0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 t="shared" si="297"/>
        <v>05/12/2020 14:41:48.116</v>
      </c>
      <c r="C629" t="str">
        <f t="shared" si="284"/>
        <v>FFDFD3C0</v>
      </c>
      <c r="D629" t="s">
        <v>138</v>
      </c>
      <c r="E629">
        <v>2</v>
      </c>
      <c r="H629">
        <v>8</v>
      </c>
      <c r="I629" t="s">
        <v>139</v>
      </c>
      <c r="J629" t="s">
        <v>136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298"/>
        <v>14:42:05.953</v>
      </c>
      <c r="T629" t="str">
        <f t="shared" si="299"/>
        <v>14:42:05.153</v>
      </c>
      <c r="U629" t="str">
        <f t="shared" si="277"/>
        <v>A9808D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269</v>
      </c>
      <c r="AJ629">
        <v>28.255913</v>
      </c>
      <c r="AK629" t="s">
        <v>148</v>
      </c>
      <c r="AL629">
        <v>-82.380874000000006</v>
      </c>
      <c r="AM629">
        <v>100</v>
      </c>
      <c r="AN629">
        <v>800</v>
      </c>
      <c r="AO629" t="s">
        <v>118</v>
      </c>
      <c r="AP629">
        <v>10</v>
      </c>
      <c r="AQ629">
        <v>89</v>
      </c>
      <c r="AR629">
        <v>640</v>
      </c>
      <c r="AZ629">
        <v>1200</v>
      </c>
      <c r="BA629">
        <v>1</v>
      </c>
      <c r="BB629" t="str">
        <f t="shared" si="285"/>
        <v xml:space="preserve">N711JA  </v>
      </c>
      <c r="BC629">
        <v>1</v>
      </c>
      <c r="BE629">
        <v>0</v>
      </c>
      <c r="BF629">
        <v>0</v>
      </c>
      <c r="BG629">
        <v>0</v>
      </c>
      <c r="BH629">
        <v>875</v>
      </c>
      <c r="BI629">
        <v>1</v>
      </c>
      <c r="BJ629">
        <v>1</v>
      </c>
      <c r="BK629">
        <v>0</v>
      </c>
      <c r="BL629">
        <v>0</v>
      </c>
      <c r="BO629">
        <v>0</v>
      </c>
      <c r="BP629">
        <v>0</v>
      </c>
      <c r="BW629" t="str">
        <f t="shared" si="300"/>
        <v>14:42:05.956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343</v>
      </c>
      <c r="CR629">
        <v>0</v>
      </c>
      <c r="CW629">
        <v>5644079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si="297"/>
        <v>05/12/2020 14:41:48.116</v>
      </c>
      <c r="C630" t="str">
        <f t="shared" si="284"/>
        <v>FFDFD3C0</v>
      </c>
      <c r="D630" t="s">
        <v>138</v>
      </c>
      <c r="E630">
        <v>3</v>
      </c>
      <c r="H630">
        <v>9</v>
      </c>
      <c r="I630" t="s">
        <v>140</v>
      </c>
      <c r="J630" t="s">
        <v>136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298"/>
        <v>14:42:05.953</v>
      </c>
      <c r="T630" t="str">
        <f t="shared" si="299"/>
        <v>14:42:05.153</v>
      </c>
      <c r="U630" t="str">
        <f t="shared" si="277"/>
        <v>A9808D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269</v>
      </c>
      <c r="AJ630">
        <v>28.255913</v>
      </c>
      <c r="AK630" t="s">
        <v>148</v>
      </c>
      <c r="AL630">
        <v>-82.380874000000006</v>
      </c>
      <c r="AM630">
        <v>100</v>
      </c>
      <c r="AN630">
        <v>800</v>
      </c>
      <c r="AO630" t="s">
        <v>118</v>
      </c>
      <c r="AP630">
        <v>10</v>
      </c>
      <c r="AQ630">
        <v>89</v>
      </c>
      <c r="AR630">
        <v>640</v>
      </c>
      <c r="AZ630">
        <v>1200</v>
      </c>
      <c r="BA630">
        <v>1</v>
      </c>
      <c r="BB630" t="str">
        <f t="shared" si="285"/>
        <v xml:space="preserve">N711JA  </v>
      </c>
      <c r="BC630">
        <v>1</v>
      </c>
      <c r="BE630">
        <v>0</v>
      </c>
      <c r="BF630">
        <v>0</v>
      </c>
      <c r="BG630">
        <v>0</v>
      </c>
      <c r="BH630">
        <v>875</v>
      </c>
      <c r="BI630">
        <v>1</v>
      </c>
      <c r="BJ630">
        <v>1</v>
      </c>
      <c r="BK630">
        <v>0</v>
      </c>
      <c r="BL630">
        <v>0</v>
      </c>
      <c r="BO630">
        <v>0</v>
      </c>
      <c r="BP630">
        <v>0</v>
      </c>
      <c r="BW630" t="str">
        <f t="shared" si="300"/>
        <v>14:42:05.956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343</v>
      </c>
      <c r="CR630">
        <v>0</v>
      </c>
      <c r="CW630">
        <v>5644079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si="297"/>
        <v>05/12/2020 14:41:48.116</v>
      </c>
      <c r="C631" t="str">
        <f t="shared" si="284"/>
        <v>FFDFD3C0</v>
      </c>
      <c r="D631" t="s">
        <v>134</v>
      </c>
      <c r="E631">
        <v>12</v>
      </c>
      <c r="H631">
        <v>64</v>
      </c>
      <c r="I631" t="s">
        <v>135</v>
      </c>
      <c r="J631" t="s">
        <v>136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298"/>
        <v>14:42:05.953</v>
      </c>
      <c r="T631" t="str">
        <f t="shared" si="299"/>
        <v>14:42:05.153</v>
      </c>
      <c r="U631" t="str">
        <f t="shared" si="277"/>
        <v>A9808D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269</v>
      </c>
      <c r="AJ631">
        <v>28.255913</v>
      </c>
      <c r="AK631" t="s">
        <v>148</v>
      </c>
      <c r="AL631">
        <v>-82.380874000000006</v>
      </c>
      <c r="AM631">
        <v>100</v>
      </c>
      <c r="AN631">
        <v>800</v>
      </c>
      <c r="AO631" t="s">
        <v>118</v>
      </c>
      <c r="AP631">
        <v>10</v>
      </c>
      <c r="AQ631">
        <v>89</v>
      </c>
      <c r="AR631">
        <v>640</v>
      </c>
      <c r="AZ631">
        <v>1200</v>
      </c>
      <c r="BA631">
        <v>1</v>
      </c>
      <c r="BB631" t="str">
        <f t="shared" si="285"/>
        <v xml:space="preserve">N711JA  </v>
      </c>
      <c r="BC631">
        <v>1</v>
      </c>
      <c r="BE631">
        <v>0</v>
      </c>
      <c r="BF631">
        <v>0</v>
      </c>
      <c r="BG631">
        <v>0</v>
      </c>
      <c r="BH631">
        <v>875</v>
      </c>
      <c r="BI631">
        <v>1</v>
      </c>
      <c r="BJ631">
        <v>1</v>
      </c>
      <c r="BK631">
        <v>0</v>
      </c>
      <c r="BL631">
        <v>0</v>
      </c>
      <c r="BO631">
        <v>0</v>
      </c>
      <c r="BP631">
        <v>0</v>
      </c>
      <c r="BW631" t="str">
        <f t="shared" si="300"/>
        <v>14:42:05.956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343</v>
      </c>
      <c r="CR631">
        <v>0</v>
      </c>
      <c r="CW631">
        <v>5644079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si="297"/>
        <v>05/12/2020 14:41:48.116</v>
      </c>
      <c r="C632" t="str">
        <f t="shared" si="284"/>
        <v>FFDFD3C0</v>
      </c>
      <c r="D632" t="s">
        <v>126</v>
      </c>
      <c r="E632">
        <v>6</v>
      </c>
      <c r="F632">
        <v>1006</v>
      </c>
      <c r="G632" t="s">
        <v>114</v>
      </c>
      <c r="J632" t="s">
        <v>128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298"/>
        <v>14:42:05.953</v>
      </c>
      <c r="T632" t="str">
        <f t="shared" si="299"/>
        <v>14:42:05.153</v>
      </c>
      <c r="U632" t="str">
        <f t="shared" si="277"/>
        <v>A9808D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269</v>
      </c>
      <c r="AJ632">
        <v>28.255913</v>
      </c>
      <c r="AK632" t="s">
        <v>148</v>
      </c>
      <c r="AL632">
        <v>-82.380874000000006</v>
      </c>
      <c r="AM632">
        <v>100</v>
      </c>
      <c r="AN632">
        <v>800</v>
      </c>
      <c r="AO632" t="s">
        <v>118</v>
      </c>
      <c r="AP632">
        <v>10</v>
      </c>
      <c r="AQ632">
        <v>89</v>
      </c>
      <c r="AR632">
        <v>640</v>
      </c>
      <c r="AZ632">
        <v>1200</v>
      </c>
      <c r="BA632">
        <v>1</v>
      </c>
      <c r="BB632" t="str">
        <f t="shared" si="285"/>
        <v xml:space="preserve">N711JA  </v>
      </c>
      <c r="BC632">
        <v>1</v>
      </c>
      <c r="BE632">
        <v>0</v>
      </c>
      <c r="BF632">
        <v>0</v>
      </c>
      <c r="BG632">
        <v>0</v>
      </c>
      <c r="BH632">
        <v>875</v>
      </c>
      <c r="BI632">
        <v>1</v>
      </c>
      <c r="BJ632">
        <v>1</v>
      </c>
      <c r="BK632">
        <v>0</v>
      </c>
      <c r="BL632">
        <v>0</v>
      </c>
      <c r="BO632">
        <v>0</v>
      </c>
      <c r="BP632">
        <v>0</v>
      </c>
      <c r="BW632" t="str">
        <f t="shared" si="300"/>
        <v>14:42:05.956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343</v>
      </c>
      <c r="CR632">
        <v>0</v>
      </c>
      <c r="CW632">
        <v>5644079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297"/>
        <v>05/12/2020 14:41:48.116</v>
      </c>
      <c r="C633" t="str">
        <f t="shared" si="284"/>
        <v>FFDFD3C0</v>
      </c>
      <c r="D633" t="s">
        <v>126</v>
      </c>
      <c r="E633">
        <v>7</v>
      </c>
      <c r="F633">
        <v>1007</v>
      </c>
      <c r="G633" t="s">
        <v>127</v>
      </c>
      <c r="J633" t="s">
        <v>128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298"/>
        <v>14:42:05.953</v>
      </c>
      <c r="T633" t="str">
        <f t="shared" si="299"/>
        <v>14:42:05.153</v>
      </c>
      <c r="U633" t="str">
        <f t="shared" si="277"/>
        <v>A9808D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269</v>
      </c>
      <c r="AJ633">
        <v>28.255913</v>
      </c>
      <c r="AK633" t="s">
        <v>148</v>
      </c>
      <c r="AL633">
        <v>-82.380874000000006</v>
      </c>
      <c r="AM633">
        <v>100</v>
      </c>
      <c r="AN633">
        <v>800</v>
      </c>
      <c r="AO633" t="s">
        <v>118</v>
      </c>
      <c r="AP633">
        <v>10</v>
      </c>
      <c r="AQ633">
        <v>89</v>
      </c>
      <c r="AR633">
        <v>640</v>
      </c>
      <c r="AZ633">
        <v>1200</v>
      </c>
      <c r="BA633">
        <v>1</v>
      </c>
      <c r="BB633" t="str">
        <f t="shared" si="285"/>
        <v xml:space="preserve">N711JA  </v>
      </c>
      <c r="BC633">
        <v>1</v>
      </c>
      <c r="BE633">
        <v>0</v>
      </c>
      <c r="BF633">
        <v>0</v>
      </c>
      <c r="BG633">
        <v>0</v>
      </c>
      <c r="BH633">
        <v>875</v>
      </c>
      <c r="BI633">
        <v>1</v>
      </c>
      <c r="BJ633">
        <v>1</v>
      </c>
      <c r="BK633">
        <v>0</v>
      </c>
      <c r="BL633">
        <v>0</v>
      </c>
      <c r="BO633">
        <v>0</v>
      </c>
      <c r="BP633">
        <v>0</v>
      </c>
      <c r="BW633" t="str">
        <f t="shared" si="300"/>
        <v>14:42:05.956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343</v>
      </c>
      <c r="CR633">
        <v>0</v>
      </c>
      <c r="CW633">
        <v>5644079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297"/>
        <v>05/12/2020 14:41:48.116</v>
      </c>
      <c r="C634" t="str">
        <f t="shared" si="284"/>
        <v>FFDFD3C0</v>
      </c>
      <c r="D634" t="s">
        <v>131</v>
      </c>
      <c r="E634">
        <v>10</v>
      </c>
      <c r="F634">
        <v>2010</v>
      </c>
      <c r="G634" t="s">
        <v>132</v>
      </c>
      <c r="J634" t="s">
        <v>133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298"/>
        <v>14:42:05.953</v>
      </c>
      <c r="T634" t="str">
        <f t="shared" si="299"/>
        <v>14:42:05.153</v>
      </c>
      <c r="U634" t="str">
        <f t="shared" si="277"/>
        <v>A9808D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269</v>
      </c>
      <c r="AJ634">
        <v>28.255913</v>
      </c>
      <c r="AK634" t="s">
        <v>148</v>
      </c>
      <c r="AL634">
        <v>-82.380874000000006</v>
      </c>
      <c r="AM634">
        <v>100</v>
      </c>
      <c r="AN634">
        <v>800</v>
      </c>
      <c r="AO634" t="s">
        <v>118</v>
      </c>
      <c r="AP634">
        <v>10</v>
      </c>
      <c r="AQ634">
        <v>89</v>
      </c>
      <c r="AR634">
        <v>640</v>
      </c>
      <c r="AZ634">
        <v>1200</v>
      </c>
      <c r="BA634">
        <v>1</v>
      </c>
      <c r="BB634" t="str">
        <f t="shared" si="285"/>
        <v xml:space="preserve">N711JA  </v>
      </c>
      <c r="BC634">
        <v>1</v>
      </c>
      <c r="BE634">
        <v>0</v>
      </c>
      <c r="BF634">
        <v>0</v>
      </c>
      <c r="BG634">
        <v>0</v>
      </c>
      <c r="BH634">
        <v>875</v>
      </c>
      <c r="BI634">
        <v>1</v>
      </c>
      <c r="BJ634">
        <v>1</v>
      </c>
      <c r="BK634">
        <v>0</v>
      </c>
      <c r="BL634">
        <v>0</v>
      </c>
      <c r="BO634">
        <v>0</v>
      </c>
      <c r="BP634">
        <v>0</v>
      </c>
      <c r="BW634" t="str">
        <f t="shared" si="300"/>
        <v>14:42:05.956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343</v>
      </c>
      <c r="CR634">
        <v>0</v>
      </c>
      <c r="CW634">
        <v>5644079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297"/>
        <v>05/12/2020 14:41:48.116</v>
      </c>
      <c r="C635" t="str">
        <f t="shared" si="284"/>
        <v>FFDFD3C0</v>
      </c>
      <c r="D635" t="s">
        <v>131</v>
      </c>
      <c r="E635">
        <v>12</v>
      </c>
      <c r="F635">
        <v>2012</v>
      </c>
      <c r="G635" t="s">
        <v>137</v>
      </c>
      <c r="J635" t="s">
        <v>133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298"/>
        <v>14:42:05.953</v>
      </c>
      <c r="T635" t="str">
        <f t="shared" si="299"/>
        <v>14:42:05.153</v>
      </c>
      <c r="U635" t="str">
        <f t="shared" si="277"/>
        <v>A9808D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269</v>
      </c>
      <c r="AJ635">
        <v>28.255913</v>
      </c>
      <c r="AK635" t="s">
        <v>148</v>
      </c>
      <c r="AL635">
        <v>-82.380874000000006</v>
      </c>
      <c r="AM635">
        <v>100</v>
      </c>
      <c r="AN635">
        <v>800</v>
      </c>
      <c r="AO635" t="s">
        <v>118</v>
      </c>
      <c r="AP635">
        <v>10</v>
      </c>
      <c r="AQ635">
        <v>89</v>
      </c>
      <c r="AR635">
        <v>640</v>
      </c>
      <c r="AZ635">
        <v>1200</v>
      </c>
      <c r="BA635">
        <v>1</v>
      </c>
      <c r="BB635" t="str">
        <f t="shared" si="285"/>
        <v xml:space="preserve">N711JA  </v>
      </c>
      <c r="BC635">
        <v>1</v>
      </c>
      <c r="BE635">
        <v>0</v>
      </c>
      <c r="BF635">
        <v>0</v>
      </c>
      <c r="BG635">
        <v>0</v>
      </c>
      <c r="BH635">
        <v>875</v>
      </c>
      <c r="BI635">
        <v>1</v>
      </c>
      <c r="BJ635">
        <v>1</v>
      </c>
      <c r="BK635">
        <v>0</v>
      </c>
      <c r="BL635">
        <v>0</v>
      </c>
      <c r="BO635">
        <v>0</v>
      </c>
      <c r="BP635">
        <v>0</v>
      </c>
      <c r="BW635" t="str">
        <f t="shared" si="300"/>
        <v>14:42:05.956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343</v>
      </c>
      <c r="CR635">
        <v>0</v>
      </c>
      <c r="CW635">
        <v>5644079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297"/>
        <v>05/12/2020 14:41:48.116</v>
      </c>
      <c r="C636" t="str">
        <f t="shared" si="284"/>
        <v>FFDFD3C0</v>
      </c>
      <c r="D636" t="s">
        <v>113</v>
      </c>
      <c r="E636">
        <v>3</v>
      </c>
      <c r="H636">
        <v>164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298"/>
        <v>14:42:05.953</v>
      </c>
      <c r="T636" t="str">
        <f t="shared" si="299"/>
        <v>14:42:05.153</v>
      </c>
      <c r="U636" t="str">
        <f t="shared" si="277"/>
        <v>A9808D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269</v>
      </c>
      <c r="AJ636">
        <v>28.255913</v>
      </c>
      <c r="AK636" t="s">
        <v>148</v>
      </c>
      <c r="AL636">
        <v>-82.380874000000006</v>
      </c>
      <c r="AM636">
        <v>100</v>
      </c>
      <c r="AN636">
        <v>800</v>
      </c>
      <c r="AO636" t="s">
        <v>118</v>
      </c>
      <c r="AP636">
        <v>10</v>
      </c>
      <c r="AQ636">
        <v>89</v>
      </c>
      <c r="AR636">
        <v>640</v>
      </c>
      <c r="AZ636">
        <v>1200</v>
      </c>
      <c r="BA636">
        <v>1</v>
      </c>
      <c r="BB636" t="str">
        <f t="shared" si="285"/>
        <v xml:space="preserve">N711JA  </v>
      </c>
      <c r="BC636">
        <v>1</v>
      </c>
      <c r="BE636">
        <v>0</v>
      </c>
      <c r="BF636">
        <v>0</v>
      </c>
      <c r="BG636">
        <v>0</v>
      </c>
      <c r="BH636">
        <v>875</v>
      </c>
      <c r="BI636">
        <v>1</v>
      </c>
      <c r="BJ636">
        <v>1</v>
      </c>
      <c r="BK636">
        <v>0</v>
      </c>
      <c r="BL636">
        <v>0</v>
      </c>
      <c r="BO636">
        <v>0</v>
      </c>
      <c r="BP636">
        <v>0</v>
      </c>
      <c r="BW636" t="str">
        <f t="shared" si="300"/>
        <v>14:42:05.956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343</v>
      </c>
      <c r="CR636">
        <v>0</v>
      </c>
      <c r="CW636">
        <v>5644079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ref="A637:A645" si="301">"05/12/2020 14:41:49.171"</f>
        <v>05/12/2020 14:41:49.171</v>
      </c>
      <c r="C637" t="str">
        <f t="shared" si="284"/>
        <v>FFDFD3C0</v>
      </c>
      <c r="D637" t="s">
        <v>126</v>
      </c>
      <c r="E637">
        <v>7</v>
      </c>
      <c r="F637">
        <v>1007</v>
      </c>
      <c r="G637" t="s">
        <v>127</v>
      </c>
      <c r="J637" t="s">
        <v>128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S645" si="302">"14:42:06.984"</f>
        <v>14:42:06.984</v>
      </c>
      <c r="T637" t="str">
        <f t="shared" ref="T637:T645" si="303">"14:42:06.784"</f>
        <v>14:42:06.784</v>
      </c>
      <c r="U637" t="str">
        <f t="shared" si="277"/>
        <v>A9808D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270</v>
      </c>
      <c r="AJ637">
        <v>28.256364000000001</v>
      </c>
      <c r="AK637" t="s">
        <v>271</v>
      </c>
      <c r="AL637">
        <v>-82.380809999999997</v>
      </c>
      <c r="AM637">
        <v>100</v>
      </c>
      <c r="AN637">
        <v>800</v>
      </c>
      <c r="AO637" t="s">
        <v>118</v>
      </c>
      <c r="AP637">
        <v>10</v>
      </c>
      <c r="AQ637">
        <v>88</v>
      </c>
      <c r="AR637">
        <v>640</v>
      </c>
      <c r="AZ637">
        <v>1200</v>
      </c>
      <c r="BA637">
        <v>1</v>
      </c>
      <c r="BB637" t="str">
        <f t="shared" si="285"/>
        <v xml:space="preserve">N711JA  </v>
      </c>
      <c r="BC637">
        <v>1</v>
      </c>
      <c r="BE637">
        <v>0</v>
      </c>
      <c r="BF637">
        <v>0</v>
      </c>
      <c r="BG637">
        <v>0</v>
      </c>
      <c r="BH637">
        <v>875</v>
      </c>
      <c r="BI637">
        <v>1</v>
      </c>
      <c r="BJ637">
        <v>1</v>
      </c>
      <c r="BK637">
        <v>0</v>
      </c>
      <c r="BL637">
        <v>0</v>
      </c>
      <c r="BO637">
        <v>0</v>
      </c>
      <c r="BP637">
        <v>0</v>
      </c>
      <c r="BW637" t="str">
        <f t="shared" ref="BW637:BW645" si="304">"14:42:06.990"</f>
        <v>14:42:06.990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343</v>
      </c>
      <c r="CR637">
        <v>2</v>
      </c>
      <c r="CW637">
        <v>12985924</v>
      </c>
      <c r="CY637">
        <v>1</v>
      </c>
      <c r="CZ637">
        <v>0</v>
      </c>
      <c r="DA637">
        <v>0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si="301"/>
        <v>05/12/2020 14:41:49.171</v>
      </c>
      <c r="C638" t="str">
        <f t="shared" si="284"/>
        <v>FFDFD3C0</v>
      </c>
      <c r="D638" t="s">
        <v>131</v>
      </c>
      <c r="E638">
        <v>12</v>
      </c>
      <c r="F638">
        <v>2012</v>
      </c>
      <c r="G638" t="s">
        <v>137</v>
      </c>
      <c r="J638" t="s">
        <v>133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302"/>
        <v>14:42:06.984</v>
      </c>
      <c r="T638" t="str">
        <f t="shared" si="303"/>
        <v>14:42:06.784</v>
      </c>
      <c r="U638" t="str">
        <f t="shared" si="277"/>
        <v>A9808D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270</v>
      </c>
      <c r="AJ638">
        <v>28.256364000000001</v>
      </c>
      <c r="AK638" t="s">
        <v>271</v>
      </c>
      <c r="AL638">
        <v>-82.380809999999997</v>
      </c>
      <c r="AM638">
        <v>100</v>
      </c>
      <c r="AN638">
        <v>800</v>
      </c>
      <c r="AO638" t="s">
        <v>118</v>
      </c>
      <c r="AP638">
        <v>10</v>
      </c>
      <c r="AQ638">
        <v>88</v>
      </c>
      <c r="AR638">
        <v>640</v>
      </c>
      <c r="AZ638">
        <v>1200</v>
      </c>
      <c r="BA638">
        <v>1</v>
      </c>
      <c r="BB638" t="str">
        <f t="shared" si="285"/>
        <v xml:space="preserve">N711JA  </v>
      </c>
      <c r="BC638">
        <v>1</v>
      </c>
      <c r="BE638">
        <v>0</v>
      </c>
      <c r="BF638">
        <v>0</v>
      </c>
      <c r="BG638">
        <v>0</v>
      </c>
      <c r="BH638">
        <v>875</v>
      </c>
      <c r="BI638">
        <v>1</v>
      </c>
      <c r="BJ638">
        <v>1</v>
      </c>
      <c r="BK638">
        <v>0</v>
      </c>
      <c r="BL638">
        <v>0</v>
      </c>
      <c r="BO638">
        <v>0</v>
      </c>
      <c r="BP638">
        <v>0</v>
      </c>
      <c r="BW638" t="str">
        <f t="shared" si="304"/>
        <v>14:42:06.990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343</v>
      </c>
      <c r="CR638">
        <v>2</v>
      </c>
      <c r="CW638">
        <v>12985924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301"/>
        <v>05/12/2020 14:41:49.171</v>
      </c>
      <c r="C639" t="str">
        <f t="shared" si="284"/>
        <v>FFDFD3C0</v>
      </c>
      <c r="D639" t="s">
        <v>131</v>
      </c>
      <c r="E639">
        <v>10</v>
      </c>
      <c r="F639">
        <v>2010</v>
      </c>
      <c r="G639" t="s">
        <v>132</v>
      </c>
      <c r="J639" t="s">
        <v>133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02"/>
        <v>14:42:06.984</v>
      </c>
      <c r="T639" t="str">
        <f t="shared" si="303"/>
        <v>14:42:06.784</v>
      </c>
      <c r="U639" t="str">
        <f t="shared" si="277"/>
        <v>A9808D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270</v>
      </c>
      <c r="AJ639">
        <v>28.256364000000001</v>
      </c>
      <c r="AK639" t="s">
        <v>271</v>
      </c>
      <c r="AL639">
        <v>-82.380809999999997</v>
      </c>
      <c r="AM639">
        <v>100</v>
      </c>
      <c r="AN639">
        <v>800</v>
      </c>
      <c r="AO639" t="s">
        <v>118</v>
      </c>
      <c r="AP639">
        <v>10</v>
      </c>
      <c r="AQ639">
        <v>88</v>
      </c>
      <c r="AR639">
        <v>640</v>
      </c>
      <c r="AZ639">
        <v>1200</v>
      </c>
      <c r="BA639">
        <v>1</v>
      </c>
      <c r="BB639" t="str">
        <f t="shared" si="285"/>
        <v xml:space="preserve">N711JA  </v>
      </c>
      <c r="BC639">
        <v>1</v>
      </c>
      <c r="BE639">
        <v>0</v>
      </c>
      <c r="BF639">
        <v>0</v>
      </c>
      <c r="BG639">
        <v>0</v>
      </c>
      <c r="BH639">
        <v>875</v>
      </c>
      <c r="BI639">
        <v>1</v>
      </c>
      <c r="BJ639">
        <v>1</v>
      </c>
      <c r="BK639">
        <v>0</v>
      </c>
      <c r="BL639">
        <v>0</v>
      </c>
      <c r="BO639">
        <v>0</v>
      </c>
      <c r="BP639">
        <v>0</v>
      </c>
      <c r="BW639" t="str">
        <f t="shared" si="304"/>
        <v>14:42:06.990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343</v>
      </c>
      <c r="CR639">
        <v>2</v>
      </c>
      <c r="CW639">
        <v>12985924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301"/>
        <v>05/12/2020 14:41:49.171</v>
      </c>
      <c r="C640" t="str">
        <f t="shared" si="284"/>
        <v>FFDFD3C0</v>
      </c>
      <c r="D640" t="s">
        <v>131</v>
      </c>
      <c r="E640">
        <v>18</v>
      </c>
      <c r="F640">
        <v>2018</v>
      </c>
      <c r="G640" t="s">
        <v>161</v>
      </c>
      <c r="J640" t="s">
        <v>133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02"/>
        <v>14:42:06.984</v>
      </c>
      <c r="T640" t="str">
        <f t="shared" si="303"/>
        <v>14:42:06.784</v>
      </c>
      <c r="U640" t="str">
        <f t="shared" si="277"/>
        <v>A9808D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270</v>
      </c>
      <c r="AJ640">
        <v>28.256364000000001</v>
      </c>
      <c r="AK640" t="s">
        <v>271</v>
      </c>
      <c r="AL640">
        <v>-82.380809999999997</v>
      </c>
      <c r="AM640">
        <v>100</v>
      </c>
      <c r="AN640">
        <v>800</v>
      </c>
      <c r="AO640" t="s">
        <v>118</v>
      </c>
      <c r="AP640">
        <v>10</v>
      </c>
      <c r="AQ640">
        <v>88</v>
      </c>
      <c r="AR640">
        <v>640</v>
      </c>
      <c r="AZ640">
        <v>1200</v>
      </c>
      <c r="BA640">
        <v>1</v>
      </c>
      <c r="BB640" t="str">
        <f t="shared" si="285"/>
        <v xml:space="preserve">N711JA  </v>
      </c>
      <c r="BC640">
        <v>1</v>
      </c>
      <c r="BE640">
        <v>0</v>
      </c>
      <c r="BF640">
        <v>0</v>
      </c>
      <c r="BG640">
        <v>0</v>
      </c>
      <c r="BH640">
        <v>875</v>
      </c>
      <c r="BI640">
        <v>1</v>
      </c>
      <c r="BJ640">
        <v>1</v>
      </c>
      <c r="BK640">
        <v>0</v>
      </c>
      <c r="BL640">
        <v>0</v>
      </c>
      <c r="BO640">
        <v>0</v>
      </c>
      <c r="BP640">
        <v>0</v>
      </c>
      <c r="BW640" t="str">
        <f t="shared" si="304"/>
        <v>14:42:06.990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343</v>
      </c>
      <c r="CR640">
        <v>2</v>
      </c>
      <c r="CW640">
        <v>12985924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301"/>
        <v>05/12/2020 14:41:49.171</v>
      </c>
      <c r="C641" t="str">
        <f t="shared" si="284"/>
        <v>FFDFD3C0</v>
      </c>
      <c r="D641" t="s">
        <v>113</v>
      </c>
      <c r="E641">
        <v>3</v>
      </c>
      <c r="H641">
        <v>164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02"/>
        <v>14:42:06.984</v>
      </c>
      <c r="T641" t="str">
        <f t="shared" si="303"/>
        <v>14:42:06.784</v>
      </c>
      <c r="U641" t="str">
        <f t="shared" si="277"/>
        <v>A9808D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270</v>
      </c>
      <c r="AJ641">
        <v>28.256364000000001</v>
      </c>
      <c r="AK641" t="s">
        <v>271</v>
      </c>
      <c r="AL641">
        <v>-82.380809999999997</v>
      </c>
      <c r="AM641">
        <v>100</v>
      </c>
      <c r="AN641">
        <v>800</v>
      </c>
      <c r="AO641" t="s">
        <v>118</v>
      </c>
      <c r="AP641">
        <v>10</v>
      </c>
      <c r="AQ641">
        <v>88</v>
      </c>
      <c r="AR641">
        <v>640</v>
      </c>
      <c r="AZ641">
        <v>1200</v>
      </c>
      <c r="BA641">
        <v>1</v>
      </c>
      <c r="BB641" t="str">
        <f t="shared" si="285"/>
        <v xml:space="preserve">N711JA  </v>
      </c>
      <c r="BC641">
        <v>1</v>
      </c>
      <c r="BE641">
        <v>0</v>
      </c>
      <c r="BF641">
        <v>0</v>
      </c>
      <c r="BG641">
        <v>0</v>
      </c>
      <c r="BH641">
        <v>875</v>
      </c>
      <c r="BI641">
        <v>1</v>
      </c>
      <c r="BJ641">
        <v>1</v>
      </c>
      <c r="BK641">
        <v>0</v>
      </c>
      <c r="BL641">
        <v>0</v>
      </c>
      <c r="BO641">
        <v>0</v>
      </c>
      <c r="BP641">
        <v>0</v>
      </c>
      <c r="BW641" t="str">
        <f t="shared" si="304"/>
        <v>14:42:06.990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343</v>
      </c>
      <c r="CR641">
        <v>2</v>
      </c>
      <c r="CW641">
        <v>12985924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301"/>
        <v>05/12/2020 14:41:49.171</v>
      </c>
      <c r="C642" t="str">
        <f t="shared" si="284"/>
        <v>FFDFD3C0</v>
      </c>
      <c r="D642" t="s">
        <v>138</v>
      </c>
      <c r="E642">
        <v>2</v>
      </c>
      <c r="H642">
        <v>8</v>
      </c>
      <c r="I642" t="s">
        <v>139</v>
      </c>
      <c r="J642" t="s">
        <v>136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02"/>
        <v>14:42:06.984</v>
      </c>
      <c r="T642" t="str">
        <f t="shared" si="303"/>
        <v>14:42:06.784</v>
      </c>
      <c r="U642" t="str">
        <f t="shared" ref="U642:U705" si="305">"A9808D"</f>
        <v>A9808D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270</v>
      </c>
      <c r="AJ642">
        <v>28.256364000000001</v>
      </c>
      <c r="AK642" t="s">
        <v>271</v>
      </c>
      <c r="AL642">
        <v>-82.380809999999997</v>
      </c>
      <c r="AM642">
        <v>100</v>
      </c>
      <c r="AN642">
        <v>800</v>
      </c>
      <c r="AO642" t="s">
        <v>118</v>
      </c>
      <c r="AP642">
        <v>10</v>
      </c>
      <c r="AQ642">
        <v>88</v>
      </c>
      <c r="AR642">
        <v>640</v>
      </c>
      <c r="AZ642">
        <v>1200</v>
      </c>
      <c r="BA642">
        <v>1</v>
      </c>
      <c r="BB642" t="str">
        <f t="shared" si="285"/>
        <v xml:space="preserve">N711JA  </v>
      </c>
      <c r="BC642">
        <v>1</v>
      </c>
      <c r="BE642">
        <v>0</v>
      </c>
      <c r="BF642">
        <v>0</v>
      </c>
      <c r="BG642">
        <v>0</v>
      </c>
      <c r="BH642">
        <v>875</v>
      </c>
      <c r="BI642">
        <v>1</v>
      </c>
      <c r="BJ642">
        <v>1</v>
      </c>
      <c r="BK642">
        <v>0</v>
      </c>
      <c r="BL642">
        <v>0</v>
      </c>
      <c r="BO642">
        <v>0</v>
      </c>
      <c r="BP642">
        <v>0</v>
      </c>
      <c r="BW642" t="str">
        <f t="shared" si="304"/>
        <v>14:42:06.990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343</v>
      </c>
      <c r="CR642">
        <v>2</v>
      </c>
      <c r="CW642">
        <v>12985924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si="301"/>
        <v>05/12/2020 14:41:49.171</v>
      </c>
      <c r="C643" t="str">
        <f t="shared" si="284"/>
        <v>FFDFD3C0</v>
      </c>
      <c r="D643" t="s">
        <v>138</v>
      </c>
      <c r="E643">
        <v>3</v>
      </c>
      <c r="H643">
        <v>9</v>
      </c>
      <c r="I643" t="s">
        <v>140</v>
      </c>
      <c r="J643" t="s">
        <v>136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02"/>
        <v>14:42:06.984</v>
      </c>
      <c r="T643" t="str">
        <f t="shared" si="303"/>
        <v>14:42:06.784</v>
      </c>
      <c r="U643" t="str">
        <f t="shared" si="305"/>
        <v>A9808D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270</v>
      </c>
      <c r="AJ643">
        <v>28.256364000000001</v>
      </c>
      <c r="AK643" t="s">
        <v>271</v>
      </c>
      <c r="AL643">
        <v>-82.380809999999997</v>
      </c>
      <c r="AM643">
        <v>100</v>
      </c>
      <c r="AN643">
        <v>800</v>
      </c>
      <c r="AO643" t="s">
        <v>118</v>
      </c>
      <c r="AP643">
        <v>10</v>
      </c>
      <c r="AQ643">
        <v>88</v>
      </c>
      <c r="AR643">
        <v>640</v>
      </c>
      <c r="AZ643">
        <v>1200</v>
      </c>
      <c r="BA643">
        <v>1</v>
      </c>
      <c r="BB643" t="str">
        <f t="shared" si="285"/>
        <v xml:space="preserve">N711JA  </v>
      </c>
      <c r="BC643">
        <v>1</v>
      </c>
      <c r="BE643">
        <v>0</v>
      </c>
      <c r="BF643">
        <v>0</v>
      </c>
      <c r="BG643">
        <v>0</v>
      </c>
      <c r="BH643">
        <v>875</v>
      </c>
      <c r="BI643">
        <v>1</v>
      </c>
      <c r="BJ643">
        <v>1</v>
      </c>
      <c r="BK643">
        <v>0</v>
      </c>
      <c r="BL643">
        <v>0</v>
      </c>
      <c r="BO643">
        <v>0</v>
      </c>
      <c r="BP643">
        <v>0</v>
      </c>
      <c r="BW643" t="str">
        <f t="shared" si="304"/>
        <v>14:42:06.990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343</v>
      </c>
      <c r="CR643">
        <v>2</v>
      </c>
      <c r="CW643">
        <v>12985924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 t="shared" si="301"/>
        <v>05/12/2020 14:41:49.171</v>
      </c>
      <c r="C644" t="str">
        <f t="shared" si="284"/>
        <v>FFDFD3C0</v>
      </c>
      <c r="D644" t="s">
        <v>126</v>
      </c>
      <c r="E644">
        <v>6</v>
      </c>
      <c r="F644">
        <v>1006</v>
      </c>
      <c r="G644" t="s">
        <v>114</v>
      </c>
      <c r="J644" t="s">
        <v>128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302"/>
        <v>14:42:06.984</v>
      </c>
      <c r="T644" t="str">
        <f t="shared" si="303"/>
        <v>14:42:06.784</v>
      </c>
      <c r="U644" t="str">
        <f t="shared" si="305"/>
        <v>A9808D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270</v>
      </c>
      <c r="AJ644">
        <v>28.256364000000001</v>
      </c>
      <c r="AK644" t="s">
        <v>271</v>
      </c>
      <c r="AL644">
        <v>-82.380809999999997</v>
      </c>
      <c r="AM644">
        <v>100</v>
      </c>
      <c r="AN644">
        <v>800</v>
      </c>
      <c r="AO644" t="s">
        <v>118</v>
      </c>
      <c r="AP644">
        <v>10</v>
      </c>
      <c r="AQ644">
        <v>88</v>
      </c>
      <c r="AR644">
        <v>640</v>
      </c>
      <c r="AZ644">
        <v>1200</v>
      </c>
      <c r="BA644">
        <v>1</v>
      </c>
      <c r="BB644" t="str">
        <f t="shared" si="285"/>
        <v xml:space="preserve">N711JA  </v>
      </c>
      <c r="BC644">
        <v>1</v>
      </c>
      <c r="BE644">
        <v>0</v>
      </c>
      <c r="BF644">
        <v>0</v>
      </c>
      <c r="BG644">
        <v>0</v>
      </c>
      <c r="BH644">
        <v>875</v>
      </c>
      <c r="BI644">
        <v>1</v>
      </c>
      <c r="BJ644">
        <v>1</v>
      </c>
      <c r="BK644">
        <v>0</v>
      </c>
      <c r="BL644">
        <v>0</v>
      </c>
      <c r="BO644">
        <v>0</v>
      </c>
      <c r="BP644">
        <v>0</v>
      </c>
      <c r="BW644" t="str">
        <f t="shared" si="304"/>
        <v>14:42:06.990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343</v>
      </c>
      <c r="CR644">
        <v>2</v>
      </c>
      <c r="CW644">
        <v>12985924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 t="shared" si="301"/>
        <v>05/12/2020 14:41:49.171</v>
      </c>
      <c r="C645" t="str">
        <f t="shared" si="284"/>
        <v>FFDFD3C0</v>
      </c>
      <c r="D645" t="s">
        <v>134</v>
      </c>
      <c r="E645">
        <v>12</v>
      </c>
      <c r="H645">
        <v>64</v>
      </c>
      <c r="I645" t="s">
        <v>135</v>
      </c>
      <c r="J645" t="s">
        <v>136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02"/>
        <v>14:42:06.984</v>
      </c>
      <c r="T645" t="str">
        <f t="shared" si="303"/>
        <v>14:42:06.784</v>
      </c>
      <c r="U645" t="str">
        <f t="shared" si="305"/>
        <v>A9808D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270</v>
      </c>
      <c r="AJ645">
        <v>28.256364000000001</v>
      </c>
      <c r="AK645" t="s">
        <v>271</v>
      </c>
      <c r="AL645">
        <v>-82.380809999999997</v>
      </c>
      <c r="AM645">
        <v>100</v>
      </c>
      <c r="AN645">
        <v>800</v>
      </c>
      <c r="AO645" t="s">
        <v>118</v>
      </c>
      <c r="AP645">
        <v>10</v>
      </c>
      <c r="AQ645">
        <v>88</v>
      </c>
      <c r="AR645">
        <v>640</v>
      </c>
      <c r="AZ645">
        <v>1200</v>
      </c>
      <c r="BA645">
        <v>1</v>
      </c>
      <c r="BB645" t="str">
        <f t="shared" si="285"/>
        <v xml:space="preserve">N711JA  </v>
      </c>
      <c r="BC645">
        <v>1</v>
      </c>
      <c r="BE645">
        <v>0</v>
      </c>
      <c r="BF645">
        <v>0</v>
      </c>
      <c r="BG645">
        <v>0</v>
      </c>
      <c r="BH645">
        <v>875</v>
      </c>
      <c r="BI645">
        <v>1</v>
      </c>
      <c r="BJ645">
        <v>1</v>
      </c>
      <c r="BK645">
        <v>0</v>
      </c>
      <c r="BL645">
        <v>0</v>
      </c>
      <c r="BO645">
        <v>0</v>
      </c>
      <c r="BP645">
        <v>0</v>
      </c>
      <c r="BW645" t="str">
        <f t="shared" si="304"/>
        <v>14:42:06.990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343</v>
      </c>
      <c r="CR645">
        <v>2</v>
      </c>
      <c r="CW645">
        <v>12985924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 t="shared" ref="A646:A654" si="306">"05/12/2020 14:41:50.249"</f>
        <v>05/12/2020 14:41:50.249</v>
      </c>
      <c r="C646" t="str">
        <f t="shared" si="284"/>
        <v>FFDFD3C0</v>
      </c>
      <c r="D646" t="s">
        <v>138</v>
      </c>
      <c r="E646">
        <v>3</v>
      </c>
      <c r="H646">
        <v>9</v>
      </c>
      <c r="I646" t="s">
        <v>140</v>
      </c>
      <c r="J646" t="s">
        <v>136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ref="S646:S654" si="307">"14:42:08.086"</f>
        <v>14:42:08.086</v>
      </c>
      <c r="T646" t="str">
        <f t="shared" ref="T646:T654" si="308">"14:42:07.786"</f>
        <v>14:42:07.786</v>
      </c>
      <c r="U646" t="str">
        <f t="shared" si="305"/>
        <v>A9808D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272</v>
      </c>
      <c r="AJ646">
        <v>28.256836</v>
      </c>
      <c r="AK646" t="s">
        <v>273</v>
      </c>
      <c r="AL646">
        <v>-82.380767000000006</v>
      </c>
      <c r="AM646">
        <v>100</v>
      </c>
      <c r="AN646">
        <v>800</v>
      </c>
      <c r="AO646" t="s">
        <v>118</v>
      </c>
      <c r="AP646">
        <v>9</v>
      </c>
      <c r="AQ646">
        <v>88</v>
      </c>
      <c r="AR646">
        <v>576</v>
      </c>
      <c r="AZ646">
        <v>1200</v>
      </c>
      <c r="BA646">
        <v>1</v>
      </c>
      <c r="BB646" t="str">
        <f t="shared" si="285"/>
        <v xml:space="preserve">N711JA  </v>
      </c>
      <c r="BC646">
        <v>1</v>
      </c>
      <c r="BE646">
        <v>0</v>
      </c>
      <c r="BF646">
        <v>0</v>
      </c>
      <c r="BG646">
        <v>0</v>
      </c>
      <c r="BH646">
        <v>900</v>
      </c>
      <c r="BI646">
        <v>1</v>
      </c>
      <c r="BJ646">
        <v>1</v>
      </c>
      <c r="BK646">
        <v>0</v>
      </c>
      <c r="BL646">
        <v>0</v>
      </c>
      <c r="BO646">
        <v>0</v>
      </c>
      <c r="BP646">
        <v>0</v>
      </c>
      <c r="BW646" t="str">
        <f t="shared" ref="BW646:BW654" si="309">"14:42:08.090"</f>
        <v>14:42:08.090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343</v>
      </c>
      <c r="CR646">
        <v>1</v>
      </c>
      <c r="CW646">
        <v>10578373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 t="shared" si="306"/>
        <v>05/12/2020 14:41:50.249</v>
      </c>
      <c r="C647" t="str">
        <f t="shared" si="284"/>
        <v>FFDFD3C0</v>
      </c>
      <c r="D647" t="s">
        <v>138</v>
      </c>
      <c r="E647">
        <v>2</v>
      </c>
      <c r="H647">
        <v>8</v>
      </c>
      <c r="I647" t="s">
        <v>139</v>
      </c>
      <c r="J647" t="s">
        <v>136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07"/>
        <v>14:42:08.086</v>
      </c>
      <c r="T647" t="str">
        <f t="shared" si="308"/>
        <v>14:42:07.786</v>
      </c>
      <c r="U647" t="str">
        <f t="shared" si="305"/>
        <v>A9808D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272</v>
      </c>
      <c r="AJ647">
        <v>28.256836</v>
      </c>
      <c r="AK647" t="s">
        <v>273</v>
      </c>
      <c r="AL647">
        <v>-82.380767000000006</v>
      </c>
      <c r="AM647">
        <v>100</v>
      </c>
      <c r="AN647">
        <v>800</v>
      </c>
      <c r="AO647" t="s">
        <v>118</v>
      </c>
      <c r="AP647">
        <v>9</v>
      </c>
      <c r="AQ647">
        <v>88</v>
      </c>
      <c r="AR647">
        <v>576</v>
      </c>
      <c r="AZ647">
        <v>1200</v>
      </c>
      <c r="BA647">
        <v>1</v>
      </c>
      <c r="BB647" t="str">
        <f t="shared" si="285"/>
        <v xml:space="preserve">N711JA  </v>
      </c>
      <c r="BC647">
        <v>1</v>
      </c>
      <c r="BE647">
        <v>0</v>
      </c>
      <c r="BF647">
        <v>0</v>
      </c>
      <c r="BG647">
        <v>0</v>
      </c>
      <c r="BH647">
        <v>900</v>
      </c>
      <c r="BI647">
        <v>1</v>
      </c>
      <c r="BJ647">
        <v>1</v>
      </c>
      <c r="BK647">
        <v>0</v>
      </c>
      <c r="BL647">
        <v>0</v>
      </c>
      <c r="BO647">
        <v>0</v>
      </c>
      <c r="BP647">
        <v>0</v>
      </c>
      <c r="BW647" t="str">
        <f t="shared" si="309"/>
        <v>14:42:08.090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343</v>
      </c>
      <c r="CR647">
        <v>1</v>
      </c>
      <c r="CW647">
        <v>10578373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 t="shared" si="306"/>
        <v>05/12/2020 14:41:50.249</v>
      </c>
      <c r="C648" t="str">
        <f t="shared" si="284"/>
        <v>FFDFD3C0</v>
      </c>
      <c r="D648" t="s">
        <v>126</v>
      </c>
      <c r="E648">
        <v>6</v>
      </c>
      <c r="F648">
        <v>1006</v>
      </c>
      <c r="G648" t="s">
        <v>114</v>
      </c>
      <c r="J648" t="s">
        <v>128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07"/>
        <v>14:42:08.086</v>
      </c>
      <c r="T648" t="str">
        <f t="shared" si="308"/>
        <v>14:42:07.786</v>
      </c>
      <c r="U648" t="str">
        <f t="shared" si="305"/>
        <v>A9808D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272</v>
      </c>
      <c r="AJ648">
        <v>28.256836</v>
      </c>
      <c r="AK648" t="s">
        <v>273</v>
      </c>
      <c r="AL648">
        <v>-82.380767000000006</v>
      </c>
      <c r="AM648">
        <v>100</v>
      </c>
      <c r="AN648">
        <v>800</v>
      </c>
      <c r="AO648" t="s">
        <v>118</v>
      </c>
      <c r="AP648">
        <v>9</v>
      </c>
      <c r="AQ648">
        <v>88</v>
      </c>
      <c r="AR648">
        <v>576</v>
      </c>
      <c r="AZ648">
        <v>1200</v>
      </c>
      <c r="BA648">
        <v>1</v>
      </c>
      <c r="BB648" t="str">
        <f t="shared" si="285"/>
        <v xml:space="preserve">N711JA  </v>
      </c>
      <c r="BC648">
        <v>1</v>
      </c>
      <c r="BE648">
        <v>0</v>
      </c>
      <c r="BF648">
        <v>0</v>
      </c>
      <c r="BG648">
        <v>0</v>
      </c>
      <c r="BH648">
        <v>900</v>
      </c>
      <c r="BI648">
        <v>1</v>
      </c>
      <c r="BJ648">
        <v>1</v>
      </c>
      <c r="BK648">
        <v>0</v>
      </c>
      <c r="BL648">
        <v>0</v>
      </c>
      <c r="BO648">
        <v>0</v>
      </c>
      <c r="BP648">
        <v>0</v>
      </c>
      <c r="BW648" t="str">
        <f t="shared" si="309"/>
        <v>14:42:08.090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343</v>
      </c>
      <c r="CR648">
        <v>1</v>
      </c>
      <c r="CW648">
        <v>10578373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 t="shared" si="306"/>
        <v>05/12/2020 14:41:50.249</v>
      </c>
      <c r="C649" t="str">
        <f t="shared" si="284"/>
        <v>FFDFD3C0</v>
      </c>
      <c r="D649" t="s">
        <v>134</v>
      </c>
      <c r="E649">
        <v>12</v>
      </c>
      <c r="H649">
        <v>64</v>
      </c>
      <c r="I649" t="s">
        <v>135</v>
      </c>
      <c r="J649" t="s">
        <v>136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07"/>
        <v>14:42:08.086</v>
      </c>
      <c r="T649" t="str">
        <f t="shared" si="308"/>
        <v>14:42:07.786</v>
      </c>
      <c r="U649" t="str">
        <f t="shared" si="305"/>
        <v>A9808D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272</v>
      </c>
      <c r="AJ649">
        <v>28.256836</v>
      </c>
      <c r="AK649" t="s">
        <v>273</v>
      </c>
      <c r="AL649">
        <v>-82.380767000000006</v>
      </c>
      <c r="AM649">
        <v>100</v>
      </c>
      <c r="AN649">
        <v>800</v>
      </c>
      <c r="AO649" t="s">
        <v>118</v>
      </c>
      <c r="AP649">
        <v>9</v>
      </c>
      <c r="AQ649">
        <v>88</v>
      </c>
      <c r="AR649">
        <v>576</v>
      </c>
      <c r="AZ649">
        <v>1200</v>
      </c>
      <c r="BA649">
        <v>1</v>
      </c>
      <c r="BB649" t="str">
        <f t="shared" si="285"/>
        <v xml:space="preserve">N711JA  </v>
      </c>
      <c r="BC649">
        <v>1</v>
      </c>
      <c r="BE649">
        <v>0</v>
      </c>
      <c r="BF649">
        <v>0</v>
      </c>
      <c r="BG649">
        <v>0</v>
      </c>
      <c r="BH649">
        <v>900</v>
      </c>
      <c r="BI649">
        <v>1</v>
      </c>
      <c r="BJ649">
        <v>1</v>
      </c>
      <c r="BK649">
        <v>0</v>
      </c>
      <c r="BL649">
        <v>0</v>
      </c>
      <c r="BO649">
        <v>0</v>
      </c>
      <c r="BP649">
        <v>0</v>
      </c>
      <c r="BW649" t="str">
        <f t="shared" si="309"/>
        <v>14:42:08.090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343</v>
      </c>
      <c r="CR649">
        <v>1</v>
      </c>
      <c r="CW649">
        <v>10578373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 t="shared" si="306"/>
        <v>05/12/2020 14:41:50.249</v>
      </c>
      <c r="C650" t="str">
        <f t="shared" si="284"/>
        <v>FFDFD3C0</v>
      </c>
      <c r="D650" t="s">
        <v>126</v>
      </c>
      <c r="E650">
        <v>7</v>
      </c>
      <c r="F650">
        <v>1007</v>
      </c>
      <c r="G650" t="s">
        <v>127</v>
      </c>
      <c r="J650" t="s">
        <v>128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07"/>
        <v>14:42:08.086</v>
      </c>
      <c r="T650" t="str">
        <f t="shared" si="308"/>
        <v>14:42:07.786</v>
      </c>
      <c r="U650" t="str">
        <f t="shared" si="305"/>
        <v>A9808D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272</v>
      </c>
      <c r="AJ650">
        <v>28.256836</v>
      </c>
      <c r="AK650" t="s">
        <v>273</v>
      </c>
      <c r="AL650">
        <v>-82.380767000000006</v>
      </c>
      <c r="AM650">
        <v>100</v>
      </c>
      <c r="AN650">
        <v>800</v>
      </c>
      <c r="AO650" t="s">
        <v>118</v>
      </c>
      <c r="AP650">
        <v>9</v>
      </c>
      <c r="AQ650">
        <v>88</v>
      </c>
      <c r="AR650">
        <v>576</v>
      </c>
      <c r="AZ650">
        <v>1200</v>
      </c>
      <c r="BA650">
        <v>1</v>
      </c>
      <c r="BB650" t="str">
        <f t="shared" si="285"/>
        <v xml:space="preserve">N711JA  </v>
      </c>
      <c r="BC650">
        <v>1</v>
      </c>
      <c r="BE650">
        <v>0</v>
      </c>
      <c r="BF650">
        <v>0</v>
      </c>
      <c r="BG650">
        <v>0</v>
      </c>
      <c r="BH650">
        <v>900</v>
      </c>
      <c r="BI650">
        <v>1</v>
      </c>
      <c r="BJ650">
        <v>1</v>
      </c>
      <c r="BK650">
        <v>0</v>
      </c>
      <c r="BL650">
        <v>0</v>
      </c>
      <c r="BO650">
        <v>0</v>
      </c>
      <c r="BP650">
        <v>0</v>
      </c>
      <c r="BW650" t="str">
        <f t="shared" si="309"/>
        <v>14:42:08.090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343</v>
      </c>
      <c r="CR650">
        <v>1</v>
      </c>
      <c r="CW650">
        <v>10578373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 t="shared" si="306"/>
        <v>05/12/2020 14:41:50.249</v>
      </c>
      <c r="C651" t="str">
        <f t="shared" si="284"/>
        <v>FFDFD3C0</v>
      </c>
      <c r="D651" t="s">
        <v>131</v>
      </c>
      <c r="E651">
        <v>10</v>
      </c>
      <c r="F651">
        <v>2010</v>
      </c>
      <c r="G651" t="s">
        <v>132</v>
      </c>
      <c r="J651" t="s">
        <v>133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07"/>
        <v>14:42:08.086</v>
      </c>
      <c r="T651" t="str">
        <f t="shared" si="308"/>
        <v>14:42:07.786</v>
      </c>
      <c r="U651" t="str">
        <f t="shared" si="305"/>
        <v>A9808D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272</v>
      </c>
      <c r="AJ651">
        <v>28.256836</v>
      </c>
      <c r="AK651" t="s">
        <v>273</v>
      </c>
      <c r="AL651">
        <v>-82.380767000000006</v>
      </c>
      <c r="AM651">
        <v>100</v>
      </c>
      <c r="AN651">
        <v>800</v>
      </c>
      <c r="AO651" t="s">
        <v>118</v>
      </c>
      <c r="AP651">
        <v>9</v>
      </c>
      <c r="AQ651">
        <v>88</v>
      </c>
      <c r="AR651">
        <v>576</v>
      </c>
      <c r="AZ651">
        <v>1200</v>
      </c>
      <c r="BA651">
        <v>1</v>
      </c>
      <c r="BB651" t="str">
        <f t="shared" si="285"/>
        <v xml:space="preserve">N711JA  </v>
      </c>
      <c r="BC651">
        <v>1</v>
      </c>
      <c r="BE651">
        <v>0</v>
      </c>
      <c r="BF651">
        <v>0</v>
      </c>
      <c r="BG651">
        <v>0</v>
      </c>
      <c r="BH651">
        <v>900</v>
      </c>
      <c r="BI651">
        <v>1</v>
      </c>
      <c r="BJ651">
        <v>1</v>
      </c>
      <c r="BK651">
        <v>0</v>
      </c>
      <c r="BL651">
        <v>0</v>
      </c>
      <c r="BO651">
        <v>0</v>
      </c>
      <c r="BP651">
        <v>0</v>
      </c>
      <c r="BW651" t="str">
        <f t="shared" si="309"/>
        <v>14:42:08.090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343</v>
      </c>
      <c r="CR651">
        <v>1</v>
      </c>
      <c r="CW651">
        <v>10578373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si="306"/>
        <v>05/12/2020 14:41:50.249</v>
      </c>
      <c r="C652" t="str">
        <f t="shared" si="284"/>
        <v>FFDFD3C0</v>
      </c>
      <c r="D652" t="s">
        <v>131</v>
      </c>
      <c r="E652">
        <v>12</v>
      </c>
      <c r="F652">
        <v>2012</v>
      </c>
      <c r="G652" t="s">
        <v>137</v>
      </c>
      <c r="J652" t="s">
        <v>133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07"/>
        <v>14:42:08.086</v>
      </c>
      <c r="T652" t="str">
        <f t="shared" si="308"/>
        <v>14:42:07.786</v>
      </c>
      <c r="U652" t="str">
        <f t="shared" si="305"/>
        <v>A9808D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272</v>
      </c>
      <c r="AJ652">
        <v>28.256836</v>
      </c>
      <c r="AK652" t="s">
        <v>273</v>
      </c>
      <c r="AL652">
        <v>-82.380767000000006</v>
      </c>
      <c r="AM652">
        <v>100</v>
      </c>
      <c r="AN652">
        <v>800</v>
      </c>
      <c r="AO652" t="s">
        <v>118</v>
      </c>
      <c r="AP652">
        <v>9</v>
      </c>
      <c r="AQ652">
        <v>88</v>
      </c>
      <c r="AR652">
        <v>576</v>
      </c>
      <c r="AZ652">
        <v>1200</v>
      </c>
      <c r="BA652">
        <v>1</v>
      </c>
      <c r="BB652" t="str">
        <f t="shared" si="285"/>
        <v xml:space="preserve">N711JA  </v>
      </c>
      <c r="BC652">
        <v>1</v>
      </c>
      <c r="BE652">
        <v>0</v>
      </c>
      <c r="BF652">
        <v>0</v>
      </c>
      <c r="BG652">
        <v>0</v>
      </c>
      <c r="BH652">
        <v>900</v>
      </c>
      <c r="BI652">
        <v>1</v>
      </c>
      <c r="BJ652">
        <v>1</v>
      </c>
      <c r="BK652">
        <v>0</v>
      </c>
      <c r="BL652">
        <v>0</v>
      </c>
      <c r="BO652">
        <v>0</v>
      </c>
      <c r="BP652">
        <v>0</v>
      </c>
      <c r="BW652" t="str">
        <f t="shared" si="309"/>
        <v>14:42:08.090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343</v>
      </c>
      <c r="CR652">
        <v>1</v>
      </c>
      <c r="CW652">
        <v>10578373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306"/>
        <v>05/12/2020 14:41:50.249</v>
      </c>
      <c r="C653" t="str">
        <f t="shared" si="284"/>
        <v>FFDFD3C0</v>
      </c>
      <c r="D653" t="s">
        <v>131</v>
      </c>
      <c r="E653">
        <v>18</v>
      </c>
      <c r="F653">
        <v>2018</v>
      </c>
      <c r="G653" t="s">
        <v>161</v>
      </c>
      <c r="J653" t="s">
        <v>133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07"/>
        <v>14:42:08.086</v>
      </c>
      <c r="T653" t="str">
        <f t="shared" si="308"/>
        <v>14:42:07.786</v>
      </c>
      <c r="U653" t="str">
        <f t="shared" si="305"/>
        <v>A9808D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272</v>
      </c>
      <c r="AJ653">
        <v>28.256836</v>
      </c>
      <c r="AK653" t="s">
        <v>273</v>
      </c>
      <c r="AL653">
        <v>-82.380767000000006</v>
      </c>
      <c r="AM653">
        <v>100</v>
      </c>
      <c r="AN653">
        <v>800</v>
      </c>
      <c r="AO653" t="s">
        <v>118</v>
      </c>
      <c r="AP653">
        <v>9</v>
      </c>
      <c r="AQ653">
        <v>88</v>
      </c>
      <c r="AR653">
        <v>576</v>
      </c>
      <c r="AZ653">
        <v>1200</v>
      </c>
      <c r="BA653">
        <v>1</v>
      </c>
      <c r="BB653" t="str">
        <f t="shared" si="285"/>
        <v xml:space="preserve">N711JA  </v>
      </c>
      <c r="BC653">
        <v>1</v>
      </c>
      <c r="BE653">
        <v>0</v>
      </c>
      <c r="BF653">
        <v>0</v>
      </c>
      <c r="BG653">
        <v>0</v>
      </c>
      <c r="BH653">
        <v>900</v>
      </c>
      <c r="BI653">
        <v>1</v>
      </c>
      <c r="BJ653">
        <v>1</v>
      </c>
      <c r="BK653">
        <v>0</v>
      </c>
      <c r="BL653">
        <v>0</v>
      </c>
      <c r="BO653">
        <v>0</v>
      </c>
      <c r="BP653">
        <v>0</v>
      </c>
      <c r="BW653" t="str">
        <f t="shared" si="309"/>
        <v>14:42:08.090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343</v>
      </c>
      <c r="CR653">
        <v>1</v>
      </c>
      <c r="CW653">
        <v>10578373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si="306"/>
        <v>05/12/2020 14:41:50.249</v>
      </c>
      <c r="C654" t="str">
        <f t="shared" si="284"/>
        <v>FFDFD3C0</v>
      </c>
      <c r="D654" t="s">
        <v>113</v>
      </c>
      <c r="E654">
        <v>3</v>
      </c>
      <c r="H654">
        <v>164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07"/>
        <v>14:42:08.086</v>
      </c>
      <c r="T654" t="str">
        <f t="shared" si="308"/>
        <v>14:42:07.786</v>
      </c>
      <c r="U654" t="str">
        <f t="shared" si="305"/>
        <v>A9808D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272</v>
      </c>
      <c r="AJ654">
        <v>28.256836</v>
      </c>
      <c r="AK654" t="s">
        <v>273</v>
      </c>
      <c r="AL654">
        <v>-82.380767000000006</v>
      </c>
      <c r="AM654">
        <v>100</v>
      </c>
      <c r="AN654">
        <v>800</v>
      </c>
      <c r="AO654" t="s">
        <v>118</v>
      </c>
      <c r="AP654">
        <v>9</v>
      </c>
      <c r="AQ654">
        <v>88</v>
      </c>
      <c r="AR654">
        <v>576</v>
      </c>
      <c r="AZ654">
        <v>1200</v>
      </c>
      <c r="BA654">
        <v>1</v>
      </c>
      <c r="BB654" t="str">
        <f t="shared" si="285"/>
        <v xml:space="preserve">N711JA  </v>
      </c>
      <c r="BC654">
        <v>1</v>
      </c>
      <c r="BE654">
        <v>0</v>
      </c>
      <c r="BF654">
        <v>0</v>
      </c>
      <c r="BG654">
        <v>0</v>
      </c>
      <c r="BH654">
        <v>900</v>
      </c>
      <c r="BI654">
        <v>1</v>
      </c>
      <c r="BJ654">
        <v>1</v>
      </c>
      <c r="BK654">
        <v>0</v>
      </c>
      <c r="BL654">
        <v>0</v>
      </c>
      <c r="BO654">
        <v>0</v>
      </c>
      <c r="BP654">
        <v>0</v>
      </c>
      <c r="BW654" t="str">
        <f t="shared" si="309"/>
        <v>14:42:08.090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343</v>
      </c>
      <c r="CR654">
        <v>1</v>
      </c>
      <c r="CW654">
        <v>10578373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ref="A655:A662" si="310">"05/12/2020 14:41:51.179"</f>
        <v>05/12/2020 14:41:51.179</v>
      </c>
      <c r="C655" t="str">
        <f t="shared" si="284"/>
        <v>FFDFD3C0</v>
      </c>
      <c r="D655" t="s">
        <v>134</v>
      </c>
      <c r="E655">
        <v>12</v>
      </c>
      <c r="H655">
        <v>64</v>
      </c>
      <c r="I655" t="s">
        <v>135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ref="S655:S662" si="311">"14:42:09.008"</f>
        <v>14:42:09.008</v>
      </c>
      <c r="T655" t="str">
        <f>"14:42:08.308"</f>
        <v>14:42:08.308</v>
      </c>
      <c r="U655" t="str">
        <f t="shared" si="305"/>
        <v>A9808D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274</v>
      </c>
      <c r="AJ655">
        <v>28.257200999999998</v>
      </c>
      <c r="AK655" t="s">
        <v>275</v>
      </c>
      <c r="AL655">
        <v>-82.380701999999999</v>
      </c>
      <c r="AM655">
        <v>100</v>
      </c>
      <c r="AN655">
        <v>800</v>
      </c>
      <c r="AO655" t="s">
        <v>118</v>
      </c>
      <c r="AP655">
        <v>8</v>
      </c>
      <c r="AQ655">
        <v>88</v>
      </c>
      <c r="AR655">
        <v>704</v>
      </c>
      <c r="AZ655">
        <v>1200</v>
      </c>
      <c r="BA655">
        <v>1</v>
      </c>
      <c r="BB655" t="str">
        <f t="shared" si="285"/>
        <v xml:space="preserve">N711JA  </v>
      </c>
      <c r="BC655">
        <v>1</v>
      </c>
      <c r="BE655">
        <v>0</v>
      </c>
      <c r="BF655">
        <v>0</v>
      </c>
      <c r="BG655">
        <v>0</v>
      </c>
      <c r="BH655">
        <v>900</v>
      </c>
      <c r="BI655">
        <v>1</v>
      </c>
      <c r="BJ655">
        <v>1</v>
      </c>
      <c r="BK655">
        <v>0</v>
      </c>
      <c r="BL655">
        <v>0</v>
      </c>
      <c r="BO655">
        <v>0</v>
      </c>
      <c r="BP655">
        <v>0</v>
      </c>
      <c r="BW655" t="str">
        <f t="shared" ref="BW655:BW662" si="312">"14:42:09.012"</f>
        <v>14:42:09.012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4</v>
      </c>
      <c r="CP655" t="s">
        <v>119</v>
      </c>
      <c r="CQ655">
        <v>358</v>
      </c>
      <c r="CR655">
        <v>0</v>
      </c>
      <c r="CW655">
        <v>4596326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si="310"/>
        <v>05/12/2020 14:41:51.179</v>
      </c>
      <c r="C656" t="str">
        <f t="shared" si="284"/>
        <v>FFDFD3C0</v>
      </c>
      <c r="D656" t="s">
        <v>126</v>
      </c>
      <c r="E656">
        <v>7</v>
      </c>
      <c r="F656">
        <v>1007</v>
      </c>
      <c r="G656" t="s">
        <v>127</v>
      </c>
      <c r="J656" t="s">
        <v>128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311"/>
        <v>14:42:09.008</v>
      </c>
      <c r="T656" t="str">
        <f>"14:42:08.308"</f>
        <v>14:42:08.308</v>
      </c>
      <c r="U656" t="str">
        <f t="shared" si="305"/>
        <v>A9808D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274</v>
      </c>
      <c r="AJ656">
        <v>28.257200999999998</v>
      </c>
      <c r="AK656" t="s">
        <v>275</v>
      </c>
      <c r="AL656">
        <v>-82.380701999999999</v>
      </c>
      <c r="AM656">
        <v>100</v>
      </c>
      <c r="AN656">
        <v>800</v>
      </c>
      <c r="AO656" t="s">
        <v>118</v>
      </c>
      <c r="AP656">
        <v>8</v>
      </c>
      <c r="AQ656">
        <v>88</v>
      </c>
      <c r="AR656">
        <v>704</v>
      </c>
      <c r="AZ656">
        <v>1200</v>
      </c>
      <c r="BA656">
        <v>1</v>
      </c>
      <c r="BB656" t="str">
        <f t="shared" si="285"/>
        <v xml:space="preserve">N711JA  </v>
      </c>
      <c r="BC656">
        <v>1</v>
      </c>
      <c r="BE656">
        <v>0</v>
      </c>
      <c r="BF656">
        <v>0</v>
      </c>
      <c r="BG656">
        <v>0</v>
      </c>
      <c r="BH656">
        <v>900</v>
      </c>
      <c r="BI656">
        <v>1</v>
      </c>
      <c r="BJ656">
        <v>1</v>
      </c>
      <c r="BK656">
        <v>0</v>
      </c>
      <c r="BL656">
        <v>0</v>
      </c>
      <c r="BO656">
        <v>0</v>
      </c>
      <c r="BP656">
        <v>0</v>
      </c>
      <c r="BW656" t="str">
        <f t="shared" si="312"/>
        <v>14:42:09.012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4</v>
      </c>
      <c r="CP656" t="s">
        <v>119</v>
      </c>
      <c r="CQ656">
        <v>358</v>
      </c>
      <c r="CR656">
        <v>0</v>
      </c>
      <c r="CW656">
        <v>4596326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310"/>
        <v>05/12/2020 14:41:51.179</v>
      </c>
      <c r="C657" t="str">
        <f t="shared" si="284"/>
        <v>FFDFD3C0</v>
      </c>
      <c r="D657" t="s">
        <v>131</v>
      </c>
      <c r="E657">
        <v>10</v>
      </c>
      <c r="F657">
        <v>2010</v>
      </c>
      <c r="G657" t="s">
        <v>132</v>
      </c>
      <c r="J657" t="s">
        <v>133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11"/>
        <v>14:42:09.008</v>
      </c>
      <c r="T657" t="str">
        <f>"14:42:08.308"</f>
        <v>14:42:08.308</v>
      </c>
      <c r="U657" t="str">
        <f t="shared" si="305"/>
        <v>A9808D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274</v>
      </c>
      <c r="AJ657">
        <v>28.257200999999998</v>
      </c>
      <c r="AK657" t="s">
        <v>275</v>
      </c>
      <c r="AL657">
        <v>-82.380701999999999</v>
      </c>
      <c r="AM657">
        <v>100</v>
      </c>
      <c r="AN657">
        <v>800</v>
      </c>
      <c r="AO657" t="s">
        <v>118</v>
      </c>
      <c r="AP657">
        <v>8</v>
      </c>
      <c r="AQ657">
        <v>88</v>
      </c>
      <c r="AR657">
        <v>704</v>
      </c>
      <c r="AZ657">
        <v>1200</v>
      </c>
      <c r="BA657">
        <v>1</v>
      </c>
      <c r="BB657" t="str">
        <f t="shared" si="285"/>
        <v xml:space="preserve">N711JA  </v>
      </c>
      <c r="BC657">
        <v>1</v>
      </c>
      <c r="BE657">
        <v>0</v>
      </c>
      <c r="BF657">
        <v>0</v>
      </c>
      <c r="BG657">
        <v>0</v>
      </c>
      <c r="BH657">
        <v>900</v>
      </c>
      <c r="BI657">
        <v>1</v>
      </c>
      <c r="BJ657">
        <v>1</v>
      </c>
      <c r="BK657">
        <v>0</v>
      </c>
      <c r="BL657">
        <v>0</v>
      </c>
      <c r="BO657">
        <v>0</v>
      </c>
      <c r="BP657">
        <v>0</v>
      </c>
      <c r="BW657" t="str">
        <f t="shared" si="312"/>
        <v>14:42:09.012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4</v>
      </c>
      <c r="CP657" t="s">
        <v>119</v>
      </c>
      <c r="CQ657">
        <v>358</v>
      </c>
      <c r="CR657">
        <v>0</v>
      </c>
      <c r="CW657">
        <v>4596326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310"/>
        <v>05/12/2020 14:41:51.179</v>
      </c>
      <c r="C658" t="str">
        <f t="shared" si="284"/>
        <v>FFDFD3C0</v>
      </c>
      <c r="D658" t="s">
        <v>131</v>
      </c>
      <c r="E658">
        <v>12</v>
      </c>
      <c r="F658">
        <v>2012</v>
      </c>
      <c r="G658" t="s">
        <v>137</v>
      </c>
      <c r="J658" t="s">
        <v>133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11"/>
        <v>14:42:09.008</v>
      </c>
      <c r="T658" t="str">
        <f>"14:42:07.808"</f>
        <v>14:42:07.808</v>
      </c>
      <c r="U658" t="str">
        <f t="shared" si="305"/>
        <v>A9808D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274</v>
      </c>
      <c r="AJ658">
        <v>28.257200999999998</v>
      </c>
      <c r="AK658" t="s">
        <v>275</v>
      </c>
      <c r="AL658">
        <v>-82.380701999999999</v>
      </c>
      <c r="AM658">
        <v>100</v>
      </c>
      <c r="AN658">
        <v>800</v>
      </c>
      <c r="AO658" t="s">
        <v>118</v>
      </c>
      <c r="AP658">
        <v>9</v>
      </c>
      <c r="AQ658">
        <v>88</v>
      </c>
      <c r="AR658">
        <v>576</v>
      </c>
      <c r="AZ658">
        <v>1200</v>
      </c>
      <c r="BA658">
        <v>1</v>
      </c>
      <c r="BB658" t="str">
        <f t="shared" si="285"/>
        <v xml:space="preserve">N711JA  </v>
      </c>
      <c r="BC658">
        <v>1</v>
      </c>
      <c r="BE658">
        <v>0</v>
      </c>
      <c r="BF658">
        <v>0</v>
      </c>
      <c r="BG658">
        <v>0</v>
      </c>
      <c r="BH658">
        <v>900</v>
      </c>
      <c r="BI658">
        <v>1</v>
      </c>
      <c r="BJ658">
        <v>1</v>
      </c>
      <c r="BK658">
        <v>0</v>
      </c>
      <c r="BL658">
        <v>0</v>
      </c>
      <c r="BO658">
        <v>0</v>
      </c>
      <c r="BP658">
        <v>0</v>
      </c>
      <c r="BW658" t="str">
        <f t="shared" si="312"/>
        <v>14:42:09.012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3</v>
      </c>
      <c r="CP658" t="s">
        <v>119</v>
      </c>
      <c r="CQ658">
        <v>8</v>
      </c>
      <c r="CR658">
        <v>3</v>
      </c>
      <c r="CW658">
        <v>8701160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310"/>
        <v>05/12/2020 14:41:51.179</v>
      </c>
      <c r="C659" t="str">
        <f t="shared" si="284"/>
        <v>FFDFD3C0</v>
      </c>
      <c r="D659" t="s">
        <v>113</v>
      </c>
      <c r="E659">
        <v>3</v>
      </c>
      <c r="H659">
        <v>164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11"/>
        <v>14:42:09.008</v>
      </c>
      <c r="T659" t="str">
        <f>"14:42:07.808"</f>
        <v>14:42:07.808</v>
      </c>
      <c r="U659" t="str">
        <f t="shared" si="305"/>
        <v>A9808D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274</v>
      </c>
      <c r="AJ659">
        <v>28.257200999999998</v>
      </c>
      <c r="AK659" t="s">
        <v>275</v>
      </c>
      <c r="AL659">
        <v>-82.380701999999999</v>
      </c>
      <c r="AM659">
        <v>100</v>
      </c>
      <c r="AN659">
        <v>800</v>
      </c>
      <c r="AO659" t="s">
        <v>118</v>
      </c>
      <c r="AP659">
        <v>9</v>
      </c>
      <c r="AQ659">
        <v>88</v>
      </c>
      <c r="AR659">
        <v>576</v>
      </c>
      <c r="AZ659">
        <v>1200</v>
      </c>
      <c r="BA659">
        <v>1</v>
      </c>
      <c r="BB659" t="str">
        <f t="shared" si="285"/>
        <v xml:space="preserve">N711JA  </v>
      </c>
      <c r="BC659">
        <v>1</v>
      </c>
      <c r="BE659">
        <v>0</v>
      </c>
      <c r="BF659">
        <v>0</v>
      </c>
      <c r="BG659">
        <v>0</v>
      </c>
      <c r="BH659">
        <v>900</v>
      </c>
      <c r="BI659">
        <v>1</v>
      </c>
      <c r="BJ659">
        <v>1</v>
      </c>
      <c r="BK659">
        <v>0</v>
      </c>
      <c r="BL659">
        <v>0</v>
      </c>
      <c r="BO659">
        <v>0</v>
      </c>
      <c r="BP659">
        <v>0</v>
      </c>
      <c r="BW659" t="str">
        <f t="shared" si="312"/>
        <v>14:42:09.012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3</v>
      </c>
      <c r="CP659" t="s">
        <v>119</v>
      </c>
      <c r="CQ659">
        <v>8</v>
      </c>
      <c r="CR659">
        <v>3</v>
      </c>
      <c r="CW659">
        <v>8701160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310"/>
        <v>05/12/2020 14:41:51.179</v>
      </c>
      <c r="C660" t="str">
        <f t="shared" si="284"/>
        <v>FFDFD3C0</v>
      </c>
      <c r="D660" t="s">
        <v>138</v>
      </c>
      <c r="E660">
        <v>3</v>
      </c>
      <c r="H660">
        <v>9</v>
      </c>
      <c r="I660" t="s">
        <v>140</v>
      </c>
      <c r="J660" t="s">
        <v>136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11"/>
        <v>14:42:09.008</v>
      </c>
      <c r="T660" t="str">
        <f>"14:42:08.308"</f>
        <v>14:42:08.308</v>
      </c>
      <c r="U660" t="str">
        <f t="shared" si="305"/>
        <v>A9808D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274</v>
      </c>
      <c r="AJ660">
        <v>28.257200999999998</v>
      </c>
      <c r="AK660" t="s">
        <v>275</v>
      </c>
      <c r="AL660">
        <v>-82.380701999999999</v>
      </c>
      <c r="AM660">
        <v>100</v>
      </c>
      <c r="AN660">
        <v>800</v>
      </c>
      <c r="AO660" t="s">
        <v>118</v>
      </c>
      <c r="AP660">
        <v>8</v>
      </c>
      <c r="AQ660">
        <v>88</v>
      </c>
      <c r="AR660">
        <v>704</v>
      </c>
      <c r="AZ660">
        <v>1200</v>
      </c>
      <c r="BA660">
        <v>1</v>
      </c>
      <c r="BB660" t="str">
        <f t="shared" si="285"/>
        <v xml:space="preserve">N711JA  </v>
      </c>
      <c r="BC660">
        <v>1</v>
      </c>
      <c r="BE660">
        <v>0</v>
      </c>
      <c r="BF660">
        <v>0</v>
      </c>
      <c r="BG660">
        <v>0</v>
      </c>
      <c r="BH660">
        <v>900</v>
      </c>
      <c r="BI660">
        <v>1</v>
      </c>
      <c r="BJ660">
        <v>1</v>
      </c>
      <c r="BK660">
        <v>0</v>
      </c>
      <c r="BL660">
        <v>0</v>
      </c>
      <c r="BO660">
        <v>0</v>
      </c>
      <c r="BP660">
        <v>0</v>
      </c>
      <c r="BW660" t="str">
        <f t="shared" si="312"/>
        <v>14:42:09.012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4</v>
      </c>
      <c r="CP660" t="s">
        <v>119</v>
      </c>
      <c r="CQ660">
        <v>358</v>
      </c>
      <c r="CR660">
        <v>0</v>
      </c>
      <c r="CW660">
        <v>4596326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si="310"/>
        <v>05/12/2020 14:41:51.179</v>
      </c>
      <c r="C661" t="str">
        <f t="shared" si="284"/>
        <v>FFDFD3C0</v>
      </c>
      <c r="D661" t="s">
        <v>138</v>
      </c>
      <c r="E661">
        <v>2</v>
      </c>
      <c r="H661">
        <v>8</v>
      </c>
      <c r="I661" t="s">
        <v>139</v>
      </c>
      <c r="J661" t="s">
        <v>136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11"/>
        <v>14:42:09.008</v>
      </c>
      <c r="T661" t="str">
        <f>"14:42:07.808"</f>
        <v>14:42:07.808</v>
      </c>
      <c r="U661" t="str">
        <f t="shared" si="305"/>
        <v>A9808D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274</v>
      </c>
      <c r="AJ661">
        <v>28.257200999999998</v>
      </c>
      <c r="AK661" t="s">
        <v>275</v>
      </c>
      <c r="AL661">
        <v>-82.380701999999999</v>
      </c>
      <c r="AM661">
        <v>100</v>
      </c>
      <c r="AN661">
        <v>800</v>
      </c>
      <c r="AO661" t="s">
        <v>118</v>
      </c>
      <c r="AP661">
        <v>9</v>
      </c>
      <c r="AQ661">
        <v>88</v>
      </c>
      <c r="AR661">
        <v>576</v>
      </c>
      <c r="AZ661">
        <v>1200</v>
      </c>
      <c r="BA661">
        <v>1</v>
      </c>
      <c r="BB661" t="str">
        <f t="shared" si="285"/>
        <v xml:space="preserve">N711JA  </v>
      </c>
      <c r="BC661">
        <v>1</v>
      </c>
      <c r="BE661">
        <v>0</v>
      </c>
      <c r="BF661">
        <v>0</v>
      </c>
      <c r="BG661">
        <v>0</v>
      </c>
      <c r="BH661">
        <v>900</v>
      </c>
      <c r="BI661">
        <v>1</v>
      </c>
      <c r="BJ661">
        <v>1</v>
      </c>
      <c r="BK661">
        <v>0</v>
      </c>
      <c r="BL661">
        <v>0</v>
      </c>
      <c r="BO661">
        <v>0</v>
      </c>
      <c r="BP661">
        <v>0</v>
      </c>
      <c r="BW661" t="str">
        <f t="shared" si="312"/>
        <v>14:42:09.012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3</v>
      </c>
      <c r="CP661" t="s">
        <v>119</v>
      </c>
      <c r="CQ661">
        <v>8</v>
      </c>
      <c r="CR661">
        <v>3</v>
      </c>
      <c r="CW661">
        <v>8701160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 t="shared" si="310"/>
        <v>05/12/2020 14:41:51.179</v>
      </c>
      <c r="C662" t="str">
        <f t="shared" ref="C662:C725" si="313">"FFDFD3C0"</f>
        <v>FFDFD3C0</v>
      </c>
      <c r="D662" t="s">
        <v>126</v>
      </c>
      <c r="E662">
        <v>6</v>
      </c>
      <c r="F662">
        <v>1006</v>
      </c>
      <c r="G662" t="s">
        <v>114</v>
      </c>
      <c r="J662" t="s">
        <v>128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311"/>
        <v>14:42:09.008</v>
      </c>
      <c r="T662" t="str">
        <f>"14:42:08.308"</f>
        <v>14:42:08.308</v>
      </c>
      <c r="U662" t="str">
        <f t="shared" si="305"/>
        <v>A9808D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274</v>
      </c>
      <c r="AJ662">
        <v>28.257200999999998</v>
      </c>
      <c r="AK662" t="s">
        <v>275</v>
      </c>
      <c r="AL662">
        <v>-82.380701999999999</v>
      </c>
      <c r="AM662">
        <v>100</v>
      </c>
      <c r="AN662">
        <v>800</v>
      </c>
      <c r="AO662" t="s">
        <v>118</v>
      </c>
      <c r="AP662">
        <v>8</v>
      </c>
      <c r="AQ662">
        <v>88</v>
      </c>
      <c r="AR662">
        <v>704</v>
      </c>
      <c r="AZ662">
        <v>1200</v>
      </c>
      <c r="BA662">
        <v>1</v>
      </c>
      <c r="BB662" t="str">
        <f t="shared" ref="BB662:BB725" si="314">"N711JA  "</f>
        <v xml:space="preserve">N711JA  </v>
      </c>
      <c r="BC662">
        <v>1</v>
      </c>
      <c r="BE662">
        <v>0</v>
      </c>
      <c r="BF662">
        <v>0</v>
      </c>
      <c r="BG662">
        <v>0</v>
      </c>
      <c r="BH662">
        <v>900</v>
      </c>
      <c r="BI662">
        <v>1</v>
      </c>
      <c r="BJ662">
        <v>1</v>
      </c>
      <c r="BK662">
        <v>0</v>
      </c>
      <c r="BL662">
        <v>0</v>
      </c>
      <c r="BO662">
        <v>0</v>
      </c>
      <c r="BP662">
        <v>0</v>
      </c>
      <c r="BW662" t="str">
        <f t="shared" si="312"/>
        <v>14:42:09.012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4</v>
      </c>
      <c r="CP662" t="s">
        <v>119</v>
      </c>
      <c r="CQ662">
        <v>358</v>
      </c>
      <c r="CR662">
        <v>0</v>
      </c>
      <c r="CW662">
        <v>4596326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 t="shared" ref="A663:A671" si="315">"05/12/2020 14:41:52.216"</f>
        <v>05/12/2020 14:41:52.216</v>
      </c>
      <c r="C663" t="str">
        <f t="shared" si="313"/>
        <v>FFDFD3C0</v>
      </c>
      <c r="D663" t="s">
        <v>113</v>
      </c>
      <c r="E663">
        <v>3</v>
      </c>
      <c r="H663">
        <v>164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ref="S663:S671" si="316">"14:42:09.992"</f>
        <v>14:42:09.992</v>
      </c>
      <c r="T663" t="str">
        <f t="shared" ref="T663:T671" si="317">"14:42:09.892"</f>
        <v>14:42:09.892</v>
      </c>
      <c r="U663" t="str">
        <f t="shared" si="305"/>
        <v>A9808D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276</v>
      </c>
      <c r="AJ663">
        <v>28.257587000000001</v>
      </c>
      <c r="AK663" t="s">
        <v>277</v>
      </c>
      <c r="AL663">
        <v>-82.380660000000006</v>
      </c>
      <c r="AM663">
        <v>100</v>
      </c>
      <c r="AN663">
        <v>800</v>
      </c>
      <c r="AO663" t="s">
        <v>118</v>
      </c>
      <c r="AP663">
        <v>8</v>
      </c>
      <c r="AQ663">
        <v>88</v>
      </c>
      <c r="AR663">
        <v>896</v>
      </c>
      <c r="AZ663">
        <v>1200</v>
      </c>
      <c r="BA663">
        <v>1</v>
      </c>
      <c r="BB663" t="str">
        <f t="shared" si="314"/>
        <v xml:space="preserve">N711JA  </v>
      </c>
      <c r="BC663">
        <v>1</v>
      </c>
      <c r="BE663">
        <v>0</v>
      </c>
      <c r="BF663">
        <v>0</v>
      </c>
      <c r="BG663">
        <v>0</v>
      </c>
      <c r="BH663">
        <v>925</v>
      </c>
      <c r="BI663">
        <v>1</v>
      </c>
      <c r="BJ663">
        <v>1</v>
      </c>
      <c r="BK663">
        <v>0</v>
      </c>
      <c r="BL663">
        <v>0</v>
      </c>
      <c r="BO663">
        <v>0</v>
      </c>
      <c r="BP663">
        <v>0</v>
      </c>
      <c r="BW663" t="str">
        <f t="shared" ref="BW663:BW671" si="318">"14:42:09.997"</f>
        <v>14:42:09.997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343</v>
      </c>
      <c r="CR663">
        <v>2</v>
      </c>
      <c r="CW663">
        <v>12988239</v>
      </c>
      <c r="CY663">
        <v>1</v>
      </c>
      <c r="CZ663">
        <v>0</v>
      </c>
      <c r="DA663">
        <v>0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 t="shared" si="315"/>
        <v>05/12/2020 14:41:52.216</v>
      </c>
      <c r="C664" t="str">
        <f t="shared" si="313"/>
        <v>FFDFD3C0</v>
      </c>
      <c r="D664" t="s">
        <v>138</v>
      </c>
      <c r="E664">
        <v>2</v>
      </c>
      <c r="H664">
        <v>8</v>
      </c>
      <c r="I664" t="s">
        <v>139</v>
      </c>
      <c r="J664" t="s">
        <v>136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16"/>
        <v>14:42:09.992</v>
      </c>
      <c r="T664" t="str">
        <f t="shared" si="317"/>
        <v>14:42:09.892</v>
      </c>
      <c r="U664" t="str">
        <f t="shared" si="305"/>
        <v>A9808D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276</v>
      </c>
      <c r="AJ664">
        <v>28.257587000000001</v>
      </c>
      <c r="AK664" t="s">
        <v>277</v>
      </c>
      <c r="AL664">
        <v>-82.380660000000006</v>
      </c>
      <c r="AM664">
        <v>100</v>
      </c>
      <c r="AN664">
        <v>800</v>
      </c>
      <c r="AO664" t="s">
        <v>118</v>
      </c>
      <c r="AP664">
        <v>8</v>
      </c>
      <c r="AQ664">
        <v>88</v>
      </c>
      <c r="AR664">
        <v>896</v>
      </c>
      <c r="AZ664">
        <v>1200</v>
      </c>
      <c r="BA664">
        <v>1</v>
      </c>
      <c r="BB664" t="str">
        <f t="shared" si="314"/>
        <v xml:space="preserve">N711JA  </v>
      </c>
      <c r="BC664">
        <v>1</v>
      </c>
      <c r="BE664">
        <v>0</v>
      </c>
      <c r="BF664">
        <v>0</v>
      </c>
      <c r="BG664">
        <v>0</v>
      </c>
      <c r="BH664">
        <v>925</v>
      </c>
      <c r="BI664">
        <v>1</v>
      </c>
      <c r="BJ664">
        <v>1</v>
      </c>
      <c r="BK664">
        <v>0</v>
      </c>
      <c r="BL664">
        <v>0</v>
      </c>
      <c r="BO664">
        <v>0</v>
      </c>
      <c r="BP664">
        <v>0</v>
      </c>
      <c r="BW664" t="str">
        <f t="shared" si="318"/>
        <v>14:42:09.997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343</v>
      </c>
      <c r="CR664">
        <v>2</v>
      </c>
      <c r="CW664">
        <v>12988239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 t="shared" si="315"/>
        <v>05/12/2020 14:41:52.216</v>
      </c>
      <c r="C665" t="str">
        <f t="shared" si="313"/>
        <v>FFDFD3C0</v>
      </c>
      <c r="D665" t="s">
        <v>138</v>
      </c>
      <c r="E665">
        <v>3</v>
      </c>
      <c r="H665">
        <v>9</v>
      </c>
      <c r="I665" t="s">
        <v>140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16"/>
        <v>14:42:09.992</v>
      </c>
      <c r="T665" t="str">
        <f t="shared" si="317"/>
        <v>14:42:09.892</v>
      </c>
      <c r="U665" t="str">
        <f t="shared" si="305"/>
        <v>A9808D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276</v>
      </c>
      <c r="AJ665">
        <v>28.257587000000001</v>
      </c>
      <c r="AK665" t="s">
        <v>277</v>
      </c>
      <c r="AL665">
        <v>-82.380660000000006</v>
      </c>
      <c r="AM665">
        <v>100</v>
      </c>
      <c r="AN665">
        <v>800</v>
      </c>
      <c r="AO665" t="s">
        <v>118</v>
      </c>
      <c r="AP665">
        <v>8</v>
      </c>
      <c r="AQ665">
        <v>88</v>
      </c>
      <c r="AR665">
        <v>896</v>
      </c>
      <c r="AZ665">
        <v>1200</v>
      </c>
      <c r="BA665">
        <v>1</v>
      </c>
      <c r="BB665" t="str">
        <f t="shared" si="314"/>
        <v xml:space="preserve">N711JA  </v>
      </c>
      <c r="BC665">
        <v>1</v>
      </c>
      <c r="BE665">
        <v>0</v>
      </c>
      <c r="BF665">
        <v>0</v>
      </c>
      <c r="BG665">
        <v>0</v>
      </c>
      <c r="BH665">
        <v>925</v>
      </c>
      <c r="BI665">
        <v>1</v>
      </c>
      <c r="BJ665">
        <v>1</v>
      </c>
      <c r="BK665">
        <v>0</v>
      </c>
      <c r="BL665">
        <v>0</v>
      </c>
      <c r="BO665">
        <v>0</v>
      </c>
      <c r="BP665">
        <v>0</v>
      </c>
      <c r="BW665" t="str">
        <f t="shared" si="318"/>
        <v>14:42:09.997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343</v>
      </c>
      <c r="CR665">
        <v>2</v>
      </c>
      <c r="CW665">
        <v>12988239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si="315"/>
        <v>05/12/2020 14:41:52.216</v>
      </c>
      <c r="C666" t="str">
        <f t="shared" si="313"/>
        <v>FFDFD3C0</v>
      </c>
      <c r="D666" t="s">
        <v>126</v>
      </c>
      <c r="E666">
        <v>6</v>
      </c>
      <c r="F666">
        <v>1006</v>
      </c>
      <c r="G666" t="s">
        <v>114</v>
      </c>
      <c r="J666" t="s">
        <v>128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16"/>
        <v>14:42:09.992</v>
      </c>
      <c r="T666" t="str">
        <f t="shared" si="317"/>
        <v>14:42:09.892</v>
      </c>
      <c r="U666" t="str">
        <f t="shared" si="305"/>
        <v>A9808D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276</v>
      </c>
      <c r="AJ666">
        <v>28.257587000000001</v>
      </c>
      <c r="AK666" t="s">
        <v>277</v>
      </c>
      <c r="AL666">
        <v>-82.380660000000006</v>
      </c>
      <c r="AM666">
        <v>100</v>
      </c>
      <c r="AN666">
        <v>800</v>
      </c>
      <c r="AO666" t="s">
        <v>118</v>
      </c>
      <c r="AP666">
        <v>8</v>
      </c>
      <c r="AQ666">
        <v>88</v>
      </c>
      <c r="AR666">
        <v>896</v>
      </c>
      <c r="AZ666">
        <v>1200</v>
      </c>
      <c r="BA666">
        <v>1</v>
      </c>
      <c r="BB666" t="str">
        <f t="shared" si="314"/>
        <v xml:space="preserve">N711JA  </v>
      </c>
      <c r="BC666">
        <v>1</v>
      </c>
      <c r="BE666">
        <v>0</v>
      </c>
      <c r="BF666">
        <v>0</v>
      </c>
      <c r="BG666">
        <v>0</v>
      </c>
      <c r="BH666">
        <v>925</v>
      </c>
      <c r="BI666">
        <v>1</v>
      </c>
      <c r="BJ666">
        <v>1</v>
      </c>
      <c r="BK666">
        <v>0</v>
      </c>
      <c r="BL666">
        <v>0</v>
      </c>
      <c r="BO666">
        <v>0</v>
      </c>
      <c r="BP666">
        <v>0</v>
      </c>
      <c r="BW666" t="str">
        <f t="shared" si="318"/>
        <v>14:42:09.997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343</v>
      </c>
      <c r="CR666">
        <v>2</v>
      </c>
      <c r="CW666">
        <v>12988239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si="315"/>
        <v>05/12/2020 14:41:52.216</v>
      </c>
      <c r="C667" t="str">
        <f t="shared" si="313"/>
        <v>FFDFD3C0</v>
      </c>
      <c r="D667" t="s">
        <v>126</v>
      </c>
      <c r="E667">
        <v>7</v>
      </c>
      <c r="F667">
        <v>1007</v>
      </c>
      <c r="G667" t="s">
        <v>127</v>
      </c>
      <c r="J667" t="s">
        <v>128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16"/>
        <v>14:42:09.992</v>
      </c>
      <c r="T667" t="str">
        <f t="shared" si="317"/>
        <v>14:42:09.892</v>
      </c>
      <c r="U667" t="str">
        <f t="shared" si="305"/>
        <v>A9808D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276</v>
      </c>
      <c r="AJ667">
        <v>28.257587000000001</v>
      </c>
      <c r="AK667" t="s">
        <v>277</v>
      </c>
      <c r="AL667">
        <v>-82.380660000000006</v>
      </c>
      <c r="AM667">
        <v>100</v>
      </c>
      <c r="AN667">
        <v>800</v>
      </c>
      <c r="AO667" t="s">
        <v>118</v>
      </c>
      <c r="AP667">
        <v>8</v>
      </c>
      <c r="AQ667">
        <v>88</v>
      </c>
      <c r="AR667">
        <v>896</v>
      </c>
      <c r="AZ667">
        <v>1200</v>
      </c>
      <c r="BA667">
        <v>1</v>
      </c>
      <c r="BB667" t="str">
        <f t="shared" si="314"/>
        <v xml:space="preserve">N711JA  </v>
      </c>
      <c r="BC667">
        <v>1</v>
      </c>
      <c r="BE667">
        <v>0</v>
      </c>
      <c r="BF667">
        <v>0</v>
      </c>
      <c r="BG667">
        <v>0</v>
      </c>
      <c r="BH667">
        <v>925</v>
      </c>
      <c r="BI667">
        <v>1</v>
      </c>
      <c r="BJ667">
        <v>1</v>
      </c>
      <c r="BK667">
        <v>0</v>
      </c>
      <c r="BL667">
        <v>0</v>
      </c>
      <c r="BO667">
        <v>0</v>
      </c>
      <c r="BP667">
        <v>0</v>
      </c>
      <c r="BW667" t="str">
        <f t="shared" si="318"/>
        <v>14:42:09.997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343</v>
      </c>
      <c r="CR667">
        <v>2</v>
      </c>
      <c r="CW667">
        <v>12988239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si="315"/>
        <v>05/12/2020 14:41:52.216</v>
      </c>
      <c r="C668" t="str">
        <f t="shared" si="313"/>
        <v>FFDFD3C0</v>
      </c>
      <c r="D668" t="s">
        <v>131</v>
      </c>
      <c r="E668">
        <v>10</v>
      </c>
      <c r="F668">
        <v>2010</v>
      </c>
      <c r="G668" t="s">
        <v>132</v>
      </c>
      <c r="J668" t="s">
        <v>133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16"/>
        <v>14:42:09.992</v>
      </c>
      <c r="T668" t="str">
        <f t="shared" si="317"/>
        <v>14:42:09.892</v>
      </c>
      <c r="U668" t="str">
        <f t="shared" si="305"/>
        <v>A9808D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276</v>
      </c>
      <c r="AJ668">
        <v>28.257587000000001</v>
      </c>
      <c r="AK668" t="s">
        <v>277</v>
      </c>
      <c r="AL668">
        <v>-82.380660000000006</v>
      </c>
      <c r="AM668">
        <v>100</v>
      </c>
      <c r="AN668">
        <v>800</v>
      </c>
      <c r="AO668" t="s">
        <v>118</v>
      </c>
      <c r="AP668">
        <v>8</v>
      </c>
      <c r="AQ668">
        <v>88</v>
      </c>
      <c r="AR668">
        <v>896</v>
      </c>
      <c r="AZ668">
        <v>1200</v>
      </c>
      <c r="BA668">
        <v>1</v>
      </c>
      <c r="BB668" t="str">
        <f t="shared" si="314"/>
        <v xml:space="preserve">N711JA  </v>
      </c>
      <c r="BC668">
        <v>1</v>
      </c>
      <c r="BE668">
        <v>0</v>
      </c>
      <c r="BF668">
        <v>0</v>
      </c>
      <c r="BG668">
        <v>0</v>
      </c>
      <c r="BH668">
        <v>925</v>
      </c>
      <c r="BI668">
        <v>1</v>
      </c>
      <c r="BJ668">
        <v>1</v>
      </c>
      <c r="BK668">
        <v>0</v>
      </c>
      <c r="BL668">
        <v>0</v>
      </c>
      <c r="BO668">
        <v>0</v>
      </c>
      <c r="BP668">
        <v>0</v>
      </c>
      <c r="BW668" t="str">
        <f t="shared" si="318"/>
        <v>14:42:09.997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343</v>
      </c>
      <c r="CR668">
        <v>2</v>
      </c>
      <c r="CW668">
        <v>12988239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315"/>
        <v>05/12/2020 14:41:52.216</v>
      </c>
      <c r="C669" t="str">
        <f t="shared" si="313"/>
        <v>FFDFD3C0</v>
      </c>
      <c r="D669" t="s">
        <v>131</v>
      </c>
      <c r="E669">
        <v>12</v>
      </c>
      <c r="F669">
        <v>2012</v>
      </c>
      <c r="G669" t="s">
        <v>137</v>
      </c>
      <c r="J669" t="s">
        <v>133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316"/>
        <v>14:42:09.992</v>
      </c>
      <c r="T669" t="str">
        <f t="shared" si="317"/>
        <v>14:42:09.892</v>
      </c>
      <c r="U669" t="str">
        <f t="shared" si="305"/>
        <v>A9808D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276</v>
      </c>
      <c r="AJ669">
        <v>28.257587000000001</v>
      </c>
      <c r="AK669" t="s">
        <v>277</v>
      </c>
      <c r="AL669">
        <v>-82.380660000000006</v>
      </c>
      <c r="AM669">
        <v>100</v>
      </c>
      <c r="AN669">
        <v>800</v>
      </c>
      <c r="AO669" t="s">
        <v>118</v>
      </c>
      <c r="AP669">
        <v>8</v>
      </c>
      <c r="AQ669">
        <v>88</v>
      </c>
      <c r="AR669">
        <v>896</v>
      </c>
      <c r="AZ669">
        <v>1200</v>
      </c>
      <c r="BA669">
        <v>1</v>
      </c>
      <c r="BB669" t="str">
        <f t="shared" si="314"/>
        <v xml:space="preserve">N711JA  </v>
      </c>
      <c r="BC669">
        <v>1</v>
      </c>
      <c r="BE669">
        <v>0</v>
      </c>
      <c r="BF669">
        <v>0</v>
      </c>
      <c r="BG669">
        <v>0</v>
      </c>
      <c r="BH669">
        <v>925</v>
      </c>
      <c r="BI669">
        <v>1</v>
      </c>
      <c r="BJ669">
        <v>1</v>
      </c>
      <c r="BK669">
        <v>0</v>
      </c>
      <c r="BL669">
        <v>0</v>
      </c>
      <c r="BO669">
        <v>0</v>
      </c>
      <c r="BP669">
        <v>0</v>
      </c>
      <c r="BW669" t="str">
        <f t="shared" si="318"/>
        <v>14:42:09.997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343</v>
      </c>
      <c r="CR669">
        <v>2</v>
      </c>
      <c r="CW669">
        <v>12988239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si="315"/>
        <v>05/12/2020 14:41:52.216</v>
      </c>
      <c r="C670" t="str">
        <f t="shared" si="313"/>
        <v>FFDFD3C0</v>
      </c>
      <c r="D670" t="s">
        <v>131</v>
      </c>
      <c r="E670">
        <v>18</v>
      </c>
      <c r="F670">
        <v>2018</v>
      </c>
      <c r="G670" t="s">
        <v>161</v>
      </c>
      <c r="J670" t="s">
        <v>133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316"/>
        <v>14:42:09.992</v>
      </c>
      <c r="T670" t="str">
        <f t="shared" si="317"/>
        <v>14:42:09.892</v>
      </c>
      <c r="U670" t="str">
        <f t="shared" si="305"/>
        <v>A9808D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276</v>
      </c>
      <c r="AJ670">
        <v>28.257587000000001</v>
      </c>
      <c r="AK670" t="s">
        <v>277</v>
      </c>
      <c r="AL670">
        <v>-82.380660000000006</v>
      </c>
      <c r="AM670">
        <v>100</v>
      </c>
      <c r="AN670">
        <v>800</v>
      </c>
      <c r="AO670" t="s">
        <v>118</v>
      </c>
      <c r="AP670">
        <v>8</v>
      </c>
      <c r="AQ670">
        <v>88</v>
      </c>
      <c r="AR670">
        <v>896</v>
      </c>
      <c r="AZ670">
        <v>1200</v>
      </c>
      <c r="BA670">
        <v>1</v>
      </c>
      <c r="BB670" t="str">
        <f t="shared" si="314"/>
        <v xml:space="preserve">N711JA  </v>
      </c>
      <c r="BC670">
        <v>1</v>
      </c>
      <c r="BE670">
        <v>0</v>
      </c>
      <c r="BF670">
        <v>0</v>
      </c>
      <c r="BG670">
        <v>0</v>
      </c>
      <c r="BH670">
        <v>925</v>
      </c>
      <c r="BI670">
        <v>1</v>
      </c>
      <c r="BJ670">
        <v>1</v>
      </c>
      <c r="BK670">
        <v>0</v>
      </c>
      <c r="BL670">
        <v>0</v>
      </c>
      <c r="BO670">
        <v>0</v>
      </c>
      <c r="BP670">
        <v>0</v>
      </c>
      <c r="BW670" t="str">
        <f t="shared" si="318"/>
        <v>14:42:09.997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343</v>
      </c>
      <c r="CR670">
        <v>2</v>
      </c>
      <c r="CW670">
        <v>12988239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315"/>
        <v>05/12/2020 14:41:52.216</v>
      </c>
      <c r="C671" t="str">
        <f t="shared" si="313"/>
        <v>FFDFD3C0</v>
      </c>
      <c r="D671" t="s">
        <v>134</v>
      </c>
      <c r="E671">
        <v>12</v>
      </c>
      <c r="H671">
        <v>64</v>
      </c>
      <c r="I671" t="s">
        <v>135</v>
      </c>
      <c r="J671" t="s">
        <v>136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316"/>
        <v>14:42:09.992</v>
      </c>
      <c r="T671" t="str">
        <f t="shared" si="317"/>
        <v>14:42:09.892</v>
      </c>
      <c r="U671" t="str">
        <f t="shared" si="305"/>
        <v>A9808D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276</v>
      </c>
      <c r="AJ671">
        <v>28.257587000000001</v>
      </c>
      <c r="AK671" t="s">
        <v>277</v>
      </c>
      <c r="AL671">
        <v>-82.380660000000006</v>
      </c>
      <c r="AM671">
        <v>100</v>
      </c>
      <c r="AN671">
        <v>800</v>
      </c>
      <c r="AO671" t="s">
        <v>118</v>
      </c>
      <c r="AP671">
        <v>8</v>
      </c>
      <c r="AQ671">
        <v>88</v>
      </c>
      <c r="AR671">
        <v>896</v>
      </c>
      <c r="AZ671">
        <v>1200</v>
      </c>
      <c r="BA671">
        <v>1</v>
      </c>
      <c r="BB671" t="str">
        <f t="shared" si="314"/>
        <v xml:space="preserve">N711JA  </v>
      </c>
      <c r="BC671">
        <v>1</v>
      </c>
      <c r="BE671">
        <v>0</v>
      </c>
      <c r="BF671">
        <v>0</v>
      </c>
      <c r="BG671">
        <v>0</v>
      </c>
      <c r="BH671">
        <v>925</v>
      </c>
      <c r="BI671">
        <v>1</v>
      </c>
      <c r="BJ671">
        <v>1</v>
      </c>
      <c r="BK671">
        <v>0</v>
      </c>
      <c r="BL671">
        <v>0</v>
      </c>
      <c r="BO671">
        <v>0</v>
      </c>
      <c r="BP671">
        <v>0</v>
      </c>
      <c r="BW671" t="str">
        <f t="shared" si="318"/>
        <v>14:42:09.997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343</v>
      </c>
      <c r="CR671">
        <v>2</v>
      </c>
      <c r="CW671">
        <v>12988239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ref="A672:A680" si="319">"05/12/2020 14:41:53.292"</f>
        <v>05/12/2020 14:41:53.292</v>
      </c>
      <c r="C672" t="str">
        <f t="shared" si="313"/>
        <v>FFDFD3C0</v>
      </c>
      <c r="D672" t="s">
        <v>126</v>
      </c>
      <c r="E672">
        <v>7</v>
      </c>
      <c r="F672">
        <v>1007</v>
      </c>
      <c r="G672" t="s">
        <v>127</v>
      </c>
      <c r="J672" t="s">
        <v>128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ref="S672:S680" si="320">"14:42:11.117"</f>
        <v>14:42:11.117</v>
      </c>
      <c r="T672" t="str">
        <f t="shared" ref="T672:T680" si="321">"14:42:10.917"</f>
        <v>14:42:10.917</v>
      </c>
      <c r="U672" t="str">
        <f t="shared" si="305"/>
        <v>A9808D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278</v>
      </c>
      <c r="AJ672">
        <v>28.258016000000001</v>
      </c>
      <c r="AK672" t="s">
        <v>146</v>
      </c>
      <c r="AL672">
        <v>-82.380617000000001</v>
      </c>
      <c r="AM672">
        <v>100</v>
      </c>
      <c r="AN672">
        <v>800</v>
      </c>
      <c r="AO672" t="s">
        <v>118</v>
      </c>
      <c r="AP672">
        <v>8</v>
      </c>
      <c r="AQ672">
        <v>88</v>
      </c>
      <c r="AR672">
        <v>768</v>
      </c>
      <c r="AZ672">
        <v>1200</v>
      </c>
      <c r="BA672">
        <v>1</v>
      </c>
      <c r="BB672" t="str">
        <f t="shared" si="314"/>
        <v xml:space="preserve">N711JA  </v>
      </c>
      <c r="BC672">
        <v>1</v>
      </c>
      <c r="BE672">
        <v>0</v>
      </c>
      <c r="BF672">
        <v>0</v>
      </c>
      <c r="BG672">
        <v>0</v>
      </c>
      <c r="BH672">
        <v>925</v>
      </c>
      <c r="BI672">
        <v>1</v>
      </c>
      <c r="BJ672">
        <v>1</v>
      </c>
      <c r="BK672">
        <v>0</v>
      </c>
      <c r="BL672">
        <v>0</v>
      </c>
      <c r="BO672">
        <v>0</v>
      </c>
      <c r="BP672">
        <v>0</v>
      </c>
      <c r="BW672" t="str">
        <f t="shared" ref="BW672:BW680" si="322">"14:42:11.121"</f>
        <v>14:42:11.121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343</v>
      </c>
      <c r="CR672">
        <v>1</v>
      </c>
      <c r="CW672">
        <v>10581537</v>
      </c>
      <c r="CY672">
        <v>1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 t="shared" si="319"/>
        <v>05/12/2020 14:41:53.292</v>
      </c>
      <c r="C673" t="str">
        <f t="shared" si="313"/>
        <v>FFDFD3C0</v>
      </c>
      <c r="D673" t="s">
        <v>131</v>
      </c>
      <c r="E673">
        <v>10</v>
      </c>
      <c r="F673">
        <v>2010</v>
      </c>
      <c r="G673" t="s">
        <v>132</v>
      </c>
      <c r="J673" t="s">
        <v>133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320"/>
        <v>14:42:11.117</v>
      </c>
      <c r="T673" t="str">
        <f t="shared" si="321"/>
        <v>14:42:10.917</v>
      </c>
      <c r="U673" t="str">
        <f t="shared" si="305"/>
        <v>A9808D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278</v>
      </c>
      <c r="AJ673">
        <v>28.258016000000001</v>
      </c>
      <c r="AK673" t="s">
        <v>146</v>
      </c>
      <c r="AL673">
        <v>-82.380617000000001</v>
      </c>
      <c r="AM673">
        <v>100</v>
      </c>
      <c r="AN673">
        <v>800</v>
      </c>
      <c r="AO673" t="s">
        <v>118</v>
      </c>
      <c r="AP673">
        <v>8</v>
      </c>
      <c r="AQ673">
        <v>88</v>
      </c>
      <c r="AR673">
        <v>768</v>
      </c>
      <c r="AZ673">
        <v>1200</v>
      </c>
      <c r="BA673">
        <v>1</v>
      </c>
      <c r="BB673" t="str">
        <f t="shared" si="314"/>
        <v xml:space="preserve">N711JA  </v>
      </c>
      <c r="BC673">
        <v>1</v>
      </c>
      <c r="BE673">
        <v>0</v>
      </c>
      <c r="BF673">
        <v>0</v>
      </c>
      <c r="BG673">
        <v>0</v>
      </c>
      <c r="BH673">
        <v>925</v>
      </c>
      <c r="BI673">
        <v>1</v>
      </c>
      <c r="BJ673">
        <v>1</v>
      </c>
      <c r="BK673">
        <v>0</v>
      </c>
      <c r="BL673">
        <v>0</v>
      </c>
      <c r="BO673">
        <v>0</v>
      </c>
      <c r="BP673">
        <v>0</v>
      </c>
      <c r="BW673" t="str">
        <f t="shared" si="322"/>
        <v>14:42:11.121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343</v>
      </c>
      <c r="CR673">
        <v>1</v>
      </c>
      <c r="CW673">
        <v>10581537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 t="shared" si="319"/>
        <v>05/12/2020 14:41:53.292</v>
      </c>
      <c r="C674" t="str">
        <f t="shared" si="313"/>
        <v>FFDFD3C0</v>
      </c>
      <c r="D674" t="s">
        <v>131</v>
      </c>
      <c r="E674">
        <v>12</v>
      </c>
      <c r="F674">
        <v>2012</v>
      </c>
      <c r="G674" t="s">
        <v>137</v>
      </c>
      <c r="J674" t="s">
        <v>133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320"/>
        <v>14:42:11.117</v>
      </c>
      <c r="T674" t="str">
        <f t="shared" si="321"/>
        <v>14:42:10.917</v>
      </c>
      <c r="U674" t="str">
        <f t="shared" si="305"/>
        <v>A9808D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278</v>
      </c>
      <c r="AJ674">
        <v>28.258016000000001</v>
      </c>
      <c r="AK674" t="s">
        <v>146</v>
      </c>
      <c r="AL674">
        <v>-82.380617000000001</v>
      </c>
      <c r="AM674">
        <v>100</v>
      </c>
      <c r="AN674">
        <v>800</v>
      </c>
      <c r="AO674" t="s">
        <v>118</v>
      </c>
      <c r="AP674">
        <v>8</v>
      </c>
      <c r="AQ674">
        <v>88</v>
      </c>
      <c r="AR674">
        <v>768</v>
      </c>
      <c r="AZ674">
        <v>1200</v>
      </c>
      <c r="BA674">
        <v>1</v>
      </c>
      <c r="BB674" t="str">
        <f t="shared" si="314"/>
        <v xml:space="preserve">N711JA  </v>
      </c>
      <c r="BC674">
        <v>1</v>
      </c>
      <c r="BE674">
        <v>0</v>
      </c>
      <c r="BF674">
        <v>0</v>
      </c>
      <c r="BG674">
        <v>0</v>
      </c>
      <c r="BH674">
        <v>925</v>
      </c>
      <c r="BI674">
        <v>1</v>
      </c>
      <c r="BJ674">
        <v>1</v>
      </c>
      <c r="BK674">
        <v>0</v>
      </c>
      <c r="BL674">
        <v>0</v>
      </c>
      <c r="BO674">
        <v>0</v>
      </c>
      <c r="BP674">
        <v>0</v>
      </c>
      <c r="BW674" t="str">
        <f t="shared" si="322"/>
        <v>14:42:11.121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343</v>
      </c>
      <c r="CR674">
        <v>1</v>
      </c>
      <c r="CW674">
        <v>10581537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 t="shared" si="319"/>
        <v>05/12/2020 14:41:53.292</v>
      </c>
      <c r="C675" t="str">
        <f t="shared" si="313"/>
        <v>FFDFD3C0</v>
      </c>
      <c r="D675" t="s">
        <v>131</v>
      </c>
      <c r="E675">
        <v>18</v>
      </c>
      <c r="F675">
        <v>2018</v>
      </c>
      <c r="G675" t="s">
        <v>161</v>
      </c>
      <c r="J675" t="s">
        <v>133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320"/>
        <v>14:42:11.117</v>
      </c>
      <c r="T675" t="str">
        <f t="shared" si="321"/>
        <v>14:42:10.917</v>
      </c>
      <c r="U675" t="str">
        <f t="shared" si="305"/>
        <v>A9808D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278</v>
      </c>
      <c r="AJ675">
        <v>28.258016000000001</v>
      </c>
      <c r="AK675" t="s">
        <v>146</v>
      </c>
      <c r="AL675">
        <v>-82.380617000000001</v>
      </c>
      <c r="AM675">
        <v>100</v>
      </c>
      <c r="AN675">
        <v>800</v>
      </c>
      <c r="AO675" t="s">
        <v>118</v>
      </c>
      <c r="AP675">
        <v>8</v>
      </c>
      <c r="AQ675">
        <v>88</v>
      </c>
      <c r="AR675">
        <v>768</v>
      </c>
      <c r="AZ675">
        <v>1200</v>
      </c>
      <c r="BA675">
        <v>1</v>
      </c>
      <c r="BB675" t="str">
        <f t="shared" si="314"/>
        <v xml:space="preserve">N711JA  </v>
      </c>
      <c r="BC675">
        <v>1</v>
      </c>
      <c r="BE675">
        <v>0</v>
      </c>
      <c r="BF675">
        <v>0</v>
      </c>
      <c r="BG675">
        <v>0</v>
      </c>
      <c r="BH675">
        <v>925</v>
      </c>
      <c r="BI675">
        <v>1</v>
      </c>
      <c r="BJ675">
        <v>1</v>
      </c>
      <c r="BK675">
        <v>0</v>
      </c>
      <c r="BL675">
        <v>0</v>
      </c>
      <c r="BO675">
        <v>0</v>
      </c>
      <c r="BP675">
        <v>0</v>
      </c>
      <c r="BW675" t="str">
        <f t="shared" si="322"/>
        <v>14:42:11.121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343</v>
      </c>
      <c r="CR675">
        <v>1</v>
      </c>
      <c r="CW675">
        <v>10581537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 t="shared" si="319"/>
        <v>05/12/2020 14:41:53.292</v>
      </c>
      <c r="C676" t="str">
        <f t="shared" si="313"/>
        <v>FFDFD3C0</v>
      </c>
      <c r="D676" t="s">
        <v>134</v>
      </c>
      <c r="E676">
        <v>12</v>
      </c>
      <c r="H676">
        <v>64</v>
      </c>
      <c r="I676" t="s">
        <v>135</v>
      </c>
      <c r="J676" t="s">
        <v>136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320"/>
        <v>14:42:11.117</v>
      </c>
      <c r="T676" t="str">
        <f t="shared" si="321"/>
        <v>14:42:10.917</v>
      </c>
      <c r="U676" t="str">
        <f t="shared" si="305"/>
        <v>A9808D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278</v>
      </c>
      <c r="AJ676">
        <v>28.258016000000001</v>
      </c>
      <c r="AK676" t="s">
        <v>146</v>
      </c>
      <c r="AL676">
        <v>-82.380617000000001</v>
      </c>
      <c r="AM676">
        <v>100</v>
      </c>
      <c r="AN676">
        <v>800</v>
      </c>
      <c r="AO676" t="s">
        <v>118</v>
      </c>
      <c r="AP676">
        <v>8</v>
      </c>
      <c r="AQ676">
        <v>88</v>
      </c>
      <c r="AR676">
        <v>768</v>
      </c>
      <c r="AZ676">
        <v>1200</v>
      </c>
      <c r="BA676">
        <v>1</v>
      </c>
      <c r="BB676" t="str">
        <f t="shared" si="314"/>
        <v xml:space="preserve">N711JA  </v>
      </c>
      <c r="BC676">
        <v>1</v>
      </c>
      <c r="BE676">
        <v>0</v>
      </c>
      <c r="BF676">
        <v>0</v>
      </c>
      <c r="BG676">
        <v>0</v>
      </c>
      <c r="BH676">
        <v>925</v>
      </c>
      <c r="BI676">
        <v>1</v>
      </c>
      <c r="BJ676">
        <v>1</v>
      </c>
      <c r="BK676">
        <v>0</v>
      </c>
      <c r="BL676">
        <v>0</v>
      </c>
      <c r="BO676">
        <v>0</v>
      </c>
      <c r="BP676">
        <v>0</v>
      </c>
      <c r="BW676" t="str">
        <f t="shared" si="322"/>
        <v>14:42:11.121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343</v>
      </c>
      <c r="CR676">
        <v>1</v>
      </c>
      <c r="CW676">
        <v>10581537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 t="shared" si="319"/>
        <v>05/12/2020 14:41:53.292</v>
      </c>
      <c r="C677" t="str">
        <f t="shared" si="313"/>
        <v>FFDFD3C0</v>
      </c>
      <c r="D677" t="s">
        <v>126</v>
      </c>
      <c r="E677">
        <v>6</v>
      </c>
      <c r="F677">
        <v>1006</v>
      </c>
      <c r="G677" t="s">
        <v>114</v>
      </c>
      <c r="J677" t="s">
        <v>128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20"/>
        <v>14:42:11.117</v>
      </c>
      <c r="T677" t="str">
        <f t="shared" si="321"/>
        <v>14:42:10.917</v>
      </c>
      <c r="U677" t="str">
        <f t="shared" si="305"/>
        <v>A9808D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278</v>
      </c>
      <c r="AJ677">
        <v>28.258016000000001</v>
      </c>
      <c r="AK677" t="s">
        <v>146</v>
      </c>
      <c r="AL677">
        <v>-82.380617000000001</v>
      </c>
      <c r="AM677">
        <v>100</v>
      </c>
      <c r="AN677">
        <v>800</v>
      </c>
      <c r="AO677" t="s">
        <v>118</v>
      </c>
      <c r="AP677">
        <v>8</v>
      </c>
      <c r="AQ677">
        <v>88</v>
      </c>
      <c r="AR677">
        <v>768</v>
      </c>
      <c r="AZ677">
        <v>1200</v>
      </c>
      <c r="BA677">
        <v>1</v>
      </c>
      <c r="BB677" t="str">
        <f t="shared" si="314"/>
        <v xml:space="preserve">N711JA  </v>
      </c>
      <c r="BC677">
        <v>1</v>
      </c>
      <c r="BE677">
        <v>0</v>
      </c>
      <c r="BF677">
        <v>0</v>
      </c>
      <c r="BG677">
        <v>0</v>
      </c>
      <c r="BH677">
        <v>925</v>
      </c>
      <c r="BI677">
        <v>1</v>
      </c>
      <c r="BJ677">
        <v>1</v>
      </c>
      <c r="BK677">
        <v>0</v>
      </c>
      <c r="BL677">
        <v>0</v>
      </c>
      <c r="BO677">
        <v>0</v>
      </c>
      <c r="BP677">
        <v>0</v>
      </c>
      <c r="BW677" t="str">
        <f t="shared" si="322"/>
        <v>14:42:11.121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343</v>
      </c>
      <c r="CR677">
        <v>1</v>
      </c>
      <c r="CW677">
        <v>10581537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 t="shared" si="319"/>
        <v>05/12/2020 14:41:53.292</v>
      </c>
      <c r="C678" t="str">
        <f t="shared" si="313"/>
        <v>FFDFD3C0</v>
      </c>
      <c r="D678" t="s">
        <v>138</v>
      </c>
      <c r="E678">
        <v>2</v>
      </c>
      <c r="H678">
        <v>8</v>
      </c>
      <c r="I678" t="s">
        <v>139</v>
      </c>
      <c r="J678" t="s">
        <v>136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20"/>
        <v>14:42:11.117</v>
      </c>
      <c r="T678" t="str">
        <f t="shared" si="321"/>
        <v>14:42:10.917</v>
      </c>
      <c r="U678" t="str">
        <f t="shared" si="305"/>
        <v>A9808D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278</v>
      </c>
      <c r="AJ678">
        <v>28.258016000000001</v>
      </c>
      <c r="AK678" t="s">
        <v>146</v>
      </c>
      <c r="AL678">
        <v>-82.380617000000001</v>
      </c>
      <c r="AM678">
        <v>100</v>
      </c>
      <c r="AN678">
        <v>800</v>
      </c>
      <c r="AO678" t="s">
        <v>118</v>
      </c>
      <c r="AP678">
        <v>8</v>
      </c>
      <c r="AQ678">
        <v>88</v>
      </c>
      <c r="AR678">
        <v>768</v>
      </c>
      <c r="AZ678">
        <v>1200</v>
      </c>
      <c r="BA678">
        <v>1</v>
      </c>
      <c r="BB678" t="str">
        <f t="shared" si="314"/>
        <v xml:space="preserve">N711JA  </v>
      </c>
      <c r="BC678">
        <v>1</v>
      </c>
      <c r="BE678">
        <v>0</v>
      </c>
      <c r="BF678">
        <v>0</v>
      </c>
      <c r="BG678">
        <v>0</v>
      </c>
      <c r="BH678">
        <v>925</v>
      </c>
      <c r="BI678">
        <v>1</v>
      </c>
      <c r="BJ678">
        <v>1</v>
      </c>
      <c r="BK678">
        <v>0</v>
      </c>
      <c r="BL678">
        <v>0</v>
      </c>
      <c r="BO678">
        <v>0</v>
      </c>
      <c r="BP678">
        <v>0</v>
      </c>
      <c r="BW678" t="str">
        <f t="shared" si="322"/>
        <v>14:42:11.121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343</v>
      </c>
      <c r="CR678">
        <v>1</v>
      </c>
      <c r="CW678">
        <v>10581537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 t="shared" si="319"/>
        <v>05/12/2020 14:41:53.292</v>
      </c>
      <c r="C679" t="str">
        <f t="shared" si="313"/>
        <v>FFDFD3C0</v>
      </c>
      <c r="D679" t="s">
        <v>138</v>
      </c>
      <c r="E679">
        <v>3</v>
      </c>
      <c r="H679">
        <v>9</v>
      </c>
      <c r="I679" t="s">
        <v>140</v>
      </c>
      <c r="J679" t="s">
        <v>136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20"/>
        <v>14:42:11.117</v>
      </c>
      <c r="T679" t="str">
        <f t="shared" si="321"/>
        <v>14:42:10.917</v>
      </c>
      <c r="U679" t="str">
        <f t="shared" si="305"/>
        <v>A9808D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278</v>
      </c>
      <c r="AJ679">
        <v>28.258016000000001</v>
      </c>
      <c r="AK679" t="s">
        <v>146</v>
      </c>
      <c r="AL679">
        <v>-82.380617000000001</v>
      </c>
      <c r="AM679">
        <v>100</v>
      </c>
      <c r="AN679">
        <v>800</v>
      </c>
      <c r="AO679" t="s">
        <v>118</v>
      </c>
      <c r="AP679">
        <v>8</v>
      </c>
      <c r="AQ679">
        <v>88</v>
      </c>
      <c r="AR679">
        <v>768</v>
      </c>
      <c r="AZ679">
        <v>1200</v>
      </c>
      <c r="BA679">
        <v>1</v>
      </c>
      <c r="BB679" t="str">
        <f t="shared" si="314"/>
        <v xml:space="preserve">N711JA  </v>
      </c>
      <c r="BC679">
        <v>1</v>
      </c>
      <c r="BE679">
        <v>0</v>
      </c>
      <c r="BF679">
        <v>0</v>
      </c>
      <c r="BG679">
        <v>0</v>
      </c>
      <c r="BH679">
        <v>925</v>
      </c>
      <c r="BI679">
        <v>1</v>
      </c>
      <c r="BJ679">
        <v>1</v>
      </c>
      <c r="BK679">
        <v>0</v>
      </c>
      <c r="BL679">
        <v>0</v>
      </c>
      <c r="BO679">
        <v>0</v>
      </c>
      <c r="BP679">
        <v>0</v>
      </c>
      <c r="BW679" t="str">
        <f t="shared" si="322"/>
        <v>14:42:11.121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343</v>
      </c>
      <c r="CR679">
        <v>1</v>
      </c>
      <c r="CW679">
        <v>10581537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 t="shared" si="319"/>
        <v>05/12/2020 14:41:53.292</v>
      </c>
      <c r="C680" t="str">
        <f t="shared" si="313"/>
        <v>FFDFD3C0</v>
      </c>
      <c r="D680" t="s">
        <v>113</v>
      </c>
      <c r="E680">
        <v>3</v>
      </c>
      <c r="H680">
        <v>164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320"/>
        <v>14:42:11.117</v>
      </c>
      <c r="T680" t="str">
        <f t="shared" si="321"/>
        <v>14:42:10.917</v>
      </c>
      <c r="U680" t="str">
        <f t="shared" si="305"/>
        <v>A9808D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278</v>
      </c>
      <c r="AJ680">
        <v>28.258016000000001</v>
      </c>
      <c r="AK680" t="s">
        <v>146</v>
      </c>
      <c r="AL680">
        <v>-82.380617000000001</v>
      </c>
      <c r="AM680">
        <v>100</v>
      </c>
      <c r="AN680">
        <v>800</v>
      </c>
      <c r="AO680" t="s">
        <v>118</v>
      </c>
      <c r="AP680">
        <v>8</v>
      </c>
      <c r="AQ680">
        <v>88</v>
      </c>
      <c r="AR680">
        <v>768</v>
      </c>
      <c r="AZ680">
        <v>1200</v>
      </c>
      <c r="BA680">
        <v>1</v>
      </c>
      <c r="BB680" t="str">
        <f t="shared" si="314"/>
        <v xml:space="preserve">N711JA  </v>
      </c>
      <c r="BC680">
        <v>1</v>
      </c>
      <c r="BE680">
        <v>0</v>
      </c>
      <c r="BF680">
        <v>0</v>
      </c>
      <c r="BG680">
        <v>0</v>
      </c>
      <c r="BH680">
        <v>925</v>
      </c>
      <c r="BI680">
        <v>1</v>
      </c>
      <c r="BJ680">
        <v>1</v>
      </c>
      <c r="BK680">
        <v>0</v>
      </c>
      <c r="BL680">
        <v>0</v>
      </c>
      <c r="BO680">
        <v>0</v>
      </c>
      <c r="BP680">
        <v>0</v>
      </c>
      <c r="BW680" t="str">
        <f t="shared" si="322"/>
        <v>14:42:11.121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343</v>
      </c>
      <c r="CR680">
        <v>1</v>
      </c>
      <c r="CW680">
        <v>10581537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 t="shared" ref="A681:A689" si="323">"05/12/2020 14:41:54.214"</f>
        <v>05/12/2020 14:41:54.214</v>
      </c>
      <c r="C681" t="str">
        <f t="shared" si="313"/>
        <v>FFDFD3C0</v>
      </c>
      <c r="D681" t="s">
        <v>134</v>
      </c>
      <c r="E681">
        <v>12</v>
      </c>
      <c r="H681">
        <v>64</v>
      </c>
      <c r="I681" t="s">
        <v>135</v>
      </c>
      <c r="J681" t="s">
        <v>136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ref="S681:S689" si="324">"14:42:12.047"</f>
        <v>14:42:12.047</v>
      </c>
      <c r="T681" t="str">
        <f t="shared" ref="T681:T689" si="325">"14:42:11.947"</f>
        <v>14:42:11.947</v>
      </c>
      <c r="U681" t="str">
        <f t="shared" si="305"/>
        <v>A9808D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279</v>
      </c>
      <c r="AJ681">
        <v>28.258424000000002</v>
      </c>
      <c r="AK681" t="s">
        <v>280</v>
      </c>
      <c r="AL681">
        <v>-82.380595</v>
      </c>
      <c r="AM681">
        <v>100</v>
      </c>
      <c r="AN681">
        <v>900</v>
      </c>
      <c r="AO681" t="s">
        <v>118</v>
      </c>
      <c r="AP681">
        <v>8</v>
      </c>
      <c r="AQ681">
        <v>88</v>
      </c>
      <c r="AR681">
        <v>896</v>
      </c>
      <c r="AZ681">
        <v>1200</v>
      </c>
      <c r="BA681">
        <v>1</v>
      </c>
      <c r="BB681" t="str">
        <f t="shared" si="314"/>
        <v xml:space="preserve">N711JA  </v>
      </c>
      <c r="BC681">
        <v>1</v>
      </c>
      <c r="BE681">
        <v>0</v>
      </c>
      <c r="BF681">
        <v>0</v>
      </c>
      <c r="BG681">
        <v>0</v>
      </c>
      <c r="BH681">
        <v>1050</v>
      </c>
      <c r="BI681">
        <v>1</v>
      </c>
      <c r="BJ681">
        <v>1</v>
      </c>
      <c r="BK681">
        <v>0</v>
      </c>
      <c r="BL681">
        <v>0</v>
      </c>
      <c r="BO681">
        <v>0</v>
      </c>
      <c r="BP681">
        <v>0</v>
      </c>
      <c r="BW681" t="str">
        <f t="shared" ref="BW681:BW689" si="326">"14:42:12.053"</f>
        <v>14:42:12.053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343</v>
      </c>
      <c r="CR681">
        <v>0</v>
      </c>
      <c r="CW681">
        <v>5652015</v>
      </c>
      <c r="CY681">
        <v>1</v>
      </c>
      <c r="CZ681">
        <v>0</v>
      </c>
      <c r="DA681">
        <v>0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 t="shared" si="323"/>
        <v>05/12/2020 14:41:54.214</v>
      </c>
      <c r="C682" t="str">
        <f t="shared" si="313"/>
        <v>FFDFD3C0</v>
      </c>
      <c r="D682" t="s">
        <v>126</v>
      </c>
      <c r="E682">
        <v>6</v>
      </c>
      <c r="F682">
        <v>1006</v>
      </c>
      <c r="G682" t="s">
        <v>114</v>
      </c>
      <c r="J682" t="s">
        <v>128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324"/>
        <v>14:42:12.047</v>
      </c>
      <c r="T682" t="str">
        <f t="shared" si="325"/>
        <v>14:42:11.947</v>
      </c>
      <c r="U682" t="str">
        <f t="shared" si="305"/>
        <v>A9808D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279</v>
      </c>
      <c r="AJ682">
        <v>28.258424000000002</v>
      </c>
      <c r="AK682" t="s">
        <v>280</v>
      </c>
      <c r="AL682">
        <v>-82.380595</v>
      </c>
      <c r="AM682">
        <v>100</v>
      </c>
      <c r="AN682">
        <v>900</v>
      </c>
      <c r="AO682" t="s">
        <v>118</v>
      </c>
      <c r="AP682">
        <v>8</v>
      </c>
      <c r="AQ682">
        <v>88</v>
      </c>
      <c r="AR682">
        <v>896</v>
      </c>
      <c r="AZ682">
        <v>1200</v>
      </c>
      <c r="BA682">
        <v>1</v>
      </c>
      <c r="BB682" t="str">
        <f t="shared" si="314"/>
        <v xml:space="preserve">N711JA  </v>
      </c>
      <c r="BC682">
        <v>1</v>
      </c>
      <c r="BE682">
        <v>0</v>
      </c>
      <c r="BF682">
        <v>0</v>
      </c>
      <c r="BG682">
        <v>0</v>
      </c>
      <c r="BH682">
        <v>1050</v>
      </c>
      <c r="BI682">
        <v>1</v>
      </c>
      <c r="BJ682">
        <v>1</v>
      </c>
      <c r="BK682">
        <v>0</v>
      </c>
      <c r="BL682">
        <v>0</v>
      </c>
      <c r="BO682">
        <v>0</v>
      </c>
      <c r="BP682">
        <v>0</v>
      </c>
      <c r="BW682" t="str">
        <f t="shared" si="326"/>
        <v>14:42:12.053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343</v>
      </c>
      <c r="CR682">
        <v>0</v>
      </c>
      <c r="CW682">
        <v>5652015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 t="shared" si="323"/>
        <v>05/12/2020 14:41:54.214</v>
      </c>
      <c r="C683" t="str">
        <f t="shared" si="313"/>
        <v>FFDFD3C0</v>
      </c>
      <c r="D683" t="s">
        <v>113</v>
      </c>
      <c r="E683">
        <v>3</v>
      </c>
      <c r="H683">
        <v>164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324"/>
        <v>14:42:12.047</v>
      </c>
      <c r="T683" t="str">
        <f t="shared" si="325"/>
        <v>14:42:11.947</v>
      </c>
      <c r="U683" t="str">
        <f t="shared" si="305"/>
        <v>A9808D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279</v>
      </c>
      <c r="AJ683">
        <v>28.258424000000002</v>
      </c>
      <c r="AK683" t="s">
        <v>280</v>
      </c>
      <c r="AL683">
        <v>-82.380595</v>
      </c>
      <c r="AM683">
        <v>100</v>
      </c>
      <c r="AN683">
        <v>900</v>
      </c>
      <c r="AO683" t="s">
        <v>118</v>
      </c>
      <c r="AP683">
        <v>8</v>
      </c>
      <c r="AQ683">
        <v>88</v>
      </c>
      <c r="AR683">
        <v>896</v>
      </c>
      <c r="AZ683">
        <v>1200</v>
      </c>
      <c r="BA683">
        <v>1</v>
      </c>
      <c r="BB683" t="str">
        <f t="shared" si="314"/>
        <v xml:space="preserve">N711JA  </v>
      </c>
      <c r="BC683">
        <v>1</v>
      </c>
      <c r="BE683">
        <v>0</v>
      </c>
      <c r="BF683">
        <v>0</v>
      </c>
      <c r="BG683">
        <v>0</v>
      </c>
      <c r="BH683">
        <v>1050</v>
      </c>
      <c r="BI683">
        <v>1</v>
      </c>
      <c r="BJ683">
        <v>1</v>
      </c>
      <c r="BK683">
        <v>0</v>
      </c>
      <c r="BL683">
        <v>0</v>
      </c>
      <c r="BO683">
        <v>0</v>
      </c>
      <c r="BP683">
        <v>0</v>
      </c>
      <c r="BW683" t="str">
        <f t="shared" si="326"/>
        <v>14:42:12.053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343</v>
      </c>
      <c r="CR683">
        <v>0</v>
      </c>
      <c r="CW683">
        <v>5652015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 t="shared" si="323"/>
        <v>05/12/2020 14:41:54.214</v>
      </c>
      <c r="C684" t="str">
        <f t="shared" si="313"/>
        <v>FFDFD3C0</v>
      </c>
      <c r="D684" t="s">
        <v>138</v>
      </c>
      <c r="E684">
        <v>2</v>
      </c>
      <c r="H684">
        <v>8</v>
      </c>
      <c r="I684" t="s">
        <v>139</v>
      </c>
      <c r="J684" t="s">
        <v>136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324"/>
        <v>14:42:12.047</v>
      </c>
      <c r="T684" t="str">
        <f t="shared" si="325"/>
        <v>14:42:11.947</v>
      </c>
      <c r="U684" t="str">
        <f t="shared" si="305"/>
        <v>A9808D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279</v>
      </c>
      <c r="AJ684">
        <v>28.258424000000002</v>
      </c>
      <c r="AK684" t="s">
        <v>280</v>
      </c>
      <c r="AL684">
        <v>-82.380595</v>
      </c>
      <c r="AM684">
        <v>100</v>
      </c>
      <c r="AN684">
        <v>900</v>
      </c>
      <c r="AO684" t="s">
        <v>118</v>
      </c>
      <c r="AP684">
        <v>8</v>
      </c>
      <c r="AQ684">
        <v>88</v>
      </c>
      <c r="AR684">
        <v>896</v>
      </c>
      <c r="AZ684">
        <v>1200</v>
      </c>
      <c r="BA684">
        <v>1</v>
      </c>
      <c r="BB684" t="str">
        <f t="shared" si="314"/>
        <v xml:space="preserve">N711JA  </v>
      </c>
      <c r="BC684">
        <v>1</v>
      </c>
      <c r="BE684">
        <v>0</v>
      </c>
      <c r="BF684">
        <v>0</v>
      </c>
      <c r="BG684">
        <v>0</v>
      </c>
      <c r="BH684">
        <v>1050</v>
      </c>
      <c r="BI684">
        <v>1</v>
      </c>
      <c r="BJ684">
        <v>1</v>
      </c>
      <c r="BK684">
        <v>0</v>
      </c>
      <c r="BL684">
        <v>0</v>
      </c>
      <c r="BO684">
        <v>0</v>
      </c>
      <c r="BP684">
        <v>0</v>
      </c>
      <c r="BW684" t="str">
        <f t="shared" si="326"/>
        <v>14:42:12.053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343</v>
      </c>
      <c r="CR684">
        <v>0</v>
      </c>
      <c r="CW684">
        <v>5652015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 t="shared" si="323"/>
        <v>05/12/2020 14:41:54.214</v>
      </c>
      <c r="C685" t="str">
        <f t="shared" si="313"/>
        <v>FFDFD3C0</v>
      </c>
      <c r="D685" t="s">
        <v>138</v>
      </c>
      <c r="E685">
        <v>3</v>
      </c>
      <c r="H685">
        <v>9</v>
      </c>
      <c r="I685" t="s">
        <v>140</v>
      </c>
      <c r="J685" t="s">
        <v>136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24"/>
        <v>14:42:12.047</v>
      </c>
      <c r="T685" t="str">
        <f t="shared" si="325"/>
        <v>14:42:11.947</v>
      </c>
      <c r="U685" t="str">
        <f t="shared" si="305"/>
        <v>A9808D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279</v>
      </c>
      <c r="AJ685">
        <v>28.258424000000002</v>
      </c>
      <c r="AK685" t="s">
        <v>280</v>
      </c>
      <c r="AL685">
        <v>-82.380595</v>
      </c>
      <c r="AM685">
        <v>100</v>
      </c>
      <c r="AN685">
        <v>900</v>
      </c>
      <c r="AO685" t="s">
        <v>118</v>
      </c>
      <c r="AP685">
        <v>8</v>
      </c>
      <c r="AQ685">
        <v>88</v>
      </c>
      <c r="AR685">
        <v>896</v>
      </c>
      <c r="AZ685">
        <v>1200</v>
      </c>
      <c r="BA685">
        <v>1</v>
      </c>
      <c r="BB685" t="str">
        <f t="shared" si="314"/>
        <v xml:space="preserve">N711JA  </v>
      </c>
      <c r="BC685">
        <v>1</v>
      </c>
      <c r="BE685">
        <v>0</v>
      </c>
      <c r="BF685">
        <v>0</v>
      </c>
      <c r="BG685">
        <v>0</v>
      </c>
      <c r="BH685">
        <v>1050</v>
      </c>
      <c r="BI685">
        <v>1</v>
      </c>
      <c r="BJ685">
        <v>1</v>
      </c>
      <c r="BK685">
        <v>0</v>
      </c>
      <c r="BL685">
        <v>0</v>
      </c>
      <c r="BO685">
        <v>0</v>
      </c>
      <c r="BP685">
        <v>0</v>
      </c>
      <c r="BW685" t="str">
        <f t="shared" si="326"/>
        <v>14:42:12.053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343</v>
      </c>
      <c r="CR685">
        <v>0</v>
      </c>
      <c r="CW685">
        <v>5652015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si="323"/>
        <v>05/12/2020 14:41:54.214</v>
      </c>
      <c r="C686" t="str">
        <f t="shared" si="313"/>
        <v>FFDFD3C0</v>
      </c>
      <c r="D686" t="s">
        <v>126</v>
      </c>
      <c r="E686">
        <v>7</v>
      </c>
      <c r="F686">
        <v>1007</v>
      </c>
      <c r="G686" t="s">
        <v>127</v>
      </c>
      <c r="J686" t="s">
        <v>128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24"/>
        <v>14:42:12.047</v>
      </c>
      <c r="T686" t="str">
        <f t="shared" si="325"/>
        <v>14:42:11.947</v>
      </c>
      <c r="U686" t="str">
        <f t="shared" si="305"/>
        <v>A9808D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279</v>
      </c>
      <c r="AJ686">
        <v>28.258424000000002</v>
      </c>
      <c r="AK686" t="s">
        <v>280</v>
      </c>
      <c r="AL686">
        <v>-82.380595</v>
      </c>
      <c r="AM686">
        <v>100</v>
      </c>
      <c r="AN686">
        <v>900</v>
      </c>
      <c r="AO686" t="s">
        <v>118</v>
      </c>
      <c r="AP686">
        <v>8</v>
      </c>
      <c r="AQ686">
        <v>88</v>
      </c>
      <c r="AR686">
        <v>896</v>
      </c>
      <c r="AZ686">
        <v>1200</v>
      </c>
      <c r="BA686">
        <v>1</v>
      </c>
      <c r="BB686" t="str">
        <f t="shared" si="314"/>
        <v xml:space="preserve">N711JA  </v>
      </c>
      <c r="BC686">
        <v>1</v>
      </c>
      <c r="BE686">
        <v>0</v>
      </c>
      <c r="BF686">
        <v>0</v>
      </c>
      <c r="BG686">
        <v>0</v>
      </c>
      <c r="BH686">
        <v>1050</v>
      </c>
      <c r="BI686">
        <v>1</v>
      </c>
      <c r="BJ686">
        <v>1</v>
      </c>
      <c r="BK686">
        <v>0</v>
      </c>
      <c r="BL686">
        <v>0</v>
      </c>
      <c r="BO686">
        <v>0</v>
      </c>
      <c r="BP686">
        <v>0</v>
      </c>
      <c r="BW686" t="str">
        <f t="shared" si="326"/>
        <v>14:42:12.053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343</v>
      </c>
      <c r="CR686">
        <v>0</v>
      </c>
      <c r="CW686">
        <v>5652015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323"/>
        <v>05/12/2020 14:41:54.214</v>
      </c>
      <c r="C687" t="str">
        <f t="shared" si="313"/>
        <v>FFDFD3C0</v>
      </c>
      <c r="D687" t="s">
        <v>131</v>
      </c>
      <c r="E687">
        <v>10</v>
      </c>
      <c r="F687">
        <v>2010</v>
      </c>
      <c r="G687" t="s">
        <v>132</v>
      </c>
      <c r="J687" t="s">
        <v>133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324"/>
        <v>14:42:12.047</v>
      </c>
      <c r="T687" t="str">
        <f t="shared" si="325"/>
        <v>14:42:11.947</v>
      </c>
      <c r="U687" t="str">
        <f t="shared" si="305"/>
        <v>A9808D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279</v>
      </c>
      <c r="AJ687">
        <v>28.258424000000002</v>
      </c>
      <c r="AK687" t="s">
        <v>280</v>
      </c>
      <c r="AL687">
        <v>-82.380595</v>
      </c>
      <c r="AM687">
        <v>100</v>
      </c>
      <c r="AN687">
        <v>900</v>
      </c>
      <c r="AO687" t="s">
        <v>118</v>
      </c>
      <c r="AP687">
        <v>8</v>
      </c>
      <c r="AQ687">
        <v>88</v>
      </c>
      <c r="AR687">
        <v>896</v>
      </c>
      <c r="AZ687">
        <v>1200</v>
      </c>
      <c r="BA687">
        <v>1</v>
      </c>
      <c r="BB687" t="str">
        <f t="shared" si="314"/>
        <v xml:space="preserve">N711JA  </v>
      </c>
      <c r="BC687">
        <v>1</v>
      </c>
      <c r="BE687">
        <v>0</v>
      </c>
      <c r="BF687">
        <v>0</v>
      </c>
      <c r="BG687">
        <v>0</v>
      </c>
      <c r="BH687">
        <v>1050</v>
      </c>
      <c r="BI687">
        <v>1</v>
      </c>
      <c r="BJ687">
        <v>1</v>
      </c>
      <c r="BK687">
        <v>0</v>
      </c>
      <c r="BL687">
        <v>0</v>
      </c>
      <c r="BO687">
        <v>0</v>
      </c>
      <c r="BP687">
        <v>0</v>
      </c>
      <c r="BW687" t="str">
        <f t="shared" si="326"/>
        <v>14:42:12.053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343</v>
      </c>
      <c r="CR687">
        <v>0</v>
      </c>
      <c r="CW687">
        <v>5652015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323"/>
        <v>05/12/2020 14:41:54.214</v>
      </c>
      <c r="C688" t="str">
        <f t="shared" si="313"/>
        <v>FFDFD3C0</v>
      </c>
      <c r="D688" t="s">
        <v>131</v>
      </c>
      <c r="E688">
        <v>12</v>
      </c>
      <c r="F688">
        <v>2012</v>
      </c>
      <c r="G688" t="s">
        <v>137</v>
      </c>
      <c r="J688" t="s">
        <v>133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324"/>
        <v>14:42:12.047</v>
      </c>
      <c r="T688" t="str">
        <f t="shared" si="325"/>
        <v>14:42:11.947</v>
      </c>
      <c r="U688" t="str">
        <f t="shared" si="305"/>
        <v>A9808D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279</v>
      </c>
      <c r="AJ688">
        <v>28.258424000000002</v>
      </c>
      <c r="AK688" t="s">
        <v>280</v>
      </c>
      <c r="AL688">
        <v>-82.380595</v>
      </c>
      <c r="AM688">
        <v>100</v>
      </c>
      <c r="AN688">
        <v>900</v>
      </c>
      <c r="AO688" t="s">
        <v>118</v>
      </c>
      <c r="AP688">
        <v>8</v>
      </c>
      <c r="AQ688">
        <v>88</v>
      </c>
      <c r="AR688">
        <v>896</v>
      </c>
      <c r="AZ688">
        <v>1200</v>
      </c>
      <c r="BA688">
        <v>1</v>
      </c>
      <c r="BB688" t="str">
        <f t="shared" si="314"/>
        <v xml:space="preserve">N711JA  </v>
      </c>
      <c r="BC688">
        <v>1</v>
      </c>
      <c r="BE688">
        <v>0</v>
      </c>
      <c r="BF688">
        <v>0</v>
      </c>
      <c r="BG688">
        <v>0</v>
      </c>
      <c r="BH688">
        <v>1050</v>
      </c>
      <c r="BI688">
        <v>1</v>
      </c>
      <c r="BJ688">
        <v>1</v>
      </c>
      <c r="BK688">
        <v>0</v>
      </c>
      <c r="BL688">
        <v>0</v>
      </c>
      <c r="BO688">
        <v>0</v>
      </c>
      <c r="BP688">
        <v>0</v>
      </c>
      <c r="BW688" t="str">
        <f t="shared" si="326"/>
        <v>14:42:12.053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343</v>
      </c>
      <c r="CR688">
        <v>0</v>
      </c>
      <c r="CW688">
        <v>5652015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323"/>
        <v>05/12/2020 14:41:54.214</v>
      </c>
      <c r="C689" t="str">
        <f t="shared" si="313"/>
        <v>FFDFD3C0</v>
      </c>
      <c r="D689" t="s">
        <v>131</v>
      </c>
      <c r="E689">
        <v>18</v>
      </c>
      <c r="F689">
        <v>2018</v>
      </c>
      <c r="G689" t="s">
        <v>161</v>
      </c>
      <c r="J689" t="s">
        <v>133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324"/>
        <v>14:42:12.047</v>
      </c>
      <c r="T689" t="str">
        <f t="shared" si="325"/>
        <v>14:42:11.947</v>
      </c>
      <c r="U689" t="str">
        <f t="shared" si="305"/>
        <v>A9808D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279</v>
      </c>
      <c r="AJ689">
        <v>28.258424000000002</v>
      </c>
      <c r="AK689" t="s">
        <v>280</v>
      </c>
      <c r="AL689">
        <v>-82.380595</v>
      </c>
      <c r="AM689">
        <v>100</v>
      </c>
      <c r="AN689">
        <v>900</v>
      </c>
      <c r="AO689" t="s">
        <v>118</v>
      </c>
      <c r="AP689">
        <v>8</v>
      </c>
      <c r="AQ689">
        <v>88</v>
      </c>
      <c r="AR689">
        <v>896</v>
      </c>
      <c r="AZ689">
        <v>1200</v>
      </c>
      <c r="BA689">
        <v>1</v>
      </c>
      <c r="BB689" t="str">
        <f t="shared" si="314"/>
        <v xml:space="preserve">N711JA  </v>
      </c>
      <c r="BC689">
        <v>1</v>
      </c>
      <c r="BE689">
        <v>0</v>
      </c>
      <c r="BF689">
        <v>0</v>
      </c>
      <c r="BG689">
        <v>0</v>
      </c>
      <c r="BH689">
        <v>1050</v>
      </c>
      <c r="BI689">
        <v>1</v>
      </c>
      <c r="BJ689">
        <v>1</v>
      </c>
      <c r="BK689">
        <v>0</v>
      </c>
      <c r="BL689">
        <v>0</v>
      </c>
      <c r="BO689">
        <v>0</v>
      </c>
      <c r="BP689">
        <v>0</v>
      </c>
      <c r="BW689" t="str">
        <f t="shared" si="326"/>
        <v>14:42:12.053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343</v>
      </c>
      <c r="CR689">
        <v>0</v>
      </c>
      <c r="CW689">
        <v>5652015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ref="A690:A698" si="327">"05/12/2020 14:41:55.309"</f>
        <v>05/12/2020 14:41:55.309</v>
      </c>
      <c r="C690" t="str">
        <f t="shared" si="313"/>
        <v>FFDFD3C0</v>
      </c>
      <c r="D690" t="s">
        <v>131</v>
      </c>
      <c r="E690">
        <v>12</v>
      </c>
      <c r="F690">
        <v>2012</v>
      </c>
      <c r="G690" t="s">
        <v>137</v>
      </c>
      <c r="J690" t="s">
        <v>133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ref="S690:S698" si="328">"14:42:13.133"</f>
        <v>14:42:13.133</v>
      </c>
      <c r="T690" t="str">
        <f t="shared" ref="T690:T698" si="329">"14:42:12.933"</f>
        <v>14:42:12.933</v>
      </c>
      <c r="U690" t="str">
        <f t="shared" si="305"/>
        <v>A9808D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281</v>
      </c>
      <c r="AJ690">
        <v>28.258852999999998</v>
      </c>
      <c r="AK690" t="s">
        <v>282</v>
      </c>
      <c r="AL690">
        <v>-82.380551999999994</v>
      </c>
      <c r="AM690">
        <v>100</v>
      </c>
      <c r="AN690">
        <v>900</v>
      </c>
      <c r="AO690" t="s">
        <v>118</v>
      </c>
      <c r="AP690">
        <v>7</v>
      </c>
      <c r="AQ690">
        <v>88</v>
      </c>
      <c r="AR690">
        <v>768</v>
      </c>
      <c r="AZ690">
        <v>1200</v>
      </c>
      <c r="BA690">
        <v>1</v>
      </c>
      <c r="BB690" t="str">
        <f t="shared" si="314"/>
        <v xml:space="preserve">N711JA  </v>
      </c>
      <c r="BC690">
        <v>1</v>
      </c>
      <c r="BE690">
        <v>0</v>
      </c>
      <c r="BF690">
        <v>0</v>
      </c>
      <c r="BG690">
        <v>0</v>
      </c>
      <c r="BH690">
        <v>975</v>
      </c>
      <c r="BI690">
        <v>1</v>
      </c>
      <c r="BJ690">
        <v>1</v>
      </c>
      <c r="BK690">
        <v>0</v>
      </c>
      <c r="BL690">
        <v>0</v>
      </c>
      <c r="BO690">
        <v>0</v>
      </c>
      <c r="BP690">
        <v>0</v>
      </c>
      <c r="BW690" t="str">
        <f t="shared" ref="BW690:BW698" si="330">"14:42:13.139"</f>
        <v>14:42:13.139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343</v>
      </c>
      <c r="CR690">
        <v>2</v>
      </c>
      <c r="CW690">
        <v>12990737</v>
      </c>
      <c r="CY690">
        <v>1</v>
      </c>
      <c r="CZ690">
        <v>0</v>
      </c>
      <c r="DA690">
        <v>0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si="327"/>
        <v>05/12/2020 14:41:55.309</v>
      </c>
      <c r="C691" t="str">
        <f t="shared" si="313"/>
        <v>FFDFD3C0</v>
      </c>
      <c r="D691" t="s">
        <v>131</v>
      </c>
      <c r="E691">
        <v>18</v>
      </c>
      <c r="F691">
        <v>2018</v>
      </c>
      <c r="G691" t="s">
        <v>161</v>
      </c>
      <c r="J691" t="s">
        <v>133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328"/>
        <v>14:42:13.133</v>
      </c>
      <c r="T691" t="str">
        <f t="shared" si="329"/>
        <v>14:42:12.933</v>
      </c>
      <c r="U691" t="str">
        <f t="shared" si="305"/>
        <v>A9808D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281</v>
      </c>
      <c r="AJ691">
        <v>28.258852999999998</v>
      </c>
      <c r="AK691" t="s">
        <v>282</v>
      </c>
      <c r="AL691">
        <v>-82.380551999999994</v>
      </c>
      <c r="AM691">
        <v>100</v>
      </c>
      <c r="AN691">
        <v>900</v>
      </c>
      <c r="AO691" t="s">
        <v>118</v>
      </c>
      <c r="AP691">
        <v>7</v>
      </c>
      <c r="AQ691">
        <v>88</v>
      </c>
      <c r="AR691">
        <v>768</v>
      </c>
      <c r="AZ691">
        <v>1200</v>
      </c>
      <c r="BA691">
        <v>1</v>
      </c>
      <c r="BB691" t="str">
        <f t="shared" si="314"/>
        <v xml:space="preserve">N711JA  </v>
      </c>
      <c r="BC691">
        <v>1</v>
      </c>
      <c r="BE691">
        <v>0</v>
      </c>
      <c r="BF691">
        <v>0</v>
      </c>
      <c r="BG691">
        <v>0</v>
      </c>
      <c r="BH691">
        <v>975</v>
      </c>
      <c r="BI691">
        <v>1</v>
      </c>
      <c r="BJ691">
        <v>1</v>
      </c>
      <c r="BK691">
        <v>0</v>
      </c>
      <c r="BL691">
        <v>0</v>
      </c>
      <c r="BO691">
        <v>0</v>
      </c>
      <c r="BP691">
        <v>0</v>
      </c>
      <c r="BW691" t="str">
        <f t="shared" si="330"/>
        <v>14:42:13.139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343</v>
      </c>
      <c r="CR691">
        <v>2</v>
      </c>
      <c r="CW691">
        <v>12990737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 t="shared" si="327"/>
        <v>05/12/2020 14:41:55.309</v>
      </c>
      <c r="C692" t="str">
        <f t="shared" si="313"/>
        <v>FFDFD3C0</v>
      </c>
      <c r="D692" t="s">
        <v>138</v>
      </c>
      <c r="E692">
        <v>2</v>
      </c>
      <c r="H692">
        <v>8</v>
      </c>
      <c r="I692" t="s">
        <v>139</v>
      </c>
      <c r="J692" t="s">
        <v>136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328"/>
        <v>14:42:13.133</v>
      </c>
      <c r="T692" t="str">
        <f t="shared" si="329"/>
        <v>14:42:12.933</v>
      </c>
      <c r="U692" t="str">
        <f t="shared" si="305"/>
        <v>A9808D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281</v>
      </c>
      <c r="AJ692">
        <v>28.258852999999998</v>
      </c>
      <c r="AK692" t="s">
        <v>282</v>
      </c>
      <c r="AL692">
        <v>-82.380551999999994</v>
      </c>
      <c r="AM692">
        <v>100</v>
      </c>
      <c r="AN692">
        <v>900</v>
      </c>
      <c r="AO692" t="s">
        <v>118</v>
      </c>
      <c r="AP692">
        <v>7</v>
      </c>
      <c r="AQ692">
        <v>88</v>
      </c>
      <c r="AR692">
        <v>768</v>
      </c>
      <c r="AZ692">
        <v>1200</v>
      </c>
      <c r="BA692">
        <v>1</v>
      </c>
      <c r="BB692" t="str">
        <f t="shared" si="314"/>
        <v xml:space="preserve">N711JA  </v>
      </c>
      <c r="BC692">
        <v>1</v>
      </c>
      <c r="BE692">
        <v>0</v>
      </c>
      <c r="BF692">
        <v>0</v>
      </c>
      <c r="BG692">
        <v>0</v>
      </c>
      <c r="BH692">
        <v>975</v>
      </c>
      <c r="BI692">
        <v>1</v>
      </c>
      <c r="BJ692">
        <v>1</v>
      </c>
      <c r="BK692">
        <v>0</v>
      </c>
      <c r="BL692">
        <v>0</v>
      </c>
      <c r="BO692">
        <v>0</v>
      </c>
      <c r="BP692">
        <v>0</v>
      </c>
      <c r="BW692" t="str">
        <f t="shared" si="330"/>
        <v>14:42:13.139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343</v>
      </c>
      <c r="CR692">
        <v>2</v>
      </c>
      <c r="CW692">
        <v>12990737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 t="shared" si="327"/>
        <v>05/12/2020 14:41:55.309</v>
      </c>
      <c r="C693" t="str">
        <f t="shared" si="313"/>
        <v>FFDFD3C0</v>
      </c>
      <c r="D693" t="s">
        <v>138</v>
      </c>
      <c r="E693">
        <v>3</v>
      </c>
      <c r="H693">
        <v>9</v>
      </c>
      <c r="I693" t="s">
        <v>140</v>
      </c>
      <c r="J693" t="s">
        <v>136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328"/>
        <v>14:42:13.133</v>
      </c>
      <c r="T693" t="str">
        <f t="shared" si="329"/>
        <v>14:42:12.933</v>
      </c>
      <c r="U693" t="str">
        <f t="shared" si="305"/>
        <v>A9808D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281</v>
      </c>
      <c r="AJ693">
        <v>28.258852999999998</v>
      </c>
      <c r="AK693" t="s">
        <v>282</v>
      </c>
      <c r="AL693">
        <v>-82.380551999999994</v>
      </c>
      <c r="AM693">
        <v>100</v>
      </c>
      <c r="AN693">
        <v>900</v>
      </c>
      <c r="AO693" t="s">
        <v>118</v>
      </c>
      <c r="AP693">
        <v>7</v>
      </c>
      <c r="AQ693">
        <v>88</v>
      </c>
      <c r="AR693">
        <v>768</v>
      </c>
      <c r="AZ693">
        <v>1200</v>
      </c>
      <c r="BA693">
        <v>1</v>
      </c>
      <c r="BB693" t="str">
        <f t="shared" si="314"/>
        <v xml:space="preserve">N711JA  </v>
      </c>
      <c r="BC693">
        <v>1</v>
      </c>
      <c r="BE693">
        <v>0</v>
      </c>
      <c r="BF693">
        <v>0</v>
      </c>
      <c r="BG693">
        <v>0</v>
      </c>
      <c r="BH693">
        <v>975</v>
      </c>
      <c r="BI693">
        <v>1</v>
      </c>
      <c r="BJ693">
        <v>1</v>
      </c>
      <c r="BK693">
        <v>0</v>
      </c>
      <c r="BL693">
        <v>0</v>
      </c>
      <c r="BO693">
        <v>0</v>
      </c>
      <c r="BP693">
        <v>0</v>
      </c>
      <c r="BW693" t="str">
        <f t="shared" si="330"/>
        <v>14:42:13.139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343</v>
      </c>
      <c r="CR693">
        <v>2</v>
      </c>
      <c r="CW693">
        <v>12990737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si="327"/>
        <v>05/12/2020 14:41:55.309</v>
      </c>
      <c r="C694" t="str">
        <f t="shared" si="313"/>
        <v>FFDFD3C0</v>
      </c>
      <c r="D694" t="s">
        <v>134</v>
      </c>
      <c r="E694">
        <v>12</v>
      </c>
      <c r="H694">
        <v>64</v>
      </c>
      <c r="I694" t="s">
        <v>135</v>
      </c>
      <c r="J694" t="s">
        <v>136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328"/>
        <v>14:42:13.133</v>
      </c>
      <c r="T694" t="str">
        <f t="shared" si="329"/>
        <v>14:42:12.933</v>
      </c>
      <c r="U694" t="str">
        <f t="shared" si="305"/>
        <v>A9808D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281</v>
      </c>
      <c r="AJ694">
        <v>28.258852999999998</v>
      </c>
      <c r="AK694" t="s">
        <v>282</v>
      </c>
      <c r="AL694">
        <v>-82.380551999999994</v>
      </c>
      <c r="AM694">
        <v>100</v>
      </c>
      <c r="AN694">
        <v>900</v>
      </c>
      <c r="AO694" t="s">
        <v>118</v>
      </c>
      <c r="AP694">
        <v>7</v>
      </c>
      <c r="AQ694">
        <v>88</v>
      </c>
      <c r="AR694">
        <v>768</v>
      </c>
      <c r="AZ694">
        <v>1200</v>
      </c>
      <c r="BA694">
        <v>1</v>
      </c>
      <c r="BB694" t="str">
        <f t="shared" si="314"/>
        <v xml:space="preserve">N711JA  </v>
      </c>
      <c r="BC694">
        <v>1</v>
      </c>
      <c r="BE694">
        <v>0</v>
      </c>
      <c r="BF694">
        <v>0</v>
      </c>
      <c r="BG694">
        <v>0</v>
      </c>
      <c r="BH694">
        <v>975</v>
      </c>
      <c r="BI694">
        <v>1</v>
      </c>
      <c r="BJ694">
        <v>1</v>
      </c>
      <c r="BK694">
        <v>0</v>
      </c>
      <c r="BL694">
        <v>0</v>
      </c>
      <c r="BO694">
        <v>0</v>
      </c>
      <c r="BP694">
        <v>0</v>
      </c>
      <c r="BW694" t="str">
        <f t="shared" si="330"/>
        <v>14:42:13.139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343</v>
      </c>
      <c r="CR694">
        <v>2</v>
      </c>
      <c r="CW694">
        <v>12990737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327"/>
        <v>05/12/2020 14:41:55.309</v>
      </c>
      <c r="C695" t="str">
        <f t="shared" si="313"/>
        <v>FFDFD3C0</v>
      </c>
      <c r="D695" t="s">
        <v>126</v>
      </c>
      <c r="E695">
        <v>6</v>
      </c>
      <c r="F695">
        <v>1006</v>
      </c>
      <c r="G695" t="s">
        <v>114</v>
      </c>
      <c r="J695" t="s">
        <v>128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28"/>
        <v>14:42:13.133</v>
      </c>
      <c r="T695" t="str">
        <f t="shared" si="329"/>
        <v>14:42:12.933</v>
      </c>
      <c r="U695" t="str">
        <f t="shared" si="305"/>
        <v>A9808D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281</v>
      </c>
      <c r="AJ695">
        <v>28.258852999999998</v>
      </c>
      <c r="AK695" t="s">
        <v>282</v>
      </c>
      <c r="AL695">
        <v>-82.380551999999994</v>
      </c>
      <c r="AM695">
        <v>100</v>
      </c>
      <c r="AN695">
        <v>900</v>
      </c>
      <c r="AO695" t="s">
        <v>118</v>
      </c>
      <c r="AP695">
        <v>7</v>
      </c>
      <c r="AQ695">
        <v>88</v>
      </c>
      <c r="AR695">
        <v>768</v>
      </c>
      <c r="AZ695">
        <v>1200</v>
      </c>
      <c r="BA695">
        <v>1</v>
      </c>
      <c r="BB695" t="str">
        <f t="shared" si="314"/>
        <v xml:space="preserve">N711JA  </v>
      </c>
      <c r="BC695">
        <v>1</v>
      </c>
      <c r="BE695">
        <v>0</v>
      </c>
      <c r="BF695">
        <v>0</v>
      </c>
      <c r="BG695">
        <v>0</v>
      </c>
      <c r="BH695">
        <v>975</v>
      </c>
      <c r="BI695">
        <v>1</v>
      </c>
      <c r="BJ695">
        <v>1</v>
      </c>
      <c r="BK695">
        <v>0</v>
      </c>
      <c r="BL695">
        <v>0</v>
      </c>
      <c r="BO695">
        <v>0</v>
      </c>
      <c r="BP695">
        <v>0</v>
      </c>
      <c r="BW695" t="str">
        <f t="shared" si="330"/>
        <v>14:42:13.139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343</v>
      </c>
      <c r="CR695">
        <v>2</v>
      </c>
      <c r="CW695">
        <v>12990737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327"/>
        <v>05/12/2020 14:41:55.309</v>
      </c>
      <c r="C696" t="str">
        <f t="shared" si="313"/>
        <v>FFDFD3C0</v>
      </c>
      <c r="D696" t="s">
        <v>126</v>
      </c>
      <c r="E696">
        <v>7</v>
      </c>
      <c r="F696">
        <v>1007</v>
      </c>
      <c r="G696" t="s">
        <v>127</v>
      </c>
      <c r="J696" t="s">
        <v>128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28"/>
        <v>14:42:13.133</v>
      </c>
      <c r="T696" t="str">
        <f t="shared" si="329"/>
        <v>14:42:12.933</v>
      </c>
      <c r="U696" t="str">
        <f t="shared" si="305"/>
        <v>A9808D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281</v>
      </c>
      <c r="AJ696">
        <v>28.258852999999998</v>
      </c>
      <c r="AK696" t="s">
        <v>282</v>
      </c>
      <c r="AL696">
        <v>-82.380551999999994</v>
      </c>
      <c r="AM696">
        <v>100</v>
      </c>
      <c r="AN696">
        <v>900</v>
      </c>
      <c r="AO696" t="s">
        <v>118</v>
      </c>
      <c r="AP696">
        <v>7</v>
      </c>
      <c r="AQ696">
        <v>88</v>
      </c>
      <c r="AR696">
        <v>768</v>
      </c>
      <c r="AZ696">
        <v>1200</v>
      </c>
      <c r="BA696">
        <v>1</v>
      </c>
      <c r="BB696" t="str">
        <f t="shared" si="314"/>
        <v xml:space="preserve">N711JA  </v>
      </c>
      <c r="BC696">
        <v>1</v>
      </c>
      <c r="BE696">
        <v>0</v>
      </c>
      <c r="BF696">
        <v>0</v>
      </c>
      <c r="BG696">
        <v>0</v>
      </c>
      <c r="BH696">
        <v>975</v>
      </c>
      <c r="BI696">
        <v>1</v>
      </c>
      <c r="BJ696">
        <v>1</v>
      </c>
      <c r="BK696">
        <v>0</v>
      </c>
      <c r="BL696">
        <v>0</v>
      </c>
      <c r="BO696">
        <v>0</v>
      </c>
      <c r="BP696">
        <v>0</v>
      </c>
      <c r="BW696" t="str">
        <f t="shared" si="330"/>
        <v>14:42:13.139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343</v>
      </c>
      <c r="CR696">
        <v>2</v>
      </c>
      <c r="CW696">
        <v>12990737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si="327"/>
        <v>05/12/2020 14:41:55.309</v>
      </c>
      <c r="C697" t="str">
        <f t="shared" si="313"/>
        <v>FFDFD3C0</v>
      </c>
      <c r="D697" t="s">
        <v>131</v>
      </c>
      <c r="E697">
        <v>10</v>
      </c>
      <c r="F697">
        <v>2010</v>
      </c>
      <c r="G697" t="s">
        <v>132</v>
      </c>
      <c r="J697" t="s">
        <v>133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328"/>
        <v>14:42:13.133</v>
      </c>
      <c r="T697" t="str">
        <f t="shared" si="329"/>
        <v>14:42:12.933</v>
      </c>
      <c r="U697" t="str">
        <f t="shared" si="305"/>
        <v>A9808D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281</v>
      </c>
      <c r="AJ697">
        <v>28.258852999999998</v>
      </c>
      <c r="AK697" t="s">
        <v>282</v>
      </c>
      <c r="AL697">
        <v>-82.380551999999994</v>
      </c>
      <c r="AM697">
        <v>100</v>
      </c>
      <c r="AN697">
        <v>900</v>
      </c>
      <c r="AO697" t="s">
        <v>118</v>
      </c>
      <c r="AP697">
        <v>7</v>
      </c>
      <c r="AQ697">
        <v>88</v>
      </c>
      <c r="AR697">
        <v>768</v>
      </c>
      <c r="AZ697">
        <v>1200</v>
      </c>
      <c r="BA697">
        <v>1</v>
      </c>
      <c r="BB697" t="str">
        <f t="shared" si="314"/>
        <v xml:space="preserve">N711JA  </v>
      </c>
      <c r="BC697">
        <v>1</v>
      </c>
      <c r="BE697">
        <v>0</v>
      </c>
      <c r="BF697">
        <v>0</v>
      </c>
      <c r="BG697">
        <v>0</v>
      </c>
      <c r="BH697">
        <v>975</v>
      </c>
      <c r="BI697">
        <v>1</v>
      </c>
      <c r="BJ697">
        <v>1</v>
      </c>
      <c r="BK697">
        <v>0</v>
      </c>
      <c r="BL697">
        <v>0</v>
      </c>
      <c r="BO697">
        <v>0</v>
      </c>
      <c r="BP697">
        <v>0</v>
      </c>
      <c r="BW697" t="str">
        <f t="shared" si="330"/>
        <v>14:42:13.139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343</v>
      </c>
      <c r="CR697">
        <v>2</v>
      </c>
      <c r="CW697">
        <v>12990737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si="327"/>
        <v>05/12/2020 14:41:55.309</v>
      </c>
      <c r="C698" t="str">
        <f t="shared" si="313"/>
        <v>FFDFD3C0</v>
      </c>
      <c r="D698" t="s">
        <v>113</v>
      </c>
      <c r="E698">
        <v>3</v>
      </c>
      <c r="H698">
        <v>164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28"/>
        <v>14:42:13.133</v>
      </c>
      <c r="T698" t="str">
        <f t="shared" si="329"/>
        <v>14:42:12.933</v>
      </c>
      <c r="U698" t="str">
        <f t="shared" si="305"/>
        <v>A9808D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281</v>
      </c>
      <c r="AJ698">
        <v>28.258852999999998</v>
      </c>
      <c r="AK698" t="s">
        <v>282</v>
      </c>
      <c r="AL698">
        <v>-82.380551999999994</v>
      </c>
      <c r="AM698">
        <v>100</v>
      </c>
      <c r="AN698">
        <v>900</v>
      </c>
      <c r="AO698" t="s">
        <v>118</v>
      </c>
      <c r="AP698">
        <v>7</v>
      </c>
      <c r="AQ698">
        <v>88</v>
      </c>
      <c r="AR698">
        <v>768</v>
      </c>
      <c r="AZ698">
        <v>1200</v>
      </c>
      <c r="BA698">
        <v>1</v>
      </c>
      <c r="BB698" t="str">
        <f t="shared" si="314"/>
        <v xml:space="preserve">N711JA  </v>
      </c>
      <c r="BC698">
        <v>1</v>
      </c>
      <c r="BE698">
        <v>0</v>
      </c>
      <c r="BF698">
        <v>0</v>
      </c>
      <c r="BG698">
        <v>0</v>
      </c>
      <c r="BH698">
        <v>975</v>
      </c>
      <c r="BI698">
        <v>1</v>
      </c>
      <c r="BJ698">
        <v>1</v>
      </c>
      <c r="BK698">
        <v>0</v>
      </c>
      <c r="BL698">
        <v>0</v>
      </c>
      <c r="BO698">
        <v>0</v>
      </c>
      <c r="BP698">
        <v>0</v>
      </c>
      <c r="BW698" t="str">
        <f t="shared" si="330"/>
        <v>14:42:13.139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343</v>
      </c>
      <c r="CR698">
        <v>2</v>
      </c>
      <c r="CW698">
        <v>12990737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ref="A699:A707" si="331">"05/12/2020 14:41:56.197"</f>
        <v>05/12/2020 14:41:56.197</v>
      </c>
      <c r="C699" t="str">
        <f t="shared" si="313"/>
        <v>FFDFD3C0</v>
      </c>
      <c r="D699" t="s">
        <v>126</v>
      </c>
      <c r="E699">
        <v>6</v>
      </c>
      <c r="F699">
        <v>1006</v>
      </c>
      <c r="G699" t="s">
        <v>114</v>
      </c>
      <c r="J699" t="s">
        <v>128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ref="S699:S707" si="332">"14:42:14.016"</f>
        <v>14:42:14.016</v>
      </c>
      <c r="T699" t="str">
        <f t="shared" ref="T699:T707" si="333">"14:42:13.916"</f>
        <v>14:42:13.916</v>
      </c>
      <c r="U699" t="str">
        <f t="shared" si="305"/>
        <v>A9808D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283</v>
      </c>
      <c r="AJ699">
        <v>28.259218000000001</v>
      </c>
      <c r="AK699" t="s">
        <v>284</v>
      </c>
      <c r="AL699">
        <v>-82.380488</v>
      </c>
      <c r="AM699">
        <v>100</v>
      </c>
      <c r="AN699">
        <v>900</v>
      </c>
      <c r="AO699" t="s">
        <v>118</v>
      </c>
      <c r="AP699">
        <v>7</v>
      </c>
      <c r="AQ699">
        <v>88</v>
      </c>
      <c r="AR699">
        <v>640</v>
      </c>
      <c r="AZ699">
        <v>1200</v>
      </c>
      <c r="BA699">
        <v>1</v>
      </c>
      <c r="BB699" t="str">
        <f t="shared" si="314"/>
        <v xml:space="preserve">N711JA  </v>
      </c>
      <c r="BC699">
        <v>1</v>
      </c>
      <c r="BE699">
        <v>0</v>
      </c>
      <c r="BF699">
        <v>0</v>
      </c>
      <c r="BG699">
        <v>0</v>
      </c>
      <c r="BH699">
        <v>975</v>
      </c>
      <c r="BI699">
        <v>1</v>
      </c>
      <c r="BJ699">
        <v>1</v>
      </c>
      <c r="BK699">
        <v>0</v>
      </c>
      <c r="BL699">
        <v>0</v>
      </c>
      <c r="BO699">
        <v>0</v>
      </c>
      <c r="BP699">
        <v>0</v>
      </c>
      <c r="BW699" t="str">
        <f t="shared" ref="BW699:BW707" si="334">"14:42:14.022"</f>
        <v>14:42:14.022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343</v>
      </c>
      <c r="CR699">
        <v>2</v>
      </c>
      <c r="CW699">
        <v>12991436</v>
      </c>
      <c r="CY699">
        <v>1</v>
      </c>
      <c r="CZ699">
        <v>0</v>
      </c>
      <c r="DA699">
        <v>0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si="331"/>
        <v>05/12/2020 14:41:56.197</v>
      </c>
      <c r="C700" t="str">
        <f t="shared" si="313"/>
        <v>FFDFD3C0</v>
      </c>
      <c r="D700" t="s">
        <v>126</v>
      </c>
      <c r="E700">
        <v>7</v>
      </c>
      <c r="F700">
        <v>1007</v>
      </c>
      <c r="G700" t="s">
        <v>127</v>
      </c>
      <c r="J700" t="s">
        <v>128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32"/>
        <v>14:42:14.016</v>
      </c>
      <c r="T700" t="str">
        <f t="shared" si="333"/>
        <v>14:42:13.916</v>
      </c>
      <c r="U700" t="str">
        <f t="shared" si="305"/>
        <v>A9808D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283</v>
      </c>
      <c r="AJ700">
        <v>28.259218000000001</v>
      </c>
      <c r="AK700" t="s">
        <v>284</v>
      </c>
      <c r="AL700">
        <v>-82.380488</v>
      </c>
      <c r="AM700">
        <v>100</v>
      </c>
      <c r="AN700">
        <v>900</v>
      </c>
      <c r="AO700" t="s">
        <v>118</v>
      </c>
      <c r="AP700">
        <v>7</v>
      </c>
      <c r="AQ700">
        <v>88</v>
      </c>
      <c r="AR700">
        <v>640</v>
      </c>
      <c r="AZ700">
        <v>1200</v>
      </c>
      <c r="BA700">
        <v>1</v>
      </c>
      <c r="BB700" t="str">
        <f t="shared" si="314"/>
        <v xml:space="preserve">N711JA  </v>
      </c>
      <c r="BC700">
        <v>1</v>
      </c>
      <c r="BE700">
        <v>0</v>
      </c>
      <c r="BF700">
        <v>0</v>
      </c>
      <c r="BG700">
        <v>0</v>
      </c>
      <c r="BH700">
        <v>975</v>
      </c>
      <c r="BI700">
        <v>1</v>
      </c>
      <c r="BJ700">
        <v>1</v>
      </c>
      <c r="BK700">
        <v>0</v>
      </c>
      <c r="BL700">
        <v>0</v>
      </c>
      <c r="BO700">
        <v>0</v>
      </c>
      <c r="BP700">
        <v>0</v>
      </c>
      <c r="BW700" t="str">
        <f t="shared" si="334"/>
        <v>14:42:14.022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343</v>
      </c>
      <c r="CR700">
        <v>2</v>
      </c>
      <c r="CW700">
        <v>12991436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si="331"/>
        <v>05/12/2020 14:41:56.197</v>
      </c>
      <c r="C701" t="str">
        <f t="shared" si="313"/>
        <v>FFDFD3C0</v>
      </c>
      <c r="D701" t="s">
        <v>131</v>
      </c>
      <c r="E701">
        <v>10</v>
      </c>
      <c r="F701">
        <v>2010</v>
      </c>
      <c r="G701" t="s">
        <v>132</v>
      </c>
      <c r="J701" t="s">
        <v>133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32"/>
        <v>14:42:14.016</v>
      </c>
      <c r="T701" t="str">
        <f t="shared" si="333"/>
        <v>14:42:13.916</v>
      </c>
      <c r="U701" t="str">
        <f t="shared" si="305"/>
        <v>A9808D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283</v>
      </c>
      <c r="AJ701">
        <v>28.259218000000001</v>
      </c>
      <c r="AK701" t="s">
        <v>284</v>
      </c>
      <c r="AL701">
        <v>-82.380488</v>
      </c>
      <c r="AM701">
        <v>100</v>
      </c>
      <c r="AN701">
        <v>900</v>
      </c>
      <c r="AO701" t="s">
        <v>118</v>
      </c>
      <c r="AP701">
        <v>7</v>
      </c>
      <c r="AQ701">
        <v>88</v>
      </c>
      <c r="AR701">
        <v>640</v>
      </c>
      <c r="AZ701">
        <v>1200</v>
      </c>
      <c r="BA701">
        <v>1</v>
      </c>
      <c r="BB701" t="str">
        <f t="shared" si="314"/>
        <v xml:space="preserve">N711JA  </v>
      </c>
      <c r="BC701">
        <v>1</v>
      </c>
      <c r="BE701">
        <v>0</v>
      </c>
      <c r="BF701">
        <v>0</v>
      </c>
      <c r="BG701">
        <v>0</v>
      </c>
      <c r="BH701">
        <v>975</v>
      </c>
      <c r="BI701">
        <v>1</v>
      </c>
      <c r="BJ701">
        <v>1</v>
      </c>
      <c r="BK701">
        <v>0</v>
      </c>
      <c r="BL701">
        <v>0</v>
      </c>
      <c r="BO701">
        <v>0</v>
      </c>
      <c r="BP701">
        <v>0</v>
      </c>
      <c r="BW701" t="str">
        <f t="shared" si="334"/>
        <v>14:42:14.022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343</v>
      </c>
      <c r="CR701">
        <v>2</v>
      </c>
      <c r="CW701">
        <v>12991436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331"/>
        <v>05/12/2020 14:41:56.197</v>
      </c>
      <c r="C702" t="str">
        <f t="shared" si="313"/>
        <v>FFDFD3C0</v>
      </c>
      <c r="D702" t="s">
        <v>131</v>
      </c>
      <c r="E702">
        <v>12</v>
      </c>
      <c r="F702">
        <v>2012</v>
      </c>
      <c r="G702" t="s">
        <v>137</v>
      </c>
      <c r="J702" t="s">
        <v>133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32"/>
        <v>14:42:14.016</v>
      </c>
      <c r="T702" t="str">
        <f t="shared" si="333"/>
        <v>14:42:13.916</v>
      </c>
      <c r="U702" t="str">
        <f t="shared" si="305"/>
        <v>A9808D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283</v>
      </c>
      <c r="AJ702">
        <v>28.259218000000001</v>
      </c>
      <c r="AK702" t="s">
        <v>284</v>
      </c>
      <c r="AL702">
        <v>-82.380488</v>
      </c>
      <c r="AM702">
        <v>100</v>
      </c>
      <c r="AN702">
        <v>900</v>
      </c>
      <c r="AO702" t="s">
        <v>118</v>
      </c>
      <c r="AP702">
        <v>7</v>
      </c>
      <c r="AQ702">
        <v>88</v>
      </c>
      <c r="AR702">
        <v>640</v>
      </c>
      <c r="AZ702">
        <v>1200</v>
      </c>
      <c r="BA702">
        <v>1</v>
      </c>
      <c r="BB702" t="str">
        <f t="shared" si="314"/>
        <v xml:space="preserve">N711JA  </v>
      </c>
      <c r="BC702">
        <v>1</v>
      </c>
      <c r="BE702">
        <v>0</v>
      </c>
      <c r="BF702">
        <v>0</v>
      </c>
      <c r="BG702">
        <v>0</v>
      </c>
      <c r="BH702">
        <v>975</v>
      </c>
      <c r="BI702">
        <v>1</v>
      </c>
      <c r="BJ702">
        <v>1</v>
      </c>
      <c r="BK702">
        <v>0</v>
      </c>
      <c r="BL702">
        <v>0</v>
      </c>
      <c r="BO702">
        <v>0</v>
      </c>
      <c r="BP702">
        <v>0</v>
      </c>
      <c r="BW702" t="str">
        <f t="shared" si="334"/>
        <v>14:42:14.022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343</v>
      </c>
      <c r="CR702">
        <v>2</v>
      </c>
      <c r="CW702">
        <v>12991436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si="331"/>
        <v>05/12/2020 14:41:56.197</v>
      </c>
      <c r="C703" t="str">
        <f t="shared" si="313"/>
        <v>FFDFD3C0</v>
      </c>
      <c r="D703" t="s">
        <v>131</v>
      </c>
      <c r="E703">
        <v>18</v>
      </c>
      <c r="F703">
        <v>2018</v>
      </c>
      <c r="G703" t="s">
        <v>161</v>
      </c>
      <c r="J703" t="s">
        <v>133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32"/>
        <v>14:42:14.016</v>
      </c>
      <c r="T703" t="str">
        <f t="shared" si="333"/>
        <v>14:42:13.916</v>
      </c>
      <c r="U703" t="str">
        <f t="shared" si="305"/>
        <v>A9808D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283</v>
      </c>
      <c r="AJ703">
        <v>28.259218000000001</v>
      </c>
      <c r="AK703" t="s">
        <v>284</v>
      </c>
      <c r="AL703">
        <v>-82.380488</v>
      </c>
      <c r="AM703">
        <v>100</v>
      </c>
      <c r="AN703">
        <v>900</v>
      </c>
      <c r="AO703" t="s">
        <v>118</v>
      </c>
      <c r="AP703">
        <v>7</v>
      </c>
      <c r="AQ703">
        <v>88</v>
      </c>
      <c r="AR703">
        <v>640</v>
      </c>
      <c r="AZ703">
        <v>1200</v>
      </c>
      <c r="BA703">
        <v>1</v>
      </c>
      <c r="BB703" t="str">
        <f t="shared" si="314"/>
        <v xml:space="preserve">N711JA  </v>
      </c>
      <c r="BC703">
        <v>1</v>
      </c>
      <c r="BE703">
        <v>0</v>
      </c>
      <c r="BF703">
        <v>0</v>
      </c>
      <c r="BG703">
        <v>0</v>
      </c>
      <c r="BH703">
        <v>975</v>
      </c>
      <c r="BI703">
        <v>1</v>
      </c>
      <c r="BJ703">
        <v>1</v>
      </c>
      <c r="BK703">
        <v>0</v>
      </c>
      <c r="BL703">
        <v>0</v>
      </c>
      <c r="BO703">
        <v>0</v>
      </c>
      <c r="BP703">
        <v>0</v>
      </c>
      <c r="BW703" t="str">
        <f t="shared" si="334"/>
        <v>14:42:14.022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343</v>
      </c>
      <c r="CR703">
        <v>2</v>
      </c>
      <c r="CW703">
        <v>12991436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si="331"/>
        <v>05/12/2020 14:41:56.197</v>
      </c>
      <c r="C704" t="str">
        <f t="shared" si="313"/>
        <v>FFDFD3C0</v>
      </c>
      <c r="D704" t="s">
        <v>113</v>
      </c>
      <c r="E704">
        <v>3</v>
      </c>
      <c r="H704">
        <v>164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32"/>
        <v>14:42:14.016</v>
      </c>
      <c r="T704" t="str">
        <f t="shared" si="333"/>
        <v>14:42:13.916</v>
      </c>
      <c r="U704" t="str">
        <f t="shared" si="305"/>
        <v>A9808D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283</v>
      </c>
      <c r="AJ704">
        <v>28.259218000000001</v>
      </c>
      <c r="AK704" t="s">
        <v>284</v>
      </c>
      <c r="AL704">
        <v>-82.380488</v>
      </c>
      <c r="AM704">
        <v>100</v>
      </c>
      <c r="AN704">
        <v>900</v>
      </c>
      <c r="AO704" t="s">
        <v>118</v>
      </c>
      <c r="AP704">
        <v>7</v>
      </c>
      <c r="AQ704">
        <v>88</v>
      </c>
      <c r="AR704">
        <v>640</v>
      </c>
      <c r="AZ704">
        <v>1200</v>
      </c>
      <c r="BA704">
        <v>1</v>
      </c>
      <c r="BB704" t="str">
        <f t="shared" si="314"/>
        <v xml:space="preserve">N711JA  </v>
      </c>
      <c r="BC704">
        <v>1</v>
      </c>
      <c r="BE704">
        <v>0</v>
      </c>
      <c r="BF704">
        <v>0</v>
      </c>
      <c r="BG704">
        <v>0</v>
      </c>
      <c r="BH704">
        <v>975</v>
      </c>
      <c r="BI704">
        <v>1</v>
      </c>
      <c r="BJ704">
        <v>1</v>
      </c>
      <c r="BK704">
        <v>0</v>
      </c>
      <c r="BL704">
        <v>0</v>
      </c>
      <c r="BO704">
        <v>0</v>
      </c>
      <c r="BP704">
        <v>0</v>
      </c>
      <c r="BW704" t="str">
        <f t="shared" si="334"/>
        <v>14:42:14.022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343</v>
      </c>
      <c r="CR704">
        <v>2</v>
      </c>
      <c r="CW704">
        <v>12991436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331"/>
        <v>05/12/2020 14:41:56.197</v>
      </c>
      <c r="C705" t="str">
        <f t="shared" si="313"/>
        <v>FFDFD3C0</v>
      </c>
      <c r="D705" t="s">
        <v>138</v>
      </c>
      <c r="E705">
        <v>2</v>
      </c>
      <c r="H705">
        <v>8</v>
      </c>
      <c r="I705" t="s">
        <v>139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32"/>
        <v>14:42:14.016</v>
      </c>
      <c r="T705" t="str">
        <f t="shared" si="333"/>
        <v>14:42:13.916</v>
      </c>
      <c r="U705" t="str">
        <f t="shared" si="305"/>
        <v>A9808D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283</v>
      </c>
      <c r="AJ705">
        <v>28.259218000000001</v>
      </c>
      <c r="AK705" t="s">
        <v>284</v>
      </c>
      <c r="AL705">
        <v>-82.380488</v>
      </c>
      <c r="AM705">
        <v>100</v>
      </c>
      <c r="AN705">
        <v>900</v>
      </c>
      <c r="AO705" t="s">
        <v>118</v>
      </c>
      <c r="AP705">
        <v>7</v>
      </c>
      <c r="AQ705">
        <v>88</v>
      </c>
      <c r="AR705">
        <v>640</v>
      </c>
      <c r="AZ705">
        <v>1200</v>
      </c>
      <c r="BA705">
        <v>1</v>
      </c>
      <c r="BB705" t="str">
        <f t="shared" si="314"/>
        <v xml:space="preserve">N711JA  </v>
      </c>
      <c r="BC705">
        <v>1</v>
      </c>
      <c r="BE705">
        <v>0</v>
      </c>
      <c r="BF705">
        <v>0</v>
      </c>
      <c r="BG705">
        <v>0</v>
      </c>
      <c r="BH705">
        <v>975</v>
      </c>
      <c r="BI705">
        <v>1</v>
      </c>
      <c r="BJ705">
        <v>1</v>
      </c>
      <c r="BK705">
        <v>0</v>
      </c>
      <c r="BL705">
        <v>0</v>
      </c>
      <c r="BO705">
        <v>0</v>
      </c>
      <c r="BP705">
        <v>0</v>
      </c>
      <c r="BW705" t="str">
        <f t="shared" si="334"/>
        <v>14:42:14.022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343</v>
      </c>
      <c r="CR705">
        <v>2</v>
      </c>
      <c r="CW705">
        <v>12991436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si="331"/>
        <v>05/12/2020 14:41:56.197</v>
      </c>
      <c r="C706" t="str">
        <f t="shared" si="313"/>
        <v>FFDFD3C0</v>
      </c>
      <c r="D706" t="s">
        <v>138</v>
      </c>
      <c r="E706">
        <v>3</v>
      </c>
      <c r="H706">
        <v>9</v>
      </c>
      <c r="I706" t="s">
        <v>140</v>
      </c>
      <c r="J706" t="s">
        <v>136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32"/>
        <v>14:42:14.016</v>
      </c>
      <c r="T706" t="str">
        <f t="shared" si="333"/>
        <v>14:42:13.916</v>
      </c>
      <c r="U706" t="str">
        <f t="shared" ref="U706:U769" si="335">"A9808D"</f>
        <v>A9808D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283</v>
      </c>
      <c r="AJ706">
        <v>28.259218000000001</v>
      </c>
      <c r="AK706" t="s">
        <v>284</v>
      </c>
      <c r="AL706">
        <v>-82.380488</v>
      </c>
      <c r="AM706">
        <v>100</v>
      </c>
      <c r="AN706">
        <v>900</v>
      </c>
      <c r="AO706" t="s">
        <v>118</v>
      </c>
      <c r="AP706">
        <v>7</v>
      </c>
      <c r="AQ706">
        <v>88</v>
      </c>
      <c r="AR706">
        <v>640</v>
      </c>
      <c r="AZ706">
        <v>1200</v>
      </c>
      <c r="BA706">
        <v>1</v>
      </c>
      <c r="BB706" t="str">
        <f t="shared" si="314"/>
        <v xml:space="preserve">N711JA  </v>
      </c>
      <c r="BC706">
        <v>1</v>
      </c>
      <c r="BE706">
        <v>0</v>
      </c>
      <c r="BF706">
        <v>0</v>
      </c>
      <c r="BG706">
        <v>0</v>
      </c>
      <c r="BH706">
        <v>975</v>
      </c>
      <c r="BI706">
        <v>1</v>
      </c>
      <c r="BJ706">
        <v>1</v>
      </c>
      <c r="BK706">
        <v>0</v>
      </c>
      <c r="BL706">
        <v>0</v>
      </c>
      <c r="BO706">
        <v>0</v>
      </c>
      <c r="BP706">
        <v>0</v>
      </c>
      <c r="BW706" t="str">
        <f t="shared" si="334"/>
        <v>14:42:14.022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343</v>
      </c>
      <c r="CR706">
        <v>2</v>
      </c>
      <c r="CW706">
        <v>12991436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 t="shared" si="331"/>
        <v>05/12/2020 14:41:56.197</v>
      </c>
      <c r="C707" t="str">
        <f t="shared" si="313"/>
        <v>FFDFD3C0</v>
      </c>
      <c r="D707" t="s">
        <v>134</v>
      </c>
      <c r="E707">
        <v>12</v>
      </c>
      <c r="H707">
        <v>64</v>
      </c>
      <c r="I707" t="s">
        <v>135</v>
      </c>
      <c r="J707" t="s">
        <v>136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32"/>
        <v>14:42:14.016</v>
      </c>
      <c r="T707" t="str">
        <f t="shared" si="333"/>
        <v>14:42:13.916</v>
      </c>
      <c r="U707" t="str">
        <f t="shared" si="335"/>
        <v>A9808D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283</v>
      </c>
      <c r="AJ707">
        <v>28.259218000000001</v>
      </c>
      <c r="AK707" t="s">
        <v>284</v>
      </c>
      <c r="AL707">
        <v>-82.380488</v>
      </c>
      <c r="AM707">
        <v>100</v>
      </c>
      <c r="AN707">
        <v>900</v>
      </c>
      <c r="AO707" t="s">
        <v>118</v>
      </c>
      <c r="AP707">
        <v>7</v>
      </c>
      <c r="AQ707">
        <v>88</v>
      </c>
      <c r="AR707">
        <v>640</v>
      </c>
      <c r="AZ707">
        <v>1200</v>
      </c>
      <c r="BA707">
        <v>1</v>
      </c>
      <c r="BB707" t="str">
        <f t="shared" si="314"/>
        <v xml:space="preserve">N711JA  </v>
      </c>
      <c r="BC707">
        <v>1</v>
      </c>
      <c r="BE707">
        <v>0</v>
      </c>
      <c r="BF707">
        <v>0</v>
      </c>
      <c r="BG707">
        <v>0</v>
      </c>
      <c r="BH707">
        <v>975</v>
      </c>
      <c r="BI707">
        <v>1</v>
      </c>
      <c r="BJ707">
        <v>1</v>
      </c>
      <c r="BK707">
        <v>0</v>
      </c>
      <c r="BL707">
        <v>0</v>
      </c>
      <c r="BO707">
        <v>0</v>
      </c>
      <c r="BP707">
        <v>0</v>
      </c>
      <c r="BW707" t="str">
        <f t="shared" si="334"/>
        <v>14:42:14.022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343</v>
      </c>
      <c r="CR707">
        <v>2</v>
      </c>
      <c r="CW707">
        <v>12991436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 t="shared" ref="A708:A716" si="336">"05/12/2020 14:41:57.134"</f>
        <v>05/12/2020 14:41:57.134</v>
      </c>
      <c r="C708" t="str">
        <f t="shared" si="313"/>
        <v>FFDFD3C0</v>
      </c>
      <c r="D708" t="s">
        <v>138</v>
      </c>
      <c r="E708">
        <v>3</v>
      </c>
      <c r="H708">
        <v>9</v>
      </c>
      <c r="I708" t="s">
        <v>140</v>
      </c>
      <c r="J708" t="s">
        <v>136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ref="S708:T716" si="337">"14:42:14.969"</f>
        <v>14:42:14.969</v>
      </c>
      <c r="T708" t="str">
        <f t="shared" si="337"/>
        <v>14:42:14.969</v>
      </c>
      <c r="U708" t="str">
        <f t="shared" si="335"/>
        <v>A9808D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285</v>
      </c>
      <c r="AJ708">
        <v>28.259582999999999</v>
      </c>
      <c r="AK708" t="s">
        <v>286</v>
      </c>
      <c r="AL708">
        <v>-82.380509000000004</v>
      </c>
      <c r="AM708">
        <v>100</v>
      </c>
      <c r="AN708">
        <v>900</v>
      </c>
      <c r="AO708" t="s">
        <v>118</v>
      </c>
      <c r="AP708">
        <v>7</v>
      </c>
      <c r="AQ708">
        <v>88</v>
      </c>
      <c r="AR708">
        <v>640</v>
      </c>
      <c r="AZ708">
        <v>1200</v>
      </c>
      <c r="BA708">
        <v>1</v>
      </c>
      <c r="BB708" t="str">
        <f t="shared" si="314"/>
        <v xml:space="preserve">N711JA  </v>
      </c>
      <c r="BC708">
        <v>1</v>
      </c>
      <c r="BE708">
        <v>0</v>
      </c>
      <c r="BF708">
        <v>0</v>
      </c>
      <c r="BG708">
        <v>0</v>
      </c>
      <c r="BH708">
        <v>1000</v>
      </c>
      <c r="BI708">
        <v>1</v>
      </c>
      <c r="BJ708">
        <v>1</v>
      </c>
      <c r="BK708">
        <v>0</v>
      </c>
      <c r="BL708">
        <v>0</v>
      </c>
      <c r="BO708">
        <v>0</v>
      </c>
      <c r="BP708">
        <v>0</v>
      </c>
      <c r="BW708" t="str">
        <f t="shared" ref="BW708:BW716" si="338">"14:42:14.970"</f>
        <v>14:42:14.970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5</v>
      </c>
      <c r="CP708" t="s">
        <v>119</v>
      </c>
      <c r="CQ708">
        <v>358</v>
      </c>
      <c r="CR708">
        <v>0</v>
      </c>
      <c r="CW708">
        <v>4603611</v>
      </c>
      <c r="CY708">
        <v>1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 t="shared" si="336"/>
        <v>05/12/2020 14:41:57.134</v>
      </c>
      <c r="C709" t="str">
        <f t="shared" si="313"/>
        <v>FFDFD3C0</v>
      </c>
      <c r="D709" t="s">
        <v>138</v>
      </c>
      <c r="E709">
        <v>2</v>
      </c>
      <c r="H709">
        <v>8</v>
      </c>
      <c r="I709" t="s">
        <v>139</v>
      </c>
      <c r="J709" t="s">
        <v>136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37"/>
        <v>14:42:14.969</v>
      </c>
      <c r="T709" t="str">
        <f t="shared" si="337"/>
        <v>14:42:14.969</v>
      </c>
      <c r="U709" t="str">
        <f t="shared" si="335"/>
        <v>A9808D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285</v>
      </c>
      <c r="AJ709">
        <v>28.259582999999999</v>
      </c>
      <c r="AK709" t="s">
        <v>286</v>
      </c>
      <c r="AL709">
        <v>-82.380509000000004</v>
      </c>
      <c r="AM709">
        <v>100</v>
      </c>
      <c r="AN709">
        <v>900</v>
      </c>
      <c r="AO709" t="s">
        <v>118</v>
      </c>
      <c r="AP709">
        <v>7</v>
      </c>
      <c r="AQ709">
        <v>88</v>
      </c>
      <c r="AR709">
        <v>640</v>
      </c>
      <c r="AZ709">
        <v>1200</v>
      </c>
      <c r="BA709">
        <v>1</v>
      </c>
      <c r="BB709" t="str">
        <f t="shared" si="314"/>
        <v xml:space="preserve">N711JA  </v>
      </c>
      <c r="BC709">
        <v>1</v>
      </c>
      <c r="BE709">
        <v>0</v>
      </c>
      <c r="BF709">
        <v>0</v>
      </c>
      <c r="BG709">
        <v>0</v>
      </c>
      <c r="BH709">
        <v>1000</v>
      </c>
      <c r="BI709">
        <v>1</v>
      </c>
      <c r="BJ709">
        <v>1</v>
      </c>
      <c r="BK709">
        <v>0</v>
      </c>
      <c r="BL709">
        <v>0</v>
      </c>
      <c r="BO709">
        <v>0</v>
      </c>
      <c r="BP709">
        <v>0</v>
      </c>
      <c r="BW709" t="str">
        <f t="shared" si="338"/>
        <v>14:42:14.970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3</v>
      </c>
      <c r="CP709" t="s">
        <v>119</v>
      </c>
      <c r="CQ709">
        <v>8</v>
      </c>
      <c r="CR709">
        <v>3</v>
      </c>
      <c r="CW709">
        <v>8707417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si="336"/>
        <v>05/12/2020 14:41:57.134</v>
      </c>
      <c r="C710" t="str">
        <f t="shared" si="313"/>
        <v>FFDFD3C0</v>
      </c>
      <c r="D710" t="s">
        <v>113</v>
      </c>
      <c r="E710">
        <v>3</v>
      </c>
      <c r="H710">
        <v>164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37"/>
        <v>14:42:14.969</v>
      </c>
      <c r="T710" t="str">
        <f t="shared" si="337"/>
        <v>14:42:14.969</v>
      </c>
      <c r="U710" t="str">
        <f t="shared" si="335"/>
        <v>A9808D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285</v>
      </c>
      <c r="AJ710">
        <v>28.259582999999999</v>
      </c>
      <c r="AK710" t="s">
        <v>286</v>
      </c>
      <c r="AL710">
        <v>-82.380509000000004</v>
      </c>
      <c r="AM710">
        <v>100</v>
      </c>
      <c r="AN710">
        <v>900</v>
      </c>
      <c r="AO710" t="s">
        <v>118</v>
      </c>
      <c r="AP710">
        <v>7</v>
      </c>
      <c r="AQ710">
        <v>88</v>
      </c>
      <c r="AR710">
        <v>640</v>
      </c>
      <c r="AZ710">
        <v>1200</v>
      </c>
      <c r="BA710">
        <v>1</v>
      </c>
      <c r="BB710" t="str">
        <f t="shared" si="314"/>
        <v xml:space="preserve">N711JA  </v>
      </c>
      <c r="BC710">
        <v>1</v>
      </c>
      <c r="BE710">
        <v>0</v>
      </c>
      <c r="BF710">
        <v>0</v>
      </c>
      <c r="BG710">
        <v>0</v>
      </c>
      <c r="BH710">
        <v>1000</v>
      </c>
      <c r="BI710">
        <v>1</v>
      </c>
      <c r="BJ710">
        <v>1</v>
      </c>
      <c r="BK710">
        <v>0</v>
      </c>
      <c r="BL710">
        <v>0</v>
      </c>
      <c r="BO710">
        <v>0</v>
      </c>
      <c r="BP710">
        <v>0</v>
      </c>
      <c r="BW710" t="str">
        <f t="shared" si="338"/>
        <v>14:42:14.970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3</v>
      </c>
      <c r="CP710" t="s">
        <v>119</v>
      </c>
      <c r="CQ710">
        <v>8</v>
      </c>
      <c r="CR710">
        <v>3</v>
      </c>
      <c r="CW710">
        <v>8707417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336"/>
        <v>05/12/2020 14:41:57.134</v>
      </c>
      <c r="C711" t="str">
        <f t="shared" si="313"/>
        <v>FFDFD3C0</v>
      </c>
      <c r="D711" t="s">
        <v>134</v>
      </c>
      <c r="E711">
        <v>12</v>
      </c>
      <c r="H711">
        <v>64</v>
      </c>
      <c r="I711" t="s">
        <v>135</v>
      </c>
      <c r="J711" t="s">
        <v>136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337"/>
        <v>14:42:14.969</v>
      </c>
      <c r="T711" t="str">
        <f t="shared" si="337"/>
        <v>14:42:14.969</v>
      </c>
      <c r="U711" t="str">
        <f t="shared" si="335"/>
        <v>A9808D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285</v>
      </c>
      <c r="AJ711">
        <v>28.259582999999999</v>
      </c>
      <c r="AK711" t="s">
        <v>286</v>
      </c>
      <c r="AL711">
        <v>-82.380509000000004</v>
      </c>
      <c r="AM711">
        <v>100</v>
      </c>
      <c r="AN711">
        <v>900</v>
      </c>
      <c r="AO711" t="s">
        <v>118</v>
      </c>
      <c r="AP711">
        <v>7</v>
      </c>
      <c r="AQ711">
        <v>88</v>
      </c>
      <c r="AR711">
        <v>640</v>
      </c>
      <c r="AZ711">
        <v>1200</v>
      </c>
      <c r="BA711">
        <v>1</v>
      </c>
      <c r="BB711" t="str">
        <f t="shared" si="314"/>
        <v xml:space="preserve">N711JA  </v>
      </c>
      <c r="BC711">
        <v>1</v>
      </c>
      <c r="BE711">
        <v>0</v>
      </c>
      <c r="BF711">
        <v>0</v>
      </c>
      <c r="BG711">
        <v>0</v>
      </c>
      <c r="BH711">
        <v>1000</v>
      </c>
      <c r="BI711">
        <v>1</v>
      </c>
      <c r="BJ711">
        <v>1</v>
      </c>
      <c r="BK711">
        <v>0</v>
      </c>
      <c r="BL711">
        <v>0</v>
      </c>
      <c r="BO711">
        <v>0</v>
      </c>
      <c r="BP711">
        <v>0</v>
      </c>
      <c r="BW711" t="str">
        <f t="shared" si="338"/>
        <v>14:42:14.970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5</v>
      </c>
      <c r="CP711" t="s">
        <v>119</v>
      </c>
      <c r="CQ711">
        <v>358</v>
      </c>
      <c r="CR711">
        <v>0</v>
      </c>
      <c r="CW711">
        <v>4603611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336"/>
        <v>05/12/2020 14:41:57.134</v>
      </c>
      <c r="C712" t="str">
        <f t="shared" si="313"/>
        <v>FFDFD3C0</v>
      </c>
      <c r="D712" t="s">
        <v>126</v>
      </c>
      <c r="E712">
        <v>6</v>
      </c>
      <c r="F712">
        <v>1006</v>
      </c>
      <c r="G712" t="s">
        <v>114</v>
      </c>
      <c r="J712" t="s">
        <v>128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337"/>
        <v>14:42:14.969</v>
      </c>
      <c r="T712" t="str">
        <f t="shared" si="337"/>
        <v>14:42:14.969</v>
      </c>
      <c r="U712" t="str">
        <f t="shared" si="335"/>
        <v>A9808D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285</v>
      </c>
      <c r="AJ712">
        <v>28.259582999999999</v>
      </c>
      <c r="AK712" t="s">
        <v>286</v>
      </c>
      <c r="AL712">
        <v>-82.380509000000004</v>
      </c>
      <c r="AM712">
        <v>100</v>
      </c>
      <c r="AN712">
        <v>900</v>
      </c>
      <c r="AO712" t="s">
        <v>118</v>
      </c>
      <c r="AP712">
        <v>7</v>
      </c>
      <c r="AQ712">
        <v>88</v>
      </c>
      <c r="AR712">
        <v>640</v>
      </c>
      <c r="AZ712">
        <v>1200</v>
      </c>
      <c r="BA712">
        <v>1</v>
      </c>
      <c r="BB712" t="str">
        <f t="shared" si="314"/>
        <v xml:space="preserve">N711JA  </v>
      </c>
      <c r="BC712">
        <v>1</v>
      </c>
      <c r="BE712">
        <v>0</v>
      </c>
      <c r="BF712">
        <v>0</v>
      </c>
      <c r="BG712">
        <v>0</v>
      </c>
      <c r="BH712">
        <v>1000</v>
      </c>
      <c r="BI712">
        <v>1</v>
      </c>
      <c r="BJ712">
        <v>1</v>
      </c>
      <c r="BK712">
        <v>0</v>
      </c>
      <c r="BL712">
        <v>0</v>
      </c>
      <c r="BO712">
        <v>0</v>
      </c>
      <c r="BP712">
        <v>0</v>
      </c>
      <c r="BW712" t="str">
        <f t="shared" si="338"/>
        <v>14:42:14.970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5</v>
      </c>
      <c r="CP712" t="s">
        <v>119</v>
      </c>
      <c r="CQ712">
        <v>358</v>
      </c>
      <c r="CR712">
        <v>0</v>
      </c>
      <c r="CW712">
        <v>4603611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336"/>
        <v>05/12/2020 14:41:57.134</v>
      </c>
      <c r="C713" t="str">
        <f t="shared" si="313"/>
        <v>FFDFD3C0</v>
      </c>
      <c r="D713" t="s">
        <v>126</v>
      </c>
      <c r="E713">
        <v>7</v>
      </c>
      <c r="F713">
        <v>1007</v>
      </c>
      <c r="G713" t="s">
        <v>127</v>
      </c>
      <c r="J713" t="s">
        <v>128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37"/>
        <v>14:42:14.969</v>
      </c>
      <c r="T713" t="str">
        <f t="shared" si="337"/>
        <v>14:42:14.969</v>
      </c>
      <c r="U713" t="str">
        <f t="shared" si="335"/>
        <v>A9808D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285</v>
      </c>
      <c r="AJ713">
        <v>28.259582999999999</v>
      </c>
      <c r="AK713" t="s">
        <v>286</v>
      </c>
      <c r="AL713">
        <v>-82.380509000000004</v>
      </c>
      <c r="AM713">
        <v>100</v>
      </c>
      <c r="AN713">
        <v>900</v>
      </c>
      <c r="AO713" t="s">
        <v>118</v>
      </c>
      <c r="AP713">
        <v>7</v>
      </c>
      <c r="AQ713">
        <v>88</v>
      </c>
      <c r="AR713">
        <v>640</v>
      </c>
      <c r="AZ713">
        <v>1200</v>
      </c>
      <c r="BA713">
        <v>1</v>
      </c>
      <c r="BB713" t="str">
        <f t="shared" si="314"/>
        <v xml:space="preserve">N711JA  </v>
      </c>
      <c r="BC713">
        <v>1</v>
      </c>
      <c r="BE713">
        <v>0</v>
      </c>
      <c r="BF713">
        <v>0</v>
      </c>
      <c r="BG713">
        <v>0</v>
      </c>
      <c r="BH713">
        <v>1000</v>
      </c>
      <c r="BI713">
        <v>1</v>
      </c>
      <c r="BJ713">
        <v>1</v>
      </c>
      <c r="BK713">
        <v>0</v>
      </c>
      <c r="BL713">
        <v>0</v>
      </c>
      <c r="BO713">
        <v>0</v>
      </c>
      <c r="BP713">
        <v>0</v>
      </c>
      <c r="BW713" t="str">
        <f t="shared" si="338"/>
        <v>14:42:14.970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5</v>
      </c>
      <c r="CP713" t="s">
        <v>119</v>
      </c>
      <c r="CQ713">
        <v>358</v>
      </c>
      <c r="CR713">
        <v>0</v>
      </c>
      <c r="CW713">
        <v>4603611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336"/>
        <v>05/12/2020 14:41:57.134</v>
      </c>
      <c r="C714" t="str">
        <f t="shared" si="313"/>
        <v>FFDFD3C0</v>
      </c>
      <c r="D714" t="s">
        <v>131</v>
      </c>
      <c r="E714">
        <v>10</v>
      </c>
      <c r="F714">
        <v>2010</v>
      </c>
      <c r="G714" t="s">
        <v>132</v>
      </c>
      <c r="J714" t="s">
        <v>133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37"/>
        <v>14:42:14.969</v>
      </c>
      <c r="T714" t="str">
        <f t="shared" si="337"/>
        <v>14:42:14.969</v>
      </c>
      <c r="U714" t="str">
        <f t="shared" si="335"/>
        <v>A9808D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285</v>
      </c>
      <c r="AJ714">
        <v>28.259582999999999</v>
      </c>
      <c r="AK714" t="s">
        <v>286</v>
      </c>
      <c r="AL714">
        <v>-82.380509000000004</v>
      </c>
      <c r="AM714">
        <v>100</v>
      </c>
      <c r="AN714">
        <v>900</v>
      </c>
      <c r="AO714" t="s">
        <v>118</v>
      </c>
      <c r="AP714">
        <v>7</v>
      </c>
      <c r="AQ714">
        <v>88</v>
      </c>
      <c r="AR714">
        <v>640</v>
      </c>
      <c r="AZ714">
        <v>1200</v>
      </c>
      <c r="BA714">
        <v>1</v>
      </c>
      <c r="BB714" t="str">
        <f t="shared" si="314"/>
        <v xml:space="preserve">N711JA  </v>
      </c>
      <c r="BC714">
        <v>1</v>
      </c>
      <c r="BE714">
        <v>0</v>
      </c>
      <c r="BF714">
        <v>0</v>
      </c>
      <c r="BG714">
        <v>0</v>
      </c>
      <c r="BH714">
        <v>1000</v>
      </c>
      <c r="BI714">
        <v>1</v>
      </c>
      <c r="BJ714">
        <v>1</v>
      </c>
      <c r="BK714">
        <v>0</v>
      </c>
      <c r="BL714">
        <v>0</v>
      </c>
      <c r="BO714">
        <v>0</v>
      </c>
      <c r="BP714">
        <v>0</v>
      </c>
      <c r="BW714" t="str">
        <f t="shared" si="338"/>
        <v>14:42:14.970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5</v>
      </c>
      <c r="CP714" t="s">
        <v>119</v>
      </c>
      <c r="CQ714">
        <v>358</v>
      </c>
      <c r="CR714">
        <v>0</v>
      </c>
      <c r="CW714">
        <v>4603611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si="336"/>
        <v>05/12/2020 14:41:57.134</v>
      </c>
      <c r="C715" t="str">
        <f t="shared" si="313"/>
        <v>FFDFD3C0</v>
      </c>
      <c r="D715" t="s">
        <v>131</v>
      </c>
      <c r="E715">
        <v>12</v>
      </c>
      <c r="F715">
        <v>2012</v>
      </c>
      <c r="G715" t="s">
        <v>137</v>
      </c>
      <c r="J715" t="s">
        <v>133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337"/>
        <v>14:42:14.969</v>
      </c>
      <c r="T715" t="str">
        <f t="shared" si="337"/>
        <v>14:42:14.969</v>
      </c>
      <c r="U715" t="str">
        <f t="shared" si="335"/>
        <v>A9808D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285</v>
      </c>
      <c r="AJ715">
        <v>28.259582999999999</v>
      </c>
      <c r="AK715" t="s">
        <v>286</v>
      </c>
      <c r="AL715">
        <v>-82.380509000000004</v>
      </c>
      <c r="AM715">
        <v>100</v>
      </c>
      <c r="AN715">
        <v>900</v>
      </c>
      <c r="AO715" t="s">
        <v>118</v>
      </c>
      <c r="AP715">
        <v>7</v>
      </c>
      <c r="AQ715">
        <v>88</v>
      </c>
      <c r="AR715">
        <v>640</v>
      </c>
      <c r="AZ715">
        <v>1200</v>
      </c>
      <c r="BA715">
        <v>1</v>
      </c>
      <c r="BB715" t="str">
        <f t="shared" si="314"/>
        <v xml:space="preserve">N711JA  </v>
      </c>
      <c r="BC715">
        <v>1</v>
      </c>
      <c r="BE715">
        <v>0</v>
      </c>
      <c r="BF715">
        <v>0</v>
      </c>
      <c r="BG715">
        <v>0</v>
      </c>
      <c r="BH715">
        <v>1000</v>
      </c>
      <c r="BI715">
        <v>1</v>
      </c>
      <c r="BJ715">
        <v>1</v>
      </c>
      <c r="BK715">
        <v>0</v>
      </c>
      <c r="BL715">
        <v>0</v>
      </c>
      <c r="BO715">
        <v>0</v>
      </c>
      <c r="BP715">
        <v>0</v>
      </c>
      <c r="BW715" t="str">
        <f t="shared" si="338"/>
        <v>14:42:14.970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3</v>
      </c>
      <c r="CP715" t="s">
        <v>119</v>
      </c>
      <c r="CQ715">
        <v>8</v>
      </c>
      <c r="CR715">
        <v>3</v>
      </c>
      <c r="CW715">
        <v>8707417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 t="shared" si="336"/>
        <v>05/12/2020 14:41:57.134</v>
      </c>
      <c r="C716" t="str">
        <f t="shared" si="313"/>
        <v>FFDFD3C0</v>
      </c>
      <c r="D716" t="s">
        <v>131</v>
      </c>
      <c r="E716">
        <v>18</v>
      </c>
      <c r="F716">
        <v>2018</v>
      </c>
      <c r="G716" t="s">
        <v>161</v>
      </c>
      <c r="J716" t="s">
        <v>133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37"/>
        <v>14:42:14.969</v>
      </c>
      <c r="T716" t="str">
        <f t="shared" si="337"/>
        <v>14:42:14.969</v>
      </c>
      <c r="U716" t="str">
        <f t="shared" si="335"/>
        <v>A9808D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285</v>
      </c>
      <c r="AJ716">
        <v>28.259582999999999</v>
      </c>
      <c r="AK716" t="s">
        <v>286</v>
      </c>
      <c r="AL716">
        <v>-82.380509000000004</v>
      </c>
      <c r="AM716">
        <v>100</v>
      </c>
      <c r="AN716">
        <v>900</v>
      </c>
      <c r="AO716" t="s">
        <v>118</v>
      </c>
      <c r="AP716">
        <v>7</v>
      </c>
      <c r="AQ716">
        <v>88</v>
      </c>
      <c r="AR716">
        <v>640</v>
      </c>
      <c r="AZ716">
        <v>1200</v>
      </c>
      <c r="BA716">
        <v>1</v>
      </c>
      <c r="BB716" t="str">
        <f t="shared" si="314"/>
        <v xml:space="preserve">N711JA  </v>
      </c>
      <c r="BC716">
        <v>1</v>
      </c>
      <c r="BE716">
        <v>0</v>
      </c>
      <c r="BF716">
        <v>0</v>
      </c>
      <c r="BG716">
        <v>0</v>
      </c>
      <c r="BH716">
        <v>1000</v>
      </c>
      <c r="BI716">
        <v>1</v>
      </c>
      <c r="BJ716">
        <v>1</v>
      </c>
      <c r="BK716">
        <v>0</v>
      </c>
      <c r="BL716">
        <v>0</v>
      </c>
      <c r="BO716">
        <v>0</v>
      </c>
      <c r="BP716">
        <v>0</v>
      </c>
      <c r="BW716" t="str">
        <f t="shared" si="338"/>
        <v>14:42:14.970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2</v>
      </c>
      <c r="CP716" t="s">
        <v>119</v>
      </c>
      <c r="CQ716">
        <v>56</v>
      </c>
      <c r="CR716">
        <v>2</v>
      </c>
      <c r="CW716">
        <v>4619032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 t="shared" ref="A717:A725" si="339">"05/12/2020 14:41:58.139"</f>
        <v>05/12/2020 14:41:58.139</v>
      </c>
      <c r="C717" t="str">
        <f t="shared" si="313"/>
        <v>FFDFD3C0</v>
      </c>
      <c r="D717" t="s">
        <v>113</v>
      </c>
      <c r="E717">
        <v>3</v>
      </c>
      <c r="H717">
        <v>164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ref="S717:T725" si="340">"14:42:15.969"</f>
        <v>14:42:15.969</v>
      </c>
      <c r="T717" t="str">
        <f t="shared" si="340"/>
        <v>14:42:15.969</v>
      </c>
      <c r="U717" t="str">
        <f t="shared" si="335"/>
        <v>A9808D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287</v>
      </c>
      <c r="AJ717">
        <v>28.260033</v>
      </c>
      <c r="AK717" t="s">
        <v>288</v>
      </c>
      <c r="AL717">
        <v>-82.380444999999995</v>
      </c>
      <c r="AM717">
        <v>100</v>
      </c>
      <c r="AN717">
        <v>900</v>
      </c>
      <c r="AO717" t="s">
        <v>118</v>
      </c>
      <c r="AP717">
        <v>6</v>
      </c>
      <c r="AQ717">
        <v>88</v>
      </c>
      <c r="AR717">
        <v>512</v>
      </c>
      <c r="AZ717">
        <v>1200</v>
      </c>
      <c r="BA717">
        <v>1</v>
      </c>
      <c r="BB717" t="str">
        <f t="shared" si="314"/>
        <v xml:space="preserve">N711JA  </v>
      </c>
      <c r="BC717">
        <v>1</v>
      </c>
      <c r="BE717">
        <v>0</v>
      </c>
      <c r="BF717">
        <v>0</v>
      </c>
      <c r="BG717">
        <v>0</v>
      </c>
      <c r="BH717">
        <v>1000</v>
      </c>
      <c r="BI717">
        <v>1</v>
      </c>
      <c r="BJ717">
        <v>1</v>
      </c>
      <c r="BK717">
        <v>0</v>
      </c>
      <c r="BL717">
        <v>0</v>
      </c>
      <c r="BO717">
        <v>0</v>
      </c>
      <c r="BP717">
        <v>0</v>
      </c>
      <c r="BW717" t="str">
        <f t="shared" ref="BW717:BW725" si="341">"14:42:15.976"</f>
        <v>14:42:15.976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343</v>
      </c>
      <c r="CR717">
        <v>2</v>
      </c>
      <c r="CW717">
        <v>12992909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 t="shared" si="339"/>
        <v>05/12/2020 14:41:58.139</v>
      </c>
      <c r="C718" t="str">
        <f t="shared" si="313"/>
        <v>FFDFD3C0</v>
      </c>
      <c r="D718" t="s">
        <v>138</v>
      </c>
      <c r="E718">
        <v>2</v>
      </c>
      <c r="H718">
        <v>8</v>
      </c>
      <c r="I718" t="s">
        <v>139</v>
      </c>
      <c r="J718" t="s">
        <v>136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340"/>
        <v>14:42:15.969</v>
      </c>
      <c r="T718" t="str">
        <f t="shared" si="340"/>
        <v>14:42:15.969</v>
      </c>
      <c r="U718" t="str">
        <f t="shared" si="335"/>
        <v>A9808D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287</v>
      </c>
      <c r="AJ718">
        <v>28.260033</v>
      </c>
      <c r="AK718" t="s">
        <v>288</v>
      </c>
      <c r="AL718">
        <v>-82.380444999999995</v>
      </c>
      <c r="AM718">
        <v>100</v>
      </c>
      <c r="AN718">
        <v>900</v>
      </c>
      <c r="AO718" t="s">
        <v>118</v>
      </c>
      <c r="AP718">
        <v>6</v>
      </c>
      <c r="AQ718">
        <v>88</v>
      </c>
      <c r="AR718">
        <v>512</v>
      </c>
      <c r="AZ718">
        <v>1200</v>
      </c>
      <c r="BA718">
        <v>1</v>
      </c>
      <c r="BB718" t="str">
        <f t="shared" si="314"/>
        <v xml:space="preserve">N711JA  </v>
      </c>
      <c r="BC718">
        <v>1</v>
      </c>
      <c r="BE718">
        <v>0</v>
      </c>
      <c r="BF718">
        <v>0</v>
      </c>
      <c r="BG718">
        <v>0</v>
      </c>
      <c r="BH718">
        <v>1000</v>
      </c>
      <c r="BI718">
        <v>1</v>
      </c>
      <c r="BJ718">
        <v>1</v>
      </c>
      <c r="BK718">
        <v>0</v>
      </c>
      <c r="BL718">
        <v>0</v>
      </c>
      <c r="BO718">
        <v>0</v>
      </c>
      <c r="BP718">
        <v>0</v>
      </c>
      <c r="BW718" t="str">
        <f t="shared" si="341"/>
        <v>14:42:15.976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343</v>
      </c>
      <c r="CR718">
        <v>2</v>
      </c>
      <c r="CW718">
        <v>12992909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 t="shared" si="339"/>
        <v>05/12/2020 14:41:58.139</v>
      </c>
      <c r="C719" t="str">
        <f t="shared" si="313"/>
        <v>FFDFD3C0</v>
      </c>
      <c r="D719" t="s">
        <v>138</v>
      </c>
      <c r="E719">
        <v>3</v>
      </c>
      <c r="H719">
        <v>9</v>
      </c>
      <c r="I719" t="s">
        <v>140</v>
      </c>
      <c r="J719" t="s">
        <v>136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40"/>
        <v>14:42:15.969</v>
      </c>
      <c r="T719" t="str">
        <f t="shared" si="340"/>
        <v>14:42:15.969</v>
      </c>
      <c r="U719" t="str">
        <f t="shared" si="335"/>
        <v>A9808D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287</v>
      </c>
      <c r="AJ719">
        <v>28.260033</v>
      </c>
      <c r="AK719" t="s">
        <v>288</v>
      </c>
      <c r="AL719">
        <v>-82.380444999999995</v>
      </c>
      <c r="AM719">
        <v>100</v>
      </c>
      <c r="AN719">
        <v>900</v>
      </c>
      <c r="AO719" t="s">
        <v>118</v>
      </c>
      <c r="AP719">
        <v>6</v>
      </c>
      <c r="AQ719">
        <v>88</v>
      </c>
      <c r="AR719">
        <v>512</v>
      </c>
      <c r="AZ719">
        <v>1200</v>
      </c>
      <c r="BA719">
        <v>1</v>
      </c>
      <c r="BB719" t="str">
        <f t="shared" si="314"/>
        <v xml:space="preserve">N711JA  </v>
      </c>
      <c r="BC719">
        <v>1</v>
      </c>
      <c r="BE719">
        <v>0</v>
      </c>
      <c r="BF719">
        <v>0</v>
      </c>
      <c r="BG719">
        <v>0</v>
      </c>
      <c r="BH719">
        <v>1000</v>
      </c>
      <c r="BI719">
        <v>1</v>
      </c>
      <c r="BJ719">
        <v>1</v>
      </c>
      <c r="BK719">
        <v>0</v>
      </c>
      <c r="BL719">
        <v>0</v>
      </c>
      <c r="BO719">
        <v>0</v>
      </c>
      <c r="BP719">
        <v>0</v>
      </c>
      <c r="BW719" t="str">
        <f t="shared" si="341"/>
        <v>14:42:15.976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343</v>
      </c>
      <c r="CR719">
        <v>2</v>
      </c>
      <c r="CW719">
        <v>12992909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 t="shared" si="339"/>
        <v>05/12/2020 14:41:58.139</v>
      </c>
      <c r="C720" t="str">
        <f t="shared" si="313"/>
        <v>FFDFD3C0</v>
      </c>
      <c r="D720" t="s">
        <v>126</v>
      </c>
      <c r="E720">
        <v>6</v>
      </c>
      <c r="F720">
        <v>1006</v>
      </c>
      <c r="G720" t="s">
        <v>114</v>
      </c>
      <c r="J720" t="s">
        <v>128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40"/>
        <v>14:42:15.969</v>
      </c>
      <c r="T720" t="str">
        <f t="shared" si="340"/>
        <v>14:42:15.969</v>
      </c>
      <c r="U720" t="str">
        <f t="shared" si="335"/>
        <v>A9808D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287</v>
      </c>
      <c r="AJ720">
        <v>28.260033</v>
      </c>
      <c r="AK720" t="s">
        <v>288</v>
      </c>
      <c r="AL720">
        <v>-82.380444999999995</v>
      </c>
      <c r="AM720">
        <v>100</v>
      </c>
      <c r="AN720">
        <v>900</v>
      </c>
      <c r="AO720" t="s">
        <v>118</v>
      </c>
      <c r="AP720">
        <v>6</v>
      </c>
      <c r="AQ720">
        <v>88</v>
      </c>
      <c r="AR720">
        <v>512</v>
      </c>
      <c r="AZ720">
        <v>1200</v>
      </c>
      <c r="BA720">
        <v>1</v>
      </c>
      <c r="BB720" t="str">
        <f t="shared" si="314"/>
        <v xml:space="preserve">N711JA  </v>
      </c>
      <c r="BC720">
        <v>1</v>
      </c>
      <c r="BE720">
        <v>0</v>
      </c>
      <c r="BF720">
        <v>0</v>
      </c>
      <c r="BG720">
        <v>0</v>
      </c>
      <c r="BH720">
        <v>1000</v>
      </c>
      <c r="BI720">
        <v>1</v>
      </c>
      <c r="BJ720">
        <v>1</v>
      </c>
      <c r="BK720">
        <v>0</v>
      </c>
      <c r="BL720">
        <v>0</v>
      </c>
      <c r="BO720">
        <v>0</v>
      </c>
      <c r="BP720">
        <v>0</v>
      </c>
      <c r="BW720" t="str">
        <f t="shared" si="341"/>
        <v>14:42:15.976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343</v>
      </c>
      <c r="CR720">
        <v>2</v>
      </c>
      <c r="CW720">
        <v>12992909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 t="shared" si="339"/>
        <v>05/12/2020 14:41:58.139</v>
      </c>
      <c r="C721" t="str">
        <f t="shared" si="313"/>
        <v>FFDFD3C0</v>
      </c>
      <c r="D721" t="s">
        <v>134</v>
      </c>
      <c r="E721">
        <v>12</v>
      </c>
      <c r="H721">
        <v>64</v>
      </c>
      <c r="I721" t="s">
        <v>135</v>
      </c>
      <c r="J721" t="s">
        <v>136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40"/>
        <v>14:42:15.969</v>
      </c>
      <c r="T721" t="str">
        <f t="shared" si="340"/>
        <v>14:42:15.969</v>
      </c>
      <c r="U721" t="str">
        <f t="shared" si="335"/>
        <v>A9808D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287</v>
      </c>
      <c r="AJ721">
        <v>28.260033</v>
      </c>
      <c r="AK721" t="s">
        <v>288</v>
      </c>
      <c r="AL721">
        <v>-82.380444999999995</v>
      </c>
      <c r="AM721">
        <v>100</v>
      </c>
      <c r="AN721">
        <v>900</v>
      </c>
      <c r="AO721" t="s">
        <v>118</v>
      </c>
      <c r="AP721">
        <v>6</v>
      </c>
      <c r="AQ721">
        <v>88</v>
      </c>
      <c r="AR721">
        <v>512</v>
      </c>
      <c r="AZ721">
        <v>1200</v>
      </c>
      <c r="BA721">
        <v>1</v>
      </c>
      <c r="BB721" t="str">
        <f t="shared" si="314"/>
        <v xml:space="preserve">N711JA  </v>
      </c>
      <c r="BC721">
        <v>1</v>
      </c>
      <c r="BE721">
        <v>0</v>
      </c>
      <c r="BF721">
        <v>0</v>
      </c>
      <c r="BG721">
        <v>0</v>
      </c>
      <c r="BH721">
        <v>1000</v>
      </c>
      <c r="BI721">
        <v>1</v>
      </c>
      <c r="BJ721">
        <v>1</v>
      </c>
      <c r="BK721">
        <v>0</v>
      </c>
      <c r="BL721">
        <v>0</v>
      </c>
      <c r="BO721">
        <v>0</v>
      </c>
      <c r="BP721">
        <v>0</v>
      </c>
      <c r="BW721" t="str">
        <f t="shared" si="341"/>
        <v>14:42:15.976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343</v>
      </c>
      <c r="CR721">
        <v>2</v>
      </c>
      <c r="CW721">
        <v>12992909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si="339"/>
        <v>05/12/2020 14:41:58.139</v>
      </c>
      <c r="C722" t="str">
        <f t="shared" si="313"/>
        <v>FFDFD3C0</v>
      </c>
      <c r="D722" t="s">
        <v>126</v>
      </c>
      <c r="E722">
        <v>7</v>
      </c>
      <c r="F722">
        <v>1007</v>
      </c>
      <c r="G722" t="s">
        <v>127</v>
      </c>
      <c r="J722" t="s">
        <v>128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340"/>
        <v>14:42:15.969</v>
      </c>
      <c r="T722" t="str">
        <f t="shared" si="340"/>
        <v>14:42:15.969</v>
      </c>
      <c r="U722" t="str">
        <f t="shared" si="335"/>
        <v>A9808D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287</v>
      </c>
      <c r="AJ722">
        <v>28.260033</v>
      </c>
      <c r="AK722" t="s">
        <v>288</v>
      </c>
      <c r="AL722">
        <v>-82.380444999999995</v>
      </c>
      <c r="AM722">
        <v>100</v>
      </c>
      <c r="AN722">
        <v>900</v>
      </c>
      <c r="AO722" t="s">
        <v>118</v>
      </c>
      <c r="AP722">
        <v>6</v>
      </c>
      <c r="AQ722">
        <v>88</v>
      </c>
      <c r="AR722">
        <v>512</v>
      </c>
      <c r="AZ722">
        <v>1200</v>
      </c>
      <c r="BA722">
        <v>1</v>
      </c>
      <c r="BB722" t="str">
        <f t="shared" si="314"/>
        <v xml:space="preserve">N711JA  </v>
      </c>
      <c r="BC722">
        <v>1</v>
      </c>
      <c r="BE722">
        <v>0</v>
      </c>
      <c r="BF722">
        <v>0</v>
      </c>
      <c r="BG722">
        <v>0</v>
      </c>
      <c r="BH722">
        <v>1000</v>
      </c>
      <c r="BI722">
        <v>1</v>
      </c>
      <c r="BJ722">
        <v>1</v>
      </c>
      <c r="BK722">
        <v>0</v>
      </c>
      <c r="BL722">
        <v>0</v>
      </c>
      <c r="BO722">
        <v>0</v>
      </c>
      <c r="BP722">
        <v>0</v>
      </c>
      <c r="BW722" t="str">
        <f t="shared" si="341"/>
        <v>14:42:15.976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343</v>
      </c>
      <c r="CR722">
        <v>2</v>
      </c>
      <c r="CW722">
        <v>12992909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339"/>
        <v>05/12/2020 14:41:58.139</v>
      </c>
      <c r="C723" t="str">
        <f t="shared" si="313"/>
        <v>FFDFD3C0</v>
      </c>
      <c r="D723" t="s">
        <v>131</v>
      </c>
      <c r="E723">
        <v>10</v>
      </c>
      <c r="F723">
        <v>2010</v>
      </c>
      <c r="G723" t="s">
        <v>132</v>
      </c>
      <c r="J723" t="s">
        <v>133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40"/>
        <v>14:42:15.969</v>
      </c>
      <c r="T723" t="str">
        <f t="shared" si="340"/>
        <v>14:42:15.969</v>
      </c>
      <c r="U723" t="str">
        <f t="shared" si="335"/>
        <v>A9808D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287</v>
      </c>
      <c r="AJ723">
        <v>28.260033</v>
      </c>
      <c r="AK723" t="s">
        <v>288</v>
      </c>
      <c r="AL723">
        <v>-82.380444999999995</v>
      </c>
      <c r="AM723">
        <v>100</v>
      </c>
      <c r="AN723">
        <v>900</v>
      </c>
      <c r="AO723" t="s">
        <v>118</v>
      </c>
      <c r="AP723">
        <v>6</v>
      </c>
      <c r="AQ723">
        <v>88</v>
      </c>
      <c r="AR723">
        <v>512</v>
      </c>
      <c r="AZ723">
        <v>1200</v>
      </c>
      <c r="BA723">
        <v>1</v>
      </c>
      <c r="BB723" t="str">
        <f t="shared" si="314"/>
        <v xml:space="preserve">N711JA  </v>
      </c>
      <c r="BC723">
        <v>1</v>
      </c>
      <c r="BE723">
        <v>0</v>
      </c>
      <c r="BF723">
        <v>0</v>
      </c>
      <c r="BG723">
        <v>0</v>
      </c>
      <c r="BH723">
        <v>1000</v>
      </c>
      <c r="BI723">
        <v>1</v>
      </c>
      <c r="BJ723">
        <v>1</v>
      </c>
      <c r="BK723">
        <v>0</v>
      </c>
      <c r="BL723">
        <v>0</v>
      </c>
      <c r="BO723">
        <v>0</v>
      </c>
      <c r="BP723">
        <v>0</v>
      </c>
      <c r="BW723" t="str">
        <f t="shared" si="341"/>
        <v>14:42:15.976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343</v>
      </c>
      <c r="CR723">
        <v>2</v>
      </c>
      <c r="CW723">
        <v>12992909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si="339"/>
        <v>05/12/2020 14:41:58.139</v>
      </c>
      <c r="C724" t="str">
        <f t="shared" si="313"/>
        <v>FFDFD3C0</v>
      </c>
      <c r="D724" t="s">
        <v>131</v>
      </c>
      <c r="E724">
        <v>12</v>
      </c>
      <c r="F724">
        <v>2012</v>
      </c>
      <c r="G724" t="s">
        <v>137</v>
      </c>
      <c r="J724" t="s">
        <v>133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340"/>
        <v>14:42:15.969</v>
      </c>
      <c r="T724" t="str">
        <f t="shared" si="340"/>
        <v>14:42:15.969</v>
      </c>
      <c r="U724" t="str">
        <f t="shared" si="335"/>
        <v>A9808D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287</v>
      </c>
      <c r="AJ724">
        <v>28.260033</v>
      </c>
      <c r="AK724" t="s">
        <v>288</v>
      </c>
      <c r="AL724">
        <v>-82.380444999999995</v>
      </c>
      <c r="AM724">
        <v>100</v>
      </c>
      <c r="AN724">
        <v>900</v>
      </c>
      <c r="AO724" t="s">
        <v>118</v>
      </c>
      <c r="AP724">
        <v>6</v>
      </c>
      <c r="AQ724">
        <v>88</v>
      </c>
      <c r="AR724">
        <v>512</v>
      </c>
      <c r="AZ724">
        <v>1200</v>
      </c>
      <c r="BA724">
        <v>1</v>
      </c>
      <c r="BB724" t="str">
        <f t="shared" si="314"/>
        <v xml:space="preserve">N711JA  </v>
      </c>
      <c r="BC724">
        <v>1</v>
      </c>
      <c r="BE724">
        <v>0</v>
      </c>
      <c r="BF724">
        <v>0</v>
      </c>
      <c r="BG724">
        <v>0</v>
      </c>
      <c r="BH724">
        <v>1000</v>
      </c>
      <c r="BI724">
        <v>1</v>
      </c>
      <c r="BJ724">
        <v>1</v>
      </c>
      <c r="BK724">
        <v>0</v>
      </c>
      <c r="BL724">
        <v>0</v>
      </c>
      <c r="BO724">
        <v>0</v>
      </c>
      <c r="BP724">
        <v>0</v>
      </c>
      <c r="BW724" t="str">
        <f t="shared" si="341"/>
        <v>14:42:15.976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343</v>
      </c>
      <c r="CR724">
        <v>2</v>
      </c>
      <c r="CW724">
        <v>12992909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339"/>
        <v>05/12/2020 14:41:58.139</v>
      </c>
      <c r="C725" t="str">
        <f t="shared" si="313"/>
        <v>FFDFD3C0</v>
      </c>
      <c r="D725" t="s">
        <v>131</v>
      </c>
      <c r="E725">
        <v>18</v>
      </c>
      <c r="F725">
        <v>2018</v>
      </c>
      <c r="G725" t="s">
        <v>161</v>
      </c>
      <c r="J725" t="s">
        <v>133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40"/>
        <v>14:42:15.969</v>
      </c>
      <c r="T725" t="str">
        <f t="shared" si="340"/>
        <v>14:42:15.969</v>
      </c>
      <c r="U725" t="str">
        <f t="shared" si="335"/>
        <v>A9808D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287</v>
      </c>
      <c r="AJ725">
        <v>28.260033</v>
      </c>
      <c r="AK725" t="s">
        <v>288</v>
      </c>
      <c r="AL725">
        <v>-82.380444999999995</v>
      </c>
      <c r="AM725">
        <v>100</v>
      </c>
      <c r="AN725">
        <v>900</v>
      </c>
      <c r="AO725" t="s">
        <v>118</v>
      </c>
      <c r="AP725">
        <v>6</v>
      </c>
      <c r="AQ725">
        <v>88</v>
      </c>
      <c r="AR725">
        <v>512</v>
      </c>
      <c r="AZ725">
        <v>1200</v>
      </c>
      <c r="BA725">
        <v>1</v>
      </c>
      <c r="BB725" t="str">
        <f t="shared" si="314"/>
        <v xml:space="preserve">N711JA  </v>
      </c>
      <c r="BC725">
        <v>1</v>
      </c>
      <c r="BE725">
        <v>0</v>
      </c>
      <c r="BF725">
        <v>0</v>
      </c>
      <c r="BG725">
        <v>0</v>
      </c>
      <c r="BH725">
        <v>1000</v>
      </c>
      <c r="BI725">
        <v>1</v>
      </c>
      <c r="BJ725">
        <v>1</v>
      </c>
      <c r="BK725">
        <v>0</v>
      </c>
      <c r="BL725">
        <v>0</v>
      </c>
      <c r="BO725">
        <v>0</v>
      </c>
      <c r="BP725">
        <v>0</v>
      </c>
      <c r="BW725" t="str">
        <f t="shared" si="341"/>
        <v>14:42:15.976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343</v>
      </c>
      <c r="CR725">
        <v>2</v>
      </c>
      <c r="CW725">
        <v>12992909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ref="A726:A734" si="342">"05/12/2020 14:41:59.227"</f>
        <v>05/12/2020 14:41:59.227</v>
      </c>
      <c r="C726" t="str">
        <f t="shared" ref="C726:C789" si="343">"FFDFD3C0"</f>
        <v>FFDFD3C0</v>
      </c>
      <c r="D726" t="s">
        <v>134</v>
      </c>
      <c r="E726">
        <v>12</v>
      </c>
      <c r="H726">
        <v>64</v>
      </c>
      <c r="I726" t="s">
        <v>135</v>
      </c>
      <c r="J726" t="s">
        <v>136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ref="S726:S734" si="344">"14:42:17.055"</f>
        <v>14:42:17.055</v>
      </c>
      <c r="T726" t="str">
        <f t="shared" ref="T726:T734" si="345">"14:42:16.855"</f>
        <v>14:42:16.855</v>
      </c>
      <c r="U726" t="str">
        <f t="shared" si="335"/>
        <v>A9808D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289</v>
      </c>
      <c r="AJ726">
        <v>28.260462</v>
      </c>
      <c r="AK726" t="s">
        <v>288</v>
      </c>
      <c r="AL726">
        <v>-82.380444999999995</v>
      </c>
      <c r="AM726">
        <v>100</v>
      </c>
      <c r="AN726">
        <v>900</v>
      </c>
      <c r="AO726" t="s">
        <v>118</v>
      </c>
      <c r="AP726">
        <v>5</v>
      </c>
      <c r="AQ726">
        <v>88</v>
      </c>
      <c r="AR726">
        <v>576</v>
      </c>
      <c r="AZ726">
        <v>1200</v>
      </c>
      <c r="BA726">
        <v>1</v>
      </c>
      <c r="BB726" t="str">
        <f t="shared" ref="BB726:BB789" si="346">"N711JA  "</f>
        <v xml:space="preserve">N711JA  </v>
      </c>
      <c r="BC726">
        <v>1</v>
      </c>
      <c r="BE726">
        <v>0</v>
      </c>
      <c r="BF726">
        <v>0</v>
      </c>
      <c r="BG726">
        <v>0</v>
      </c>
      <c r="BH726">
        <v>1000</v>
      </c>
      <c r="BI726">
        <v>1</v>
      </c>
      <c r="BJ726">
        <v>1</v>
      </c>
      <c r="BK726">
        <v>0</v>
      </c>
      <c r="BL726">
        <v>0</v>
      </c>
      <c r="BO726">
        <v>0</v>
      </c>
      <c r="BP726">
        <v>0</v>
      </c>
      <c r="BW726" t="str">
        <f t="shared" ref="BW726:BW734" si="347">"14:42:17.060"</f>
        <v>14:42:17.060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343</v>
      </c>
      <c r="CR726">
        <v>2</v>
      </c>
      <c r="CW726">
        <v>12993693</v>
      </c>
      <c r="CY726">
        <v>1</v>
      </c>
      <c r="CZ726">
        <v>0</v>
      </c>
      <c r="DA726">
        <v>0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si="342"/>
        <v>05/12/2020 14:41:59.227</v>
      </c>
      <c r="C727" t="str">
        <f t="shared" si="343"/>
        <v>FFDFD3C0</v>
      </c>
      <c r="D727" t="s">
        <v>126</v>
      </c>
      <c r="E727">
        <v>7</v>
      </c>
      <c r="F727">
        <v>1007</v>
      </c>
      <c r="G727" t="s">
        <v>127</v>
      </c>
      <c r="J727" t="s">
        <v>128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44"/>
        <v>14:42:17.055</v>
      </c>
      <c r="T727" t="str">
        <f t="shared" si="345"/>
        <v>14:42:16.855</v>
      </c>
      <c r="U727" t="str">
        <f t="shared" si="335"/>
        <v>A9808D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289</v>
      </c>
      <c r="AJ727">
        <v>28.260462</v>
      </c>
      <c r="AK727" t="s">
        <v>288</v>
      </c>
      <c r="AL727">
        <v>-82.380444999999995</v>
      </c>
      <c r="AM727">
        <v>100</v>
      </c>
      <c r="AN727">
        <v>900</v>
      </c>
      <c r="AO727" t="s">
        <v>118</v>
      </c>
      <c r="AP727">
        <v>5</v>
      </c>
      <c r="AQ727">
        <v>88</v>
      </c>
      <c r="AR727">
        <v>576</v>
      </c>
      <c r="AZ727">
        <v>1200</v>
      </c>
      <c r="BA727">
        <v>1</v>
      </c>
      <c r="BB727" t="str">
        <f t="shared" si="346"/>
        <v xml:space="preserve">N711JA  </v>
      </c>
      <c r="BC727">
        <v>1</v>
      </c>
      <c r="BE727">
        <v>0</v>
      </c>
      <c r="BF727">
        <v>0</v>
      </c>
      <c r="BG727">
        <v>0</v>
      </c>
      <c r="BH727">
        <v>1000</v>
      </c>
      <c r="BI727">
        <v>1</v>
      </c>
      <c r="BJ727">
        <v>1</v>
      </c>
      <c r="BK727">
        <v>0</v>
      </c>
      <c r="BL727">
        <v>0</v>
      </c>
      <c r="BO727">
        <v>0</v>
      </c>
      <c r="BP727">
        <v>0</v>
      </c>
      <c r="BW727" t="str">
        <f t="shared" si="347"/>
        <v>14:42:17.060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343</v>
      </c>
      <c r="CR727">
        <v>2</v>
      </c>
      <c r="CW727">
        <v>12993693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 t="shared" si="342"/>
        <v>05/12/2020 14:41:59.227</v>
      </c>
      <c r="C728" t="str">
        <f t="shared" si="343"/>
        <v>FFDFD3C0</v>
      </c>
      <c r="D728" t="s">
        <v>131</v>
      </c>
      <c r="E728">
        <v>10</v>
      </c>
      <c r="F728">
        <v>2010</v>
      </c>
      <c r="G728" t="s">
        <v>132</v>
      </c>
      <c r="J728" t="s">
        <v>133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44"/>
        <v>14:42:17.055</v>
      </c>
      <c r="T728" t="str">
        <f t="shared" si="345"/>
        <v>14:42:16.855</v>
      </c>
      <c r="U728" t="str">
        <f t="shared" si="335"/>
        <v>A9808D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289</v>
      </c>
      <c r="AJ728">
        <v>28.260462</v>
      </c>
      <c r="AK728" t="s">
        <v>288</v>
      </c>
      <c r="AL728">
        <v>-82.380444999999995</v>
      </c>
      <c r="AM728">
        <v>100</v>
      </c>
      <c r="AN728">
        <v>900</v>
      </c>
      <c r="AO728" t="s">
        <v>118</v>
      </c>
      <c r="AP728">
        <v>5</v>
      </c>
      <c r="AQ728">
        <v>88</v>
      </c>
      <c r="AR728">
        <v>576</v>
      </c>
      <c r="AZ728">
        <v>1200</v>
      </c>
      <c r="BA728">
        <v>1</v>
      </c>
      <c r="BB728" t="str">
        <f t="shared" si="346"/>
        <v xml:space="preserve">N711JA  </v>
      </c>
      <c r="BC728">
        <v>1</v>
      </c>
      <c r="BE728">
        <v>0</v>
      </c>
      <c r="BF728">
        <v>0</v>
      </c>
      <c r="BG728">
        <v>0</v>
      </c>
      <c r="BH728">
        <v>1000</v>
      </c>
      <c r="BI728">
        <v>1</v>
      </c>
      <c r="BJ728">
        <v>1</v>
      </c>
      <c r="BK728">
        <v>0</v>
      </c>
      <c r="BL728">
        <v>0</v>
      </c>
      <c r="BO728">
        <v>0</v>
      </c>
      <c r="BP728">
        <v>0</v>
      </c>
      <c r="BW728" t="str">
        <f t="shared" si="347"/>
        <v>14:42:17.060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343</v>
      </c>
      <c r="CR728">
        <v>2</v>
      </c>
      <c r="CW728">
        <v>12993693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 t="shared" si="342"/>
        <v>05/12/2020 14:41:59.227</v>
      </c>
      <c r="C729" t="str">
        <f t="shared" si="343"/>
        <v>FFDFD3C0</v>
      </c>
      <c r="D729" t="s">
        <v>131</v>
      </c>
      <c r="E729">
        <v>12</v>
      </c>
      <c r="F729">
        <v>2012</v>
      </c>
      <c r="G729" t="s">
        <v>137</v>
      </c>
      <c r="J729" t="s">
        <v>133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344"/>
        <v>14:42:17.055</v>
      </c>
      <c r="T729" t="str">
        <f t="shared" si="345"/>
        <v>14:42:16.855</v>
      </c>
      <c r="U729" t="str">
        <f t="shared" si="335"/>
        <v>A9808D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289</v>
      </c>
      <c r="AJ729">
        <v>28.260462</v>
      </c>
      <c r="AK729" t="s">
        <v>288</v>
      </c>
      <c r="AL729">
        <v>-82.380444999999995</v>
      </c>
      <c r="AM729">
        <v>100</v>
      </c>
      <c r="AN729">
        <v>900</v>
      </c>
      <c r="AO729" t="s">
        <v>118</v>
      </c>
      <c r="AP729">
        <v>5</v>
      </c>
      <c r="AQ729">
        <v>88</v>
      </c>
      <c r="AR729">
        <v>576</v>
      </c>
      <c r="AZ729">
        <v>1200</v>
      </c>
      <c r="BA729">
        <v>1</v>
      </c>
      <c r="BB729" t="str">
        <f t="shared" si="346"/>
        <v xml:space="preserve">N711JA  </v>
      </c>
      <c r="BC729">
        <v>1</v>
      </c>
      <c r="BE729">
        <v>0</v>
      </c>
      <c r="BF729">
        <v>0</v>
      </c>
      <c r="BG729">
        <v>0</v>
      </c>
      <c r="BH729">
        <v>1000</v>
      </c>
      <c r="BI729">
        <v>1</v>
      </c>
      <c r="BJ729">
        <v>1</v>
      </c>
      <c r="BK729">
        <v>0</v>
      </c>
      <c r="BL729">
        <v>0</v>
      </c>
      <c r="BO729">
        <v>0</v>
      </c>
      <c r="BP729">
        <v>0</v>
      </c>
      <c r="BW729" t="str">
        <f t="shared" si="347"/>
        <v>14:42:17.060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343</v>
      </c>
      <c r="CR729">
        <v>2</v>
      </c>
      <c r="CW729">
        <v>12993693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 t="shared" si="342"/>
        <v>05/12/2020 14:41:59.227</v>
      </c>
      <c r="C730" t="str">
        <f t="shared" si="343"/>
        <v>FFDFD3C0</v>
      </c>
      <c r="D730" t="s">
        <v>131</v>
      </c>
      <c r="E730">
        <v>18</v>
      </c>
      <c r="F730">
        <v>2018</v>
      </c>
      <c r="G730" t="s">
        <v>161</v>
      </c>
      <c r="J730" t="s">
        <v>133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44"/>
        <v>14:42:17.055</v>
      </c>
      <c r="T730" t="str">
        <f t="shared" si="345"/>
        <v>14:42:16.855</v>
      </c>
      <c r="U730" t="str">
        <f t="shared" si="335"/>
        <v>A9808D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289</v>
      </c>
      <c r="AJ730">
        <v>28.260462</v>
      </c>
      <c r="AK730" t="s">
        <v>288</v>
      </c>
      <c r="AL730">
        <v>-82.380444999999995</v>
      </c>
      <c r="AM730">
        <v>100</v>
      </c>
      <c r="AN730">
        <v>900</v>
      </c>
      <c r="AO730" t="s">
        <v>118</v>
      </c>
      <c r="AP730">
        <v>5</v>
      </c>
      <c r="AQ730">
        <v>88</v>
      </c>
      <c r="AR730">
        <v>576</v>
      </c>
      <c r="AZ730">
        <v>1200</v>
      </c>
      <c r="BA730">
        <v>1</v>
      </c>
      <c r="BB730" t="str">
        <f t="shared" si="346"/>
        <v xml:space="preserve">N711JA  </v>
      </c>
      <c r="BC730">
        <v>1</v>
      </c>
      <c r="BE730">
        <v>0</v>
      </c>
      <c r="BF730">
        <v>0</v>
      </c>
      <c r="BG730">
        <v>0</v>
      </c>
      <c r="BH730">
        <v>1000</v>
      </c>
      <c r="BI730">
        <v>1</v>
      </c>
      <c r="BJ730">
        <v>1</v>
      </c>
      <c r="BK730">
        <v>0</v>
      </c>
      <c r="BL730">
        <v>0</v>
      </c>
      <c r="BO730">
        <v>0</v>
      </c>
      <c r="BP730">
        <v>0</v>
      </c>
      <c r="BW730" t="str">
        <f t="shared" si="347"/>
        <v>14:42:17.060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343</v>
      </c>
      <c r="CR730">
        <v>2</v>
      </c>
      <c r="CW730">
        <v>12993693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 t="shared" si="342"/>
        <v>05/12/2020 14:41:59.227</v>
      </c>
      <c r="C731" t="str">
        <f t="shared" si="343"/>
        <v>FFDFD3C0</v>
      </c>
      <c r="D731" t="s">
        <v>113</v>
      </c>
      <c r="E731">
        <v>3</v>
      </c>
      <c r="H731">
        <v>164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44"/>
        <v>14:42:17.055</v>
      </c>
      <c r="T731" t="str">
        <f t="shared" si="345"/>
        <v>14:42:16.855</v>
      </c>
      <c r="U731" t="str">
        <f t="shared" si="335"/>
        <v>A9808D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289</v>
      </c>
      <c r="AJ731">
        <v>28.260462</v>
      </c>
      <c r="AK731" t="s">
        <v>288</v>
      </c>
      <c r="AL731">
        <v>-82.380444999999995</v>
      </c>
      <c r="AM731">
        <v>100</v>
      </c>
      <c r="AN731">
        <v>900</v>
      </c>
      <c r="AO731" t="s">
        <v>118</v>
      </c>
      <c r="AP731">
        <v>5</v>
      </c>
      <c r="AQ731">
        <v>88</v>
      </c>
      <c r="AR731">
        <v>576</v>
      </c>
      <c r="AZ731">
        <v>1200</v>
      </c>
      <c r="BA731">
        <v>1</v>
      </c>
      <c r="BB731" t="str">
        <f t="shared" si="346"/>
        <v xml:space="preserve">N711JA  </v>
      </c>
      <c r="BC731">
        <v>1</v>
      </c>
      <c r="BE731">
        <v>0</v>
      </c>
      <c r="BF731">
        <v>0</v>
      </c>
      <c r="BG731">
        <v>0</v>
      </c>
      <c r="BH731">
        <v>1000</v>
      </c>
      <c r="BI731">
        <v>1</v>
      </c>
      <c r="BJ731">
        <v>1</v>
      </c>
      <c r="BK731">
        <v>0</v>
      </c>
      <c r="BL731">
        <v>0</v>
      </c>
      <c r="BO731">
        <v>0</v>
      </c>
      <c r="BP731">
        <v>0</v>
      </c>
      <c r="BW731" t="str">
        <f t="shared" si="347"/>
        <v>14:42:17.060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343</v>
      </c>
      <c r="CR731">
        <v>2</v>
      </c>
      <c r="CW731">
        <v>12993693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 t="shared" si="342"/>
        <v>05/12/2020 14:41:59.227</v>
      </c>
      <c r="C732" t="str">
        <f t="shared" si="343"/>
        <v>FFDFD3C0</v>
      </c>
      <c r="D732" t="s">
        <v>138</v>
      </c>
      <c r="E732">
        <v>2</v>
      </c>
      <c r="H732">
        <v>8</v>
      </c>
      <c r="I732" t="s">
        <v>139</v>
      </c>
      <c r="J732" t="s">
        <v>136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344"/>
        <v>14:42:17.055</v>
      </c>
      <c r="T732" t="str">
        <f t="shared" si="345"/>
        <v>14:42:16.855</v>
      </c>
      <c r="U732" t="str">
        <f t="shared" si="335"/>
        <v>A9808D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289</v>
      </c>
      <c r="AJ732">
        <v>28.260462</v>
      </c>
      <c r="AK732" t="s">
        <v>288</v>
      </c>
      <c r="AL732">
        <v>-82.380444999999995</v>
      </c>
      <c r="AM732">
        <v>100</v>
      </c>
      <c r="AN732">
        <v>900</v>
      </c>
      <c r="AO732" t="s">
        <v>118</v>
      </c>
      <c r="AP732">
        <v>5</v>
      </c>
      <c r="AQ732">
        <v>88</v>
      </c>
      <c r="AR732">
        <v>576</v>
      </c>
      <c r="AZ732">
        <v>1200</v>
      </c>
      <c r="BA732">
        <v>1</v>
      </c>
      <c r="BB732" t="str">
        <f t="shared" si="346"/>
        <v xml:space="preserve">N711JA  </v>
      </c>
      <c r="BC732">
        <v>1</v>
      </c>
      <c r="BE732">
        <v>0</v>
      </c>
      <c r="BF732">
        <v>0</v>
      </c>
      <c r="BG732">
        <v>0</v>
      </c>
      <c r="BH732">
        <v>1000</v>
      </c>
      <c r="BI732">
        <v>1</v>
      </c>
      <c r="BJ732">
        <v>1</v>
      </c>
      <c r="BK732">
        <v>0</v>
      </c>
      <c r="BL732">
        <v>0</v>
      </c>
      <c r="BO732">
        <v>0</v>
      </c>
      <c r="BP732">
        <v>0</v>
      </c>
      <c r="BW732" t="str">
        <f t="shared" si="347"/>
        <v>14:42:17.060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343</v>
      </c>
      <c r="CR732">
        <v>2</v>
      </c>
      <c r="CW732">
        <v>12993693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 t="shared" si="342"/>
        <v>05/12/2020 14:41:59.227</v>
      </c>
      <c r="C733" t="str">
        <f t="shared" si="343"/>
        <v>FFDFD3C0</v>
      </c>
      <c r="D733" t="s">
        <v>138</v>
      </c>
      <c r="E733">
        <v>3</v>
      </c>
      <c r="H733">
        <v>9</v>
      </c>
      <c r="I733" t="s">
        <v>140</v>
      </c>
      <c r="J733" t="s">
        <v>136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344"/>
        <v>14:42:17.055</v>
      </c>
      <c r="T733" t="str">
        <f t="shared" si="345"/>
        <v>14:42:16.855</v>
      </c>
      <c r="U733" t="str">
        <f t="shared" si="335"/>
        <v>A9808D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289</v>
      </c>
      <c r="AJ733">
        <v>28.260462</v>
      </c>
      <c r="AK733" t="s">
        <v>288</v>
      </c>
      <c r="AL733">
        <v>-82.380444999999995</v>
      </c>
      <c r="AM733">
        <v>100</v>
      </c>
      <c r="AN733">
        <v>900</v>
      </c>
      <c r="AO733" t="s">
        <v>118</v>
      </c>
      <c r="AP733">
        <v>5</v>
      </c>
      <c r="AQ733">
        <v>88</v>
      </c>
      <c r="AR733">
        <v>576</v>
      </c>
      <c r="AZ733">
        <v>1200</v>
      </c>
      <c r="BA733">
        <v>1</v>
      </c>
      <c r="BB733" t="str">
        <f t="shared" si="346"/>
        <v xml:space="preserve">N711JA  </v>
      </c>
      <c r="BC733">
        <v>1</v>
      </c>
      <c r="BE733">
        <v>0</v>
      </c>
      <c r="BF733">
        <v>0</v>
      </c>
      <c r="BG733">
        <v>0</v>
      </c>
      <c r="BH733">
        <v>1000</v>
      </c>
      <c r="BI733">
        <v>1</v>
      </c>
      <c r="BJ733">
        <v>1</v>
      </c>
      <c r="BK733">
        <v>0</v>
      </c>
      <c r="BL733">
        <v>0</v>
      </c>
      <c r="BO733">
        <v>0</v>
      </c>
      <c r="BP733">
        <v>0</v>
      </c>
      <c r="BW733" t="str">
        <f t="shared" si="347"/>
        <v>14:42:17.060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343</v>
      </c>
      <c r="CR733">
        <v>2</v>
      </c>
      <c r="CW733">
        <v>12993693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 t="shared" si="342"/>
        <v>05/12/2020 14:41:59.227</v>
      </c>
      <c r="C734" t="str">
        <f t="shared" si="343"/>
        <v>FFDFD3C0</v>
      </c>
      <c r="D734" t="s">
        <v>126</v>
      </c>
      <c r="E734">
        <v>6</v>
      </c>
      <c r="F734">
        <v>1006</v>
      </c>
      <c r="G734" t="s">
        <v>114</v>
      </c>
      <c r="J734" t="s">
        <v>128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44"/>
        <v>14:42:17.055</v>
      </c>
      <c r="T734" t="str">
        <f t="shared" si="345"/>
        <v>14:42:16.855</v>
      </c>
      <c r="U734" t="str">
        <f t="shared" si="335"/>
        <v>A9808D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289</v>
      </c>
      <c r="AJ734">
        <v>28.260462</v>
      </c>
      <c r="AK734" t="s">
        <v>288</v>
      </c>
      <c r="AL734">
        <v>-82.380444999999995</v>
      </c>
      <c r="AM734">
        <v>100</v>
      </c>
      <c r="AN734">
        <v>900</v>
      </c>
      <c r="AO734" t="s">
        <v>118</v>
      </c>
      <c r="AP734">
        <v>5</v>
      </c>
      <c r="AQ734">
        <v>88</v>
      </c>
      <c r="AR734">
        <v>576</v>
      </c>
      <c r="AZ734">
        <v>1200</v>
      </c>
      <c r="BA734">
        <v>1</v>
      </c>
      <c r="BB734" t="str">
        <f t="shared" si="346"/>
        <v xml:space="preserve">N711JA  </v>
      </c>
      <c r="BC734">
        <v>1</v>
      </c>
      <c r="BE734">
        <v>0</v>
      </c>
      <c r="BF734">
        <v>0</v>
      </c>
      <c r="BG734">
        <v>0</v>
      </c>
      <c r="BH734">
        <v>1000</v>
      </c>
      <c r="BI734">
        <v>1</v>
      </c>
      <c r="BJ734">
        <v>1</v>
      </c>
      <c r="BK734">
        <v>0</v>
      </c>
      <c r="BL734">
        <v>0</v>
      </c>
      <c r="BO734">
        <v>0</v>
      </c>
      <c r="BP734">
        <v>0</v>
      </c>
      <c r="BW734" t="str">
        <f t="shared" si="347"/>
        <v>14:42:17.060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343</v>
      </c>
      <c r="CR734">
        <v>2</v>
      </c>
      <c r="CW734">
        <v>12993693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 t="shared" ref="A735:A743" si="348">"05/12/2020 14:42:00.266"</f>
        <v>05/12/2020 14:42:00.266</v>
      </c>
      <c r="C735" t="str">
        <f t="shared" si="343"/>
        <v>FFDFD3C0</v>
      </c>
      <c r="D735" t="s">
        <v>113</v>
      </c>
      <c r="E735">
        <v>3</v>
      </c>
      <c r="H735">
        <v>164</v>
      </c>
      <c r="I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ref="S735:S743" si="349">"14:42:18.102"</f>
        <v>14:42:18.102</v>
      </c>
      <c r="T735" t="str">
        <f t="shared" ref="T735:T743" si="350">"14:42:17.802"</f>
        <v>14:42:17.802</v>
      </c>
      <c r="U735" t="str">
        <f t="shared" si="335"/>
        <v>A9808D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1</v>
      </c>
      <c r="AG735">
        <v>2</v>
      </c>
      <c r="AH735">
        <v>0</v>
      </c>
      <c r="AI735" t="s">
        <v>290</v>
      </c>
      <c r="AJ735">
        <v>28.260912999999999</v>
      </c>
      <c r="AK735" t="s">
        <v>291</v>
      </c>
      <c r="AL735">
        <v>-82.380402000000004</v>
      </c>
      <c r="AM735">
        <v>100</v>
      </c>
      <c r="AN735">
        <v>900</v>
      </c>
      <c r="AO735" t="s">
        <v>118</v>
      </c>
      <c r="AP735">
        <v>5</v>
      </c>
      <c r="AQ735">
        <v>88</v>
      </c>
      <c r="AR735">
        <v>640</v>
      </c>
      <c r="AZ735">
        <v>1200</v>
      </c>
      <c r="BA735">
        <v>1</v>
      </c>
      <c r="BB735" t="str">
        <f t="shared" si="346"/>
        <v xml:space="preserve">N711JA  </v>
      </c>
      <c r="BC735">
        <v>1</v>
      </c>
      <c r="BE735">
        <v>0</v>
      </c>
      <c r="BF735">
        <v>0</v>
      </c>
      <c r="BG735">
        <v>0</v>
      </c>
      <c r="BH735">
        <v>1000</v>
      </c>
      <c r="BI735">
        <v>1</v>
      </c>
      <c r="BJ735">
        <v>1</v>
      </c>
      <c r="BK735">
        <v>0</v>
      </c>
      <c r="BL735">
        <v>0</v>
      </c>
      <c r="BO735">
        <v>0</v>
      </c>
      <c r="BP735">
        <v>0</v>
      </c>
      <c r="BW735" t="str">
        <f t="shared" ref="BW735:BW743" si="351">"14:42:18.103"</f>
        <v>14:42:18.103</v>
      </c>
      <c r="CJ735">
        <v>1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343</v>
      </c>
      <c r="CR735">
        <v>0</v>
      </c>
      <c r="CW735">
        <v>5659794</v>
      </c>
      <c r="CY735">
        <v>1</v>
      </c>
      <c r="CZ735">
        <v>0</v>
      </c>
      <c r="DA735">
        <v>0</v>
      </c>
      <c r="DB735">
        <v>0</v>
      </c>
      <c r="DC735">
        <v>0</v>
      </c>
      <c r="DD735">
        <v>1</v>
      </c>
      <c r="DE735">
        <v>1</v>
      </c>
      <c r="DF735">
        <v>0</v>
      </c>
      <c r="DG735">
        <v>1</v>
      </c>
      <c r="DH735">
        <v>0</v>
      </c>
      <c r="DI735">
        <v>0</v>
      </c>
    </row>
    <row r="736" spans="1:113" x14ac:dyDescent="0.3">
      <c r="A736" t="str">
        <f t="shared" si="348"/>
        <v>05/12/2020 14:42:00.266</v>
      </c>
      <c r="C736" t="str">
        <f t="shared" si="343"/>
        <v>FFDFD3C0</v>
      </c>
      <c r="D736" t="s">
        <v>126</v>
      </c>
      <c r="E736">
        <v>6</v>
      </c>
      <c r="F736">
        <v>1006</v>
      </c>
      <c r="G736" t="s">
        <v>114</v>
      </c>
      <c r="J736" t="s">
        <v>128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49"/>
        <v>14:42:18.102</v>
      </c>
      <c r="T736" t="str">
        <f t="shared" si="350"/>
        <v>14:42:17.802</v>
      </c>
      <c r="U736" t="str">
        <f t="shared" si="335"/>
        <v>A9808D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1</v>
      </c>
      <c r="AG736">
        <v>2</v>
      </c>
      <c r="AH736">
        <v>0</v>
      </c>
      <c r="AI736" t="s">
        <v>290</v>
      </c>
      <c r="AJ736">
        <v>28.260912999999999</v>
      </c>
      <c r="AK736" t="s">
        <v>291</v>
      </c>
      <c r="AL736">
        <v>-82.380402000000004</v>
      </c>
      <c r="AM736">
        <v>100</v>
      </c>
      <c r="AN736">
        <v>900</v>
      </c>
      <c r="AO736" t="s">
        <v>118</v>
      </c>
      <c r="AP736">
        <v>5</v>
      </c>
      <c r="AQ736">
        <v>88</v>
      </c>
      <c r="AR736">
        <v>640</v>
      </c>
      <c r="AZ736">
        <v>1200</v>
      </c>
      <c r="BA736">
        <v>1</v>
      </c>
      <c r="BB736" t="str">
        <f t="shared" si="346"/>
        <v xml:space="preserve">N711JA  </v>
      </c>
      <c r="BC736">
        <v>1</v>
      </c>
      <c r="BE736">
        <v>0</v>
      </c>
      <c r="BF736">
        <v>0</v>
      </c>
      <c r="BG736">
        <v>0</v>
      </c>
      <c r="BH736">
        <v>1000</v>
      </c>
      <c r="BI736">
        <v>1</v>
      </c>
      <c r="BJ736">
        <v>1</v>
      </c>
      <c r="BK736">
        <v>0</v>
      </c>
      <c r="BL736">
        <v>0</v>
      </c>
      <c r="BO736">
        <v>0</v>
      </c>
      <c r="BP736">
        <v>0</v>
      </c>
      <c r="BW736" t="str">
        <f t="shared" si="351"/>
        <v>14:42:18.103</v>
      </c>
      <c r="CJ736">
        <v>1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343</v>
      </c>
      <c r="CR736">
        <v>0</v>
      </c>
      <c r="CW736">
        <v>5659794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1</v>
      </c>
      <c r="DF736">
        <v>0</v>
      </c>
      <c r="DG736">
        <v>1</v>
      </c>
      <c r="DH736">
        <v>0</v>
      </c>
      <c r="DI736">
        <v>0</v>
      </c>
    </row>
    <row r="737" spans="1:113" x14ac:dyDescent="0.3">
      <c r="A737" t="str">
        <f t="shared" si="348"/>
        <v>05/12/2020 14:42:00.266</v>
      </c>
      <c r="C737" t="str">
        <f t="shared" si="343"/>
        <v>FFDFD3C0</v>
      </c>
      <c r="D737" t="s">
        <v>138</v>
      </c>
      <c r="E737">
        <v>2</v>
      </c>
      <c r="H737">
        <v>8</v>
      </c>
      <c r="I737" t="s">
        <v>139</v>
      </c>
      <c r="J737" t="s">
        <v>136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49"/>
        <v>14:42:18.102</v>
      </c>
      <c r="T737" t="str">
        <f t="shared" si="350"/>
        <v>14:42:17.802</v>
      </c>
      <c r="U737" t="str">
        <f t="shared" si="335"/>
        <v>A9808D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1</v>
      </c>
      <c r="AG737">
        <v>2</v>
      </c>
      <c r="AH737">
        <v>0</v>
      </c>
      <c r="AI737" t="s">
        <v>290</v>
      </c>
      <c r="AJ737">
        <v>28.260912999999999</v>
      </c>
      <c r="AK737" t="s">
        <v>291</v>
      </c>
      <c r="AL737">
        <v>-82.380402000000004</v>
      </c>
      <c r="AM737">
        <v>100</v>
      </c>
      <c r="AN737">
        <v>900</v>
      </c>
      <c r="AO737" t="s">
        <v>118</v>
      </c>
      <c r="AP737">
        <v>5</v>
      </c>
      <c r="AQ737">
        <v>88</v>
      </c>
      <c r="AR737">
        <v>640</v>
      </c>
      <c r="AZ737">
        <v>1200</v>
      </c>
      <c r="BA737">
        <v>1</v>
      </c>
      <c r="BB737" t="str">
        <f t="shared" si="346"/>
        <v xml:space="preserve">N711JA  </v>
      </c>
      <c r="BC737">
        <v>1</v>
      </c>
      <c r="BE737">
        <v>0</v>
      </c>
      <c r="BF737">
        <v>0</v>
      </c>
      <c r="BG737">
        <v>0</v>
      </c>
      <c r="BH737">
        <v>1000</v>
      </c>
      <c r="BI737">
        <v>1</v>
      </c>
      <c r="BJ737">
        <v>1</v>
      </c>
      <c r="BK737">
        <v>0</v>
      </c>
      <c r="BL737">
        <v>0</v>
      </c>
      <c r="BO737">
        <v>0</v>
      </c>
      <c r="BP737">
        <v>0</v>
      </c>
      <c r="BW737" t="str">
        <f t="shared" si="351"/>
        <v>14:42:18.103</v>
      </c>
      <c r="CJ737">
        <v>1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343</v>
      </c>
      <c r="CR737">
        <v>0</v>
      </c>
      <c r="CW737">
        <v>5659794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1</v>
      </c>
      <c r="DF737">
        <v>0</v>
      </c>
      <c r="DG737">
        <v>1</v>
      </c>
      <c r="DH737">
        <v>0</v>
      </c>
      <c r="DI737">
        <v>0</v>
      </c>
    </row>
    <row r="738" spans="1:113" x14ac:dyDescent="0.3">
      <c r="A738" t="str">
        <f t="shared" si="348"/>
        <v>05/12/2020 14:42:00.266</v>
      </c>
      <c r="C738" t="str">
        <f t="shared" si="343"/>
        <v>FFDFD3C0</v>
      </c>
      <c r="D738" t="s">
        <v>138</v>
      </c>
      <c r="E738">
        <v>3</v>
      </c>
      <c r="H738">
        <v>9</v>
      </c>
      <c r="I738" t="s">
        <v>140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49"/>
        <v>14:42:18.102</v>
      </c>
      <c r="T738" t="str">
        <f t="shared" si="350"/>
        <v>14:42:17.802</v>
      </c>
      <c r="U738" t="str">
        <f t="shared" si="335"/>
        <v>A9808D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1</v>
      </c>
      <c r="AG738">
        <v>2</v>
      </c>
      <c r="AH738">
        <v>0</v>
      </c>
      <c r="AI738" t="s">
        <v>290</v>
      </c>
      <c r="AJ738">
        <v>28.260912999999999</v>
      </c>
      <c r="AK738" t="s">
        <v>291</v>
      </c>
      <c r="AL738">
        <v>-82.380402000000004</v>
      </c>
      <c r="AM738">
        <v>100</v>
      </c>
      <c r="AN738">
        <v>900</v>
      </c>
      <c r="AO738" t="s">
        <v>118</v>
      </c>
      <c r="AP738">
        <v>5</v>
      </c>
      <c r="AQ738">
        <v>88</v>
      </c>
      <c r="AR738">
        <v>640</v>
      </c>
      <c r="AZ738">
        <v>1200</v>
      </c>
      <c r="BA738">
        <v>1</v>
      </c>
      <c r="BB738" t="str">
        <f t="shared" si="346"/>
        <v xml:space="preserve">N711JA  </v>
      </c>
      <c r="BC738">
        <v>1</v>
      </c>
      <c r="BE738">
        <v>0</v>
      </c>
      <c r="BF738">
        <v>0</v>
      </c>
      <c r="BG738">
        <v>0</v>
      </c>
      <c r="BH738">
        <v>1000</v>
      </c>
      <c r="BI738">
        <v>1</v>
      </c>
      <c r="BJ738">
        <v>1</v>
      </c>
      <c r="BK738">
        <v>0</v>
      </c>
      <c r="BL738">
        <v>0</v>
      </c>
      <c r="BO738">
        <v>0</v>
      </c>
      <c r="BP738">
        <v>0</v>
      </c>
      <c r="BW738" t="str">
        <f t="shared" si="351"/>
        <v>14:42:18.103</v>
      </c>
      <c r="CJ738">
        <v>1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343</v>
      </c>
      <c r="CR738">
        <v>0</v>
      </c>
      <c r="CW738">
        <v>5659794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1</v>
      </c>
      <c r="DF738">
        <v>0</v>
      </c>
      <c r="DG738">
        <v>1</v>
      </c>
      <c r="DH738">
        <v>0</v>
      </c>
      <c r="DI738">
        <v>0</v>
      </c>
    </row>
    <row r="739" spans="1:113" x14ac:dyDescent="0.3">
      <c r="A739" t="str">
        <f t="shared" si="348"/>
        <v>05/12/2020 14:42:00.266</v>
      </c>
      <c r="C739" t="str">
        <f t="shared" si="343"/>
        <v>FFDFD3C0</v>
      </c>
      <c r="D739" t="s">
        <v>131</v>
      </c>
      <c r="E739">
        <v>10</v>
      </c>
      <c r="F739">
        <v>2010</v>
      </c>
      <c r="G739" t="s">
        <v>132</v>
      </c>
      <c r="J739" t="s">
        <v>133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349"/>
        <v>14:42:18.102</v>
      </c>
      <c r="T739" t="str">
        <f t="shared" si="350"/>
        <v>14:42:17.802</v>
      </c>
      <c r="U739" t="str">
        <f t="shared" si="335"/>
        <v>A9808D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1</v>
      </c>
      <c r="AG739">
        <v>2</v>
      </c>
      <c r="AH739">
        <v>0</v>
      </c>
      <c r="AI739" t="s">
        <v>290</v>
      </c>
      <c r="AJ739">
        <v>28.260912999999999</v>
      </c>
      <c r="AK739" t="s">
        <v>291</v>
      </c>
      <c r="AL739">
        <v>-82.380402000000004</v>
      </c>
      <c r="AM739">
        <v>100</v>
      </c>
      <c r="AN739">
        <v>900</v>
      </c>
      <c r="AO739" t="s">
        <v>118</v>
      </c>
      <c r="AP739">
        <v>5</v>
      </c>
      <c r="AQ739">
        <v>88</v>
      </c>
      <c r="AR739">
        <v>640</v>
      </c>
      <c r="AZ739">
        <v>1200</v>
      </c>
      <c r="BA739">
        <v>1</v>
      </c>
      <c r="BB739" t="str">
        <f t="shared" si="346"/>
        <v xml:space="preserve">N711JA  </v>
      </c>
      <c r="BC739">
        <v>1</v>
      </c>
      <c r="BE739">
        <v>0</v>
      </c>
      <c r="BF739">
        <v>0</v>
      </c>
      <c r="BG739">
        <v>0</v>
      </c>
      <c r="BH739">
        <v>1000</v>
      </c>
      <c r="BI739">
        <v>1</v>
      </c>
      <c r="BJ739">
        <v>1</v>
      </c>
      <c r="BK739">
        <v>0</v>
      </c>
      <c r="BL739">
        <v>0</v>
      </c>
      <c r="BO739">
        <v>0</v>
      </c>
      <c r="BP739">
        <v>0</v>
      </c>
      <c r="BW739" t="str">
        <f t="shared" si="351"/>
        <v>14:42:18.103</v>
      </c>
      <c r="CJ739">
        <v>1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343</v>
      </c>
      <c r="CR739">
        <v>0</v>
      </c>
      <c r="CW739">
        <v>5659794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1</v>
      </c>
      <c r="DF739">
        <v>0</v>
      </c>
      <c r="DG739">
        <v>1</v>
      </c>
      <c r="DH739">
        <v>0</v>
      </c>
      <c r="DI739">
        <v>0</v>
      </c>
    </row>
    <row r="740" spans="1:113" x14ac:dyDescent="0.3">
      <c r="A740" t="str">
        <f t="shared" si="348"/>
        <v>05/12/2020 14:42:00.266</v>
      </c>
      <c r="C740" t="str">
        <f t="shared" si="343"/>
        <v>FFDFD3C0</v>
      </c>
      <c r="D740" t="s">
        <v>131</v>
      </c>
      <c r="E740">
        <v>12</v>
      </c>
      <c r="F740">
        <v>2012</v>
      </c>
      <c r="G740" t="s">
        <v>137</v>
      </c>
      <c r="J740" t="s">
        <v>133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349"/>
        <v>14:42:18.102</v>
      </c>
      <c r="T740" t="str">
        <f t="shared" si="350"/>
        <v>14:42:17.802</v>
      </c>
      <c r="U740" t="str">
        <f t="shared" si="335"/>
        <v>A9808D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1</v>
      </c>
      <c r="AG740">
        <v>2</v>
      </c>
      <c r="AH740">
        <v>0</v>
      </c>
      <c r="AI740" t="s">
        <v>290</v>
      </c>
      <c r="AJ740">
        <v>28.260912999999999</v>
      </c>
      <c r="AK740" t="s">
        <v>291</v>
      </c>
      <c r="AL740">
        <v>-82.380402000000004</v>
      </c>
      <c r="AM740">
        <v>100</v>
      </c>
      <c r="AN740">
        <v>900</v>
      </c>
      <c r="AO740" t="s">
        <v>118</v>
      </c>
      <c r="AP740">
        <v>5</v>
      </c>
      <c r="AQ740">
        <v>88</v>
      </c>
      <c r="AR740">
        <v>640</v>
      </c>
      <c r="AZ740">
        <v>1200</v>
      </c>
      <c r="BA740">
        <v>1</v>
      </c>
      <c r="BB740" t="str">
        <f t="shared" si="346"/>
        <v xml:space="preserve">N711JA  </v>
      </c>
      <c r="BC740">
        <v>1</v>
      </c>
      <c r="BE740">
        <v>0</v>
      </c>
      <c r="BF740">
        <v>0</v>
      </c>
      <c r="BG740">
        <v>0</v>
      </c>
      <c r="BH740">
        <v>1000</v>
      </c>
      <c r="BI740">
        <v>1</v>
      </c>
      <c r="BJ740">
        <v>1</v>
      </c>
      <c r="BK740">
        <v>0</v>
      </c>
      <c r="BL740">
        <v>0</v>
      </c>
      <c r="BO740">
        <v>0</v>
      </c>
      <c r="BP740">
        <v>0</v>
      </c>
      <c r="BW740" t="str">
        <f t="shared" si="351"/>
        <v>14:42:18.103</v>
      </c>
      <c r="CJ740">
        <v>1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343</v>
      </c>
      <c r="CR740">
        <v>0</v>
      </c>
      <c r="CW740">
        <v>5659794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1</v>
      </c>
      <c r="DH740">
        <v>0</v>
      </c>
      <c r="DI740">
        <v>0</v>
      </c>
    </row>
    <row r="741" spans="1:113" x14ac:dyDescent="0.3">
      <c r="A741" t="str">
        <f t="shared" si="348"/>
        <v>05/12/2020 14:42:00.266</v>
      </c>
      <c r="C741" t="str">
        <f t="shared" si="343"/>
        <v>FFDFD3C0</v>
      </c>
      <c r="D741" t="s">
        <v>126</v>
      </c>
      <c r="E741">
        <v>7</v>
      </c>
      <c r="F741">
        <v>1007</v>
      </c>
      <c r="G741" t="s">
        <v>127</v>
      </c>
      <c r="J741" t="s">
        <v>128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49"/>
        <v>14:42:18.102</v>
      </c>
      <c r="T741" t="str">
        <f t="shared" si="350"/>
        <v>14:42:17.802</v>
      </c>
      <c r="U741" t="str">
        <f t="shared" si="335"/>
        <v>A9808D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1</v>
      </c>
      <c r="AG741">
        <v>2</v>
      </c>
      <c r="AH741">
        <v>0</v>
      </c>
      <c r="AI741" t="s">
        <v>290</v>
      </c>
      <c r="AJ741">
        <v>28.260912999999999</v>
      </c>
      <c r="AK741" t="s">
        <v>291</v>
      </c>
      <c r="AL741">
        <v>-82.380402000000004</v>
      </c>
      <c r="AM741">
        <v>100</v>
      </c>
      <c r="AN741">
        <v>900</v>
      </c>
      <c r="AO741" t="s">
        <v>118</v>
      </c>
      <c r="AP741">
        <v>5</v>
      </c>
      <c r="AQ741">
        <v>88</v>
      </c>
      <c r="AR741">
        <v>640</v>
      </c>
      <c r="AZ741">
        <v>1200</v>
      </c>
      <c r="BA741">
        <v>1</v>
      </c>
      <c r="BB741" t="str">
        <f t="shared" si="346"/>
        <v xml:space="preserve">N711JA  </v>
      </c>
      <c r="BC741">
        <v>1</v>
      </c>
      <c r="BE741">
        <v>0</v>
      </c>
      <c r="BF741">
        <v>0</v>
      </c>
      <c r="BG741">
        <v>0</v>
      </c>
      <c r="BH741">
        <v>1000</v>
      </c>
      <c r="BI741">
        <v>1</v>
      </c>
      <c r="BJ741">
        <v>1</v>
      </c>
      <c r="BK741">
        <v>0</v>
      </c>
      <c r="BL741">
        <v>0</v>
      </c>
      <c r="BO741">
        <v>0</v>
      </c>
      <c r="BP741">
        <v>0</v>
      </c>
      <c r="BW741" t="str">
        <f t="shared" si="351"/>
        <v>14:42:18.103</v>
      </c>
      <c r="CJ741">
        <v>1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343</v>
      </c>
      <c r="CR741">
        <v>0</v>
      </c>
      <c r="CW741">
        <v>5659794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1</v>
      </c>
      <c r="DF741">
        <v>0</v>
      </c>
      <c r="DG741">
        <v>1</v>
      </c>
      <c r="DH741">
        <v>0</v>
      </c>
      <c r="DI741">
        <v>0</v>
      </c>
    </row>
    <row r="742" spans="1:113" x14ac:dyDescent="0.3">
      <c r="A742" t="str">
        <f t="shared" si="348"/>
        <v>05/12/2020 14:42:00.266</v>
      </c>
      <c r="C742" t="str">
        <f t="shared" si="343"/>
        <v>FFDFD3C0</v>
      </c>
      <c r="D742" t="s">
        <v>134</v>
      </c>
      <c r="E742">
        <v>12</v>
      </c>
      <c r="H742">
        <v>64</v>
      </c>
      <c r="I742" t="s">
        <v>135</v>
      </c>
      <c r="J742" t="s">
        <v>136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49"/>
        <v>14:42:18.102</v>
      </c>
      <c r="T742" t="str">
        <f t="shared" si="350"/>
        <v>14:42:17.802</v>
      </c>
      <c r="U742" t="str">
        <f t="shared" si="335"/>
        <v>A9808D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1</v>
      </c>
      <c r="AG742">
        <v>2</v>
      </c>
      <c r="AH742">
        <v>0</v>
      </c>
      <c r="AI742" t="s">
        <v>290</v>
      </c>
      <c r="AJ742">
        <v>28.260912999999999</v>
      </c>
      <c r="AK742" t="s">
        <v>291</v>
      </c>
      <c r="AL742">
        <v>-82.380402000000004</v>
      </c>
      <c r="AM742">
        <v>100</v>
      </c>
      <c r="AN742">
        <v>900</v>
      </c>
      <c r="AO742" t="s">
        <v>118</v>
      </c>
      <c r="AP742">
        <v>5</v>
      </c>
      <c r="AQ742">
        <v>88</v>
      </c>
      <c r="AR742">
        <v>640</v>
      </c>
      <c r="AZ742">
        <v>1200</v>
      </c>
      <c r="BA742">
        <v>1</v>
      </c>
      <c r="BB742" t="str">
        <f t="shared" si="346"/>
        <v xml:space="preserve">N711JA  </v>
      </c>
      <c r="BC742">
        <v>1</v>
      </c>
      <c r="BE742">
        <v>0</v>
      </c>
      <c r="BF742">
        <v>0</v>
      </c>
      <c r="BG742">
        <v>0</v>
      </c>
      <c r="BH742">
        <v>1000</v>
      </c>
      <c r="BI742">
        <v>1</v>
      </c>
      <c r="BJ742">
        <v>1</v>
      </c>
      <c r="BK742">
        <v>0</v>
      </c>
      <c r="BL742">
        <v>0</v>
      </c>
      <c r="BO742">
        <v>0</v>
      </c>
      <c r="BP742">
        <v>0</v>
      </c>
      <c r="BW742" t="str">
        <f t="shared" si="351"/>
        <v>14:42:18.103</v>
      </c>
      <c r="CJ742">
        <v>1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343</v>
      </c>
      <c r="CR742">
        <v>0</v>
      </c>
      <c r="CW742">
        <v>5659794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1</v>
      </c>
      <c r="DE742">
        <v>1</v>
      </c>
      <c r="DF742">
        <v>0</v>
      </c>
      <c r="DG742">
        <v>1</v>
      </c>
      <c r="DH742">
        <v>0</v>
      </c>
      <c r="DI742">
        <v>0</v>
      </c>
    </row>
    <row r="743" spans="1:113" x14ac:dyDescent="0.3">
      <c r="A743" t="str">
        <f t="shared" si="348"/>
        <v>05/12/2020 14:42:00.266</v>
      </c>
      <c r="C743" t="str">
        <f t="shared" si="343"/>
        <v>FFDFD3C0</v>
      </c>
      <c r="D743" t="s">
        <v>131</v>
      </c>
      <c r="E743">
        <v>18</v>
      </c>
      <c r="F743">
        <v>2018</v>
      </c>
      <c r="G743" t="s">
        <v>161</v>
      </c>
      <c r="J743" t="s">
        <v>133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49"/>
        <v>14:42:18.102</v>
      </c>
      <c r="T743" t="str">
        <f t="shared" si="350"/>
        <v>14:42:17.802</v>
      </c>
      <c r="U743" t="str">
        <f t="shared" si="335"/>
        <v>A9808D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1</v>
      </c>
      <c r="AG743">
        <v>2</v>
      </c>
      <c r="AH743">
        <v>0</v>
      </c>
      <c r="AI743" t="s">
        <v>290</v>
      </c>
      <c r="AJ743">
        <v>28.260912999999999</v>
      </c>
      <c r="AK743" t="s">
        <v>291</v>
      </c>
      <c r="AL743">
        <v>-82.380402000000004</v>
      </c>
      <c r="AM743">
        <v>100</v>
      </c>
      <c r="AN743">
        <v>900</v>
      </c>
      <c r="AO743" t="s">
        <v>118</v>
      </c>
      <c r="AP743">
        <v>5</v>
      </c>
      <c r="AQ743">
        <v>88</v>
      </c>
      <c r="AR743">
        <v>640</v>
      </c>
      <c r="AZ743">
        <v>1200</v>
      </c>
      <c r="BA743">
        <v>1</v>
      </c>
      <c r="BB743" t="str">
        <f t="shared" si="346"/>
        <v xml:space="preserve">N711JA  </v>
      </c>
      <c r="BC743">
        <v>1</v>
      </c>
      <c r="BE743">
        <v>0</v>
      </c>
      <c r="BF743">
        <v>0</v>
      </c>
      <c r="BG743">
        <v>0</v>
      </c>
      <c r="BH743">
        <v>1000</v>
      </c>
      <c r="BI743">
        <v>1</v>
      </c>
      <c r="BJ743">
        <v>1</v>
      </c>
      <c r="BK743">
        <v>0</v>
      </c>
      <c r="BL743">
        <v>0</v>
      </c>
      <c r="BO743">
        <v>0</v>
      </c>
      <c r="BP743">
        <v>0</v>
      </c>
      <c r="BW743" t="str">
        <f t="shared" si="351"/>
        <v>14:42:18.103</v>
      </c>
      <c r="CJ743">
        <v>1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343</v>
      </c>
      <c r="CR743">
        <v>0</v>
      </c>
      <c r="CW743">
        <v>5659794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1</v>
      </c>
      <c r="DF743">
        <v>0</v>
      </c>
      <c r="DG743">
        <v>1</v>
      </c>
      <c r="DH743">
        <v>0</v>
      </c>
      <c r="DI743">
        <v>0</v>
      </c>
    </row>
    <row r="744" spans="1:113" x14ac:dyDescent="0.3">
      <c r="A744" t="str">
        <f t="shared" ref="A744:A752" si="352">"05/12/2020 14:42:01.278"</f>
        <v>05/12/2020 14:42:01.278</v>
      </c>
      <c r="C744" t="str">
        <f t="shared" si="343"/>
        <v>FFDFD3C0</v>
      </c>
      <c r="D744" t="s">
        <v>126</v>
      </c>
      <c r="E744">
        <v>6</v>
      </c>
      <c r="F744">
        <v>1006</v>
      </c>
      <c r="G744" t="s">
        <v>114</v>
      </c>
      <c r="J744" t="s">
        <v>128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ref="S744:S752" si="353">"14:42:19.086"</f>
        <v>14:42:19.086</v>
      </c>
      <c r="T744" t="str">
        <f t="shared" ref="T744:T752" si="354">"14:42:18.786"</f>
        <v>14:42:18.786</v>
      </c>
      <c r="U744" t="str">
        <f t="shared" si="335"/>
        <v>A9808D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292</v>
      </c>
      <c r="AJ744">
        <v>28.261320999999999</v>
      </c>
      <c r="AK744" t="s">
        <v>291</v>
      </c>
      <c r="AL744">
        <v>-82.380402000000004</v>
      </c>
      <c r="AM744">
        <v>100</v>
      </c>
      <c r="AN744">
        <v>900</v>
      </c>
      <c r="AO744" t="s">
        <v>118</v>
      </c>
      <c r="AP744">
        <v>4</v>
      </c>
      <c r="AQ744">
        <v>88</v>
      </c>
      <c r="AR744">
        <v>704</v>
      </c>
      <c r="AZ744">
        <v>1200</v>
      </c>
      <c r="BA744">
        <v>1</v>
      </c>
      <c r="BB744" t="str">
        <f t="shared" si="346"/>
        <v xml:space="preserve">N711JA  </v>
      </c>
      <c r="BC744">
        <v>1</v>
      </c>
      <c r="BE744">
        <v>0</v>
      </c>
      <c r="BF744">
        <v>0</v>
      </c>
      <c r="BG744">
        <v>0</v>
      </c>
      <c r="BH744">
        <v>1025</v>
      </c>
      <c r="BI744">
        <v>1</v>
      </c>
      <c r="BJ744">
        <v>1</v>
      </c>
      <c r="BK744">
        <v>0</v>
      </c>
      <c r="BL744">
        <v>0</v>
      </c>
      <c r="BO744">
        <v>0</v>
      </c>
      <c r="BP744">
        <v>0</v>
      </c>
      <c r="BW744" t="str">
        <f t="shared" ref="BW744:BW752" si="355">"14:42:19.089"</f>
        <v>14:42:19.089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343</v>
      </c>
      <c r="CR744">
        <v>1</v>
      </c>
      <c r="CW744">
        <v>10589574</v>
      </c>
      <c r="CY744">
        <v>1</v>
      </c>
      <c r="CZ744">
        <v>0</v>
      </c>
      <c r="DA744">
        <v>0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si="352"/>
        <v>05/12/2020 14:42:01.278</v>
      </c>
      <c r="C745" t="str">
        <f t="shared" si="343"/>
        <v>FFDFD3C0</v>
      </c>
      <c r="D745" t="s">
        <v>113</v>
      </c>
      <c r="E745">
        <v>3</v>
      </c>
      <c r="H745">
        <v>164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353"/>
        <v>14:42:19.086</v>
      </c>
      <c r="T745" t="str">
        <f t="shared" si="354"/>
        <v>14:42:18.786</v>
      </c>
      <c r="U745" t="str">
        <f t="shared" si="335"/>
        <v>A9808D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292</v>
      </c>
      <c r="AJ745">
        <v>28.261320999999999</v>
      </c>
      <c r="AK745" t="s">
        <v>291</v>
      </c>
      <c r="AL745">
        <v>-82.380402000000004</v>
      </c>
      <c r="AM745">
        <v>100</v>
      </c>
      <c r="AN745">
        <v>900</v>
      </c>
      <c r="AO745" t="s">
        <v>118</v>
      </c>
      <c r="AP745">
        <v>4</v>
      </c>
      <c r="AQ745">
        <v>88</v>
      </c>
      <c r="AR745">
        <v>704</v>
      </c>
      <c r="AZ745">
        <v>1200</v>
      </c>
      <c r="BA745">
        <v>1</v>
      </c>
      <c r="BB745" t="str">
        <f t="shared" si="346"/>
        <v xml:space="preserve">N711JA  </v>
      </c>
      <c r="BC745">
        <v>1</v>
      </c>
      <c r="BE745">
        <v>0</v>
      </c>
      <c r="BF745">
        <v>0</v>
      </c>
      <c r="BG745">
        <v>0</v>
      </c>
      <c r="BH745">
        <v>1025</v>
      </c>
      <c r="BI745">
        <v>1</v>
      </c>
      <c r="BJ745">
        <v>1</v>
      </c>
      <c r="BK745">
        <v>0</v>
      </c>
      <c r="BL745">
        <v>0</v>
      </c>
      <c r="BO745">
        <v>0</v>
      </c>
      <c r="BP745">
        <v>0</v>
      </c>
      <c r="BW745" t="str">
        <f t="shared" si="355"/>
        <v>14:42:19.089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343</v>
      </c>
      <c r="CR745">
        <v>1</v>
      </c>
      <c r="CW745">
        <v>10589574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 t="shared" si="352"/>
        <v>05/12/2020 14:42:01.278</v>
      </c>
      <c r="C746" t="str">
        <f t="shared" si="343"/>
        <v>FFDFD3C0</v>
      </c>
      <c r="D746" t="s">
        <v>138</v>
      </c>
      <c r="E746">
        <v>2</v>
      </c>
      <c r="H746">
        <v>8</v>
      </c>
      <c r="I746" t="s">
        <v>139</v>
      </c>
      <c r="J746" t="s">
        <v>136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353"/>
        <v>14:42:19.086</v>
      </c>
      <c r="T746" t="str">
        <f t="shared" si="354"/>
        <v>14:42:18.786</v>
      </c>
      <c r="U746" t="str">
        <f t="shared" si="335"/>
        <v>A9808D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292</v>
      </c>
      <c r="AJ746">
        <v>28.261320999999999</v>
      </c>
      <c r="AK746" t="s">
        <v>291</v>
      </c>
      <c r="AL746">
        <v>-82.380402000000004</v>
      </c>
      <c r="AM746">
        <v>100</v>
      </c>
      <c r="AN746">
        <v>900</v>
      </c>
      <c r="AO746" t="s">
        <v>118</v>
      </c>
      <c r="AP746">
        <v>4</v>
      </c>
      <c r="AQ746">
        <v>88</v>
      </c>
      <c r="AR746">
        <v>704</v>
      </c>
      <c r="AZ746">
        <v>1200</v>
      </c>
      <c r="BA746">
        <v>1</v>
      </c>
      <c r="BB746" t="str">
        <f t="shared" si="346"/>
        <v xml:space="preserve">N711JA  </v>
      </c>
      <c r="BC746">
        <v>1</v>
      </c>
      <c r="BE746">
        <v>0</v>
      </c>
      <c r="BF746">
        <v>0</v>
      </c>
      <c r="BG746">
        <v>0</v>
      </c>
      <c r="BH746">
        <v>1025</v>
      </c>
      <c r="BI746">
        <v>1</v>
      </c>
      <c r="BJ746">
        <v>1</v>
      </c>
      <c r="BK746">
        <v>0</v>
      </c>
      <c r="BL746">
        <v>0</v>
      </c>
      <c r="BO746">
        <v>0</v>
      </c>
      <c r="BP746">
        <v>0</v>
      </c>
      <c r="BW746" t="str">
        <f t="shared" si="355"/>
        <v>14:42:19.089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343</v>
      </c>
      <c r="CR746">
        <v>1</v>
      </c>
      <c r="CW746">
        <v>10589574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 t="shared" si="352"/>
        <v>05/12/2020 14:42:01.278</v>
      </c>
      <c r="C747" t="str">
        <f t="shared" si="343"/>
        <v>FFDFD3C0</v>
      </c>
      <c r="D747" t="s">
        <v>138</v>
      </c>
      <c r="E747">
        <v>3</v>
      </c>
      <c r="H747">
        <v>9</v>
      </c>
      <c r="I747" t="s">
        <v>140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53"/>
        <v>14:42:19.086</v>
      </c>
      <c r="T747" t="str">
        <f t="shared" si="354"/>
        <v>14:42:18.786</v>
      </c>
      <c r="U747" t="str">
        <f t="shared" si="335"/>
        <v>A9808D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292</v>
      </c>
      <c r="AJ747">
        <v>28.261320999999999</v>
      </c>
      <c r="AK747" t="s">
        <v>291</v>
      </c>
      <c r="AL747">
        <v>-82.380402000000004</v>
      </c>
      <c r="AM747">
        <v>100</v>
      </c>
      <c r="AN747">
        <v>900</v>
      </c>
      <c r="AO747" t="s">
        <v>118</v>
      </c>
      <c r="AP747">
        <v>4</v>
      </c>
      <c r="AQ747">
        <v>88</v>
      </c>
      <c r="AR747">
        <v>704</v>
      </c>
      <c r="AZ747">
        <v>1200</v>
      </c>
      <c r="BA747">
        <v>1</v>
      </c>
      <c r="BB747" t="str">
        <f t="shared" si="346"/>
        <v xml:space="preserve">N711JA  </v>
      </c>
      <c r="BC747">
        <v>1</v>
      </c>
      <c r="BE747">
        <v>0</v>
      </c>
      <c r="BF747">
        <v>0</v>
      </c>
      <c r="BG747">
        <v>0</v>
      </c>
      <c r="BH747">
        <v>1025</v>
      </c>
      <c r="BI747">
        <v>1</v>
      </c>
      <c r="BJ747">
        <v>1</v>
      </c>
      <c r="BK747">
        <v>0</v>
      </c>
      <c r="BL747">
        <v>0</v>
      </c>
      <c r="BO747">
        <v>0</v>
      </c>
      <c r="BP747">
        <v>0</v>
      </c>
      <c r="BW747" t="str">
        <f t="shared" si="355"/>
        <v>14:42:19.089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343</v>
      </c>
      <c r="CR747">
        <v>1</v>
      </c>
      <c r="CW747">
        <v>10589574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si="352"/>
        <v>05/12/2020 14:42:01.278</v>
      </c>
      <c r="C748" t="str">
        <f t="shared" si="343"/>
        <v>FFDFD3C0</v>
      </c>
      <c r="D748" t="s">
        <v>126</v>
      </c>
      <c r="E748">
        <v>7</v>
      </c>
      <c r="F748">
        <v>1007</v>
      </c>
      <c r="G748" t="s">
        <v>127</v>
      </c>
      <c r="J748" t="s">
        <v>128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353"/>
        <v>14:42:19.086</v>
      </c>
      <c r="T748" t="str">
        <f t="shared" si="354"/>
        <v>14:42:18.786</v>
      </c>
      <c r="U748" t="str">
        <f t="shared" si="335"/>
        <v>A9808D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292</v>
      </c>
      <c r="AJ748">
        <v>28.261320999999999</v>
      </c>
      <c r="AK748" t="s">
        <v>291</v>
      </c>
      <c r="AL748">
        <v>-82.380402000000004</v>
      </c>
      <c r="AM748">
        <v>100</v>
      </c>
      <c r="AN748">
        <v>900</v>
      </c>
      <c r="AO748" t="s">
        <v>118</v>
      </c>
      <c r="AP748">
        <v>4</v>
      </c>
      <c r="AQ748">
        <v>88</v>
      </c>
      <c r="AR748">
        <v>704</v>
      </c>
      <c r="AZ748">
        <v>1200</v>
      </c>
      <c r="BA748">
        <v>1</v>
      </c>
      <c r="BB748" t="str">
        <f t="shared" si="346"/>
        <v xml:space="preserve">N711JA  </v>
      </c>
      <c r="BC748">
        <v>1</v>
      </c>
      <c r="BE748">
        <v>0</v>
      </c>
      <c r="BF748">
        <v>0</v>
      </c>
      <c r="BG748">
        <v>0</v>
      </c>
      <c r="BH748">
        <v>1025</v>
      </c>
      <c r="BI748">
        <v>1</v>
      </c>
      <c r="BJ748">
        <v>1</v>
      </c>
      <c r="BK748">
        <v>0</v>
      </c>
      <c r="BL748">
        <v>0</v>
      </c>
      <c r="BO748">
        <v>0</v>
      </c>
      <c r="BP748">
        <v>0</v>
      </c>
      <c r="BW748" t="str">
        <f t="shared" si="355"/>
        <v>14:42:19.089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343</v>
      </c>
      <c r="CR748">
        <v>1</v>
      </c>
      <c r="CW748">
        <v>10589574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352"/>
        <v>05/12/2020 14:42:01.278</v>
      </c>
      <c r="C749" t="str">
        <f t="shared" si="343"/>
        <v>FFDFD3C0</v>
      </c>
      <c r="D749" t="s">
        <v>131</v>
      </c>
      <c r="E749">
        <v>10</v>
      </c>
      <c r="F749">
        <v>2010</v>
      </c>
      <c r="G749" t="s">
        <v>132</v>
      </c>
      <c r="J749" t="s">
        <v>133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53"/>
        <v>14:42:19.086</v>
      </c>
      <c r="T749" t="str">
        <f t="shared" si="354"/>
        <v>14:42:18.786</v>
      </c>
      <c r="U749" t="str">
        <f t="shared" si="335"/>
        <v>A9808D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292</v>
      </c>
      <c r="AJ749">
        <v>28.261320999999999</v>
      </c>
      <c r="AK749" t="s">
        <v>291</v>
      </c>
      <c r="AL749">
        <v>-82.380402000000004</v>
      </c>
      <c r="AM749">
        <v>100</v>
      </c>
      <c r="AN749">
        <v>900</v>
      </c>
      <c r="AO749" t="s">
        <v>118</v>
      </c>
      <c r="AP749">
        <v>4</v>
      </c>
      <c r="AQ749">
        <v>88</v>
      </c>
      <c r="AR749">
        <v>704</v>
      </c>
      <c r="AZ749">
        <v>1200</v>
      </c>
      <c r="BA749">
        <v>1</v>
      </c>
      <c r="BB749" t="str">
        <f t="shared" si="346"/>
        <v xml:space="preserve">N711JA  </v>
      </c>
      <c r="BC749">
        <v>1</v>
      </c>
      <c r="BE749">
        <v>0</v>
      </c>
      <c r="BF749">
        <v>0</v>
      </c>
      <c r="BG749">
        <v>0</v>
      </c>
      <c r="BH749">
        <v>1025</v>
      </c>
      <c r="BI749">
        <v>1</v>
      </c>
      <c r="BJ749">
        <v>1</v>
      </c>
      <c r="BK749">
        <v>0</v>
      </c>
      <c r="BL749">
        <v>0</v>
      </c>
      <c r="BO749">
        <v>0</v>
      </c>
      <c r="BP749">
        <v>0</v>
      </c>
      <c r="BW749" t="str">
        <f t="shared" si="355"/>
        <v>14:42:19.089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343</v>
      </c>
      <c r="CR749">
        <v>1</v>
      </c>
      <c r="CW749">
        <v>10589574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352"/>
        <v>05/12/2020 14:42:01.278</v>
      </c>
      <c r="C750" t="str">
        <f t="shared" si="343"/>
        <v>FFDFD3C0</v>
      </c>
      <c r="D750" t="s">
        <v>131</v>
      </c>
      <c r="E750">
        <v>12</v>
      </c>
      <c r="F750">
        <v>2012</v>
      </c>
      <c r="G750" t="s">
        <v>137</v>
      </c>
      <c r="J750" t="s">
        <v>133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353"/>
        <v>14:42:19.086</v>
      </c>
      <c r="T750" t="str">
        <f t="shared" si="354"/>
        <v>14:42:18.786</v>
      </c>
      <c r="U750" t="str">
        <f t="shared" si="335"/>
        <v>A9808D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292</v>
      </c>
      <c r="AJ750">
        <v>28.261320999999999</v>
      </c>
      <c r="AK750" t="s">
        <v>291</v>
      </c>
      <c r="AL750">
        <v>-82.380402000000004</v>
      </c>
      <c r="AM750">
        <v>100</v>
      </c>
      <c r="AN750">
        <v>900</v>
      </c>
      <c r="AO750" t="s">
        <v>118</v>
      </c>
      <c r="AP750">
        <v>4</v>
      </c>
      <c r="AQ750">
        <v>88</v>
      </c>
      <c r="AR750">
        <v>704</v>
      </c>
      <c r="AZ750">
        <v>1200</v>
      </c>
      <c r="BA750">
        <v>1</v>
      </c>
      <c r="BB750" t="str">
        <f t="shared" si="346"/>
        <v xml:space="preserve">N711JA  </v>
      </c>
      <c r="BC750">
        <v>1</v>
      </c>
      <c r="BE750">
        <v>0</v>
      </c>
      <c r="BF750">
        <v>0</v>
      </c>
      <c r="BG750">
        <v>0</v>
      </c>
      <c r="BH750">
        <v>1025</v>
      </c>
      <c r="BI750">
        <v>1</v>
      </c>
      <c r="BJ750">
        <v>1</v>
      </c>
      <c r="BK750">
        <v>0</v>
      </c>
      <c r="BL750">
        <v>0</v>
      </c>
      <c r="BO750">
        <v>0</v>
      </c>
      <c r="BP750">
        <v>0</v>
      </c>
      <c r="BW750" t="str">
        <f t="shared" si="355"/>
        <v>14:42:19.089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343</v>
      </c>
      <c r="CR750">
        <v>1</v>
      </c>
      <c r="CW750">
        <v>10589574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si="352"/>
        <v>05/12/2020 14:42:01.278</v>
      </c>
      <c r="C751" t="str">
        <f t="shared" si="343"/>
        <v>FFDFD3C0</v>
      </c>
      <c r="D751" t="s">
        <v>131</v>
      </c>
      <c r="E751">
        <v>18</v>
      </c>
      <c r="F751">
        <v>2018</v>
      </c>
      <c r="G751" t="s">
        <v>161</v>
      </c>
      <c r="J751" t="s">
        <v>133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353"/>
        <v>14:42:19.086</v>
      </c>
      <c r="T751" t="str">
        <f t="shared" si="354"/>
        <v>14:42:18.786</v>
      </c>
      <c r="U751" t="str">
        <f t="shared" si="335"/>
        <v>A9808D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292</v>
      </c>
      <c r="AJ751">
        <v>28.261320999999999</v>
      </c>
      <c r="AK751" t="s">
        <v>291</v>
      </c>
      <c r="AL751">
        <v>-82.380402000000004</v>
      </c>
      <c r="AM751">
        <v>100</v>
      </c>
      <c r="AN751">
        <v>900</v>
      </c>
      <c r="AO751" t="s">
        <v>118</v>
      </c>
      <c r="AP751">
        <v>4</v>
      </c>
      <c r="AQ751">
        <v>88</v>
      </c>
      <c r="AR751">
        <v>704</v>
      </c>
      <c r="AZ751">
        <v>1200</v>
      </c>
      <c r="BA751">
        <v>1</v>
      </c>
      <c r="BB751" t="str">
        <f t="shared" si="346"/>
        <v xml:space="preserve">N711JA  </v>
      </c>
      <c r="BC751">
        <v>1</v>
      </c>
      <c r="BE751">
        <v>0</v>
      </c>
      <c r="BF751">
        <v>0</v>
      </c>
      <c r="BG751">
        <v>0</v>
      </c>
      <c r="BH751">
        <v>1025</v>
      </c>
      <c r="BI751">
        <v>1</v>
      </c>
      <c r="BJ751">
        <v>1</v>
      </c>
      <c r="BK751">
        <v>0</v>
      </c>
      <c r="BL751">
        <v>0</v>
      </c>
      <c r="BO751">
        <v>0</v>
      </c>
      <c r="BP751">
        <v>0</v>
      </c>
      <c r="BW751" t="str">
        <f t="shared" si="355"/>
        <v>14:42:19.089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343</v>
      </c>
      <c r="CR751">
        <v>1</v>
      </c>
      <c r="CW751">
        <v>10589574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si="352"/>
        <v>05/12/2020 14:42:01.278</v>
      </c>
      <c r="C752" t="str">
        <f t="shared" si="343"/>
        <v>FFDFD3C0</v>
      </c>
      <c r="D752" t="s">
        <v>134</v>
      </c>
      <c r="E752">
        <v>12</v>
      </c>
      <c r="H752">
        <v>64</v>
      </c>
      <c r="I752" t="s">
        <v>135</v>
      </c>
      <c r="J752" t="s">
        <v>136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53"/>
        <v>14:42:19.086</v>
      </c>
      <c r="T752" t="str">
        <f t="shared" si="354"/>
        <v>14:42:18.786</v>
      </c>
      <c r="U752" t="str">
        <f t="shared" si="335"/>
        <v>A9808D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292</v>
      </c>
      <c r="AJ752">
        <v>28.261320999999999</v>
      </c>
      <c r="AK752" t="s">
        <v>291</v>
      </c>
      <c r="AL752">
        <v>-82.380402000000004</v>
      </c>
      <c r="AM752">
        <v>100</v>
      </c>
      <c r="AN752">
        <v>900</v>
      </c>
      <c r="AO752" t="s">
        <v>118</v>
      </c>
      <c r="AP752">
        <v>4</v>
      </c>
      <c r="AQ752">
        <v>88</v>
      </c>
      <c r="AR752">
        <v>704</v>
      </c>
      <c r="AZ752">
        <v>1200</v>
      </c>
      <c r="BA752">
        <v>1</v>
      </c>
      <c r="BB752" t="str">
        <f t="shared" si="346"/>
        <v xml:space="preserve">N711JA  </v>
      </c>
      <c r="BC752">
        <v>1</v>
      </c>
      <c r="BE752">
        <v>0</v>
      </c>
      <c r="BF752">
        <v>0</v>
      </c>
      <c r="BG752">
        <v>0</v>
      </c>
      <c r="BH752">
        <v>1025</v>
      </c>
      <c r="BI752">
        <v>1</v>
      </c>
      <c r="BJ752">
        <v>1</v>
      </c>
      <c r="BK752">
        <v>0</v>
      </c>
      <c r="BL752">
        <v>0</v>
      </c>
      <c r="BO752">
        <v>0</v>
      </c>
      <c r="BP752">
        <v>0</v>
      </c>
      <c r="BW752" t="str">
        <f t="shared" si="355"/>
        <v>14:42:19.089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343</v>
      </c>
      <c r="CR752">
        <v>1</v>
      </c>
      <c r="CW752">
        <v>10589574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ref="A753:A761" si="356">"05/12/2020 14:42:02.418"</f>
        <v>05/12/2020 14:42:02.418</v>
      </c>
      <c r="C753" t="str">
        <f t="shared" si="343"/>
        <v>FFDFD3C0</v>
      </c>
      <c r="D753" t="s">
        <v>134</v>
      </c>
      <c r="E753">
        <v>12</v>
      </c>
      <c r="H753">
        <v>64</v>
      </c>
      <c r="I753" t="s">
        <v>135</v>
      </c>
      <c r="J753" t="s">
        <v>136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S761" si="357">"14:42:20.242"</f>
        <v>14:42:20.242</v>
      </c>
      <c r="T753" t="str">
        <f t="shared" ref="T753:T761" si="358">"14:42:20.042"</f>
        <v>14:42:20.042</v>
      </c>
      <c r="U753" t="str">
        <f t="shared" si="335"/>
        <v>A9808D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293</v>
      </c>
      <c r="AJ753">
        <v>28.261771</v>
      </c>
      <c r="AK753" t="s">
        <v>144</v>
      </c>
      <c r="AL753">
        <v>-82.380337999999995</v>
      </c>
      <c r="AM753">
        <v>100</v>
      </c>
      <c r="AN753">
        <v>900</v>
      </c>
      <c r="AO753" t="s">
        <v>118</v>
      </c>
      <c r="AP753">
        <v>3</v>
      </c>
      <c r="AQ753">
        <v>88</v>
      </c>
      <c r="AR753">
        <v>640</v>
      </c>
      <c r="AZ753">
        <v>1200</v>
      </c>
      <c r="BA753">
        <v>1</v>
      </c>
      <c r="BB753" t="str">
        <f t="shared" si="346"/>
        <v xml:space="preserve">N711JA  </v>
      </c>
      <c r="BC753">
        <v>1</v>
      </c>
      <c r="BE753">
        <v>0</v>
      </c>
      <c r="BF753">
        <v>0</v>
      </c>
      <c r="BG753">
        <v>0</v>
      </c>
      <c r="BH753">
        <v>1025</v>
      </c>
      <c r="BI753">
        <v>1</v>
      </c>
      <c r="BJ753">
        <v>1</v>
      </c>
      <c r="BK753">
        <v>0</v>
      </c>
      <c r="BL753">
        <v>0</v>
      </c>
      <c r="BO753">
        <v>0</v>
      </c>
      <c r="BP753">
        <v>0</v>
      </c>
      <c r="BW753" t="str">
        <f t="shared" ref="BW753:BW761" si="359">"14:42:20.249"</f>
        <v>14:42:20.249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343</v>
      </c>
      <c r="CR753">
        <v>1</v>
      </c>
      <c r="CW753">
        <v>10590692</v>
      </c>
      <c r="CY753">
        <v>1</v>
      </c>
      <c r="CZ753">
        <v>0</v>
      </c>
      <c r="DA753">
        <v>0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356"/>
        <v>05/12/2020 14:42:02.418</v>
      </c>
      <c r="C754" t="str">
        <f t="shared" si="343"/>
        <v>FFDFD3C0</v>
      </c>
      <c r="D754" t="s">
        <v>126</v>
      </c>
      <c r="E754">
        <v>6</v>
      </c>
      <c r="F754">
        <v>1006</v>
      </c>
      <c r="G754" t="s">
        <v>114</v>
      </c>
      <c r="J754" t="s">
        <v>128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57"/>
        <v>14:42:20.242</v>
      </c>
      <c r="T754" t="str">
        <f t="shared" si="358"/>
        <v>14:42:20.042</v>
      </c>
      <c r="U754" t="str">
        <f t="shared" si="335"/>
        <v>A9808D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293</v>
      </c>
      <c r="AJ754">
        <v>28.261771</v>
      </c>
      <c r="AK754" t="s">
        <v>144</v>
      </c>
      <c r="AL754">
        <v>-82.380337999999995</v>
      </c>
      <c r="AM754">
        <v>100</v>
      </c>
      <c r="AN754">
        <v>900</v>
      </c>
      <c r="AO754" t="s">
        <v>118</v>
      </c>
      <c r="AP754">
        <v>3</v>
      </c>
      <c r="AQ754">
        <v>88</v>
      </c>
      <c r="AR754">
        <v>640</v>
      </c>
      <c r="AZ754">
        <v>1200</v>
      </c>
      <c r="BA754">
        <v>1</v>
      </c>
      <c r="BB754" t="str">
        <f t="shared" si="346"/>
        <v xml:space="preserve">N711JA  </v>
      </c>
      <c r="BC754">
        <v>1</v>
      </c>
      <c r="BE754">
        <v>0</v>
      </c>
      <c r="BF754">
        <v>0</v>
      </c>
      <c r="BG754">
        <v>0</v>
      </c>
      <c r="BH754">
        <v>1025</v>
      </c>
      <c r="BI754">
        <v>1</v>
      </c>
      <c r="BJ754">
        <v>1</v>
      </c>
      <c r="BK754">
        <v>0</v>
      </c>
      <c r="BL754">
        <v>0</v>
      </c>
      <c r="BO754">
        <v>0</v>
      </c>
      <c r="BP754">
        <v>0</v>
      </c>
      <c r="BW754" t="str">
        <f t="shared" si="359"/>
        <v>14:42:20.249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343</v>
      </c>
      <c r="CR754">
        <v>1</v>
      </c>
      <c r="CW754">
        <v>10590692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si="356"/>
        <v>05/12/2020 14:42:02.418</v>
      </c>
      <c r="C755" t="str">
        <f t="shared" si="343"/>
        <v>FFDFD3C0</v>
      </c>
      <c r="D755" t="s">
        <v>113</v>
      </c>
      <c r="E755">
        <v>3</v>
      </c>
      <c r="H755">
        <v>164</v>
      </c>
      <c r="I755" t="s">
        <v>114</v>
      </c>
      <c r="J755" t="s">
        <v>115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357"/>
        <v>14:42:20.242</v>
      </c>
      <c r="T755" t="str">
        <f t="shared" si="358"/>
        <v>14:42:20.042</v>
      </c>
      <c r="U755" t="str">
        <f t="shared" si="335"/>
        <v>A9808D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293</v>
      </c>
      <c r="AJ755">
        <v>28.261771</v>
      </c>
      <c r="AK755" t="s">
        <v>144</v>
      </c>
      <c r="AL755">
        <v>-82.380337999999995</v>
      </c>
      <c r="AM755">
        <v>100</v>
      </c>
      <c r="AN755">
        <v>900</v>
      </c>
      <c r="AO755" t="s">
        <v>118</v>
      </c>
      <c r="AP755">
        <v>3</v>
      </c>
      <c r="AQ755">
        <v>88</v>
      </c>
      <c r="AR755">
        <v>640</v>
      </c>
      <c r="AZ755">
        <v>1200</v>
      </c>
      <c r="BA755">
        <v>1</v>
      </c>
      <c r="BB755" t="str">
        <f t="shared" si="346"/>
        <v xml:space="preserve">N711JA  </v>
      </c>
      <c r="BC755">
        <v>1</v>
      </c>
      <c r="BE755">
        <v>0</v>
      </c>
      <c r="BF755">
        <v>0</v>
      </c>
      <c r="BG755">
        <v>0</v>
      </c>
      <c r="BH755">
        <v>1025</v>
      </c>
      <c r="BI755">
        <v>1</v>
      </c>
      <c r="BJ755">
        <v>1</v>
      </c>
      <c r="BK755">
        <v>0</v>
      </c>
      <c r="BL755">
        <v>0</v>
      </c>
      <c r="BO755">
        <v>0</v>
      </c>
      <c r="BP755">
        <v>0</v>
      </c>
      <c r="BW755" t="str">
        <f t="shared" si="359"/>
        <v>14:42:20.249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343</v>
      </c>
      <c r="CR755">
        <v>1</v>
      </c>
      <c r="CW755">
        <v>10590692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si="356"/>
        <v>05/12/2020 14:42:02.418</v>
      </c>
      <c r="C756" t="str">
        <f t="shared" si="343"/>
        <v>FFDFD3C0</v>
      </c>
      <c r="D756" t="s">
        <v>126</v>
      </c>
      <c r="E756">
        <v>7</v>
      </c>
      <c r="F756">
        <v>1007</v>
      </c>
      <c r="G756" t="s">
        <v>127</v>
      </c>
      <c r="J756" t="s">
        <v>128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357"/>
        <v>14:42:20.242</v>
      </c>
      <c r="T756" t="str">
        <f t="shared" si="358"/>
        <v>14:42:20.042</v>
      </c>
      <c r="U756" t="str">
        <f t="shared" si="335"/>
        <v>A9808D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293</v>
      </c>
      <c r="AJ756">
        <v>28.261771</v>
      </c>
      <c r="AK756" t="s">
        <v>144</v>
      </c>
      <c r="AL756">
        <v>-82.380337999999995</v>
      </c>
      <c r="AM756">
        <v>100</v>
      </c>
      <c r="AN756">
        <v>900</v>
      </c>
      <c r="AO756" t="s">
        <v>118</v>
      </c>
      <c r="AP756">
        <v>3</v>
      </c>
      <c r="AQ756">
        <v>88</v>
      </c>
      <c r="AR756">
        <v>640</v>
      </c>
      <c r="AZ756">
        <v>1200</v>
      </c>
      <c r="BA756">
        <v>1</v>
      </c>
      <c r="BB756" t="str">
        <f t="shared" si="346"/>
        <v xml:space="preserve">N711JA  </v>
      </c>
      <c r="BC756">
        <v>1</v>
      </c>
      <c r="BE756">
        <v>0</v>
      </c>
      <c r="BF756">
        <v>0</v>
      </c>
      <c r="BG756">
        <v>0</v>
      </c>
      <c r="BH756">
        <v>1025</v>
      </c>
      <c r="BI756">
        <v>1</v>
      </c>
      <c r="BJ756">
        <v>1</v>
      </c>
      <c r="BK756">
        <v>0</v>
      </c>
      <c r="BL756">
        <v>0</v>
      </c>
      <c r="BO756">
        <v>0</v>
      </c>
      <c r="BP756">
        <v>0</v>
      </c>
      <c r="BW756" t="str">
        <f t="shared" si="359"/>
        <v>14:42:20.249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343</v>
      </c>
      <c r="CR756">
        <v>1</v>
      </c>
      <c r="CW756">
        <v>10590692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si="356"/>
        <v>05/12/2020 14:42:02.418</v>
      </c>
      <c r="C757" t="str">
        <f t="shared" si="343"/>
        <v>FFDFD3C0</v>
      </c>
      <c r="D757" t="s">
        <v>138</v>
      </c>
      <c r="E757">
        <v>3</v>
      </c>
      <c r="H757">
        <v>9</v>
      </c>
      <c r="I757" t="s">
        <v>140</v>
      </c>
      <c r="J757" t="s">
        <v>136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357"/>
        <v>14:42:20.242</v>
      </c>
      <c r="T757" t="str">
        <f t="shared" si="358"/>
        <v>14:42:20.042</v>
      </c>
      <c r="U757" t="str">
        <f t="shared" si="335"/>
        <v>A9808D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293</v>
      </c>
      <c r="AJ757">
        <v>28.261771</v>
      </c>
      <c r="AK757" t="s">
        <v>144</v>
      </c>
      <c r="AL757">
        <v>-82.380337999999995</v>
      </c>
      <c r="AM757">
        <v>100</v>
      </c>
      <c r="AN757">
        <v>900</v>
      </c>
      <c r="AO757" t="s">
        <v>118</v>
      </c>
      <c r="AP757">
        <v>3</v>
      </c>
      <c r="AQ757">
        <v>88</v>
      </c>
      <c r="AR757">
        <v>640</v>
      </c>
      <c r="AZ757">
        <v>1200</v>
      </c>
      <c r="BA757">
        <v>1</v>
      </c>
      <c r="BB757" t="str">
        <f t="shared" si="346"/>
        <v xml:space="preserve">N711JA  </v>
      </c>
      <c r="BC757">
        <v>1</v>
      </c>
      <c r="BE757">
        <v>0</v>
      </c>
      <c r="BF757">
        <v>0</v>
      </c>
      <c r="BG757">
        <v>0</v>
      </c>
      <c r="BH757">
        <v>1025</v>
      </c>
      <c r="BI757">
        <v>1</v>
      </c>
      <c r="BJ757">
        <v>1</v>
      </c>
      <c r="BK757">
        <v>0</v>
      </c>
      <c r="BL757">
        <v>0</v>
      </c>
      <c r="BO757">
        <v>0</v>
      </c>
      <c r="BP757">
        <v>0</v>
      </c>
      <c r="BW757" t="str">
        <f t="shared" si="359"/>
        <v>14:42:20.249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343</v>
      </c>
      <c r="CR757">
        <v>1</v>
      </c>
      <c r="CW757">
        <v>10590692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si="356"/>
        <v>05/12/2020 14:42:02.418</v>
      </c>
      <c r="C758" t="str">
        <f t="shared" si="343"/>
        <v>FFDFD3C0</v>
      </c>
      <c r="D758" t="s">
        <v>138</v>
      </c>
      <c r="E758">
        <v>2</v>
      </c>
      <c r="H758">
        <v>8</v>
      </c>
      <c r="I758" t="s">
        <v>139</v>
      </c>
      <c r="J758" t="s">
        <v>136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57"/>
        <v>14:42:20.242</v>
      </c>
      <c r="T758" t="str">
        <f t="shared" si="358"/>
        <v>14:42:20.042</v>
      </c>
      <c r="U758" t="str">
        <f t="shared" si="335"/>
        <v>A9808D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293</v>
      </c>
      <c r="AJ758">
        <v>28.261771</v>
      </c>
      <c r="AK758" t="s">
        <v>144</v>
      </c>
      <c r="AL758">
        <v>-82.380337999999995</v>
      </c>
      <c r="AM758">
        <v>100</v>
      </c>
      <c r="AN758">
        <v>900</v>
      </c>
      <c r="AO758" t="s">
        <v>118</v>
      </c>
      <c r="AP758">
        <v>3</v>
      </c>
      <c r="AQ758">
        <v>88</v>
      </c>
      <c r="AR758">
        <v>640</v>
      </c>
      <c r="AZ758">
        <v>1200</v>
      </c>
      <c r="BA758">
        <v>1</v>
      </c>
      <c r="BB758" t="str">
        <f t="shared" si="346"/>
        <v xml:space="preserve">N711JA  </v>
      </c>
      <c r="BC758">
        <v>1</v>
      </c>
      <c r="BE758">
        <v>0</v>
      </c>
      <c r="BF758">
        <v>0</v>
      </c>
      <c r="BG758">
        <v>0</v>
      </c>
      <c r="BH758">
        <v>1025</v>
      </c>
      <c r="BI758">
        <v>1</v>
      </c>
      <c r="BJ758">
        <v>1</v>
      </c>
      <c r="BK758">
        <v>0</v>
      </c>
      <c r="BL758">
        <v>0</v>
      </c>
      <c r="BO758">
        <v>0</v>
      </c>
      <c r="BP758">
        <v>0</v>
      </c>
      <c r="BW758" t="str">
        <f t="shared" si="359"/>
        <v>14:42:20.249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343</v>
      </c>
      <c r="CR758">
        <v>1</v>
      </c>
      <c r="CW758">
        <v>10590692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356"/>
        <v>05/12/2020 14:42:02.418</v>
      </c>
      <c r="C759" t="str">
        <f t="shared" si="343"/>
        <v>FFDFD3C0</v>
      </c>
      <c r="D759" t="s">
        <v>131</v>
      </c>
      <c r="E759">
        <v>10</v>
      </c>
      <c r="F759">
        <v>2010</v>
      </c>
      <c r="G759" t="s">
        <v>132</v>
      </c>
      <c r="J759" t="s">
        <v>133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57"/>
        <v>14:42:20.242</v>
      </c>
      <c r="T759" t="str">
        <f t="shared" si="358"/>
        <v>14:42:20.042</v>
      </c>
      <c r="U759" t="str">
        <f t="shared" si="335"/>
        <v>A9808D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293</v>
      </c>
      <c r="AJ759">
        <v>28.261771</v>
      </c>
      <c r="AK759" t="s">
        <v>144</v>
      </c>
      <c r="AL759">
        <v>-82.380337999999995</v>
      </c>
      <c r="AM759">
        <v>100</v>
      </c>
      <c r="AN759">
        <v>900</v>
      </c>
      <c r="AO759" t="s">
        <v>118</v>
      </c>
      <c r="AP759">
        <v>3</v>
      </c>
      <c r="AQ759">
        <v>88</v>
      </c>
      <c r="AR759">
        <v>640</v>
      </c>
      <c r="AZ759">
        <v>1200</v>
      </c>
      <c r="BA759">
        <v>1</v>
      </c>
      <c r="BB759" t="str">
        <f t="shared" si="346"/>
        <v xml:space="preserve">N711JA  </v>
      </c>
      <c r="BC759">
        <v>1</v>
      </c>
      <c r="BE759">
        <v>0</v>
      </c>
      <c r="BF759">
        <v>0</v>
      </c>
      <c r="BG759">
        <v>0</v>
      </c>
      <c r="BH759">
        <v>1025</v>
      </c>
      <c r="BI759">
        <v>1</v>
      </c>
      <c r="BJ759">
        <v>1</v>
      </c>
      <c r="BK759">
        <v>0</v>
      </c>
      <c r="BL759">
        <v>0</v>
      </c>
      <c r="BO759">
        <v>0</v>
      </c>
      <c r="BP759">
        <v>0</v>
      </c>
      <c r="BW759" t="str">
        <f t="shared" si="359"/>
        <v>14:42:20.249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343</v>
      </c>
      <c r="CR759">
        <v>1</v>
      </c>
      <c r="CW759">
        <v>10590692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356"/>
        <v>05/12/2020 14:42:02.418</v>
      </c>
      <c r="C760" t="str">
        <f t="shared" si="343"/>
        <v>FFDFD3C0</v>
      </c>
      <c r="D760" t="s">
        <v>131</v>
      </c>
      <c r="E760">
        <v>12</v>
      </c>
      <c r="F760">
        <v>2012</v>
      </c>
      <c r="G760" t="s">
        <v>137</v>
      </c>
      <c r="J760" t="s">
        <v>133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357"/>
        <v>14:42:20.242</v>
      </c>
      <c r="T760" t="str">
        <f t="shared" si="358"/>
        <v>14:42:20.042</v>
      </c>
      <c r="U760" t="str">
        <f t="shared" si="335"/>
        <v>A9808D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293</v>
      </c>
      <c r="AJ760">
        <v>28.261771</v>
      </c>
      <c r="AK760" t="s">
        <v>144</v>
      </c>
      <c r="AL760">
        <v>-82.380337999999995</v>
      </c>
      <c r="AM760">
        <v>100</v>
      </c>
      <c r="AN760">
        <v>900</v>
      </c>
      <c r="AO760" t="s">
        <v>118</v>
      </c>
      <c r="AP760">
        <v>3</v>
      </c>
      <c r="AQ760">
        <v>88</v>
      </c>
      <c r="AR760">
        <v>640</v>
      </c>
      <c r="AZ760">
        <v>1200</v>
      </c>
      <c r="BA760">
        <v>1</v>
      </c>
      <c r="BB760" t="str">
        <f t="shared" si="346"/>
        <v xml:space="preserve">N711JA  </v>
      </c>
      <c r="BC760">
        <v>1</v>
      </c>
      <c r="BE760">
        <v>0</v>
      </c>
      <c r="BF760">
        <v>0</v>
      </c>
      <c r="BG760">
        <v>0</v>
      </c>
      <c r="BH760">
        <v>1025</v>
      </c>
      <c r="BI760">
        <v>1</v>
      </c>
      <c r="BJ760">
        <v>1</v>
      </c>
      <c r="BK760">
        <v>0</v>
      </c>
      <c r="BL760">
        <v>0</v>
      </c>
      <c r="BO760">
        <v>0</v>
      </c>
      <c r="BP760">
        <v>0</v>
      </c>
      <c r="BW760" t="str">
        <f t="shared" si="359"/>
        <v>14:42:20.249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343</v>
      </c>
      <c r="CR760">
        <v>1</v>
      </c>
      <c r="CW760">
        <v>10590692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356"/>
        <v>05/12/2020 14:42:02.418</v>
      </c>
      <c r="C761" t="str">
        <f t="shared" si="343"/>
        <v>FFDFD3C0</v>
      </c>
      <c r="D761" t="s">
        <v>131</v>
      </c>
      <c r="E761">
        <v>18</v>
      </c>
      <c r="F761">
        <v>2018</v>
      </c>
      <c r="G761" t="s">
        <v>161</v>
      </c>
      <c r="J761" t="s">
        <v>133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57"/>
        <v>14:42:20.242</v>
      </c>
      <c r="T761" t="str">
        <f t="shared" si="358"/>
        <v>14:42:20.042</v>
      </c>
      <c r="U761" t="str">
        <f t="shared" si="335"/>
        <v>A9808D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293</v>
      </c>
      <c r="AJ761">
        <v>28.261771</v>
      </c>
      <c r="AK761" t="s">
        <v>144</v>
      </c>
      <c r="AL761">
        <v>-82.380337999999995</v>
      </c>
      <c r="AM761">
        <v>100</v>
      </c>
      <c r="AN761">
        <v>900</v>
      </c>
      <c r="AO761" t="s">
        <v>118</v>
      </c>
      <c r="AP761">
        <v>3</v>
      </c>
      <c r="AQ761">
        <v>88</v>
      </c>
      <c r="AR761">
        <v>640</v>
      </c>
      <c r="AZ761">
        <v>1200</v>
      </c>
      <c r="BA761">
        <v>1</v>
      </c>
      <c r="BB761" t="str">
        <f t="shared" si="346"/>
        <v xml:space="preserve">N711JA  </v>
      </c>
      <c r="BC761">
        <v>1</v>
      </c>
      <c r="BE761">
        <v>0</v>
      </c>
      <c r="BF761">
        <v>0</v>
      </c>
      <c r="BG761">
        <v>0</v>
      </c>
      <c r="BH761">
        <v>1025</v>
      </c>
      <c r="BI761">
        <v>1</v>
      </c>
      <c r="BJ761">
        <v>1</v>
      </c>
      <c r="BK761">
        <v>0</v>
      </c>
      <c r="BL761">
        <v>0</v>
      </c>
      <c r="BO761">
        <v>0</v>
      </c>
      <c r="BP761">
        <v>0</v>
      </c>
      <c r="BW761" t="str">
        <f t="shared" si="359"/>
        <v>14:42:20.249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343</v>
      </c>
      <c r="CR761">
        <v>1</v>
      </c>
      <c r="CW761">
        <v>10590692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 t="shared" ref="A762:A770" si="360">"05/12/2020 14:42:03.443"</f>
        <v>05/12/2020 14:42:03.443</v>
      </c>
      <c r="C762" t="str">
        <f t="shared" si="343"/>
        <v>FFDFD3C0</v>
      </c>
      <c r="D762" t="s">
        <v>126</v>
      </c>
      <c r="E762">
        <v>6</v>
      </c>
      <c r="F762">
        <v>1006</v>
      </c>
      <c r="G762" t="s">
        <v>114</v>
      </c>
      <c r="J762" t="s">
        <v>128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ref="S762:S770" si="361">"14:42:21.258"</f>
        <v>14:42:21.258</v>
      </c>
      <c r="T762" t="str">
        <f t="shared" ref="T762:T770" si="362">"14:42:21.058"</f>
        <v>14:42:21.058</v>
      </c>
      <c r="U762" t="str">
        <f t="shared" si="335"/>
        <v>A9808D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294</v>
      </c>
      <c r="AJ762">
        <v>28.262136000000002</v>
      </c>
      <c r="AK762" t="s">
        <v>144</v>
      </c>
      <c r="AL762">
        <v>-82.380337999999995</v>
      </c>
      <c r="AM762">
        <v>100</v>
      </c>
      <c r="AN762">
        <v>1000</v>
      </c>
      <c r="AO762" t="s">
        <v>118</v>
      </c>
      <c r="AP762">
        <v>3</v>
      </c>
      <c r="AQ762">
        <v>88</v>
      </c>
      <c r="AR762">
        <v>512</v>
      </c>
      <c r="AZ762">
        <v>1200</v>
      </c>
      <c r="BA762">
        <v>1</v>
      </c>
      <c r="BB762" t="str">
        <f t="shared" si="346"/>
        <v xml:space="preserve">N711JA  </v>
      </c>
      <c r="BC762">
        <v>1</v>
      </c>
      <c r="BE762">
        <v>0</v>
      </c>
      <c r="BF762">
        <v>0</v>
      </c>
      <c r="BG762">
        <v>0</v>
      </c>
      <c r="BH762">
        <v>1050</v>
      </c>
      <c r="BI762">
        <v>1</v>
      </c>
      <c r="BJ762">
        <v>1</v>
      </c>
      <c r="BK762">
        <v>0</v>
      </c>
      <c r="BL762">
        <v>0</v>
      </c>
      <c r="BO762">
        <v>0</v>
      </c>
      <c r="BP762">
        <v>0</v>
      </c>
      <c r="BW762" t="str">
        <f t="shared" ref="BW762:BW770" si="363">"14:42:21.259"</f>
        <v>14:42:21.259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343</v>
      </c>
      <c r="CR762">
        <v>1</v>
      </c>
      <c r="CW762">
        <v>10591759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 t="shared" si="360"/>
        <v>05/12/2020 14:42:03.443</v>
      </c>
      <c r="C763" t="str">
        <f t="shared" si="343"/>
        <v>FFDFD3C0</v>
      </c>
      <c r="D763" t="s">
        <v>126</v>
      </c>
      <c r="E763">
        <v>7</v>
      </c>
      <c r="F763">
        <v>1007</v>
      </c>
      <c r="G763" t="s">
        <v>127</v>
      </c>
      <c r="J763" t="s">
        <v>128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361"/>
        <v>14:42:21.258</v>
      </c>
      <c r="T763" t="str">
        <f t="shared" si="362"/>
        <v>14:42:21.058</v>
      </c>
      <c r="U763" t="str">
        <f t="shared" si="335"/>
        <v>A9808D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294</v>
      </c>
      <c r="AJ763">
        <v>28.262136000000002</v>
      </c>
      <c r="AK763" t="s">
        <v>144</v>
      </c>
      <c r="AL763">
        <v>-82.380337999999995</v>
      </c>
      <c r="AM763">
        <v>100</v>
      </c>
      <c r="AN763">
        <v>1000</v>
      </c>
      <c r="AO763" t="s">
        <v>118</v>
      </c>
      <c r="AP763">
        <v>3</v>
      </c>
      <c r="AQ763">
        <v>88</v>
      </c>
      <c r="AR763">
        <v>512</v>
      </c>
      <c r="AZ763">
        <v>1200</v>
      </c>
      <c r="BA763">
        <v>1</v>
      </c>
      <c r="BB763" t="str">
        <f t="shared" si="346"/>
        <v xml:space="preserve">N711JA  </v>
      </c>
      <c r="BC763">
        <v>1</v>
      </c>
      <c r="BE763">
        <v>0</v>
      </c>
      <c r="BF763">
        <v>0</v>
      </c>
      <c r="BG763">
        <v>0</v>
      </c>
      <c r="BH763">
        <v>1050</v>
      </c>
      <c r="BI763">
        <v>1</v>
      </c>
      <c r="BJ763">
        <v>1</v>
      </c>
      <c r="BK763">
        <v>0</v>
      </c>
      <c r="BL763">
        <v>0</v>
      </c>
      <c r="BO763">
        <v>0</v>
      </c>
      <c r="BP763">
        <v>0</v>
      </c>
      <c r="BW763" t="str">
        <f t="shared" si="363"/>
        <v>14:42:21.259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343</v>
      </c>
      <c r="CR763">
        <v>1</v>
      </c>
      <c r="CW763">
        <v>10591759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si="360"/>
        <v>05/12/2020 14:42:03.443</v>
      </c>
      <c r="C764" t="str">
        <f t="shared" si="343"/>
        <v>FFDFD3C0</v>
      </c>
      <c r="D764" t="s">
        <v>131</v>
      </c>
      <c r="E764">
        <v>10</v>
      </c>
      <c r="F764">
        <v>2010</v>
      </c>
      <c r="G764" t="s">
        <v>132</v>
      </c>
      <c r="J764" t="s">
        <v>133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361"/>
        <v>14:42:21.258</v>
      </c>
      <c r="T764" t="str">
        <f t="shared" si="362"/>
        <v>14:42:21.058</v>
      </c>
      <c r="U764" t="str">
        <f t="shared" si="335"/>
        <v>A9808D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294</v>
      </c>
      <c r="AJ764">
        <v>28.262136000000002</v>
      </c>
      <c r="AK764" t="s">
        <v>144</v>
      </c>
      <c r="AL764">
        <v>-82.380337999999995</v>
      </c>
      <c r="AM764">
        <v>100</v>
      </c>
      <c r="AN764">
        <v>1000</v>
      </c>
      <c r="AO764" t="s">
        <v>118</v>
      </c>
      <c r="AP764">
        <v>3</v>
      </c>
      <c r="AQ764">
        <v>88</v>
      </c>
      <c r="AR764">
        <v>512</v>
      </c>
      <c r="AZ764">
        <v>1200</v>
      </c>
      <c r="BA764">
        <v>1</v>
      </c>
      <c r="BB764" t="str">
        <f t="shared" si="346"/>
        <v xml:space="preserve">N711JA  </v>
      </c>
      <c r="BC764">
        <v>1</v>
      </c>
      <c r="BE764">
        <v>0</v>
      </c>
      <c r="BF764">
        <v>0</v>
      </c>
      <c r="BG764">
        <v>0</v>
      </c>
      <c r="BH764">
        <v>1050</v>
      </c>
      <c r="BI764">
        <v>1</v>
      </c>
      <c r="BJ764">
        <v>1</v>
      </c>
      <c r="BK764">
        <v>0</v>
      </c>
      <c r="BL764">
        <v>0</v>
      </c>
      <c r="BO764">
        <v>0</v>
      </c>
      <c r="BP764">
        <v>0</v>
      </c>
      <c r="BW764" t="str">
        <f t="shared" si="363"/>
        <v>14:42:21.259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343</v>
      </c>
      <c r="CR764">
        <v>1</v>
      </c>
      <c r="CW764">
        <v>10591759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360"/>
        <v>05/12/2020 14:42:03.443</v>
      </c>
      <c r="C765" t="str">
        <f t="shared" si="343"/>
        <v>FFDFD3C0</v>
      </c>
      <c r="D765" t="s">
        <v>131</v>
      </c>
      <c r="E765">
        <v>12</v>
      </c>
      <c r="F765">
        <v>2012</v>
      </c>
      <c r="G765" t="s">
        <v>137</v>
      </c>
      <c r="J765" t="s">
        <v>133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61"/>
        <v>14:42:21.258</v>
      </c>
      <c r="T765" t="str">
        <f t="shared" si="362"/>
        <v>14:42:21.058</v>
      </c>
      <c r="U765" t="str">
        <f t="shared" si="335"/>
        <v>A9808D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294</v>
      </c>
      <c r="AJ765">
        <v>28.262136000000002</v>
      </c>
      <c r="AK765" t="s">
        <v>144</v>
      </c>
      <c r="AL765">
        <v>-82.380337999999995</v>
      </c>
      <c r="AM765">
        <v>100</v>
      </c>
      <c r="AN765">
        <v>1000</v>
      </c>
      <c r="AO765" t="s">
        <v>118</v>
      </c>
      <c r="AP765">
        <v>3</v>
      </c>
      <c r="AQ765">
        <v>88</v>
      </c>
      <c r="AR765">
        <v>512</v>
      </c>
      <c r="AZ765">
        <v>1200</v>
      </c>
      <c r="BA765">
        <v>1</v>
      </c>
      <c r="BB765" t="str">
        <f t="shared" si="346"/>
        <v xml:space="preserve">N711JA  </v>
      </c>
      <c r="BC765">
        <v>1</v>
      </c>
      <c r="BE765">
        <v>0</v>
      </c>
      <c r="BF765">
        <v>0</v>
      </c>
      <c r="BG765">
        <v>0</v>
      </c>
      <c r="BH765">
        <v>1050</v>
      </c>
      <c r="BI765">
        <v>1</v>
      </c>
      <c r="BJ765">
        <v>1</v>
      </c>
      <c r="BK765">
        <v>0</v>
      </c>
      <c r="BL765">
        <v>0</v>
      </c>
      <c r="BO765">
        <v>0</v>
      </c>
      <c r="BP765">
        <v>0</v>
      </c>
      <c r="BW765" t="str">
        <f t="shared" si="363"/>
        <v>14:42:21.259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343</v>
      </c>
      <c r="CR765">
        <v>1</v>
      </c>
      <c r="CW765">
        <v>10591759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360"/>
        <v>05/12/2020 14:42:03.443</v>
      </c>
      <c r="C766" t="str">
        <f t="shared" si="343"/>
        <v>FFDFD3C0</v>
      </c>
      <c r="D766" t="s">
        <v>113</v>
      </c>
      <c r="E766">
        <v>3</v>
      </c>
      <c r="H766">
        <v>164</v>
      </c>
      <c r="I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61"/>
        <v>14:42:21.258</v>
      </c>
      <c r="T766" t="str">
        <f t="shared" si="362"/>
        <v>14:42:21.058</v>
      </c>
      <c r="U766" t="str">
        <f t="shared" si="335"/>
        <v>A9808D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294</v>
      </c>
      <c r="AJ766">
        <v>28.262136000000002</v>
      </c>
      <c r="AK766" t="s">
        <v>144</v>
      </c>
      <c r="AL766">
        <v>-82.380337999999995</v>
      </c>
      <c r="AM766">
        <v>100</v>
      </c>
      <c r="AN766">
        <v>1000</v>
      </c>
      <c r="AO766" t="s">
        <v>118</v>
      </c>
      <c r="AP766">
        <v>3</v>
      </c>
      <c r="AQ766">
        <v>88</v>
      </c>
      <c r="AR766">
        <v>512</v>
      </c>
      <c r="AZ766">
        <v>1200</v>
      </c>
      <c r="BA766">
        <v>1</v>
      </c>
      <c r="BB766" t="str">
        <f t="shared" si="346"/>
        <v xml:space="preserve">N711JA  </v>
      </c>
      <c r="BC766">
        <v>1</v>
      </c>
      <c r="BE766">
        <v>0</v>
      </c>
      <c r="BF766">
        <v>0</v>
      </c>
      <c r="BG766">
        <v>0</v>
      </c>
      <c r="BH766">
        <v>1050</v>
      </c>
      <c r="BI766">
        <v>1</v>
      </c>
      <c r="BJ766">
        <v>1</v>
      </c>
      <c r="BK766">
        <v>0</v>
      </c>
      <c r="BL766">
        <v>0</v>
      </c>
      <c r="BO766">
        <v>0</v>
      </c>
      <c r="BP766">
        <v>0</v>
      </c>
      <c r="BW766" t="str">
        <f t="shared" si="363"/>
        <v>14:42:21.259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343</v>
      </c>
      <c r="CR766">
        <v>1</v>
      </c>
      <c r="CW766">
        <v>10591759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360"/>
        <v>05/12/2020 14:42:03.443</v>
      </c>
      <c r="C767" t="str">
        <f t="shared" si="343"/>
        <v>FFDFD3C0</v>
      </c>
      <c r="D767" t="s">
        <v>138</v>
      </c>
      <c r="E767">
        <v>3</v>
      </c>
      <c r="H767">
        <v>9</v>
      </c>
      <c r="I767" t="s">
        <v>140</v>
      </c>
      <c r="J767" t="s">
        <v>136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361"/>
        <v>14:42:21.258</v>
      </c>
      <c r="T767" t="str">
        <f t="shared" si="362"/>
        <v>14:42:21.058</v>
      </c>
      <c r="U767" t="str">
        <f t="shared" si="335"/>
        <v>A9808D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294</v>
      </c>
      <c r="AJ767">
        <v>28.262136000000002</v>
      </c>
      <c r="AK767" t="s">
        <v>144</v>
      </c>
      <c r="AL767">
        <v>-82.380337999999995</v>
      </c>
      <c r="AM767">
        <v>100</v>
      </c>
      <c r="AN767">
        <v>1000</v>
      </c>
      <c r="AO767" t="s">
        <v>118</v>
      </c>
      <c r="AP767">
        <v>3</v>
      </c>
      <c r="AQ767">
        <v>88</v>
      </c>
      <c r="AR767">
        <v>512</v>
      </c>
      <c r="AZ767">
        <v>1200</v>
      </c>
      <c r="BA767">
        <v>1</v>
      </c>
      <c r="BB767" t="str">
        <f t="shared" si="346"/>
        <v xml:space="preserve">N711JA  </v>
      </c>
      <c r="BC767">
        <v>1</v>
      </c>
      <c r="BE767">
        <v>0</v>
      </c>
      <c r="BF767">
        <v>0</v>
      </c>
      <c r="BG767">
        <v>0</v>
      </c>
      <c r="BH767">
        <v>1050</v>
      </c>
      <c r="BI767">
        <v>1</v>
      </c>
      <c r="BJ767">
        <v>1</v>
      </c>
      <c r="BK767">
        <v>0</v>
      </c>
      <c r="BL767">
        <v>0</v>
      </c>
      <c r="BO767">
        <v>0</v>
      </c>
      <c r="BP767">
        <v>0</v>
      </c>
      <c r="BW767" t="str">
        <f t="shared" si="363"/>
        <v>14:42:21.259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343</v>
      </c>
      <c r="CR767">
        <v>1</v>
      </c>
      <c r="CW767">
        <v>10591759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360"/>
        <v>05/12/2020 14:42:03.443</v>
      </c>
      <c r="C768" t="str">
        <f t="shared" si="343"/>
        <v>FFDFD3C0</v>
      </c>
      <c r="D768" t="s">
        <v>138</v>
      </c>
      <c r="E768">
        <v>2</v>
      </c>
      <c r="H768">
        <v>8</v>
      </c>
      <c r="I768" t="s">
        <v>139</v>
      </c>
      <c r="J768" t="s">
        <v>136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61"/>
        <v>14:42:21.258</v>
      </c>
      <c r="T768" t="str">
        <f t="shared" si="362"/>
        <v>14:42:21.058</v>
      </c>
      <c r="U768" t="str">
        <f t="shared" si="335"/>
        <v>A9808D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294</v>
      </c>
      <c r="AJ768">
        <v>28.262136000000002</v>
      </c>
      <c r="AK768" t="s">
        <v>144</v>
      </c>
      <c r="AL768">
        <v>-82.380337999999995</v>
      </c>
      <c r="AM768">
        <v>100</v>
      </c>
      <c r="AN768">
        <v>1000</v>
      </c>
      <c r="AO768" t="s">
        <v>118</v>
      </c>
      <c r="AP768">
        <v>3</v>
      </c>
      <c r="AQ768">
        <v>88</v>
      </c>
      <c r="AR768">
        <v>512</v>
      </c>
      <c r="AZ768">
        <v>1200</v>
      </c>
      <c r="BA768">
        <v>1</v>
      </c>
      <c r="BB768" t="str">
        <f t="shared" si="346"/>
        <v xml:space="preserve">N711JA  </v>
      </c>
      <c r="BC768">
        <v>1</v>
      </c>
      <c r="BE768">
        <v>0</v>
      </c>
      <c r="BF768">
        <v>0</v>
      </c>
      <c r="BG768">
        <v>0</v>
      </c>
      <c r="BH768">
        <v>1050</v>
      </c>
      <c r="BI768">
        <v>1</v>
      </c>
      <c r="BJ768">
        <v>1</v>
      </c>
      <c r="BK768">
        <v>0</v>
      </c>
      <c r="BL768">
        <v>0</v>
      </c>
      <c r="BO768">
        <v>0</v>
      </c>
      <c r="BP768">
        <v>0</v>
      </c>
      <c r="BW768" t="str">
        <f t="shared" si="363"/>
        <v>14:42:21.259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343</v>
      </c>
      <c r="CR768">
        <v>1</v>
      </c>
      <c r="CW768">
        <v>10591759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si="360"/>
        <v>05/12/2020 14:42:03.443</v>
      </c>
      <c r="C769" t="str">
        <f t="shared" si="343"/>
        <v>FFDFD3C0</v>
      </c>
      <c r="D769" t="s">
        <v>131</v>
      </c>
      <c r="E769">
        <v>18</v>
      </c>
      <c r="F769">
        <v>2018</v>
      </c>
      <c r="G769" t="s">
        <v>161</v>
      </c>
      <c r="J769" t="s">
        <v>133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361"/>
        <v>14:42:21.258</v>
      </c>
      <c r="T769" t="str">
        <f t="shared" si="362"/>
        <v>14:42:21.058</v>
      </c>
      <c r="U769" t="str">
        <f t="shared" si="335"/>
        <v>A9808D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294</v>
      </c>
      <c r="AJ769">
        <v>28.262136000000002</v>
      </c>
      <c r="AK769" t="s">
        <v>144</v>
      </c>
      <c r="AL769">
        <v>-82.380337999999995</v>
      </c>
      <c r="AM769">
        <v>100</v>
      </c>
      <c r="AN769">
        <v>1000</v>
      </c>
      <c r="AO769" t="s">
        <v>118</v>
      </c>
      <c r="AP769">
        <v>3</v>
      </c>
      <c r="AQ769">
        <v>88</v>
      </c>
      <c r="AR769">
        <v>512</v>
      </c>
      <c r="AZ769">
        <v>1200</v>
      </c>
      <c r="BA769">
        <v>1</v>
      </c>
      <c r="BB769" t="str">
        <f t="shared" si="346"/>
        <v xml:space="preserve">N711JA  </v>
      </c>
      <c r="BC769">
        <v>1</v>
      </c>
      <c r="BE769">
        <v>0</v>
      </c>
      <c r="BF769">
        <v>0</v>
      </c>
      <c r="BG769">
        <v>0</v>
      </c>
      <c r="BH769">
        <v>1050</v>
      </c>
      <c r="BI769">
        <v>1</v>
      </c>
      <c r="BJ769">
        <v>1</v>
      </c>
      <c r="BK769">
        <v>0</v>
      </c>
      <c r="BL769">
        <v>0</v>
      </c>
      <c r="BO769">
        <v>0</v>
      </c>
      <c r="BP769">
        <v>0</v>
      </c>
      <c r="BW769" t="str">
        <f t="shared" si="363"/>
        <v>14:42:21.259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343</v>
      </c>
      <c r="CR769">
        <v>1</v>
      </c>
      <c r="CW769">
        <v>10591759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si="360"/>
        <v>05/12/2020 14:42:03.443</v>
      </c>
      <c r="C770" t="str">
        <f t="shared" si="343"/>
        <v>FFDFD3C0</v>
      </c>
      <c r="D770" t="s">
        <v>134</v>
      </c>
      <c r="E770">
        <v>12</v>
      </c>
      <c r="H770">
        <v>64</v>
      </c>
      <c r="I770" t="s">
        <v>135</v>
      </c>
      <c r="J770" t="s">
        <v>136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361"/>
        <v>14:42:21.258</v>
      </c>
      <c r="T770" t="str">
        <f t="shared" si="362"/>
        <v>14:42:21.058</v>
      </c>
      <c r="U770" t="str">
        <f t="shared" ref="U770:U833" si="364">"A9808D"</f>
        <v>A9808D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294</v>
      </c>
      <c r="AJ770">
        <v>28.262136000000002</v>
      </c>
      <c r="AK770" t="s">
        <v>144</v>
      </c>
      <c r="AL770">
        <v>-82.380337999999995</v>
      </c>
      <c r="AM770">
        <v>100</v>
      </c>
      <c r="AN770">
        <v>1000</v>
      </c>
      <c r="AO770" t="s">
        <v>118</v>
      </c>
      <c r="AP770">
        <v>3</v>
      </c>
      <c r="AQ770">
        <v>88</v>
      </c>
      <c r="AR770">
        <v>512</v>
      </c>
      <c r="AZ770">
        <v>1200</v>
      </c>
      <c r="BA770">
        <v>1</v>
      </c>
      <c r="BB770" t="str">
        <f t="shared" si="346"/>
        <v xml:space="preserve">N711JA  </v>
      </c>
      <c r="BC770">
        <v>1</v>
      </c>
      <c r="BE770">
        <v>0</v>
      </c>
      <c r="BF770">
        <v>0</v>
      </c>
      <c r="BG770">
        <v>0</v>
      </c>
      <c r="BH770">
        <v>1050</v>
      </c>
      <c r="BI770">
        <v>1</v>
      </c>
      <c r="BJ770">
        <v>1</v>
      </c>
      <c r="BK770">
        <v>0</v>
      </c>
      <c r="BL770">
        <v>0</v>
      </c>
      <c r="BO770">
        <v>0</v>
      </c>
      <c r="BP770">
        <v>0</v>
      </c>
      <c r="BW770" t="str">
        <f t="shared" si="363"/>
        <v>14:42:21.259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343</v>
      </c>
      <c r="CR770">
        <v>1</v>
      </c>
      <c r="CW770">
        <v>10591759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ref="A771:A779" si="365">"05/12/2020 14:42:04.421"</f>
        <v>05/12/2020 14:42:04.421</v>
      </c>
      <c r="C771" t="str">
        <f t="shared" si="343"/>
        <v>FFDFD3C0</v>
      </c>
      <c r="D771" t="s">
        <v>113</v>
      </c>
      <c r="E771">
        <v>3</v>
      </c>
      <c r="H771">
        <v>164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ref="S771:S779" si="366">"14:42:22.242"</f>
        <v>14:42:22.242</v>
      </c>
      <c r="T771" t="str">
        <f t="shared" ref="T771:T779" si="367">"14:42:21.942"</f>
        <v>14:42:21.942</v>
      </c>
      <c r="U771" t="str">
        <f t="shared" si="364"/>
        <v>A9808D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295</v>
      </c>
      <c r="AJ771">
        <v>28.262564999999999</v>
      </c>
      <c r="AK771" t="s">
        <v>144</v>
      </c>
      <c r="AL771">
        <v>-82.380337999999995</v>
      </c>
      <c r="AM771">
        <v>100</v>
      </c>
      <c r="AN771">
        <v>1000</v>
      </c>
      <c r="AO771" t="s">
        <v>118</v>
      </c>
      <c r="AP771">
        <v>3</v>
      </c>
      <c r="AQ771">
        <v>88</v>
      </c>
      <c r="AR771">
        <v>512</v>
      </c>
      <c r="AZ771">
        <v>1200</v>
      </c>
      <c r="BA771">
        <v>1</v>
      </c>
      <c r="BB771" t="str">
        <f t="shared" si="346"/>
        <v xml:space="preserve">N711JA  </v>
      </c>
      <c r="BC771">
        <v>1</v>
      </c>
      <c r="BE771">
        <v>0</v>
      </c>
      <c r="BF771">
        <v>0</v>
      </c>
      <c r="BG771">
        <v>0</v>
      </c>
      <c r="BH771">
        <v>1050</v>
      </c>
      <c r="BI771">
        <v>1</v>
      </c>
      <c r="BJ771">
        <v>1</v>
      </c>
      <c r="BK771">
        <v>0</v>
      </c>
      <c r="BL771">
        <v>0</v>
      </c>
      <c r="BO771">
        <v>0</v>
      </c>
      <c r="BP771">
        <v>0</v>
      </c>
      <c r="BW771" t="str">
        <f>"14:42:22.243"</f>
        <v>14:42:22.243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3</v>
      </c>
      <c r="CP771" t="s">
        <v>119</v>
      </c>
      <c r="CQ771">
        <v>56</v>
      </c>
      <c r="CR771">
        <v>2</v>
      </c>
      <c r="CW771">
        <v>4627828</v>
      </c>
      <c r="CY771">
        <v>1</v>
      </c>
      <c r="CZ771">
        <v>0</v>
      </c>
      <c r="DA771">
        <v>0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365"/>
        <v>05/12/2020 14:42:04.421</v>
      </c>
      <c r="C772" t="str">
        <f t="shared" si="343"/>
        <v>FFDFD3C0</v>
      </c>
      <c r="D772" t="s">
        <v>138</v>
      </c>
      <c r="E772">
        <v>2</v>
      </c>
      <c r="H772">
        <v>8</v>
      </c>
      <c r="I772" t="s">
        <v>139</v>
      </c>
      <c r="J772" t="s">
        <v>136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66"/>
        <v>14:42:22.242</v>
      </c>
      <c r="T772" t="str">
        <f t="shared" si="367"/>
        <v>14:42:21.942</v>
      </c>
      <c r="U772" t="str">
        <f t="shared" si="364"/>
        <v>A9808D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295</v>
      </c>
      <c r="AJ772">
        <v>28.262564999999999</v>
      </c>
      <c r="AK772" t="s">
        <v>144</v>
      </c>
      <c r="AL772">
        <v>-82.380337999999995</v>
      </c>
      <c r="AM772">
        <v>100</v>
      </c>
      <c r="AN772">
        <v>1000</v>
      </c>
      <c r="AO772" t="s">
        <v>118</v>
      </c>
      <c r="AP772">
        <v>3</v>
      </c>
      <c r="AQ772">
        <v>88</v>
      </c>
      <c r="AR772">
        <v>512</v>
      </c>
      <c r="AZ772">
        <v>1200</v>
      </c>
      <c r="BA772">
        <v>1</v>
      </c>
      <c r="BB772" t="str">
        <f t="shared" si="346"/>
        <v xml:space="preserve">N711JA  </v>
      </c>
      <c r="BC772">
        <v>1</v>
      </c>
      <c r="BE772">
        <v>0</v>
      </c>
      <c r="BF772">
        <v>0</v>
      </c>
      <c r="BG772">
        <v>0</v>
      </c>
      <c r="BH772">
        <v>1050</v>
      </c>
      <c r="BI772">
        <v>1</v>
      </c>
      <c r="BJ772">
        <v>1</v>
      </c>
      <c r="BK772">
        <v>0</v>
      </c>
      <c r="BL772">
        <v>0</v>
      </c>
      <c r="BO772">
        <v>0</v>
      </c>
      <c r="BP772">
        <v>0</v>
      </c>
      <c r="BW772" t="str">
        <f>"14:42:22.243"</f>
        <v>14:42:22.243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3</v>
      </c>
      <c r="CP772" t="s">
        <v>119</v>
      </c>
      <c r="CQ772">
        <v>56</v>
      </c>
      <c r="CR772">
        <v>2</v>
      </c>
      <c r="CW772">
        <v>4627828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365"/>
        <v>05/12/2020 14:42:04.421</v>
      </c>
      <c r="C773" t="str">
        <f t="shared" si="343"/>
        <v>FFDFD3C0</v>
      </c>
      <c r="D773" t="s">
        <v>138</v>
      </c>
      <c r="E773">
        <v>3</v>
      </c>
      <c r="H773">
        <v>9</v>
      </c>
      <c r="I773" t="s">
        <v>140</v>
      </c>
      <c r="J773" t="s">
        <v>136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366"/>
        <v>14:42:22.242</v>
      </c>
      <c r="T773" t="str">
        <f t="shared" si="367"/>
        <v>14:42:21.942</v>
      </c>
      <c r="U773" t="str">
        <f t="shared" si="364"/>
        <v>A9808D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295</v>
      </c>
      <c r="AJ773">
        <v>28.262564999999999</v>
      </c>
      <c r="AK773" t="s">
        <v>144</v>
      </c>
      <c r="AL773">
        <v>-82.380337999999995</v>
      </c>
      <c r="AM773">
        <v>100</v>
      </c>
      <c r="AN773">
        <v>1000</v>
      </c>
      <c r="AO773" t="s">
        <v>118</v>
      </c>
      <c r="AP773">
        <v>3</v>
      </c>
      <c r="AQ773">
        <v>88</v>
      </c>
      <c r="AR773">
        <v>512</v>
      </c>
      <c r="AZ773">
        <v>1200</v>
      </c>
      <c r="BA773">
        <v>1</v>
      </c>
      <c r="BB773" t="str">
        <f t="shared" si="346"/>
        <v xml:space="preserve">N711JA  </v>
      </c>
      <c r="BC773">
        <v>1</v>
      </c>
      <c r="BE773">
        <v>0</v>
      </c>
      <c r="BF773">
        <v>0</v>
      </c>
      <c r="BG773">
        <v>0</v>
      </c>
      <c r="BH773">
        <v>1050</v>
      </c>
      <c r="BI773">
        <v>1</v>
      </c>
      <c r="BJ773">
        <v>1</v>
      </c>
      <c r="BK773">
        <v>0</v>
      </c>
      <c r="BL773">
        <v>0</v>
      </c>
      <c r="BO773">
        <v>0</v>
      </c>
      <c r="BP773">
        <v>0</v>
      </c>
      <c r="BW773" t="str">
        <f>"14:42:22.243"</f>
        <v>14:42:22.243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3</v>
      </c>
      <c r="CP773" t="s">
        <v>119</v>
      </c>
      <c r="CQ773">
        <v>56</v>
      </c>
      <c r="CR773">
        <v>2</v>
      </c>
      <c r="CW773">
        <v>4627828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365"/>
        <v>05/12/2020 14:42:04.421</v>
      </c>
      <c r="C774" t="str">
        <f t="shared" si="343"/>
        <v>FFDFD3C0</v>
      </c>
      <c r="D774" t="s">
        <v>134</v>
      </c>
      <c r="E774">
        <v>12</v>
      </c>
      <c r="H774">
        <v>64</v>
      </c>
      <c r="I774" t="s">
        <v>135</v>
      </c>
      <c r="J774" t="s">
        <v>136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366"/>
        <v>14:42:22.242</v>
      </c>
      <c r="T774" t="str">
        <f t="shared" si="367"/>
        <v>14:42:21.942</v>
      </c>
      <c r="U774" t="str">
        <f t="shared" si="364"/>
        <v>A9808D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295</v>
      </c>
      <c r="AJ774">
        <v>28.262564999999999</v>
      </c>
      <c r="AK774" t="s">
        <v>144</v>
      </c>
      <c r="AL774">
        <v>-82.380337999999995</v>
      </c>
      <c r="AM774">
        <v>100</v>
      </c>
      <c r="AN774">
        <v>1000</v>
      </c>
      <c r="AO774" t="s">
        <v>118</v>
      </c>
      <c r="AP774">
        <v>3</v>
      </c>
      <c r="AQ774">
        <v>88</v>
      </c>
      <c r="AR774">
        <v>512</v>
      </c>
      <c r="AZ774">
        <v>1200</v>
      </c>
      <c r="BA774">
        <v>1</v>
      </c>
      <c r="BB774" t="str">
        <f t="shared" si="346"/>
        <v xml:space="preserve">N711JA  </v>
      </c>
      <c r="BC774">
        <v>1</v>
      </c>
      <c r="BE774">
        <v>0</v>
      </c>
      <c r="BF774">
        <v>0</v>
      </c>
      <c r="BG774">
        <v>0</v>
      </c>
      <c r="BH774">
        <v>1050</v>
      </c>
      <c r="BI774">
        <v>1</v>
      </c>
      <c r="BJ774">
        <v>1</v>
      </c>
      <c r="BK774">
        <v>0</v>
      </c>
      <c r="BL774">
        <v>0</v>
      </c>
      <c r="BO774">
        <v>0</v>
      </c>
      <c r="BP774">
        <v>0</v>
      </c>
      <c r="BW774" t="str">
        <f>"14:42:22.242"</f>
        <v>14:42:22.242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3</v>
      </c>
      <c r="CP774" t="s">
        <v>119</v>
      </c>
      <c r="CQ774">
        <v>8</v>
      </c>
      <c r="CR774">
        <v>3</v>
      </c>
      <c r="CW774">
        <v>8715001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365"/>
        <v>05/12/2020 14:42:04.421</v>
      </c>
      <c r="C775" t="str">
        <f t="shared" si="343"/>
        <v>FFDFD3C0</v>
      </c>
      <c r="D775" t="s">
        <v>126</v>
      </c>
      <c r="E775">
        <v>6</v>
      </c>
      <c r="F775">
        <v>1006</v>
      </c>
      <c r="G775" t="s">
        <v>114</v>
      </c>
      <c r="J775" t="s">
        <v>128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366"/>
        <v>14:42:22.242</v>
      </c>
      <c r="T775" t="str">
        <f t="shared" si="367"/>
        <v>14:42:21.942</v>
      </c>
      <c r="U775" t="str">
        <f t="shared" si="364"/>
        <v>A9808D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295</v>
      </c>
      <c r="AJ775">
        <v>28.262564999999999</v>
      </c>
      <c r="AK775" t="s">
        <v>144</v>
      </c>
      <c r="AL775">
        <v>-82.380337999999995</v>
      </c>
      <c r="AM775">
        <v>100</v>
      </c>
      <c r="AN775">
        <v>1000</v>
      </c>
      <c r="AO775" t="s">
        <v>118</v>
      </c>
      <c r="AP775">
        <v>3</v>
      </c>
      <c r="AQ775">
        <v>88</v>
      </c>
      <c r="AR775">
        <v>512</v>
      </c>
      <c r="AZ775">
        <v>1200</v>
      </c>
      <c r="BA775">
        <v>1</v>
      </c>
      <c r="BB775" t="str">
        <f t="shared" si="346"/>
        <v xml:space="preserve">N711JA  </v>
      </c>
      <c r="BC775">
        <v>1</v>
      </c>
      <c r="BE775">
        <v>0</v>
      </c>
      <c r="BF775">
        <v>0</v>
      </c>
      <c r="BG775">
        <v>0</v>
      </c>
      <c r="BH775">
        <v>1050</v>
      </c>
      <c r="BI775">
        <v>1</v>
      </c>
      <c r="BJ775">
        <v>1</v>
      </c>
      <c r="BK775">
        <v>0</v>
      </c>
      <c r="BL775">
        <v>0</v>
      </c>
      <c r="BO775">
        <v>0</v>
      </c>
      <c r="BP775">
        <v>0</v>
      </c>
      <c r="BW775" t="str">
        <f>"14:42:22.243"</f>
        <v>14:42:22.243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3</v>
      </c>
      <c r="CP775" t="s">
        <v>119</v>
      </c>
      <c r="CQ775">
        <v>56</v>
      </c>
      <c r="CR775">
        <v>2</v>
      </c>
      <c r="CW775">
        <v>4627828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si="365"/>
        <v>05/12/2020 14:42:04.421</v>
      </c>
      <c r="C776" t="str">
        <f t="shared" si="343"/>
        <v>FFDFD3C0</v>
      </c>
      <c r="D776" t="s">
        <v>126</v>
      </c>
      <c r="E776">
        <v>7</v>
      </c>
      <c r="F776">
        <v>1007</v>
      </c>
      <c r="G776" t="s">
        <v>127</v>
      </c>
      <c r="J776" t="s">
        <v>128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366"/>
        <v>14:42:22.242</v>
      </c>
      <c r="T776" t="str">
        <f t="shared" si="367"/>
        <v>14:42:21.942</v>
      </c>
      <c r="U776" t="str">
        <f t="shared" si="364"/>
        <v>A9808D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295</v>
      </c>
      <c r="AJ776">
        <v>28.262564999999999</v>
      </c>
      <c r="AK776" t="s">
        <v>144</v>
      </c>
      <c r="AL776">
        <v>-82.380337999999995</v>
      </c>
      <c r="AM776">
        <v>100</v>
      </c>
      <c r="AN776">
        <v>1000</v>
      </c>
      <c r="AO776" t="s">
        <v>118</v>
      </c>
      <c r="AP776">
        <v>3</v>
      </c>
      <c r="AQ776">
        <v>88</v>
      </c>
      <c r="AR776">
        <v>512</v>
      </c>
      <c r="AZ776">
        <v>1200</v>
      </c>
      <c r="BA776">
        <v>1</v>
      </c>
      <c r="BB776" t="str">
        <f t="shared" si="346"/>
        <v xml:space="preserve">N711JA  </v>
      </c>
      <c r="BC776">
        <v>1</v>
      </c>
      <c r="BE776">
        <v>0</v>
      </c>
      <c r="BF776">
        <v>0</v>
      </c>
      <c r="BG776">
        <v>0</v>
      </c>
      <c r="BH776">
        <v>1050</v>
      </c>
      <c r="BI776">
        <v>1</v>
      </c>
      <c r="BJ776">
        <v>1</v>
      </c>
      <c r="BK776">
        <v>0</v>
      </c>
      <c r="BL776">
        <v>0</v>
      </c>
      <c r="BO776">
        <v>0</v>
      </c>
      <c r="BP776">
        <v>0</v>
      </c>
      <c r="BW776" t="str">
        <f>"14:42:22.243"</f>
        <v>14:42:22.243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3</v>
      </c>
      <c r="CP776" t="s">
        <v>119</v>
      </c>
      <c r="CQ776">
        <v>56</v>
      </c>
      <c r="CR776">
        <v>2</v>
      </c>
      <c r="CW776">
        <v>4627828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365"/>
        <v>05/12/2020 14:42:04.421</v>
      </c>
      <c r="C777" t="str">
        <f t="shared" si="343"/>
        <v>FFDFD3C0</v>
      </c>
      <c r="D777" t="s">
        <v>131</v>
      </c>
      <c r="E777">
        <v>10</v>
      </c>
      <c r="F777">
        <v>2010</v>
      </c>
      <c r="G777" t="s">
        <v>132</v>
      </c>
      <c r="J777" t="s">
        <v>133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366"/>
        <v>14:42:22.242</v>
      </c>
      <c r="T777" t="str">
        <f t="shared" si="367"/>
        <v>14:42:21.942</v>
      </c>
      <c r="U777" t="str">
        <f t="shared" si="364"/>
        <v>A9808D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295</v>
      </c>
      <c r="AJ777">
        <v>28.262564999999999</v>
      </c>
      <c r="AK777" t="s">
        <v>144</v>
      </c>
      <c r="AL777">
        <v>-82.380337999999995</v>
      </c>
      <c r="AM777">
        <v>100</v>
      </c>
      <c r="AN777">
        <v>1000</v>
      </c>
      <c r="AO777" t="s">
        <v>118</v>
      </c>
      <c r="AP777">
        <v>3</v>
      </c>
      <c r="AQ777">
        <v>88</v>
      </c>
      <c r="AR777">
        <v>512</v>
      </c>
      <c r="AZ777">
        <v>1200</v>
      </c>
      <c r="BA777">
        <v>1</v>
      </c>
      <c r="BB777" t="str">
        <f t="shared" si="346"/>
        <v xml:space="preserve">N711JA  </v>
      </c>
      <c r="BC777">
        <v>1</v>
      </c>
      <c r="BE777">
        <v>0</v>
      </c>
      <c r="BF777">
        <v>0</v>
      </c>
      <c r="BG777">
        <v>0</v>
      </c>
      <c r="BH777">
        <v>1050</v>
      </c>
      <c r="BI777">
        <v>1</v>
      </c>
      <c r="BJ777">
        <v>1</v>
      </c>
      <c r="BK777">
        <v>0</v>
      </c>
      <c r="BL777">
        <v>0</v>
      </c>
      <c r="BO777">
        <v>0</v>
      </c>
      <c r="BP777">
        <v>0</v>
      </c>
      <c r="BW777" t="str">
        <f>"14:42:22.243"</f>
        <v>14:42:22.243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3</v>
      </c>
      <c r="CP777" t="s">
        <v>119</v>
      </c>
      <c r="CQ777">
        <v>56</v>
      </c>
      <c r="CR777">
        <v>2</v>
      </c>
      <c r="CW777">
        <v>4627828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365"/>
        <v>05/12/2020 14:42:04.421</v>
      </c>
      <c r="C778" t="str">
        <f t="shared" si="343"/>
        <v>FFDFD3C0</v>
      </c>
      <c r="D778" t="s">
        <v>131</v>
      </c>
      <c r="E778">
        <v>12</v>
      </c>
      <c r="F778">
        <v>2012</v>
      </c>
      <c r="G778" t="s">
        <v>137</v>
      </c>
      <c r="J778" t="s">
        <v>133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366"/>
        <v>14:42:22.242</v>
      </c>
      <c r="T778" t="str">
        <f t="shared" si="367"/>
        <v>14:42:21.942</v>
      </c>
      <c r="U778" t="str">
        <f t="shared" si="364"/>
        <v>A9808D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295</v>
      </c>
      <c r="AJ778">
        <v>28.262564999999999</v>
      </c>
      <c r="AK778" t="s">
        <v>144</v>
      </c>
      <c r="AL778">
        <v>-82.380337999999995</v>
      </c>
      <c r="AM778">
        <v>100</v>
      </c>
      <c r="AN778">
        <v>1000</v>
      </c>
      <c r="AO778" t="s">
        <v>118</v>
      </c>
      <c r="AP778">
        <v>3</v>
      </c>
      <c r="AQ778">
        <v>88</v>
      </c>
      <c r="AR778">
        <v>512</v>
      </c>
      <c r="AZ778">
        <v>1200</v>
      </c>
      <c r="BA778">
        <v>1</v>
      </c>
      <c r="BB778" t="str">
        <f t="shared" si="346"/>
        <v xml:space="preserve">N711JA  </v>
      </c>
      <c r="BC778">
        <v>1</v>
      </c>
      <c r="BE778">
        <v>0</v>
      </c>
      <c r="BF778">
        <v>0</v>
      </c>
      <c r="BG778">
        <v>0</v>
      </c>
      <c r="BH778">
        <v>1050</v>
      </c>
      <c r="BI778">
        <v>1</v>
      </c>
      <c r="BJ778">
        <v>1</v>
      </c>
      <c r="BK778">
        <v>0</v>
      </c>
      <c r="BL778">
        <v>0</v>
      </c>
      <c r="BO778">
        <v>0</v>
      </c>
      <c r="BP778">
        <v>0</v>
      </c>
      <c r="BW778" t="str">
        <f>"14:42:22.243"</f>
        <v>14:42:22.243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3</v>
      </c>
      <c r="CP778" t="s">
        <v>119</v>
      </c>
      <c r="CQ778">
        <v>56</v>
      </c>
      <c r="CR778">
        <v>2</v>
      </c>
      <c r="CW778">
        <v>4627828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365"/>
        <v>05/12/2020 14:42:04.421</v>
      </c>
      <c r="C779" t="str">
        <f t="shared" si="343"/>
        <v>FFDFD3C0</v>
      </c>
      <c r="D779" t="s">
        <v>131</v>
      </c>
      <c r="E779">
        <v>18</v>
      </c>
      <c r="F779">
        <v>2018</v>
      </c>
      <c r="G779" t="s">
        <v>161</v>
      </c>
      <c r="J779" t="s">
        <v>133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366"/>
        <v>14:42:22.242</v>
      </c>
      <c r="T779" t="str">
        <f t="shared" si="367"/>
        <v>14:42:21.942</v>
      </c>
      <c r="U779" t="str">
        <f t="shared" si="364"/>
        <v>A9808D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295</v>
      </c>
      <c r="AJ779">
        <v>28.262564999999999</v>
      </c>
      <c r="AK779" t="s">
        <v>144</v>
      </c>
      <c r="AL779">
        <v>-82.380337999999995</v>
      </c>
      <c r="AM779">
        <v>100</v>
      </c>
      <c r="AN779">
        <v>1000</v>
      </c>
      <c r="AO779" t="s">
        <v>118</v>
      </c>
      <c r="AP779">
        <v>3</v>
      </c>
      <c r="AQ779">
        <v>88</v>
      </c>
      <c r="AR779">
        <v>512</v>
      </c>
      <c r="AZ779">
        <v>1200</v>
      </c>
      <c r="BA779">
        <v>1</v>
      </c>
      <c r="BB779" t="str">
        <f t="shared" si="346"/>
        <v xml:space="preserve">N711JA  </v>
      </c>
      <c r="BC779">
        <v>1</v>
      </c>
      <c r="BE779">
        <v>0</v>
      </c>
      <c r="BF779">
        <v>0</v>
      </c>
      <c r="BG779">
        <v>0</v>
      </c>
      <c r="BH779">
        <v>1050</v>
      </c>
      <c r="BI779">
        <v>1</v>
      </c>
      <c r="BJ779">
        <v>1</v>
      </c>
      <c r="BK779">
        <v>0</v>
      </c>
      <c r="BL779">
        <v>0</v>
      </c>
      <c r="BO779">
        <v>0</v>
      </c>
      <c r="BP779">
        <v>0</v>
      </c>
      <c r="BW779" t="str">
        <f>"14:42:22.243"</f>
        <v>14:42:22.243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3</v>
      </c>
      <c r="CP779" t="s">
        <v>119</v>
      </c>
      <c r="CQ779">
        <v>56</v>
      </c>
      <c r="CR779">
        <v>2</v>
      </c>
      <c r="CW779">
        <v>4627828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ref="A780:A788" si="368">"05/12/2020 14:42:05.534"</f>
        <v>05/12/2020 14:42:05.534</v>
      </c>
      <c r="C780" t="str">
        <f t="shared" si="343"/>
        <v>FFDFD3C0</v>
      </c>
      <c r="D780" t="s">
        <v>113</v>
      </c>
      <c r="E780">
        <v>3</v>
      </c>
      <c r="H780">
        <v>164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ref="S780:S788" si="369">"14:42:23.352"</f>
        <v>14:42:23.352</v>
      </c>
      <c r="T780" t="str">
        <f t="shared" ref="T780:T788" si="370">"14:42:23.052"</f>
        <v>14:42:23.052</v>
      </c>
      <c r="U780" t="str">
        <f t="shared" si="364"/>
        <v>A9808D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296</v>
      </c>
      <c r="AJ780">
        <v>28.263016</v>
      </c>
      <c r="AK780" t="s">
        <v>297</v>
      </c>
      <c r="AL780">
        <v>-82.380295000000004</v>
      </c>
      <c r="AM780">
        <v>100</v>
      </c>
      <c r="AN780">
        <v>1000</v>
      </c>
      <c r="AO780" t="s">
        <v>118</v>
      </c>
      <c r="AP780">
        <v>2</v>
      </c>
      <c r="AQ780">
        <v>88</v>
      </c>
      <c r="AR780">
        <v>448</v>
      </c>
      <c r="AZ780">
        <v>1200</v>
      </c>
      <c r="BA780">
        <v>1</v>
      </c>
      <c r="BB780" t="str">
        <f t="shared" si="346"/>
        <v xml:space="preserve">N711JA  </v>
      </c>
      <c r="BC780">
        <v>1</v>
      </c>
      <c r="BE780">
        <v>0</v>
      </c>
      <c r="BF780">
        <v>0</v>
      </c>
      <c r="BG780">
        <v>0</v>
      </c>
      <c r="BH780">
        <v>1075</v>
      </c>
      <c r="BI780">
        <v>1</v>
      </c>
      <c r="BJ780">
        <v>1</v>
      </c>
      <c r="BK780">
        <v>0</v>
      </c>
      <c r="BL780">
        <v>0</v>
      </c>
      <c r="BO780">
        <v>0</v>
      </c>
      <c r="BP780">
        <v>0</v>
      </c>
      <c r="BW780" t="str">
        <f t="shared" ref="BW780:BW788" si="371">"14:42:23.356"</f>
        <v>14:42:23.356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343</v>
      </c>
      <c r="CR780">
        <v>1</v>
      </c>
      <c r="CW780">
        <v>10593872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368"/>
        <v>05/12/2020 14:42:05.534</v>
      </c>
      <c r="C781" t="str">
        <f t="shared" si="343"/>
        <v>FFDFD3C0</v>
      </c>
      <c r="D781" t="s">
        <v>138</v>
      </c>
      <c r="E781">
        <v>3</v>
      </c>
      <c r="H781">
        <v>9</v>
      </c>
      <c r="I781" t="s">
        <v>140</v>
      </c>
      <c r="J781" t="s">
        <v>136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369"/>
        <v>14:42:23.352</v>
      </c>
      <c r="T781" t="str">
        <f t="shared" si="370"/>
        <v>14:42:23.052</v>
      </c>
      <c r="U781" t="str">
        <f t="shared" si="364"/>
        <v>A9808D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296</v>
      </c>
      <c r="AJ781">
        <v>28.263016</v>
      </c>
      <c r="AK781" t="s">
        <v>297</v>
      </c>
      <c r="AL781">
        <v>-82.380295000000004</v>
      </c>
      <c r="AM781">
        <v>100</v>
      </c>
      <c r="AN781">
        <v>1000</v>
      </c>
      <c r="AO781" t="s">
        <v>118</v>
      </c>
      <c r="AP781">
        <v>2</v>
      </c>
      <c r="AQ781">
        <v>88</v>
      </c>
      <c r="AR781">
        <v>448</v>
      </c>
      <c r="AZ781">
        <v>1200</v>
      </c>
      <c r="BA781">
        <v>1</v>
      </c>
      <c r="BB781" t="str">
        <f t="shared" si="346"/>
        <v xml:space="preserve">N711JA  </v>
      </c>
      <c r="BC781">
        <v>1</v>
      </c>
      <c r="BE781">
        <v>0</v>
      </c>
      <c r="BF781">
        <v>0</v>
      </c>
      <c r="BG781">
        <v>0</v>
      </c>
      <c r="BH781">
        <v>1075</v>
      </c>
      <c r="BI781">
        <v>1</v>
      </c>
      <c r="BJ781">
        <v>1</v>
      </c>
      <c r="BK781">
        <v>0</v>
      </c>
      <c r="BL781">
        <v>0</v>
      </c>
      <c r="BO781">
        <v>0</v>
      </c>
      <c r="BP781">
        <v>0</v>
      </c>
      <c r="BW781" t="str">
        <f t="shared" si="371"/>
        <v>14:42:23.356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343</v>
      </c>
      <c r="CR781">
        <v>1</v>
      </c>
      <c r="CW781">
        <v>10593872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 t="shared" si="368"/>
        <v>05/12/2020 14:42:05.534</v>
      </c>
      <c r="C782" t="str">
        <f t="shared" si="343"/>
        <v>FFDFD3C0</v>
      </c>
      <c r="D782" t="s">
        <v>138</v>
      </c>
      <c r="E782">
        <v>2</v>
      </c>
      <c r="H782">
        <v>8</v>
      </c>
      <c r="I782" t="s">
        <v>139</v>
      </c>
      <c r="J782" t="s">
        <v>136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369"/>
        <v>14:42:23.352</v>
      </c>
      <c r="T782" t="str">
        <f t="shared" si="370"/>
        <v>14:42:23.052</v>
      </c>
      <c r="U782" t="str">
        <f t="shared" si="364"/>
        <v>A9808D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296</v>
      </c>
      <c r="AJ782">
        <v>28.263016</v>
      </c>
      <c r="AK782" t="s">
        <v>297</v>
      </c>
      <c r="AL782">
        <v>-82.380295000000004</v>
      </c>
      <c r="AM782">
        <v>100</v>
      </c>
      <c r="AN782">
        <v>1000</v>
      </c>
      <c r="AO782" t="s">
        <v>118</v>
      </c>
      <c r="AP782">
        <v>2</v>
      </c>
      <c r="AQ782">
        <v>88</v>
      </c>
      <c r="AR782">
        <v>448</v>
      </c>
      <c r="AZ782">
        <v>1200</v>
      </c>
      <c r="BA782">
        <v>1</v>
      </c>
      <c r="BB782" t="str">
        <f t="shared" si="346"/>
        <v xml:space="preserve">N711JA  </v>
      </c>
      <c r="BC782">
        <v>1</v>
      </c>
      <c r="BE782">
        <v>0</v>
      </c>
      <c r="BF782">
        <v>0</v>
      </c>
      <c r="BG782">
        <v>0</v>
      </c>
      <c r="BH782">
        <v>1075</v>
      </c>
      <c r="BI782">
        <v>1</v>
      </c>
      <c r="BJ782">
        <v>1</v>
      </c>
      <c r="BK782">
        <v>0</v>
      </c>
      <c r="BL782">
        <v>0</v>
      </c>
      <c r="BO782">
        <v>0</v>
      </c>
      <c r="BP782">
        <v>0</v>
      </c>
      <c r="BW782" t="str">
        <f t="shared" si="371"/>
        <v>14:42:23.356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343</v>
      </c>
      <c r="CR782">
        <v>1</v>
      </c>
      <c r="CW782">
        <v>10593872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 t="shared" si="368"/>
        <v>05/12/2020 14:42:05.534</v>
      </c>
      <c r="C783" t="str">
        <f t="shared" si="343"/>
        <v>FFDFD3C0</v>
      </c>
      <c r="D783" t="s">
        <v>134</v>
      </c>
      <c r="E783">
        <v>12</v>
      </c>
      <c r="H783">
        <v>64</v>
      </c>
      <c r="I783" t="s">
        <v>135</v>
      </c>
      <c r="J783" t="s">
        <v>136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369"/>
        <v>14:42:23.352</v>
      </c>
      <c r="T783" t="str">
        <f t="shared" si="370"/>
        <v>14:42:23.052</v>
      </c>
      <c r="U783" t="str">
        <f t="shared" si="364"/>
        <v>A9808D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296</v>
      </c>
      <c r="AJ783">
        <v>28.263016</v>
      </c>
      <c r="AK783" t="s">
        <v>297</v>
      </c>
      <c r="AL783">
        <v>-82.380295000000004</v>
      </c>
      <c r="AM783">
        <v>100</v>
      </c>
      <c r="AN783">
        <v>1000</v>
      </c>
      <c r="AO783" t="s">
        <v>118</v>
      </c>
      <c r="AP783">
        <v>2</v>
      </c>
      <c r="AQ783">
        <v>88</v>
      </c>
      <c r="AR783">
        <v>448</v>
      </c>
      <c r="AZ783">
        <v>1200</v>
      </c>
      <c r="BA783">
        <v>1</v>
      </c>
      <c r="BB783" t="str">
        <f t="shared" si="346"/>
        <v xml:space="preserve">N711JA  </v>
      </c>
      <c r="BC783">
        <v>1</v>
      </c>
      <c r="BE783">
        <v>0</v>
      </c>
      <c r="BF783">
        <v>0</v>
      </c>
      <c r="BG783">
        <v>0</v>
      </c>
      <c r="BH783">
        <v>1075</v>
      </c>
      <c r="BI783">
        <v>1</v>
      </c>
      <c r="BJ783">
        <v>1</v>
      </c>
      <c r="BK783">
        <v>0</v>
      </c>
      <c r="BL783">
        <v>0</v>
      </c>
      <c r="BO783">
        <v>0</v>
      </c>
      <c r="BP783">
        <v>0</v>
      </c>
      <c r="BW783" t="str">
        <f t="shared" si="371"/>
        <v>14:42:23.356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343</v>
      </c>
      <c r="CR783">
        <v>1</v>
      </c>
      <c r="CW783">
        <v>10593872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 t="shared" si="368"/>
        <v>05/12/2020 14:42:05.534</v>
      </c>
      <c r="C784" t="str">
        <f t="shared" si="343"/>
        <v>FFDFD3C0</v>
      </c>
      <c r="D784" t="s">
        <v>126</v>
      </c>
      <c r="E784">
        <v>6</v>
      </c>
      <c r="F784">
        <v>1006</v>
      </c>
      <c r="G784" t="s">
        <v>114</v>
      </c>
      <c r="J784" t="s">
        <v>128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369"/>
        <v>14:42:23.352</v>
      </c>
      <c r="T784" t="str">
        <f t="shared" si="370"/>
        <v>14:42:23.052</v>
      </c>
      <c r="U784" t="str">
        <f t="shared" si="364"/>
        <v>A9808D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296</v>
      </c>
      <c r="AJ784">
        <v>28.263016</v>
      </c>
      <c r="AK784" t="s">
        <v>297</v>
      </c>
      <c r="AL784">
        <v>-82.380295000000004</v>
      </c>
      <c r="AM784">
        <v>100</v>
      </c>
      <c r="AN784">
        <v>1000</v>
      </c>
      <c r="AO784" t="s">
        <v>118</v>
      </c>
      <c r="AP784">
        <v>2</v>
      </c>
      <c r="AQ784">
        <v>88</v>
      </c>
      <c r="AR784">
        <v>448</v>
      </c>
      <c r="AZ784">
        <v>1200</v>
      </c>
      <c r="BA784">
        <v>1</v>
      </c>
      <c r="BB784" t="str">
        <f t="shared" si="346"/>
        <v xml:space="preserve">N711JA  </v>
      </c>
      <c r="BC784">
        <v>1</v>
      </c>
      <c r="BE784">
        <v>0</v>
      </c>
      <c r="BF784">
        <v>0</v>
      </c>
      <c r="BG784">
        <v>0</v>
      </c>
      <c r="BH784">
        <v>1075</v>
      </c>
      <c r="BI784">
        <v>1</v>
      </c>
      <c r="BJ784">
        <v>1</v>
      </c>
      <c r="BK784">
        <v>0</v>
      </c>
      <c r="BL784">
        <v>0</v>
      </c>
      <c r="BO784">
        <v>0</v>
      </c>
      <c r="BP784">
        <v>0</v>
      </c>
      <c r="BW784" t="str">
        <f t="shared" si="371"/>
        <v>14:42:23.356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343</v>
      </c>
      <c r="CR784">
        <v>1</v>
      </c>
      <c r="CW784">
        <v>10593872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 t="shared" si="368"/>
        <v>05/12/2020 14:42:05.534</v>
      </c>
      <c r="C785" t="str">
        <f t="shared" si="343"/>
        <v>FFDFD3C0</v>
      </c>
      <c r="D785" t="s">
        <v>131</v>
      </c>
      <c r="E785">
        <v>12</v>
      </c>
      <c r="F785">
        <v>2012</v>
      </c>
      <c r="G785" t="s">
        <v>137</v>
      </c>
      <c r="J785" t="s">
        <v>133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369"/>
        <v>14:42:23.352</v>
      </c>
      <c r="T785" t="str">
        <f t="shared" si="370"/>
        <v>14:42:23.052</v>
      </c>
      <c r="U785" t="str">
        <f t="shared" si="364"/>
        <v>A9808D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296</v>
      </c>
      <c r="AJ785">
        <v>28.263016</v>
      </c>
      <c r="AK785" t="s">
        <v>297</v>
      </c>
      <c r="AL785">
        <v>-82.380295000000004</v>
      </c>
      <c r="AM785">
        <v>100</v>
      </c>
      <c r="AN785">
        <v>1000</v>
      </c>
      <c r="AO785" t="s">
        <v>118</v>
      </c>
      <c r="AP785">
        <v>2</v>
      </c>
      <c r="AQ785">
        <v>88</v>
      </c>
      <c r="AR785">
        <v>448</v>
      </c>
      <c r="AZ785">
        <v>1200</v>
      </c>
      <c r="BA785">
        <v>1</v>
      </c>
      <c r="BB785" t="str">
        <f t="shared" si="346"/>
        <v xml:space="preserve">N711JA  </v>
      </c>
      <c r="BC785">
        <v>1</v>
      </c>
      <c r="BE785">
        <v>0</v>
      </c>
      <c r="BF785">
        <v>0</v>
      </c>
      <c r="BG785">
        <v>0</v>
      </c>
      <c r="BH785">
        <v>1075</v>
      </c>
      <c r="BI785">
        <v>1</v>
      </c>
      <c r="BJ785">
        <v>1</v>
      </c>
      <c r="BK785">
        <v>0</v>
      </c>
      <c r="BL785">
        <v>0</v>
      </c>
      <c r="BO785">
        <v>0</v>
      </c>
      <c r="BP785">
        <v>0</v>
      </c>
      <c r="BW785" t="str">
        <f t="shared" si="371"/>
        <v>14:42:23.356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343</v>
      </c>
      <c r="CR785">
        <v>1</v>
      </c>
      <c r="CW785">
        <v>10593872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 t="shared" si="368"/>
        <v>05/12/2020 14:42:05.534</v>
      </c>
      <c r="C786" t="str">
        <f t="shared" si="343"/>
        <v>FFDFD3C0</v>
      </c>
      <c r="D786" t="s">
        <v>131</v>
      </c>
      <c r="E786">
        <v>10</v>
      </c>
      <c r="F786">
        <v>2010</v>
      </c>
      <c r="G786" t="s">
        <v>132</v>
      </c>
      <c r="J786" t="s">
        <v>133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369"/>
        <v>14:42:23.352</v>
      </c>
      <c r="T786" t="str">
        <f t="shared" si="370"/>
        <v>14:42:23.052</v>
      </c>
      <c r="U786" t="str">
        <f t="shared" si="364"/>
        <v>A9808D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296</v>
      </c>
      <c r="AJ786">
        <v>28.263016</v>
      </c>
      <c r="AK786" t="s">
        <v>297</v>
      </c>
      <c r="AL786">
        <v>-82.380295000000004</v>
      </c>
      <c r="AM786">
        <v>100</v>
      </c>
      <c r="AN786">
        <v>1000</v>
      </c>
      <c r="AO786" t="s">
        <v>118</v>
      </c>
      <c r="AP786">
        <v>2</v>
      </c>
      <c r="AQ786">
        <v>88</v>
      </c>
      <c r="AR786">
        <v>448</v>
      </c>
      <c r="AZ786">
        <v>1200</v>
      </c>
      <c r="BA786">
        <v>1</v>
      </c>
      <c r="BB786" t="str">
        <f t="shared" si="346"/>
        <v xml:space="preserve">N711JA  </v>
      </c>
      <c r="BC786">
        <v>1</v>
      </c>
      <c r="BE786">
        <v>0</v>
      </c>
      <c r="BF786">
        <v>0</v>
      </c>
      <c r="BG786">
        <v>0</v>
      </c>
      <c r="BH786">
        <v>1075</v>
      </c>
      <c r="BI786">
        <v>1</v>
      </c>
      <c r="BJ786">
        <v>1</v>
      </c>
      <c r="BK786">
        <v>0</v>
      </c>
      <c r="BL786">
        <v>0</v>
      </c>
      <c r="BO786">
        <v>0</v>
      </c>
      <c r="BP786">
        <v>0</v>
      </c>
      <c r="BW786" t="str">
        <f t="shared" si="371"/>
        <v>14:42:23.356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343</v>
      </c>
      <c r="CR786">
        <v>1</v>
      </c>
      <c r="CW786">
        <v>10593872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 t="shared" si="368"/>
        <v>05/12/2020 14:42:05.534</v>
      </c>
      <c r="C787" t="str">
        <f t="shared" si="343"/>
        <v>FFDFD3C0</v>
      </c>
      <c r="D787" t="s">
        <v>126</v>
      </c>
      <c r="E787">
        <v>7</v>
      </c>
      <c r="F787">
        <v>1007</v>
      </c>
      <c r="G787" t="s">
        <v>127</v>
      </c>
      <c r="J787" t="s">
        <v>128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369"/>
        <v>14:42:23.352</v>
      </c>
      <c r="T787" t="str">
        <f t="shared" si="370"/>
        <v>14:42:23.052</v>
      </c>
      <c r="U787" t="str">
        <f t="shared" si="364"/>
        <v>A9808D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296</v>
      </c>
      <c r="AJ787">
        <v>28.263016</v>
      </c>
      <c r="AK787" t="s">
        <v>297</v>
      </c>
      <c r="AL787">
        <v>-82.380295000000004</v>
      </c>
      <c r="AM787">
        <v>100</v>
      </c>
      <c r="AN787">
        <v>1000</v>
      </c>
      <c r="AO787" t="s">
        <v>118</v>
      </c>
      <c r="AP787">
        <v>2</v>
      </c>
      <c r="AQ787">
        <v>88</v>
      </c>
      <c r="AR787">
        <v>448</v>
      </c>
      <c r="AZ787">
        <v>1200</v>
      </c>
      <c r="BA787">
        <v>1</v>
      </c>
      <c r="BB787" t="str">
        <f t="shared" si="346"/>
        <v xml:space="preserve">N711JA  </v>
      </c>
      <c r="BC787">
        <v>1</v>
      </c>
      <c r="BE787">
        <v>0</v>
      </c>
      <c r="BF787">
        <v>0</v>
      </c>
      <c r="BG787">
        <v>0</v>
      </c>
      <c r="BH787">
        <v>1075</v>
      </c>
      <c r="BI787">
        <v>1</v>
      </c>
      <c r="BJ787">
        <v>1</v>
      </c>
      <c r="BK787">
        <v>0</v>
      </c>
      <c r="BL787">
        <v>0</v>
      </c>
      <c r="BO787">
        <v>0</v>
      </c>
      <c r="BP787">
        <v>0</v>
      </c>
      <c r="BW787" t="str">
        <f t="shared" si="371"/>
        <v>14:42:23.356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343</v>
      </c>
      <c r="CR787">
        <v>1</v>
      </c>
      <c r="CW787">
        <v>10593872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 t="shared" si="368"/>
        <v>05/12/2020 14:42:05.534</v>
      </c>
      <c r="C788" t="str">
        <f t="shared" si="343"/>
        <v>FFDFD3C0</v>
      </c>
      <c r="D788" t="s">
        <v>131</v>
      </c>
      <c r="E788">
        <v>18</v>
      </c>
      <c r="F788">
        <v>2018</v>
      </c>
      <c r="G788" t="s">
        <v>161</v>
      </c>
      <c r="J788" t="s">
        <v>133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369"/>
        <v>14:42:23.352</v>
      </c>
      <c r="T788" t="str">
        <f t="shared" si="370"/>
        <v>14:42:23.052</v>
      </c>
      <c r="U788" t="str">
        <f t="shared" si="364"/>
        <v>A9808D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296</v>
      </c>
      <c r="AJ788">
        <v>28.263016</v>
      </c>
      <c r="AK788" t="s">
        <v>297</v>
      </c>
      <c r="AL788">
        <v>-82.380295000000004</v>
      </c>
      <c r="AM788">
        <v>100</v>
      </c>
      <c r="AN788">
        <v>1000</v>
      </c>
      <c r="AO788" t="s">
        <v>118</v>
      </c>
      <c r="AP788">
        <v>2</v>
      </c>
      <c r="AQ788">
        <v>88</v>
      </c>
      <c r="AR788">
        <v>448</v>
      </c>
      <c r="AZ788">
        <v>1200</v>
      </c>
      <c r="BA788">
        <v>1</v>
      </c>
      <c r="BB788" t="str">
        <f t="shared" si="346"/>
        <v xml:space="preserve">N711JA  </v>
      </c>
      <c r="BC788">
        <v>1</v>
      </c>
      <c r="BE788">
        <v>0</v>
      </c>
      <c r="BF788">
        <v>0</v>
      </c>
      <c r="BG788">
        <v>0</v>
      </c>
      <c r="BH788">
        <v>1075</v>
      </c>
      <c r="BI788">
        <v>1</v>
      </c>
      <c r="BJ788">
        <v>1</v>
      </c>
      <c r="BK788">
        <v>0</v>
      </c>
      <c r="BL788">
        <v>0</v>
      </c>
      <c r="BO788">
        <v>0</v>
      </c>
      <c r="BP788">
        <v>0</v>
      </c>
      <c r="BW788" t="str">
        <f t="shared" si="371"/>
        <v>14:42:23.356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343</v>
      </c>
      <c r="CR788">
        <v>1</v>
      </c>
      <c r="CW788">
        <v>10593872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 t="shared" ref="A789:A797" si="372">"05/12/2020 14:42:06.465"</f>
        <v>05/12/2020 14:42:06.465</v>
      </c>
      <c r="C789" t="str">
        <f t="shared" si="343"/>
        <v>FFDFD3C0</v>
      </c>
      <c r="D789" t="s">
        <v>134</v>
      </c>
      <c r="E789">
        <v>12</v>
      </c>
      <c r="H789">
        <v>64</v>
      </c>
      <c r="I789" t="s">
        <v>135</v>
      </c>
      <c r="J789" t="s">
        <v>136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ref="S789:S797" si="373">"14:42:24.273"</f>
        <v>14:42:24.273</v>
      </c>
      <c r="T789" t="str">
        <f t="shared" ref="T789:T797" si="374">"14:42:24.073"</f>
        <v>14:42:24.073</v>
      </c>
      <c r="U789" t="str">
        <f t="shared" si="364"/>
        <v>A9808D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298</v>
      </c>
      <c r="AJ789">
        <v>28.263423</v>
      </c>
      <c r="AK789" t="s">
        <v>297</v>
      </c>
      <c r="AL789">
        <v>-82.380295000000004</v>
      </c>
      <c r="AM789">
        <v>100</v>
      </c>
      <c r="AN789">
        <v>1000</v>
      </c>
      <c r="AO789" t="s">
        <v>118</v>
      </c>
      <c r="AP789">
        <v>2</v>
      </c>
      <c r="AQ789">
        <v>88</v>
      </c>
      <c r="AR789">
        <v>512</v>
      </c>
      <c r="AZ789">
        <v>1200</v>
      </c>
      <c r="BA789">
        <v>1</v>
      </c>
      <c r="BB789" t="str">
        <f t="shared" si="346"/>
        <v xml:space="preserve">N711JA  </v>
      </c>
      <c r="BC789">
        <v>1</v>
      </c>
      <c r="BE789">
        <v>0</v>
      </c>
      <c r="BF789">
        <v>0</v>
      </c>
      <c r="BG789">
        <v>0</v>
      </c>
      <c r="BH789">
        <v>1075</v>
      </c>
      <c r="BI789">
        <v>1</v>
      </c>
      <c r="BJ789">
        <v>1</v>
      </c>
      <c r="BK789">
        <v>0</v>
      </c>
      <c r="BL789">
        <v>0</v>
      </c>
      <c r="BO789">
        <v>0</v>
      </c>
      <c r="BP789">
        <v>0</v>
      </c>
      <c r="BW789" t="str">
        <f t="shared" ref="BW789:BW797" si="375">"14:42:24.280"</f>
        <v>14:42:24.280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343</v>
      </c>
      <c r="CR789">
        <v>2</v>
      </c>
      <c r="CW789">
        <v>12999089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si="372"/>
        <v>05/12/2020 14:42:06.465</v>
      </c>
      <c r="C790" t="str">
        <f t="shared" ref="C790:C853" si="376">"FFDFD3C0"</f>
        <v>FFDFD3C0</v>
      </c>
      <c r="D790" t="s">
        <v>126</v>
      </c>
      <c r="E790">
        <v>6</v>
      </c>
      <c r="F790">
        <v>1006</v>
      </c>
      <c r="G790" t="s">
        <v>114</v>
      </c>
      <c r="J790" t="s">
        <v>128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373"/>
        <v>14:42:24.273</v>
      </c>
      <c r="T790" t="str">
        <f t="shared" si="374"/>
        <v>14:42:24.073</v>
      </c>
      <c r="U790" t="str">
        <f t="shared" si="364"/>
        <v>A9808D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298</v>
      </c>
      <c r="AJ790">
        <v>28.263423</v>
      </c>
      <c r="AK790" t="s">
        <v>297</v>
      </c>
      <c r="AL790">
        <v>-82.380295000000004</v>
      </c>
      <c r="AM790">
        <v>100</v>
      </c>
      <c r="AN790">
        <v>1000</v>
      </c>
      <c r="AO790" t="s">
        <v>118</v>
      </c>
      <c r="AP790">
        <v>2</v>
      </c>
      <c r="AQ790">
        <v>88</v>
      </c>
      <c r="AR790">
        <v>512</v>
      </c>
      <c r="AZ790">
        <v>1200</v>
      </c>
      <c r="BA790">
        <v>1</v>
      </c>
      <c r="BB790" t="str">
        <f t="shared" ref="BB790:BB853" si="377">"N711JA  "</f>
        <v xml:space="preserve">N711JA  </v>
      </c>
      <c r="BC790">
        <v>1</v>
      </c>
      <c r="BE790">
        <v>0</v>
      </c>
      <c r="BF790">
        <v>0</v>
      </c>
      <c r="BG790">
        <v>0</v>
      </c>
      <c r="BH790">
        <v>1075</v>
      </c>
      <c r="BI790">
        <v>1</v>
      </c>
      <c r="BJ790">
        <v>1</v>
      </c>
      <c r="BK790">
        <v>0</v>
      </c>
      <c r="BL790">
        <v>0</v>
      </c>
      <c r="BO790">
        <v>0</v>
      </c>
      <c r="BP790">
        <v>0</v>
      </c>
      <c r="BW790" t="str">
        <f t="shared" si="375"/>
        <v>14:42:24.280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343</v>
      </c>
      <c r="CR790">
        <v>2</v>
      </c>
      <c r="CW790">
        <v>12999089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372"/>
        <v>05/12/2020 14:42:06.465</v>
      </c>
      <c r="C791" t="str">
        <f t="shared" si="376"/>
        <v>FFDFD3C0</v>
      </c>
      <c r="D791" t="s">
        <v>131</v>
      </c>
      <c r="E791">
        <v>10</v>
      </c>
      <c r="F791">
        <v>2010</v>
      </c>
      <c r="G791" t="s">
        <v>132</v>
      </c>
      <c r="J791" t="s">
        <v>133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73"/>
        <v>14:42:24.273</v>
      </c>
      <c r="T791" t="str">
        <f t="shared" si="374"/>
        <v>14:42:24.073</v>
      </c>
      <c r="U791" t="str">
        <f t="shared" si="364"/>
        <v>A9808D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298</v>
      </c>
      <c r="AJ791">
        <v>28.263423</v>
      </c>
      <c r="AK791" t="s">
        <v>297</v>
      </c>
      <c r="AL791">
        <v>-82.380295000000004</v>
      </c>
      <c r="AM791">
        <v>100</v>
      </c>
      <c r="AN791">
        <v>1000</v>
      </c>
      <c r="AO791" t="s">
        <v>118</v>
      </c>
      <c r="AP791">
        <v>2</v>
      </c>
      <c r="AQ791">
        <v>88</v>
      </c>
      <c r="AR791">
        <v>512</v>
      </c>
      <c r="AZ791">
        <v>1200</v>
      </c>
      <c r="BA791">
        <v>1</v>
      </c>
      <c r="BB791" t="str">
        <f t="shared" si="377"/>
        <v xml:space="preserve">N711JA  </v>
      </c>
      <c r="BC791">
        <v>1</v>
      </c>
      <c r="BE791">
        <v>0</v>
      </c>
      <c r="BF791">
        <v>0</v>
      </c>
      <c r="BG791">
        <v>0</v>
      </c>
      <c r="BH791">
        <v>1075</v>
      </c>
      <c r="BI791">
        <v>1</v>
      </c>
      <c r="BJ791">
        <v>1</v>
      </c>
      <c r="BK791">
        <v>0</v>
      </c>
      <c r="BL791">
        <v>0</v>
      </c>
      <c r="BO791">
        <v>0</v>
      </c>
      <c r="BP791">
        <v>0</v>
      </c>
      <c r="BW791" t="str">
        <f t="shared" si="375"/>
        <v>14:42:24.280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343</v>
      </c>
      <c r="CR791">
        <v>2</v>
      </c>
      <c r="CW791">
        <v>12999089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372"/>
        <v>05/12/2020 14:42:06.465</v>
      </c>
      <c r="C792" t="str">
        <f t="shared" si="376"/>
        <v>FFDFD3C0</v>
      </c>
      <c r="D792" t="s">
        <v>131</v>
      </c>
      <c r="E792">
        <v>12</v>
      </c>
      <c r="F792">
        <v>2012</v>
      </c>
      <c r="G792" t="s">
        <v>137</v>
      </c>
      <c r="J792" t="s">
        <v>133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73"/>
        <v>14:42:24.273</v>
      </c>
      <c r="T792" t="str">
        <f t="shared" si="374"/>
        <v>14:42:24.073</v>
      </c>
      <c r="U792" t="str">
        <f t="shared" si="364"/>
        <v>A9808D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298</v>
      </c>
      <c r="AJ792">
        <v>28.263423</v>
      </c>
      <c r="AK792" t="s">
        <v>297</v>
      </c>
      <c r="AL792">
        <v>-82.380295000000004</v>
      </c>
      <c r="AM792">
        <v>100</v>
      </c>
      <c r="AN792">
        <v>1000</v>
      </c>
      <c r="AO792" t="s">
        <v>118</v>
      </c>
      <c r="AP792">
        <v>2</v>
      </c>
      <c r="AQ792">
        <v>88</v>
      </c>
      <c r="AR792">
        <v>512</v>
      </c>
      <c r="AZ792">
        <v>1200</v>
      </c>
      <c r="BA792">
        <v>1</v>
      </c>
      <c r="BB792" t="str">
        <f t="shared" si="377"/>
        <v xml:space="preserve">N711JA  </v>
      </c>
      <c r="BC792">
        <v>1</v>
      </c>
      <c r="BE792">
        <v>0</v>
      </c>
      <c r="BF792">
        <v>0</v>
      </c>
      <c r="BG792">
        <v>0</v>
      </c>
      <c r="BH792">
        <v>1075</v>
      </c>
      <c r="BI792">
        <v>1</v>
      </c>
      <c r="BJ792">
        <v>1</v>
      </c>
      <c r="BK792">
        <v>0</v>
      </c>
      <c r="BL792">
        <v>0</v>
      </c>
      <c r="BO792">
        <v>0</v>
      </c>
      <c r="BP792">
        <v>0</v>
      </c>
      <c r="BW792" t="str">
        <f t="shared" si="375"/>
        <v>14:42:24.280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343</v>
      </c>
      <c r="CR792">
        <v>2</v>
      </c>
      <c r="CW792">
        <v>12999089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si="372"/>
        <v>05/12/2020 14:42:06.465</v>
      </c>
      <c r="C793" t="str">
        <f t="shared" si="376"/>
        <v>FFDFD3C0</v>
      </c>
      <c r="D793" t="s">
        <v>126</v>
      </c>
      <c r="E793">
        <v>7</v>
      </c>
      <c r="F793">
        <v>1007</v>
      </c>
      <c r="G793" t="s">
        <v>127</v>
      </c>
      <c r="J793" t="s">
        <v>128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373"/>
        <v>14:42:24.273</v>
      </c>
      <c r="T793" t="str">
        <f t="shared" si="374"/>
        <v>14:42:24.073</v>
      </c>
      <c r="U793" t="str">
        <f t="shared" si="364"/>
        <v>A9808D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298</v>
      </c>
      <c r="AJ793">
        <v>28.263423</v>
      </c>
      <c r="AK793" t="s">
        <v>297</v>
      </c>
      <c r="AL793">
        <v>-82.380295000000004</v>
      </c>
      <c r="AM793">
        <v>100</v>
      </c>
      <c r="AN793">
        <v>1000</v>
      </c>
      <c r="AO793" t="s">
        <v>118</v>
      </c>
      <c r="AP793">
        <v>2</v>
      </c>
      <c r="AQ793">
        <v>88</v>
      </c>
      <c r="AR793">
        <v>512</v>
      </c>
      <c r="AZ793">
        <v>1200</v>
      </c>
      <c r="BA793">
        <v>1</v>
      </c>
      <c r="BB793" t="str">
        <f t="shared" si="377"/>
        <v xml:space="preserve">N711JA  </v>
      </c>
      <c r="BC793">
        <v>1</v>
      </c>
      <c r="BE793">
        <v>0</v>
      </c>
      <c r="BF793">
        <v>0</v>
      </c>
      <c r="BG793">
        <v>0</v>
      </c>
      <c r="BH793">
        <v>1075</v>
      </c>
      <c r="BI793">
        <v>1</v>
      </c>
      <c r="BJ793">
        <v>1</v>
      </c>
      <c r="BK793">
        <v>0</v>
      </c>
      <c r="BL793">
        <v>0</v>
      </c>
      <c r="BO793">
        <v>0</v>
      </c>
      <c r="BP793">
        <v>0</v>
      </c>
      <c r="BW793" t="str">
        <f t="shared" si="375"/>
        <v>14:42:24.280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343</v>
      </c>
      <c r="CR793">
        <v>2</v>
      </c>
      <c r="CW793">
        <v>12999089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si="372"/>
        <v>05/12/2020 14:42:06.465</v>
      </c>
      <c r="C794" t="str">
        <f t="shared" si="376"/>
        <v>FFDFD3C0</v>
      </c>
      <c r="D794" t="s">
        <v>131</v>
      </c>
      <c r="E794">
        <v>18</v>
      </c>
      <c r="F794">
        <v>2018</v>
      </c>
      <c r="G794" t="s">
        <v>161</v>
      </c>
      <c r="J794" t="s">
        <v>133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373"/>
        <v>14:42:24.273</v>
      </c>
      <c r="T794" t="str">
        <f t="shared" si="374"/>
        <v>14:42:24.073</v>
      </c>
      <c r="U794" t="str">
        <f t="shared" si="364"/>
        <v>A9808D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298</v>
      </c>
      <c r="AJ794">
        <v>28.263423</v>
      </c>
      <c r="AK794" t="s">
        <v>297</v>
      </c>
      <c r="AL794">
        <v>-82.380295000000004</v>
      </c>
      <c r="AM794">
        <v>100</v>
      </c>
      <c r="AN794">
        <v>1000</v>
      </c>
      <c r="AO794" t="s">
        <v>118</v>
      </c>
      <c r="AP794">
        <v>2</v>
      </c>
      <c r="AQ794">
        <v>88</v>
      </c>
      <c r="AR794">
        <v>512</v>
      </c>
      <c r="AZ794">
        <v>1200</v>
      </c>
      <c r="BA794">
        <v>1</v>
      </c>
      <c r="BB794" t="str">
        <f t="shared" si="377"/>
        <v xml:space="preserve">N711JA  </v>
      </c>
      <c r="BC794">
        <v>1</v>
      </c>
      <c r="BE794">
        <v>0</v>
      </c>
      <c r="BF794">
        <v>0</v>
      </c>
      <c r="BG794">
        <v>0</v>
      </c>
      <c r="BH794">
        <v>1075</v>
      </c>
      <c r="BI794">
        <v>1</v>
      </c>
      <c r="BJ794">
        <v>1</v>
      </c>
      <c r="BK794">
        <v>0</v>
      </c>
      <c r="BL794">
        <v>0</v>
      </c>
      <c r="BO794">
        <v>0</v>
      </c>
      <c r="BP794">
        <v>0</v>
      </c>
      <c r="BW794" t="str">
        <f t="shared" si="375"/>
        <v>14:42:24.280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343</v>
      </c>
      <c r="CR794">
        <v>2</v>
      </c>
      <c r="CW794">
        <v>12999089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372"/>
        <v>05/12/2020 14:42:06.465</v>
      </c>
      <c r="C795" t="str">
        <f t="shared" si="376"/>
        <v>FFDFD3C0</v>
      </c>
      <c r="D795" t="s">
        <v>113</v>
      </c>
      <c r="E795">
        <v>3</v>
      </c>
      <c r="H795">
        <v>164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373"/>
        <v>14:42:24.273</v>
      </c>
      <c r="T795" t="str">
        <f t="shared" si="374"/>
        <v>14:42:24.073</v>
      </c>
      <c r="U795" t="str">
        <f t="shared" si="364"/>
        <v>A9808D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298</v>
      </c>
      <c r="AJ795">
        <v>28.263423</v>
      </c>
      <c r="AK795" t="s">
        <v>297</v>
      </c>
      <c r="AL795">
        <v>-82.380295000000004</v>
      </c>
      <c r="AM795">
        <v>100</v>
      </c>
      <c r="AN795">
        <v>1000</v>
      </c>
      <c r="AO795" t="s">
        <v>118</v>
      </c>
      <c r="AP795">
        <v>2</v>
      </c>
      <c r="AQ795">
        <v>88</v>
      </c>
      <c r="AR795">
        <v>512</v>
      </c>
      <c r="AZ795">
        <v>1200</v>
      </c>
      <c r="BA795">
        <v>1</v>
      </c>
      <c r="BB795" t="str">
        <f t="shared" si="377"/>
        <v xml:space="preserve">N711JA  </v>
      </c>
      <c r="BC795">
        <v>1</v>
      </c>
      <c r="BE795">
        <v>0</v>
      </c>
      <c r="BF795">
        <v>0</v>
      </c>
      <c r="BG795">
        <v>0</v>
      </c>
      <c r="BH795">
        <v>1075</v>
      </c>
      <c r="BI795">
        <v>1</v>
      </c>
      <c r="BJ795">
        <v>1</v>
      </c>
      <c r="BK795">
        <v>0</v>
      </c>
      <c r="BL795">
        <v>0</v>
      </c>
      <c r="BO795">
        <v>0</v>
      </c>
      <c r="BP795">
        <v>0</v>
      </c>
      <c r="BW795" t="str">
        <f t="shared" si="375"/>
        <v>14:42:24.280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343</v>
      </c>
      <c r="CR795">
        <v>2</v>
      </c>
      <c r="CW795">
        <v>12999089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si="372"/>
        <v>05/12/2020 14:42:06.465</v>
      </c>
      <c r="C796" t="str">
        <f t="shared" si="376"/>
        <v>FFDFD3C0</v>
      </c>
      <c r="D796" t="s">
        <v>138</v>
      </c>
      <c r="E796">
        <v>2</v>
      </c>
      <c r="H796">
        <v>8</v>
      </c>
      <c r="I796" t="s">
        <v>139</v>
      </c>
      <c r="J796" t="s">
        <v>136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373"/>
        <v>14:42:24.273</v>
      </c>
      <c r="T796" t="str">
        <f t="shared" si="374"/>
        <v>14:42:24.073</v>
      </c>
      <c r="U796" t="str">
        <f t="shared" si="364"/>
        <v>A9808D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298</v>
      </c>
      <c r="AJ796">
        <v>28.263423</v>
      </c>
      <c r="AK796" t="s">
        <v>297</v>
      </c>
      <c r="AL796">
        <v>-82.380295000000004</v>
      </c>
      <c r="AM796">
        <v>100</v>
      </c>
      <c r="AN796">
        <v>1000</v>
      </c>
      <c r="AO796" t="s">
        <v>118</v>
      </c>
      <c r="AP796">
        <v>2</v>
      </c>
      <c r="AQ796">
        <v>88</v>
      </c>
      <c r="AR796">
        <v>512</v>
      </c>
      <c r="AZ796">
        <v>1200</v>
      </c>
      <c r="BA796">
        <v>1</v>
      </c>
      <c r="BB796" t="str">
        <f t="shared" si="377"/>
        <v xml:space="preserve">N711JA  </v>
      </c>
      <c r="BC796">
        <v>1</v>
      </c>
      <c r="BE796">
        <v>0</v>
      </c>
      <c r="BF796">
        <v>0</v>
      </c>
      <c r="BG796">
        <v>0</v>
      </c>
      <c r="BH796">
        <v>1075</v>
      </c>
      <c r="BI796">
        <v>1</v>
      </c>
      <c r="BJ796">
        <v>1</v>
      </c>
      <c r="BK796">
        <v>0</v>
      </c>
      <c r="BL796">
        <v>0</v>
      </c>
      <c r="BO796">
        <v>0</v>
      </c>
      <c r="BP796">
        <v>0</v>
      </c>
      <c r="BW796" t="str">
        <f t="shared" si="375"/>
        <v>14:42:24.280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343</v>
      </c>
      <c r="CR796">
        <v>2</v>
      </c>
      <c r="CW796">
        <v>12999089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si="372"/>
        <v>05/12/2020 14:42:06.465</v>
      </c>
      <c r="C797" t="str">
        <f t="shared" si="376"/>
        <v>FFDFD3C0</v>
      </c>
      <c r="D797" t="s">
        <v>138</v>
      </c>
      <c r="E797">
        <v>3</v>
      </c>
      <c r="H797">
        <v>9</v>
      </c>
      <c r="I797" t="s">
        <v>140</v>
      </c>
      <c r="J797" t="s">
        <v>136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373"/>
        <v>14:42:24.273</v>
      </c>
      <c r="T797" t="str">
        <f t="shared" si="374"/>
        <v>14:42:24.073</v>
      </c>
      <c r="U797" t="str">
        <f t="shared" si="364"/>
        <v>A9808D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298</v>
      </c>
      <c r="AJ797">
        <v>28.263423</v>
      </c>
      <c r="AK797" t="s">
        <v>297</v>
      </c>
      <c r="AL797">
        <v>-82.380295000000004</v>
      </c>
      <c r="AM797">
        <v>100</v>
      </c>
      <c r="AN797">
        <v>1000</v>
      </c>
      <c r="AO797" t="s">
        <v>118</v>
      </c>
      <c r="AP797">
        <v>2</v>
      </c>
      <c r="AQ797">
        <v>88</v>
      </c>
      <c r="AR797">
        <v>512</v>
      </c>
      <c r="AZ797">
        <v>1200</v>
      </c>
      <c r="BA797">
        <v>1</v>
      </c>
      <c r="BB797" t="str">
        <f t="shared" si="377"/>
        <v xml:space="preserve">N711JA  </v>
      </c>
      <c r="BC797">
        <v>1</v>
      </c>
      <c r="BE797">
        <v>0</v>
      </c>
      <c r="BF797">
        <v>0</v>
      </c>
      <c r="BG797">
        <v>0</v>
      </c>
      <c r="BH797">
        <v>1075</v>
      </c>
      <c r="BI797">
        <v>1</v>
      </c>
      <c r="BJ797">
        <v>1</v>
      </c>
      <c r="BK797">
        <v>0</v>
      </c>
      <c r="BL797">
        <v>0</v>
      </c>
      <c r="BO797">
        <v>0</v>
      </c>
      <c r="BP797">
        <v>0</v>
      </c>
      <c r="BW797" t="str">
        <f t="shared" si="375"/>
        <v>14:42:24.280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343</v>
      </c>
      <c r="CR797">
        <v>2</v>
      </c>
      <c r="CW797">
        <v>12999089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ref="A798:A806" si="378">"05/12/2020 14:42:07.421"</f>
        <v>05/12/2020 14:42:07.421</v>
      </c>
      <c r="C798" t="str">
        <f t="shared" si="376"/>
        <v>FFDFD3C0</v>
      </c>
      <c r="D798" t="s">
        <v>126</v>
      </c>
      <c r="E798">
        <v>6</v>
      </c>
      <c r="F798">
        <v>1006</v>
      </c>
      <c r="G798" t="s">
        <v>114</v>
      </c>
      <c r="J798" t="s">
        <v>128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ref="S798:S806" si="379">"14:42:25.250"</f>
        <v>14:42:25.250</v>
      </c>
      <c r="T798" t="str">
        <f t="shared" ref="T798:T806" si="380">"14:42:25.050"</f>
        <v>14:42:25.050</v>
      </c>
      <c r="U798" t="str">
        <f t="shared" si="364"/>
        <v>A9808D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299</v>
      </c>
      <c r="AJ798">
        <v>28.263767000000001</v>
      </c>
      <c r="AK798" t="s">
        <v>300</v>
      </c>
      <c r="AL798">
        <v>-82.380273000000003</v>
      </c>
      <c r="AM798">
        <v>100</v>
      </c>
      <c r="AN798">
        <v>1000</v>
      </c>
      <c r="AO798" t="s">
        <v>118</v>
      </c>
      <c r="AP798">
        <v>2</v>
      </c>
      <c r="AQ798">
        <v>88</v>
      </c>
      <c r="AR798">
        <v>448</v>
      </c>
      <c r="AZ798">
        <v>1200</v>
      </c>
      <c r="BA798">
        <v>1</v>
      </c>
      <c r="BB798" t="str">
        <f t="shared" si="377"/>
        <v xml:space="preserve">N711JA  </v>
      </c>
      <c r="BC798">
        <v>1</v>
      </c>
      <c r="BE798">
        <v>0</v>
      </c>
      <c r="BF798">
        <v>0</v>
      </c>
      <c r="BG798">
        <v>0</v>
      </c>
      <c r="BH798">
        <v>1075</v>
      </c>
      <c r="BI798">
        <v>1</v>
      </c>
      <c r="BJ798">
        <v>1</v>
      </c>
      <c r="BK798">
        <v>0</v>
      </c>
      <c r="BL798">
        <v>0</v>
      </c>
      <c r="BO798">
        <v>0</v>
      </c>
      <c r="BP798">
        <v>0</v>
      </c>
      <c r="BW798" t="str">
        <f t="shared" ref="BW798:BW806" si="381">"14:42:25.256"</f>
        <v>14:42:25.256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3</v>
      </c>
      <c r="CP798" t="s">
        <v>119</v>
      </c>
      <c r="CQ798">
        <v>8</v>
      </c>
      <c r="CR798">
        <v>3</v>
      </c>
      <c r="CW798">
        <v>8718272</v>
      </c>
      <c r="CY798">
        <v>1</v>
      </c>
      <c r="CZ798">
        <v>0</v>
      </c>
      <c r="DA798">
        <v>0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 t="shared" si="378"/>
        <v>05/12/2020 14:42:07.421</v>
      </c>
      <c r="C799" t="str">
        <f t="shared" si="376"/>
        <v>FFDFD3C0</v>
      </c>
      <c r="D799" t="s">
        <v>134</v>
      </c>
      <c r="E799">
        <v>12</v>
      </c>
      <c r="H799">
        <v>64</v>
      </c>
      <c r="I799" t="s">
        <v>135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79"/>
        <v>14:42:25.250</v>
      </c>
      <c r="T799" t="str">
        <f t="shared" si="380"/>
        <v>14:42:25.050</v>
      </c>
      <c r="U799" t="str">
        <f t="shared" si="364"/>
        <v>A9808D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299</v>
      </c>
      <c r="AJ799">
        <v>28.263767000000001</v>
      </c>
      <c r="AK799" t="s">
        <v>300</v>
      </c>
      <c r="AL799">
        <v>-82.380273000000003</v>
      </c>
      <c r="AM799">
        <v>100</v>
      </c>
      <c r="AN799">
        <v>1000</v>
      </c>
      <c r="AO799" t="s">
        <v>118</v>
      </c>
      <c r="AP799">
        <v>2</v>
      </c>
      <c r="AQ799">
        <v>88</v>
      </c>
      <c r="AR799">
        <v>448</v>
      </c>
      <c r="AZ799">
        <v>1200</v>
      </c>
      <c r="BA799">
        <v>1</v>
      </c>
      <c r="BB799" t="str">
        <f t="shared" si="377"/>
        <v xml:space="preserve">N711JA  </v>
      </c>
      <c r="BC799">
        <v>1</v>
      </c>
      <c r="BE799">
        <v>0</v>
      </c>
      <c r="BF799">
        <v>0</v>
      </c>
      <c r="BG799">
        <v>0</v>
      </c>
      <c r="BH799">
        <v>1075</v>
      </c>
      <c r="BI799">
        <v>1</v>
      </c>
      <c r="BJ799">
        <v>1</v>
      </c>
      <c r="BK799">
        <v>0</v>
      </c>
      <c r="BL799">
        <v>0</v>
      </c>
      <c r="BO799">
        <v>0</v>
      </c>
      <c r="BP799">
        <v>0</v>
      </c>
      <c r="BW799" t="str">
        <f t="shared" si="381"/>
        <v>14:42:25.256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3</v>
      </c>
      <c r="CP799" t="s">
        <v>119</v>
      </c>
      <c r="CQ799">
        <v>8</v>
      </c>
      <c r="CR799">
        <v>3</v>
      </c>
      <c r="CW799">
        <v>8718272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si="378"/>
        <v>05/12/2020 14:42:07.421</v>
      </c>
      <c r="C800" t="str">
        <f t="shared" si="376"/>
        <v>FFDFD3C0</v>
      </c>
      <c r="D800" t="s">
        <v>131</v>
      </c>
      <c r="E800">
        <v>10</v>
      </c>
      <c r="F800">
        <v>2010</v>
      </c>
      <c r="G800" t="s">
        <v>132</v>
      </c>
      <c r="J800" t="s">
        <v>133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379"/>
        <v>14:42:25.250</v>
      </c>
      <c r="T800" t="str">
        <f t="shared" si="380"/>
        <v>14:42:25.050</v>
      </c>
      <c r="U800" t="str">
        <f t="shared" si="364"/>
        <v>A9808D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299</v>
      </c>
      <c r="AJ800">
        <v>28.263767000000001</v>
      </c>
      <c r="AK800" t="s">
        <v>300</v>
      </c>
      <c r="AL800">
        <v>-82.380273000000003</v>
      </c>
      <c r="AM800">
        <v>100</v>
      </c>
      <c r="AN800">
        <v>1000</v>
      </c>
      <c r="AO800" t="s">
        <v>118</v>
      </c>
      <c r="AP800">
        <v>2</v>
      </c>
      <c r="AQ800">
        <v>88</v>
      </c>
      <c r="AR800">
        <v>448</v>
      </c>
      <c r="AZ800">
        <v>1200</v>
      </c>
      <c r="BA800">
        <v>1</v>
      </c>
      <c r="BB800" t="str">
        <f t="shared" si="377"/>
        <v xml:space="preserve">N711JA  </v>
      </c>
      <c r="BC800">
        <v>1</v>
      </c>
      <c r="BE800">
        <v>0</v>
      </c>
      <c r="BF800">
        <v>0</v>
      </c>
      <c r="BG800">
        <v>0</v>
      </c>
      <c r="BH800">
        <v>1075</v>
      </c>
      <c r="BI800">
        <v>1</v>
      </c>
      <c r="BJ800">
        <v>1</v>
      </c>
      <c r="BK800">
        <v>0</v>
      </c>
      <c r="BL800">
        <v>0</v>
      </c>
      <c r="BO800">
        <v>0</v>
      </c>
      <c r="BP800">
        <v>0</v>
      </c>
      <c r="BW800" t="str">
        <f t="shared" si="381"/>
        <v>14:42:25.256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3</v>
      </c>
      <c r="CP800" t="s">
        <v>119</v>
      </c>
      <c r="CQ800">
        <v>8</v>
      </c>
      <c r="CR800">
        <v>3</v>
      </c>
      <c r="CW800">
        <v>8718272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378"/>
        <v>05/12/2020 14:42:07.421</v>
      </c>
      <c r="C801" t="str">
        <f t="shared" si="376"/>
        <v>FFDFD3C0</v>
      </c>
      <c r="D801" t="s">
        <v>131</v>
      </c>
      <c r="E801">
        <v>12</v>
      </c>
      <c r="F801">
        <v>2012</v>
      </c>
      <c r="G801" t="s">
        <v>137</v>
      </c>
      <c r="J801" t="s">
        <v>133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79"/>
        <v>14:42:25.250</v>
      </c>
      <c r="T801" t="str">
        <f t="shared" si="380"/>
        <v>14:42:25.050</v>
      </c>
      <c r="U801" t="str">
        <f t="shared" si="364"/>
        <v>A9808D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299</v>
      </c>
      <c r="AJ801">
        <v>28.263767000000001</v>
      </c>
      <c r="AK801" t="s">
        <v>300</v>
      </c>
      <c r="AL801">
        <v>-82.380273000000003</v>
      </c>
      <c r="AM801">
        <v>100</v>
      </c>
      <c r="AN801">
        <v>1000</v>
      </c>
      <c r="AO801" t="s">
        <v>118</v>
      </c>
      <c r="AP801">
        <v>2</v>
      </c>
      <c r="AQ801">
        <v>88</v>
      </c>
      <c r="AR801">
        <v>448</v>
      </c>
      <c r="AZ801">
        <v>1200</v>
      </c>
      <c r="BA801">
        <v>1</v>
      </c>
      <c r="BB801" t="str">
        <f t="shared" si="377"/>
        <v xml:space="preserve">N711JA  </v>
      </c>
      <c r="BC801">
        <v>1</v>
      </c>
      <c r="BE801">
        <v>0</v>
      </c>
      <c r="BF801">
        <v>0</v>
      </c>
      <c r="BG801">
        <v>0</v>
      </c>
      <c r="BH801">
        <v>1075</v>
      </c>
      <c r="BI801">
        <v>1</v>
      </c>
      <c r="BJ801">
        <v>1</v>
      </c>
      <c r="BK801">
        <v>0</v>
      </c>
      <c r="BL801">
        <v>0</v>
      </c>
      <c r="BO801">
        <v>0</v>
      </c>
      <c r="BP801">
        <v>0</v>
      </c>
      <c r="BW801" t="str">
        <f t="shared" si="381"/>
        <v>14:42:25.256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3</v>
      </c>
      <c r="CP801" t="s">
        <v>119</v>
      </c>
      <c r="CQ801">
        <v>8</v>
      </c>
      <c r="CR801">
        <v>3</v>
      </c>
      <c r="CW801">
        <v>8718272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378"/>
        <v>05/12/2020 14:42:07.421</v>
      </c>
      <c r="C802" t="str">
        <f t="shared" si="376"/>
        <v>FFDFD3C0</v>
      </c>
      <c r="D802" t="s">
        <v>126</v>
      </c>
      <c r="E802">
        <v>7</v>
      </c>
      <c r="F802">
        <v>1007</v>
      </c>
      <c r="G802" t="s">
        <v>127</v>
      </c>
      <c r="J802" t="s">
        <v>128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379"/>
        <v>14:42:25.250</v>
      </c>
      <c r="T802" t="str">
        <f t="shared" si="380"/>
        <v>14:42:25.050</v>
      </c>
      <c r="U802" t="str">
        <f t="shared" si="364"/>
        <v>A9808D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299</v>
      </c>
      <c r="AJ802">
        <v>28.263767000000001</v>
      </c>
      <c r="AK802" t="s">
        <v>300</v>
      </c>
      <c r="AL802">
        <v>-82.380273000000003</v>
      </c>
      <c r="AM802">
        <v>100</v>
      </c>
      <c r="AN802">
        <v>1000</v>
      </c>
      <c r="AO802" t="s">
        <v>118</v>
      </c>
      <c r="AP802">
        <v>2</v>
      </c>
      <c r="AQ802">
        <v>88</v>
      </c>
      <c r="AR802">
        <v>448</v>
      </c>
      <c r="AZ802">
        <v>1200</v>
      </c>
      <c r="BA802">
        <v>1</v>
      </c>
      <c r="BB802" t="str">
        <f t="shared" si="377"/>
        <v xml:space="preserve">N711JA  </v>
      </c>
      <c r="BC802">
        <v>1</v>
      </c>
      <c r="BE802">
        <v>0</v>
      </c>
      <c r="BF802">
        <v>0</v>
      </c>
      <c r="BG802">
        <v>0</v>
      </c>
      <c r="BH802">
        <v>1075</v>
      </c>
      <c r="BI802">
        <v>1</v>
      </c>
      <c r="BJ802">
        <v>1</v>
      </c>
      <c r="BK802">
        <v>0</v>
      </c>
      <c r="BL802">
        <v>0</v>
      </c>
      <c r="BO802">
        <v>0</v>
      </c>
      <c r="BP802">
        <v>0</v>
      </c>
      <c r="BW802" t="str">
        <f t="shared" si="381"/>
        <v>14:42:25.256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3</v>
      </c>
      <c r="CP802" t="s">
        <v>119</v>
      </c>
      <c r="CQ802">
        <v>8</v>
      </c>
      <c r="CR802">
        <v>3</v>
      </c>
      <c r="CW802">
        <v>8718272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si="378"/>
        <v>05/12/2020 14:42:07.421</v>
      </c>
      <c r="C803" t="str">
        <f t="shared" si="376"/>
        <v>FFDFD3C0</v>
      </c>
      <c r="D803" t="s">
        <v>131</v>
      </c>
      <c r="E803">
        <v>18</v>
      </c>
      <c r="F803">
        <v>2018</v>
      </c>
      <c r="G803" t="s">
        <v>161</v>
      </c>
      <c r="J803" t="s">
        <v>133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379"/>
        <v>14:42:25.250</v>
      </c>
      <c r="T803" t="str">
        <f t="shared" si="380"/>
        <v>14:42:25.050</v>
      </c>
      <c r="U803" t="str">
        <f t="shared" si="364"/>
        <v>A9808D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299</v>
      </c>
      <c r="AJ803">
        <v>28.263767000000001</v>
      </c>
      <c r="AK803" t="s">
        <v>300</v>
      </c>
      <c r="AL803">
        <v>-82.380273000000003</v>
      </c>
      <c r="AM803">
        <v>100</v>
      </c>
      <c r="AN803">
        <v>1000</v>
      </c>
      <c r="AO803" t="s">
        <v>118</v>
      </c>
      <c r="AP803">
        <v>2</v>
      </c>
      <c r="AQ803">
        <v>88</v>
      </c>
      <c r="AR803">
        <v>448</v>
      </c>
      <c r="AZ803">
        <v>1200</v>
      </c>
      <c r="BA803">
        <v>1</v>
      </c>
      <c r="BB803" t="str">
        <f t="shared" si="377"/>
        <v xml:space="preserve">N711JA  </v>
      </c>
      <c r="BC803">
        <v>1</v>
      </c>
      <c r="BE803">
        <v>0</v>
      </c>
      <c r="BF803">
        <v>0</v>
      </c>
      <c r="BG803">
        <v>0</v>
      </c>
      <c r="BH803">
        <v>1075</v>
      </c>
      <c r="BI803">
        <v>1</v>
      </c>
      <c r="BJ803">
        <v>1</v>
      </c>
      <c r="BK803">
        <v>0</v>
      </c>
      <c r="BL803">
        <v>0</v>
      </c>
      <c r="BO803">
        <v>0</v>
      </c>
      <c r="BP803">
        <v>0</v>
      </c>
      <c r="BW803" t="str">
        <f t="shared" si="381"/>
        <v>14:42:25.256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3</v>
      </c>
      <c r="CP803" t="s">
        <v>119</v>
      </c>
      <c r="CQ803">
        <v>56</v>
      </c>
      <c r="CR803">
        <v>2</v>
      </c>
      <c r="CW803">
        <v>4631691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si="378"/>
        <v>05/12/2020 14:42:07.421</v>
      </c>
      <c r="C804" t="str">
        <f t="shared" si="376"/>
        <v>FFDFD3C0</v>
      </c>
      <c r="D804" t="s">
        <v>113</v>
      </c>
      <c r="E804">
        <v>3</v>
      </c>
      <c r="H804">
        <v>164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379"/>
        <v>14:42:25.250</v>
      </c>
      <c r="T804" t="str">
        <f t="shared" si="380"/>
        <v>14:42:25.050</v>
      </c>
      <c r="U804" t="str">
        <f t="shared" si="364"/>
        <v>A9808D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299</v>
      </c>
      <c r="AJ804">
        <v>28.263767000000001</v>
      </c>
      <c r="AK804" t="s">
        <v>300</v>
      </c>
      <c r="AL804">
        <v>-82.380273000000003</v>
      </c>
      <c r="AM804">
        <v>100</v>
      </c>
      <c r="AN804">
        <v>1000</v>
      </c>
      <c r="AO804" t="s">
        <v>118</v>
      </c>
      <c r="AP804">
        <v>2</v>
      </c>
      <c r="AQ804">
        <v>88</v>
      </c>
      <c r="AR804">
        <v>448</v>
      </c>
      <c r="AZ804">
        <v>1200</v>
      </c>
      <c r="BA804">
        <v>1</v>
      </c>
      <c r="BB804" t="str">
        <f t="shared" si="377"/>
        <v xml:space="preserve">N711JA  </v>
      </c>
      <c r="BC804">
        <v>1</v>
      </c>
      <c r="BE804">
        <v>0</v>
      </c>
      <c r="BF804">
        <v>0</v>
      </c>
      <c r="BG804">
        <v>0</v>
      </c>
      <c r="BH804">
        <v>1075</v>
      </c>
      <c r="BI804">
        <v>1</v>
      </c>
      <c r="BJ804">
        <v>1</v>
      </c>
      <c r="BK804">
        <v>0</v>
      </c>
      <c r="BL804">
        <v>0</v>
      </c>
      <c r="BO804">
        <v>0</v>
      </c>
      <c r="BP804">
        <v>0</v>
      </c>
      <c r="BW804" t="str">
        <f t="shared" si="381"/>
        <v>14:42:25.256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3</v>
      </c>
      <c r="CP804" t="s">
        <v>119</v>
      </c>
      <c r="CQ804">
        <v>8</v>
      </c>
      <c r="CR804">
        <v>3</v>
      </c>
      <c r="CW804">
        <v>8718272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378"/>
        <v>05/12/2020 14:42:07.421</v>
      </c>
      <c r="C805" t="str">
        <f t="shared" si="376"/>
        <v>FFDFD3C0</v>
      </c>
      <c r="D805" t="s">
        <v>138</v>
      </c>
      <c r="E805">
        <v>2</v>
      </c>
      <c r="H805">
        <v>8</v>
      </c>
      <c r="I805" t="s">
        <v>139</v>
      </c>
      <c r="J805" t="s">
        <v>136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379"/>
        <v>14:42:25.250</v>
      </c>
      <c r="T805" t="str">
        <f t="shared" si="380"/>
        <v>14:42:25.050</v>
      </c>
      <c r="U805" t="str">
        <f t="shared" si="364"/>
        <v>A9808D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299</v>
      </c>
      <c r="AJ805">
        <v>28.263767000000001</v>
      </c>
      <c r="AK805" t="s">
        <v>300</v>
      </c>
      <c r="AL805">
        <v>-82.380273000000003</v>
      </c>
      <c r="AM805">
        <v>100</v>
      </c>
      <c r="AN805">
        <v>1000</v>
      </c>
      <c r="AO805" t="s">
        <v>118</v>
      </c>
      <c r="AP805">
        <v>2</v>
      </c>
      <c r="AQ805">
        <v>88</v>
      </c>
      <c r="AR805">
        <v>448</v>
      </c>
      <c r="AZ805">
        <v>1200</v>
      </c>
      <c r="BA805">
        <v>1</v>
      </c>
      <c r="BB805" t="str">
        <f t="shared" si="377"/>
        <v xml:space="preserve">N711JA  </v>
      </c>
      <c r="BC805">
        <v>1</v>
      </c>
      <c r="BE805">
        <v>0</v>
      </c>
      <c r="BF805">
        <v>0</v>
      </c>
      <c r="BG805">
        <v>0</v>
      </c>
      <c r="BH805">
        <v>1075</v>
      </c>
      <c r="BI805">
        <v>1</v>
      </c>
      <c r="BJ805">
        <v>1</v>
      </c>
      <c r="BK805">
        <v>0</v>
      </c>
      <c r="BL805">
        <v>0</v>
      </c>
      <c r="BO805">
        <v>0</v>
      </c>
      <c r="BP805">
        <v>0</v>
      </c>
      <c r="BW805" t="str">
        <f t="shared" si="381"/>
        <v>14:42:25.256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3</v>
      </c>
      <c r="CP805" t="s">
        <v>119</v>
      </c>
      <c r="CQ805">
        <v>8</v>
      </c>
      <c r="CR805">
        <v>3</v>
      </c>
      <c r="CW805">
        <v>8718272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si="378"/>
        <v>05/12/2020 14:42:07.421</v>
      </c>
      <c r="C806" t="str">
        <f t="shared" si="376"/>
        <v>FFDFD3C0</v>
      </c>
      <c r="D806" t="s">
        <v>138</v>
      </c>
      <c r="E806">
        <v>3</v>
      </c>
      <c r="H806">
        <v>9</v>
      </c>
      <c r="I806" t="s">
        <v>140</v>
      </c>
      <c r="J806" t="s">
        <v>136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379"/>
        <v>14:42:25.250</v>
      </c>
      <c r="T806" t="str">
        <f t="shared" si="380"/>
        <v>14:42:25.050</v>
      </c>
      <c r="U806" t="str">
        <f t="shared" si="364"/>
        <v>A9808D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299</v>
      </c>
      <c r="AJ806">
        <v>28.263767000000001</v>
      </c>
      <c r="AK806" t="s">
        <v>300</v>
      </c>
      <c r="AL806">
        <v>-82.380273000000003</v>
      </c>
      <c r="AM806">
        <v>100</v>
      </c>
      <c r="AN806">
        <v>1000</v>
      </c>
      <c r="AO806" t="s">
        <v>118</v>
      </c>
      <c r="AP806">
        <v>2</v>
      </c>
      <c r="AQ806">
        <v>88</v>
      </c>
      <c r="AR806">
        <v>448</v>
      </c>
      <c r="AZ806">
        <v>1200</v>
      </c>
      <c r="BA806">
        <v>1</v>
      </c>
      <c r="BB806" t="str">
        <f t="shared" si="377"/>
        <v xml:space="preserve">N711JA  </v>
      </c>
      <c r="BC806">
        <v>1</v>
      </c>
      <c r="BE806">
        <v>0</v>
      </c>
      <c r="BF806">
        <v>0</v>
      </c>
      <c r="BG806">
        <v>0</v>
      </c>
      <c r="BH806">
        <v>1075</v>
      </c>
      <c r="BI806">
        <v>1</v>
      </c>
      <c r="BJ806">
        <v>1</v>
      </c>
      <c r="BK806">
        <v>0</v>
      </c>
      <c r="BL806">
        <v>0</v>
      </c>
      <c r="BO806">
        <v>0</v>
      </c>
      <c r="BP806">
        <v>0</v>
      </c>
      <c r="BW806" t="str">
        <f t="shared" si="381"/>
        <v>14:42:25.256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3</v>
      </c>
      <c r="CP806" t="s">
        <v>119</v>
      </c>
      <c r="CQ806">
        <v>8</v>
      </c>
      <c r="CR806">
        <v>3</v>
      </c>
      <c r="CW806">
        <v>8718272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ref="A807:A815" si="382">"05/12/2020 14:42:08.474"</f>
        <v>05/12/2020 14:42:08.474</v>
      </c>
      <c r="C807" t="str">
        <f t="shared" si="376"/>
        <v>FFDFD3C0</v>
      </c>
      <c r="D807" t="s">
        <v>113</v>
      </c>
      <c r="E807">
        <v>3</v>
      </c>
      <c r="H807">
        <v>164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ref="S807:S815" si="383">"14:42:26.258"</f>
        <v>14:42:26.258</v>
      </c>
      <c r="T807" t="str">
        <f t="shared" ref="T807:T815" si="384">"14:42:26.058"</f>
        <v>14:42:26.058</v>
      </c>
      <c r="U807" t="str">
        <f t="shared" si="364"/>
        <v>A9808D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301</v>
      </c>
      <c r="AJ807">
        <v>28.264195999999998</v>
      </c>
      <c r="AK807" t="s">
        <v>300</v>
      </c>
      <c r="AL807">
        <v>-82.380273000000003</v>
      </c>
      <c r="AM807">
        <v>100</v>
      </c>
      <c r="AN807">
        <v>1000</v>
      </c>
      <c r="AO807" t="s">
        <v>118</v>
      </c>
      <c r="AP807">
        <v>2</v>
      </c>
      <c r="AQ807">
        <v>88</v>
      </c>
      <c r="AR807">
        <v>320</v>
      </c>
      <c r="AZ807">
        <v>1200</v>
      </c>
      <c r="BA807">
        <v>1</v>
      </c>
      <c r="BB807" t="str">
        <f t="shared" si="377"/>
        <v xml:space="preserve">N711JA  </v>
      </c>
      <c r="BC807">
        <v>1</v>
      </c>
      <c r="BE807">
        <v>0</v>
      </c>
      <c r="BF807">
        <v>0</v>
      </c>
      <c r="BG807">
        <v>0</v>
      </c>
      <c r="BH807">
        <v>1075</v>
      </c>
      <c r="BI807">
        <v>1</v>
      </c>
      <c r="BJ807">
        <v>1</v>
      </c>
      <c r="BK807">
        <v>0</v>
      </c>
      <c r="BL807">
        <v>0</v>
      </c>
      <c r="BO807">
        <v>0</v>
      </c>
      <c r="BP807">
        <v>0</v>
      </c>
      <c r="BW807" t="str">
        <f t="shared" ref="BW807:BW815" si="385">"14:42:26.265"</f>
        <v>14:42:26.265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343</v>
      </c>
      <c r="CR807">
        <v>1</v>
      </c>
      <c r="CW807">
        <v>10596800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382"/>
        <v>05/12/2020 14:42:08.474</v>
      </c>
      <c r="C808" t="str">
        <f t="shared" si="376"/>
        <v>FFDFD3C0</v>
      </c>
      <c r="D808" t="s">
        <v>138</v>
      </c>
      <c r="E808">
        <v>2</v>
      </c>
      <c r="H808">
        <v>8</v>
      </c>
      <c r="I808" t="s">
        <v>139</v>
      </c>
      <c r="J808" t="s">
        <v>136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383"/>
        <v>14:42:26.258</v>
      </c>
      <c r="T808" t="str">
        <f t="shared" si="384"/>
        <v>14:42:26.058</v>
      </c>
      <c r="U808" t="str">
        <f t="shared" si="364"/>
        <v>A9808D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301</v>
      </c>
      <c r="AJ808">
        <v>28.264195999999998</v>
      </c>
      <c r="AK808" t="s">
        <v>300</v>
      </c>
      <c r="AL808">
        <v>-82.380273000000003</v>
      </c>
      <c r="AM808">
        <v>100</v>
      </c>
      <c r="AN808">
        <v>1000</v>
      </c>
      <c r="AO808" t="s">
        <v>118</v>
      </c>
      <c r="AP808">
        <v>2</v>
      </c>
      <c r="AQ808">
        <v>88</v>
      </c>
      <c r="AR808">
        <v>320</v>
      </c>
      <c r="AZ808">
        <v>1200</v>
      </c>
      <c r="BA808">
        <v>1</v>
      </c>
      <c r="BB808" t="str">
        <f t="shared" si="377"/>
        <v xml:space="preserve">N711JA  </v>
      </c>
      <c r="BC808">
        <v>1</v>
      </c>
      <c r="BE808">
        <v>0</v>
      </c>
      <c r="BF808">
        <v>0</v>
      </c>
      <c r="BG808">
        <v>0</v>
      </c>
      <c r="BH808">
        <v>1075</v>
      </c>
      <c r="BI808">
        <v>1</v>
      </c>
      <c r="BJ808">
        <v>1</v>
      </c>
      <c r="BK808">
        <v>0</v>
      </c>
      <c r="BL808">
        <v>0</v>
      </c>
      <c r="BO808">
        <v>0</v>
      </c>
      <c r="BP808">
        <v>0</v>
      </c>
      <c r="BW808" t="str">
        <f t="shared" si="385"/>
        <v>14:42:26.265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343</v>
      </c>
      <c r="CR808">
        <v>1</v>
      </c>
      <c r="CW808">
        <v>10596800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382"/>
        <v>05/12/2020 14:42:08.474</v>
      </c>
      <c r="C809" t="str">
        <f t="shared" si="376"/>
        <v>FFDFD3C0</v>
      </c>
      <c r="D809" t="s">
        <v>138</v>
      </c>
      <c r="E809">
        <v>3</v>
      </c>
      <c r="H809">
        <v>9</v>
      </c>
      <c r="I809" t="s">
        <v>140</v>
      </c>
      <c r="J809" t="s">
        <v>136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383"/>
        <v>14:42:26.258</v>
      </c>
      <c r="T809" t="str">
        <f t="shared" si="384"/>
        <v>14:42:26.058</v>
      </c>
      <c r="U809" t="str">
        <f t="shared" si="364"/>
        <v>A9808D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301</v>
      </c>
      <c r="AJ809">
        <v>28.264195999999998</v>
      </c>
      <c r="AK809" t="s">
        <v>300</v>
      </c>
      <c r="AL809">
        <v>-82.380273000000003</v>
      </c>
      <c r="AM809">
        <v>100</v>
      </c>
      <c r="AN809">
        <v>1000</v>
      </c>
      <c r="AO809" t="s">
        <v>118</v>
      </c>
      <c r="AP809">
        <v>2</v>
      </c>
      <c r="AQ809">
        <v>88</v>
      </c>
      <c r="AR809">
        <v>320</v>
      </c>
      <c r="AZ809">
        <v>1200</v>
      </c>
      <c r="BA809">
        <v>1</v>
      </c>
      <c r="BB809" t="str">
        <f t="shared" si="377"/>
        <v xml:space="preserve">N711JA  </v>
      </c>
      <c r="BC809">
        <v>1</v>
      </c>
      <c r="BE809">
        <v>0</v>
      </c>
      <c r="BF809">
        <v>0</v>
      </c>
      <c r="BG809">
        <v>0</v>
      </c>
      <c r="BH809">
        <v>1075</v>
      </c>
      <c r="BI809">
        <v>1</v>
      </c>
      <c r="BJ809">
        <v>1</v>
      </c>
      <c r="BK809">
        <v>0</v>
      </c>
      <c r="BL809">
        <v>0</v>
      </c>
      <c r="BO809">
        <v>0</v>
      </c>
      <c r="BP809">
        <v>0</v>
      </c>
      <c r="BW809" t="str">
        <f t="shared" si="385"/>
        <v>14:42:26.265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343</v>
      </c>
      <c r="CR809">
        <v>1</v>
      </c>
      <c r="CW809">
        <v>10596800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382"/>
        <v>05/12/2020 14:42:08.474</v>
      </c>
      <c r="C810" t="str">
        <f t="shared" si="376"/>
        <v>FFDFD3C0</v>
      </c>
      <c r="D810" t="s">
        <v>126</v>
      </c>
      <c r="E810">
        <v>6</v>
      </c>
      <c r="F810">
        <v>1006</v>
      </c>
      <c r="G810" t="s">
        <v>114</v>
      </c>
      <c r="J810" t="s">
        <v>128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383"/>
        <v>14:42:26.258</v>
      </c>
      <c r="T810" t="str">
        <f t="shared" si="384"/>
        <v>14:42:26.058</v>
      </c>
      <c r="U810" t="str">
        <f t="shared" si="364"/>
        <v>A9808D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301</v>
      </c>
      <c r="AJ810">
        <v>28.264195999999998</v>
      </c>
      <c r="AK810" t="s">
        <v>300</v>
      </c>
      <c r="AL810">
        <v>-82.380273000000003</v>
      </c>
      <c r="AM810">
        <v>100</v>
      </c>
      <c r="AN810">
        <v>1000</v>
      </c>
      <c r="AO810" t="s">
        <v>118</v>
      </c>
      <c r="AP810">
        <v>2</v>
      </c>
      <c r="AQ810">
        <v>88</v>
      </c>
      <c r="AR810">
        <v>320</v>
      </c>
      <c r="AZ810">
        <v>1200</v>
      </c>
      <c r="BA810">
        <v>1</v>
      </c>
      <c r="BB810" t="str">
        <f t="shared" si="377"/>
        <v xml:space="preserve">N711JA  </v>
      </c>
      <c r="BC810">
        <v>1</v>
      </c>
      <c r="BE810">
        <v>0</v>
      </c>
      <c r="BF810">
        <v>0</v>
      </c>
      <c r="BG810">
        <v>0</v>
      </c>
      <c r="BH810">
        <v>1075</v>
      </c>
      <c r="BI810">
        <v>1</v>
      </c>
      <c r="BJ810">
        <v>1</v>
      </c>
      <c r="BK810">
        <v>0</v>
      </c>
      <c r="BL810">
        <v>0</v>
      </c>
      <c r="BO810">
        <v>0</v>
      </c>
      <c r="BP810">
        <v>0</v>
      </c>
      <c r="BW810" t="str">
        <f t="shared" si="385"/>
        <v>14:42:26.265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343</v>
      </c>
      <c r="CR810">
        <v>1</v>
      </c>
      <c r="CW810">
        <v>10596800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382"/>
        <v>05/12/2020 14:42:08.474</v>
      </c>
      <c r="C811" t="str">
        <f t="shared" si="376"/>
        <v>FFDFD3C0</v>
      </c>
      <c r="D811" t="s">
        <v>134</v>
      </c>
      <c r="E811">
        <v>12</v>
      </c>
      <c r="H811">
        <v>64</v>
      </c>
      <c r="I811" t="s">
        <v>135</v>
      </c>
      <c r="J811" t="s">
        <v>136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383"/>
        <v>14:42:26.258</v>
      </c>
      <c r="T811" t="str">
        <f t="shared" si="384"/>
        <v>14:42:26.058</v>
      </c>
      <c r="U811" t="str">
        <f t="shared" si="364"/>
        <v>A9808D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301</v>
      </c>
      <c r="AJ811">
        <v>28.264195999999998</v>
      </c>
      <c r="AK811" t="s">
        <v>300</v>
      </c>
      <c r="AL811">
        <v>-82.380273000000003</v>
      </c>
      <c r="AM811">
        <v>100</v>
      </c>
      <c r="AN811">
        <v>1000</v>
      </c>
      <c r="AO811" t="s">
        <v>118</v>
      </c>
      <c r="AP811">
        <v>2</v>
      </c>
      <c r="AQ811">
        <v>88</v>
      </c>
      <c r="AR811">
        <v>320</v>
      </c>
      <c r="AZ811">
        <v>1200</v>
      </c>
      <c r="BA811">
        <v>1</v>
      </c>
      <c r="BB811" t="str">
        <f t="shared" si="377"/>
        <v xml:space="preserve">N711JA  </v>
      </c>
      <c r="BC811">
        <v>1</v>
      </c>
      <c r="BE811">
        <v>0</v>
      </c>
      <c r="BF811">
        <v>0</v>
      </c>
      <c r="BG811">
        <v>0</v>
      </c>
      <c r="BH811">
        <v>1075</v>
      </c>
      <c r="BI811">
        <v>1</v>
      </c>
      <c r="BJ811">
        <v>1</v>
      </c>
      <c r="BK811">
        <v>0</v>
      </c>
      <c r="BL811">
        <v>0</v>
      </c>
      <c r="BO811">
        <v>0</v>
      </c>
      <c r="BP811">
        <v>0</v>
      </c>
      <c r="BW811" t="str">
        <f t="shared" si="385"/>
        <v>14:42:26.265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343</v>
      </c>
      <c r="CR811">
        <v>1</v>
      </c>
      <c r="CW811">
        <v>10596800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si="382"/>
        <v>05/12/2020 14:42:08.474</v>
      </c>
      <c r="C812" t="str">
        <f t="shared" si="376"/>
        <v>FFDFD3C0</v>
      </c>
      <c r="D812" t="s">
        <v>131</v>
      </c>
      <c r="E812">
        <v>10</v>
      </c>
      <c r="F812">
        <v>2010</v>
      </c>
      <c r="G812" t="s">
        <v>132</v>
      </c>
      <c r="J812" t="s">
        <v>133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383"/>
        <v>14:42:26.258</v>
      </c>
      <c r="T812" t="str">
        <f t="shared" si="384"/>
        <v>14:42:26.058</v>
      </c>
      <c r="U812" t="str">
        <f t="shared" si="364"/>
        <v>A9808D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301</v>
      </c>
      <c r="AJ812">
        <v>28.264195999999998</v>
      </c>
      <c r="AK812" t="s">
        <v>300</v>
      </c>
      <c r="AL812">
        <v>-82.380273000000003</v>
      </c>
      <c r="AM812">
        <v>100</v>
      </c>
      <c r="AN812">
        <v>1000</v>
      </c>
      <c r="AO812" t="s">
        <v>118</v>
      </c>
      <c r="AP812">
        <v>2</v>
      </c>
      <c r="AQ812">
        <v>88</v>
      </c>
      <c r="AR812">
        <v>320</v>
      </c>
      <c r="AZ812">
        <v>1200</v>
      </c>
      <c r="BA812">
        <v>1</v>
      </c>
      <c r="BB812" t="str">
        <f t="shared" si="377"/>
        <v xml:space="preserve">N711JA  </v>
      </c>
      <c r="BC812">
        <v>1</v>
      </c>
      <c r="BE812">
        <v>0</v>
      </c>
      <c r="BF812">
        <v>0</v>
      </c>
      <c r="BG812">
        <v>0</v>
      </c>
      <c r="BH812">
        <v>1075</v>
      </c>
      <c r="BI812">
        <v>1</v>
      </c>
      <c r="BJ812">
        <v>1</v>
      </c>
      <c r="BK812">
        <v>0</v>
      </c>
      <c r="BL812">
        <v>0</v>
      </c>
      <c r="BO812">
        <v>0</v>
      </c>
      <c r="BP812">
        <v>0</v>
      </c>
      <c r="BW812" t="str">
        <f t="shared" si="385"/>
        <v>14:42:26.265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343</v>
      </c>
      <c r="CR812">
        <v>1</v>
      </c>
      <c r="CW812">
        <v>10596800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382"/>
        <v>05/12/2020 14:42:08.474</v>
      </c>
      <c r="C813" t="str">
        <f t="shared" si="376"/>
        <v>FFDFD3C0</v>
      </c>
      <c r="D813" t="s">
        <v>131</v>
      </c>
      <c r="E813">
        <v>12</v>
      </c>
      <c r="F813">
        <v>2012</v>
      </c>
      <c r="G813" t="s">
        <v>137</v>
      </c>
      <c r="J813" t="s">
        <v>133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383"/>
        <v>14:42:26.258</v>
      </c>
      <c r="T813" t="str">
        <f t="shared" si="384"/>
        <v>14:42:26.058</v>
      </c>
      <c r="U813" t="str">
        <f t="shared" si="364"/>
        <v>A9808D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301</v>
      </c>
      <c r="AJ813">
        <v>28.264195999999998</v>
      </c>
      <c r="AK813" t="s">
        <v>300</v>
      </c>
      <c r="AL813">
        <v>-82.380273000000003</v>
      </c>
      <c r="AM813">
        <v>100</v>
      </c>
      <c r="AN813">
        <v>1000</v>
      </c>
      <c r="AO813" t="s">
        <v>118</v>
      </c>
      <c r="AP813">
        <v>2</v>
      </c>
      <c r="AQ813">
        <v>88</v>
      </c>
      <c r="AR813">
        <v>320</v>
      </c>
      <c r="AZ813">
        <v>1200</v>
      </c>
      <c r="BA813">
        <v>1</v>
      </c>
      <c r="BB813" t="str">
        <f t="shared" si="377"/>
        <v xml:space="preserve">N711JA  </v>
      </c>
      <c r="BC813">
        <v>1</v>
      </c>
      <c r="BE813">
        <v>0</v>
      </c>
      <c r="BF813">
        <v>0</v>
      </c>
      <c r="BG813">
        <v>0</v>
      </c>
      <c r="BH813">
        <v>1075</v>
      </c>
      <c r="BI813">
        <v>1</v>
      </c>
      <c r="BJ813">
        <v>1</v>
      </c>
      <c r="BK813">
        <v>0</v>
      </c>
      <c r="BL813">
        <v>0</v>
      </c>
      <c r="BO813">
        <v>0</v>
      </c>
      <c r="BP813">
        <v>0</v>
      </c>
      <c r="BW813" t="str">
        <f t="shared" si="385"/>
        <v>14:42:26.265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343</v>
      </c>
      <c r="CR813">
        <v>1</v>
      </c>
      <c r="CW813">
        <v>10596800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 t="shared" si="382"/>
        <v>05/12/2020 14:42:08.474</v>
      </c>
      <c r="C814" t="str">
        <f t="shared" si="376"/>
        <v>FFDFD3C0</v>
      </c>
      <c r="D814" t="s">
        <v>126</v>
      </c>
      <c r="E814">
        <v>7</v>
      </c>
      <c r="F814">
        <v>1007</v>
      </c>
      <c r="G814" t="s">
        <v>127</v>
      </c>
      <c r="J814" t="s">
        <v>128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383"/>
        <v>14:42:26.258</v>
      </c>
      <c r="T814" t="str">
        <f t="shared" si="384"/>
        <v>14:42:26.058</v>
      </c>
      <c r="U814" t="str">
        <f t="shared" si="364"/>
        <v>A9808D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301</v>
      </c>
      <c r="AJ814">
        <v>28.264195999999998</v>
      </c>
      <c r="AK814" t="s">
        <v>300</v>
      </c>
      <c r="AL814">
        <v>-82.380273000000003</v>
      </c>
      <c r="AM814">
        <v>100</v>
      </c>
      <c r="AN814">
        <v>1000</v>
      </c>
      <c r="AO814" t="s">
        <v>118</v>
      </c>
      <c r="AP814">
        <v>2</v>
      </c>
      <c r="AQ814">
        <v>88</v>
      </c>
      <c r="AR814">
        <v>320</v>
      </c>
      <c r="AZ814">
        <v>1200</v>
      </c>
      <c r="BA814">
        <v>1</v>
      </c>
      <c r="BB814" t="str">
        <f t="shared" si="377"/>
        <v xml:space="preserve">N711JA  </v>
      </c>
      <c r="BC814">
        <v>1</v>
      </c>
      <c r="BE814">
        <v>0</v>
      </c>
      <c r="BF814">
        <v>0</v>
      </c>
      <c r="BG814">
        <v>0</v>
      </c>
      <c r="BH814">
        <v>1075</v>
      </c>
      <c r="BI814">
        <v>1</v>
      </c>
      <c r="BJ814">
        <v>1</v>
      </c>
      <c r="BK814">
        <v>0</v>
      </c>
      <c r="BL814">
        <v>0</v>
      </c>
      <c r="BO814">
        <v>0</v>
      </c>
      <c r="BP814">
        <v>0</v>
      </c>
      <c r="BW814" t="str">
        <f t="shared" si="385"/>
        <v>14:42:26.265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343</v>
      </c>
      <c r="CR814">
        <v>1</v>
      </c>
      <c r="CW814">
        <v>10596800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 t="shared" si="382"/>
        <v>05/12/2020 14:42:08.474</v>
      </c>
      <c r="C815" t="str">
        <f t="shared" si="376"/>
        <v>FFDFD3C0</v>
      </c>
      <c r="D815" t="s">
        <v>131</v>
      </c>
      <c r="E815">
        <v>18</v>
      </c>
      <c r="F815">
        <v>2018</v>
      </c>
      <c r="G815" t="s">
        <v>161</v>
      </c>
      <c r="J815" t="s">
        <v>133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383"/>
        <v>14:42:26.258</v>
      </c>
      <c r="T815" t="str">
        <f t="shared" si="384"/>
        <v>14:42:26.058</v>
      </c>
      <c r="U815" t="str">
        <f t="shared" si="364"/>
        <v>A9808D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301</v>
      </c>
      <c r="AJ815">
        <v>28.264195999999998</v>
      </c>
      <c r="AK815" t="s">
        <v>300</v>
      </c>
      <c r="AL815">
        <v>-82.380273000000003</v>
      </c>
      <c r="AM815">
        <v>100</v>
      </c>
      <c r="AN815">
        <v>1000</v>
      </c>
      <c r="AO815" t="s">
        <v>118</v>
      </c>
      <c r="AP815">
        <v>2</v>
      </c>
      <c r="AQ815">
        <v>88</v>
      </c>
      <c r="AR815">
        <v>320</v>
      </c>
      <c r="AZ815">
        <v>1200</v>
      </c>
      <c r="BA815">
        <v>1</v>
      </c>
      <c r="BB815" t="str">
        <f t="shared" si="377"/>
        <v xml:space="preserve">N711JA  </v>
      </c>
      <c r="BC815">
        <v>1</v>
      </c>
      <c r="BE815">
        <v>0</v>
      </c>
      <c r="BF815">
        <v>0</v>
      </c>
      <c r="BG815">
        <v>0</v>
      </c>
      <c r="BH815">
        <v>1075</v>
      </c>
      <c r="BI815">
        <v>1</v>
      </c>
      <c r="BJ815">
        <v>1</v>
      </c>
      <c r="BK815">
        <v>0</v>
      </c>
      <c r="BL815">
        <v>0</v>
      </c>
      <c r="BO815">
        <v>0</v>
      </c>
      <c r="BP815">
        <v>0</v>
      </c>
      <c r="BW815" t="str">
        <f t="shared" si="385"/>
        <v>14:42:26.265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343</v>
      </c>
      <c r="CR815">
        <v>1</v>
      </c>
      <c r="CW815">
        <v>10596800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 t="shared" ref="A816:A823" si="386">"05/12/2020 14:42:09.534"</f>
        <v>05/12/2020 14:42:09.534</v>
      </c>
      <c r="C816" t="str">
        <f t="shared" si="376"/>
        <v>FFDFD3C0</v>
      </c>
      <c r="D816" t="s">
        <v>126</v>
      </c>
      <c r="E816">
        <v>6</v>
      </c>
      <c r="F816">
        <v>1006</v>
      </c>
      <c r="G816" t="s">
        <v>114</v>
      </c>
      <c r="J816" t="s">
        <v>128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ref="S816:S823" si="387">"14:42:27.313"</f>
        <v>14:42:27.313</v>
      </c>
      <c r="T816" t="str">
        <f t="shared" ref="T816:T823" si="388">"14:42:27.013"</f>
        <v>14:42:27.013</v>
      </c>
      <c r="U816" t="str">
        <f t="shared" si="364"/>
        <v>A9808D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302</v>
      </c>
      <c r="AJ816">
        <v>28.264668</v>
      </c>
      <c r="AK816" t="s">
        <v>297</v>
      </c>
      <c r="AL816">
        <v>-82.380295000000004</v>
      </c>
      <c r="AM816">
        <v>100</v>
      </c>
      <c r="AN816">
        <v>1000</v>
      </c>
      <c r="AO816" t="s">
        <v>118</v>
      </c>
      <c r="AP816">
        <v>0</v>
      </c>
      <c r="AQ816">
        <v>88</v>
      </c>
      <c r="AR816">
        <v>512</v>
      </c>
      <c r="AZ816">
        <v>1200</v>
      </c>
      <c r="BA816">
        <v>1</v>
      </c>
      <c r="BB816" t="str">
        <f t="shared" si="377"/>
        <v xml:space="preserve">N711JA  </v>
      </c>
      <c r="BC816">
        <v>1</v>
      </c>
      <c r="BE816">
        <v>0</v>
      </c>
      <c r="BF816">
        <v>0</v>
      </c>
      <c r="BG816">
        <v>0</v>
      </c>
      <c r="BH816">
        <v>1100</v>
      </c>
      <c r="BI816">
        <v>1</v>
      </c>
      <c r="BJ816">
        <v>1</v>
      </c>
      <c r="BK816">
        <v>0</v>
      </c>
      <c r="BL816">
        <v>0</v>
      </c>
      <c r="BO816">
        <v>0</v>
      </c>
      <c r="BP816">
        <v>0</v>
      </c>
      <c r="BW816" t="str">
        <f t="shared" ref="BW816:BW823" si="389">"14:42:27.313"</f>
        <v>14:42:27.313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3</v>
      </c>
      <c r="CP816" t="s">
        <v>119</v>
      </c>
      <c r="CQ816">
        <v>8</v>
      </c>
      <c r="CR816">
        <v>3</v>
      </c>
      <c r="CW816">
        <v>8720346</v>
      </c>
      <c r="CY816">
        <v>1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 t="shared" si="386"/>
        <v>05/12/2020 14:42:09.534</v>
      </c>
      <c r="C817" t="str">
        <f t="shared" si="376"/>
        <v>FFDFD3C0</v>
      </c>
      <c r="D817" t="s">
        <v>113</v>
      </c>
      <c r="E817">
        <v>3</v>
      </c>
      <c r="H817">
        <v>164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387"/>
        <v>14:42:27.313</v>
      </c>
      <c r="T817" t="str">
        <f t="shared" si="388"/>
        <v>14:42:27.013</v>
      </c>
      <c r="U817" t="str">
        <f t="shared" si="364"/>
        <v>A9808D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302</v>
      </c>
      <c r="AJ817">
        <v>28.264668</v>
      </c>
      <c r="AK817" t="s">
        <v>297</v>
      </c>
      <c r="AL817">
        <v>-82.380295000000004</v>
      </c>
      <c r="AM817">
        <v>100</v>
      </c>
      <c r="AN817">
        <v>1000</v>
      </c>
      <c r="AO817" t="s">
        <v>118</v>
      </c>
      <c r="AP817">
        <v>0</v>
      </c>
      <c r="AQ817">
        <v>88</v>
      </c>
      <c r="AR817">
        <v>512</v>
      </c>
      <c r="AZ817">
        <v>1200</v>
      </c>
      <c r="BA817">
        <v>1</v>
      </c>
      <c r="BB817" t="str">
        <f t="shared" si="377"/>
        <v xml:space="preserve">N711JA  </v>
      </c>
      <c r="BC817">
        <v>1</v>
      </c>
      <c r="BE817">
        <v>0</v>
      </c>
      <c r="BF817">
        <v>0</v>
      </c>
      <c r="BG817">
        <v>0</v>
      </c>
      <c r="BH817">
        <v>1100</v>
      </c>
      <c r="BI817">
        <v>1</v>
      </c>
      <c r="BJ817">
        <v>1</v>
      </c>
      <c r="BK817">
        <v>0</v>
      </c>
      <c r="BL817">
        <v>0</v>
      </c>
      <c r="BO817">
        <v>0</v>
      </c>
      <c r="BP817">
        <v>0</v>
      </c>
      <c r="BW817" t="str">
        <f t="shared" si="389"/>
        <v>14:42:27.313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3</v>
      </c>
      <c r="CP817" t="s">
        <v>119</v>
      </c>
      <c r="CQ817">
        <v>8</v>
      </c>
      <c r="CR817">
        <v>3</v>
      </c>
      <c r="CW817">
        <v>8720346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 t="shared" si="386"/>
        <v>05/12/2020 14:42:09.534</v>
      </c>
      <c r="C818" t="str">
        <f t="shared" si="376"/>
        <v>FFDFD3C0</v>
      </c>
      <c r="D818" t="s">
        <v>138</v>
      </c>
      <c r="E818">
        <v>2</v>
      </c>
      <c r="H818">
        <v>8</v>
      </c>
      <c r="I818" t="s">
        <v>139</v>
      </c>
      <c r="J818" t="s">
        <v>136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387"/>
        <v>14:42:27.313</v>
      </c>
      <c r="T818" t="str">
        <f t="shared" si="388"/>
        <v>14:42:27.013</v>
      </c>
      <c r="U818" t="str">
        <f t="shared" si="364"/>
        <v>A9808D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302</v>
      </c>
      <c r="AJ818">
        <v>28.264668</v>
      </c>
      <c r="AK818" t="s">
        <v>297</v>
      </c>
      <c r="AL818">
        <v>-82.380295000000004</v>
      </c>
      <c r="AM818">
        <v>100</v>
      </c>
      <c r="AN818">
        <v>1000</v>
      </c>
      <c r="AO818" t="s">
        <v>118</v>
      </c>
      <c r="AP818">
        <v>0</v>
      </c>
      <c r="AQ818">
        <v>88</v>
      </c>
      <c r="AR818">
        <v>512</v>
      </c>
      <c r="AZ818">
        <v>1200</v>
      </c>
      <c r="BA818">
        <v>1</v>
      </c>
      <c r="BB818" t="str">
        <f t="shared" si="377"/>
        <v xml:space="preserve">N711JA  </v>
      </c>
      <c r="BC818">
        <v>1</v>
      </c>
      <c r="BE818">
        <v>0</v>
      </c>
      <c r="BF818">
        <v>0</v>
      </c>
      <c r="BG818">
        <v>0</v>
      </c>
      <c r="BH818">
        <v>1100</v>
      </c>
      <c r="BI818">
        <v>1</v>
      </c>
      <c r="BJ818">
        <v>1</v>
      </c>
      <c r="BK818">
        <v>0</v>
      </c>
      <c r="BL818">
        <v>0</v>
      </c>
      <c r="BO818">
        <v>0</v>
      </c>
      <c r="BP818">
        <v>0</v>
      </c>
      <c r="BW818" t="str">
        <f t="shared" si="389"/>
        <v>14:42:27.313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3</v>
      </c>
      <c r="CP818" t="s">
        <v>119</v>
      </c>
      <c r="CQ818">
        <v>8</v>
      </c>
      <c r="CR818">
        <v>3</v>
      </c>
      <c r="CW818">
        <v>8720346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 t="shared" si="386"/>
        <v>05/12/2020 14:42:09.534</v>
      </c>
      <c r="C819" t="str">
        <f t="shared" si="376"/>
        <v>FFDFD3C0</v>
      </c>
      <c r="D819" t="s">
        <v>138</v>
      </c>
      <c r="E819">
        <v>3</v>
      </c>
      <c r="H819">
        <v>9</v>
      </c>
      <c r="I819" t="s">
        <v>140</v>
      </c>
      <c r="J819" t="s">
        <v>136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387"/>
        <v>14:42:27.313</v>
      </c>
      <c r="T819" t="str">
        <f t="shared" si="388"/>
        <v>14:42:27.013</v>
      </c>
      <c r="U819" t="str">
        <f t="shared" si="364"/>
        <v>A9808D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302</v>
      </c>
      <c r="AJ819">
        <v>28.264668</v>
      </c>
      <c r="AK819" t="s">
        <v>297</v>
      </c>
      <c r="AL819">
        <v>-82.380295000000004</v>
      </c>
      <c r="AM819">
        <v>100</v>
      </c>
      <c r="AN819">
        <v>1000</v>
      </c>
      <c r="AO819" t="s">
        <v>118</v>
      </c>
      <c r="AP819">
        <v>0</v>
      </c>
      <c r="AQ819">
        <v>88</v>
      </c>
      <c r="AR819">
        <v>512</v>
      </c>
      <c r="AZ819">
        <v>1200</v>
      </c>
      <c r="BA819">
        <v>1</v>
      </c>
      <c r="BB819" t="str">
        <f t="shared" si="377"/>
        <v xml:space="preserve">N711JA  </v>
      </c>
      <c r="BC819">
        <v>1</v>
      </c>
      <c r="BE819">
        <v>0</v>
      </c>
      <c r="BF819">
        <v>0</v>
      </c>
      <c r="BG819">
        <v>0</v>
      </c>
      <c r="BH819">
        <v>1100</v>
      </c>
      <c r="BI819">
        <v>1</v>
      </c>
      <c r="BJ819">
        <v>1</v>
      </c>
      <c r="BK819">
        <v>0</v>
      </c>
      <c r="BL819">
        <v>0</v>
      </c>
      <c r="BO819">
        <v>0</v>
      </c>
      <c r="BP819">
        <v>0</v>
      </c>
      <c r="BW819" t="str">
        <f t="shared" si="389"/>
        <v>14:42:27.313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3</v>
      </c>
      <c r="CP819" t="s">
        <v>119</v>
      </c>
      <c r="CQ819">
        <v>8</v>
      </c>
      <c r="CR819">
        <v>3</v>
      </c>
      <c r="CW819">
        <v>8720346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 t="shared" si="386"/>
        <v>05/12/2020 14:42:09.534</v>
      </c>
      <c r="C820" t="str">
        <f t="shared" si="376"/>
        <v>FFDFD3C0</v>
      </c>
      <c r="D820" t="s">
        <v>126</v>
      </c>
      <c r="E820">
        <v>7</v>
      </c>
      <c r="F820">
        <v>1007</v>
      </c>
      <c r="G820" t="s">
        <v>127</v>
      </c>
      <c r="J820" t="s">
        <v>128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387"/>
        <v>14:42:27.313</v>
      </c>
      <c r="T820" t="str">
        <f t="shared" si="388"/>
        <v>14:42:27.013</v>
      </c>
      <c r="U820" t="str">
        <f t="shared" si="364"/>
        <v>A9808D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302</v>
      </c>
      <c r="AJ820">
        <v>28.264668</v>
      </c>
      <c r="AK820" t="s">
        <v>297</v>
      </c>
      <c r="AL820">
        <v>-82.380295000000004</v>
      </c>
      <c r="AM820">
        <v>100</v>
      </c>
      <c r="AN820">
        <v>1000</v>
      </c>
      <c r="AO820" t="s">
        <v>118</v>
      </c>
      <c r="AP820">
        <v>0</v>
      </c>
      <c r="AQ820">
        <v>88</v>
      </c>
      <c r="AR820">
        <v>512</v>
      </c>
      <c r="AZ820">
        <v>1200</v>
      </c>
      <c r="BA820">
        <v>1</v>
      </c>
      <c r="BB820" t="str">
        <f t="shared" si="377"/>
        <v xml:space="preserve">N711JA  </v>
      </c>
      <c r="BC820">
        <v>1</v>
      </c>
      <c r="BE820">
        <v>0</v>
      </c>
      <c r="BF820">
        <v>0</v>
      </c>
      <c r="BG820">
        <v>0</v>
      </c>
      <c r="BH820">
        <v>1100</v>
      </c>
      <c r="BI820">
        <v>1</v>
      </c>
      <c r="BJ820">
        <v>1</v>
      </c>
      <c r="BK820">
        <v>0</v>
      </c>
      <c r="BL820">
        <v>0</v>
      </c>
      <c r="BO820">
        <v>0</v>
      </c>
      <c r="BP820">
        <v>0</v>
      </c>
      <c r="BW820" t="str">
        <f t="shared" si="389"/>
        <v>14:42:27.313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3</v>
      </c>
      <c r="CP820" t="s">
        <v>119</v>
      </c>
      <c r="CQ820">
        <v>8</v>
      </c>
      <c r="CR820">
        <v>3</v>
      </c>
      <c r="CW820">
        <v>8720346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 t="shared" si="386"/>
        <v>05/12/2020 14:42:09.534</v>
      </c>
      <c r="C821" t="str">
        <f t="shared" si="376"/>
        <v>FFDFD3C0</v>
      </c>
      <c r="D821" t="s">
        <v>131</v>
      </c>
      <c r="E821">
        <v>10</v>
      </c>
      <c r="F821">
        <v>2010</v>
      </c>
      <c r="G821" t="s">
        <v>132</v>
      </c>
      <c r="J821" t="s">
        <v>133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387"/>
        <v>14:42:27.313</v>
      </c>
      <c r="T821" t="str">
        <f t="shared" si="388"/>
        <v>14:42:27.013</v>
      </c>
      <c r="U821" t="str">
        <f t="shared" si="364"/>
        <v>A9808D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302</v>
      </c>
      <c r="AJ821">
        <v>28.264668</v>
      </c>
      <c r="AK821" t="s">
        <v>297</v>
      </c>
      <c r="AL821">
        <v>-82.380295000000004</v>
      </c>
      <c r="AM821">
        <v>100</v>
      </c>
      <c r="AN821">
        <v>1000</v>
      </c>
      <c r="AO821" t="s">
        <v>118</v>
      </c>
      <c r="AP821">
        <v>0</v>
      </c>
      <c r="AQ821">
        <v>88</v>
      </c>
      <c r="AR821">
        <v>512</v>
      </c>
      <c r="AZ821">
        <v>1200</v>
      </c>
      <c r="BA821">
        <v>1</v>
      </c>
      <c r="BB821" t="str">
        <f t="shared" si="377"/>
        <v xml:space="preserve">N711JA  </v>
      </c>
      <c r="BC821">
        <v>1</v>
      </c>
      <c r="BE821">
        <v>0</v>
      </c>
      <c r="BF821">
        <v>0</v>
      </c>
      <c r="BG821">
        <v>0</v>
      </c>
      <c r="BH821">
        <v>1100</v>
      </c>
      <c r="BI821">
        <v>1</v>
      </c>
      <c r="BJ821">
        <v>1</v>
      </c>
      <c r="BK821">
        <v>0</v>
      </c>
      <c r="BL821">
        <v>0</v>
      </c>
      <c r="BO821">
        <v>0</v>
      </c>
      <c r="BP821">
        <v>0</v>
      </c>
      <c r="BW821" t="str">
        <f t="shared" si="389"/>
        <v>14:42:27.313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3</v>
      </c>
      <c r="CP821" t="s">
        <v>119</v>
      </c>
      <c r="CQ821">
        <v>8</v>
      </c>
      <c r="CR821">
        <v>3</v>
      </c>
      <c r="CW821">
        <v>8720346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 t="shared" si="386"/>
        <v>05/12/2020 14:42:09.534</v>
      </c>
      <c r="C822" t="str">
        <f t="shared" si="376"/>
        <v>FFDFD3C0</v>
      </c>
      <c r="D822" t="s">
        <v>131</v>
      </c>
      <c r="E822">
        <v>12</v>
      </c>
      <c r="F822">
        <v>2012</v>
      </c>
      <c r="G822" t="s">
        <v>137</v>
      </c>
      <c r="J822" t="s">
        <v>133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387"/>
        <v>14:42:27.313</v>
      </c>
      <c r="T822" t="str">
        <f t="shared" si="388"/>
        <v>14:42:27.013</v>
      </c>
      <c r="U822" t="str">
        <f t="shared" si="364"/>
        <v>A9808D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302</v>
      </c>
      <c r="AJ822">
        <v>28.264668</v>
      </c>
      <c r="AK822" t="s">
        <v>297</v>
      </c>
      <c r="AL822">
        <v>-82.380295000000004</v>
      </c>
      <c r="AM822">
        <v>100</v>
      </c>
      <c r="AN822">
        <v>1000</v>
      </c>
      <c r="AO822" t="s">
        <v>118</v>
      </c>
      <c r="AP822">
        <v>0</v>
      </c>
      <c r="AQ822">
        <v>88</v>
      </c>
      <c r="AR822">
        <v>512</v>
      </c>
      <c r="AZ822">
        <v>1200</v>
      </c>
      <c r="BA822">
        <v>1</v>
      </c>
      <c r="BB822" t="str">
        <f t="shared" si="377"/>
        <v xml:space="preserve">N711JA  </v>
      </c>
      <c r="BC822">
        <v>1</v>
      </c>
      <c r="BE822">
        <v>0</v>
      </c>
      <c r="BF822">
        <v>0</v>
      </c>
      <c r="BG822">
        <v>0</v>
      </c>
      <c r="BH822">
        <v>1100</v>
      </c>
      <c r="BI822">
        <v>1</v>
      </c>
      <c r="BJ822">
        <v>1</v>
      </c>
      <c r="BK822">
        <v>0</v>
      </c>
      <c r="BL822">
        <v>0</v>
      </c>
      <c r="BO822">
        <v>0</v>
      </c>
      <c r="BP822">
        <v>0</v>
      </c>
      <c r="BW822" t="str">
        <f t="shared" si="389"/>
        <v>14:42:27.313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3</v>
      </c>
      <c r="CP822" t="s">
        <v>119</v>
      </c>
      <c r="CQ822">
        <v>8</v>
      </c>
      <c r="CR822">
        <v>3</v>
      </c>
      <c r="CW822">
        <v>8720346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 t="shared" si="386"/>
        <v>05/12/2020 14:42:09.534</v>
      </c>
      <c r="C823" t="str">
        <f t="shared" si="376"/>
        <v>FFDFD3C0</v>
      </c>
      <c r="D823" t="s">
        <v>134</v>
      </c>
      <c r="E823">
        <v>12</v>
      </c>
      <c r="H823">
        <v>64</v>
      </c>
      <c r="I823" t="s">
        <v>135</v>
      </c>
      <c r="J823" t="s">
        <v>136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387"/>
        <v>14:42:27.313</v>
      </c>
      <c r="T823" t="str">
        <f t="shared" si="388"/>
        <v>14:42:27.013</v>
      </c>
      <c r="U823" t="str">
        <f t="shared" si="364"/>
        <v>A9808D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302</v>
      </c>
      <c r="AJ823">
        <v>28.264668</v>
      </c>
      <c r="AK823" t="s">
        <v>297</v>
      </c>
      <c r="AL823">
        <v>-82.380295000000004</v>
      </c>
      <c r="AM823">
        <v>100</v>
      </c>
      <c r="AN823">
        <v>1000</v>
      </c>
      <c r="AO823" t="s">
        <v>118</v>
      </c>
      <c r="AP823">
        <v>0</v>
      </c>
      <c r="AQ823">
        <v>88</v>
      </c>
      <c r="AR823">
        <v>512</v>
      </c>
      <c r="AZ823">
        <v>1200</v>
      </c>
      <c r="BA823">
        <v>1</v>
      </c>
      <c r="BB823" t="str">
        <f t="shared" si="377"/>
        <v xml:space="preserve">N711JA  </v>
      </c>
      <c r="BC823">
        <v>1</v>
      </c>
      <c r="BE823">
        <v>0</v>
      </c>
      <c r="BF823">
        <v>0</v>
      </c>
      <c r="BG823">
        <v>0</v>
      </c>
      <c r="BH823">
        <v>1100</v>
      </c>
      <c r="BI823">
        <v>1</v>
      </c>
      <c r="BJ823">
        <v>1</v>
      </c>
      <c r="BK823">
        <v>0</v>
      </c>
      <c r="BL823">
        <v>0</v>
      </c>
      <c r="BO823">
        <v>0</v>
      </c>
      <c r="BP823">
        <v>0</v>
      </c>
      <c r="BW823" t="str">
        <f t="shared" si="389"/>
        <v>14:42:27.313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3</v>
      </c>
      <c r="CP823" t="s">
        <v>119</v>
      </c>
      <c r="CQ823">
        <v>8</v>
      </c>
      <c r="CR823">
        <v>3</v>
      </c>
      <c r="CW823">
        <v>8720346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ref="A824:A832" si="390">"05/12/2020 14:42:10.590"</f>
        <v>05/12/2020 14:42:10.590</v>
      </c>
      <c r="C824" t="str">
        <f t="shared" si="376"/>
        <v>FFDFD3C0</v>
      </c>
      <c r="D824" t="s">
        <v>126</v>
      </c>
      <c r="E824">
        <v>6</v>
      </c>
      <c r="F824">
        <v>1006</v>
      </c>
      <c r="G824" t="s">
        <v>114</v>
      </c>
      <c r="J824" t="s">
        <v>128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ref="S824:S832" si="391">"14:42:28.414"</f>
        <v>14:42:28.414</v>
      </c>
      <c r="T824" t="str">
        <f t="shared" ref="T824:T832" si="392">"14:42:28.114"</f>
        <v>14:42:28.114</v>
      </c>
      <c r="U824" t="str">
        <f t="shared" si="364"/>
        <v>A9808D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303</v>
      </c>
      <c r="AJ824">
        <v>28.265076000000001</v>
      </c>
      <c r="AK824" t="s">
        <v>300</v>
      </c>
      <c r="AL824">
        <v>-82.380273000000003</v>
      </c>
      <c r="AM824">
        <v>100</v>
      </c>
      <c r="AN824">
        <v>1000</v>
      </c>
      <c r="AO824" t="s">
        <v>118</v>
      </c>
      <c r="AP824">
        <v>-1</v>
      </c>
      <c r="AQ824">
        <v>88</v>
      </c>
      <c r="AR824">
        <v>576</v>
      </c>
      <c r="AZ824">
        <v>1200</v>
      </c>
      <c r="BA824">
        <v>1</v>
      </c>
      <c r="BB824" t="str">
        <f t="shared" si="377"/>
        <v xml:space="preserve">N711JA  </v>
      </c>
      <c r="BC824">
        <v>1</v>
      </c>
      <c r="BE824">
        <v>0</v>
      </c>
      <c r="BF824">
        <v>0</v>
      </c>
      <c r="BG824">
        <v>0</v>
      </c>
      <c r="BH824">
        <v>1100</v>
      </c>
      <c r="BI824">
        <v>1</v>
      </c>
      <c r="BJ824">
        <v>1</v>
      </c>
      <c r="BK824">
        <v>0</v>
      </c>
      <c r="BL824">
        <v>0</v>
      </c>
      <c r="BO824">
        <v>0</v>
      </c>
      <c r="BP824">
        <v>0</v>
      </c>
      <c r="BW824" t="str">
        <f t="shared" ref="BW824:BW832" si="393">"14:42:28.417"</f>
        <v>14:42:28.417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343</v>
      </c>
      <c r="CR824">
        <v>1</v>
      </c>
      <c r="CW824">
        <v>10598952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si="390"/>
        <v>05/12/2020 14:42:10.590</v>
      </c>
      <c r="C825" t="str">
        <f t="shared" si="376"/>
        <v>FFDFD3C0</v>
      </c>
      <c r="D825" t="s">
        <v>138</v>
      </c>
      <c r="E825">
        <v>2</v>
      </c>
      <c r="H825">
        <v>8</v>
      </c>
      <c r="I825" t="s">
        <v>139</v>
      </c>
      <c r="J825" t="s">
        <v>136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391"/>
        <v>14:42:28.414</v>
      </c>
      <c r="T825" t="str">
        <f t="shared" si="392"/>
        <v>14:42:28.114</v>
      </c>
      <c r="U825" t="str">
        <f t="shared" si="364"/>
        <v>A9808D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303</v>
      </c>
      <c r="AJ825">
        <v>28.265076000000001</v>
      </c>
      <c r="AK825" t="s">
        <v>300</v>
      </c>
      <c r="AL825">
        <v>-82.380273000000003</v>
      </c>
      <c r="AM825">
        <v>100</v>
      </c>
      <c r="AN825">
        <v>1000</v>
      </c>
      <c r="AO825" t="s">
        <v>118</v>
      </c>
      <c r="AP825">
        <v>-1</v>
      </c>
      <c r="AQ825">
        <v>88</v>
      </c>
      <c r="AR825">
        <v>576</v>
      </c>
      <c r="AZ825">
        <v>1200</v>
      </c>
      <c r="BA825">
        <v>1</v>
      </c>
      <c r="BB825" t="str">
        <f t="shared" si="377"/>
        <v xml:space="preserve">N711JA  </v>
      </c>
      <c r="BC825">
        <v>1</v>
      </c>
      <c r="BE825">
        <v>0</v>
      </c>
      <c r="BF825">
        <v>0</v>
      </c>
      <c r="BG825">
        <v>0</v>
      </c>
      <c r="BH825">
        <v>1100</v>
      </c>
      <c r="BI825">
        <v>1</v>
      </c>
      <c r="BJ825">
        <v>1</v>
      </c>
      <c r="BK825">
        <v>0</v>
      </c>
      <c r="BL825">
        <v>0</v>
      </c>
      <c r="BO825">
        <v>0</v>
      </c>
      <c r="BP825">
        <v>0</v>
      </c>
      <c r="BW825" t="str">
        <f t="shared" si="393"/>
        <v>14:42:28.417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343</v>
      </c>
      <c r="CR825">
        <v>1</v>
      </c>
      <c r="CW825">
        <v>10598952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390"/>
        <v>05/12/2020 14:42:10.590</v>
      </c>
      <c r="C826" t="str">
        <f t="shared" si="376"/>
        <v>FFDFD3C0</v>
      </c>
      <c r="D826" t="s">
        <v>138</v>
      </c>
      <c r="E826">
        <v>3</v>
      </c>
      <c r="H826">
        <v>9</v>
      </c>
      <c r="I826" t="s">
        <v>140</v>
      </c>
      <c r="J826" t="s">
        <v>136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391"/>
        <v>14:42:28.414</v>
      </c>
      <c r="T826" t="str">
        <f t="shared" si="392"/>
        <v>14:42:28.114</v>
      </c>
      <c r="U826" t="str">
        <f t="shared" si="364"/>
        <v>A9808D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303</v>
      </c>
      <c r="AJ826">
        <v>28.265076000000001</v>
      </c>
      <c r="AK826" t="s">
        <v>300</v>
      </c>
      <c r="AL826">
        <v>-82.380273000000003</v>
      </c>
      <c r="AM826">
        <v>100</v>
      </c>
      <c r="AN826">
        <v>1000</v>
      </c>
      <c r="AO826" t="s">
        <v>118</v>
      </c>
      <c r="AP826">
        <v>-1</v>
      </c>
      <c r="AQ826">
        <v>88</v>
      </c>
      <c r="AR826">
        <v>576</v>
      </c>
      <c r="AZ826">
        <v>1200</v>
      </c>
      <c r="BA826">
        <v>1</v>
      </c>
      <c r="BB826" t="str">
        <f t="shared" si="377"/>
        <v xml:space="preserve">N711JA  </v>
      </c>
      <c r="BC826">
        <v>1</v>
      </c>
      <c r="BE826">
        <v>0</v>
      </c>
      <c r="BF826">
        <v>0</v>
      </c>
      <c r="BG826">
        <v>0</v>
      </c>
      <c r="BH826">
        <v>1100</v>
      </c>
      <c r="BI826">
        <v>1</v>
      </c>
      <c r="BJ826">
        <v>1</v>
      </c>
      <c r="BK826">
        <v>0</v>
      </c>
      <c r="BL826">
        <v>0</v>
      </c>
      <c r="BO826">
        <v>0</v>
      </c>
      <c r="BP826">
        <v>0</v>
      </c>
      <c r="BW826" t="str">
        <f t="shared" si="393"/>
        <v>14:42:28.417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343</v>
      </c>
      <c r="CR826">
        <v>1</v>
      </c>
      <c r="CW826">
        <v>10598952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390"/>
        <v>05/12/2020 14:42:10.590</v>
      </c>
      <c r="C827" t="str">
        <f t="shared" si="376"/>
        <v>FFDFD3C0</v>
      </c>
      <c r="D827" t="s">
        <v>113</v>
      </c>
      <c r="E827">
        <v>3</v>
      </c>
      <c r="H827">
        <v>164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391"/>
        <v>14:42:28.414</v>
      </c>
      <c r="T827" t="str">
        <f t="shared" si="392"/>
        <v>14:42:28.114</v>
      </c>
      <c r="U827" t="str">
        <f t="shared" si="364"/>
        <v>A9808D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303</v>
      </c>
      <c r="AJ827">
        <v>28.265076000000001</v>
      </c>
      <c r="AK827" t="s">
        <v>300</v>
      </c>
      <c r="AL827">
        <v>-82.380273000000003</v>
      </c>
      <c r="AM827">
        <v>100</v>
      </c>
      <c r="AN827">
        <v>1000</v>
      </c>
      <c r="AO827" t="s">
        <v>118</v>
      </c>
      <c r="AP827">
        <v>-1</v>
      </c>
      <c r="AQ827">
        <v>88</v>
      </c>
      <c r="AR827">
        <v>576</v>
      </c>
      <c r="AZ827">
        <v>1200</v>
      </c>
      <c r="BA827">
        <v>1</v>
      </c>
      <c r="BB827" t="str">
        <f t="shared" si="377"/>
        <v xml:space="preserve">N711JA  </v>
      </c>
      <c r="BC827">
        <v>1</v>
      </c>
      <c r="BE827">
        <v>0</v>
      </c>
      <c r="BF827">
        <v>0</v>
      </c>
      <c r="BG827">
        <v>0</v>
      </c>
      <c r="BH827">
        <v>1100</v>
      </c>
      <c r="BI827">
        <v>1</v>
      </c>
      <c r="BJ827">
        <v>1</v>
      </c>
      <c r="BK827">
        <v>0</v>
      </c>
      <c r="BL827">
        <v>0</v>
      </c>
      <c r="BO827">
        <v>0</v>
      </c>
      <c r="BP827">
        <v>0</v>
      </c>
      <c r="BW827" t="str">
        <f t="shared" si="393"/>
        <v>14:42:28.417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343</v>
      </c>
      <c r="CR827">
        <v>1</v>
      </c>
      <c r="CW827">
        <v>10598952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si="390"/>
        <v>05/12/2020 14:42:10.590</v>
      </c>
      <c r="C828" t="str">
        <f t="shared" si="376"/>
        <v>FFDFD3C0</v>
      </c>
      <c r="D828" t="s">
        <v>131</v>
      </c>
      <c r="E828">
        <v>10</v>
      </c>
      <c r="F828">
        <v>2010</v>
      </c>
      <c r="G828" t="s">
        <v>132</v>
      </c>
      <c r="J828" t="s">
        <v>133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391"/>
        <v>14:42:28.414</v>
      </c>
      <c r="T828" t="str">
        <f t="shared" si="392"/>
        <v>14:42:28.114</v>
      </c>
      <c r="U828" t="str">
        <f t="shared" si="364"/>
        <v>A9808D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303</v>
      </c>
      <c r="AJ828">
        <v>28.265076000000001</v>
      </c>
      <c r="AK828" t="s">
        <v>300</v>
      </c>
      <c r="AL828">
        <v>-82.380273000000003</v>
      </c>
      <c r="AM828">
        <v>100</v>
      </c>
      <c r="AN828">
        <v>1000</v>
      </c>
      <c r="AO828" t="s">
        <v>118</v>
      </c>
      <c r="AP828">
        <v>-1</v>
      </c>
      <c r="AQ828">
        <v>88</v>
      </c>
      <c r="AR828">
        <v>576</v>
      </c>
      <c r="AZ828">
        <v>1200</v>
      </c>
      <c r="BA828">
        <v>1</v>
      </c>
      <c r="BB828" t="str">
        <f t="shared" si="377"/>
        <v xml:space="preserve">N711JA  </v>
      </c>
      <c r="BC828">
        <v>1</v>
      </c>
      <c r="BE828">
        <v>0</v>
      </c>
      <c r="BF828">
        <v>0</v>
      </c>
      <c r="BG828">
        <v>0</v>
      </c>
      <c r="BH828">
        <v>1100</v>
      </c>
      <c r="BI828">
        <v>1</v>
      </c>
      <c r="BJ828">
        <v>1</v>
      </c>
      <c r="BK828">
        <v>0</v>
      </c>
      <c r="BL828">
        <v>0</v>
      </c>
      <c r="BO828">
        <v>0</v>
      </c>
      <c r="BP828">
        <v>0</v>
      </c>
      <c r="BW828" t="str">
        <f t="shared" si="393"/>
        <v>14:42:28.417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343</v>
      </c>
      <c r="CR828">
        <v>1</v>
      </c>
      <c r="CW828">
        <v>10598952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390"/>
        <v>05/12/2020 14:42:10.590</v>
      </c>
      <c r="C829" t="str">
        <f t="shared" si="376"/>
        <v>FFDFD3C0</v>
      </c>
      <c r="D829" t="s">
        <v>126</v>
      </c>
      <c r="E829">
        <v>7</v>
      </c>
      <c r="F829">
        <v>1007</v>
      </c>
      <c r="G829" t="s">
        <v>127</v>
      </c>
      <c r="J829" t="s">
        <v>128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391"/>
        <v>14:42:28.414</v>
      </c>
      <c r="T829" t="str">
        <f t="shared" si="392"/>
        <v>14:42:28.114</v>
      </c>
      <c r="U829" t="str">
        <f t="shared" si="364"/>
        <v>A9808D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303</v>
      </c>
      <c r="AJ829">
        <v>28.265076000000001</v>
      </c>
      <c r="AK829" t="s">
        <v>300</v>
      </c>
      <c r="AL829">
        <v>-82.380273000000003</v>
      </c>
      <c r="AM829">
        <v>100</v>
      </c>
      <c r="AN829">
        <v>1000</v>
      </c>
      <c r="AO829" t="s">
        <v>118</v>
      </c>
      <c r="AP829">
        <v>-1</v>
      </c>
      <c r="AQ829">
        <v>88</v>
      </c>
      <c r="AR829">
        <v>576</v>
      </c>
      <c r="AZ829">
        <v>1200</v>
      </c>
      <c r="BA829">
        <v>1</v>
      </c>
      <c r="BB829" t="str">
        <f t="shared" si="377"/>
        <v xml:space="preserve">N711JA  </v>
      </c>
      <c r="BC829">
        <v>1</v>
      </c>
      <c r="BE829">
        <v>0</v>
      </c>
      <c r="BF829">
        <v>0</v>
      </c>
      <c r="BG829">
        <v>0</v>
      </c>
      <c r="BH829">
        <v>1100</v>
      </c>
      <c r="BI829">
        <v>1</v>
      </c>
      <c r="BJ829">
        <v>1</v>
      </c>
      <c r="BK829">
        <v>0</v>
      </c>
      <c r="BL829">
        <v>0</v>
      </c>
      <c r="BO829">
        <v>0</v>
      </c>
      <c r="BP829">
        <v>0</v>
      </c>
      <c r="BW829" t="str">
        <f t="shared" si="393"/>
        <v>14:42:28.417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343</v>
      </c>
      <c r="CR829">
        <v>1</v>
      </c>
      <c r="CW829">
        <v>10598952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si="390"/>
        <v>05/12/2020 14:42:10.590</v>
      </c>
      <c r="C830" t="str">
        <f t="shared" si="376"/>
        <v>FFDFD3C0</v>
      </c>
      <c r="D830" t="s">
        <v>131</v>
      </c>
      <c r="E830">
        <v>12</v>
      </c>
      <c r="F830">
        <v>2012</v>
      </c>
      <c r="G830" t="s">
        <v>137</v>
      </c>
      <c r="J830" t="s">
        <v>133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391"/>
        <v>14:42:28.414</v>
      </c>
      <c r="T830" t="str">
        <f t="shared" si="392"/>
        <v>14:42:28.114</v>
      </c>
      <c r="U830" t="str">
        <f t="shared" si="364"/>
        <v>A9808D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303</v>
      </c>
      <c r="AJ830">
        <v>28.265076000000001</v>
      </c>
      <c r="AK830" t="s">
        <v>300</v>
      </c>
      <c r="AL830">
        <v>-82.380273000000003</v>
      </c>
      <c r="AM830">
        <v>100</v>
      </c>
      <c r="AN830">
        <v>1000</v>
      </c>
      <c r="AO830" t="s">
        <v>118</v>
      </c>
      <c r="AP830">
        <v>-1</v>
      </c>
      <c r="AQ830">
        <v>88</v>
      </c>
      <c r="AR830">
        <v>576</v>
      </c>
      <c r="AZ830">
        <v>1200</v>
      </c>
      <c r="BA830">
        <v>1</v>
      </c>
      <c r="BB830" t="str">
        <f t="shared" si="377"/>
        <v xml:space="preserve">N711JA  </v>
      </c>
      <c r="BC830">
        <v>1</v>
      </c>
      <c r="BE830">
        <v>0</v>
      </c>
      <c r="BF830">
        <v>0</v>
      </c>
      <c r="BG830">
        <v>0</v>
      </c>
      <c r="BH830">
        <v>1100</v>
      </c>
      <c r="BI830">
        <v>1</v>
      </c>
      <c r="BJ830">
        <v>1</v>
      </c>
      <c r="BK830">
        <v>0</v>
      </c>
      <c r="BL830">
        <v>0</v>
      </c>
      <c r="BO830">
        <v>0</v>
      </c>
      <c r="BP830">
        <v>0</v>
      </c>
      <c r="BW830" t="str">
        <f t="shared" si="393"/>
        <v>14:42:28.417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343</v>
      </c>
      <c r="CR830">
        <v>1</v>
      </c>
      <c r="CW830">
        <v>10598952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390"/>
        <v>05/12/2020 14:42:10.590</v>
      </c>
      <c r="C831" t="str">
        <f t="shared" si="376"/>
        <v>FFDFD3C0</v>
      </c>
      <c r="D831" t="s">
        <v>131</v>
      </c>
      <c r="E831">
        <v>18</v>
      </c>
      <c r="F831">
        <v>2018</v>
      </c>
      <c r="G831" t="s">
        <v>161</v>
      </c>
      <c r="J831" t="s">
        <v>133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391"/>
        <v>14:42:28.414</v>
      </c>
      <c r="T831" t="str">
        <f t="shared" si="392"/>
        <v>14:42:28.114</v>
      </c>
      <c r="U831" t="str">
        <f t="shared" si="364"/>
        <v>A9808D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303</v>
      </c>
      <c r="AJ831">
        <v>28.265076000000001</v>
      </c>
      <c r="AK831" t="s">
        <v>300</v>
      </c>
      <c r="AL831">
        <v>-82.380273000000003</v>
      </c>
      <c r="AM831">
        <v>100</v>
      </c>
      <c r="AN831">
        <v>1000</v>
      </c>
      <c r="AO831" t="s">
        <v>118</v>
      </c>
      <c r="AP831">
        <v>-1</v>
      </c>
      <c r="AQ831">
        <v>88</v>
      </c>
      <c r="AR831">
        <v>576</v>
      </c>
      <c r="AZ831">
        <v>1200</v>
      </c>
      <c r="BA831">
        <v>1</v>
      </c>
      <c r="BB831" t="str">
        <f t="shared" si="377"/>
        <v xml:space="preserve">N711JA  </v>
      </c>
      <c r="BC831">
        <v>1</v>
      </c>
      <c r="BE831">
        <v>0</v>
      </c>
      <c r="BF831">
        <v>0</v>
      </c>
      <c r="BG831">
        <v>0</v>
      </c>
      <c r="BH831">
        <v>1100</v>
      </c>
      <c r="BI831">
        <v>1</v>
      </c>
      <c r="BJ831">
        <v>1</v>
      </c>
      <c r="BK831">
        <v>0</v>
      </c>
      <c r="BL831">
        <v>0</v>
      </c>
      <c r="BO831">
        <v>0</v>
      </c>
      <c r="BP831">
        <v>0</v>
      </c>
      <c r="BW831" t="str">
        <f t="shared" si="393"/>
        <v>14:42:28.417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343</v>
      </c>
      <c r="CR831">
        <v>1</v>
      </c>
      <c r="CW831">
        <v>10598952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si="390"/>
        <v>05/12/2020 14:42:10.590</v>
      </c>
      <c r="C832" t="str">
        <f t="shared" si="376"/>
        <v>FFDFD3C0</v>
      </c>
      <c r="D832" t="s">
        <v>134</v>
      </c>
      <c r="E832">
        <v>12</v>
      </c>
      <c r="H832">
        <v>64</v>
      </c>
      <c r="I832" t="s">
        <v>135</v>
      </c>
      <c r="J832" t="s">
        <v>136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391"/>
        <v>14:42:28.414</v>
      </c>
      <c r="T832" t="str">
        <f t="shared" si="392"/>
        <v>14:42:28.114</v>
      </c>
      <c r="U832" t="str">
        <f t="shared" si="364"/>
        <v>A9808D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303</v>
      </c>
      <c r="AJ832">
        <v>28.265076000000001</v>
      </c>
      <c r="AK832" t="s">
        <v>300</v>
      </c>
      <c r="AL832">
        <v>-82.380273000000003</v>
      </c>
      <c r="AM832">
        <v>100</v>
      </c>
      <c r="AN832">
        <v>1000</v>
      </c>
      <c r="AO832" t="s">
        <v>118</v>
      </c>
      <c r="AP832">
        <v>-1</v>
      </c>
      <c r="AQ832">
        <v>88</v>
      </c>
      <c r="AR832">
        <v>576</v>
      </c>
      <c r="AZ832">
        <v>1200</v>
      </c>
      <c r="BA832">
        <v>1</v>
      </c>
      <c r="BB832" t="str">
        <f t="shared" si="377"/>
        <v xml:space="preserve">N711JA  </v>
      </c>
      <c r="BC832">
        <v>1</v>
      </c>
      <c r="BE832">
        <v>0</v>
      </c>
      <c r="BF832">
        <v>0</v>
      </c>
      <c r="BG832">
        <v>0</v>
      </c>
      <c r="BH832">
        <v>1100</v>
      </c>
      <c r="BI832">
        <v>1</v>
      </c>
      <c r="BJ832">
        <v>1</v>
      </c>
      <c r="BK832">
        <v>0</v>
      </c>
      <c r="BL832">
        <v>0</v>
      </c>
      <c r="BO832">
        <v>0</v>
      </c>
      <c r="BP832">
        <v>0</v>
      </c>
      <c r="BW832" t="str">
        <f t="shared" si="393"/>
        <v>14:42:28.417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343</v>
      </c>
      <c r="CR832">
        <v>1</v>
      </c>
      <c r="CW832">
        <v>10598952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ref="A833:A841" si="394">"05/12/2020 14:42:11.709"</f>
        <v>05/12/2020 14:42:11.709</v>
      </c>
      <c r="C833" t="str">
        <f t="shared" si="376"/>
        <v>FFDFD3C0</v>
      </c>
      <c r="D833" t="s">
        <v>126</v>
      </c>
      <c r="E833">
        <v>7</v>
      </c>
      <c r="F833">
        <v>1007</v>
      </c>
      <c r="G833" t="s">
        <v>127</v>
      </c>
      <c r="J833" t="s">
        <v>128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ref="S833:S841" si="395">"14:42:29.523"</f>
        <v>14:42:29.523</v>
      </c>
      <c r="T833" t="str">
        <f t="shared" ref="T833:T841" si="396">"14:42:29.123"</f>
        <v>14:42:29.123</v>
      </c>
      <c r="U833" t="str">
        <f t="shared" si="364"/>
        <v>A9808D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304</v>
      </c>
      <c r="AJ833">
        <v>28.265526000000001</v>
      </c>
      <c r="AK833" t="s">
        <v>297</v>
      </c>
      <c r="AL833">
        <v>-82.380295000000004</v>
      </c>
      <c r="AM833">
        <v>100</v>
      </c>
      <c r="AN833">
        <v>1000</v>
      </c>
      <c r="AO833" t="s">
        <v>118</v>
      </c>
      <c r="AP833">
        <v>-1</v>
      </c>
      <c r="AQ833">
        <v>87</v>
      </c>
      <c r="AR833">
        <v>512</v>
      </c>
      <c r="AZ833">
        <v>1200</v>
      </c>
      <c r="BA833">
        <v>1</v>
      </c>
      <c r="BB833" t="str">
        <f t="shared" si="377"/>
        <v xml:space="preserve">N711JA  </v>
      </c>
      <c r="BC833">
        <v>1</v>
      </c>
      <c r="BE833">
        <v>0</v>
      </c>
      <c r="BF833">
        <v>0</v>
      </c>
      <c r="BG833">
        <v>0</v>
      </c>
      <c r="BH833">
        <v>1100</v>
      </c>
      <c r="BI833">
        <v>1</v>
      </c>
      <c r="BJ833">
        <v>1</v>
      </c>
      <c r="BK833">
        <v>0</v>
      </c>
      <c r="BL833">
        <v>0</v>
      </c>
      <c r="BO833">
        <v>0</v>
      </c>
      <c r="BP833">
        <v>0</v>
      </c>
      <c r="BW833" t="str">
        <f t="shared" ref="BW833:BW841" si="397">"14:42:29.527"</f>
        <v>14:42:29.527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343</v>
      </c>
      <c r="CR833">
        <v>1</v>
      </c>
      <c r="CW833">
        <v>10600019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394"/>
        <v>05/12/2020 14:42:11.709</v>
      </c>
      <c r="C834" t="str">
        <f t="shared" si="376"/>
        <v>FFDFD3C0</v>
      </c>
      <c r="D834" t="s">
        <v>131</v>
      </c>
      <c r="E834">
        <v>10</v>
      </c>
      <c r="F834">
        <v>2010</v>
      </c>
      <c r="G834" t="s">
        <v>132</v>
      </c>
      <c r="J834" t="s">
        <v>133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395"/>
        <v>14:42:29.523</v>
      </c>
      <c r="T834" t="str">
        <f t="shared" si="396"/>
        <v>14:42:29.123</v>
      </c>
      <c r="U834" t="str">
        <f t="shared" ref="U834:U897" si="398">"A9808D"</f>
        <v>A9808D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304</v>
      </c>
      <c r="AJ834">
        <v>28.265526000000001</v>
      </c>
      <c r="AK834" t="s">
        <v>297</v>
      </c>
      <c r="AL834">
        <v>-82.380295000000004</v>
      </c>
      <c r="AM834">
        <v>100</v>
      </c>
      <c r="AN834">
        <v>1000</v>
      </c>
      <c r="AO834" t="s">
        <v>118</v>
      </c>
      <c r="AP834">
        <v>-1</v>
      </c>
      <c r="AQ834">
        <v>87</v>
      </c>
      <c r="AR834">
        <v>512</v>
      </c>
      <c r="AZ834">
        <v>1200</v>
      </c>
      <c r="BA834">
        <v>1</v>
      </c>
      <c r="BB834" t="str">
        <f t="shared" si="377"/>
        <v xml:space="preserve">N711JA  </v>
      </c>
      <c r="BC834">
        <v>1</v>
      </c>
      <c r="BE834">
        <v>0</v>
      </c>
      <c r="BF834">
        <v>0</v>
      </c>
      <c r="BG834">
        <v>0</v>
      </c>
      <c r="BH834">
        <v>1100</v>
      </c>
      <c r="BI834">
        <v>1</v>
      </c>
      <c r="BJ834">
        <v>1</v>
      </c>
      <c r="BK834">
        <v>0</v>
      </c>
      <c r="BL834">
        <v>0</v>
      </c>
      <c r="BO834">
        <v>0</v>
      </c>
      <c r="BP834">
        <v>0</v>
      </c>
      <c r="BW834" t="str">
        <f t="shared" si="397"/>
        <v>14:42:29.527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343</v>
      </c>
      <c r="CR834">
        <v>1</v>
      </c>
      <c r="CW834">
        <v>10600019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si="394"/>
        <v>05/12/2020 14:42:11.709</v>
      </c>
      <c r="C835" t="str">
        <f t="shared" si="376"/>
        <v>FFDFD3C0</v>
      </c>
      <c r="D835" t="s">
        <v>131</v>
      </c>
      <c r="E835">
        <v>12</v>
      </c>
      <c r="F835">
        <v>2012</v>
      </c>
      <c r="G835" t="s">
        <v>137</v>
      </c>
      <c r="J835" t="s">
        <v>133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395"/>
        <v>14:42:29.523</v>
      </c>
      <c r="T835" t="str">
        <f t="shared" si="396"/>
        <v>14:42:29.123</v>
      </c>
      <c r="U835" t="str">
        <f t="shared" si="398"/>
        <v>A9808D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304</v>
      </c>
      <c r="AJ835">
        <v>28.265526000000001</v>
      </c>
      <c r="AK835" t="s">
        <v>297</v>
      </c>
      <c r="AL835">
        <v>-82.380295000000004</v>
      </c>
      <c r="AM835">
        <v>100</v>
      </c>
      <c r="AN835">
        <v>1000</v>
      </c>
      <c r="AO835" t="s">
        <v>118</v>
      </c>
      <c r="AP835">
        <v>-1</v>
      </c>
      <c r="AQ835">
        <v>87</v>
      </c>
      <c r="AR835">
        <v>512</v>
      </c>
      <c r="AZ835">
        <v>1200</v>
      </c>
      <c r="BA835">
        <v>1</v>
      </c>
      <c r="BB835" t="str">
        <f t="shared" si="377"/>
        <v xml:space="preserve">N711JA  </v>
      </c>
      <c r="BC835">
        <v>1</v>
      </c>
      <c r="BE835">
        <v>0</v>
      </c>
      <c r="BF835">
        <v>0</v>
      </c>
      <c r="BG835">
        <v>0</v>
      </c>
      <c r="BH835">
        <v>1100</v>
      </c>
      <c r="BI835">
        <v>1</v>
      </c>
      <c r="BJ835">
        <v>1</v>
      </c>
      <c r="BK835">
        <v>0</v>
      </c>
      <c r="BL835">
        <v>0</v>
      </c>
      <c r="BO835">
        <v>0</v>
      </c>
      <c r="BP835">
        <v>0</v>
      </c>
      <c r="BW835" t="str">
        <f t="shared" si="397"/>
        <v>14:42:29.527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343</v>
      </c>
      <c r="CR835">
        <v>1</v>
      </c>
      <c r="CW835">
        <v>10600019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si="394"/>
        <v>05/12/2020 14:42:11.709</v>
      </c>
      <c r="C836" t="str">
        <f t="shared" si="376"/>
        <v>FFDFD3C0</v>
      </c>
      <c r="D836" t="s">
        <v>131</v>
      </c>
      <c r="E836">
        <v>18</v>
      </c>
      <c r="F836">
        <v>2018</v>
      </c>
      <c r="G836" t="s">
        <v>161</v>
      </c>
      <c r="J836" t="s">
        <v>133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395"/>
        <v>14:42:29.523</v>
      </c>
      <c r="T836" t="str">
        <f t="shared" si="396"/>
        <v>14:42:29.123</v>
      </c>
      <c r="U836" t="str">
        <f t="shared" si="398"/>
        <v>A9808D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304</v>
      </c>
      <c r="AJ836">
        <v>28.265526000000001</v>
      </c>
      <c r="AK836" t="s">
        <v>297</v>
      </c>
      <c r="AL836">
        <v>-82.380295000000004</v>
      </c>
      <c r="AM836">
        <v>100</v>
      </c>
      <c r="AN836">
        <v>1000</v>
      </c>
      <c r="AO836" t="s">
        <v>118</v>
      </c>
      <c r="AP836">
        <v>-1</v>
      </c>
      <c r="AQ836">
        <v>87</v>
      </c>
      <c r="AR836">
        <v>512</v>
      </c>
      <c r="AZ836">
        <v>1200</v>
      </c>
      <c r="BA836">
        <v>1</v>
      </c>
      <c r="BB836" t="str">
        <f t="shared" si="377"/>
        <v xml:space="preserve">N711JA  </v>
      </c>
      <c r="BC836">
        <v>1</v>
      </c>
      <c r="BE836">
        <v>0</v>
      </c>
      <c r="BF836">
        <v>0</v>
      </c>
      <c r="BG836">
        <v>0</v>
      </c>
      <c r="BH836">
        <v>1100</v>
      </c>
      <c r="BI836">
        <v>1</v>
      </c>
      <c r="BJ836">
        <v>1</v>
      </c>
      <c r="BK836">
        <v>0</v>
      </c>
      <c r="BL836">
        <v>0</v>
      </c>
      <c r="BO836">
        <v>0</v>
      </c>
      <c r="BP836">
        <v>0</v>
      </c>
      <c r="BW836" t="str">
        <f t="shared" si="397"/>
        <v>14:42:29.527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343</v>
      </c>
      <c r="CR836">
        <v>1</v>
      </c>
      <c r="CW836">
        <v>10600019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394"/>
        <v>05/12/2020 14:42:11.709</v>
      </c>
      <c r="C837" t="str">
        <f t="shared" si="376"/>
        <v>FFDFD3C0</v>
      </c>
      <c r="D837" t="s">
        <v>138</v>
      </c>
      <c r="E837">
        <v>3</v>
      </c>
      <c r="H837">
        <v>9</v>
      </c>
      <c r="I837" t="s">
        <v>140</v>
      </c>
      <c r="J837" t="s">
        <v>136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395"/>
        <v>14:42:29.523</v>
      </c>
      <c r="T837" t="str">
        <f t="shared" si="396"/>
        <v>14:42:29.123</v>
      </c>
      <c r="U837" t="str">
        <f t="shared" si="398"/>
        <v>A9808D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304</v>
      </c>
      <c r="AJ837">
        <v>28.265526000000001</v>
      </c>
      <c r="AK837" t="s">
        <v>297</v>
      </c>
      <c r="AL837">
        <v>-82.380295000000004</v>
      </c>
      <c r="AM837">
        <v>100</v>
      </c>
      <c r="AN837">
        <v>1000</v>
      </c>
      <c r="AO837" t="s">
        <v>118</v>
      </c>
      <c r="AP837">
        <v>-1</v>
      </c>
      <c r="AQ837">
        <v>87</v>
      </c>
      <c r="AR837">
        <v>512</v>
      </c>
      <c r="AZ837">
        <v>1200</v>
      </c>
      <c r="BA837">
        <v>1</v>
      </c>
      <c r="BB837" t="str">
        <f t="shared" si="377"/>
        <v xml:space="preserve">N711JA  </v>
      </c>
      <c r="BC837">
        <v>1</v>
      </c>
      <c r="BE837">
        <v>0</v>
      </c>
      <c r="BF837">
        <v>0</v>
      </c>
      <c r="BG837">
        <v>0</v>
      </c>
      <c r="BH837">
        <v>1100</v>
      </c>
      <c r="BI837">
        <v>1</v>
      </c>
      <c r="BJ837">
        <v>1</v>
      </c>
      <c r="BK837">
        <v>0</v>
      </c>
      <c r="BL837">
        <v>0</v>
      </c>
      <c r="BO837">
        <v>0</v>
      </c>
      <c r="BP837">
        <v>0</v>
      </c>
      <c r="BW837" t="str">
        <f t="shared" si="397"/>
        <v>14:42:29.527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343</v>
      </c>
      <c r="CR837">
        <v>1</v>
      </c>
      <c r="CW837">
        <v>10600019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394"/>
        <v>05/12/2020 14:42:11.709</v>
      </c>
      <c r="C838" t="str">
        <f t="shared" si="376"/>
        <v>FFDFD3C0</v>
      </c>
      <c r="D838" t="s">
        <v>138</v>
      </c>
      <c r="E838">
        <v>2</v>
      </c>
      <c r="H838">
        <v>8</v>
      </c>
      <c r="I838" t="s">
        <v>139</v>
      </c>
      <c r="J838" t="s">
        <v>136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395"/>
        <v>14:42:29.523</v>
      </c>
      <c r="T838" t="str">
        <f t="shared" si="396"/>
        <v>14:42:29.123</v>
      </c>
      <c r="U838" t="str">
        <f t="shared" si="398"/>
        <v>A9808D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304</v>
      </c>
      <c r="AJ838">
        <v>28.265526000000001</v>
      </c>
      <c r="AK838" t="s">
        <v>297</v>
      </c>
      <c r="AL838">
        <v>-82.380295000000004</v>
      </c>
      <c r="AM838">
        <v>100</v>
      </c>
      <c r="AN838">
        <v>1000</v>
      </c>
      <c r="AO838" t="s">
        <v>118</v>
      </c>
      <c r="AP838">
        <v>-1</v>
      </c>
      <c r="AQ838">
        <v>87</v>
      </c>
      <c r="AR838">
        <v>512</v>
      </c>
      <c r="AZ838">
        <v>1200</v>
      </c>
      <c r="BA838">
        <v>1</v>
      </c>
      <c r="BB838" t="str">
        <f t="shared" si="377"/>
        <v xml:space="preserve">N711JA  </v>
      </c>
      <c r="BC838">
        <v>1</v>
      </c>
      <c r="BE838">
        <v>0</v>
      </c>
      <c r="BF838">
        <v>0</v>
      </c>
      <c r="BG838">
        <v>0</v>
      </c>
      <c r="BH838">
        <v>1100</v>
      </c>
      <c r="BI838">
        <v>1</v>
      </c>
      <c r="BJ838">
        <v>1</v>
      </c>
      <c r="BK838">
        <v>0</v>
      </c>
      <c r="BL838">
        <v>0</v>
      </c>
      <c r="BO838">
        <v>0</v>
      </c>
      <c r="BP838">
        <v>0</v>
      </c>
      <c r="BW838" t="str">
        <f t="shared" si="397"/>
        <v>14:42:29.527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343</v>
      </c>
      <c r="CR838">
        <v>1</v>
      </c>
      <c r="CW838">
        <v>10600019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si="394"/>
        <v>05/12/2020 14:42:11.709</v>
      </c>
      <c r="C839" t="str">
        <f t="shared" si="376"/>
        <v>FFDFD3C0</v>
      </c>
      <c r="D839" t="s">
        <v>113</v>
      </c>
      <c r="E839">
        <v>3</v>
      </c>
      <c r="H839">
        <v>164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395"/>
        <v>14:42:29.523</v>
      </c>
      <c r="T839" t="str">
        <f t="shared" si="396"/>
        <v>14:42:29.123</v>
      </c>
      <c r="U839" t="str">
        <f t="shared" si="398"/>
        <v>A9808D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304</v>
      </c>
      <c r="AJ839">
        <v>28.265526000000001</v>
      </c>
      <c r="AK839" t="s">
        <v>297</v>
      </c>
      <c r="AL839">
        <v>-82.380295000000004</v>
      </c>
      <c r="AM839">
        <v>100</v>
      </c>
      <c r="AN839">
        <v>1000</v>
      </c>
      <c r="AO839" t="s">
        <v>118</v>
      </c>
      <c r="AP839">
        <v>-1</v>
      </c>
      <c r="AQ839">
        <v>87</v>
      </c>
      <c r="AR839">
        <v>512</v>
      </c>
      <c r="AZ839">
        <v>1200</v>
      </c>
      <c r="BA839">
        <v>1</v>
      </c>
      <c r="BB839" t="str">
        <f t="shared" si="377"/>
        <v xml:space="preserve">N711JA  </v>
      </c>
      <c r="BC839">
        <v>1</v>
      </c>
      <c r="BE839">
        <v>0</v>
      </c>
      <c r="BF839">
        <v>0</v>
      </c>
      <c r="BG839">
        <v>0</v>
      </c>
      <c r="BH839">
        <v>1100</v>
      </c>
      <c r="BI839">
        <v>1</v>
      </c>
      <c r="BJ839">
        <v>1</v>
      </c>
      <c r="BK839">
        <v>0</v>
      </c>
      <c r="BL839">
        <v>0</v>
      </c>
      <c r="BO839">
        <v>0</v>
      </c>
      <c r="BP839">
        <v>0</v>
      </c>
      <c r="BW839" t="str">
        <f t="shared" si="397"/>
        <v>14:42:29.527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343</v>
      </c>
      <c r="CR839">
        <v>1</v>
      </c>
      <c r="CW839">
        <v>10600019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394"/>
        <v>05/12/2020 14:42:11.709</v>
      </c>
      <c r="C840" t="str">
        <f t="shared" si="376"/>
        <v>FFDFD3C0</v>
      </c>
      <c r="D840" t="s">
        <v>134</v>
      </c>
      <c r="E840">
        <v>12</v>
      </c>
      <c r="H840">
        <v>64</v>
      </c>
      <c r="I840" t="s">
        <v>135</v>
      </c>
      <c r="J840" t="s">
        <v>136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395"/>
        <v>14:42:29.523</v>
      </c>
      <c r="T840" t="str">
        <f t="shared" si="396"/>
        <v>14:42:29.123</v>
      </c>
      <c r="U840" t="str">
        <f t="shared" si="398"/>
        <v>A9808D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304</v>
      </c>
      <c r="AJ840">
        <v>28.265526000000001</v>
      </c>
      <c r="AK840" t="s">
        <v>297</v>
      </c>
      <c r="AL840">
        <v>-82.380295000000004</v>
      </c>
      <c r="AM840">
        <v>100</v>
      </c>
      <c r="AN840">
        <v>1000</v>
      </c>
      <c r="AO840" t="s">
        <v>118</v>
      </c>
      <c r="AP840">
        <v>-1</v>
      </c>
      <c r="AQ840">
        <v>87</v>
      </c>
      <c r="AR840">
        <v>512</v>
      </c>
      <c r="AZ840">
        <v>1200</v>
      </c>
      <c r="BA840">
        <v>1</v>
      </c>
      <c r="BB840" t="str">
        <f t="shared" si="377"/>
        <v xml:space="preserve">N711JA  </v>
      </c>
      <c r="BC840">
        <v>1</v>
      </c>
      <c r="BE840">
        <v>0</v>
      </c>
      <c r="BF840">
        <v>0</v>
      </c>
      <c r="BG840">
        <v>0</v>
      </c>
      <c r="BH840">
        <v>1100</v>
      </c>
      <c r="BI840">
        <v>1</v>
      </c>
      <c r="BJ840">
        <v>1</v>
      </c>
      <c r="BK840">
        <v>0</v>
      </c>
      <c r="BL840">
        <v>0</v>
      </c>
      <c r="BO840">
        <v>0</v>
      </c>
      <c r="BP840">
        <v>0</v>
      </c>
      <c r="BW840" t="str">
        <f t="shared" si="397"/>
        <v>14:42:29.527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343</v>
      </c>
      <c r="CR840">
        <v>1</v>
      </c>
      <c r="CW840">
        <v>10600019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394"/>
        <v>05/12/2020 14:42:11.709</v>
      </c>
      <c r="C841" t="str">
        <f t="shared" si="376"/>
        <v>FFDFD3C0</v>
      </c>
      <c r="D841" t="s">
        <v>126</v>
      </c>
      <c r="E841">
        <v>6</v>
      </c>
      <c r="F841">
        <v>1006</v>
      </c>
      <c r="G841" t="s">
        <v>114</v>
      </c>
      <c r="J841" t="s">
        <v>128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395"/>
        <v>14:42:29.523</v>
      </c>
      <c r="T841" t="str">
        <f t="shared" si="396"/>
        <v>14:42:29.123</v>
      </c>
      <c r="U841" t="str">
        <f t="shared" si="398"/>
        <v>A9808D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304</v>
      </c>
      <c r="AJ841">
        <v>28.265526000000001</v>
      </c>
      <c r="AK841" t="s">
        <v>297</v>
      </c>
      <c r="AL841">
        <v>-82.380295000000004</v>
      </c>
      <c r="AM841">
        <v>100</v>
      </c>
      <c r="AN841">
        <v>1000</v>
      </c>
      <c r="AO841" t="s">
        <v>118</v>
      </c>
      <c r="AP841">
        <v>-1</v>
      </c>
      <c r="AQ841">
        <v>87</v>
      </c>
      <c r="AR841">
        <v>512</v>
      </c>
      <c r="AZ841">
        <v>1200</v>
      </c>
      <c r="BA841">
        <v>1</v>
      </c>
      <c r="BB841" t="str">
        <f t="shared" si="377"/>
        <v xml:space="preserve">N711JA  </v>
      </c>
      <c r="BC841">
        <v>1</v>
      </c>
      <c r="BE841">
        <v>0</v>
      </c>
      <c r="BF841">
        <v>0</v>
      </c>
      <c r="BG841">
        <v>0</v>
      </c>
      <c r="BH841">
        <v>1100</v>
      </c>
      <c r="BI841">
        <v>1</v>
      </c>
      <c r="BJ841">
        <v>1</v>
      </c>
      <c r="BK841">
        <v>0</v>
      </c>
      <c r="BL841">
        <v>0</v>
      </c>
      <c r="BO841">
        <v>0</v>
      </c>
      <c r="BP841">
        <v>0</v>
      </c>
      <c r="BW841" t="str">
        <f t="shared" si="397"/>
        <v>14:42:29.527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343</v>
      </c>
      <c r="CR841">
        <v>1</v>
      </c>
      <c r="CW841">
        <v>10600019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ref="A842:A850" si="399">"05/12/2020 14:42:12.565"</f>
        <v>05/12/2020 14:42:12.565</v>
      </c>
      <c r="C842" t="str">
        <f t="shared" si="376"/>
        <v>FFDFD3C0</v>
      </c>
      <c r="D842" t="s">
        <v>131</v>
      </c>
      <c r="E842">
        <v>10</v>
      </c>
      <c r="F842">
        <v>2010</v>
      </c>
      <c r="G842" t="s">
        <v>132</v>
      </c>
      <c r="J842" t="s">
        <v>133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ref="S842:S850" si="400">"14:42:30.375"</f>
        <v>14:42:30.375</v>
      </c>
      <c r="T842" t="str">
        <f t="shared" ref="T842:T850" si="401">"14:42:30.075"</f>
        <v>14:42:30.075</v>
      </c>
      <c r="U842" t="str">
        <f t="shared" si="398"/>
        <v>A9808D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305</v>
      </c>
      <c r="AJ842">
        <v>28.265913000000001</v>
      </c>
      <c r="AK842" t="s">
        <v>300</v>
      </c>
      <c r="AL842">
        <v>-82.380273000000003</v>
      </c>
      <c r="AM842">
        <v>100</v>
      </c>
      <c r="AN842">
        <v>1000</v>
      </c>
      <c r="AO842" t="s">
        <v>118</v>
      </c>
      <c r="AP842">
        <v>-2</v>
      </c>
      <c r="AQ842">
        <v>88</v>
      </c>
      <c r="AR842">
        <v>384</v>
      </c>
      <c r="AZ842">
        <v>1200</v>
      </c>
      <c r="BA842">
        <v>1</v>
      </c>
      <c r="BB842" t="str">
        <f t="shared" si="377"/>
        <v xml:space="preserve">N711JA  </v>
      </c>
      <c r="BC842">
        <v>1</v>
      </c>
      <c r="BE842">
        <v>0</v>
      </c>
      <c r="BF842">
        <v>0</v>
      </c>
      <c r="BG842">
        <v>0</v>
      </c>
      <c r="BH842">
        <v>1125</v>
      </c>
      <c r="BI842">
        <v>1</v>
      </c>
      <c r="BJ842">
        <v>1</v>
      </c>
      <c r="BK842">
        <v>0</v>
      </c>
      <c r="BL842">
        <v>0</v>
      </c>
      <c r="BO842">
        <v>0</v>
      </c>
      <c r="BP842">
        <v>0</v>
      </c>
      <c r="BW842" t="str">
        <f t="shared" ref="BW842:BW850" si="402">"14:42:30.383"</f>
        <v>14:42:30.383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343</v>
      </c>
      <c r="CR842">
        <v>2</v>
      </c>
      <c r="CW842">
        <v>13003493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399"/>
        <v>05/12/2020 14:42:12.565</v>
      </c>
      <c r="C843" t="str">
        <f t="shared" si="376"/>
        <v>FFDFD3C0</v>
      </c>
      <c r="D843" t="s">
        <v>131</v>
      </c>
      <c r="E843">
        <v>12</v>
      </c>
      <c r="F843">
        <v>2012</v>
      </c>
      <c r="G843" t="s">
        <v>137</v>
      </c>
      <c r="J843" t="s">
        <v>133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00"/>
        <v>14:42:30.375</v>
      </c>
      <c r="T843" t="str">
        <f t="shared" si="401"/>
        <v>14:42:30.075</v>
      </c>
      <c r="U843" t="str">
        <f t="shared" si="398"/>
        <v>A9808D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305</v>
      </c>
      <c r="AJ843">
        <v>28.265913000000001</v>
      </c>
      <c r="AK843" t="s">
        <v>300</v>
      </c>
      <c r="AL843">
        <v>-82.380273000000003</v>
      </c>
      <c r="AM843">
        <v>100</v>
      </c>
      <c r="AN843">
        <v>1000</v>
      </c>
      <c r="AO843" t="s">
        <v>118</v>
      </c>
      <c r="AP843">
        <v>-2</v>
      </c>
      <c r="AQ843">
        <v>88</v>
      </c>
      <c r="AR843">
        <v>384</v>
      </c>
      <c r="AZ843">
        <v>1200</v>
      </c>
      <c r="BA843">
        <v>1</v>
      </c>
      <c r="BB843" t="str">
        <f t="shared" si="377"/>
        <v xml:space="preserve">N711JA  </v>
      </c>
      <c r="BC843">
        <v>1</v>
      </c>
      <c r="BE843">
        <v>0</v>
      </c>
      <c r="BF843">
        <v>0</v>
      </c>
      <c r="BG843">
        <v>0</v>
      </c>
      <c r="BH843">
        <v>1125</v>
      </c>
      <c r="BI843">
        <v>1</v>
      </c>
      <c r="BJ843">
        <v>1</v>
      </c>
      <c r="BK843">
        <v>0</v>
      </c>
      <c r="BL843">
        <v>0</v>
      </c>
      <c r="BO843">
        <v>0</v>
      </c>
      <c r="BP843">
        <v>0</v>
      </c>
      <c r="BW843" t="str">
        <f t="shared" si="402"/>
        <v>14:42:30.383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343</v>
      </c>
      <c r="CR843">
        <v>2</v>
      </c>
      <c r="CW843">
        <v>13003493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si="399"/>
        <v>05/12/2020 14:42:12.565</v>
      </c>
      <c r="C844" t="str">
        <f t="shared" si="376"/>
        <v>FFDFD3C0</v>
      </c>
      <c r="D844" t="s">
        <v>126</v>
      </c>
      <c r="E844">
        <v>7</v>
      </c>
      <c r="F844">
        <v>1007</v>
      </c>
      <c r="G844" t="s">
        <v>127</v>
      </c>
      <c r="J844" t="s">
        <v>128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00"/>
        <v>14:42:30.375</v>
      </c>
      <c r="T844" t="str">
        <f t="shared" si="401"/>
        <v>14:42:30.075</v>
      </c>
      <c r="U844" t="str">
        <f t="shared" si="398"/>
        <v>A9808D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305</v>
      </c>
      <c r="AJ844">
        <v>28.265913000000001</v>
      </c>
      <c r="AK844" t="s">
        <v>300</v>
      </c>
      <c r="AL844">
        <v>-82.380273000000003</v>
      </c>
      <c r="AM844">
        <v>100</v>
      </c>
      <c r="AN844">
        <v>1000</v>
      </c>
      <c r="AO844" t="s">
        <v>118</v>
      </c>
      <c r="AP844">
        <v>-2</v>
      </c>
      <c r="AQ844">
        <v>88</v>
      </c>
      <c r="AR844">
        <v>384</v>
      </c>
      <c r="AZ844">
        <v>1200</v>
      </c>
      <c r="BA844">
        <v>1</v>
      </c>
      <c r="BB844" t="str">
        <f t="shared" si="377"/>
        <v xml:space="preserve">N711JA  </v>
      </c>
      <c r="BC844">
        <v>1</v>
      </c>
      <c r="BE844">
        <v>0</v>
      </c>
      <c r="BF844">
        <v>0</v>
      </c>
      <c r="BG844">
        <v>0</v>
      </c>
      <c r="BH844">
        <v>1125</v>
      </c>
      <c r="BI844">
        <v>1</v>
      </c>
      <c r="BJ844">
        <v>1</v>
      </c>
      <c r="BK844">
        <v>0</v>
      </c>
      <c r="BL844">
        <v>0</v>
      </c>
      <c r="BO844">
        <v>0</v>
      </c>
      <c r="BP844">
        <v>0</v>
      </c>
      <c r="BW844" t="str">
        <f t="shared" si="402"/>
        <v>14:42:30.383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343</v>
      </c>
      <c r="CR844">
        <v>2</v>
      </c>
      <c r="CW844">
        <v>13003493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399"/>
        <v>05/12/2020 14:42:12.565</v>
      </c>
      <c r="C845" t="str">
        <f t="shared" si="376"/>
        <v>FFDFD3C0</v>
      </c>
      <c r="D845" t="s">
        <v>131</v>
      </c>
      <c r="E845">
        <v>18</v>
      </c>
      <c r="F845">
        <v>2018</v>
      </c>
      <c r="G845" t="s">
        <v>161</v>
      </c>
      <c r="J845" t="s">
        <v>133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00"/>
        <v>14:42:30.375</v>
      </c>
      <c r="T845" t="str">
        <f t="shared" si="401"/>
        <v>14:42:30.075</v>
      </c>
      <c r="U845" t="str">
        <f t="shared" si="398"/>
        <v>A9808D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305</v>
      </c>
      <c r="AJ845">
        <v>28.265913000000001</v>
      </c>
      <c r="AK845" t="s">
        <v>300</v>
      </c>
      <c r="AL845">
        <v>-82.380273000000003</v>
      </c>
      <c r="AM845">
        <v>100</v>
      </c>
      <c r="AN845">
        <v>1000</v>
      </c>
      <c r="AO845" t="s">
        <v>118</v>
      </c>
      <c r="AP845">
        <v>-2</v>
      </c>
      <c r="AQ845">
        <v>88</v>
      </c>
      <c r="AR845">
        <v>384</v>
      </c>
      <c r="AZ845">
        <v>1200</v>
      </c>
      <c r="BA845">
        <v>1</v>
      </c>
      <c r="BB845" t="str">
        <f t="shared" si="377"/>
        <v xml:space="preserve">N711JA  </v>
      </c>
      <c r="BC845">
        <v>1</v>
      </c>
      <c r="BE845">
        <v>0</v>
      </c>
      <c r="BF845">
        <v>0</v>
      </c>
      <c r="BG845">
        <v>0</v>
      </c>
      <c r="BH845">
        <v>1125</v>
      </c>
      <c r="BI845">
        <v>1</v>
      </c>
      <c r="BJ845">
        <v>1</v>
      </c>
      <c r="BK845">
        <v>0</v>
      </c>
      <c r="BL845">
        <v>0</v>
      </c>
      <c r="BO845">
        <v>0</v>
      </c>
      <c r="BP845">
        <v>0</v>
      </c>
      <c r="BW845" t="str">
        <f t="shared" si="402"/>
        <v>14:42:30.383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343</v>
      </c>
      <c r="CR845">
        <v>2</v>
      </c>
      <c r="CW845">
        <v>13003493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 t="shared" si="399"/>
        <v>05/12/2020 14:42:12.565</v>
      </c>
      <c r="C846" t="str">
        <f t="shared" si="376"/>
        <v>FFDFD3C0</v>
      </c>
      <c r="D846" t="s">
        <v>138</v>
      </c>
      <c r="E846">
        <v>2</v>
      </c>
      <c r="H846">
        <v>8</v>
      </c>
      <c r="I846" t="s">
        <v>139</v>
      </c>
      <c r="J846" t="s">
        <v>136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00"/>
        <v>14:42:30.375</v>
      </c>
      <c r="T846" t="str">
        <f t="shared" si="401"/>
        <v>14:42:30.075</v>
      </c>
      <c r="U846" t="str">
        <f t="shared" si="398"/>
        <v>A9808D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305</v>
      </c>
      <c r="AJ846">
        <v>28.265913000000001</v>
      </c>
      <c r="AK846" t="s">
        <v>300</v>
      </c>
      <c r="AL846">
        <v>-82.380273000000003</v>
      </c>
      <c r="AM846">
        <v>100</v>
      </c>
      <c r="AN846">
        <v>1000</v>
      </c>
      <c r="AO846" t="s">
        <v>118</v>
      </c>
      <c r="AP846">
        <v>-2</v>
      </c>
      <c r="AQ846">
        <v>88</v>
      </c>
      <c r="AR846">
        <v>384</v>
      </c>
      <c r="AZ846">
        <v>1200</v>
      </c>
      <c r="BA846">
        <v>1</v>
      </c>
      <c r="BB846" t="str">
        <f t="shared" si="377"/>
        <v xml:space="preserve">N711JA  </v>
      </c>
      <c r="BC846">
        <v>1</v>
      </c>
      <c r="BE846">
        <v>0</v>
      </c>
      <c r="BF846">
        <v>0</v>
      </c>
      <c r="BG846">
        <v>0</v>
      </c>
      <c r="BH846">
        <v>1125</v>
      </c>
      <c r="BI846">
        <v>1</v>
      </c>
      <c r="BJ846">
        <v>1</v>
      </c>
      <c r="BK846">
        <v>0</v>
      </c>
      <c r="BL846">
        <v>0</v>
      </c>
      <c r="BO846">
        <v>0</v>
      </c>
      <c r="BP846">
        <v>0</v>
      </c>
      <c r="BW846" t="str">
        <f t="shared" si="402"/>
        <v>14:42:30.383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343</v>
      </c>
      <c r="CR846">
        <v>2</v>
      </c>
      <c r="CW846">
        <v>13003493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 t="shared" si="399"/>
        <v>05/12/2020 14:42:12.565</v>
      </c>
      <c r="C847" t="str">
        <f t="shared" si="376"/>
        <v>FFDFD3C0</v>
      </c>
      <c r="D847" t="s">
        <v>138</v>
      </c>
      <c r="E847">
        <v>3</v>
      </c>
      <c r="H847">
        <v>9</v>
      </c>
      <c r="I847" t="s">
        <v>140</v>
      </c>
      <c r="J847" t="s">
        <v>136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00"/>
        <v>14:42:30.375</v>
      </c>
      <c r="T847" t="str">
        <f t="shared" si="401"/>
        <v>14:42:30.075</v>
      </c>
      <c r="U847" t="str">
        <f t="shared" si="398"/>
        <v>A9808D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305</v>
      </c>
      <c r="AJ847">
        <v>28.265913000000001</v>
      </c>
      <c r="AK847" t="s">
        <v>300</v>
      </c>
      <c r="AL847">
        <v>-82.380273000000003</v>
      </c>
      <c r="AM847">
        <v>100</v>
      </c>
      <c r="AN847">
        <v>1000</v>
      </c>
      <c r="AO847" t="s">
        <v>118</v>
      </c>
      <c r="AP847">
        <v>-2</v>
      </c>
      <c r="AQ847">
        <v>88</v>
      </c>
      <c r="AR847">
        <v>384</v>
      </c>
      <c r="AZ847">
        <v>1200</v>
      </c>
      <c r="BA847">
        <v>1</v>
      </c>
      <c r="BB847" t="str">
        <f t="shared" si="377"/>
        <v xml:space="preserve">N711JA  </v>
      </c>
      <c r="BC847">
        <v>1</v>
      </c>
      <c r="BE847">
        <v>0</v>
      </c>
      <c r="BF847">
        <v>0</v>
      </c>
      <c r="BG847">
        <v>0</v>
      </c>
      <c r="BH847">
        <v>1125</v>
      </c>
      <c r="BI847">
        <v>1</v>
      </c>
      <c r="BJ847">
        <v>1</v>
      </c>
      <c r="BK847">
        <v>0</v>
      </c>
      <c r="BL847">
        <v>0</v>
      </c>
      <c r="BO847">
        <v>0</v>
      </c>
      <c r="BP847">
        <v>0</v>
      </c>
      <c r="BW847" t="str">
        <f t="shared" si="402"/>
        <v>14:42:30.383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343</v>
      </c>
      <c r="CR847">
        <v>2</v>
      </c>
      <c r="CW847">
        <v>13003493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 t="shared" si="399"/>
        <v>05/12/2020 14:42:12.565</v>
      </c>
      <c r="C848" t="str">
        <f t="shared" si="376"/>
        <v>FFDFD3C0</v>
      </c>
      <c r="D848" t="s">
        <v>113</v>
      </c>
      <c r="E848">
        <v>3</v>
      </c>
      <c r="H848">
        <v>164</v>
      </c>
      <c r="I848" t="s">
        <v>114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00"/>
        <v>14:42:30.375</v>
      </c>
      <c r="T848" t="str">
        <f t="shared" si="401"/>
        <v>14:42:30.075</v>
      </c>
      <c r="U848" t="str">
        <f t="shared" si="398"/>
        <v>A9808D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305</v>
      </c>
      <c r="AJ848">
        <v>28.265913000000001</v>
      </c>
      <c r="AK848" t="s">
        <v>300</v>
      </c>
      <c r="AL848">
        <v>-82.380273000000003</v>
      </c>
      <c r="AM848">
        <v>100</v>
      </c>
      <c r="AN848">
        <v>1000</v>
      </c>
      <c r="AO848" t="s">
        <v>118</v>
      </c>
      <c r="AP848">
        <v>-2</v>
      </c>
      <c r="AQ848">
        <v>88</v>
      </c>
      <c r="AR848">
        <v>384</v>
      </c>
      <c r="AZ848">
        <v>1200</v>
      </c>
      <c r="BA848">
        <v>1</v>
      </c>
      <c r="BB848" t="str">
        <f t="shared" si="377"/>
        <v xml:space="preserve">N711JA  </v>
      </c>
      <c r="BC848">
        <v>1</v>
      </c>
      <c r="BE848">
        <v>0</v>
      </c>
      <c r="BF848">
        <v>0</v>
      </c>
      <c r="BG848">
        <v>0</v>
      </c>
      <c r="BH848">
        <v>1125</v>
      </c>
      <c r="BI848">
        <v>1</v>
      </c>
      <c r="BJ848">
        <v>1</v>
      </c>
      <c r="BK848">
        <v>0</v>
      </c>
      <c r="BL848">
        <v>0</v>
      </c>
      <c r="BO848">
        <v>0</v>
      </c>
      <c r="BP848">
        <v>0</v>
      </c>
      <c r="BW848" t="str">
        <f t="shared" si="402"/>
        <v>14:42:30.383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343</v>
      </c>
      <c r="CR848">
        <v>2</v>
      </c>
      <c r="CW848">
        <v>13003493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 t="shared" si="399"/>
        <v>05/12/2020 14:42:12.565</v>
      </c>
      <c r="C849" t="str">
        <f t="shared" si="376"/>
        <v>FFDFD3C0</v>
      </c>
      <c r="D849" t="s">
        <v>134</v>
      </c>
      <c r="E849">
        <v>12</v>
      </c>
      <c r="H849">
        <v>64</v>
      </c>
      <c r="I849" t="s">
        <v>135</v>
      </c>
      <c r="J849" t="s">
        <v>136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00"/>
        <v>14:42:30.375</v>
      </c>
      <c r="T849" t="str">
        <f t="shared" si="401"/>
        <v>14:42:30.075</v>
      </c>
      <c r="U849" t="str">
        <f t="shared" si="398"/>
        <v>A9808D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305</v>
      </c>
      <c r="AJ849">
        <v>28.265913000000001</v>
      </c>
      <c r="AK849" t="s">
        <v>300</v>
      </c>
      <c r="AL849">
        <v>-82.380273000000003</v>
      </c>
      <c r="AM849">
        <v>100</v>
      </c>
      <c r="AN849">
        <v>1000</v>
      </c>
      <c r="AO849" t="s">
        <v>118</v>
      </c>
      <c r="AP849">
        <v>-2</v>
      </c>
      <c r="AQ849">
        <v>88</v>
      </c>
      <c r="AR849">
        <v>384</v>
      </c>
      <c r="AZ849">
        <v>1200</v>
      </c>
      <c r="BA849">
        <v>1</v>
      </c>
      <c r="BB849" t="str">
        <f t="shared" si="377"/>
        <v xml:space="preserve">N711JA  </v>
      </c>
      <c r="BC849">
        <v>1</v>
      </c>
      <c r="BE849">
        <v>0</v>
      </c>
      <c r="BF849">
        <v>0</v>
      </c>
      <c r="BG849">
        <v>0</v>
      </c>
      <c r="BH849">
        <v>1125</v>
      </c>
      <c r="BI849">
        <v>1</v>
      </c>
      <c r="BJ849">
        <v>1</v>
      </c>
      <c r="BK849">
        <v>0</v>
      </c>
      <c r="BL849">
        <v>0</v>
      </c>
      <c r="BO849">
        <v>0</v>
      </c>
      <c r="BP849">
        <v>0</v>
      </c>
      <c r="BW849" t="str">
        <f t="shared" si="402"/>
        <v>14:42:30.383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343</v>
      </c>
      <c r="CR849">
        <v>2</v>
      </c>
      <c r="CW849">
        <v>13003493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 t="shared" si="399"/>
        <v>05/12/2020 14:42:12.565</v>
      </c>
      <c r="C850" t="str">
        <f t="shared" si="376"/>
        <v>FFDFD3C0</v>
      </c>
      <c r="D850" t="s">
        <v>126</v>
      </c>
      <c r="E850">
        <v>6</v>
      </c>
      <c r="F850">
        <v>1006</v>
      </c>
      <c r="G850" t="s">
        <v>114</v>
      </c>
      <c r="J850" t="s">
        <v>128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00"/>
        <v>14:42:30.375</v>
      </c>
      <c r="T850" t="str">
        <f t="shared" si="401"/>
        <v>14:42:30.075</v>
      </c>
      <c r="U850" t="str">
        <f t="shared" si="398"/>
        <v>A9808D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305</v>
      </c>
      <c r="AJ850">
        <v>28.265913000000001</v>
      </c>
      <c r="AK850" t="s">
        <v>300</v>
      </c>
      <c r="AL850">
        <v>-82.380273000000003</v>
      </c>
      <c r="AM850">
        <v>100</v>
      </c>
      <c r="AN850">
        <v>1000</v>
      </c>
      <c r="AO850" t="s">
        <v>118</v>
      </c>
      <c r="AP850">
        <v>-2</v>
      </c>
      <c r="AQ850">
        <v>88</v>
      </c>
      <c r="AR850">
        <v>384</v>
      </c>
      <c r="AZ850">
        <v>1200</v>
      </c>
      <c r="BA850">
        <v>1</v>
      </c>
      <c r="BB850" t="str">
        <f t="shared" si="377"/>
        <v xml:space="preserve">N711JA  </v>
      </c>
      <c r="BC850">
        <v>1</v>
      </c>
      <c r="BE850">
        <v>0</v>
      </c>
      <c r="BF850">
        <v>0</v>
      </c>
      <c r="BG850">
        <v>0</v>
      </c>
      <c r="BH850">
        <v>1125</v>
      </c>
      <c r="BI850">
        <v>1</v>
      </c>
      <c r="BJ850">
        <v>1</v>
      </c>
      <c r="BK850">
        <v>0</v>
      </c>
      <c r="BL850">
        <v>0</v>
      </c>
      <c r="BO850">
        <v>0</v>
      </c>
      <c r="BP850">
        <v>0</v>
      </c>
      <c r="BW850" t="str">
        <f t="shared" si="402"/>
        <v>14:42:30.383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343</v>
      </c>
      <c r="CR850">
        <v>2</v>
      </c>
      <c r="CW850">
        <v>13003493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ref="A851:A859" si="403">"05/12/2020 14:42:13.691"</f>
        <v>05/12/2020 14:42:13.691</v>
      </c>
      <c r="C851" t="str">
        <f t="shared" si="376"/>
        <v>FFDFD3C0</v>
      </c>
      <c r="D851" t="s">
        <v>138</v>
      </c>
      <c r="E851">
        <v>2</v>
      </c>
      <c r="H851">
        <v>8</v>
      </c>
      <c r="I851" t="s">
        <v>139</v>
      </c>
      <c r="J851" t="s">
        <v>136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ref="S851:S859" si="404">"14:42:31.477"</f>
        <v>14:42:31.477</v>
      </c>
      <c r="T851" t="str">
        <f t="shared" ref="T851:T859" si="405">"14:42:31.177"</f>
        <v>14:42:31.177</v>
      </c>
      <c r="U851" t="str">
        <f t="shared" si="398"/>
        <v>A9808D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306</v>
      </c>
      <c r="AJ851">
        <v>28.266362999999998</v>
      </c>
      <c r="AK851" t="s">
        <v>297</v>
      </c>
      <c r="AL851">
        <v>-82.380295000000004</v>
      </c>
      <c r="AM851">
        <v>100</v>
      </c>
      <c r="AN851">
        <v>1000</v>
      </c>
      <c r="AO851" t="s">
        <v>118</v>
      </c>
      <c r="AP851">
        <v>-2</v>
      </c>
      <c r="AQ851">
        <v>87</v>
      </c>
      <c r="AR851">
        <v>512</v>
      </c>
      <c r="AZ851">
        <v>1200</v>
      </c>
      <c r="BA851">
        <v>1</v>
      </c>
      <c r="BB851" t="str">
        <f t="shared" si="377"/>
        <v xml:space="preserve">N711JA  </v>
      </c>
      <c r="BC851">
        <v>1</v>
      </c>
      <c r="BE851">
        <v>0</v>
      </c>
      <c r="BF851">
        <v>0</v>
      </c>
      <c r="BG851">
        <v>0</v>
      </c>
      <c r="BH851">
        <v>1125</v>
      </c>
      <c r="BI851">
        <v>1</v>
      </c>
      <c r="BJ851">
        <v>1</v>
      </c>
      <c r="BK851">
        <v>0</v>
      </c>
      <c r="BL851">
        <v>0</v>
      </c>
      <c r="BO851">
        <v>0</v>
      </c>
      <c r="BP851">
        <v>0</v>
      </c>
      <c r="BW851" t="str">
        <f t="shared" ref="BW851:BW859" si="406">"14:42:31.484"</f>
        <v>14:42:31.484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343</v>
      </c>
      <c r="CR851">
        <v>2</v>
      </c>
      <c r="CW851">
        <v>13004230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403"/>
        <v>05/12/2020 14:42:13.691</v>
      </c>
      <c r="C852" t="str">
        <f t="shared" si="376"/>
        <v>FFDFD3C0</v>
      </c>
      <c r="D852" t="s">
        <v>138</v>
      </c>
      <c r="E852">
        <v>3</v>
      </c>
      <c r="H852">
        <v>9</v>
      </c>
      <c r="I852" t="s">
        <v>140</v>
      </c>
      <c r="J852" t="s">
        <v>136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04"/>
        <v>14:42:31.477</v>
      </c>
      <c r="T852" t="str">
        <f t="shared" si="405"/>
        <v>14:42:31.177</v>
      </c>
      <c r="U852" t="str">
        <f t="shared" si="398"/>
        <v>A9808D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306</v>
      </c>
      <c r="AJ852">
        <v>28.266362999999998</v>
      </c>
      <c r="AK852" t="s">
        <v>297</v>
      </c>
      <c r="AL852">
        <v>-82.380295000000004</v>
      </c>
      <c r="AM852">
        <v>100</v>
      </c>
      <c r="AN852">
        <v>1000</v>
      </c>
      <c r="AO852" t="s">
        <v>118</v>
      </c>
      <c r="AP852">
        <v>-2</v>
      </c>
      <c r="AQ852">
        <v>87</v>
      </c>
      <c r="AR852">
        <v>512</v>
      </c>
      <c r="AZ852">
        <v>1200</v>
      </c>
      <c r="BA852">
        <v>1</v>
      </c>
      <c r="BB852" t="str">
        <f t="shared" si="377"/>
        <v xml:space="preserve">N711JA  </v>
      </c>
      <c r="BC852">
        <v>1</v>
      </c>
      <c r="BE852">
        <v>0</v>
      </c>
      <c r="BF852">
        <v>0</v>
      </c>
      <c r="BG852">
        <v>0</v>
      </c>
      <c r="BH852">
        <v>1125</v>
      </c>
      <c r="BI852">
        <v>1</v>
      </c>
      <c r="BJ852">
        <v>1</v>
      </c>
      <c r="BK852">
        <v>0</v>
      </c>
      <c r="BL852">
        <v>0</v>
      </c>
      <c r="BO852">
        <v>0</v>
      </c>
      <c r="BP852">
        <v>0</v>
      </c>
      <c r="BW852" t="str">
        <f t="shared" si="406"/>
        <v>14:42:31.484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343</v>
      </c>
      <c r="CR852">
        <v>2</v>
      </c>
      <c r="CW852">
        <v>13004230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403"/>
        <v>05/12/2020 14:42:13.691</v>
      </c>
      <c r="C853" t="str">
        <f t="shared" si="376"/>
        <v>FFDFD3C0</v>
      </c>
      <c r="D853" t="s">
        <v>134</v>
      </c>
      <c r="E853">
        <v>12</v>
      </c>
      <c r="H853">
        <v>64</v>
      </c>
      <c r="I853" t="s">
        <v>135</v>
      </c>
      <c r="J853" t="s">
        <v>136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04"/>
        <v>14:42:31.477</v>
      </c>
      <c r="T853" t="str">
        <f t="shared" si="405"/>
        <v>14:42:31.177</v>
      </c>
      <c r="U853" t="str">
        <f t="shared" si="398"/>
        <v>A9808D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306</v>
      </c>
      <c r="AJ853">
        <v>28.266362999999998</v>
      </c>
      <c r="AK853" t="s">
        <v>297</v>
      </c>
      <c r="AL853">
        <v>-82.380295000000004</v>
      </c>
      <c r="AM853">
        <v>100</v>
      </c>
      <c r="AN853">
        <v>1000</v>
      </c>
      <c r="AO853" t="s">
        <v>118</v>
      </c>
      <c r="AP853">
        <v>-2</v>
      </c>
      <c r="AQ853">
        <v>87</v>
      </c>
      <c r="AR853">
        <v>512</v>
      </c>
      <c r="AZ853">
        <v>1200</v>
      </c>
      <c r="BA853">
        <v>1</v>
      </c>
      <c r="BB853" t="str">
        <f t="shared" si="377"/>
        <v xml:space="preserve">N711JA  </v>
      </c>
      <c r="BC853">
        <v>1</v>
      </c>
      <c r="BE853">
        <v>0</v>
      </c>
      <c r="BF853">
        <v>0</v>
      </c>
      <c r="BG853">
        <v>0</v>
      </c>
      <c r="BH853">
        <v>1125</v>
      </c>
      <c r="BI853">
        <v>1</v>
      </c>
      <c r="BJ853">
        <v>1</v>
      </c>
      <c r="BK853">
        <v>0</v>
      </c>
      <c r="BL853">
        <v>0</v>
      </c>
      <c r="BO853">
        <v>0</v>
      </c>
      <c r="BP853">
        <v>0</v>
      </c>
      <c r="BW853" t="str">
        <f t="shared" si="406"/>
        <v>14:42:31.484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343</v>
      </c>
      <c r="CR853">
        <v>2</v>
      </c>
      <c r="CW853">
        <v>13004230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si="403"/>
        <v>05/12/2020 14:42:13.691</v>
      </c>
      <c r="C854" t="str">
        <f t="shared" ref="C854:C917" si="407">"FFDFD3C0"</f>
        <v>FFDFD3C0</v>
      </c>
      <c r="D854" t="s">
        <v>126</v>
      </c>
      <c r="E854">
        <v>6</v>
      </c>
      <c r="F854">
        <v>1006</v>
      </c>
      <c r="G854" t="s">
        <v>114</v>
      </c>
      <c r="J854" t="s">
        <v>128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04"/>
        <v>14:42:31.477</v>
      </c>
      <c r="T854" t="str">
        <f t="shared" si="405"/>
        <v>14:42:31.177</v>
      </c>
      <c r="U854" t="str">
        <f t="shared" si="398"/>
        <v>A9808D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306</v>
      </c>
      <c r="AJ854">
        <v>28.266362999999998</v>
      </c>
      <c r="AK854" t="s">
        <v>297</v>
      </c>
      <c r="AL854">
        <v>-82.380295000000004</v>
      </c>
      <c r="AM854">
        <v>100</v>
      </c>
      <c r="AN854">
        <v>1000</v>
      </c>
      <c r="AO854" t="s">
        <v>118</v>
      </c>
      <c r="AP854">
        <v>-2</v>
      </c>
      <c r="AQ854">
        <v>87</v>
      </c>
      <c r="AR854">
        <v>512</v>
      </c>
      <c r="AZ854">
        <v>1200</v>
      </c>
      <c r="BA854">
        <v>1</v>
      </c>
      <c r="BB854" t="str">
        <f t="shared" ref="BB854:BB917" si="408">"N711JA  "</f>
        <v xml:space="preserve">N711JA  </v>
      </c>
      <c r="BC854">
        <v>1</v>
      </c>
      <c r="BE854">
        <v>0</v>
      </c>
      <c r="BF854">
        <v>0</v>
      </c>
      <c r="BG854">
        <v>0</v>
      </c>
      <c r="BH854">
        <v>1125</v>
      </c>
      <c r="BI854">
        <v>1</v>
      </c>
      <c r="BJ854">
        <v>1</v>
      </c>
      <c r="BK854">
        <v>0</v>
      </c>
      <c r="BL854">
        <v>0</v>
      </c>
      <c r="BO854">
        <v>0</v>
      </c>
      <c r="BP854">
        <v>0</v>
      </c>
      <c r="BW854" t="str">
        <f t="shared" si="406"/>
        <v>14:42:31.484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343</v>
      </c>
      <c r="CR854">
        <v>2</v>
      </c>
      <c r="CW854">
        <v>13004230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403"/>
        <v>05/12/2020 14:42:13.691</v>
      </c>
      <c r="C855" t="str">
        <f t="shared" si="407"/>
        <v>FFDFD3C0</v>
      </c>
      <c r="D855" t="s">
        <v>131</v>
      </c>
      <c r="E855">
        <v>12</v>
      </c>
      <c r="F855">
        <v>2012</v>
      </c>
      <c r="G855" t="s">
        <v>137</v>
      </c>
      <c r="J855" t="s">
        <v>133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04"/>
        <v>14:42:31.477</v>
      </c>
      <c r="T855" t="str">
        <f t="shared" si="405"/>
        <v>14:42:31.177</v>
      </c>
      <c r="U855" t="str">
        <f t="shared" si="398"/>
        <v>A9808D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306</v>
      </c>
      <c r="AJ855">
        <v>28.266362999999998</v>
      </c>
      <c r="AK855" t="s">
        <v>297</v>
      </c>
      <c r="AL855">
        <v>-82.380295000000004</v>
      </c>
      <c r="AM855">
        <v>100</v>
      </c>
      <c r="AN855">
        <v>1000</v>
      </c>
      <c r="AO855" t="s">
        <v>118</v>
      </c>
      <c r="AP855">
        <v>-2</v>
      </c>
      <c r="AQ855">
        <v>87</v>
      </c>
      <c r="AR855">
        <v>512</v>
      </c>
      <c r="AZ855">
        <v>1200</v>
      </c>
      <c r="BA855">
        <v>1</v>
      </c>
      <c r="BB855" t="str">
        <f t="shared" si="408"/>
        <v xml:space="preserve">N711JA  </v>
      </c>
      <c r="BC855">
        <v>1</v>
      </c>
      <c r="BE855">
        <v>0</v>
      </c>
      <c r="BF855">
        <v>0</v>
      </c>
      <c r="BG855">
        <v>0</v>
      </c>
      <c r="BH855">
        <v>1125</v>
      </c>
      <c r="BI855">
        <v>1</v>
      </c>
      <c r="BJ855">
        <v>1</v>
      </c>
      <c r="BK855">
        <v>0</v>
      </c>
      <c r="BL855">
        <v>0</v>
      </c>
      <c r="BO855">
        <v>0</v>
      </c>
      <c r="BP855">
        <v>0</v>
      </c>
      <c r="BW855" t="str">
        <f t="shared" si="406"/>
        <v>14:42:31.484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343</v>
      </c>
      <c r="CR855">
        <v>2</v>
      </c>
      <c r="CW855">
        <v>13004230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 t="shared" si="403"/>
        <v>05/12/2020 14:42:13.691</v>
      </c>
      <c r="C856" t="str">
        <f t="shared" si="407"/>
        <v>FFDFD3C0</v>
      </c>
      <c r="D856" t="s">
        <v>126</v>
      </c>
      <c r="E856">
        <v>7</v>
      </c>
      <c r="F856">
        <v>1007</v>
      </c>
      <c r="G856" t="s">
        <v>127</v>
      </c>
      <c r="J856" t="s">
        <v>128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404"/>
        <v>14:42:31.477</v>
      </c>
      <c r="T856" t="str">
        <f t="shared" si="405"/>
        <v>14:42:31.177</v>
      </c>
      <c r="U856" t="str">
        <f t="shared" si="398"/>
        <v>A9808D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306</v>
      </c>
      <c r="AJ856">
        <v>28.266362999999998</v>
      </c>
      <c r="AK856" t="s">
        <v>297</v>
      </c>
      <c r="AL856">
        <v>-82.380295000000004</v>
      </c>
      <c r="AM856">
        <v>100</v>
      </c>
      <c r="AN856">
        <v>1000</v>
      </c>
      <c r="AO856" t="s">
        <v>118</v>
      </c>
      <c r="AP856">
        <v>-2</v>
      </c>
      <c r="AQ856">
        <v>87</v>
      </c>
      <c r="AR856">
        <v>512</v>
      </c>
      <c r="AZ856">
        <v>1200</v>
      </c>
      <c r="BA856">
        <v>1</v>
      </c>
      <c r="BB856" t="str">
        <f t="shared" si="408"/>
        <v xml:space="preserve">N711JA  </v>
      </c>
      <c r="BC856">
        <v>1</v>
      </c>
      <c r="BE856">
        <v>0</v>
      </c>
      <c r="BF856">
        <v>0</v>
      </c>
      <c r="BG856">
        <v>0</v>
      </c>
      <c r="BH856">
        <v>1125</v>
      </c>
      <c r="BI856">
        <v>1</v>
      </c>
      <c r="BJ856">
        <v>1</v>
      </c>
      <c r="BK856">
        <v>0</v>
      </c>
      <c r="BL856">
        <v>0</v>
      </c>
      <c r="BO856">
        <v>0</v>
      </c>
      <c r="BP856">
        <v>0</v>
      </c>
      <c r="BW856" t="str">
        <f t="shared" si="406"/>
        <v>14:42:31.484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343</v>
      </c>
      <c r="CR856">
        <v>2</v>
      </c>
      <c r="CW856">
        <v>13004230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 t="shared" si="403"/>
        <v>05/12/2020 14:42:13.691</v>
      </c>
      <c r="C857" t="str">
        <f t="shared" si="407"/>
        <v>FFDFD3C0</v>
      </c>
      <c r="D857" t="s">
        <v>131</v>
      </c>
      <c r="E857">
        <v>10</v>
      </c>
      <c r="F857">
        <v>2010</v>
      </c>
      <c r="G857" t="s">
        <v>132</v>
      </c>
      <c r="J857" t="s">
        <v>133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04"/>
        <v>14:42:31.477</v>
      </c>
      <c r="T857" t="str">
        <f t="shared" si="405"/>
        <v>14:42:31.177</v>
      </c>
      <c r="U857" t="str">
        <f t="shared" si="398"/>
        <v>A9808D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306</v>
      </c>
      <c r="AJ857">
        <v>28.266362999999998</v>
      </c>
      <c r="AK857" t="s">
        <v>297</v>
      </c>
      <c r="AL857">
        <v>-82.380295000000004</v>
      </c>
      <c r="AM857">
        <v>100</v>
      </c>
      <c r="AN857">
        <v>1000</v>
      </c>
      <c r="AO857" t="s">
        <v>118</v>
      </c>
      <c r="AP857">
        <v>-2</v>
      </c>
      <c r="AQ857">
        <v>87</v>
      </c>
      <c r="AR857">
        <v>512</v>
      </c>
      <c r="AZ857">
        <v>1200</v>
      </c>
      <c r="BA857">
        <v>1</v>
      </c>
      <c r="BB857" t="str">
        <f t="shared" si="408"/>
        <v xml:space="preserve">N711JA  </v>
      </c>
      <c r="BC857">
        <v>1</v>
      </c>
      <c r="BE857">
        <v>0</v>
      </c>
      <c r="BF857">
        <v>0</v>
      </c>
      <c r="BG857">
        <v>0</v>
      </c>
      <c r="BH857">
        <v>1125</v>
      </c>
      <c r="BI857">
        <v>1</v>
      </c>
      <c r="BJ857">
        <v>1</v>
      </c>
      <c r="BK857">
        <v>0</v>
      </c>
      <c r="BL857">
        <v>0</v>
      </c>
      <c r="BO857">
        <v>0</v>
      </c>
      <c r="BP857">
        <v>0</v>
      </c>
      <c r="BW857" t="str">
        <f t="shared" si="406"/>
        <v>14:42:31.484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343</v>
      </c>
      <c r="CR857">
        <v>2</v>
      </c>
      <c r="CW857">
        <v>13004230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 t="shared" si="403"/>
        <v>05/12/2020 14:42:13.691</v>
      </c>
      <c r="C858" t="str">
        <f t="shared" si="407"/>
        <v>FFDFD3C0</v>
      </c>
      <c r="D858" t="s">
        <v>131</v>
      </c>
      <c r="E858">
        <v>18</v>
      </c>
      <c r="F858">
        <v>2018</v>
      </c>
      <c r="G858" t="s">
        <v>161</v>
      </c>
      <c r="J858" t="s">
        <v>133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404"/>
        <v>14:42:31.477</v>
      </c>
      <c r="T858" t="str">
        <f t="shared" si="405"/>
        <v>14:42:31.177</v>
      </c>
      <c r="U858" t="str">
        <f t="shared" si="398"/>
        <v>A9808D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306</v>
      </c>
      <c r="AJ858">
        <v>28.266362999999998</v>
      </c>
      <c r="AK858" t="s">
        <v>297</v>
      </c>
      <c r="AL858">
        <v>-82.380295000000004</v>
      </c>
      <c r="AM858">
        <v>100</v>
      </c>
      <c r="AN858">
        <v>1000</v>
      </c>
      <c r="AO858" t="s">
        <v>118</v>
      </c>
      <c r="AP858">
        <v>-2</v>
      </c>
      <c r="AQ858">
        <v>87</v>
      </c>
      <c r="AR858">
        <v>512</v>
      </c>
      <c r="AZ858">
        <v>1200</v>
      </c>
      <c r="BA858">
        <v>1</v>
      </c>
      <c r="BB858" t="str">
        <f t="shared" si="408"/>
        <v xml:space="preserve">N711JA  </v>
      </c>
      <c r="BC858">
        <v>1</v>
      </c>
      <c r="BE858">
        <v>0</v>
      </c>
      <c r="BF858">
        <v>0</v>
      </c>
      <c r="BG858">
        <v>0</v>
      </c>
      <c r="BH858">
        <v>1125</v>
      </c>
      <c r="BI858">
        <v>1</v>
      </c>
      <c r="BJ858">
        <v>1</v>
      </c>
      <c r="BK858">
        <v>0</v>
      </c>
      <c r="BL858">
        <v>0</v>
      </c>
      <c r="BO858">
        <v>0</v>
      </c>
      <c r="BP858">
        <v>0</v>
      </c>
      <c r="BW858" t="str">
        <f t="shared" si="406"/>
        <v>14:42:31.484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343</v>
      </c>
      <c r="CR858">
        <v>2</v>
      </c>
      <c r="CW858">
        <v>13004230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 t="shared" si="403"/>
        <v>05/12/2020 14:42:13.691</v>
      </c>
      <c r="C859" t="str">
        <f t="shared" si="407"/>
        <v>FFDFD3C0</v>
      </c>
      <c r="D859" t="s">
        <v>113</v>
      </c>
      <c r="E859">
        <v>3</v>
      </c>
      <c r="H859">
        <v>164</v>
      </c>
      <c r="I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04"/>
        <v>14:42:31.477</v>
      </c>
      <c r="T859" t="str">
        <f t="shared" si="405"/>
        <v>14:42:31.177</v>
      </c>
      <c r="U859" t="str">
        <f t="shared" si="398"/>
        <v>A9808D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306</v>
      </c>
      <c r="AJ859">
        <v>28.266362999999998</v>
      </c>
      <c r="AK859" t="s">
        <v>297</v>
      </c>
      <c r="AL859">
        <v>-82.380295000000004</v>
      </c>
      <c r="AM859">
        <v>100</v>
      </c>
      <c r="AN859">
        <v>1000</v>
      </c>
      <c r="AO859" t="s">
        <v>118</v>
      </c>
      <c r="AP859">
        <v>-2</v>
      </c>
      <c r="AQ859">
        <v>87</v>
      </c>
      <c r="AR859">
        <v>512</v>
      </c>
      <c r="AZ859">
        <v>1200</v>
      </c>
      <c r="BA859">
        <v>1</v>
      </c>
      <c r="BB859" t="str">
        <f t="shared" si="408"/>
        <v xml:space="preserve">N711JA  </v>
      </c>
      <c r="BC859">
        <v>1</v>
      </c>
      <c r="BE859">
        <v>0</v>
      </c>
      <c r="BF859">
        <v>0</v>
      </c>
      <c r="BG859">
        <v>0</v>
      </c>
      <c r="BH859">
        <v>1125</v>
      </c>
      <c r="BI859">
        <v>1</v>
      </c>
      <c r="BJ859">
        <v>1</v>
      </c>
      <c r="BK859">
        <v>0</v>
      </c>
      <c r="BL859">
        <v>0</v>
      </c>
      <c r="BO859">
        <v>0</v>
      </c>
      <c r="BP859">
        <v>0</v>
      </c>
      <c r="BW859" t="str">
        <f t="shared" si="406"/>
        <v>14:42:31.484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343</v>
      </c>
      <c r="CR859">
        <v>2</v>
      </c>
      <c r="CW859">
        <v>13004230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 t="shared" ref="A860:A868" si="409">"05/12/2020 14:42:14.527"</f>
        <v>05/12/2020 14:42:14.527</v>
      </c>
      <c r="C860" t="str">
        <f t="shared" si="407"/>
        <v>FFDFD3C0</v>
      </c>
      <c r="D860" t="s">
        <v>131</v>
      </c>
      <c r="E860">
        <v>12</v>
      </c>
      <c r="F860">
        <v>2012</v>
      </c>
      <c r="G860" t="s">
        <v>137</v>
      </c>
      <c r="J860" t="s">
        <v>133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ref="S860:S868" si="410">"14:42:32.367"</f>
        <v>14:42:32.367</v>
      </c>
      <c r="T860" t="str">
        <f t="shared" ref="T860:T868" si="411">"14:42:32.067"</f>
        <v>14:42:32.067</v>
      </c>
      <c r="U860" t="str">
        <f t="shared" si="398"/>
        <v>A9808D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307</v>
      </c>
      <c r="AJ860">
        <v>28.266684999999999</v>
      </c>
      <c r="AK860" t="s">
        <v>297</v>
      </c>
      <c r="AL860">
        <v>-82.380295000000004</v>
      </c>
      <c r="AM860">
        <v>100</v>
      </c>
      <c r="AN860">
        <v>1000</v>
      </c>
      <c r="AO860" t="s">
        <v>118</v>
      </c>
      <c r="AP860">
        <v>-2</v>
      </c>
      <c r="AQ860">
        <v>87</v>
      </c>
      <c r="AR860">
        <v>576</v>
      </c>
      <c r="AZ860">
        <v>1200</v>
      </c>
      <c r="BA860">
        <v>1</v>
      </c>
      <c r="BB860" t="str">
        <f t="shared" si="408"/>
        <v xml:space="preserve">N711JA  </v>
      </c>
      <c r="BC860">
        <v>1</v>
      </c>
      <c r="BE860">
        <v>0</v>
      </c>
      <c r="BF860">
        <v>0</v>
      </c>
      <c r="BG860">
        <v>0</v>
      </c>
      <c r="BH860">
        <v>1125</v>
      </c>
      <c r="BI860">
        <v>1</v>
      </c>
      <c r="BJ860">
        <v>1</v>
      </c>
      <c r="BK860">
        <v>0</v>
      </c>
      <c r="BL860">
        <v>0</v>
      </c>
      <c r="BO860">
        <v>0</v>
      </c>
      <c r="BP860">
        <v>0</v>
      </c>
      <c r="BW860" t="str">
        <f t="shared" ref="BW860:BW868" si="412">"14:42:32.370"</f>
        <v>14:42:32.370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343</v>
      </c>
      <c r="CR860">
        <v>1</v>
      </c>
      <c r="CW860">
        <v>10602892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 t="shared" si="409"/>
        <v>05/12/2020 14:42:14.527</v>
      </c>
      <c r="C861" t="str">
        <f t="shared" si="407"/>
        <v>FFDFD3C0</v>
      </c>
      <c r="D861" t="s">
        <v>131</v>
      </c>
      <c r="E861">
        <v>10</v>
      </c>
      <c r="F861">
        <v>2010</v>
      </c>
      <c r="G861" t="s">
        <v>132</v>
      </c>
      <c r="J861" t="s">
        <v>133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10"/>
        <v>14:42:32.367</v>
      </c>
      <c r="T861" t="str">
        <f t="shared" si="411"/>
        <v>14:42:32.067</v>
      </c>
      <c r="U861" t="str">
        <f t="shared" si="398"/>
        <v>A9808D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307</v>
      </c>
      <c r="AJ861">
        <v>28.266684999999999</v>
      </c>
      <c r="AK861" t="s">
        <v>297</v>
      </c>
      <c r="AL861">
        <v>-82.380295000000004</v>
      </c>
      <c r="AM861">
        <v>100</v>
      </c>
      <c r="AN861">
        <v>1000</v>
      </c>
      <c r="AO861" t="s">
        <v>118</v>
      </c>
      <c r="AP861">
        <v>-2</v>
      </c>
      <c r="AQ861">
        <v>87</v>
      </c>
      <c r="AR861">
        <v>576</v>
      </c>
      <c r="AZ861">
        <v>1200</v>
      </c>
      <c r="BA861">
        <v>1</v>
      </c>
      <c r="BB861" t="str">
        <f t="shared" si="408"/>
        <v xml:space="preserve">N711JA  </v>
      </c>
      <c r="BC861">
        <v>1</v>
      </c>
      <c r="BE861">
        <v>0</v>
      </c>
      <c r="BF861">
        <v>0</v>
      </c>
      <c r="BG861">
        <v>0</v>
      </c>
      <c r="BH861">
        <v>1125</v>
      </c>
      <c r="BI861">
        <v>1</v>
      </c>
      <c r="BJ861">
        <v>1</v>
      </c>
      <c r="BK861">
        <v>0</v>
      </c>
      <c r="BL861">
        <v>0</v>
      </c>
      <c r="BO861">
        <v>0</v>
      </c>
      <c r="BP861">
        <v>0</v>
      </c>
      <c r="BW861" t="str">
        <f t="shared" si="412"/>
        <v>14:42:32.370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343</v>
      </c>
      <c r="CR861">
        <v>1</v>
      </c>
      <c r="CW861">
        <v>10602892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 t="shared" si="409"/>
        <v>05/12/2020 14:42:14.527</v>
      </c>
      <c r="C862" t="str">
        <f t="shared" si="407"/>
        <v>FFDFD3C0</v>
      </c>
      <c r="D862" t="s">
        <v>131</v>
      </c>
      <c r="E862">
        <v>18</v>
      </c>
      <c r="F862">
        <v>2018</v>
      </c>
      <c r="G862" t="s">
        <v>161</v>
      </c>
      <c r="J862" t="s">
        <v>133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10"/>
        <v>14:42:32.367</v>
      </c>
      <c r="T862" t="str">
        <f t="shared" si="411"/>
        <v>14:42:32.067</v>
      </c>
      <c r="U862" t="str">
        <f t="shared" si="398"/>
        <v>A9808D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307</v>
      </c>
      <c r="AJ862">
        <v>28.266684999999999</v>
      </c>
      <c r="AK862" t="s">
        <v>297</v>
      </c>
      <c r="AL862">
        <v>-82.380295000000004</v>
      </c>
      <c r="AM862">
        <v>100</v>
      </c>
      <c r="AN862">
        <v>1000</v>
      </c>
      <c r="AO862" t="s">
        <v>118</v>
      </c>
      <c r="AP862">
        <v>-2</v>
      </c>
      <c r="AQ862">
        <v>87</v>
      </c>
      <c r="AR862">
        <v>576</v>
      </c>
      <c r="AZ862">
        <v>1200</v>
      </c>
      <c r="BA862">
        <v>1</v>
      </c>
      <c r="BB862" t="str">
        <f t="shared" si="408"/>
        <v xml:space="preserve">N711JA  </v>
      </c>
      <c r="BC862">
        <v>1</v>
      </c>
      <c r="BE862">
        <v>0</v>
      </c>
      <c r="BF862">
        <v>0</v>
      </c>
      <c r="BG862">
        <v>0</v>
      </c>
      <c r="BH862">
        <v>1125</v>
      </c>
      <c r="BI862">
        <v>1</v>
      </c>
      <c r="BJ862">
        <v>1</v>
      </c>
      <c r="BK862">
        <v>0</v>
      </c>
      <c r="BL862">
        <v>0</v>
      </c>
      <c r="BO862">
        <v>0</v>
      </c>
      <c r="BP862">
        <v>0</v>
      </c>
      <c r="BW862" t="str">
        <f t="shared" si="412"/>
        <v>14:42:32.370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343</v>
      </c>
      <c r="CR862">
        <v>1</v>
      </c>
      <c r="CW862">
        <v>10602892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 t="shared" si="409"/>
        <v>05/12/2020 14:42:14.527</v>
      </c>
      <c r="C863" t="str">
        <f t="shared" si="407"/>
        <v>FFDFD3C0</v>
      </c>
      <c r="D863" t="s">
        <v>113</v>
      </c>
      <c r="E863">
        <v>3</v>
      </c>
      <c r="H863">
        <v>164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10"/>
        <v>14:42:32.367</v>
      </c>
      <c r="T863" t="str">
        <f t="shared" si="411"/>
        <v>14:42:32.067</v>
      </c>
      <c r="U863" t="str">
        <f t="shared" si="398"/>
        <v>A9808D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307</v>
      </c>
      <c r="AJ863">
        <v>28.266684999999999</v>
      </c>
      <c r="AK863" t="s">
        <v>297</v>
      </c>
      <c r="AL863">
        <v>-82.380295000000004</v>
      </c>
      <c r="AM863">
        <v>100</v>
      </c>
      <c r="AN863">
        <v>1000</v>
      </c>
      <c r="AO863" t="s">
        <v>118</v>
      </c>
      <c r="AP863">
        <v>-2</v>
      </c>
      <c r="AQ863">
        <v>87</v>
      </c>
      <c r="AR863">
        <v>576</v>
      </c>
      <c r="AZ863">
        <v>1200</v>
      </c>
      <c r="BA863">
        <v>1</v>
      </c>
      <c r="BB863" t="str">
        <f t="shared" si="408"/>
        <v xml:space="preserve">N711JA  </v>
      </c>
      <c r="BC863">
        <v>1</v>
      </c>
      <c r="BE863">
        <v>0</v>
      </c>
      <c r="BF863">
        <v>0</v>
      </c>
      <c r="BG863">
        <v>0</v>
      </c>
      <c r="BH863">
        <v>1125</v>
      </c>
      <c r="BI863">
        <v>1</v>
      </c>
      <c r="BJ863">
        <v>1</v>
      </c>
      <c r="BK863">
        <v>0</v>
      </c>
      <c r="BL863">
        <v>0</v>
      </c>
      <c r="BO863">
        <v>0</v>
      </c>
      <c r="BP863">
        <v>0</v>
      </c>
      <c r="BW863" t="str">
        <f t="shared" si="412"/>
        <v>14:42:32.370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343</v>
      </c>
      <c r="CR863">
        <v>1</v>
      </c>
      <c r="CW863">
        <v>10602892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 t="shared" si="409"/>
        <v>05/12/2020 14:42:14.527</v>
      </c>
      <c r="C864" t="str">
        <f t="shared" si="407"/>
        <v>FFDFD3C0</v>
      </c>
      <c r="D864" t="s">
        <v>138</v>
      </c>
      <c r="E864">
        <v>2</v>
      </c>
      <c r="H864">
        <v>8</v>
      </c>
      <c r="I864" t="s">
        <v>139</v>
      </c>
      <c r="J864" t="s">
        <v>136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10"/>
        <v>14:42:32.367</v>
      </c>
      <c r="T864" t="str">
        <f t="shared" si="411"/>
        <v>14:42:32.067</v>
      </c>
      <c r="U864" t="str">
        <f t="shared" si="398"/>
        <v>A9808D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307</v>
      </c>
      <c r="AJ864">
        <v>28.266684999999999</v>
      </c>
      <c r="AK864" t="s">
        <v>297</v>
      </c>
      <c r="AL864">
        <v>-82.380295000000004</v>
      </c>
      <c r="AM864">
        <v>100</v>
      </c>
      <c r="AN864">
        <v>1000</v>
      </c>
      <c r="AO864" t="s">
        <v>118</v>
      </c>
      <c r="AP864">
        <v>-2</v>
      </c>
      <c r="AQ864">
        <v>87</v>
      </c>
      <c r="AR864">
        <v>576</v>
      </c>
      <c r="AZ864">
        <v>1200</v>
      </c>
      <c r="BA864">
        <v>1</v>
      </c>
      <c r="BB864" t="str">
        <f t="shared" si="408"/>
        <v xml:space="preserve">N711JA  </v>
      </c>
      <c r="BC864">
        <v>1</v>
      </c>
      <c r="BE864">
        <v>0</v>
      </c>
      <c r="BF864">
        <v>0</v>
      </c>
      <c r="BG864">
        <v>0</v>
      </c>
      <c r="BH864">
        <v>1125</v>
      </c>
      <c r="BI864">
        <v>1</v>
      </c>
      <c r="BJ864">
        <v>1</v>
      </c>
      <c r="BK864">
        <v>0</v>
      </c>
      <c r="BL864">
        <v>0</v>
      </c>
      <c r="BO864">
        <v>0</v>
      </c>
      <c r="BP864">
        <v>0</v>
      </c>
      <c r="BW864" t="str">
        <f t="shared" si="412"/>
        <v>14:42:32.370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343</v>
      </c>
      <c r="CR864">
        <v>1</v>
      </c>
      <c r="CW864">
        <v>10602892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 t="shared" si="409"/>
        <v>05/12/2020 14:42:14.527</v>
      </c>
      <c r="C865" t="str">
        <f t="shared" si="407"/>
        <v>FFDFD3C0</v>
      </c>
      <c r="D865" t="s">
        <v>138</v>
      </c>
      <c r="E865">
        <v>3</v>
      </c>
      <c r="H865">
        <v>9</v>
      </c>
      <c r="I865" t="s">
        <v>140</v>
      </c>
      <c r="J865" t="s">
        <v>136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410"/>
        <v>14:42:32.367</v>
      </c>
      <c r="T865" t="str">
        <f t="shared" si="411"/>
        <v>14:42:32.067</v>
      </c>
      <c r="U865" t="str">
        <f t="shared" si="398"/>
        <v>A9808D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307</v>
      </c>
      <c r="AJ865">
        <v>28.266684999999999</v>
      </c>
      <c r="AK865" t="s">
        <v>297</v>
      </c>
      <c r="AL865">
        <v>-82.380295000000004</v>
      </c>
      <c r="AM865">
        <v>100</v>
      </c>
      <c r="AN865">
        <v>1000</v>
      </c>
      <c r="AO865" t="s">
        <v>118</v>
      </c>
      <c r="AP865">
        <v>-2</v>
      </c>
      <c r="AQ865">
        <v>87</v>
      </c>
      <c r="AR865">
        <v>576</v>
      </c>
      <c r="AZ865">
        <v>1200</v>
      </c>
      <c r="BA865">
        <v>1</v>
      </c>
      <c r="BB865" t="str">
        <f t="shared" si="408"/>
        <v xml:space="preserve">N711JA  </v>
      </c>
      <c r="BC865">
        <v>1</v>
      </c>
      <c r="BE865">
        <v>0</v>
      </c>
      <c r="BF865">
        <v>0</v>
      </c>
      <c r="BG865">
        <v>0</v>
      </c>
      <c r="BH865">
        <v>1125</v>
      </c>
      <c r="BI865">
        <v>1</v>
      </c>
      <c r="BJ865">
        <v>1</v>
      </c>
      <c r="BK865">
        <v>0</v>
      </c>
      <c r="BL865">
        <v>0</v>
      </c>
      <c r="BO865">
        <v>0</v>
      </c>
      <c r="BP865">
        <v>0</v>
      </c>
      <c r="BW865" t="str">
        <f t="shared" si="412"/>
        <v>14:42:32.370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343</v>
      </c>
      <c r="CR865">
        <v>1</v>
      </c>
      <c r="CW865">
        <v>10602892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si="409"/>
        <v>05/12/2020 14:42:14.527</v>
      </c>
      <c r="C866" t="str">
        <f t="shared" si="407"/>
        <v>FFDFD3C0</v>
      </c>
      <c r="D866" t="s">
        <v>126</v>
      </c>
      <c r="E866">
        <v>6</v>
      </c>
      <c r="F866">
        <v>1006</v>
      </c>
      <c r="G866" t="s">
        <v>114</v>
      </c>
      <c r="J866" t="s">
        <v>128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10"/>
        <v>14:42:32.367</v>
      </c>
      <c r="T866" t="str">
        <f t="shared" si="411"/>
        <v>14:42:32.067</v>
      </c>
      <c r="U866" t="str">
        <f t="shared" si="398"/>
        <v>A9808D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307</v>
      </c>
      <c r="AJ866">
        <v>28.266684999999999</v>
      </c>
      <c r="AK866" t="s">
        <v>297</v>
      </c>
      <c r="AL866">
        <v>-82.380295000000004</v>
      </c>
      <c r="AM866">
        <v>100</v>
      </c>
      <c r="AN866">
        <v>1000</v>
      </c>
      <c r="AO866" t="s">
        <v>118</v>
      </c>
      <c r="AP866">
        <v>-2</v>
      </c>
      <c r="AQ866">
        <v>87</v>
      </c>
      <c r="AR866">
        <v>576</v>
      </c>
      <c r="AZ866">
        <v>1200</v>
      </c>
      <c r="BA866">
        <v>1</v>
      </c>
      <c r="BB866" t="str">
        <f t="shared" si="408"/>
        <v xml:space="preserve">N711JA  </v>
      </c>
      <c r="BC866">
        <v>1</v>
      </c>
      <c r="BE866">
        <v>0</v>
      </c>
      <c r="BF866">
        <v>0</v>
      </c>
      <c r="BG866">
        <v>0</v>
      </c>
      <c r="BH866">
        <v>1125</v>
      </c>
      <c r="BI866">
        <v>1</v>
      </c>
      <c r="BJ866">
        <v>1</v>
      </c>
      <c r="BK866">
        <v>0</v>
      </c>
      <c r="BL866">
        <v>0</v>
      </c>
      <c r="BO866">
        <v>0</v>
      </c>
      <c r="BP866">
        <v>0</v>
      </c>
      <c r="BW866" t="str">
        <f t="shared" si="412"/>
        <v>14:42:32.370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343</v>
      </c>
      <c r="CR866">
        <v>1</v>
      </c>
      <c r="CW866">
        <v>10602892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si="409"/>
        <v>05/12/2020 14:42:14.527</v>
      </c>
      <c r="C867" t="str">
        <f t="shared" si="407"/>
        <v>FFDFD3C0</v>
      </c>
      <c r="D867" t="s">
        <v>134</v>
      </c>
      <c r="E867">
        <v>12</v>
      </c>
      <c r="H867">
        <v>64</v>
      </c>
      <c r="I867" t="s">
        <v>135</v>
      </c>
      <c r="J867" t="s">
        <v>136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10"/>
        <v>14:42:32.367</v>
      </c>
      <c r="T867" t="str">
        <f t="shared" si="411"/>
        <v>14:42:32.067</v>
      </c>
      <c r="U867" t="str">
        <f t="shared" si="398"/>
        <v>A9808D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307</v>
      </c>
      <c r="AJ867">
        <v>28.266684999999999</v>
      </c>
      <c r="AK867" t="s">
        <v>297</v>
      </c>
      <c r="AL867">
        <v>-82.380295000000004</v>
      </c>
      <c r="AM867">
        <v>100</v>
      </c>
      <c r="AN867">
        <v>1000</v>
      </c>
      <c r="AO867" t="s">
        <v>118</v>
      </c>
      <c r="AP867">
        <v>-2</v>
      </c>
      <c r="AQ867">
        <v>87</v>
      </c>
      <c r="AR867">
        <v>576</v>
      </c>
      <c r="AZ867">
        <v>1200</v>
      </c>
      <c r="BA867">
        <v>1</v>
      </c>
      <c r="BB867" t="str">
        <f t="shared" si="408"/>
        <v xml:space="preserve">N711JA  </v>
      </c>
      <c r="BC867">
        <v>1</v>
      </c>
      <c r="BE867">
        <v>0</v>
      </c>
      <c r="BF867">
        <v>0</v>
      </c>
      <c r="BG867">
        <v>0</v>
      </c>
      <c r="BH867">
        <v>1125</v>
      </c>
      <c r="BI867">
        <v>1</v>
      </c>
      <c r="BJ867">
        <v>1</v>
      </c>
      <c r="BK867">
        <v>0</v>
      </c>
      <c r="BL867">
        <v>0</v>
      </c>
      <c r="BO867">
        <v>0</v>
      </c>
      <c r="BP867">
        <v>0</v>
      </c>
      <c r="BW867" t="str">
        <f t="shared" si="412"/>
        <v>14:42:32.370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343</v>
      </c>
      <c r="CR867">
        <v>1</v>
      </c>
      <c r="CW867">
        <v>10602892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409"/>
        <v>05/12/2020 14:42:14.527</v>
      </c>
      <c r="C868" t="str">
        <f t="shared" si="407"/>
        <v>FFDFD3C0</v>
      </c>
      <c r="D868" t="s">
        <v>126</v>
      </c>
      <c r="E868">
        <v>7</v>
      </c>
      <c r="F868">
        <v>1007</v>
      </c>
      <c r="G868" t="s">
        <v>127</v>
      </c>
      <c r="J868" t="s">
        <v>128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10"/>
        <v>14:42:32.367</v>
      </c>
      <c r="T868" t="str">
        <f t="shared" si="411"/>
        <v>14:42:32.067</v>
      </c>
      <c r="U868" t="str">
        <f t="shared" si="398"/>
        <v>A9808D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307</v>
      </c>
      <c r="AJ868">
        <v>28.266684999999999</v>
      </c>
      <c r="AK868" t="s">
        <v>297</v>
      </c>
      <c r="AL868">
        <v>-82.380295000000004</v>
      </c>
      <c r="AM868">
        <v>100</v>
      </c>
      <c r="AN868">
        <v>1000</v>
      </c>
      <c r="AO868" t="s">
        <v>118</v>
      </c>
      <c r="AP868">
        <v>-2</v>
      </c>
      <c r="AQ868">
        <v>87</v>
      </c>
      <c r="AR868">
        <v>576</v>
      </c>
      <c r="AZ868">
        <v>1200</v>
      </c>
      <c r="BA868">
        <v>1</v>
      </c>
      <c r="BB868" t="str">
        <f t="shared" si="408"/>
        <v xml:space="preserve">N711JA  </v>
      </c>
      <c r="BC868">
        <v>1</v>
      </c>
      <c r="BE868">
        <v>0</v>
      </c>
      <c r="BF868">
        <v>0</v>
      </c>
      <c r="BG868">
        <v>0</v>
      </c>
      <c r="BH868">
        <v>1125</v>
      </c>
      <c r="BI868">
        <v>1</v>
      </c>
      <c r="BJ868">
        <v>1</v>
      </c>
      <c r="BK868">
        <v>0</v>
      </c>
      <c r="BL868">
        <v>0</v>
      </c>
      <c r="BO868">
        <v>0</v>
      </c>
      <c r="BP868">
        <v>0</v>
      </c>
      <c r="BW868" t="str">
        <f t="shared" si="412"/>
        <v>14:42:32.370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343</v>
      </c>
      <c r="CR868">
        <v>1</v>
      </c>
      <c r="CW868">
        <v>10602892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ref="A869:A877" si="413">"05/12/2020 14:42:15.612"</f>
        <v>05/12/2020 14:42:15.612</v>
      </c>
      <c r="C869" t="str">
        <f t="shared" si="407"/>
        <v>FFDFD3C0</v>
      </c>
      <c r="D869" t="s">
        <v>113</v>
      </c>
      <c r="E869">
        <v>3</v>
      </c>
      <c r="H869">
        <v>164</v>
      </c>
      <c r="I869" t="s">
        <v>114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ref="S869:S877" si="414">"14:42:33.445"</f>
        <v>14:42:33.445</v>
      </c>
      <c r="T869" t="str">
        <f t="shared" ref="T869:T877" si="415">"14:42:33.145"</f>
        <v>14:42:33.145</v>
      </c>
      <c r="U869" t="str">
        <f t="shared" si="398"/>
        <v>A9808D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308</v>
      </c>
      <c r="AJ869">
        <v>28.267113999999999</v>
      </c>
      <c r="AK869" t="s">
        <v>144</v>
      </c>
      <c r="AL869">
        <v>-82.380337999999995</v>
      </c>
      <c r="AM869">
        <v>100</v>
      </c>
      <c r="AN869">
        <v>1000</v>
      </c>
      <c r="AO869" t="s">
        <v>118</v>
      </c>
      <c r="AP869">
        <v>-2</v>
      </c>
      <c r="AQ869">
        <v>87</v>
      </c>
      <c r="AR869">
        <v>768</v>
      </c>
      <c r="AZ869">
        <v>1200</v>
      </c>
      <c r="BA869">
        <v>1</v>
      </c>
      <c r="BB869" t="str">
        <f t="shared" si="408"/>
        <v xml:space="preserve">N711JA  </v>
      </c>
      <c r="BC869">
        <v>1</v>
      </c>
      <c r="BE869">
        <v>0</v>
      </c>
      <c r="BF869">
        <v>0</v>
      </c>
      <c r="BG869">
        <v>0</v>
      </c>
      <c r="BH869">
        <v>1150</v>
      </c>
      <c r="BI869">
        <v>1</v>
      </c>
      <c r="BJ869">
        <v>1</v>
      </c>
      <c r="BK869">
        <v>0</v>
      </c>
      <c r="BL869">
        <v>0</v>
      </c>
      <c r="BO869">
        <v>0</v>
      </c>
      <c r="BP869">
        <v>0</v>
      </c>
      <c r="BW869" t="str">
        <f t="shared" ref="BW869:BW877" si="416">"14:42:33.448"</f>
        <v>14:42:33.448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343</v>
      </c>
      <c r="CR869">
        <v>1</v>
      </c>
      <c r="CW869">
        <v>10604020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413"/>
        <v>05/12/2020 14:42:15.612</v>
      </c>
      <c r="C870" t="str">
        <f t="shared" si="407"/>
        <v>FFDFD3C0</v>
      </c>
      <c r="D870" t="s">
        <v>138</v>
      </c>
      <c r="E870">
        <v>3</v>
      </c>
      <c r="H870">
        <v>9</v>
      </c>
      <c r="I870" t="s">
        <v>140</v>
      </c>
      <c r="J870" t="s">
        <v>136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414"/>
        <v>14:42:33.445</v>
      </c>
      <c r="T870" t="str">
        <f t="shared" si="415"/>
        <v>14:42:33.145</v>
      </c>
      <c r="U870" t="str">
        <f t="shared" si="398"/>
        <v>A9808D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308</v>
      </c>
      <c r="AJ870">
        <v>28.267113999999999</v>
      </c>
      <c r="AK870" t="s">
        <v>144</v>
      </c>
      <c r="AL870">
        <v>-82.380337999999995</v>
      </c>
      <c r="AM870">
        <v>100</v>
      </c>
      <c r="AN870">
        <v>1000</v>
      </c>
      <c r="AO870" t="s">
        <v>118</v>
      </c>
      <c r="AP870">
        <v>-2</v>
      </c>
      <c r="AQ870">
        <v>87</v>
      </c>
      <c r="AR870">
        <v>768</v>
      </c>
      <c r="AZ870">
        <v>1200</v>
      </c>
      <c r="BA870">
        <v>1</v>
      </c>
      <c r="BB870" t="str">
        <f t="shared" si="408"/>
        <v xml:space="preserve">N711JA  </v>
      </c>
      <c r="BC870">
        <v>1</v>
      </c>
      <c r="BE870">
        <v>0</v>
      </c>
      <c r="BF870">
        <v>0</v>
      </c>
      <c r="BG870">
        <v>0</v>
      </c>
      <c r="BH870">
        <v>1150</v>
      </c>
      <c r="BI870">
        <v>1</v>
      </c>
      <c r="BJ870">
        <v>1</v>
      </c>
      <c r="BK870">
        <v>0</v>
      </c>
      <c r="BL870">
        <v>0</v>
      </c>
      <c r="BO870">
        <v>0</v>
      </c>
      <c r="BP870">
        <v>0</v>
      </c>
      <c r="BW870" t="str">
        <f t="shared" si="416"/>
        <v>14:42:33.448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343</v>
      </c>
      <c r="CR870">
        <v>1</v>
      </c>
      <c r="CW870">
        <v>10604020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413"/>
        <v>05/12/2020 14:42:15.612</v>
      </c>
      <c r="C871" t="str">
        <f t="shared" si="407"/>
        <v>FFDFD3C0</v>
      </c>
      <c r="D871" t="s">
        <v>138</v>
      </c>
      <c r="E871">
        <v>2</v>
      </c>
      <c r="H871">
        <v>8</v>
      </c>
      <c r="I871" t="s">
        <v>139</v>
      </c>
      <c r="J871" t="s">
        <v>136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14"/>
        <v>14:42:33.445</v>
      </c>
      <c r="T871" t="str">
        <f t="shared" si="415"/>
        <v>14:42:33.145</v>
      </c>
      <c r="U871" t="str">
        <f t="shared" si="398"/>
        <v>A9808D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308</v>
      </c>
      <c r="AJ871">
        <v>28.267113999999999</v>
      </c>
      <c r="AK871" t="s">
        <v>144</v>
      </c>
      <c r="AL871">
        <v>-82.380337999999995</v>
      </c>
      <c r="AM871">
        <v>100</v>
      </c>
      <c r="AN871">
        <v>1000</v>
      </c>
      <c r="AO871" t="s">
        <v>118</v>
      </c>
      <c r="AP871">
        <v>-2</v>
      </c>
      <c r="AQ871">
        <v>87</v>
      </c>
      <c r="AR871">
        <v>768</v>
      </c>
      <c r="AZ871">
        <v>1200</v>
      </c>
      <c r="BA871">
        <v>1</v>
      </c>
      <c r="BB871" t="str">
        <f t="shared" si="408"/>
        <v xml:space="preserve">N711JA  </v>
      </c>
      <c r="BC871">
        <v>1</v>
      </c>
      <c r="BE871">
        <v>0</v>
      </c>
      <c r="BF871">
        <v>0</v>
      </c>
      <c r="BG871">
        <v>0</v>
      </c>
      <c r="BH871">
        <v>1150</v>
      </c>
      <c r="BI871">
        <v>1</v>
      </c>
      <c r="BJ871">
        <v>1</v>
      </c>
      <c r="BK871">
        <v>0</v>
      </c>
      <c r="BL871">
        <v>0</v>
      </c>
      <c r="BO871">
        <v>0</v>
      </c>
      <c r="BP871">
        <v>0</v>
      </c>
      <c r="BW871" t="str">
        <f t="shared" si="416"/>
        <v>14:42:33.448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343</v>
      </c>
      <c r="CR871">
        <v>1</v>
      </c>
      <c r="CW871">
        <v>10604020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 t="shared" si="413"/>
        <v>05/12/2020 14:42:15.612</v>
      </c>
      <c r="C872" t="str">
        <f t="shared" si="407"/>
        <v>FFDFD3C0</v>
      </c>
      <c r="D872" t="s">
        <v>126</v>
      </c>
      <c r="E872">
        <v>6</v>
      </c>
      <c r="F872">
        <v>1006</v>
      </c>
      <c r="G872" t="s">
        <v>114</v>
      </c>
      <c r="J872" t="s">
        <v>128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414"/>
        <v>14:42:33.445</v>
      </c>
      <c r="T872" t="str">
        <f t="shared" si="415"/>
        <v>14:42:33.145</v>
      </c>
      <c r="U872" t="str">
        <f t="shared" si="398"/>
        <v>A9808D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308</v>
      </c>
      <c r="AJ872">
        <v>28.267113999999999</v>
      </c>
      <c r="AK872" t="s">
        <v>144</v>
      </c>
      <c r="AL872">
        <v>-82.380337999999995</v>
      </c>
      <c r="AM872">
        <v>100</v>
      </c>
      <c r="AN872">
        <v>1000</v>
      </c>
      <c r="AO872" t="s">
        <v>118</v>
      </c>
      <c r="AP872">
        <v>-2</v>
      </c>
      <c r="AQ872">
        <v>87</v>
      </c>
      <c r="AR872">
        <v>768</v>
      </c>
      <c r="AZ872">
        <v>1200</v>
      </c>
      <c r="BA872">
        <v>1</v>
      </c>
      <c r="BB872" t="str">
        <f t="shared" si="408"/>
        <v xml:space="preserve">N711JA  </v>
      </c>
      <c r="BC872">
        <v>1</v>
      </c>
      <c r="BE872">
        <v>0</v>
      </c>
      <c r="BF872">
        <v>0</v>
      </c>
      <c r="BG872">
        <v>0</v>
      </c>
      <c r="BH872">
        <v>1150</v>
      </c>
      <c r="BI872">
        <v>1</v>
      </c>
      <c r="BJ872">
        <v>1</v>
      </c>
      <c r="BK872">
        <v>0</v>
      </c>
      <c r="BL872">
        <v>0</v>
      </c>
      <c r="BO872">
        <v>0</v>
      </c>
      <c r="BP872">
        <v>0</v>
      </c>
      <c r="BW872" t="str">
        <f t="shared" si="416"/>
        <v>14:42:33.448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343</v>
      </c>
      <c r="CR872">
        <v>1</v>
      </c>
      <c r="CW872">
        <v>10604020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 t="shared" si="413"/>
        <v>05/12/2020 14:42:15.612</v>
      </c>
      <c r="C873" t="str">
        <f t="shared" si="407"/>
        <v>FFDFD3C0</v>
      </c>
      <c r="D873" t="s">
        <v>134</v>
      </c>
      <c r="E873">
        <v>12</v>
      </c>
      <c r="H873">
        <v>64</v>
      </c>
      <c r="I873" t="s">
        <v>135</v>
      </c>
      <c r="J873" t="s">
        <v>136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14"/>
        <v>14:42:33.445</v>
      </c>
      <c r="T873" t="str">
        <f t="shared" si="415"/>
        <v>14:42:33.145</v>
      </c>
      <c r="U873" t="str">
        <f t="shared" si="398"/>
        <v>A9808D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308</v>
      </c>
      <c r="AJ873">
        <v>28.267113999999999</v>
      </c>
      <c r="AK873" t="s">
        <v>144</v>
      </c>
      <c r="AL873">
        <v>-82.380337999999995</v>
      </c>
      <c r="AM873">
        <v>100</v>
      </c>
      <c r="AN873">
        <v>1000</v>
      </c>
      <c r="AO873" t="s">
        <v>118</v>
      </c>
      <c r="AP873">
        <v>-2</v>
      </c>
      <c r="AQ873">
        <v>87</v>
      </c>
      <c r="AR873">
        <v>768</v>
      </c>
      <c r="AZ873">
        <v>1200</v>
      </c>
      <c r="BA873">
        <v>1</v>
      </c>
      <c r="BB873" t="str">
        <f t="shared" si="408"/>
        <v xml:space="preserve">N711JA  </v>
      </c>
      <c r="BC873">
        <v>1</v>
      </c>
      <c r="BE873">
        <v>0</v>
      </c>
      <c r="BF873">
        <v>0</v>
      </c>
      <c r="BG873">
        <v>0</v>
      </c>
      <c r="BH873">
        <v>1150</v>
      </c>
      <c r="BI873">
        <v>1</v>
      </c>
      <c r="BJ873">
        <v>1</v>
      </c>
      <c r="BK873">
        <v>0</v>
      </c>
      <c r="BL873">
        <v>0</v>
      </c>
      <c r="BO873">
        <v>0</v>
      </c>
      <c r="BP873">
        <v>0</v>
      </c>
      <c r="BW873" t="str">
        <f t="shared" si="416"/>
        <v>14:42:33.448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343</v>
      </c>
      <c r="CR873">
        <v>1</v>
      </c>
      <c r="CW873">
        <v>10604020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 t="shared" si="413"/>
        <v>05/12/2020 14:42:15.612</v>
      </c>
      <c r="C874" t="str">
        <f t="shared" si="407"/>
        <v>FFDFD3C0</v>
      </c>
      <c r="D874" t="s">
        <v>126</v>
      </c>
      <c r="E874">
        <v>7</v>
      </c>
      <c r="F874">
        <v>1007</v>
      </c>
      <c r="G874" t="s">
        <v>127</v>
      </c>
      <c r="J874" t="s">
        <v>128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14"/>
        <v>14:42:33.445</v>
      </c>
      <c r="T874" t="str">
        <f t="shared" si="415"/>
        <v>14:42:33.145</v>
      </c>
      <c r="U874" t="str">
        <f t="shared" si="398"/>
        <v>A9808D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308</v>
      </c>
      <c r="AJ874">
        <v>28.267113999999999</v>
      </c>
      <c r="AK874" t="s">
        <v>144</v>
      </c>
      <c r="AL874">
        <v>-82.380337999999995</v>
      </c>
      <c r="AM874">
        <v>100</v>
      </c>
      <c r="AN874">
        <v>1000</v>
      </c>
      <c r="AO874" t="s">
        <v>118</v>
      </c>
      <c r="AP874">
        <v>-2</v>
      </c>
      <c r="AQ874">
        <v>87</v>
      </c>
      <c r="AR874">
        <v>768</v>
      </c>
      <c r="AZ874">
        <v>1200</v>
      </c>
      <c r="BA874">
        <v>1</v>
      </c>
      <c r="BB874" t="str">
        <f t="shared" si="408"/>
        <v xml:space="preserve">N711JA  </v>
      </c>
      <c r="BC874">
        <v>1</v>
      </c>
      <c r="BE874">
        <v>0</v>
      </c>
      <c r="BF874">
        <v>0</v>
      </c>
      <c r="BG874">
        <v>0</v>
      </c>
      <c r="BH874">
        <v>1150</v>
      </c>
      <c r="BI874">
        <v>1</v>
      </c>
      <c r="BJ874">
        <v>1</v>
      </c>
      <c r="BK874">
        <v>0</v>
      </c>
      <c r="BL874">
        <v>0</v>
      </c>
      <c r="BO874">
        <v>0</v>
      </c>
      <c r="BP874">
        <v>0</v>
      </c>
      <c r="BW874" t="str">
        <f t="shared" si="416"/>
        <v>14:42:33.448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343</v>
      </c>
      <c r="CR874">
        <v>1</v>
      </c>
      <c r="CW874">
        <v>10604020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 t="shared" si="413"/>
        <v>05/12/2020 14:42:15.612</v>
      </c>
      <c r="C875" t="str">
        <f t="shared" si="407"/>
        <v>FFDFD3C0</v>
      </c>
      <c r="D875" t="s">
        <v>131</v>
      </c>
      <c r="E875">
        <v>12</v>
      </c>
      <c r="F875">
        <v>2012</v>
      </c>
      <c r="G875" t="s">
        <v>137</v>
      </c>
      <c r="J875" t="s">
        <v>133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14"/>
        <v>14:42:33.445</v>
      </c>
      <c r="T875" t="str">
        <f t="shared" si="415"/>
        <v>14:42:33.145</v>
      </c>
      <c r="U875" t="str">
        <f t="shared" si="398"/>
        <v>A9808D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308</v>
      </c>
      <c r="AJ875">
        <v>28.267113999999999</v>
      </c>
      <c r="AK875" t="s">
        <v>144</v>
      </c>
      <c r="AL875">
        <v>-82.380337999999995</v>
      </c>
      <c r="AM875">
        <v>100</v>
      </c>
      <c r="AN875">
        <v>1000</v>
      </c>
      <c r="AO875" t="s">
        <v>118</v>
      </c>
      <c r="AP875">
        <v>-2</v>
      </c>
      <c r="AQ875">
        <v>87</v>
      </c>
      <c r="AR875">
        <v>768</v>
      </c>
      <c r="AZ875">
        <v>1200</v>
      </c>
      <c r="BA875">
        <v>1</v>
      </c>
      <c r="BB875" t="str">
        <f t="shared" si="408"/>
        <v xml:space="preserve">N711JA  </v>
      </c>
      <c r="BC875">
        <v>1</v>
      </c>
      <c r="BE875">
        <v>0</v>
      </c>
      <c r="BF875">
        <v>0</v>
      </c>
      <c r="BG875">
        <v>0</v>
      </c>
      <c r="BH875">
        <v>1150</v>
      </c>
      <c r="BI875">
        <v>1</v>
      </c>
      <c r="BJ875">
        <v>1</v>
      </c>
      <c r="BK875">
        <v>0</v>
      </c>
      <c r="BL875">
        <v>0</v>
      </c>
      <c r="BO875">
        <v>0</v>
      </c>
      <c r="BP875">
        <v>0</v>
      </c>
      <c r="BW875" t="str">
        <f t="shared" si="416"/>
        <v>14:42:33.448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343</v>
      </c>
      <c r="CR875">
        <v>1</v>
      </c>
      <c r="CW875">
        <v>10604020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 t="shared" si="413"/>
        <v>05/12/2020 14:42:15.612</v>
      </c>
      <c r="C876" t="str">
        <f t="shared" si="407"/>
        <v>FFDFD3C0</v>
      </c>
      <c r="D876" t="s">
        <v>131</v>
      </c>
      <c r="E876">
        <v>10</v>
      </c>
      <c r="F876">
        <v>2010</v>
      </c>
      <c r="G876" t="s">
        <v>132</v>
      </c>
      <c r="J876" t="s">
        <v>133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14"/>
        <v>14:42:33.445</v>
      </c>
      <c r="T876" t="str">
        <f t="shared" si="415"/>
        <v>14:42:33.145</v>
      </c>
      <c r="U876" t="str">
        <f t="shared" si="398"/>
        <v>A9808D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308</v>
      </c>
      <c r="AJ876">
        <v>28.267113999999999</v>
      </c>
      <c r="AK876" t="s">
        <v>144</v>
      </c>
      <c r="AL876">
        <v>-82.380337999999995</v>
      </c>
      <c r="AM876">
        <v>100</v>
      </c>
      <c r="AN876">
        <v>1000</v>
      </c>
      <c r="AO876" t="s">
        <v>118</v>
      </c>
      <c r="AP876">
        <v>-2</v>
      </c>
      <c r="AQ876">
        <v>87</v>
      </c>
      <c r="AR876">
        <v>768</v>
      </c>
      <c r="AZ876">
        <v>1200</v>
      </c>
      <c r="BA876">
        <v>1</v>
      </c>
      <c r="BB876" t="str">
        <f t="shared" si="408"/>
        <v xml:space="preserve">N711JA  </v>
      </c>
      <c r="BC876">
        <v>1</v>
      </c>
      <c r="BE876">
        <v>0</v>
      </c>
      <c r="BF876">
        <v>0</v>
      </c>
      <c r="BG876">
        <v>0</v>
      </c>
      <c r="BH876">
        <v>1150</v>
      </c>
      <c r="BI876">
        <v>1</v>
      </c>
      <c r="BJ876">
        <v>1</v>
      </c>
      <c r="BK876">
        <v>0</v>
      </c>
      <c r="BL876">
        <v>0</v>
      </c>
      <c r="BO876">
        <v>0</v>
      </c>
      <c r="BP876">
        <v>0</v>
      </c>
      <c r="BW876" t="str">
        <f t="shared" si="416"/>
        <v>14:42:33.448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343</v>
      </c>
      <c r="CR876">
        <v>1</v>
      </c>
      <c r="CW876">
        <v>10604020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 t="shared" si="413"/>
        <v>05/12/2020 14:42:15.612</v>
      </c>
      <c r="C877" t="str">
        <f t="shared" si="407"/>
        <v>FFDFD3C0</v>
      </c>
      <c r="D877" t="s">
        <v>131</v>
      </c>
      <c r="E877">
        <v>18</v>
      </c>
      <c r="F877">
        <v>2018</v>
      </c>
      <c r="G877" t="s">
        <v>161</v>
      </c>
      <c r="J877" t="s">
        <v>133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414"/>
        <v>14:42:33.445</v>
      </c>
      <c r="T877" t="str">
        <f t="shared" si="415"/>
        <v>14:42:33.145</v>
      </c>
      <c r="U877" t="str">
        <f t="shared" si="398"/>
        <v>A9808D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308</v>
      </c>
      <c r="AJ877">
        <v>28.267113999999999</v>
      </c>
      <c r="AK877" t="s">
        <v>144</v>
      </c>
      <c r="AL877">
        <v>-82.380337999999995</v>
      </c>
      <c r="AM877">
        <v>100</v>
      </c>
      <c r="AN877">
        <v>1000</v>
      </c>
      <c r="AO877" t="s">
        <v>118</v>
      </c>
      <c r="AP877">
        <v>-2</v>
      </c>
      <c r="AQ877">
        <v>87</v>
      </c>
      <c r="AR877">
        <v>768</v>
      </c>
      <c r="AZ877">
        <v>1200</v>
      </c>
      <c r="BA877">
        <v>1</v>
      </c>
      <c r="BB877" t="str">
        <f t="shared" si="408"/>
        <v xml:space="preserve">N711JA  </v>
      </c>
      <c r="BC877">
        <v>1</v>
      </c>
      <c r="BE877">
        <v>0</v>
      </c>
      <c r="BF877">
        <v>0</v>
      </c>
      <c r="BG877">
        <v>0</v>
      </c>
      <c r="BH877">
        <v>1150</v>
      </c>
      <c r="BI877">
        <v>1</v>
      </c>
      <c r="BJ877">
        <v>1</v>
      </c>
      <c r="BK877">
        <v>0</v>
      </c>
      <c r="BL877">
        <v>0</v>
      </c>
      <c r="BO877">
        <v>0</v>
      </c>
      <c r="BP877">
        <v>0</v>
      </c>
      <c r="BW877" t="str">
        <f t="shared" si="416"/>
        <v>14:42:33.448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343</v>
      </c>
      <c r="CR877">
        <v>1</v>
      </c>
      <c r="CW877">
        <v>10604020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 t="shared" ref="A878:A886" si="417">"05/12/2020 14:42:16.574"</f>
        <v>05/12/2020 14:42:16.574</v>
      </c>
      <c r="C878" t="str">
        <f t="shared" si="407"/>
        <v>FFDFD3C0</v>
      </c>
      <c r="D878" t="s">
        <v>113</v>
      </c>
      <c r="E878">
        <v>3</v>
      </c>
      <c r="H878">
        <v>164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ref="S878:S886" si="418">"14:42:34.383"</f>
        <v>14:42:34.383</v>
      </c>
      <c r="T878" t="str">
        <f t="shared" ref="T878:T886" si="419">"14:42:34.283"</f>
        <v>14:42:34.283</v>
      </c>
      <c r="U878" t="str">
        <f t="shared" si="398"/>
        <v>A9808D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309</v>
      </c>
      <c r="AJ878">
        <v>28.267543</v>
      </c>
      <c r="AK878" t="s">
        <v>144</v>
      </c>
      <c r="AL878">
        <v>-82.380337999999995</v>
      </c>
      <c r="AM878">
        <v>100</v>
      </c>
      <c r="AN878">
        <v>1100</v>
      </c>
      <c r="AO878" t="s">
        <v>118</v>
      </c>
      <c r="AP878">
        <v>-3</v>
      </c>
      <c r="AQ878">
        <v>88</v>
      </c>
      <c r="AR878">
        <v>640</v>
      </c>
      <c r="AZ878">
        <v>1200</v>
      </c>
      <c r="BA878">
        <v>1</v>
      </c>
      <c r="BB878" t="str">
        <f t="shared" si="408"/>
        <v xml:space="preserve">N711JA  </v>
      </c>
      <c r="BC878">
        <v>1</v>
      </c>
      <c r="BE878">
        <v>0</v>
      </c>
      <c r="BF878">
        <v>0</v>
      </c>
      <c r="BG878">
        <v>0</v>
      </c>
      <c r="BH878">
        <v>1075</v>
      </c>
      <c r="BI878">
        <v>1</v>
      </c>
      <c r="BJ878">
        <v>1</v>
      </c>
      <c r="BK878">
        <v>0</v>
      </c>
      <c r="BL878">
        <v>0</v>
      </c>
      <c r="BO878">
        <v>0</v>
      </c>
      <c r="BP878">
        <v>0</v>
      </c>
      <c r="BW878" t="str">
        <f t="shared" ref="BW878:BW886" si="420">"14:42:34.384"</f>
        <v>14:42:34.384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343</v>
      </c>
      <c r="CR878">
        <v>2</v>
      </c>
      <c r="CW878">
        <v>13006448</v>
      </c>
      <c r="CY878">
        <v>1</v>
      </c>
      <c r="CZ878">
        <v>0</v>
      </c>
      <c r="DA878">
        <v>0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 t="shared" si="417"/>
        <v>05/12/2020 14:42:16.574</v>
      </c>
      <c r="C879" t="str">
        <f t="shared" si="407"/>
        <v>FFDFD3C0</v>
      </c>
      <c r="D879" t="s">
        <v>126</v>
      </c>
      <c r="E879">
        <v>6</v>
      </c>
      <c r="F879">
        <v>1006</v>
      </c>
      <c r="G879" t="s">
        <v>114</v>
      </c>
      <c r="J879" t="s">
        <v>128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418"/>
        <v>14:42:34.383</v>
      </c>
      <c r="T879" t="str">
        <f t="shared" si="419"/>
        <v>14:42:34.283</v>
      </c>
      <c r="U879" t="str">
        <f t="shared" si="398"/>
        <v>A9808D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309</v>
      </c>
      <c r="AJ879">
        <v>28.267543</v>
      </c>
      <c r="AK879" t="s">
        <v>144</v>
      </c>
      <c r="AL879">
        <v>-82.380337999999995</v>
      </c>
      <c r="AM879">
        <v>100</v>
      </c>
      <c r="AN879">
        <v>1100</v>
      </c>
      <c r="AO879" t="s">
        <v>118</v>
      </c>
      <c r="AP879">
        <v>-3</v>
      </c>
      <c r="AQ879">
        <v>88</v>
      </c>
      <c r="AR879">
        <v>640</v>
      </c>
      <c r="AZ879">
        <v>1200</v>
      </c>
      <c r="BA879">
        <v>1</v>
      </c>
      <c r="BB879" t="str">
        <f t="shared" si="408"/>
        <v xml:space="preserve">N711JA  </v>
      </c>
      <c r="BC879">
        <v>1</v>
      </c>
      <c r="BE879">
        <v>0</v>
      </c>
      <c r="BF879">
        <v>0</v>
      </c>
      <c r="BG879">
        <v>0</v>
      </c>
      <c r="BH879">
        <v>1075</v>
      </c>
      <c r="BI879">
        <v>1</v>
      </c>
      <c r="BJ879">
        <v>1</v>
      </c>
      <c r="BK879">
        <v>0</v>
      </c>
      <c r="BL879">
        <v>0</v>
      </c>
      <c r="BO879">
        <v>0</v>
      </c>
      <c r="BP879">
        <v>0</v>
      </c>
      <c r="BW879" t="str">
        <f t="shared" si="420"/>
        <v>14:42:34.384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343</v>
      </c>
      <c r="CR879">
        <v>2</v>
      </c>
      <c r="CW879">
        <v>13006448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 t="shared" si="417"/>
        <v>05/12/2020 14:42:16.574</v>
      </c>
      <c r="C880" t="str">
        <f t="shared" si="407"/>
        <v>FFDFD3C0</v>
      </c>
      <c r="D880" t="s">
        <v>138</v>
      </c>
      <c r="E880">
        <v>2</v>
      </c>
      <c r="H880">
        <v>8</v>
      </c>
      <c r="I880" t="s">
        <v>139</v>
      </c>
      <c r="J880" t="s">
        <v>136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418"/>
        <v>14:42:34.383</v>
      </c>
      <c r="T880" t="str">
        <f t="shared" si="419"/>
        <v>14:42:34.283</v>
      </c>
      <c r="U880" t="str">
        <f t="shared" si="398"/>
        <v>A9808D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309</v>
      </c>
      <c r="AJ880">
        <v>28.267543</v>
      </c>
      <c r="AK880" t="s">
        <v>144</v>
      </c>
      <c r="AL880">
        <v>-82.380337999999995</v>
      </c>
      <c r="AM880">
        <v>100</v>
      </c>
      <c r="AN880">
        <v>1100</v>
      </c>
      <c r="AO880" t="s">
        <v>118</v>
      </c>
      <c r="AP880">
        <v>-3</v>
      </c>
      <c r="AQ880">
        <v>88</v>
      </c>
      <c r="AR880">
        <v>640</v>
      </c>
      <c r="AZ880">
        <v>1200</v>
      </c>
      <c r="BA880">
        <v>1</v>
      </c>
      <c r="BB880" t="str">
        <f t="shared" si="408"/>
        <v xml:space="preserve">N711JA  </v>
      </c>
      <c r="BC880">
        <v>1</v>
      </c>
      <c r="BE880">
        <v>0</v>
      </c>
      <c r="BF880">
        <v>0</v>
      </c>
      <c r="BG880">
        <v>0</v>
      </c>
      <c r="BH880">
        <v>1075</v>
      </c>
      <c r="BI880">
        <v>1</v>
      </c>
      <c r="BJ880">
        <v>1</v>
      </c>
      <c r="BK880">
        <v>0</v>
      </c>
      <c r="BL880">
        <v>0</v>
      </c>
      <c r="BO880">
        <v>0</v>
      </c>
      <c r="BP880">
        <v>0</v>
      </c>
      <c r="BW880" t="str">
        <f t="shared" si="420"/>
        <v>14:42:34.384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343</v>
      </c>
      <c r="CR880">
        <v>2</v>
      </c>
      <c r="CW880">
        <v>13006448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 t="shared" si="417"/>
        <v>05/12/2020 14:42:16.574</v>
      </c>
      <c r="C881" t="str">
        <f t="shared" si="407"/>
        <v>FFDFD3C0</v>
      </c>
      <c r="D881" t="s">
        <v>138</v>
      </c>
      <c r="E881">
        <v>3</v>
      </c>
      <c r="H881">
        <v>9</v>
      </c>
      <c r="I881" t="s">
        <v>140</v>
      </c>
      <c r="J881" t="s">
        <v>136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18"/>
        <v>14:42:34.383</v>
      </c>
      <c r="T881" t="str">
        <f t="shared" si="419"/>
        <v>14:42:34.283</v>
      </c>
      <c r="U881" t="str">
        <f t="shared" si="398"/>
        <v>A9808D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309</v>
      </c>
      <c r="AJ881">
        <v>28.267543</v>
      </c>
      <c r="AK881" t="s">
        <v>144</v>
      </c>
      <c r="AL881">
        <v>-82.380337999999995</v>
      </c>
      <c r="AM881">
        <v>100</v>
      </c>
      <c r="AN881">
        <v>1100</v>
      </c>
      <c r="AO881" t="s">
        <v>118</v>
      </c>
      <c r="AP881">
        <v>-3</v>
      </c>
      <c r="AQ881">
        <v>88</v>
      </c>
      <c r="AR881">
        <v>640</v>
      </c>
      <c r="AZ881">
        <v>1200</v>
      </c>
      <c r="BA881">
        <v>1</v>
      </c>
      <c r="BB881" t="str">
        <f t="shared" si="408"/>
        <v xml:space="preserve">N711JA  </v>
      </c>
      <c r="BC881">
        <v>1</v>
      </c>
      <c r="BE881">
        <v>0</v>
      </c>
      <c r="BF881">
        <v>0</v>
      </c>
      <c r="BG881">
        <v>0</v>
      </c>
      <c r="BH881">
        <v>1075</v>
      </c>
      <c r="BI881">
        <v>1</v>
      </c>
      <c r="BJ881">
        <v>1</v>
      </c>
      <c r="BK881">
        <v>0</v>
      </c>
      <c r="BL881">
        <v>0</v>
      </c>
      <c r="BO881">
        <v>0</v>
      </c>
      <c r="BP881">
        <v>0</v>
      </c>
      <c r="BW881" t="str">
        <f t="shared" si="420"/>
        <v>14:42:34.384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343</v>
      </c>
      <c r="CR881">
        <v>2</v>
      </c>
      <c r="CW881">
        <v>13006448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 t="shared" si="417"/>
        <v>05/12/2020 14:42:16.574</v>
      </c>
      <c r="C882" t="str">
        <f t="shared" si="407"/>
        <v>FFDFD3C0</v>
      </c>
      <c r="D882" t="s">
        <v>126</v>
      </c>
      <c r="E882">
        <v>7</v>
      </c>
      <c r="F882">
        <v>1007</v>
      </c>
      <c r="G882" t="s">
        <v>127</v>
      </c>
      <c r="J882" t="s">
        <v>128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418"/>
        <v>14:42:34.383</v>
      </c>
      <c r="T882" t="str">
        <f t="shared" si="419"/>
        <v>14:42:34.283</v>
      </c>
      <c r="U882" t="str">
        <f t="shared" si="398"/>
        <v>A9808D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309</v>
      </c>
      <c r="AJ882">
        <v>28.267543</v>
      </c>
      <c r="AK882" t="s">
        <v>144</v>
      </c>
      <c r="AL882">
        <v>-82.380337999999995</v>
      </c>
      <c r="AM882">
        <v>100</v>
      </c>
      <c r="AN882">
        <v>1100</v>
      </c>
      <c r="AO882" t="s">
        <v>118</v>
      </c>
      <c r="AP882">
        <v>-3</v>
      </c>
      <c r="AQ882">
        <v>88</v>
      </c>
      <c r="AR882">
        <v>640</v>
      </c>
      <c r="AZ882">
        <v>1200</v>
      </c>
      <c r="BA882">
        <v>1</v>
      </c>
      <c r="BB882" t="str">
        <f t="shared" si="408"/>
        <v xml:space="preserve">N711JA  </v>
      </c>
      <c r="BC882">
        <v>1</v>
      </c>
      <c r="BE882">
        <v>0</v>
      </c>
      <c r="BF882">
        <v>0</v>
      </c>
      <c r="BG882">
        <v>0</v>
      </c>
      <c r="BH882">
        <v>1075</v>
      </c>
      <c r="BI882">
        <v>1</v>
      </c>
      <c r="BJ882">
        <v>1</v>
      </c>
      <c r="BK882">
        <v>0</v>
      </c>
      <c r="BL882">
        <v>0</v>
      </c>
      <c r="BO882">
        <v>0</v>
      </c>
      <c r="BP882">
        <v>0</v>
      </c>
      <c r="BW882" t="str">
        <f t="shared" si="420"/>
        <v>14:42:34.384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343</v>
      </c>
      <c r="CR882">
        <v>2</v>
      </c>
      <c r="CW882">
        <v>13006448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 t="shared" si="417"/>
        <v>05/12/2020 14:42:16.574</v>
      </c>
      <c r="C883" t="str">
        <f t="shared" si="407"/>
        <v>FFDFD3C0</v>
      </c>
      <c r="D883" t="s">
        <v>131</v>
      </c>
      <c r="E883">
        <v>12</v>
      </c>
      <c r="F883">
        <v>2012</v>
      </c>
      <c r="G883" t="s">
        <v>137</v>
      </c>
      <c r="J883" t="s">
        <v>133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18"/>
        <v>14:42:34.383</v>
      </c>
      <c r="T883" t="str">
        <f t="shared" si="419"/>
        <v>14:42:34.283</v>
      </c>
      <c r="U883" t="str">
        <f t="shared" si="398"/>
        <v>A9808D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309</v>
      </c>
      <c r="AJ883">
        <v>28.267543</v>
      </c>
      <c r="AK883" t="s">
        <v>144</v>
      </c>
      <c r="AL883">
        <v>-82.380337999999995</v>
      </c>
      <c r="AM883">
        <v>100</v>
      </c>
      <c r="AN883">
        <v>1100</v>
      </c>
      <c r="AO883" t="s">
        <v>118</v>
      </c>
      <c r="AP883">
        <v>-3</v>
      </c>
      <c r="AQ883">
        <v>88</v>
      </c>
      <c r="AR883">
        <v>640</v>
      </c>
      <c r="AZ883">
        <v>1200</v>
      </c>
      <c r="BA883">
        <v>1</v>
      </c>
      <c r="BB883" t="str">
        <f t="shared" si="408"/>
        <v xml:space="preserve">N711JA  </v>
      </c>
      <c r="BC883">
        <v>1</v>
      </c>
      <c r="BE883">
        <v>0</v>
      </c>
      <c r="BF883">
        <v>0</v>
      </c>
      <c r="BG883">
        <v>0</v>
      </c>
      <c r="BH883">
        <v>1075</v>
      </c>
      <c r="BI883">
        <v>1</v>
      </c>
      <c r="BJ883">
        <v>1</v>
      </c>
      <c r="BK883">
        <v>0</v>
      </c>
      <c r="BL883">
        <v>0</v>
      </c>
      <c r="BO883">
        <v>0</v>
      </c>
      <c r="BP883">
        <v>0</v>
      </c>
      <c r="BW883" t="str">
        <f t="shared" si="420"/>
        <v>14:42:34.384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343</v>
      </c>
      <c r="CR883">
        <v>2</v>
      </c>
      <c r="CW883">
        <v>13006448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si="417"/>
        <v>05/12/2020 14:42:16.574</v>
      </c>
      <c r="C884" t="str">
        <f t="shared" si="407"/>
        <v>FFDFD3C0</v>
      </c>
      <c r="D884" t="s">
        <v>131</v>
      </c>
      <c r="E884">
        <v>10</v>
      </c>
      <c r="F884">
        <v>2010</v>
      </c>
      <c r="G884" t="s">
        <v>132</v>
      </c>
      <c r="J884" t="s">
        <v>133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18"/>
        <v>14:42:34.383</v>
      </c>
      <c r="T884" t="str">
        <f t="shared" si="419"/>
        <v>14:42:34.283</v>
      </c>
      <c r="U884" t="str">
        <f t="shared" si="398"/>
        <v>A9808D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309</v>
      </c>
      <c r="AJ884">
        <v>28.267543</v>
      </c>
      <c r="AK884" t="s">
        <v>144</v>
      </c>
      <c r="AL884">
        <v>-82.380337999999995</v>
      </c>
      <c r="AM884">
        <v>100</v>
      </c>
      <c r="AN884">
        <v>1100</v>
      </c>
      <c r="AO884" t="s">
        <v>118</v>
      </c>
      <c r="AP884">
        <v>-3</v>
      </c>
      <c r="AQ884">
        <v>88</v>
      </c>
      <c r="AR884">
        <v>640</v>
      </c>
      <c r="AZ884">
        <v>1200</v>
      </c>
      <c r="BA884">
        <v>1</v>
      </c>
      <c r="BB884" t="str">
        <f t="shared" si="408"/>
        <v xml:space="preserve">N711JA  </v>
      </c>
      <c r="BC884">
        <v>1</v>
      </c>
      <c r="BE884">
        <v>0</v>
      </c>
      <c r="BF884">
        <v>0</v>
      </c>
      <c r="BG884">
        <v>0</v>
      </c>
      <c r="BH884">
        <v>1075</v>
      </c>
      <c r="BI884">
        <v>1</v>
      </c>
      <c r="BJ884">
        <v>1</v>
      </c>
      <c r="BK884">
        <v>0</v>
      </c>
      <c r="BL884">
        <v>0</v>
      </c>
      <c r="BO884">
        <v>0</v>
      </c>
      <c r="BP884">
        <v>0</v>
      </c>
      <c r="BW884" t="str">
        <f t="shared" si="420"/>
        <v>14:42:34.384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343</v>
      </c>
      <c r="CR884">
        <v>2</v>
      </c>
      <c r="CW884">
        <v>13006448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417"/>
        <v>05/12/2020 14:42:16.574</v>
      </c>
      <c r="C885" t="str">
        <f t="shared" si="407"/>
        <v>FFDFD3C0</v>
      </c>
      <c r="D885" t="s">
        <v>131</v>
      </c>
      <c r="E885">
        <v>18</v>
      </c>
      <c r="F885">
        <v>2018</v>
      </c>
      <c r="G885" t="s">
        <v>161</v>
      </c>
      <c r="J885" t="s">
        <v>133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18"/>
        <v>14:42:34.383</v>
      </c>
      <c r="T885" t="str">
        <f t="shared" si="419"/>
        <v>14:42:34.283</v>
      </c>
      <c r="U885" t="str">
        <f t="shared" si="398"/>
        <v>A9808D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309</v>
      </c>
      <c r="AJ885">
        <v>28.267543</v>
      </c>
      <c r="AK885" t="s">
        <v>144</v>
      </c>
      <c r="AL885">
        <v>-82.380337999999995</v>
      </c>
      <c r="AM885">
        <v>100</v>
      </c>
      <c r="AN885">
        <v>1100</v>
      </c>
      <c r="AO885" t="s">
        <v>118</v>
      </c>
      <c r="AP885">
        <v>-3</v>
      </c>
      <c r="AQ885">
        <v>88</v>
      </c>
      <c r="AR885">
        <v>640</v>
      </c>
      <c r="AZ885">
        <v>1200</v>
      </c>
      <c r="BA885">
        <v>1</v>
      </c>
      <c r="BB885" t="str">
        <f t="shared" si="408"/>
        <v xml:space="preserve">N711JA  </v>
      </c>
      <c r="BC885">
        <v>1</v>
      </c>
      <c r="BE885">
        <v>0</v>
      </c>
      <c r="BF885">
        <v>0</v>
      </c>
      <c r="BG885">
        <v>0</v>
      </c>
      <c r="BH885">
        <v>1075</v>
      </c>
      <c r="BI885">
        <v>1</v>
      </c>
      <c r="BJ885">
        <v>1</v>
      </c>
      <c r="BK885">
        <v>0</v>
      </c>
      <c r="BL885">
        <v>0</v>
      </c>
      <c r="BO885">
        <v>0</v>
      </c>
      <c r="BP885">
        <v>0</v>
      </c>
      <c r="BW885" t="str">
        <f t="shared" si="420"/>
        <v>14:42:34.384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343</v>
      </c>
      <c r="CR885">
        <v>2</v>
      </c>
      <c r="CW885">
        <v>13006448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si="417"/>
        <v>05/12/2020 14:42:16.574</v>
      </c>
      <c r="C886" t="str">
        <f t="shared" si="407"/>
        <v>FFDFD3C0</v>
      </c>
      <c r="D886" t="s">
        <v>134</v>
      </c>
      <c r="E886">
        <v>12</v>
      </c>
      <c r="H886">
        <v>64</v>
      </c>
      <c r="I886" t="s">
        <v>135</v>
      </c>
      <c r="J886" t="s">
        <v>136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418"/>
        <v>14:42:34.383</v>
      </c>
      <c r="T886" t="str">
        <f t="shared" si="419"/>
        <v>14:42:34.283</v>
      </c>
      <c r="U886" t="str">
        <f t="shared" si="398"/>
        <v>A9808D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309</v>
      </c>
      <c r="AJ886">
        <v>28.267543</v>
      </c>
      <c r="AK886" t="s">
        <v>144</v>
      </c>
      <c r="AL886">
        <v>-82.380337999999995</v>
      </c>
      <c r="AM886">
        <v>100</v>
      </c>
      <c r="AN886">
        <v>1100</v>
      </c>
      <c r="AO886" t="s">
        <v>118</v>
      </c>
      <c r="AP886">
        <v>-3</v>
      </c>
      <c r="AQ886">
        <v>88</v>
      </c>
      <c r="AR886">
        <v>640</v>
      </c>
      <c r="AZ886">
        <v>1200</v>
      </c>
      <c r="BA886">
        <v>1</v>
      </c>
      <c r="BB886" t="str">
        <f t="shared" si="408"/>
        <v xml:space="preserve">N711JA  </v>
      </c>
      <c r="BC886">
        <v>1</v>
      </c>
      <c r="BE886">
        <v>0</v>
      </c>
      <c r="BF886">
        <v>0</v>
      </c>
      <c r="BG886">
        <v>0</v>
      </c>
      <c r="BH886">
        <v>1075</v>
      </c>
      <c r="BI886">
        <v>1</v>
      </c>
      <c r="BJ886">
        <v>1</v>
      </c>
      <c r="BK886">
        <v>0</v>
      </c>
      <c r="BL886">
        <v>0</v>
      </c>
      <c r="BO886">
        <v>0</v>
      </c>
      <c r="BP886">
        <v>0</v>
      </c>
      <c r="BW886" t="str">
        <f t="shared" si="420"/>
        <v>14:42:34.384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343</v>
      </c>
      <c r="CR886">
        <v>2</v>
      </c>
      <c r="CW886">
        <v>13006448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ref="A887:A895" si="421">"05/12/2020 14:42:17.592"</f>
        <v>05/12/2020 14:42:17.592</v>
      </c>
      <c r="C887" t="str">
        <f t="shared" si="407"/>
        <v>FFDFD3C0</v>
      </c>
      <c r="D887" t="s">
        <v>138</v>
      </c>
      <c r="E887">
        <v>2</v>
      </c>
      <c r="H887">
        <v>8</v>
      </c>
      <c r="I887" t="s">
        <v>139</v>
      </c>
      <c r="J887" t="s">
        <v>136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ref="S887:S895" si="422">"14:42:35.414"</f>
        <v>14:42:35.414</v>
      </c>
      <c r="T887" t="str">
        <f t="shared" ref="T887:T895" si="423">"14:42:35.314"</f>
        <v>14:42:35.314</v>
      </c>
      <c r="U887" t="str">
        <f t="shared" si="398"/>
        <v>A9808D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310</v>
      </c>
      <c r="AJ887">
        <v>28.267907999999998</v>
      </c>
      <c r="AK887" t="s">
        <v>311</v>
      </c>
      <c r="AL887">
        <v>-82.380381</v>
      </c>
      <c r="AM887">
        <v>100</v>
      </c>
      <c r="AN887">
        <v>1100</v>
      </c>
      <c r="AO887" t="s">
        <v>118</v>
      </c>
      <c r="AP887">
        <v>-4</v>
      </c>
      <c r="AQ887">
        <v>88</v>
      </c>
      <c r="AR887">
        <v>768</v>
      </c>
      <c r="AZ887">
        <v>1200</v>
      </c>
      <c r="BA887">
        <v>1</v>
      </c>
      <c r="BB887" t="str">
        <f t="shared" si="408"/>
        <v xml:space="preserve">N711JA  </v>
      </c>
      <c r="BC887">
        <v>1</v>
      </c>
      <c r="BE887">
        <v>0</v>
      </c>
      <c r="BF887">
        <v>0</v>
      </c>
      <c r="BG887">
        <v>0</v>
      </c>
      <c r="BH887">
        <v>1175</v>
      </c>
      <c r="BI887">
        <v>1</v>
      </c>
      <c r="BJ887">
        <v>1</v>
      </c>
      <c r="BK887">
        <v>0</v>
      </c>
      <c r="BL887">
        <v>0</v>
      </c>
      <c r="BO887">
        <v>0</v>
      </c>
      <c r="BP887">
        <v>0</v>
      </c>
      <c r="BW887" t="str">
        <f t="shared" ref="BW887:BW895" si="424">"14:42:35.421"</f>
        <v>14:42:35.421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343</v>
      </c>
      <c r="CR887">
        <v>1</v>
      </c>
      <c r="CW887">
        <v>10606045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421"/>
        <v>05/12/2020 14:42:17.592</v>
      </c>
      <c r="C888" t="str">
        <f t="shared" si="407"/>
        <v>FFDFD3C0</v>
      </c>
      <c r="D888" t="s">
        <v>138</v>
      </c>
      <c r="E888">
        <v>3</v>
      </c>
      <c r="H888">
        <v>9</v>
      </c>
      <c r="I888" t="s">
        <v>140</v>
      </c>
      <c r="J888" t="s">
        <v>136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22"/>
        <v>14:42:35.414</v>
      </c>
      <c r="T888" t="str">
        <f t="shared" si="423"/>
        <v>14:42:35.314</v>
      </c>
      <c r="U888" t="str">
        <f t="shared" si="398"/>
        <v>A9808D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310</v>
      </c>
      <c r="AJ888">
        <v>28.267907999999998</v>
      </c>
      <c r="AK888" t="s">
        <v>311</v>
      </c>
      <c r="AL888">
        <v>-82.380381</v>
      </c>
      <c r="AM888">
        <v>100</v>
      </c>
      <c r="AN888">
        <v>1100</v>
      </c>
      <c r="AO888" t="s">
        <v>118</v>
      </c>
      <c r="AP888">
        <v>-4</v>
      </c>
      <c r="AQ888">
        <v>88</v>
      </c>
      <c r="AR888">
        <v>768</v>
      </c>
      <c r="AZ888">
        <v>1200</v>
      </c>
      <c r="BA888">
        <v>1</v>
      </c>
      <c r="BB888" t="str">
        <f t="shared" si="408"/>
        <v xml:space="preserve">N711JA  </v>
      </c>
      <c r="BC888">
        <v>1</v>
      </c>
      <c r="BE888">
        <v>0</v>
      </c>
      <c r="BF888">
        <v>0</v>
      </c>
      <c r="BG888">
        <v>0</v>
      </c>
      <c r="BH888">
        <v>1175</v>
      </c>
      <c r="BI888">
        <v>1</v>
      </c>
      <c r="BJ888">
        <v>1</v>
      </c>
      <c r="BK888">
        <v>0</v>
      </c>
      <c r="BL888">
        <v>0</v>
      </c>
      <c r="BO888">
        <v>0</v>
      </c>
      <c r="BP888">
        <v>0</v>
      </c>
      <c r="BW888" t="str">
        <f t="shared" si="424"/>
        <v>14:42:35.421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343</v>
      </c>
      <c r="CR888">
        <v>1</v>
      </c>
      <c r="CW888">
        <v>10606045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421"/>
        <v>05/12/2020 14:42:17.592</v>
      </c>
      <c r="C889" t="str">
        <f t="shared" si="407"/>
        <v>FFDFD3C0</v>
      </c>
      <c r="D889" t="s">
        <v>131</v>
      </c>
      <c r="E889">
        <v>12</v>
      </c>
      <c r="F889">
        <v>2012</v>
      </c>
      <c r="G889" t="s">
        <v>137</v>
      </c>
      <c r="J889" t="s">
        <v>133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22"/>
        <v>14:42:35.414</v>
      </c>
      <c r="T889" t="str">
        <f t="shared" si="423"/>
        <v>14:42:35.314</v>
      </c>
      <c r="U889" t="str">
        <f t="shared" si="398"/>
        <v>A9808D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310</v>
      </c>
      <c r="AJ889">
        <v>28.267907999999998</v>
      </c>
      <c r="AK889" t="s">
        <v>311</v>
      </c>
      <c r="AL889">
        <v>-82.380381</v>
      </c>
      <c r="AM889">
        <v>100</v>
      </c>
      <c r="AN889">
        <v>1100</v>
      </c>
      <c r="AO889" t="s">
        <v>118</v>
      </c>
      <c r="AP889">
        <v>-4</v>
      </c>
      <c r="AQ889">
        <v>88</v>
      </c>
      <c r="AR889">
        <v>768</v>
      </c>
      <c r="AZ889">
        <v>1200</v>
      </c>
      <c r="BA889">
        <v>1</v>
      </c>
      <c r="BB889" t="str">
        <f t="shared" si="408"/>
        <v xml:space="preserve">N711JA  </v>
      </c>
      <c r="BC889">
        <v>1</v>
      </c>
      <c r="BE889">
        <v>0</v>
      </c>
      <c r="BF889">
        <v>0</v>
      </c>
      <c r="BG889">
        <v>0</v>
      </c>
      <c r="BH889">
        <v>1175</v>
      </c>
      <c r="BI889">
        <v>1</v>
      </c>
      <c r="BJ889">
        <v>1</v>
      </c>
      <c r="BK889">
        <v>0</v>
      </c>
      <c r="BL889">
        <v>0</v>
      </c>
      <c r="BO889">
        <v>0</v>
      </c>
      <c r="BP889">
        <v>0</v>
      </c>
      <c r="BW889" t="str">
        <f t="shared" si="424"/>
        <v>14:42:35.421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343</v>
      </c>
      <c r="CR889">
        <v>1</v>
      </c>
      <c r="CW889">
        <v>10606045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si="421"/>
        <v>05/12/2020 14:42:17.592</v>
      </c>
      <c r="C890" t="str">
        <f t="shared" si="407"/>
        <v>FFDFD3C0</v>
      </c>
      <c r="D890" t="s">
        <v>131</v>
      </c>
      <c r="E890">
        <v>10</v>
      </c>
      <c r="F890">
        <v>2010</v>
      </c>
      <c r="G890" t="s">
        <v>132</v>
      </c>
      <c r="J890" t="s">
        <v>133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22"/>
        <v>14:42:35.414</v>
      </c>
      <c r="T890" t="str">
        <f t="shared" si="423"/>
        <v>14:42:35.314</v>
      </c>
      <c r="U890" t="str">
        <f t="shared" si="398"/>
        <v>A9808D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310</v>
      </c>
      <c r="AJ890">
        <v>28.267907999999998</v>
      </c>
      <c r="AK890" t="s">
        <v>311</v>
      </c>
      <c r="AL890">
        <v>-82.380381</v>
      </c>
      <c r="AM890">
        <v>100</v>
      </c>
      <c r="AN890">
        <v>1100</v>
      </c>
      <c r="AO890" t="s">
        <v>118</v>
      </c>
      <c r="AP890">
        <v>-4</v>
      </c>
      <c r="AQ890">
        <v>88</v>
      </c>
      <c r="AR890">
        <v>768</v>
      </c>
      <c r="AZ890">
        <v>1200</v>
      </c>
      <c r="BA890">
        <v>1</v>
      </c>
      <c r="BB890" t="str">
        <f t="shared" si="408"/>
        <v xml:space="preserve">N711JA  </v>
      </c>
      <c r="BC890">
        <v>1</v>
      </c>
      <c r="BE890">
        <v>0</v>
      </c>
      <c r="BF890">
        <v>0</v>
      </c>
      <c r="BG890">
        <v>0</v>
      </c>
      <c r="BH890">
        <v>1175</v>
      </c>
      <c r="BI890">
        <v>1</v>
      </c>
      <c r="BJ890">
        <v>1</v>
      </c>
      <c r="BK890">
        <v>0</v>
      </c>
      <c r="BL890">
        <v>0</v>
      </c>
      <c r="BO890">
        <v>0</v>
      </c>
      <c r="BP890">
        <v>0</v>
      </c>
      <c r="BW890" t="str">
        <f t="shared" si="424"/>
        <v>14:42:35.421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343</v>
      </c>
      <c r="CR890">
        <v>1</v>
      </c>
      <c r="CW890">
        <v>10606045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si="421"/>
        <v>05/12/2020 14:42:17.592</v>
      </c>
      <c r="C891" t="str">
        <f t="shared" si="407"/>
        <v>FFDFD3C0</v>
      </c>
      <c r="D891" t="s">
        <v>126</v>
      </c>
      <c r="E891">
        <v>7</v>
      </c>
      <c r="F891">
        <v>1007</v>
      </c>
      <c r="G891" t="s">
        <v>127</v>
      </c>
      <c r="J891" t="s">
        <v>128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422"/>
        <v>14:42:35.414</v>
      </c>
      <c r="T891" t="str">
        <f t="shared" si="423"/>
        <v>14:42:35.314</v>
      </c>
      <c r="U891" t="str">
        <f t="shared" si="398"/>
        <v>A9808D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310</v>
      </c>
      <c r="AJ891">
        <v>28.267907999999998</v>
      </c>
      <c r="AK891" t="s">
        <v>311</v>
      </c>
      <c r="AL891">
        <v>-82.380381</v>
      </c>
      <c r="AM891">
        <v>100</v>
      </c>
      <c r="AN891">
        <v>1100</v>
      </c>
      <c r="AO891" t="s">
        <v>118</v>
      </c>
      <c r="AP891">
        <v>-4</v>
      </c>
      <c r="AQ891">
        <v>88</v>
      </c>
      <c r="AR891">
        <v>768</v>
      </c>
      <c r="AZ891">
        <v>1200</v>
      </c>
      <c r="BA891">
        <v>1</v>
      </c>
      <c r="BB891" t="str">
        <f t="shared" si="408"/>
        <v xml:space="preserve">N711JA  </v>
      </c>
      <c r="BC891">
        <v>1</v>
      </c>
      <c r="BE891">
        <v>0</v>
      </c>
      <c r="BF891">
        <v>0</v>
      </c>
      <c r="BG891">
        <v>0</v>
      </c>
      <c r="BH891">
        <v>1175</v>
      </c>
      <c r="BI891">
        <v>1</v>
      </c>
      <c r="BJ891">
        <v>1</v>
      </c>
      <c r="BK891">
        <v>0</v>
      </c>
      <c r="BL891">
        <v>0</v>
      </c>
      <c r="BO891">
        <v>0</v>
      </c>
      <c r="BP891">
        <v>0</v>
      </c>
      <c r="BW891" t="str">
        <f t="shared" si="424"/>
        <v>14:42:35.421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343</v>
      </c>
      <c r="CR891">
        <v>1</v>
      </c>
      <c r="CW891">
        <v>10606045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421"/>
        <v>05/12/2020 14:42:17.592</v>
      </c>
      <c r="C892" t="str">
        <f t="shared" si="407"/>
        <v>FFDFD3C0</v>
      </c>
      <c r="D892" t="s">
        <v>131</v>
      </c>
      <c r="E892">
        <v>18</v>
      </c>
      <c r="F892">
        <v>2018</v>
      </c>
      <c r="G892" t="s">
        <v>161</v>
      </c>
      <c r="J892" t="s">
        <v>133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22"/>
        <v>14:42:35.414</v>
      </c>
      <c r="T892" t="str">
        <f t="shared" si="423"/>
        <v>14:42:35.314</v>
      </c>
      <c r="U892" t="str">
        <f t="shared" si="398"/>
        <v>A9808D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310</v>
      </c>
      <c r="AJ892">
        <v>28.267907999999998</v>
      </c>
      <c r="AK892" t="s">
        <v>311</v>
      </c>
      <c r="AL892">
        <v>-82.380381</v>
      </c>
      <c r="AM892">
        <v>100</v>
      </c>
      <c r="AN892">
        <v>1100</v>
      </c>
      <c r="AO892" t="s">
        <v>118</v>
      </c>
      <c r="AP892">
        <v>-4</v>
      </c>
      <c r="AQ892">
        <v>88</v>
      </c>
      <c r="AR892">
        <v>768</v>
      </c>
      <c r="AZ892">
        <v>1200</v>
      </c>
      <c r="BA892">
        <v>1</v>
      </c>
      <c r="BB892" t="str">
        <f t="shared" si="408"/>
        <v xml:space="preserve">N711JA  </v>
      </c>
      <c r="BC892">
        <v>1</v>
      </c>
      <c r="BE892">
        <v>0</v>
      </c>
      <c r="BF892">
        <v>0</v>
      </c>
      <c r="BG892">
        <v>0</v>
      </c>
      <c r="BH892">
        <v>1175</v>
      </c>
      <c r="BI892">
        <v>1</v>
      </c>
      <c r="BJ892">
        <v>1</v>
      </c>
      <c r="BK892">
        <v>0</v>
      </c>
      <c r="BL892">
        <v>0</v>
      </c>
      <c r="BO892">
        <v>0</v>
      </c>
      <c r="BP892">
        <v>0</v>
      </c>
      <c r="BW892" t="str">
        <f t="shared" si="424"/>
        <v>14:42:35.421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343</v>
      </c>
      <c r="CR892">
        <v>1</v>
      </c>
      <c r="CW892">
        <v>10606045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si="421"/>
        <v>05/12/2020 14:42:17.592</v>
      </c>
      <c r="C893" t="str">
        <f t="shared" si="407"/>
        <v>FFDFD3C0</v>
      </c>
      <c r="D893" t="s">
        <v>134</v>
      </c>
      <c r="E893">
        <v>12</v>
      </c>
      <c r="H893">
        <v>64</v>
      </c>
      <c r="I893" t="s">
        <v>135</v>
      </c>
      <c r="J893" t="s">
        <v>136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422"/>
        <v>14:42:35.414</v>
      </c>
      <c r="T893" t="str">
        <f t="shared" si="423"/>
        <v>14:42:35.314</v>
      </c>
      <c r="U893" t="str">
        <f t="shared" si="398"/>
        <v>A9808D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310</v>
      </c>
      <c r="AJ893">
        <v>28.267907999999998</v>
      </c>
      <c r="AK893" t="s">
        <v>311</v>
      </c>
      <c r="AL893">
        <v>-82.380381</v>
      </c>
      <c r="AM893">
        <v>100</v>
      </c>
      <c r="AN893">
        <v>1100</v>
      </c>
      <c r="AO893" t="s">
        <v>118</v>
      </c>
      <c r="AP893">
        <v>-4</v>
      </c>
      <c r="AQ893">
        <v>88</v>
      </c>
      <c r="AR893">
        <v>768</v>
      </c>
      <c r="AZ893">
        <v>1200</v>
      </c>
      <c r="BA893">
        <v>1</v>
      </c>
      <c r="BB893" t="str">
        <f t="shared" si="408"/>
        <v xml:space="preserve">N711JA  </v>
      </c>
      <c r="BC893">
        <v>1</v>
      </c>
      <c r="BE893">
        <v>0</v>
      </c>
      <c r="BF893">
        <v>0</v>
      </c>
      <c r="BG893">
        <v>0</v>
      </c>
      <c r="BH893">
        <v>1175</v>
      </c>
      <c r="BI893">
        <v>1</v>
      </c>
      <c r="BJ893">
        <v>1</v>
      </c>
      <c r="BK893">
        <v>0</v>
      </c>
      <c r="BL893">
        <v>0</v>
      </c>
      <c r="BO893">
        <v>0</v>
      </c>
      <c r="BP893">
        <v>0</v>
      </c>
      <c r="BW893" t="str">
        <f t="shared" si="424"/>
        <v>14:42:35.421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343</v>
      </c>
      <c r="CR893">
        <v>1</v>
      </c>
      <c r="CW893">
        <v>10606045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421"/>
        <v>05/12/2020 14:42:17.592</v>
      </c>
      <c r="C894" t="str">
        <f t="shared" si="407"/>
        <v>FFDFD3C0</v>
      </c>
      <c r="D894" t="s">
        <v>113</v>
      </c>
      <c r="E894">
        <v>3</v>
      </c>
      <c r="H894">
        <v>164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22"/>
        <v>14:42:35.414</v>
      </c>
      <c r="T894" t="str">
        <f t="shared" si="423"/>
        <v>14:42:35.314</v>
      </c>
      <c r="U894" t="str">
        <f t="shared" si="398"/>
        <v>A9808D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310</v>
      </c>
      <c r="AJ894">
        <v>28.267907999999998</v>
      </c>
      <c r="AK894" t="s">
        <v>311</v>
      </c>
      <c r="AL894">
        <v>-82.380381</v>
      </c>
      <c r="AM894">
        <v>100</v>
      </c>
      <c r="AN894">
        <v>1100</v>
      </c>
      <c r="AO894" t="s">
        <v>118</v>
      </c>
      <c r="AP894">
        <v>-4</v>
      </c>
      <c r="AQ894">
        <v>88</v>
      </c>
      <c r="AR894">
        <v>768</v>
      </c>
      <c r="AZ894">
        <v>1200</v>
      </c>
      <c r="BA894">
        <v>1</v>
      </c>
      <c r="BB894" t="str">
        <f t="shared" si="408"/>
        <v xml:space="preserve">N711JA  </v>
      </c>
      <c r="BC894">
        <v>1</v>
      </c>
      <c r="BE894">
        <v>0</v>
      </c>
      <c r="BF894">
        <v>0</v>
      </c>
      <c r="BG894">
        <v>0</v>
      </c>
      <c r="BH894">
        <v>1175</v>
      </c>
      <c r="BI894">
        <v>1</v>
      </c>
      <c r="BJ894">
        <v>1</v>
      </c>
      <c r="BK894">
        <v>0</v>
      </c>
      <c r="BL894">
        <v>0</v>
      </c>
      <c r="BO894">
        <v>0</v>
      </c>
      <c r="BP894">
        <v>0</v>
      </c>
      <c r="BW894" t="str">
        <f t="shared" si="424"/>
        <v>14:42:35.421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343</v>
      </c>
      <c r="CR894">
        <v>1</v>
      </c>
      <c r="CW894">
        <v>10606045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421"/>
        <v>05/12/2020 14:42:17.592</v>
      </c>
      <c r="C895" t="str">
        <f t="shared" si="407"/>
        <v>FFDFD3C0</v>
      </c>
      <c r="D895" t="s">
        <v>126</v>
      </c>
      <c r="E895">
        <v>6</v>
      </c>
      <c r="F895">
        <v>1006</v>
      </c>
      <c r="G895" t="s">
        <v>114</v>
      </c>
      <c r="J895" t="s">
        <v>128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22"/>
        <v>14:42:35.414</v>
      </c>
      <c r="T895" t="str">
        <f t="shared" si="423"/>
        <v>14:42:35.314</v>
      </c>
      <c r="U895" t="str">
        <f t="shared" si="398"/>
        <v>A9808D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310</v>
      </c>
      <c r="AJ895">
        <v>28.267907999999998</v>
      </c>
      <c r="AK895" t="s">
        <v>311</v>
      </c>
      <c r="AL895">
        <v>-82.380381</v>
      </c>
      <c r="AM895">
        <v>100</v>
      </c>
      <c r="AN895">
        <v>1100</v>
      </c>
      <c r="AO895" t="s">
        <v>118</v>
      </c>
      <c r="AP895">
        <v>-4</v>
      </c>
      <c r="AQ895">
        <v>88</v>
      </c>
      <c r="AR895">
        <v>768</v>
      </c>
      <c r="AZ895">
        <v>1200</v>
      </c>
      <c r="BA895">
        <v>1</v>
      </c>
      <c r="BB895" t="str">
        <f t="shared" si="408"/>
        <v xml:space="preserve">N711JA  </v>
      </c>
      <c r="BC895">
        <v>1</v>
      </c>
      <c r="BE895">
        <v>0</v>
      </c>
      <c r="BF895">
        <v>0</v>
      </c>
      <c r="BG895">
        <v>0</v>
      </c>
      <c r="BH895">
        <v>1175</v>
      </c>
      <c r="BI895">
        <v>1</v>
      </c>
      <c r="BJ895">
        <v>1</v>
      </c>
      <c r="BK895">
        <v>0</v>
      </c>
      <c r="BL895">
        <v>0</v>
      </c>
      <c r="BO895">
        <v>0</v>
      </c>
      <c r="BP895">
        <v>0</v>
      </c>
      <c r="BW895" t="str">
        <f t="shared" si="424"/>
        <v>14:42:35.421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343</v>
      </c>
      <c r="CR895">
        <v>1</v>
      </c>
      <c r="CW895">
        <v>10606045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ref="A896:A904" si="425">"05/12/2020 14:42:18.644"</f>
        <v>05/12/2020 14:42:18.644</v>
      </c>
      <c r="C896" t="str">
        <f t="shared" si="407"/>
        <v>FFDFD3C0</v>
      </c>
      <c r="D896" t="s">
        <v>113</v>
      </c>
      <c r="E896">
        <v>3</v>
      </c>
      <c r="H896">
        <v>164</v>
      </c>
      <c r="I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ref="S896:S904" si="426">"14:42:36.469"</f>
        <v>14:42:36.469</v>
      </c>
      <c r="T896" t="str">
        <f t="shared" ref="T896:T904" si="427">"14:42:36.369"</f>
        <v>14:42:36.369</v>
      </c>
      <c r="U896" t="str">
        <f t="shared" si="398"/>
        <v>A9808D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312</v>
      </c>
      <c r="AJ896">
        <v>28.268315999999999</v>
      </c>
      <c r="AK896" t="s">
        <v>291</v>
      </c>
      <c r="AL896">
        <v>-82.380402000000004</v>
      </c>
      <c r="AM896">
        <v>100</v>
      </c>
      <c r="AN896">
        <v>1100</v>
      </c>
      <c r="AO896" t="s">
        <v>118</v>
      </c>
      <c r="AP896">
        <v>-5</v>
      </c>
      <c r="AQ896">
        <v>87</v>
      </c>
      <c r="AR896">
        <v>832</v>
      </c>
      <c r="AZ896">
        <v>1200</v>
      </c>
      <c r="BA896">
        <v>1</v>
      </c>
      <c r="BB896" t="str">
        <f t="shared" si="408"/>
        <v xml:space="preserve">N711JA  </v>
      </c>
      <c r="BC896">
        <v>1</v>
      </c>
      <c r="BE896">
        <v>0</v>
      </c>
      <c r="BF896">
        <v>0</v>
      </c>
      <c r="BG896">
        <v>0</v>
      </c>
      <c r="BH896">
        <v>1200</v>
      </c>
      <c r="BI896">
        <v>1</v>
      </c>
      <c r="BJ896">
        <v>1</v>
      </c>
      <c r="BK896">
        <v>0</v>
      </c>
      <c r="BL896">
        <v>0</v>
      </c>
      <c r="BO896">
        <v>0</v>
      </c>
      <c r="BP896">
        <v>0</v>
      </c>
      <c r="BW896" t="str">
        <f t="shared" ref="BW896:BW904" si="428">"14:42:36.475"</f>
        <v>14:42:36.475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343</v>
      </c>
      <c r="CR896">
        <v>2</v>
      </c>
      <c r="CW896">
        <v>13007890</v>
      </c>
      <c r="CY896">
        <v>1</v>
      </c>
      <c r="CZ896">
        <v>0</v>
      </c>
      <c r="DA896">
        <v>0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425"/>
        <v>05/12/2020 14:42:18.644</v>
      </c>
      <c r="C897" t="str">
        <f t="shared" si="407"/>
        <v>FFDFD3C0</v>
      </c>
      <c r="D897" t="s">
        <v>131</v>
      </c>
      <c r="E897">
        <v>12</v>
      </c>
      <c r="F897">
        <v>2012</v>
      </c>
      <c r="G897" t="s">
        <v>137</v>
      </c>
      <c r="J897" t="s">
        <v>133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26"/>
        <v>14:42:36.469</v>
      </c>
      <c r="T897" t="str">
        <f t="shared" si="427"/>
        <v>14:42:36.369</v>
      </c>
      <c r="U897" t="str">
        <f t="shared" si="398"/>
        <v>A9808D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312</v>
      </c>
      <c r="AJ897">
        <v>28.268315999999999</v>
      </c>
      <c r="AK897" t="s">
        <v>291</v>
      </c>
      <c r="AL897">
        <v>-82.380402000000004</v>
      </c>
      <c r="AM897">
        <v>100</v>
      </c>
      <c r="AN897">
        <v>1100</v>
      </c>
      <c r="AO897" t="s">
        <v>118</v>
      </c>
      <c r="AP897">
        <v>-5</v>
      </c>
      <c r="AQ897">
        <v>87</v>
      </c>
      <c r="AR897">
        <v>832</v>
      </c>
      <c r="AZ897">
        <v>1200</v>
      </c>
      <c r="BA897">
        <v>1</v>
      </c>
      <c r="BB897" t="str">
        <f t="shared" si="408"/>
        <v xml:space="preserve">N711JA  </v>
      </c>
      <c r="BC897">
        <v>1</v>
      </c>
      <c r="BE897">
        <v>0</v>
      </c>
      <c r="BF897">
        <v>0</v>
      </c>
      <c r="BG897">
        <v>0</v>
      </c>
      <c r="BH897">
        <v>1200</v>
      </c>
      <c r="BI897">
        <v>1</v>
      </c>
      <c r="BJ897">
        <v>1</v>
      </c>
      <c r="BK897">
        <v>0</v>
      </c>
      <c r="BL897">
        <v>0</v>
      </c>
      <c r="BO897">
        <v>0</v>
      </c>
      <c r="BP897">
        <v>0</v>
      </c>
      <c r="BW897" t="str">
        <f t="shared" si="428"/>
        <v>14:42:36.475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343</v>
      </c>
      <c r="CR897">
        <v>2</v>
      </c>
      <c r="CW897">
        <v>13007890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 t="shared" si="425"/>
        <v>05/12/2020 14:42:18.644</v>
      </c>
      <c r="C898" t="str">
        <f t="shared" si="407"/>
        <v>FFDFD3C0</v>
      </c>
      <c r="D898" t="s">
        <v>126</v>
      </c>
      <c r="E898">
        <v>7</v>
      </c>
      <c r="F898">
        <v>1007</v>
      </c>
      <c r="G898" t="s">
        <v>127</v>
      </c>
      <c r="J898" t="s">
        <v>128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26"/>
        <v>14:42:36.469</v>
      </c>
      <c r="T898" t="str">
        <f t="shared" si="427"/>
        <v>14:42:36.369</v>
      </c>
      <c r="U898" t="str">
        <f t="shared" ref="U898:U961" si="429">"A9808D"</f>
        <v>A9808D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312</v>
      </c>
      <c r="AJ898">
        <v>28.268315999999999</v>
      </c>
      <c r="AK898" t="s">
        <v>291</v>
      </c>
      <c r="AL898">
        <v>-82.380402000000004</v>
      </c>
      <c r="AM898">
        <v>100</v>
      </c>
      <c r="AN898">
        <v>1100</v>
      </c>
      <c r="AO898" t="s">
        <v>118</v>
      </c>
      <c r="AP898">
        <v>-5</v>
      </c>
      <c r="AQ898">
        <v>87</v>
      </c>
      <c r="AR898">
        <v>832</v>
      </c>
      <c r="AZ898">
        <v>1200</v>
      </c>
      <c r="BA898">
        <v>1</v>
      </c>
      <c r="BB898" t="str">
        <f t="shared" si="408"/>
        <v xml:space="preserve">N711JA  </v>
      </c>
      <c r="BC898">
        <v>1</v>
      </c>
      <c r="BE898">
        <v>0</v>
      </c>
      <c r="BF898">
        <v>0</v>
      </c>
      <c r="BG898">
        <v>0</v>
      </c>
      <c r="BH898">
        <v>1200</v>
      </c>
      <c r="BI898">
        <v>1</v>
      </c>
      <c r="BJ898">
        <v>1</v>
      </c>
      <c r="BK898">
        <v>0</v>
      </c>
      <c r="BL898">
        <v>0</v>
      </c>
      <c r="BO898">
        <v>0</v>
      </c>
      <c r="BP898">
        <v>0</v>
      </c>
      <c r="BW898" t="str">
        <f t="shared" si="428"/>
        <v>14:42:36.475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343</v>
      </c>
      <c r="CR898">
        <v>2</v>
      </c>
      <c r="CW898">
        <v>13007890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 t="shared" si="425"/>
        <v>05/12/2020 14:42:18.644</v>
      </c>
      <c r="C899" t="str">
        <f t="shared" si="407"/>
        <v>FFDFD3C0</v>
      </c>
      <c r="D899" t="s">
        <v>131</v>
      </c>
      <c r="E899">
        <v>10</v>
      </c>
      <c r="F899">
        <v>2010</v>
      </c>
      <c r="G899" t="s">
        <v>132</v>
      </c>
      <c r="J899" t="s">
        <v>133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426"/>
        <v>14:42:36.469</v>
      </c>
      <c r="T899" t="str">
        <f t="shared" si="427"/>
        <v>14:42:36.369</v>
      </c>
      <c r="U899" t="str">
        <f t="shared" si="429"/>
        <v>A9808D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312</v>
      </c>
      <c r="AJ899">
        <v>28.268315999999999</v>
      </c>
      <c r="AK899" t="s">
        <v>291</v>
      </c>
      <c r="AL899">
        <v>-82.380402000000004</v>
      </c>
      <c r="AM899">
        <v>100</v>
      </c>
      <c r="AN899">
        <v>1100</v>
      </c>
      <c r="AO899" t="s">
        <v>118</v>
      </c>
      <c r="AP899">
        <v>-5</v>
      </c>
      <c r="AQ899">
        <v>87</v>
      </c>
      <c r="AR899">
        <v>832</v>
      </c>
      <c r="AZ899">
        <v>1200</v>
      </c>
      <c r="BA899">
        <v>1</v>
      </c>
      <c r="BB899" t="str">
        <f t="shared" si="408"/>
        <v xml:space="preserve">N711JA  </v>
      </c>
      <c r="BC899">
        <v>1</v>
      </c>
      <c r="BE899">
        <v>0</v>
      </c>
      <c r="BF899">
        <v>0</v>
      </c>
      <c r="BG899">
        <v>0</v>
      </c>
      <c r="BH899">
        <v>1200</v>
      </c>
      <c r="BI899">
        <v>1</v>
      </c>
      <c r="BJ899">
        <v>1</v>
      </c>
      <c r="BK899">
        <v>0</v>
      </c>
      <c r="BL899">
        <v>0</v>
      </c>
      <c r="BO899">
        <v>0</v>
      </c>
      <c r="BP899">
        <v>0</v>
      </c>
      <c r="BW899" t="str">
        <f t="shared" si="428"/>
        <v>14:42:36.475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343</v>
      </c>
      <c r="CR899">
        <v>2</v>
      </c>
      <c r="CW899">
        <v>13007890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 t="shared" si="425"/>
        <v>05/12/2020 14:42:18.644</v>
      </c>
      <c r="C900" t="str">
        <f t="shared" si="407"/>
        <v>FFDFD3C0</v>
      </c>
      <c r="D900" t="s">
        <v>131</v>
      </c>
      <c r="E900">
        <v>18</v>
      </c>
      <c r="F900">
        <v>2018</v>
      </c>
      <c r="G900" t="s">
        <v>161</v>
      </c>
      <c r="J900" t="s">
        <v>133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426"/>
        <v>14:42:36.469</v>
      </c>
      <c r="T900" t="str">
        <f t="shared" si="427"/>
        <v>14:42:36.369</v>
      </c>
      <c r="U900" t="str">
        <f t="shared" si="429"/>
        <v>A9808D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312</v>
      </c>
      <c r="AJ900">
        <v>28.268315999999999</v>
      </c>
      <c r="AK900" t="s">
        <v>291</v>
      </c>
      <c r="AL900">
        <v>-82.380402000000004</v>
      </c>
      <c r="AM900">
        <v>100</v>
      </c>
      <c r="AN900">
        <v>1100</v>
      </c>
      <c r="AO900" t="s">
        <v>118</v>
      </c>
      <c r="AP900">
        <v>-5</v>
      </c>
      <c r="AQ900">
        <v>87</v>
      </c>
      <c r="AR900">
        <v>832</v>
      </c>
      <c r="AZ900">
        <v>1200</v>
      </c>
      <c r="BA900">
        <v>1</v>
      </c>
      <c r="BB900" t="str">
        <f t="shared" si="408"/>
        <v xml:space="preserve">N711JA  </v>
      </c>
      <c r="BC900">
        <v>1</v>
      </c>
      <c r="BE900">
        <v>0</v>
      </c>
      <c r="BF900">
        <v>0</v>
      </c>
      <c r="BG900">
        <v>0</v>
      </c>
      <c r="BH900">
        <v>1200</v>
      </c>
      <c r="BI900">
        <v>1</v>
      </c>
      <c r="BJ900">
        <v>1</v>
      </c>
      <c r="BK900">
        <v>0</v>
      </c>
      <c r="BL900">
        <v>0</v>
      </c>
      <c r="BO900">
        <v>0</v>
      </c>
      <c r="BP900">
        <v>0</v>
      </c>
      <c r="BW900" t="str">
        <f t="shared" si="428"/>
        <v>14:42:36.475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343</v>
      </c>
      <c r="CR900">
        <v>2</v>
      </c>
      <c r="CW900">
        <v>13007890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 t="shared" si="425"/>
        <v>05/12/2020 14:42:18.644</v>
      </c>
      <c r="C901" t="str">
        <f t="shared" si="407"/>
        <v>FFDFD3C0</v>
      </c>
      <c r="D901" t="s">
        <v>138</v>
      </c>
      <c r="E901">
        <v>2</v>
      </c>
      <c r="H901">
        <v>8</v>
      </c>
      <c r="I901" t="s">
        <v>139</v>
      </c>
      <c r="J901" t="s">
        <v>136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426"/>
        <v>14:42:36.469</v>
      </c>
      <c r="T901" t="str">
        <f t="shared" si="427"/>
        <v>14:42:36.369</v>
      </c>
      <c r="U901" t="str">
        <f t="shared" si="429"/>
        <v>A9808D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312</v>
      </c>
      <c r="AJ901">
        <v>28.268315999999999</v>
      </c>
      <c r="AK901" t="s">
        <v>291</v>
      </c>
      <c r="AL901">
        <v>-82.380402000000004</v>
      </c>
      <c r="AM901">
        <v>100</v>
      </c>
      <c r="AN901">
        <v>1100</v>
      </c>
      <c r="AO901" t="s">
        <v>118</v>
      </c>
      <c r="AP901">
        <v>-5</v>
      </c>
      <c r="AQ901">
        <v>87</v>
      </c>
      <c r="AR901">
        <v>832</v>
      </c>
      <c r="AZ901">
        <v>1200</v>
      </c>
      <c r="BA901">
        <v>1</v>
      </c>
      <c r="BB901" t="str">
        <f t="shared" si="408"/>
        <v xml:space="preserve">N711JA  </v>
      </c>
      <c r="BC901">
        <v>1</v>
      </c>
      <c r="BE901">
        <v>0</v>
      </c>
      <c r="BF901">
        <v>0</v>
      </c>
      <c r="BG901">
        <v>0</v>
      </c>
      <c r="BH901">
        <v>1200</v>
      </c>
      <c r="BI901">
        <v>1</v>
      </c>
      <c r="BJ901">
        <v>1</v>
      </c>
      <c r="BK901">
        <v>0</v>
      </c>
      <c r="BL901">
        <v>0</v>
      </c>
      <c r="BO901">
        <v>0</v>
      </c>
      <c r="BP901">
        <v>0</v>
      </c>
      <c r="BW901" t="str">
        <f t="shared" si="428"/>
        <v>14:42:36.475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343</v>
      </c>
      <c r="CR901">
        <v>2</v>
      </c>
      <c r="CW901">
        <v>13007890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si="425"/>
        <v>05/12/2020 14:42:18.644</v>
      </c>
      <c r="C902" t="str">
        <f t="shared" si="407"/>
        <v>FFDFD3C0</v>
      </c>
      <c r="D902" t="s">
        <v>138</v>
      </c>
      <c r="E902">
        <v>3</v>
      </c>
      <c r="H902">
        <v>9</v>
      </c>
      <c r="I902" t="s">
        <v>140</v>
      </c>
      <c r="J902" t="s">
        <v>136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426"/>
        <v>14:42:36.469</v>
      </c>
      <c r="T902" t="str">
        <f t="shared" si="427"/>
        <v>14:42:36.369</v>
      </c>
      <c r="U902" t="str">
        <f t="shared" si="429"/>
        <v>A9808D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312</v>
      </c>
      <c r="AJ902">
        <v>28.268315999999999</v>
      </c>
      <c r="AK902" t="s">
        <v>291</v>
      </c>
      <c r="AL902">
        <v>-82.380402000000004</v>
      </c>
      <c r="AM902">
        <v>100</v>
      </c>
      <c r="AN902">
        <v>1100</v>
      </c>
      <c r="AO902" t="s">
        <v>118</v>
      </c>
      <c r="AP902">
        <v>-5</v>
      </c>
      <c r="AQ902">
        <v>87</v>
      </c>
      <c r="AR902">
        <v>832</v>
      </c>
      <c r="AZ902">
        <v>1200</v>
      </c>
      <c r="BA902">
        <v>1</v>
      </c>
      <c r="BB902" t="str">
        <f t="shared" si="408"/>
        <v xml:space="preserve">N711JA  </v>
      </c>
      <c r="BC902">
        <v>1</v>
      </c>
      <c r="BE902">
        <v>0</v>
      </c>
      <c r="BF902">
        <v>0</v>
      </c>
      <c r="BG902">
        <v>0</v>
      </c>
      <c r="BH902">
        <v>1200</v>
      </c>
      <c r="BI902">
        <v>1</v>
      </c>
      <c r="BJ902">
        <v>1</v>
      </c>
      <c r="BK902">
        <v>0</v>
      </c>
      <c r="BL902">
        <v>0</v>
      </c>
      <c r="BO902">
        <v>0</v>
      </c>
      <c r="BP902">
        <v>0</v>
      </c>
      <c r="BW902" t="str">
        <f t="shared" si="428"/>
        <v>14:42:36.475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343</v>
      </c>
      <c r="CR902">
        <v>2</v>
      </c>
      <c r="CW902">
        <v>13007890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425"/>
        <v>05/12/2020 14:42:18.644</v>
      </c>
      <c r="C903" t="str">
        <f t="shared" si="407"/>
        <v>FFDFD3C0</v>
      </c>
      <c r="D903" t="s">
        <v>134</v>
      </c>
      <c r="E903">
        <v>12</v>
      </c>
      <c r="H903">
        <v>64</v>
      </c>
      <c r="I903" t="s">
        <v>135</v>
      </c>
      <c r="J903" t="s">
        <v>136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26"/>
        <v>14:42:36.469</v>
      </c>
      <c r="T903" t="str">
        <f t="shared" si="427"/>
        <v>14:42:36.369</v>
      </c>
      <c r="U903" t="str">
        <f t="shared" si="429"/>
        <v>A9808D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312</v>
      </c>
      <c r="AJ903">
        <v>28.268315999999999</v>
      </c>
      <c r="AK903" t="s">
        <v>291</v>
      </c>
      <c r="AL903">
        <v>-82.380402000000004</v>
      </c>
      <c r="AM903">
        <v>100</v>
      </c>
      <c r="AN903">
        <v>1100</v>
      </c>
      <c r="AO903" t="s">
        <v>118</v>
      </c>
      <c r="AP903">
        <v>-5</v>
      </c>
      <c r="AQ903">
        <v>87</v>
      </c>
      <c r="AR903">
        <v>832</v>
      </c>
      <c r="AZ903">
        <v>1200</v>
      </c>
      <c r="BA903">
        <v>1</v>
      </c>
      <c r="BB903" t="str">
        <f t="shared" si="408"/>
        <v xml:space="preserve">N711JA  </v>
      </c>
      <c r="BC903">
        <v>1</v>
      </c>
      <c r="BE903">
        <v>0</v>
      </c>
      <c r="BF903">
        <v>0</v>
      </c>
      <c r="BG903">
        <v>0</v>
      </c>
      <c r="BH903">
        <v>1200</v>
      </c>
      <c r="BI903">
        <v>1</v>
      </c>
      <c r="BJ903">
        <v>1</v>
      </c>
      <c r="BK903">
        <v>0</v>
      </c>
      <c r="BL903">
        <v>0</v>
      </c>
      <c r="BO903">
        <v>0</v>
      </c>
      <c r="BP903">
        <v>0</v>
      </c>
      <c r="BW903" t="str">
        <f t="shared" si="428"/>
        <v>14:42:36.475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343</v>
      </c>
      <c r="CR903">
        <v>2</v>
      </c>
      <c r="CW903">
        <v>13007890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425"/>
        <v>05/12/2020 14:42:18.644</v>
      </c>
      <c r="C904" t="str">
        <f t="shared" si="407"/>
        <v>FFDFD3C0</v>
      </c>
      <c r="D904" t="s">
        <v>126</v>
      </c>
      <c r="E904">
        <v>6</v>
      </c>
      <c r="F904">
        <v>1006</v>
      </c>
      <c r="G904" t="s">
        <v>114</v>
      </c>
      <c r="J904" t="s">
        <v>128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26"/>
        <v>14:42:36.469</v>
      </c>
      <c r="T904" t="str">
        <f t="shared" si="427"/>
        <v>14:42:36.369</v>
      </c>
      <c r="U904" t="str">
        <f t="shared" si="429"/>
        <v>A9808D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312</v>
      </c>
      <c r="AJ904">
        <v>28.268315999999999</v>
      </c>
      <c r="AK904" t="s">
        <v>291</v>
      </c>
      <c r="AL904">
        <v>-82.380402000000004</v>
      </c>
      <c r="AM904">
        <v>100</v>
      </c>
      <c r="AN904">
        <v>1100</v>
      </c>
      <c r="AO904" t="s">
        <v>118</v>
      </c>
      <c r="AP904">
        <v>-5</v>
      </c>
      <c r="AQ904">
        <v>87</v>
      </c>
      <c r="AR904">
        <v>832</v>
      </c>
      <c r="AZ904">
        <v>1200</v>
      </c>
      <c r="BA904">
        <v>1</v>
      </c>
      <c r="BB904" t="str">
        <f t="shared" si="408"/>
        <v xml:space="preserve">N711JA  </v>
      </c>
      <c r="BC904">
        <v>1</v>
      </c>
      <c r="BE904">
        <v>0</v>
      </c>
      <c r="BF904">
        <v>0</v>
      </c>
      <c r="BG904">
        <v>0</v>
      </c>
      <c r="BH904">
        <v>1200</v>
      </c>
      <c r="BI904">
        <v>1</v>
      </c>
      <c r="BJ904">
        <v>1</v>
      </c>
      <c r="BK904">
        <v>0</v>
      </c>
      <c r="BL904">
        <v>0</v>
      </c>
      <c r="BO904">
        <v>0</v>
      </c>
      <c r="BP904">
        <v>0</v>
      </c>
      <c r="BW904" t="str">
        <f t="shared" si="428"/>
        <v>14:42:36.475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343</v>
      </c>
      <c r="CR904">
        <v>2</v>
      </c>
      <c r="CW904">
        <v>13007890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ref="A905:A913" si="430">"05/12/2020 14:42:19.657"</f>
        <v>05/12/2020 14:42:19.657</v>
      </c>
      <c r="C905" t="str">
        <f t="shared" si="407"/>
        <v>FFDFD3C0</v>
      </c>
      <c r="D905" t="s">
        <v>131</v>
      </c>
      <c r="E905">
        <v>12</v>
      </c>
      <c r="F905">
        <v>2012</v>
      </c>
      <c r="G905" t="s">
        <v>137</v>
      </c>
      <c r="J905" t="s">
        <v>133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ref="S905:S913" si="431">"14:42:37.500"</f>
        <v>14:42:37.500</v>
      </c>
      <c r="T905" t="str">
        <f t="shared" ref="T905:T913" si="432">"14:42:37.400"</f>
        <v>14:42:37.400</v>
      </c>
      <c r="U905" t="str">
        <f t="shared" si="429"/>
        <v>A9808D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313</v>
      </c>
      <c r="AJ905">
        <v>28.268788000000001</v>
      </c>
      <c r="AK905" t="s">
        <v>291</v>
      </c>
      <c r="AL905">
        <v>-82.380402000000004</v>
      </c>
      <c r="AM905">
        <v>100</v>
      </c>
      <c r="AN905">
        <v>1100</v>
      </c>
      <c r="AO905" t="s">
        <v>118</v>
      </c>
      <c r="AP905">
        <v>-5</v>
      </c>
      <c r="AQ905">
        <v>87</v>
      </c>
      <c r="AR905">
        <v>704</v>
      </c>
      <c r="AZ905">
        <v>1200</v>
      </c>
      <c r="BA905">
        <v>1</v>
      </c>
      <c r="BB905" t="str">
        <f t="shared" si="408"/>
        <v xml:space="preserve">N711JA  </v>
      </c>
      <c r="BC905">
        <v>1</v>
      </c>
      <c r="BE905">
        <v>0</v>
      </c>
      <c r="BF905">
        <v>0</v>
      </c>
      <c r="BG905">
        <v>0</v>
      </c>
      <c r="BH905">
        <v>1200</v>
      </c>
      <c r="BI905">
        <v>1</v>
      </c>
      <c r="BJ905">
        <v>1</v>
      </c>
      <c r="BK905">
        <v>0</v>
      </c>
      <c r="BL905">
        <v>0</v>
      </c>
      <c r="BO905">
        <v>0</v>
      </c>
      <c r="BP905">
        <v>0</v>
      </c>
      <c r="BW905" t="str">
        <f t="shared" ref="BW905:BW913" si="433">"14:42:37.501"</f>
        <v>14:42:37.501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343</v>
      </c>
      <c r="CR905">
        <v>1</v>
      </c>
      <c r="CW905">
        <v>10608213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430"/>
        <v>05/12/2020 14:42:19.657</v>
      </c>
      <c r="C906" t="str">
        <f t="shared" si="407"/>
        <v>FFDFD3C0</v>
      </c>
      <c r="D906" t="s">
        <v>131</v>
      </c>
      <c r="E906">
        <v>10</v>
      </c>
      <c r="F906">
        <v>2010</v>
      </c>
      <c r="G906" t="s">
        <v>132</v>
      </c>
      <c r="J906" t="s">
        <v>133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31"/>
        <v>14:42:37.500</v>
      </c>
      <c r="T906" t="str">
        <f t="shared" si="432"/>
        <v>14:42:37.400</v>
      </c>
      <c r="U906" t="str">
        <f t="shared" si="429"/>
        <v>A9808D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313</v>
      </c>
      <c r="AJ906">
        <v>28.268788000000001</v>
      </c>
      <c r="AK906" t="s">
        <v>291</v>
      </c>
      <c r="AL906">
        <v>-82.380402000000004</v>
      </c>
      <c r="AM906">
        <v>100</v>
      </c>
      <c r="AN906">
        <v>1100</v>
      </c>
      <c r="AO906" t="s">
        <v>118</v>
      </c>
      <c r="AP906">
        <v>-5</v>
      </c>
      <c r="AQ906">
        <v>87</v>
      </c>
      <c r="AR906">
        <v>704</v>
      </c>
      <c r="AZ906">
        <v>1200</v>
      </c>
      <c r="BA906">
        <v>1</v>
      </c>
      <c r="BB906" t="str">
        <f t="shared" si="408"/>
        <v xml:space="preserve">N711JA  </v>
      </c>
      <c r="BC906">
        <v>1</v>
      </c>
      <c r="BE906">
        <v>0</v>
      </c>
      <c r="BF906">
        <v>0</v>
      </c>
      <c r="BG906">
        <v>0</v>
      </c>
      <c r="BH906">
        <v>1200</v>
      </c>
      <c r="BI906">
        <v>1</v>
      </c>
      <c r="BJ906">
        <v>1</v>
      </c>
      <c r="BK906">
        <v>0</v>
      </c>
      <c r="BL906">
        <v>0</v>
      </c>
      <c r="BO906">
        <v>0</v>
      </c>
      <c r="BP906">
        <v>0</v>
      </c>
      <c r="BW906" t="str">
        <f t="shared" si="433"/>
        <v>14:42:37.501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343</v>
      </c>
      <c r="CR906">
        <v>1</v>
      </c>
      <c r="CW906">
        <v>10608213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 t="shared" si="430"/>
        <v>05/12/2020 14:42:19.657</v>
      </c>
      <c r="C907" t="str">
        <f t="shared" si="407"/>
        <v>FFDFD3C0</v>
      </c>
      <c r="D907" t="s">
        <v>131</v>
      </c>
      <c r="E907">
        <v>18</v>
      </c>
      <c r="F907">
        <v>2018</v>
      </c>
      <c r="G907" t="s">
        <v>161</v>
      </c>
      <c r="J907" t="s">
        <v>133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431"/>
        <v>14:42:37.500</v>
      </c>
      <c r="T907" t="str">
        <f t="shared" si="432"/>
        <v>14:42:37.400</v>
      </c>
      <c r="U907" t="str">
        <f t="shared" si="429"/>
        <v>A9808D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313</v>
      </c>
      <c r="AJ907">
        <v>28.268788000000001</v>
      </c>
      <c r="AK907" t="s">
        <v>291</v>
      </c>
      <c r="AL907">
        <v>-82.380402000000004</v>
      </c>
      <c r="AM907">
        <v>100</v>
      </c>
      <c r="AN907">
        <v>1100</v>
      </c>
      <c r="AO907" t="s">
        <v>118</v>
      </c>
      <c r="AP907">
        <v>-5</v>
      </c>
      <c r="AQ907">
        <v>87</v>
      </c>
      <c r="AR907">
        <v>704</v>
      </c>
      <c r="AZ907">
        <v>1200</v>
      </c>
      <c r="BA907">
        <v>1</v>
      </c>
      <c r="BB907" t="str">
        <f t="shared" si="408"/>
        <v xml:space="preserve">N711JA  </v>
      </c>
      <c r="BC907">
        <v>1</v>
      </c>
      <c r="BE907">
        <v>0</v>
      </c>
      <c r="BF907">
        <v>0</v>
      </c>
      <c r="BG907">
        <v>0</v>
      </c>
      <c r="BH907">
        <v>1200</v>
      </c>
      <c r="BI907">
        <v>1</v>
      </c>
      <c r="BJ907">
        <v>1</v>
      </c>
      <c r="BK907">
        <v>0</v>
      </c>
      <c r="BL907">
        <v>0</v>
      </c>
      <c r="BO907">
        <v>0</v>
      </c>
      <c r="BP907">
        <v>0</v>
      </c>
      <c r="BW907" t="str">
        <f t="shared" si="433"/>
        <v>14:42:37.501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343</v>
      </c>
      <c r="CR907">
        <v>1</v>
      </c>
      <c r="CW907">
        <v>10608213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 t="shared" si="430"/>
        <v>05/12/2020 14:42:19.657</v>
      </c>
      <c r="C908" t="str">
        <f t="shared" si="407"/>
        <v>FFDFD3C0</v>
      </c>
      <c r="D908" t="s">
        <v>126</v>
      </c>
      <c r="E908">
        <v>7</v>
      </c>
      <c r="F908">
        <v>1007</v>
      </c>
      <c r="G908" t="s">
        <v>127</v>
      </c>
      <c r="J908" t="s">
        <v>128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431"/>
        <v>14:42:37.500</v>
      </c>
      <c r="T908" t="str">
        <f t="shared" si="432"/>
        <v>14:42:37.400</v>
      </c>
      <c r="U908" t="str">
        <f t="shared" si="429"/>
        <v>A9808D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313</v>
      </c>
      <c r="AJ908">
        <v>28.268788000000001</v>
      </c>
      <c r="AK908" t="s">
        <v>291</v>
      </c>
      <c r="AL908">
        <v>-82.380402000000004</v>
      </c>
      <c r="AM908">
        <v>100</v>
      </c>
      <c r="AN908">
        <v>1100</v>
      </c>
      <c r="AO908" t="s">
        <v>118</v>
      </c>
      <c r="AP908">
        <v>-5</v>
      </c>
      <c r="AQ908">
        <v>87</v>
      </c>
      <c r="AR908">
        <v>704</v>
      </c>
      <c r="AZ908">
        <v>1200</v>
      </c>
      <c r="BA908">
        <v>1</v>
      </c>
      <c r="BB908" t="str">
        <f t="shared" si="408"/>
        <v xml:space="preserve">N711JA  </v>
      </c>
      <c r="BC908">
        <v>1</v>
      </c>
      <c r="BE908">
        <v>0</v>
      </c>
      <c r="BF908">
        <v>0</v>
      </c>
      <c r="BG908">
        <v>0</v>
      </c>
      <c r="BH908">
        <v>1200</v>
      </c>
      <c r="BI908">
        <v>1</v>
      </c>
      <c r="BJ908">
        <v>1</v>
      </c>
      <c r="BK908">
        <v>0</v>
      </c>
      <c r="BL908">
        <v>0</v>
      </c>
      <c r="BO908">
        <v>0</v>
      </c>
      <c r="BP908">
        <v>0</v>
      </c>
      <c r="BW908" t="str">
        <f t="shared" si="433"/>
        <v>14:42:37.501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343</v>
      </c>
      <c r="CR908">
        <v>1</v>
      </c>
      <c r="CW908">
        <v>10608213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 t="shared" si="430"/>
        <v>05/12/2020 14:42:19.657</v>
      </c>
      <c r="C909" t="str">
        <f t="shared" si="407"/>
        <v>FFDFD3C0</v>
      </c>
      <c r="D909" t="s">
        <v>113</v>
      </c>
      <c r="E909">
        <v>3</v>
      </c>
      <c r="H909">
        <v>164</v>
      </c>
      <c r="I909" t="s">
        <v>114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431"/>
        <v>14:42:37.500</v>
      </c>
      <c r="T909" t="str">
        <f t="shared" si="432"/>
        <v>14:42:37.400</v>
      </c>
      <c r="U909" t="str">
        <f t="shared" si="429"/>
        <v>A9808D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313</v>
      </c>
      <c r="AJ909">
        <v>28.268788000000001</v>
      </c>
      <c r="AK909" t="s">
        <v>291</v>
      </c>
      <c r="AL909">
        <v>-82.380402000000004</v>
      </c>
      <c r="AM909">
        <v>100</v>
      </c>
      <c r="AN909">
        <v>1100</v>
      </c>
      <c r="AO909" t="s">
        <v>118</v>
      </c>
      <c r="AP909">
        <v>-5</v>
      </c>
      <c r="AQ909">
        <v>87</v>
      </c>
      <c r="AR909">
        <v>704</v>
      </c>
      <c r="AZ909">
        <v>1200</v>
      </c>
      <c r="BA909">
        <v>1</v>
      </c>
      <c r="BB909" t="str">
        <f t="shared" si="408"/>
        <v xml:space="preserve">N711JA  </v>
      </c>
      <c r="BC909">
        <v>1</v>
      </c>
      <c r="BE909">
        <v>0</v>
      </c>
      <c r="BF909">
        <v>0</v>
      </c>
      <c r="BG909">
        <v>0</v>
      </c>
      <c r="BH909">
        <v>1200</v>
      </c>
      <c r="BI909">
        <v>1</v>
      </c>
      <c r="BJ909">
        <v>1</v>
      </c>
      <c r="BK909">
        <v>0</v>
      </c>
      <c r="BL909">
        <v>0</v>
      </c>
      <c r="BO909">
        <v>0</v>
      </c>
      <c r="BP909">
        <v>0</v>
      </c>
      <c r="BW909" t="str">
        <f t="shared" si="433"/>
        <v>14:42:37.501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343</v>
      </c>
      <c r="CR909">
        <v>1</v>
      </c>
      <c r="CW909">
        <v>10608213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 t="shared" si="430"/>
        <v>05/12/2020 14:42:19.657</v>
      </c>
      <c r="C910" t="str">
        <f t="shared" si="407"/>
        <v>FFDFD3C0</v>
      </c>
      <c r="D910" t="s">
        <v>138</v>
      </c>
      <c r="E910">
        <v>2</v>
      </c>
      <c r="H910">
        <v>8</v>
      </c>
      <c r="I910" t="s">
        <v>139</v>
      </c>
      <c r="J910" t="s">
        <v>136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431"/>
        <v>14:42:37.500</v>
      </c>
      <c r="T910" t="str">
        <f t="shared" si="432"/>
        <v>14:42:37.400</v>
      </c>
      <c r="U910" t="str">
        <f t="shared" si="429"/>
        <v>A9808D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313</v>
      </c>
      <c r="AJ910">
        <v>28.268788000000001</v>
      </c>
      <c r="AK910" t="s">
        <v>291</v>
      </c>
      <c r="AL910">
        <v>-82.380402000000004</v>
      </c>
      <c r="AM910">
        <v>100</v>
      </c>
      <c r="AN910">
        <v>1100</v>
      </c>
      <c r="AO910" t="s">
        <v>118</v>
      </c>
      <c r="AP910">
        <v>-5</v>
      </c>
      <c r="AQ910">
        <v>87</v>
      </c>
      <c r="AR910">
        <v>704</v>
      </c>
      <c r="AZ910">
        <v>1200</v>
      </c>
      <c r="BA910">
        <v>1</v>
      </c>
      <c r="BB910" t="str">
        <f t="shared" si="408"/>
        <v xml:space="preserve">N711JA  </v>
      </c>
      <c r="BC910">
        <v>1</v>
      </c>
      <c r="BE910">
        <v>0</v>
      </c>
      <c r="BF910">
        <v>0</v>
      </c>
      <c r="BG910">
        <v>0</v>
      </c>
      <c r="BH910">
        <v>1200</v>
      </c>
      <c r="BI910">
        <v>1</v>
      </c>
      <c r="BJ910">
        <v>1</v>
      </c>
      <c r="BK910">
        <v>0</v>
      </c>
      <c r="BL910">
        <v>0</v>
      </c>
      <c r="BO910">
        <v>0</v>
      </c>
      <c r="BP910">
        <v>0</v>
      </c>
      <c r="BW910" t="str">
        <f t="shared" si="433"/>
        <v>14:42:37.501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343</v>
      </c>
      <c r="CR910">
        <v>1</v>
      </c>
      <c r="CW910">
        <v>10608213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 t="shared" si="430"/>
        <v>05/12/2020 14:42:19.657</v>
      </c>
      <c r="C911" t="str">
        <f t="shared" si="407"/>
        <v>FFDFD3C0</v>
      </c>
      <c r="D911" t="s">
        <v>138</v>
      </c>
      <c r="E911">
        <v>3</v>
      </c>
      <c r="H911">
        <v>9</v>
      </c>
      <c r="I911" t="s">
        <v>140</v>
      </c>
      <c r="J911" t="s">
        <v>136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431"/>
        <v>14:42:37.500</v>
      </c>
      <c r="T911" t="str">
        <f t="shared" si="432"/>
        <v>14:42:37.400</v>
      </c>
      <c r="U911" t="str">
        <f t="shared" si="429"/>
        <v>A9808D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313</v>
      </c>
      <c r="AJ911">
        <v>28.268788000000001</v>
      </c>
      <c r="AK911" t="s">
        <v>291</v>
      </c>
      <c r="AL911">
        <v>-82.380402000000004</v>
      </c>
      <c r="AM911">
        <v>100</v>
      </c>
      <c r="AN911">
        <v>1100</v>
      </c>
      <c r="AO911" t="s">
        <v>118</v>
      </c>
      <c r="AP911">
        <v>-5</v>
      </c>
      <c r="AQ911">
        <v>87</v>
      </c>
      <c r="AR911">
        <v>704</v>
      </c>
      <c r="AZ911">
        <v>1200</v>
      </c>
      <c r="BA911">
        <v>1</v>
      </c>
      <c r="BB911" t="str">
        <f t="shared" si="408"/>
        <v xml:space="preserve">N711JA  </v>
      </c>
      <c r="BC911">
        <v>1</v>
      </c>
      <c r="BE911">
        <v>0</v>
      </c>
      <c r="BF911">
        <v>0</v>
      </c>
      <c r="BG911">
        <v>0</v>
      </c>
      <c r="BH911">
        <v>1200</v>
      </c>
      <c r="BI911">
        <v>1</v>
      </c>
      <c r="BJ911">
        <v>1</v>
      </c>
      <c r="BK911">
        <v>0</v>
      </c>
      <c r="BL911">
        <v>0</v>
      </c>
      <c r="BO911">
        <v>0</v>
      </c>
      <c r="BP911">
        <v>0</v>
      </c>
      <c r="BW911" t="str">
        <f t="shared" si="433"/>
        <v>14:42:37.501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343</v>
      </c>
      <c r="CR911">
        <v>1</v>
      </c>
      <c r="CW911">
        <v>10608213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si="430"/>
        <v>05/12/2020 14:42:19.657</v>
      </c>
      <c r="C912" t="str">
        <f t="shared" si="407"/>
        <v>FFDFD3C0</v>
      </c>
      <c r="D912" t="s">
        <v>134</v>
      </c>
      <c r="E912">
        <v>12</v>
      </c>
      <c r="H912">
        <v>64</v>
      </c>
      <c r="I912" t="s">
        <v>135</v>
      </c>
      <c r="J912" t="s">
        <v>136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431"/>
        <v>14:42:37.500</v>
      </c>
      <c r="T912" t="str">
        <f t="shared" si="432"/>
        <v>14:42:37.400</v>
      </c>
      <c r="U912" t="str">
        <f t="shared" si="429"/>
        <v>A9808D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313</v>
      </c>
      <c r="AJ912">
        <v>28.268788000000001</v>
      </c>
      <c r="AK912" t="s">
        <v>291</v>
      </c>
      <c r="AL912">
        <v>-82.380402000000004</v>
      </c>
      <c r="AM912">
        <v>100</v>
      </c>
      <c r="AN912">
        <v>1100</v>
      </c>
      <c r="AO912" t="s">
        <v>118</v>
      </c>
      <c r="AP912">
        <v>-5</v>
      </c>
      <c r="AQ912">
        <v>87</v>
      </c>
      <c r="AR912">
        <v>704</v>
      </c>
      <c r="AZ912">
        <v>1200</v>
      </c>
      <c r="BA912">
        <v>1</v>
      </c>
      <c r="BB912" t="str">
        <f t="shared" si="408"/>
        <v xml:space="preserve">N711JA  </v>
      </c>
      <c r="BC912">
        <v>1</v>
      </c>
      <c r="BE912">
        <v>0</v>
      </c>
      <c r="BF912">
        <v>0</v>
      </c>
      <c r="BG912">
        <v>0</v>
      </c>
      <c r="BH912">
        <v>1200</v>
      </c>
      <c r="BI912">
        <v>1</v>
      </c>
      <c r="BJ912">
        <v>1</v>
      </c>
      <c r="BK912">
        <v>0</v>
      </c>
      <c r="BL912">
        <v>0</v>
      </c>
      <c r="BO912">
        <v>0</v>
      </c>
      <c r="BP912">
        <v>0</v>
      </c>
      <c r="BW912" t="str">
        <f t="shared" si="433"/>
        <v>14:42:37.501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343</v>
      </c>
      <c r="CR912">
        <v>1</v>
      </c>
      <c r="CW912">
        <v>10608213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430"/>
        <v>05/12/2020 14:42:19.657</v>
      </c>
      <c r="C913" t="str">
        <f t="shared" si="407"/>
        <v>FFDFD3C0</v>
      </c>
      <c r="D913" t="s">
        <v>126</v>
      </c>
      <c r="E913">
        <v>6</v>
      </c>
      <c r="F913">
        <v>1006</v>
      </c>
      <c r="G913" t="s">
        <v>114</v>
      </c>
      <c r="J913" t="s">
        <v>128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31"/>
        <v>14:42:37.500</v>
      </c>
      <c r="T913" t="str">
        <f t="shared" si="432"/>
        <v>14:42:37.400</v>
      </c>
      <c r="U913" t="str">
        <f t="shared" si="429"/>
        <v>A9808D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313</v>
      </c>
      <c r="AJ913">
        <v>28.268788000000001</v>
      </c>
      <c r="AK913" t="s">
        <v>291</v>
      </c>
      <c r="AL913">
        <v>-82.380402000000004</v>
      </c>
      <c r="AM913">
        <v>100</v>
      </c>
      <c r="AN913">
        <v>1100</v>
      </c>
      <c r="AO913" t="s">
        <v>118</v>
      </c>
      <c r="AP913">
        <v>-5</v>
      </c>
      <c r="AQ913">
        <v>87</v>
      </c>
      <c r="AR913">
        <v>704</v>
      </c>
      <c r="AZ913">
        <v>1200</v>
      </c>
      <c r="BA913">
        <v>1</v>
      </c>
      <c r="BB913" t="str">
        <f t="shared" si="408"/>
        <v xml:space="preserve">N711JA  </v>
      </c>
      <c r="BC913">
        <v>1</v>
      </c>
      <c r="BE913">
        <v>0</v>
      </c>
      <c r="BF913">
        <v>0</v>
      </c>
      <c r="BG913">
        <v>0</v>
      </c>
      <c r="BH913">
        <v>1200</v>
      </c>
      <c r="BI913">
        <v>1</v>
      </c>
      <c r="BJ913">
        <v>1</v>
      </c>
      <c r="BK913">
        <v>0</v>
      </c>
      <c r="BL913">
        <v>0</v>
      </c>
      <c r="BO913">
        <v>0</v>
      </c>
      <c r="BP913">
        <v>0</v>
      </c>
      <c r="BW913" t="str">
        <f t="shared" si="433"/>
        <v>14:42:37.501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343</v>
      </c>
      <c r="CR913">
        <v>1</v>
      </c>
      <c r="CW913">
        <v>10608213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ref="A914:A922" si="434">"05/12/2020 14:42:20.662"</f>
        <v>05/12/2020 14:42:20.662</v>
      </c>
      <c r="C914" t="str">
        <f t="shared" si="407"/>
        <v>FFDFD3C0</v>
      </c>
      <c r="D914" t="s">
        <v>131</v>
      </c>
      <c r="E914">
        <v>12</v>
      </c>
      <c r="F914">
        <v>2012</v>
      </c>
      <c r="G914" t="s">
        <v>137</v>
      </c>
      <c r="J914" t="s">
        <v>133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ref="S914:S922" si="435">"14:42:38.492"</f>
        <v>14:42:38.492</v>
      </c>
      <c r="T914" t="str">
        <f t="shared" ref="T914:T922" si="436">"14:42:38.292"</f>
        <v>14:42:38.292</v>
      </c>
      <c r="U914" t="str">
        <f t="shared" si="429"/>
        <v>A9808D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314</v>
      </c>
      <c r="AJ914">
        <v>28.269196000000001</v>
      </c>
      <c r="AK914" t="s">
        <v>288</v>
      </c>
      <c r="AL914">
        <v>-82.380444999999995</v>
      </c>
      <c r="AM914">
        <v>100</v>
      </c>
      <c r="AN914">
        <v>1100</v>
      </c>
      <c r="AO914" t="s">
        <v>118</v>
      </c>
      <c r="AP914">
        <v>-5</v>
      </c>
      <c r="AQ914">
        <v>87</v>
      </c>
      <c r="AR914">
        <v>896</v>
      </c>
      <c r="AZ914">
        <v>1200</v>
      </c>
      <c r="BA914">
        <v>1</v>
      </c>
      <c r="BB914" t="str">
        <f t="shared" si="408"/>
        <v xml:space="preserve">N711JA  </v>
      </c>
      <c r="BC914">
        <v>1</v>
      </c>
      <c r="BE914">
        <v>0</v>
      </c>
      <c r="BF914">
        <v>0</v>
      </c>
      <c r="BG914">
        <v>0</v>
      </c>
      <c r="BH914">
        <v>1225</v>
      </c>
      <c r="BI914">
        <v>1</v>
      </c>
      <c r="BJ914">
        <v>1</v>
      </c>
      <c r="BK914">
        <v>0</v>
      </c>
      <c r="BL914">
        <v>0</v>
      </c>
      <c r="BO914">
        <v>0</v>
      </c>
      <c r="BP914">
        <v>0</v>
      </c>
      <c r="BW914" t="str">
        <f t="shared" ref="BW914:BW922" si="437">"14:42:38.493"</f>
        <v>14:42:38.493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343</v>
      </c>
      <c r="CR914">
        <v>1</v>
      </c>
      <c r="CW914">
        <v>10609223</v>
      </c>
      <c r="CY914">
        <v>1</v>
      </c>
      <c r="CZ914">
        <v>0</v>
      </c>
      <c r="DA914">
        <v>0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si="434"/>
        <v>05/12/2020 14:42:20.662</v>
      </c>
      <c r="C915" t="str">
        <f t="shared" si="407"/>
        <v>FFDFD3C0</v>
      </c>
      <c r="D915" t="s">
        <v>131</v>
      </c>
      <c r="E915">
        <v>18</v>
      </c>
      <c r="F915">
        <v>2018</v>
      </c>
      <c r="G915" t="s">
        <v>161</v>
      </c>
      <c r="J915" t="s">
        <v>133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35"/>
        <v>14:42:38.492</v>
      </c>
      <c r="T915" t="str">
        <f t="shared" si="436"/>
        <v>14:42:38.292</v>
      </c>
      <c r="U915" t="str">
        <f t="shared" si="429"/>
        <v>A9808D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314</v>
      </c>
      <c r="AJ915">
        <v>28.269196000000001</v>
      </c>
      <c r="AK915" t="s">
        <v>288</v>
      </c>
      <c r="AL915">
        <v>-82.380444999999995</v>
      </c>
      <c r="AM915">
        <v>100</v>
      </c>
      <c r="AN915">
        <v>1100</v>
      </c>
      <c r="AO915" t="s">
        <v>118</v>
      </c>
      <c r="AP915">
        <v>-5</v>
      </c>
      <c r="AQ915">
        <v>87</v>
      </c>
      <c r="AR915">
        <v>896</v>
      </c>
      <c r="AZ915">
        <v>1200</v>
      </c>
      <c r="BA915">
        <v>1</v>
      </c>
      <c r="BB915" t="str">
        <f t="shared" si="408"/>
        <v xml:space="preserve">N711JA  </v>
      </c>
      <c r="BC915">
        <v>1</v>
      </c>
      <c r="BE915">
        <v>0</v>
      </c>
      <c r="BF915">
        <v>0</v>
      </c>
      <c r="BG915">
        <v>0</v>
      </c>
      <c r="BH915">
        <v>1225</v>
      </c>
      <c r="BI915">
        <v>1</v>
      </c>
      <c r="BJ915">
        <v>1</v>
      </c>
      <c r="BK915">
        <v>0</v>
      </c>
      <c r="BL915">
        <v>0</v>
      </c>
      <c r="BO915">
        <v>0</v>
      </c>
      <c r="BP915">
        <v>0</v>
      </c>
      <c r="BW915" t="str">
        <f t="shared" si="437"/>
        <v>14:42:38.493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343</v>
      </c>
      <c r="CR915">
        <v>1</v>
      </c>
      <c r="CW915">
        <v>10609223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si="434"/>
        <v>05/12/2020 14:42:20.662</v>
      </c>
      <c r="C916" t="str">
        <f t="shared" si="407"/>
        <v>FFDFD3C0</v>
      </c>
      <c r="D916" t="s">
        <v>131</v>
      </c>
      <c r="E916">
        <v>10</v>
      </c>
      <c r="F916">
        <v>2010</v>
      </c>
      <c r="G916" t="s">
        <v>132</v>
      </c>
      <c r="J916" t="s">
        <v>133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35"/>
        <v>14:42:38.492</v>
      </c>
      <c r="T916" t="str">
        <f t="shared" si="436"/>
        <v>14:42:38.292</v>
      </c>
      <c r="U916" t="str">
        <f t="shared" si="429"/>
        <v>A9808D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314</v>
      </c>
      <c r="AJ916">
        <v>28.269196000000001</v>
      </c>
      <c r="AK916" t="s">
        <v>288</v>
      </c>
      <c r="AL916">
        <v>-82.380444999999995</v>
      </c>
      <c r="AM916">
        <v>100</v>
      </c>
      <c r="AN916">
        <v>1100</v>
      </c>
      <c r="AO916" t="s">
        <v>118</v>
      </c>
      <c r="AP916">
        <v>-5</v>
      </c>
      <c r="AQ916">
        <v>87</v>
      </c>
      <c r="AR916">
        <v>896</v>
      </c>
      <c r="AZ916">
        <v>1200</v>
      </c>
      <c r="BA916">
        <v>1</v>
      </c>
      <c r="BB916" t="str">
        <f t="shared" si="408"/>
        <v xml:space="preserve">N711JA  </v>
      </c>
      <c r="BC916">
        <v>1</v>
      </c>
      <c r="BE916">
        <v>0</v>
      </c>
      <c r="BF916">
        <v>0</v>
      </c>
      <c r="BG916">
        <v>0</v>
      </c>
      <c r="BH916">
        <v>1225</v>
      </c>
      <c r="BI916">
        <v>1</v>
      </c>
      <c r="BJ916">
        <v>1</v>
      </c>
      <c r="BK916">
        <v>0</v>
      </c>
      <c r="BL916">
        <v>0</v>
      </c>
      <c r="BO916">
        <v>0</v>
      </c>
      <c r="BP916">
        <v>0</v>
      </c>
      <c r="BW916" t="str">
        <f t="shared" si="437"/>
        <v>14:42:38.493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343</v>
      </c>
      <c r="CR916">
        <v>1</v>
      </c>
      <c r="CW916">
        <v>10609223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si="434"/>
        <v>05/12/2020 14:42:20.662</v>
      </c>
      <c r="C917" t="str">
        <f t="shared" si="407"/>
        <v>FFDFD3C0</v>
      </c>
      <c r="D917" t="s">
        <v>126</v>
      </c>
      <c r="E917">
        <v>7</v>
      </c>
      <c r="F917">
        <v>1007</v>
      </c>
      <c r="G917" t="s">
        <v>127</v>
      </c>
      <c r="J917" t="s">
        <v>128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35"/>
        <v>14:42:38.492</v>
      </c>
      <c r="T917" t="str">
        <f t="shared" si="436"/>
        <v>14:42:38.292</v>
      </c>
      <c r="U917" t="str">
        <f t="shared" si="429"/>
        <v>A9808D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314</v>
      </c>
      <c r="AJ917">
        <v>28.269196000000001</v>
      </c>
      <c r="AK917" t="s">
        <v>288</v>
      </c>
      <c r="AL917">
        <v>-82.380444999999995</v>
      </c>
      <c r="AM917">
        <v>100</v>
      </c>
      <c r="AN917">
        <v>1100</v>
      </c>
      <c r="AO917" t="s">
        <v>118</v>
      </c>
      <c r="AP917">
        <v>-5</v>
      </c>
      <c r="AQ917">
        <v>87</v>
      </c>
      <c r="AR917">
        <v>896</v>
      </c>
      <c r="AZ917">
        <v>1200</v>
      </c>
      <c r="BA917">
        <v>1</v>
      </c>
      <c r="BB917" t="str">
        <f t="shared" si="408"/>
        <v xml:space="preserve">N711JA  </v>
      </c>
      <c r="BC917">
        <v>1</v>
      </c>
      <c r="BE917">
        <v>0</v>
      </c>
      <c r="BF917">
        <v>0</v>
      </c>
      <c r="BG917">
        <v>0</v>
      </c>
      <c r="BH917">
        <v>1225</v>
      </c>
      <c r="BI917">
        <v>1</v>
      </c>
      <c r="BJ917">
        <v>1</v>
      </c>
      <c r="BK917">
        <v>0</v>
      </c>
      <c r="BL917">
        <v>0</v>
      </c>
      <c r="BO917">
        <v>0</v>
      </c>
      <c r="BP917">
        <v>0</v>
      </c>
      <c r="BW917" t="str">
        <f t="shared" si="437"/>
        <v>14:42:38.493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343</v>
      </c>
      <c r="CR917">
        <v>1</v>
      </c>
      <c r="CW917">
        <v>10609223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434"/>
        <v>05/12/2020 14:42:20.662</v>
      </c>
      <c r="C918" t="str">
        <f t="shared" ref="C918:C981" si="438">"FFDFD3C0"</f>
        <v>FFDFD3C0</v>
      </c>
      <c r="D918" t="s">
        <v>113</v>
      </c>
      <c r="E918">
        <v>3</v>
      </c>
      <c r="H918">
        <v>164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35"/>
        <v>14:42:38.492</v>
      </c>
      <c r="T918" t="str">
        <f t="shared" si="436"/>
        <v>14:42:38.292</v>
      </c>
      <c r="U918" t="str">
        <f t="shared" si="429"/>
        <v>A9808D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314</v>
      </c>
      <c r="AJ918">
        <v>28.269196000000001</v>
      </c>
      <c r="AK918" t="s">
        <v>288</v>
      </c>
      <c r="AL918">
        <v>-82.380444999999995</v>
      </c>
      <c r="AM918">
        <v>100</v>
      </c>
      <c r="AN918">
        <v>1100</v>
      </c>
      <c r="AO918" t="s">
        <v>118</v>
      </c>
      <c r="AP918">
        <v>-5</v>
      </c>
      <c r="AQ918">
        <v>87</v>
      </c>
      <c r="AR918">
        <v>896</v>
      </c>
      <c r="AZ918">
        <v>1200</v>
      </c>
      <c r="BA918">
        <v>1</v>
      </c>
      <c r="BB918" t="str">
        <f t="shared" ref="BB918:BB981" si="439">"N711JA  "</f>
        <v xml:space="preserve">N711JA  </v>
      </c>
      <c r="BC918">
        <v>1</v>
      </c>
      <c r="BE918">
        <v>0</v>
      </c>
      <c r="BF918">
        <v>0</v>
      </c>
      <c r="BG918">
        <v>0</v>
      </c>
      <c r="BH918">
        <v>1225</v>
      </c>
      <c r="BI918">
        <v>1</v>
      </c>
      <c r="BJ918">
        <v>1</v>
      </c>
      <c r="BK918">
        <v>0</v>
      </c>
      <c r="BL918">
        <v>0</v>
      </c>
      <c r="BO918">
        <v>0</v>
      </c>
      <c r="BP918">
        <v>0</v>
      </c>
      <c r="BW918" t="str">
        <f t="shared" si="437"/>
        <v>14:42:38.493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343</v>
      </c>
      <c r="CR918">
        <v>1</v>
      </c>
      <c r="CW918">
        <v>10609223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si="434"/>
        <v>05/12/2020 14:42:20.662</v>
      </c>
      <c r="C919" t="str">
        <f t="shared" si="438"/>
        <v>FFDFD3C0</v>
      </c>
      <c r="D919" t="s">
        <v>138</v>
      </c>
      <c r="E919">
        <v>2</v>
      </c>
      <c r="H919">
        <v>8</v>
      </c>
      <c r="I919" t="s">
        <v>139</v>
      </c>
      <c r="J919" t="s">
        <v>136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35"/>
        <v>14:42:38.492</v>
      </c>
      <c r="T919" t="str">
        <f t="shared" si="436"/>
        <v>14:42:38.292</v>
      </c>
      <c r="U919" t="str">
        <f t="shared" si="429"/>
        <v>A9808D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314</v>
      </c>
      <c r="AJ919">
        <v>28.269196000000001</v>
      </c>
      <c r="AK919" t="s">
        <v>288</v>
      </c>
      <c r="AL919">
        <v>-82.380444999999995</v>
      </c>
      <c r="AM919">
        <v>100</v>
      </c>
      <c r="AN919">
        <v>1100</v>
      </c>
      <c r="AO919" t="s">
        <v>118</v>
      </c>
      <c r="AP919">
        <v>-5</v>
      </c>
      <c r="AQ919">
        <v>87</v>
      </c>
      <c r="AR919">
        <v>896</v>
      </c>
      <c r="AZ919">
        <v>1200</v>
      </c>
      <c r="BA919">
        <v>1</v>
      </c>
      <c r="BB919" t="str">
        <f t="shared" si="439"/>
        <v xml:space="preserve">N711JA  </v>
      </c>
      <c r="BC919">
        <v>1</v>
      </c>
      <c r="BE919">
        <v>0</v>
      </c>
      <c r="BF919">
        <v>0</v>
      </c>
      <c r="BG919">
        <v>0</v>
      </c>
      <c r="BH919">
        <v>1225</v>
      </c>
      <c r="BI919">
        <v>1</v>
      </c>
      <c r="BJ919">
        <v>1</v>
      </c>
      <c r="BK919">
        <v>0</v>
      </c>
      <c r="BL919">
        <v>0</v>
      </c>
      <c r="BO919">
        <v>0</v>
      </c>
      <c r="BP919">
        <v>0</v>
      </c>
      <c r="BW919" t="str">
        <f t="shared" si="437"/>
        <v>14:42:38.493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343</v>
      </c>
      <c r="CR919">
        <v>1</v>
      </c>
      <c r="CW919">
        <v>10609223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si="434"/>
        <v>05/12/2020 14:42:20.662</v>
      </c>
      <c r="C920" t="str">
        <f t="shared" si="438"/>
        <v>FFDFD3C0</v>
      </c>
      <c r="D920" t="s">
        <v>138</v>
      </c>
      <c r="E920">
        <v>3</v>
      </c>
      <c r="H920">
        <v>9</v>
      </c>
      <c r="I920" t="s">
        <v>140</v>
      </c>
      <c r="J920" t="s">
        <v>136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35"/>
        <v>14:42:38.492</v>
      </c>
      <c r="T920" t="str">
        <f t="shared" si="436"/>
        <v>14:42:38.292</v>
      </c>
      <c r="U920" t="str">
        <f t="shared" si="429"/>
        <v>A9808D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314</v>
      </c>
      <c r="AJ920">
        <v>28.269196000000001</v>
      </c>
      <c r="AK920" t="s">
        <v>288</v>
      </c>
      <c r="AL920">
        <v>-82.380444999999995</v>
      </c>
      <c r="AM920">
        <v>100</v>
      </c>
      <c r="AN920">
        <v>1100</v>
      </c>
      <c r="AO920" t="s">
        <v>118</v>
      </c>
      <c r="AP920">
        <v>-5</v>
      </c>
      <c r="AQ920">
        <v>87</v>
      </c>
      <c r="AR920">
        <v>896</v>
      </c>
      <c r="AZ920">
        <v>1200</v>
      </c>
      <c r="BA920">
        <v>1</v>
      </c>
      <c r="BB920" t="str">
        <f t="shared" si="439"/>
        <v xml:space="preserve">N711JA  </v>
      </c>
      <c r="BC920">
        <v>1</v>
      </c>
      <c r="BE920">
        <v>0</v>
      </c>
      <c r="BF920">
        <v>0</v>
      </c>
      <c r="BG920">
        <v>0</v>
      </c>
      <c r="BH920">
        <v>1225</v>
      </c>
      <c r="BI920">
        <v>1</v>
      </c>
      <c r="BJ920">
        <v>1</v>
      </c>
      <c r="BK920">
        <v>0</v>
      </c>
      <c r="BL920">
        <v>0</v>
      </c>
      <c r="BO920">
        <v>0</v>
      </c>
      <c r="BP920">
        <v>0</v>
      </c>
      <c r="BW920" t="str">
        <f t="shared" si="437"/>
        <v>14:42:38.493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343</v>
      </c>
      <c r="CR920">
        <v>1</v>
      </c>
      <c r="CW920">
        <v>10609223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434"/>
        <v>05/12/2020 14:42:20.662</v>
      </c>
      <c r="C921" t="str">
        <f t="shared" si="438"/>
        <v>FFDFD3C0</v>
      </c>
      <c r="D921" t="s">
        <v>126</v>
      </c>
      <c r="E921">
        <v>6</v>
      </c>
      <c r="F921">
        <v>1006</v>
      </c>
      <c r="G921" t="s">
        <v>114</v>
      </c>
      <c r="J921" t="s">
        <v>128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35"/>
        <v>14:42:38.492</v>
      </c>
      <c r="T921" t="str">
        <f t="shared" si="436"/>
        <v>14:42:38.292</v>
      </c>
      <c r="U921" t="str">
        <f t="shared" si="429"/>
        <v>A9808D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314</v>
      </c>
      <c r="AJ921">
        <v>28.269196000000001</v>
      </c>
      <c r="AK921" t="s">
        <v>288</v>
      </c>
      <c r="AL921">
        <v>-82.380444999999995</v>
      </c>
      <c r="AM921">
        <v>100</v>
      </c>
      <c r="AN921">
        <v>1100</v>
      </c>
      <c r="AO921" t="s">
        <v>118</v>
      </c>
      <c r="AP921">
        <v>-5</v>
      </c>
      <c r="AQ921">
        <v>87</v>
      </c>
      <c r="AR921">
        <v>896</v>
      </c>
      <c r="AZ921">
        <v>1200</v>
      </c>
      <c r="BA921">
        <v>1</v>
      </c>
      <c r="BB921" t="str">
        <f t="shared" si="439"/>
        <v xml:space="preserve">N711JA  </v>
      </c>
      <c r="BC921">
        <v>1</v>
      </c>
      <c r="BE921">
        <v>0</v>
      </c>
      <c r="BF921">
        <v>0</v>
      </c>
      <c r="BG921">
        <v>0</v>
      </c>
      <c r="BH921">
        <v>1225</v>
      </c>
      <c r="BI921">
        <v>1</v>
      </c>
      <c r="BJ921">
        <v>1</v>
      </c>
      <c r="BK921">
        <v>0</v>
      </c>
      <c r="BL921">
        <v>0</v>
      </c>
      <c r="BO921">
        <v>0</v>
      </c>
      <c r="BP921">
        <v>0</v>
      </c>
      <c r="BW921" t="str">
        <f t="shared" si="437"/>
        <v>14:42:38.493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343</v>
      </c>
      <c r="CR921">
        <v>1</v>
      </c>
      <c r="CW921">
        <v>10609223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434"/>
        <v>05/12/2020 14:42:20.662</v>
      </c>
      <c r="C922" t="str">
        <f t="shared" si="438"/>
        <v>FFDFD3C0</v>
      </c>
      <c r="D922" t="s">
        <v>134</v>
      </c>
      <c r="E922">
        <v>12</v>
      </c>
      <c r="H922">
        <v>64</v>
      </c>
      <c r="I922" t="s">
        <v>135</v>
      </c>
      <c r="J922" t="s">
        <v>136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35"/>
        <v>14:42:38.492</v>
      </c>
      <c r="T922" t="str">
        <f t="shared" si="436"/>
        <v>14:42:38.292</v>
      </c>
      <c r="U922" t="str">
        <f t="shared" si="429"/>
        <v>A9808D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314</v>
      </c>
      <c r="AJ922">
        <v>28.269196000000001</v>
      </c>
      <c r="AK922" t="s">
        <v>288</v>
      </c>
      <c r="AL922">
        <v>-82.380444999999995</v>
      </c>
      <c r="AM922">
        <v>100</v>
      </c>
      <c r="AN922">
        <v>1100</v>
      </c>
      <c r="AO922" t="s">
        <v>118</v>
      </c>
      <c r="AP922">
        <v>-5</v>
      </c>
      <c r="AQ922">
        <v>87</v>
      </c>
      <c r="AR922">
        <v>896</v>
      </c>
      <c r="AZ922">
        <v>1200</v>
      </c>
      <c r="BA922">
        <v>1</v>
      </c>
      <c r="BB922" t="str">
        <f t="shared" si="439"/>
        <v xml:space="preserve">N711JA  </v>
      </c>
      <c r="BC922">
        <v>1</v>
      </c>
      <c r="BE922">
        <v>0</v>
      </c>
      <c r="BF922">
        <v>0</v>
      </c>
      <c r="BG922">
        <v>0</v>
      </c>
      <c r="BH922">
        <v>1225</v>
      </c>
      <c r="BI922">
        <v>1</v>
      </c>
      <c r="BJ922">
        <v>1</v>
      </c>
      <c r="BK922">
        <v>0</v>
      </c>
      <c r="BL922">
        <v>0</v>
      </c>
      <c r="BO922">
        <v>0</v>
      </c>
      <c r="BP922">
        <v>0</v>
      </c>
      <c r="BW922" t="str">
        <f t="shared" si="437"/>
        <v>14:42:38.493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343</v>
      </c>
      <c r="CR922">
        <v>1</v>
      </c>
      <c r="CW922">
        <v>10609223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ref="A923:A931" si="440">"05/12/2020 14:42:21.666"</f>
        <v>05/12/2020 14:42:21.666</v>
      </c>
      <c r="C923" t="str">
        <f t="shared" si="438"/>
        <v>FFDFD3C0</v>
      </c>
      <c r="D923" t="s">
        <v>131</v>
      </c>
      <c r="E923">
        <v>10</v>
      </c>
      <c r="F923">
        <v>2010</v>
      </c>
      <c r="G923" t="s">
        <v>132</v>
      </c>
      <c r="J923" t="s">
        <v>133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31" si="441">"14:42:39.500"</f>
        <v>14:42:39.500</v>
      </c>
      <c r="T923" t="str">
        <f t="shared" ref="T923:T931" si="442">"14:42:39.200"</f>
        <v>14:42:39.200</v>
      </c>
      <c r="U923" t="str">
        <f t="shared" si="429"/>
        <v>A9808D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315</v>
      </c>
      <c r="AJ923">
        <v>28.269603</v>
      </c>
      <c r="AK923" t="s">
        <v>286</v>
      </c>
      <c r="AL923">
        <v>-82.380509000000004</v>
      </c>
      <c r="AM923">
        <v>100</v>
      </c>
      <c r="AN923">
        <v>1100</v>
      </c>
      <c r="AO923" t="s">
        <v>118</v>
      </c>
      <c r="AP923">
        <v>-6</v>
      </c>
      <c r="AQ923">
        <v>87</v>
      </c>
      <c r="AR923">
        <v>832</v>
      </c>
      <c r="AZ923">
        <v>1200</v>
      </c>
      <c r="BA923">
        <v>1</v>
      </c>
      <c r="BB923" t="str">
        <f t="shared" si="439"/>
        <v xml:space="preserve">N711JA  </v>
      </c>
      <c r="BC923">
        <v>1</v>
      </c>
      <c r="BE923">
        <v>0</v>
      </c>
      <c r="BF923">
        <v>0</v>
      </c>
      <c r="BG923">
        <v>0</v>
      </c>
      <c r="BH923">
        <v>1225</v>
      </c>
      <c r="BI923">
        <v>1</v>
      </c>
      <c r="BJ923">
        <v>1</v>
      </c>
      <c r="BK923">
        <v>0</v>
      </c>
      <c r="BL923">
        <v>0</v>
      </c>
      <c r="BO923">
        <v>0</v>
      </c>
      <c r="BP923">
        <v>0</v>
      </c>
      <c r="BW923" t="str">
        <f t="shared" ref="BW923:BW931" si="443">"14:42:39.506"</f>
        <v>14:42:39.506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343</v>
      </c>
      <c r="CR923">
        <v>1</v>
      </c>
      <c r="CW923">
        <v>10610276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440"/>
        <v>05/12/2020 14:42:21.666</v>
      </c>
      <c r="C924" t="str">
        <f t="shared" si="438"/>
        <v>FFDFD3C0</v>
      </c>
      <c r="D924" t="s">
        <v>113</v>
      </c>
      <c r="E924">
        <v>3</v>
      </c>
      <c r="H924">
        <v>164</v>
      </c>
      <c r="I924" t="s">
        <v>114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441"/>
        <v>14:42:39.500</v>
      </c>
      <c r="T924" t="str">
        <f t="shared" si="442"/>
        <v>14:42:39.200</v>
      </c>
      <c r="U924" t="str">
        <f t="shared" si="429"/>
        <v>A9808D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315</v>
      </c>
      <c r="AJ924">
        <v>28.269603</v>
      </c>
      <c r="AK924" t="s">
        <v>286</v>
      </c>
      <c r="AL924">
        <v>-82.380509000000004</v>
      </c>
      <c r="AM924">
        <v>100</v>
      </c>
      <c r="AN924">
        <v>1100</v>
      </c>
      <c r="AO924" t="s">
        <v>118</v>
      </c>
      <c r="AP924">
        <v>-6</v>
      </c>
      <c r="AQ924">
        <v>87</v>
      </c>
      <c r="AR924">
        <v>832</v>
      </c>
      <c r="AZ924">
        <v>1200</v>
      </c>
      <c r="BA924">
        <v>1</v>
      </c>
      <c r="BB924" t="str">
        <f t="shared" si="439"/>
        <v xml:space="preserve">N711JA  </v>
      </c>
      <c r="BC924">
        <v>1</v>
      </c>
      <c r="BE924">
        <v>0</v>
      </c>
      <c r="BF924">
        <v>0</v>
      </c>
      <c r="BG924">
        <v>0</v>
      </c>
      <c r="BH924">
        <v>1225</v>
      </c>
      <c r="BI924">
        <v>1</v>
      </c>
      <c r="BJ924">
        <v>1</v>
      </c>
      <c r="BK924">
        <v>0</v>
      </c>
      <c r="BL924">
        <v>0</v>
      </c>
      <c r="BO924">
        <v>0</v>
      </c>
      <c r="BP924">
        <v>0</v>
      </c>
      <c r="BW924" t="str">
        <f t="shared" si="443"/>
        <v>14:42:39.506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343</v>
      </c>
      <c r="CR924">
        <v>1</v>
      </c>
      <c r="CW924">
        <v>10610276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440"/>
        <v>05/12/2020 14:42:21.666</v>
      </c>
      <c r="C925" t="str">
        <f t="shared" si="438"/>
        <v>FFDFD3C0</v>
      </c>
      <c r="D925" t="s">
        <v>138</v>
      </c>
      <c r="E925">
        <v>2</v>
      </c>
      <c r="H925">
        <v>8</v>
      </c>
      <c r="I925" t="s">
        <v>139</v>
      </c>
      <c r="J925" t="s">
        <v>136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41"/>
        <v>14:42:39.500</v>
      </c>
      <c r="T925" t="str">
        <f t="shared" si="442"/>
        <v>14:42:39.200</v>
      </c>
      <c r="U925" t="str">
        <f t="shared" si="429"/>
        <v>A9808D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315</v>
      </c>
      <c r="AJ925">
        <v>28.269603</v>
      </c>
      <c r="AK925" t="s">
        <v>286</v>
      </c>
      <c r="AL925">
        <v>-82.380509000000004</v>
      </c>
      <c r="AM925">
        <v>100</v>
      </c>
      <c r="AN925">
        <v>1100</v>
      </c>
      <c r="AO925" t="s">
        <v>118</v>
      </c>
      <c r="AP925">
        <v>-6</v>
      </c>
      <c r="AQ925">
        <v>87</v>
      </c>
      <c r="AR925">
        <v>832</v>
      </c>
      <c r="AZ925">
        <v>1200</v>
      </c>
      <c r="BA925">
        <v>1</v>
      </c>
      <c r="BB925" t="str">
        <f t="shared" si="439"/>
        <v xml:space="preserve">N711JA  </v>
      </c>
      <c r="BC925">
        <v>1</v>
      </c>
      <c r="BE925">
        <v>0</v>
      </c>
      <c r="BF925">
        <v>0</v>
      </c>
      <c r="BG925">
        <v>0</v>
      </c>
      <c r="BH925">
        <v>1225</v>
      </c>
      <c r="BI925">
        <v>1</v>
      </c>
      <c r="BJ925">
        <v>1</v>
      </c>
      <c r="BK925">
        <v>0</v>
      </c>
      <c r="BL925">
        <v>0</v>
      </c>
      <c r="BO925">
        <v>0</v>
      </c>
      <c r="BP925">
        <v>0</v>
      </c>
      <c r="BW925" t="str">
        <f t="shared" si="443"/>
        <v>14:42:39.506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343</v>
      </c>
      <c r="CR925">
        <v>1</v>
      </c>
      <c r="CW925">
        <v>10610276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si="440"/>
        <v>05/12/2020 14:42:21.666</v>
      </c>
      <c r="C926" t="str">
        <f t="shared" si="438"/>
        <v>FFDFD3C0</v>
      </c>
      <c r="D926" t="s">
        <v>138</v>
      </c>
      <c r="E926">
        <v>3</v>
      </c>
      <c r="H926">
        <v>9</v>
      </c>
      <c r="I926" t="s">
        <v>140</v>
      </c>
      <c r="J926" t="s">
        <v>136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441"/>
        <v>14:42:39.500</v>
      </c>
      <c r="T926" t="str">
        <f t="shared" si="442"/>
        <v>14:42:39.200</v>
      </c>
      <c r="U926" t="str">
        <f t="shared" si="429"/>
        <v>A9808D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315</v>
      </c>
      <c r="AJ926">
        <v>28.269603</v>
      </c>
      <c r="AK926" t="s">
        <v>286</v>
      </c>
      <c r="AL926">
        <v>-82.380509000000004</v>
      </c>
      <c r="AM926">
        <v>100</v>
      </c>
      <c r="AN926">
        <v>1100</v>
      </c>
      <c r="AO926" t="s">
        <v>118</v>
      </c>
      <c r="AP926">
        <v>-6</v>
      </c>
      <c r="AQ926">
        <v>87</v>
      </c>
      <c r="AR926">
        <v>832</v>
      </c>
      <c r="AZ926">
        <v>1200</v>
      </c>
      <c r="BA926">
        <v>1</v>
      </c>
      <c r="BB926" t="str">
        <f t="shared" si="439"/>
        <v xml:space="preserve">N711JA  </v>
      </c>
      <c r="BC926">
        <v>1</v>
      </c>
      <c r="BE926">
        <v>0</v>
      </c>
      <c r="BF926">
        <v>0</v>
      </c>
      <c r="BG926">
        <v>0</v>
      </c>
      <c r="BH926">
        <v>1225</v>
      </c>
      <c r="BI926">
        <v>1</v>
      </c>
      <c r="BJ926">
        <v>1</v>
      </c>
      <c r="BK926">
        <v>0</v>
      </c>
      <c r="BL926">
        <v>0</v>
      </c>
      <c r="BO926">
        <v>0</v>
      </c>
      <c r="BP926">
        <v>0</v>
      </c>
      <c r="BW926" t="str">
        <f t="shared" si="443"/>
        <v>14:42:39.506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343</v>
      </c>
      <c r="CR926">
        <v>1</v>
      </c>
      <c r="CW926">
        <v>10610276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440"/>
        <v>05/12/2020 14:42:21.666</v>
      </c>
      <c r="C927" t="str">
        <f t="shared" si="438"/>
        <v>FFDFD3C0</v>
      </c>
      <c r="D927" t="s">
        <v>126</v>
      </c>
      <c r="E927">
        <v>6</v>
      </c>
      <c r="F927">
        <v>1006</v>
      </c>
      <c r="G927" t="s">
        <v>114</v>
      </c>
      <c r="J927" t="s">
        <v>128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41"/>
        <v>14:42:39.500</v>
      </c>
      <c r="T927" t="str">
        <f t="shared" si="442"/>
        <v>14:42:39.200</v>
      </c>
      <c r="U927" t="str">
        <f t="shared" si="429"/>
        <v>A9808D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315</v>
      </c>
      <c r="AJ927">
        <v>28.269603</v>
      </c>
      <c r="AK927" t="s">
        <v>286</v>
      </c>
      <c r="AL927">
        <v>-82.380509000000004</v>
      </c>
      <c r="AM927">
        <v>100</v>
      </c>
      <c r="AN927">
        <v>1100</v>
      </c>
      <c r="AO927" t="s">
        <v>118</v>
      </c>
      <c r="AP927">
        <v>-6</v>
      </c>
      <c r="AQ927">
        <v>87</v>
      </c>
      <c r="AR927">
        <v>832</v>
      </c>
      <c r="AZ927">
        <v>1200</v>
      </c>
      <c r="BA927">
        <v>1</v>
      </c>
      <c r="BB927" t="str">
        <f t="shared" si="439"/>
        <v xml:space="preserve">N711JA  </v>
      </c>
      <c r="BC927">
        <v>1</v>
      </c>
      <c r="BE927">
        <v>0</v>
      </c>
      <c r="BF927">
        <v>0</v>
      </c>
      <c r="BG927">
        <v>0</v>
      </c>
      <c r="BH927">
        <v>1225</v>
      </c>
      <c r="BI927">
        <v>1</v>
      </c>
      <c r="BJ927">
        <v>1</v>
      </c>
      <c r="BK927">
        <v>0</v>
      </c>
      <c r="BL927">
        <v>0</v>
      </c>
      <c r="BO927">
        <v>0</v>
      </c>
      <c r="BP927">
        <v>0</v>
      </c>
      <c r="BW927" t="str">
        <f t="shared" si="443"/>
        <v>14:42:39.506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343</v>
      </c>
      <c r="CR927">
        <v>1</v>
      </c>
      <c r="CW927">
        <v>10610276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440"/>
        <v>05/12/2020 14:42:21.666</v>
      </c>
      <c r="C928" t="str">
        <f t="shared" si="438"/>
        <v>FFDFD3C0</v>
      </c>
      <c r="D928" t="s">
        <v>134</v>
      </c>
      <c r="E928">
        <v>12</v>
      </c>
      <c r="H928">
        <v>64</v>
      </c>
      <c r="I928" t="s">
        <v>135</v>
      </c>
      <c r="J928" t="s">
        <v>136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41"/>
        <v>14:42:39.500</v>
      </c>
      <c r="T928" t="str">
        <f t="shared" si="442"/>
        <v>14:42:39.200</v>
      </c>
      <c r="U928" t="str">
        <f t="shared" si="429"/>
        <v>A9808D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315</v>
      </c>
      <c r="AJ928">
        <v>28.269603</v>
      </c>
      <c r="AK928" t="s">
        <v>286</v>
      </c>
      <c r="AL928">
        <v>-82.380509000000004</v>
      </c>
      <c r="AM928">
        <v>100</v>
      </c>
      <c r="AN928">
        <v>1100</v>
      </c>
      <c r="AO928" t="s">
        <v>118</v>
      </c>
      <c r="AP928">
        <v>-6</v>
      </c>
      <c r="AQ928">
        <v>87</v>
      </c>
      <c r="AR928">
        <v>832</v>
      </c>
      <c r="AZ928">
        <v>1200</v>
      </c>
      <c r="BA928">
        <v>1</v>
      </c>
      <c r="BB928" t="str">
        <f t="shared" si="439"/>
        <v xml:space="preserve">N711JA  </v>
      </c>
      <c r="BC928">
        <v>1</v>
      </c>
      <c r="BE928">
        <v>0</v>
      </c>
      <c r="BF928">
        <v>0</v>
      </c>
      <c r="BG928">
        <v>0</v>
      </c>
      <c r="BH928">
        <v>1225</v>
      </c>
      <c r="BI928">
        <v>1</v>
      </c>
      <c r="BJ928">
        <v>1</v>
      </c>
      <c r="BK928">
        <v>0</v>
      </c>
      <c r="BL928">
        <v>0</v>
      </c>
      <c r="BO928">
        <v>0</v>
      </c>
      <c r="BP928">
        <v>0</v>
      </c>
      <c r="BW928" t="str">
        <f t="shared" si="443"/>
        <v>14:42:39.506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343</v>
      </c>
      <c r="CR928">
        <v>1</v>
      </c>
      <c r="CW928">
        <v>10610276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 t="shared" si="440"/>
        <v>05/12/2020 14:42:21.666</v>
      </c>
      <c r="C929" t="str">
        <f t="shared" si="438"/>
        <v>FFDFD3C0</v>
      </c>
      <c r="D929" t="s">
        <v>131</v>
      </c>
      <c r="E929">
        <v>12</v>
      </c>
      <c r="F929">
        <v>2012</v>
      </c>
      <c r="G929" t="s">
        <v>137</v>
      </c>
      <c r="J929" t="s">
        <v>133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41"/>
        <v>14:42:39.500</v>
      </c>
      <c r="T929" t="str">
        <f t="shared" si="442"/>
        <v>14:42:39.200</v>
      </c>
      <c r="U929" t="str">
        <f t="shared" si="429"/>
        <v>A9808D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315</v>
      </c>
      <c r="AJ929">
        <v>28.269603</v>
      </c>
      <c r="AK929" t="s">
        <v>286</v>
      </c>
      <c r="AL929">
        <v>-82.380509000000004</v>
      </c>
      <c r="AM929">
        <v>100</v>
      </c>
      <c r="AN929">
        <v>1100</v>
      </c>
      <c r="AO929" t="s">
        <v>118</v>
      </c>
      <c r="AP929">
        <v>-6</v>
      </c>
      <c r="AQ929">
        <v>87</v>
      </c>
      <c r="AR929">
        <v>832</v>
      </c>
      <c r="AZ929">
        <v>1200</v>
      </c>
      <c r="BA929">
        <v>1</v>
      </c>
      <c r="BB929" t="str">
        <f t="shared" si="439"/>
        <v xml:space="preserve">N711JA  </v>
      </c>
      <c r="BC929">
        <v>1</v>
      </c>
      <c r="BE929">
        <v>0</v>
      </c>
      <c r="BF929">
        <v>0</v>
      </c>
      <c r="BG929">
        <v>0</v>
      </c>
      <c r="BH929">
        <v>1225</v>
      </c>
      <c r="BI929">
        <v>1</v>
      </c>
      <c r="BJ929">
        <v>1</v>
      </c>
      <c r="BK929">
        <v>0</v>
      </c>
      <c r="BL929">
        <v>0</v>
      </c>
      <c r="BO929">
        <v>0</v>
      </c>
      <c r="BP929">
        <v>0</v>
      </c>
      <c r="BW929" t="str">
        <f t="shared" si="443"/>
        <v>14:42:39.506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343</v>
      </c>
      <c r="CR929">
        <v>1</v>
      </c>
      <c r="CW929">
        <v>10610276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 t="shared" si="440"/>
        <v>05/12/2020 14:42:21.666</v>
      </c>
      <c r="C930" t="str">
        <f t="shared" si="438"/>
        <v>FFDFD3C0</v>
      </c>
      <c r="D930" t="s">
        <v>126</v>
      </c>
      <c r="E930">
        <v>7</v>
      </c>
      <c r="F930">
        <v>1007</v>
      </c>
      <c r="G930" t="s">
        <v>127</v>
      </c>
      <c r="J930" t="s">
        <v>128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441"/>
        <v>14:42:39.500</v>
      </c>
      <c r="T930" t="str">
        <f t="shared" si="442"/>
        <v>14:42:39.200</v>
      </c>
      <c r="U930" t="str">
        <f t="shared" si="429"/>
        <v>A9808D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315</v>
      </c>
      <c r="AJ930">
        <v>28.269603</v>
      </c>
      <c r="AK930" t="s">
        <v>286</v>
      </c>
      <c r="AL930">
        <v>-82.380509000000004</v>
      </c>
      <c r="AM930">
        <v>100</v>
      </c>
      <c r="AN930">
        <v>1100</v>
      </c>
      <c r="AO930" t="s">
        <v>118</v>
      </c>
      <c r="AP930">
        <v>-6</v>
      </c>
      <c r="AQ930">
        <v>87</v>
      </c>
      <c r="AR930">
        <v>832</v>
      </c>
      <c r="AZ930">
        <v>1200</v>
      </c>
      <c r="BA930">
        <v>1</v>
      </c>
      <c r="BB930" t="str">
        <f t="shared" si="439"/>
        <v xml:space="preserve">N711JA  </v>
      </c>
      <c r="BC930">
        <v>1</v>
      </c>
      <c r="BE930">
        <v>0</v>
      </c>
      <c r="BF930">
        <v>0</v>
      </c>
      <c r="BG930">
        <v>0</v>
      </c>
      <c r="BH930">
        <v>1225</v>
      </c>
      <c r="BI930">
        <v>1</v>
      </c>
      <c r="BJ930">
        <v>1</v>
      </c>
      <c r="BK930">
        <v>0</v>
      </c>
      <c r="BL930">
        <v>0</v>
      </c>
      <c r="BO930">
        <v>0</v>
      </c>
      <c r="BP930">
        <v>0</v>
      </c>
      <c r="BW930" t="str">
        <f t="shared" si="443"/>
        <v>14:42:39.506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343</v>
      </c>
      <c r="CR930">
        <v>1</v>
      </c>
      <c r="CW930">
        <v>10610276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440"/>
        <v>05/12/2020 14:42:21.666</v>
      </c>
      <c r="C931" t="str">
        <f t="shared" si="438"/>
        <v>FFDFD3C0</v>
      </c>
      <c r="D931" t="s">
        <v>131</v>
      </c>
      <c r="E931">
        <v>18</v>
      </c>
      <c r="F931">
        <v>2018</v>
      </c>
      <c r="G931" t="s">
        <v>161</v>
      </c>
      <c r="J931" t="s">
        <v>133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41"/>
        <v>14:42:39.500</v>
      </c>
      <c r="T931" t="str">
        <f t="shared" si="442"/>
        <v>14:42:39.200</v>
      </c>
      <c r="U931" t="str">
        <f t="shared" si="429"/>
        <v>A9808D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315</v>
      </c>
      <c r="AJ931">
        <v>28.269603</v>
      </c>
      <c r="AK931" t="s">
        <v>286</v>
      </c>
      <c r="AL931">
        <v>-82.380509000000004</v>
      </c>
      <c r="AM931">
        <v>100</v>
      </c>
      <c r="AN931">
        <v>1100</v>
      </c>
      <c r="AO931" t="s">
        <v>118</v>
      </c>
      <c r="AP931">
        <v>-6</v>
      </c>
      <c r="AQ931">
        <v>87</v>
      </c>
      <c r="AR931">
        <v>832</v>
      </c>
      <c r="AZ931">
        <v>1200</v>
      </c>
      <c r="BA931">
        <v>1</v>
      </c>
      <c r="BB931" t="str">
        <f t="shared" si="439"/>
        <v xml:space="preserve">N711JA  </v>
      </c>
      <c r="BC931">
        <v>1</v>
      </c>
      <c r="BE931">
        <v>0</v>
      </c>
      <c r="BF931">
        <v>0</v>
      </c>
      <c r="BG931">
        <v>0</v>
      </c>
      <c r="BH931">
        <v>1225</v>
      </c>
      <c r="BI931">
        <v>1</v>
      </c>
      <c r="BJ931">
        <v>1</v>
      </c>
      <c r="BK931">
        <v>0</v>
      </c>
      <c r="BL931">
        <v>0</v>
      </c>
      <c r="BO931">
        <v>0</v>
      </c>
      <c r="BP931">
        <v>0</v>
      </c>
      <c r="BW931" t="str">
        <f t="shared" si="443"/>
        <v>14:42:39.506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343</v>
      </c>
      <c r="CR931">
        <v>1</v>
      </c>
      <c r="CW931">
        <v>10610276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ref="A932:A940" si="444">"05/12/2020 14:42:22.621"</f>
        <v>05/12/2020 14:42:22.621</v>
      </c>
      <c r="C932" t="str">
        <f t="shared" si="438"/>
        <v>FFDFD3C0</v>
      </c>
      <c r="D932" t="s">
        <v>134</v>
      </c>
      <c r="E932">
        <v>12</v>
      </c>
      <c r="H932">
        <v>64</v>
      </c>
      <c r="I932" t="s">
        <v>135</v>
      </c>
      <c r="J932" t="s">
        <v>136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ref="S932:S940" si="445">"14:42:40.422"</f>
        <v>14:42:40.422</v>
      </c>
      <c r="T932" t="str">
        <f t="shared" ref="T932:T940" si="446">"14:42:40.322"</f>
        <v>14:42:40.322</v>
      </c>
      <c r="U932" t="str">
        <f t="shared" si="429"/>
        <v>A9808D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316</v>
      </c>
      <c r="AJ932">
        <v>28.269967999999999</v>
      </c>
      <c r="AK932" t="s">
        <v>284</v>
      </c>
      <c r="AL932">
        <v>-82.380488</v>
      </c>
      <c r="AM932">
        <v>100</v>
      </c>
      <c r="AN932">
        <v>1100</v>
      </c>
      <c r="AO932" t="s">
        <v>118</v>
      </c>
      <c r="AP932">
        <v>-8</v>
      </c>
      <c r="AQ932">
        <v>87</v>
      </c>
      <c r="AR932">
        <v>704</v>
      </c>
      <c r="AZ932">
        <v>1200</v>
      </c>
      <c r="BA932">
        <v>1</v>
      </c>
      <c r="BB932" t="str">
        <f t="shared" si="439"/>
        <v xml:space="preserve">N711JA  </v>
      </c>
      <c r="BC932">
        <v>1</v>
      </c>
      <c r="BE932">
        <v>0</v>
      </c>
      <c r="BF932">
        <v>0</v>
      </c>
      <c r="BG932">
        <v>0</v>
      </c>
      <c r="BH932">
        <v>1250</v>
      </c>
      <c r="BI932">
        <v>1</v>
      </c>
      <c r="BJ932">
        <v>1</v>
      </c>
      <c r="BK932">
        <v>0</v>
      </c>
      <c r="BL932">
        <v>0</v>
      </c>
      <c r="BO932">
        <v>0</v>
      </c>
      <c r="BP932">
        <v>0</v>
      </c>
      <c r="BW932" t="str">
        <f t="shared" ref="BW932:BW940" si="447">"14:42:40.426"</f>
        <v>14:42:40.426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343</v>
      </c>
      <c r="CR932">
        <v>1</v>
      </c>
      <c r="CW932">
        <v>10611180</v>
      </c>
      <c r="CY932">
        <v>1</v>
      </c>
      <c r="CZ932">
        <v>0</v>
      </c>
      <c r="DA932">
        <v>0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si="444"/>
        <v>05/12/2020 14:42:22.621</v>
      </c>
      <c r="C933" t="str">
        <f t="shared" si="438"/>
        <v>FFDFD3C0</v>
      </c>
      <c r="D933" t="s">
        <v>126</v>
      </c>
      <c r="E933">
        <v>7</v>
      </c>
      <c r="F933">
        <v>1007</v>
      </c>
      <c r="G933" t="s">
        <v>127</v>
      </c>
      <c r="J933" t="s">
        <v>128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445"/>
        <v>14:42:40.422</v>
      </c>
      <c r="T933" t="str">
        <f t="shared" si="446"/>
        <v>14:42:40.322</v>
      </c>
      <c r="U933" t="str">
        <f t="shared" si="429"/>
        <v>A9808D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316</v>
      </c>
      <c r="AJ933">
        <v>28.269967999999999</v>
      </c>
      <c r="AK933" t="s">
        <v>284</v>
      </c>
      <c r="AL933">
        <v>-82.380488</v>
      </c>
      <c r="AM933">
        <v>100</v>
      </c>
      <c r="AN933">
        <v>1100</v>
      </c>
      <c r="AO933" t="s">
        <v>118</v>
      </c>
      <c r="AP933">
        <v>-8</v>
      </c>
      <c r="AQ933">
        <v>87</v>
      </c>
      <c r="AR933">
        <v>704</v>
      </c>
      <c r="AZ933">
        <v>1200</v>
      </c>
      <c r="BA933">
        <v>1</v>
      </c>
      <c r="BB933" t="str">
        <f t="shared" si="439"/>
        <v xml:space="preserve">N711JA  </v>
      </c>
      <c r="BC933">
        <v>1</v>
      </c>
      <c r="BE933">
        <v>0</v>
      </c>
      <c r="BF933">
        <v>0</v>
      </c>
      <c r="BG933">
        <v>0</v>
      </c>
      <c r="BH933">
        <v>1250</v>
      </c>
      <c r="BI933">
        <v>1</v>
      </c>
      <c r="BJ933">
        <v>1</v>
      </c>
      <c r="BK933">
        <v>0</v>
      </c>
      <c r="BL933">
        <v>0</v>
      </c>
      <c r="BO933">
        <v>0</v>
      </c>
      <c r="BP933">
        <v>0</v>
      </c>
      <c r="BW933" t="str">
        <f t="shared" si="447"/>
        <v>14:42:40.426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343</v>
      </c>
      <c r="CR933">
        <v>1</v>
      </c>
      <c r="CW933">
        <v>10611180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444"/>
        <v>05/12/2020 14:42:22.621</v>
      </c>
      <c r="C934" t="str">
        <f t="shared" si="438"/>
        <v>FFDFD3C0</v>
      </c>
      <c r="D934" t="s">
        <v>131</v>
      </c>
      <c r="E934">
        <v>12</v>
      </c>
      <c r="F934">
        <v>2012</v>
      </c>
      <c r="G934" t="s">
        <v>137</v>
      </c>
      <c r="J934" t="s">
        <v>133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45"/>
        <v>14:42:40.422</v>
      </c>
      <c r="T934" t="str">
        <f t="shared" si="446"/>
        <v>14:42:40.322</v>
      </c>
      <c r="U934" t="str">
        <f t="shared" si="429"/>
        <v>A9808D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316</v>
      </c>
      <c r="AJ934">
        <v>28.269967999999999</v>
      </c>
      <c r="AK934" t="s">
        <v>284</v>
      </c>
      <c r="AL934">
        <v>-82.380488</v>
      </c>
      <c r="AM934">
        <v>100</v>
      </c>
      <c r="AN934">
        <v>1100</v>
      </c>
      <c r="AO934" t="s">
        <v>118</v>
      </c>
      <c r="AP934">
        <v>-8</v>
      </c>
      <c r="AQ934">
        <v>87</v>
      </c>
      <c r="AR934">
        <v>704</v>
      </c>
      <c r="AZ934">
        <v>1200</v>
      </c>
      <c r="BA934">
        <v>1</v>
      </c>
      <c r="BB934" t="str">
        <f t="shared" si="439"/>
        <v xml:space="preserve">N711JA  </v>
      </c>
      <c r="BC934">
        <v>1</v>
      </c>
      <c r="BE934">
        <v>0</v>
      </c>
      <c r="BF934">
        <v>0</v>
      </c>
      <c r="BG934">
        <v>0</v>
      </c>
      <c r="BH934">
        <v>1250</v>
      </c>
      <c r="BI934">
        <v>1</v>
      </c>
      <c r="BJ934">
        <v>1</v>
      </c>
      <c r="BK934">
        <v>0</v>
      </c>
      <c r="BL934">
        <v>0</v>
      </c>
      <c r="BO934">
        <v>0</v>
      </c>
      <c r="BP934">
        <v>0</v>
      </c>
      <c r="BW934" t="str">
        <f t="shared" si="447"/>
        <v>14:42:40.426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343</v>
      </c>
      <c r="CR934">
        <v>1</v>
      </c>
      <c r="CW934">
        <v>10611180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 t="shared" si="444"/>
        <v>05/12/2020 14:42:22.621</v>
      </c>
      <c r="C935" t="str">
        <f t="shared" si="438"/>
        <v>FFDFD3C0</v>
      </c>
      <c r="D935" t="s">
        <v>131</v>
      </c>
      <c r="E935">
        <v>10</v>
      </c>
      <c r="F935">
        <v>2010</v>
      </c>
      <c r="G935" t="s">
        <v>132</v>
      </c>
      <c r="J935" t="s">
        <v>133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45"/>
        <v>14:42:40.422</v>
      </c>
      <c r="T935" t="str">
        <f t="shared" si="446"/>
        <v>14:42:40.322</v>
      </c>
      <c r="U935" t="str">
        <f t="shared" si="429"/>
        <v>A9808D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316</v>
      </c>
      <c r="AJ935">
        <v>28.269967999999999</v>
      </c>
      <c r="AK935" t="s">
        <v>284</v>
      </c>
      <c r="AL935">
        <v>-82.380488</v>
      </c>
      <c r="AM935">
        <v>100</v>
      </c>
      <c r="AN935">
        <v>1100</v>
      </c>
      <c r="AO935" t="s">
        <v>118</v>
      </c>
      <c r="AP935">
        <v>-8</v>
      </c>
      <c r="AQ935">
        <v>87</v>
      </c>
      <c r="AR935">
        <v>704</v>
      </c>
      <c r="AZ935">
        <v>1200</v>
      </c>
      <c r="BA935">
        <v>1</v>
      </c>
      <c r="BB935" t="str">
        <f t="shared" si="439"/>
        <v xml:space="preserve">N711JA  </v>
      </c>
      <c r="BC935">
        <v>1</v>
      </c>
      <c r="BE935">
        <v>0</v>
      </c>
      <c r="BF935">
        <v>0</v>
      </c>
      <c r="BG935">
        <v>0</v>
      </c>
      <c r="BH935">
        <v>1250</v>
      </c>
      <c r="BI935">
        <v>1</v>
      </c>
      <c r="BJ935">
        <v>1</v>
      </c>
      <c r="BK935">
        <v>0</v>
      </c>
      <c r="BL935">
        <v>0</v>
      </c>
      <c r="BO935">
        <v>0</v>
      </c>
      <c r="BP935">
        <v>0</v>
      </c>
      <c r="BW935" t="str">
        <f t="shared" si="447"/>
        <v>14:42:40.426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343</v>
      </c>
      <c r="CR935">
        <v>1</v>
      </c>
      <c r="CW935">
        <v>10611180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 t="shared" si="444"/>
        <v>05/12/2020 14:42:22.621</v>
      </c>
      <c r="C936" t="str">
        <f t="shared" si="438"/>
        <v>FFDFD3C0</v>
      </c>
      <c r="D936" t="s">
        <v>131</v>
      </c>
      <c r="E936">
        <v>18</v>
      </c>
      <c r="F936">
        <v>2018</v>
      </c>
      <c r="G936" t="s">
        <v>161</v>
      </c>
      <c r="J936" t="s">
        <v>133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45"/>
        <v>14:42:40.422</v>
      </c>
      <c r="T936" t="str">
        <f t="shared" si="446"/>
        <v>14:42:40.322</v>
      </c>
      <c r="U936" t="str">
        <f t="shared" si="429"/>
        <v>A9808D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316</v>
      </c>
      <c r="AJ936">
        <v>28.269967999999999</v>
      </c>
      <c r="AK936" t="s">
        <v>284</v>
      </c>
      <c r="AL936">
        <v>-82.380488</v>
      </c>
      <c r="AM936">
        <v>100</v>
      </c>
      <c r="AN936">
        <v>1100</v>
      </c>
      <c r="AO936" t="s">
        <v>118</v>
      </c>
      <c r="AP936">
        <v>-8</v>
      </c>
      <c r="AQ936">
        <v>87</v>
      </c>
      <c r="AR936">
        <v>704</v>
      </c>
      <c r="AZ936">
        <v>1200</v>
      </c>
      <c r="BA936">
        <v>1</v>
      </c>
      <c r="BB936" t="str">
        <f t="shared" si="439"/>
        <v xml:space="preserve">N711JA  </v>
      </c>
      <c r="BC936">
        <v>1</v>
      </c>
      <c r="BE936">
        <v>0</v>
      </c>
      <c r="BF936">
        <v>0</v>
      </c>
      <c r="BG936">
        <v>0</v>
      </c>
      <c r="BH936">
        <v>1250</v>
      </c>
      <c r="BI936">
        <v>1</v>
      </c>
      <c r="BJ936">
        <v>1</v>
      </c>
      <c r="BK936">
        <v>0</v>
      </c>
      <c r="BL936">
        <v>0</v>
      </c>
      <c r="BO936">
        <v>0</v>
      </c>
      <c r="BP936">
        <v>0</v>
      </c>
      <c r="BW936" t="str">
        <f t="shared" si="447"/>
        <v>14:42:40.426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343</v>
      </c>
      <c r="CR936">
        <v>1</v>
      </c>
      <c r="CW936">
        <v>10611180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 t="shared" si="444"/>
        <v>05/12/2020 14:42:22.621</v>
      </c>
      <c r="C937" t="str">
        <f t="shared" si="438"/>
        <v>FFDFD3C0</v>
      </c>
      <c r="D937" t="s">
        <v>113</v>
      </c>
      <c r="E937">
        <v>3</v>
      </c>
      <c r="H937">
        <v>164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45"/>
        <v>14:42:40.422</v>
      </c>
      <c r="T937" t="str">
        <f t="shared" si="446"/>
        <v>14:42:40.322</v>
      </c>
      <c r="U937" t="str">
        <f t="shared" si="429"/>
        <v>A9808D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316</v>
      </c>
      <c r="AJ937">
        <v>28.269967999999999</v>
      </c>
      <c r="AK937" t="s">
        <v>284</v>
      </c>
      <c r="AL937">
        <v>-82.380488</v>
      </c>
      <c r="AM937">
        <v>100</v>
      </c>
      <c r="AN937">
        <v>1100</v>
      </c>
      <c r="AO937" t="s">
        <v>118</v>
      </c>
      <c r="AP937">
        <v>-8</v>
      </c>
      <c r="AQ937">
        <v>87</v>
      </c>
      <c r="AR937">
        <v>704</v>
      </c>
      <c r="AZ937">
        <v>1200</v>
      </c>
      <c r="BA937">
        <v>1</v>
      </c>
      <c r="BB937" t="str">
        <f t="shared" si="439"/>
        <v xml:space="preserve">N711JA  </v>
      </c>
      <c r="BC937">
        <v>1</v>
      </c>
      <c r="BE937">
        <v>0</v>
      </c>
      <c r="BF937">
        <v>0</v>
      </c>
      <c r="BG937">
        <v>0</v>
      </c>
      <c r="BH937">
        <v>1250</v>
      </c>
      <c r="BI937">
        <v>1</v>
      </c>
      <c r="BJ937">
        <v>1</v>
      </c>
      <c r="BK937">
        <v>0</v>
      </c>
      <c r="BL937">
        <v>0</v>
      </c>
      <c r="BO937">
        <v>0</v>
      </c>
      <c r="BP937">
        <v>0</v>
      </c>
      <c r="BW937" t="str">
        <f t="shared" si="447"/>
        <v>14:42:40.426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343</v>
      </c>
      <c r="CR937">
        <v>1</v>
      </c>
      <c r="CW937">
        <v>10611180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 t="shared" si="444"/>
        <v>05/12/2020 14:42:22.621</v>
      </c>
      <c r="C938" t="str">
        <f t="shared" si="438"/>
        <v>FFDFD3C0</v>
      </c>
      <c r="D938" t="s">
        <v>138</v>
      </c>
      <c r="E938">
        <v>2</v>
      </c>
      <c r="H938">
        <v>8</v>
      </c>
      <c r="I938" t="s">
        <v>139</v>
      </c>
      <c r="J938" t="s">
        <v>136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45"/>
        <v>14:42:40.422</v>
      </c>
      <c r="T938" t="str">
        <f t="shared" si="446"/>
        <v>14:42:40.322</v>
      </c>
      <c r="U938" t="str">
        <f t="shared" si="429"/>
        <v>A9808D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316</v>
      </c>
      <c r="AJ938">
        <v>28.269967999999999</v>
      </c>
      <c r="AK938" t="s">
        <v>284</v>
      </c>
      <c r="AL938">
        <v>-82.380488</v>
      </c>
      <c r="AM938">
        <v>100</v>
      </c>
      <c r="AN938">
        <v>1100</v>
      </c>
      <c r="AO938" t="s">
        <v>118</v>
      </c>
      <c r="AP938">
        <v>-8</v>
      </c>
      <c r="AQ938">
        <v>87</v>
      </c>
      <c r="AR938">
        <v>704</v>
      </c>
      <c r="AZ938">
        <v>1200</v>
      </c>
      <c r="BA938">
        <v>1</v>
      </c>
      <c r="BB938" t="str">
        <f t="shared" si="439"/>
        <v xml:space="preserve">N711JA  </v>
      </c>
      <c r="BC938">
        <v>1</v>
      </c>
      <c r="BE938">
        <v>0</v>
      </c>
      <c r="BF938">
        <v>0</v>
      </c>
      <c r="BG938">
        <v>0</v>
      </c>
      <c r="BH938">
        <v>1250</v>
      </c>
      <c r="BI938">
        <v>1</v>
      </c>
      <c r="BJ938">
        <v>1</v>
      </c>
      <c r="BK938">
        <v>0</v>
      </c>
      <c r="BL938">
        <v>0</v>
      </c>
      <c r="BO938">
        <v>0</v>
      </c>
      <c r="BP938">
        <v>0</v>
      </c>
      <c r="BW938" t="str">
        <f t="shared" si="447"/>
        <v>14:42:40.426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343</v>
      </c>
      <c r="CR938">
        <v>1</v>
      </c>
      <c r="CW938">
        <v>10611180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 t="shared" si="444"/>
        <v>05/12/2020 14:42:22.621</v>
      </c>
      <c r="C939" t="str">
        <f t="shared" si="438"/>
        <v>FFDFD3C0</v>
      </c>
      <c r="D939" t="s">
        <v>138</v>
      </c>
      <c r="E939">
        <v>3</v>
      </c>
      <c r="H939">
        <v>9</v>
      </c>
      <c r="I939" t="s">
        <v>140</v>
      </c>
      <c r="J939" t="s">
        <v>136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45"/>
        <v>14:42:40.422</v>
      </c>
      <c r="T939" t="str">
        <f t="shared" si="446"/>
        <v>14:42:40.322</v>
      </c>
      <c r="U939" t="str">
        <f t="shared" si="429"/>
        <v>A9808D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316</v>
      </c>
      <c r="AJ939">
        <v>28.269967999999999</v>
      </c>
      <c r="AK939" t="s">
        <v>284</v>
      </c>
      <c r="AL939">
        <v>-82.380488</v>
      </c>
      <c r="AM939">
        <v>100</v>
      </c>
      <c r="AN939">
        <v>1100</v>
      </c>
      <c r="AO939" t="s">
        <v>118</v>
      </c>
      <c r="AP939">
        <v>-8</v>
      </c>
      <c r="AQ939">
        <v>87</v>
      </c>
      <c r="AR939">
        <v>704</v>
      </c>
      <c r="AZ939">
        <v>1200</v>
      </c>
      <c r="BA939">
        <v>1</v>
      </c>
      <c r="BB939" t="str">
        <f t="shared" si="439"/>
        <v xml:space="preserve">N711JA  </v>
      </c>
      <c r="BC939">
        <v>1</v>
      </c>
      <c r="BE939">
        <v>0</v>
      </c>
      <c r="BF939">
        <v>0</v>
      </c>
      <c r="BG939">
        <v>0</v>
      </c>
      <c r="BH939">
        <v>1250</v>
      </c>
      <c r="BI939">
        <v>1</v>
      </c>
      <c r="BJ939">
        <v>1</v>
      </c>
      <c r="BK939">
        <v>0</v>
      </c>
      <c r="BL939">
        <v>0</v>
      </c>
      <c r="BO939">
        <v>0</v>
      </c>
      <c r="BP939">
        <v>0</v>
      </c>
      <c r="BW939" t="str">
        <f t="shared" si="447"/>
        <v>14:42:40.426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343</v>
      </c>
      <c r="CR939">
        <v>1</v>
      </c>
      <c r="CW939">
        <v>10611180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 t="shared" si="444"/>
        <v>05/12/2020 14:42:22.621</v>
      </c>
      <c r="C940" t="str">
        <f t="shared" si="438"/>
        <v>FFDFD3C0</v>
      </c>
      <c r="D940" t="s">
        <v>126</v>
      </c>
      <c r="E940">
        <v>6</v>
      </c>
      <c r="F940">
        <v>1006</v>
      </c>
      <c r="G940" t="s">
        <v>114</v>
      </c>
      <c r="J940" t="s">
        <v>128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445"/>
        <v>14:42:40.422</v>
      </c>
      <c r="T940" t="str">
        <f t="shared" si="446"/>
        <v>14:42:40.322</v>
      </c>
      <c r="U940" t="str">
        <f t="shared" si="429"/>
        <v>A9808D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316</v>
      </c>
      <c r="AJ940">
        <v>28.269967999999999</v>
      </c>
      <c r="AK940" t="s">
        <v>284</v>
      </c>
      <c r="AL940">
        <v>-82.380488</v>
      </c>
      <c r="AM940">
        <v>100</v>
      </c>
      <c r="AN940">
        <v>1100</v>
      </c>
      <c r="AO940" t="s">
        <v>118</v>
      </c>
      <c r="AP940">
        <v>-8</v>
      </c>
      <c r="AQ940">
        <v>87</v>
      </c>
      <c r="AR940">
        <v>704</v>
      </c>
      <c r="AZ940">
        <v>1200</v>
      </c>
      <c r="BA940">
        <v>1</v>
      </c>
      <c r="BB940" t="str">
        <f t="shared" si="439"/>
        <v xml:space="preserve">N711JA  </v>
      </c>
      <c r="BC940">
        <v>1</v>
      </c>
      <c r="BE940">
        <v>0</v>
      </c>
      <c r="BF940">
        <v>0</v>
      </c>
      <c r="BG940">
        <v>0</v>
      </c>
      <c r="BH940">
        <v>1250</v>
      </c>
      <c r="BI940">
        <v>1</v>
      </c>
      <c r="BJ940">
        <v>1</v>
      </c>
      <c r="BK940">
        <v>0</v>
      </c>
      <c r="BL940">
        <v>0</v>
      </c>
      <c r="BO940">
        <v>0</v>
      </c>
      <c r="BP940">
        <v>0</v>
      </c>
      <c r="BW940" t="str">
        <f t="shared" si="447"/>
        <v>14:42:40.426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343</v>
      </c>
      <c r="CR940">
        <v>1</v>
      </c>
      <c r="CW940">
        <v>10611180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ref="A941:A949" si="448">"05/12/2020 14:42:23.603"</f>
        <v>05/12/2020 14:42:23.603</v>
      </c>
      <c r="C941" t="str">
        <f t="shared" si="438"/>
        <v>FFDFD3C0</v>
      </c>
      <c r="D941" t="s">
        <v>113</v>
      </c>
      <c r="E941">
        <v>3</v>
      </c>
      <c r="H941">
        <v>164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ref="S941:T949" si="449">"14:42:41.422"</f>
        <v>14:42:41.422</v>
      </c>
      <c r="T941" t="str">
        <f t="shared" si="449"/>
        <v>14:42:41.422</v>
      </c>
      <c r="U941" t="str">
        <f t="shared" si="429"/>
        <v>A9808D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1</v>
      </c>
      <c r="AG941">
        <v>2</v>
      </c>
      <c r="AH941">
        <v>0</v>
      </c>
      <c r="AI941" t="s">
        <v>317</v>
      </c>
      <c r="AJ941">
        <v>28.270375999999999</v>
      </c>
      <c r="AK941" t="s">
        <v>282</v>
      </c>
      <c r="AL941">
        <v>-82.380551999999994</v>
      </c>
      <c r="AM941">
        <v>100</v>
      </c>
      <c r="AN941">
        <v>1100</v>
      </c>
      <c r="AO941" t="s">
        <v>118</v>
      </c>
      <c r="AP941">
        <v>-9</v>
      </c>
      <c r="AQ941">
        <v>87</v>
      </c>
      <c r="AR941">
        <v>832</v>
      </c>
      <c r="AZ941">
        <v>1200</v>
      </c>
      <c r="BA941">
        <v>1</v>
      </c>
      <c r="BB941" t="str">
        <f t="shared" si="439"/>
        <v xml:space="preserve">N711JA  </v>
      </c>
      <c r="BC941">
        <v>1</v>
      </c>
      <c r="BE941">
        <v>0</v>
      </c>
      <c r="BF941">
        <v>0</v>
      </c>
      <c r="BG941">
        <v>0</v>
      </c>
      <c r="BH941">
        <v>1250</v>
      </c>
      <c r="BI941">
        <v>1</v>
      </c>
      <c r="BJ941">
        <v>1</v>
      </c>
      <c r="BK941">
        <v>0</v>
      </c>
      <c r="BL941">
        <v>0</v>
      </c>
      <c r="BO941">
        <v>0</v>
      </c>
      <c r="BP941">
        <v>0</v>
      </c>
      <c r="BW941" t="str">
        <f t="shared" ref="BW941:BW949" si="450">"14:42:41.422"</f>
        <v>14:42:41.422</v>
      </c>
      <c r="CJ941">
        <v>1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343</v>
      </c>
      <c r="CR941">
        <v>1</v>
      </c>
      <c r="CW941">
        <v>10612164</v>
      </c>
      <c r="CY941">
        <v>1</v>
      </c>
      <c r="CZ941">
        <v>0</v>
      </c>
      <c r="DA941">
        <v>0</v>
      </c>
      <c r="DB941">
        <v>0</v>
      </c>
      <c r="DC941">
        <v>0</v>
      </c>
      <c r="DD941">
        <v>1</v>
      </c>
      <c r="DE941">
        <v>1</v>
      </c>
      <c r="DF941">
        <v>0</v>
      </c>
      <c r="DG941">
        <v>1</v>
      </c>
      <c r="DH941">
        <v>0</v>
      </c>
      <c r="DI941">
        <v>0</v>
      </c>
    </row>
    <row r="942" spans="1:113" x14ac:dyDescent="0.3">
      <c r="A942" t="str">
        <f t="shared" si="448"/>
        <v>05/12/2020 14:42:23.603</v>
      </c>
      <c r="C942" t="str">
        <f t="shared" si="438"/>
        <v>FFDFD3C0</v>
      </c>
      <c r="D942" t="s">
        <v>126</v>
      </c>
      <c r="E942">
        <v>6</v>
      </c>
      <c r="F942">
        <v>1006</v>
      </c>
      <c r="G942" t="s">
        <v>114</v>
      </c>
      <c r="J942" t="s">
        <v>128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49"/>
        <v>14:42:41.422</v>
      </c>
      <c r="T942" t="str">
        <f t="shared" si="449"/>
        <v>14:42:41.422</v>
      </c>
      <c r="U942" t="str">
        <f t="shared" si="429"/>
        <v>A9808D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1</v>
      </c>
      <c r="AG942">
        <v>2</v>
      </c>
      <c r="AH942">
        <v>0</v>
      </c>
      <c r="AI942" t="s">
        <v>317</v>
      </c>
      <c r="AJ942">
        <v>28.270375999999999</v>
      </c>
      <c r="AK942" t="s">
        <v>282</v>
      </c>
      <c r="AL942">
        <v>-82.380551999999994</v>
      </c>
      <c r="AM942">
        <v>100</v>
      </c>
      <c r="AN942">
        <v>1100</v>
      </c>
      <c r="AO942" t="s">
        <v>118</v>
      </c>
      <c r="AP942">
        <v>-9</v>
      </c>
      <c r="AQ942">
        <v>87</v>
      </c>
      <c r="AR942">
        <v>832</v>
      </c>
      <c r="AZ942">
        <v>1200</v>
      </c>
      <c r="BA942">
        <v>1</v>
      </c>
      <c r="BB942" t="str">
        <f t="shared" si="439"/>
        <v xml:space="preserve">N711JA  </v>
      </c>
      <c r="BC942">
        <v>1</v>
      </c>
      <c r="BE942">
        <v>0</v>
      </c>
      <c r="BF942">
        <v>0</v>
      </c>
      <c r="BG942">
        <v>0</v>
      </c>
      <c r="BH942">
        <v>1250</v>
      </c>
      <c r="BI942">
        <v>1</v>
      </c>
      <c r="BJ942">
        <v>1</v>
      </c>
      <c r="BK942">
        <v>0</v>
      </c>
      <c r="BL942">
        <v>0</v>
      </c>
      <c r="BO942">
        <v>0</v>
      </c>
      <c r="BP942">
        <v>0</v>
      </c>
      <c r="BW942" t="str">
        <f t="shared" si="450"/>
        <v>14:42:41.422</v>
      </c>
      <c r="CJ942">
        <v>1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343</v>
      </c>
      <c r="CR942">
        <v>1</v>
      </c>
      <c r="CW942">
        <v>10612164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1</v>
      </c>
      <c r="DE942">
        <v>1</v>
      </c>
      <c r="DF942">
        <v>0</v>
      </c>
      <c r="DG942">
        <v>1</v>
      </c>
      <c r="DH942">
        <v>0</v>
      </c>
      <c r="DI942">
        <v>0</v>
      </c>
    </row>
    <row r="943" spans="1:113" x14ac:dyDescent="0.3">
      <c r="A943" t="str">
        <f t="shared" si="448"/>
        <v>05/12/2020 14:42:23.603</v>
      </c>
      <c r="C943" t="str">
        <f t="shared" si="438"/>
        <v>FFDFD3C0</v>
      </c>
      <c r="D943" t="s">
        <v>138</v>
      </c>
      <c r="E943">
        <v>2</v>
      </c>
      <c r="H943">
        <v>8</v>
      </c>
      <c r="I943" t="s">
        <v>139</v>
      </c>
      <c r="J943" t="s">
        <v>136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49"/>
        <v>14:42:41.422</v>
      </c>
      <c r="T943" t="str">
        <f t="shared" si="449"/>
        <v>14:42:41.422</v>
      </c>
      <c r="U943" t="str">
        <f t="shared" si="429"/>
        <v>A9808D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1</v>
      </c>
      <c r="AG943">
        <v>2</v>
      </c>
      <c r="AH943">
        <v>0</v>
      </c>
      <c r="AI943" t="s">
        <v>317</v>
      </c>
      <c r="AJ943">
        <v>28.270375999999999</v>
      </c>
      <c r="AK943" t="s">
        <v>282</v>
      </c>
      <c r="AL943">
        <v>-82.380551999999994</v>
      </c>
      <c r="AM943">
        <v>100</v>
      </c>
      <c r="AN943">
        <v>1100</v>
      </c>
      <c r="AO943" t="s">
        <v>118</v>
      </c>
      <c r="AP943">
        <v>-9</v>
      </c>
      <c r="AQ943">
        <v>87</v>
      </c>
      <c r="AR943">
        <v>832</v>
      </c>
      <c r="AZ943">
        <v>1200</v>
      </c>
      <c r="BA943">
        <v>1</v>
      </c>
      <c r="BB943" t="str">
        <f t="shared" si="439"/>
        <v xml:space="preserve">N711JA  </v>
      </c>
      <c r="BC943">
        <v>1</v>
      </c>
      <c r="BE943">
        <v>0</v>
      </c>
      <c r="BF943">
        <v>0</v>
      </c>
      <c r="BG943">
        <v>0</v>
      </c>
      <c r="BH943">
        <v>1250</v>
      </c>
      <c r="BI943">
        <v>1</v>
      </c>
      <c r="BJ943">
        <v>1</v>
      </c>
      <c r="BK943">
        <v>0</v>
      </c>
      <c r="BL943">
        <v>0</v>
      </c>
      <c r="BO943">
        <v>0</v>
      </c>
      <c r="BP943">
        <v>0</v>
      </c>
      <c r="BW943" t="str">
        <f t="shared" si="450"/>
        <v>14:42:41.422</v>
      </c>
      <c r="CJ943">
        <v>1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343</v>
      </c>
      <c r="CR943">
        <v>1</v>
      </c>
      <c r="CW943">
        <v>10612164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1</v>
      </c>
      <c r="DF943">
        <v>0</v>
      </c>
      <c r="DG943">
        <v>1</v>
      </c>
      <c r="DH943">
        <v>0</v>
      </c>
      <c r="DI943">
        <v>0</v>
      </c>
    </row>
    <row r="944" spans="1:113" x14ac:dyDescent="0.3">
      <c r="A944" t="str">
        <f t="shared" si="448"/>
        <v>05/12/2020 14:42:23.603</v>
      </c>
      <c r="C944" t="str">
        <f t="shared" si="438"/>
        <v>FFDFD3C0</v>
      </c>
      <c r="D944" t="s">
        <v>138</v>
      </c>
      <c r="E944">
        <v>3</v>
      </c>
      <c r="H944">
        <v>9</v>
      </c>
      <c r="I944" t="s">
        <v>140</v>
      </c>
      <c r="J944" t="s">
        <v>136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449"/>
        <v>14:42:41.422</v>
      </c>
      <c r="T944" t="str">
        <f t="shared" si="449"/>
        <v>14:42:41.422</v>
      </c>
      <c r="U944" t="str">
        <f t="shared" si="429"/>
        <v>A9808D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1</v>
      </c>
      <c r="AG944">
        <v>2</v>
      </c>
      <c r="AH944">
        <v>0</v>
      </c>
      <c r="AI944" t="s">
        <v>317</v>
      </c>
      <c r="AJ944">
        <v>28.270375999999999</v>
      </c>
      <c r="AK944" t="s">
        <v>282</v>
      </c>
      <c r="AL944">
        <v>-82.380551999999994</v>
      </c>
      <c r="AM944">
        <v>100</v>
      </c>
      <c r="AN944">
        <v>1100</v>
      </c>
      <c r="AO944" t="s">
        <v>118</v>
      </c>
      <c r="AP944">
        <v>-9</v>
      </c>
      <c r="AQ944">
        <v>87</v>
      </c>
      <c r="AR944">
        <v>832</v>
      </c>
      <c r="AZ944">
        <v>1200</v>
      </c>
      <c r="BA944">
        <v>1</v>
      </c>
      <c r="BB944" t="str">
        <f t="shared" si="439"/>
        <v xml:space="preserve">N711JA  </v>
      </c>
      <c r="BC944">
        <v>1</v>
      </c>
      <c r="BE944">
        <v>0</v>
      </c>
      <c r="BF944">
        <v>0</v>
      </c>
      <c r="BG944">
        <v>0</v>
      </c>
      <c r="BH944">
        <v>1250</v>
      </c>
      <c r="BI944">
        <v>1</v>
      </c>
      <c r="BJ944">
        <v>1</v>
      </c>
      <c r="BK944">
        <v>0</v>
      </c>
      <c r="BL944">
        <v>0</v>
      </c>
      <c r="BO944">
        <v>0</v>
      </c>
      <c r="BP944">
        <v>0</v>
      </c>
      <c r="BW944" t="str">
        <f t="shared" si="450"/>
        <v>14:42:41.422</v>
      </c>
      <c r="CJ944">
        <v>1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343</v>
      </c>
      <c r="CR944">
        <v>1</v>
      </c>
      <c r="CW944">
        <v>10612164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1</v>
      </c>
      <c r="DF944">
        <v>0</v>
      </c>
      <c r="DG944">
        <v>1</v>
      </c>
      <c r="DH944">
        <v>0</v>
      </c>
      <c r="DI944">
        <v>0</v>
      </c>
    </row>
    <row r="945" spans="1:113" x14ac:dyDescent="0.3">
      <c r="A945" t="str">
        <f t="shared" si="448"/>
        <v>05/12/2020 14:42:23.603</v>
      </c>
      <c r="C945" t="str">
        <f t="shared" si="438"/>
        <v>FFDFD3C0</v>
      </c>
      <c r="D945" t="s">
        <v>126</v>
      </c>
      <c r="E945">
        <v>7</v>
      </c>
      <c r="F945">
        <v>1007</v>
      </c>
      <c r="G945" t="s">
        <v>127</v>
      </c>
      <c r="J945" t="s">
        <v>128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49"/>
        <v>14:42:41.422</v>
      </c>
      <c r="T945" t="str">
        <f t="shared" si="449"/>
        <v>14:42:41.422</v>
      </c>
      <c r="U945" t="str">
        <f t="shared" si="429"/>
        <v>A9808D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1</v>
      </c>
      <c r="AG945">
        <v>2</v>
      </c>
      <c r="AH945">
        <v>0</v>
      </c>
      <c r="AI945" t="s">
        <v>317</v>
      </c>
      <c r="AJ945">
        <v>28.270375999999999</v>
      </c>
      <c r="AK945" t="s">
        <v>282</v>
      </c>
      <c r="AL945">
        <v>-82.380551999999994</v>
      </c>
      <c r="AM945">
        <v>100</v>
      </c>
      <c r="AN945">
        <v>1100</v>
      </c>
      <c r="AO945" t="s">
        <v>118</v>
      </c>
      <c r="AP945">
        <v>-9</v>
      </c>
      <c r="AQ945">
        <v>87</v>
      </c>
      <c r="AR945">
        <v>832</v>
      </c>
      <c r="AZ945">
        <v>1200</v>
      </c>
      <c r="BA945">
        <v>1</v>
      </c>
      <c r="BB945" t="str">
        <f t="shared" si="439"/>
        <v xml:space="preserve">N711JA  </v>
      </c>
      <c r="BC945">
        <v>1</v>
      </c>
      <c r="BE945">
        <v>0</v>
      </c>
      <c r="BF945">
        <v>0</v>
      </c>
      <c r="BG945">
        <v>0</v>
      </c>
      <c r="BH945">
        <v>1250</v>
      </c>
      <c r="BI945">
        <v>1</v>
      </c>
      <c r="BJ945">
        <v>1</v>
      </c>
      <c r="BK945">
        <v>0</v>
      </c>
      <c r="BL945">
        <v>0</v>
      </c>
      <c r="BO945">
        <v>0</v>
      </c>
      <c r="BP945">
        <v>0</v>
      </c>
      <c r="BW945" t="str">
        <f t="shared" si="450"/>
        <v>14:42:41.422</v>
      </c>
      <c r="CJ945">
        <v>1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343</v>
      </c>
      <c r="CR945">
        <v>1</v>
      </c>
      <c r="CW945">
        <v>10612164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1</v>
      </c>
      <c r="DE945">
        <v>1</v>
      </c>
      <c r="DF945">
        <v>0</v>
      </c>
      <c r="DG945">
        <v>1</v>
      </c>
      <c r="DH945">
        <v>0</v>
      </c>
      <c r="DI945">
        <v>0</v>
      </c>
    </row>
    <row r="946" spans="1:113" x14ac:dyDescent="0.3">
      <c r="A946" t="str">
        <f t="shared" si="448"/>
        <v>05/12/2020 14:42:23.603</v>
      </c>
      <c r="C946" t="str">
        <f t="shared" si="438"/>
        <v>FFDFD3C0</v>
      </c>
      <c r="D946" t="s">
        <v>131</v>
      </c>
      <c r="E946">
        <v>10</v>
      </c>
      <c r="F946">
        <v>2010</v>
      </c>
      <c r="G946" t="s">
        <v>132</v>
      </c>
      <c r="J946" t="s">
        <v>133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49"/>
        <v>14:42:41.422</v>
      </c>
      <c r="T946" t="str">
        <f t="shared" si="449"/>
        <v>14:42:41.422</v>
      </c>
      <c r="U946" t="str">
        <f t="shared" si="429"/>
        <v>A9808D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1</v>
      </c>
      <c r="AG946">
        <v>2</v>
      </c>
      <c r="AH946">
        <v>0</v>
      </c>
      <c r="AI946" t="s">
        <v>317</v>
      </c>
      <c r="AJ946">
        <v>28.270375999999999</v>
      </c>
      <c r="AK946" t="s">
        <v>282</v>
      </c>
      <c r="AL946">
        <v>-82.380551999999994</v>
      </c>
      <c r="AM946">
        <v>100</v>
      </c>
      <c r="AN946">
        <v>1100</v>
      </c>
      <c r="AO946" t="s">
        <v>118</v>
      </c>
      <c r="AP946">
        <v>-9</v>
      </c>
      <c r="AQ946">
        <v>87</v>
      </c>
      <c r="AR946">
        <v>832</v>
      </c>
      <c r="AZ946">
        <v>1200</v>
      </c>
      <c r="BA946">
        <v>1</v>
      </c>
      <c r="BB946" t="str">
        <f t="shared" si="439"/>
        <v xml:space="preserve">N711JA  </v>
      </c>
      <c r="BC946">
        <v>1</v>
      </c>
      <c r="BE946">
        <v>0</v>
      </c>
      <c r="BF946">
        <v>0</v>
      </c>
      <c r="BG946">
        <v>0</v>
      </c>
      <c r="BH946">
        <v>1250</v>
      </c>
      <c r="BI946">
        <v>1</v>
      </c>
      <c r="BJ946">
        <v>1</v>
      </c>
      <c r="BK946">
        <v>0</v>
      </c>
      <c r="BL946">
        <v>0</v>
      </c>
      <c r="BO946">
        <v>0</v>
      </c>
      <c r="BP946">
        <v>0</v>
      </c>
      <c r="BW946" t="str">
        <f t="shared" si="450"/>
        <v>14:42:41.422</v>
      </c>
      <c r="CJ946">
        <v>1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343</v>
      </c>
      <c r="CR946">
        <v>1</v>
      </c>
      <c r="CW946">
        <v>10612164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1</v>
      </c>
      <c r="DF946">
        <v>0</v>
      </c>
      <c r="DG946">
        <v>1</v>
      </c>
      <c r="DH946">
        <v>0</v>
      </c>
      <c r="DI946">
        <v>0</v>
      </c>
    </row>
    <row r="947" spans="1:113" x14ac:dyDescent="0.3">
      <c r="A947" t="str">
        <f t="shared" si="448"/>
        <v>05/12/2020 14:42:23.603</v>
      </c>
      <c r="C947" t="str">
        <f t="shared" si="438"/>
        <v>FFDFD3C0</v>
      </c>
      <c r="D947" t="s">
        <v>131</v>
      </c>
      <c r="E947">
        <v>12</v>
      </c>
      <c r="F947">
        <v>2012</v>
      </c>
      <c r="G947" t="s">
        <v>137</v>
      </c>
      <c r="J947" t="s">
        <v>133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449"/>
        <v>14:42:41.422</v>
      </c>
      <c r="T947" t="str">
        <f t="shared" si="449"/>
        <v>14:42:41.422</v>
      </c>
      <c r="U947" t="str">
        <f t="shared" si="429"/>
        <v>A9808D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1</v>
      </c>
      <c r="AG947">
        <v>2</v>
      </c>
      <c r="AH947">
        <v>0</v>
      </c>
      <c r="AI947" t="s">
        <v>317</v>
      </c>
      <c r="AJ947">
        <v>28.270375999999999</v>
      </c>
      <c r="AK947" t="s">
        <v>282</v>
      </c>
      <c r="AL947">
        <v>-82.380551999999994</v>
      </c>
      <c r="AM947">
        <v>100</v>
      </c>
      <c r="AN947">
        <v>1100</v>
      </c>
      <c r="AO947" t="s">
        <v>118</v>
      </c>
      <c r="AP947">
        <v>-9</v>
      </c>
      <c r="AQ947">
        <v>87</v>
      </c>
      <c r="AR947">
        <v>832</v>
      </c>
      <c r="AZ947">
        <v>1200</v>
      </c>
      <c r="BA947">
        <v>1</v>
      </c>
      <c r="BB947" t="str">
        <f t="shared" si="439"/>
        <v xml:space="preserve">N711JA  </v>
      </c>
      <c r="BC947">
        <v>1</v>
      </c>
      <c r="BE947">
        <v>0</v>
      </c>
      <c r="BF947">
        <v>0</v>
      </c>
      <c r="BG947">
        <v>0</v>
      </c>
      <c r="BH947">
        <v>1250</v>
      </c>
      <c r="BI947">
        <v>1</v>
      </c>
      <c r="BJ947">
        <v>1</v>
      </c>
      <c r="BK947">
        <v>0</v>
      </c>
      <c r="BL947">
        <v>0</v>
      </c>
      <c r="BO947">
        <v>0</v>
      </c>
      <c r="BP947">
        <v>0</v>
      </c>
      <c r="BW947" t="str">
        <f t="shared" si="450"/>
        <v>14:42:41.422</v>
      </c>
      <c r="CJ947">
        <v>1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343</v>
      </c>
      <c r="CR947">
        <v>1</v>
      </c>
      <c r="CW947">
        <v>10612164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1</v>
      </c>
      <c r="DE947">
        <v>1</v>
      </c>
      <c r="DF947">
        <v>0</v>
      </c>
      <c r="DG947">
        <v>1</v>
      </c>
      <c r="DH947">
        <v>0</v>
      </c>
      <c r="DI947">
        <v>0</v>
      </c>
    </row>
    <row r="948" spans="1:113" x14ac:dyDescent="0.3">
      <c r="A948" t="str">
        <f t="shared" si="448"/>
        <v>05/12/2020 14:42:23.603</v>
      </c>
      <c r="C948" t="str">
        <f t="shared" si="438"/>
        <v>FFDFD3C0</v>
      </c>
      <c r="D948" t="s">
        <v>131</v>
      </c>
      <c r="E948">
        <v>18</v>
      </c>
      <c r="F948">
        <v>2018</v>
      </c>
      <c r="G948" t="s">
        <v>161</v>
      </c>
      <c r="J948" t="s">
        <v>133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449"/>
        <v>14:42:41.422</v>
      </c>
      <c r="T948" t="str">
        <f t="shared" si="449"/>
        <v>14:42:41.422</v>
      </c>
      <c r="U948" t="str">
        <f t="shared" si="429"/>
        <v>A9808D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1</v>
      </c>
      <c r="AG948">
        <v>2</v>
      </c>
      <c r="AH948">
        <v>0</v>
      </c>
      <c r="AI948" t="s">
        <v>317</v>
      </c>
      <c r="AJ948">
        <v>28.270375999999999</v>
      </c>
      <c r="AK948" t="s">
        <v>282</v>
      </c>
      <c r="AL948">
        <v>-82.380551999999994</v>
      </c>
      <c r="AM948">
        <v>100</v>
      </c>
      <c r="AN948">
        <v>1100</v>
      </c>
      <c r="AO948" t="s">
        <v>118</v>
      </c>
      <c r="AP948">
        <v>-9</v>
      </c>
      <c r="AQ948">
        <v>87</v>
      </c>
      <c r="AR948">
        <v>832</v>
      </c>
      <c r="AZ948">
        <v>1200</v>
      </c>
      <c r="BA948">
        <v>1</v>
      </c>
      <c r="BB948" t="str">
        <f t="shared" si="439"/>
        <v xml:space="preserve">N711JA  </v>
      </c>
      <c r="BC948">
        <v>1</v>
      </c>
      <c r="BE948">
        <v>0</v>
      </c>
      <c r="BF948">
        <v>0</v>
      </c>
      <c r="BG948">
        <v>0</v>
      </c>
      <c r="BH948">
        <v>1250</v>
      </c>
      <c r="BI948">
        <v>1</v>
      </c>
      <c r="BJ948">
        <v>1</v>
      </c>
      <c r="BK948">
        <v>0</v>
      </c>
      <c r="BL948">
        <v>0</v>
      </c>
      <c r="BO948">
        <v>0</v>
      </c>
      <c r="BP948">
        <v>0</v>
      </c>
      <c r="BW948" t="str">
        <f t="shared" si="450"/>
        <v>14:42:41.422</v>
      </c>
      <c r="CJ948">
        <v>1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343</v>
      </c>
      <c r="CR948">
        <v>1</v>
      </c>
      <c r="CW948">
        <v>10612164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1</v>
      </c>
      <c r="DF948">
        <v>0</v>
      </c>
      <c r="DG948">
        <v>1</v>
      </c>
      <c r="DH948">
        <v>0</v>
      </c>
      <c r="DI948">
        <v>0</v>
      </c>
    </row>
    <row r="949" spans="1:113" x14ac:dyDescent="0.3">
      <c r="A949" t="str">
        <f t="shared" si="448"/>
        <v>05/12/2020 14:42:23.603</v>
      </c>
      <c r="C949" t="str">
        <f t="shared" si="438"/>
        <v>FFDFD3C0</v>
      </c>
      <c r="D949" t="s">
        <v>134</v>
      </c>
      <c r="E949">
        <v>12</v>
      </c>
      <c r="H949">
        <v>64</v>
      </c>
      <c r="I949" t="s">
        <v>135</v>
      </c>
      <c r="J949" t="s">
        <v>136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49"/>
        <v>14:42:41.422</v>
      </c>
      <c r="T949" t="str">
        <f t="shared" si="449"/>
        <v>14:42:41.422</v>
      </c>
      <c r="U949" t="str">
        <f t="shared" si="429"/>
        <v>A9808D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1</v>
      </c>
      <c r="AG949">
        <v>2</v>
      </c>
      <c r="AH949">
        <v>0</v>
      </c>
      <c r="AI949" t="s">
        <v>317</v>
      </c>
      <c r="AJ949">
        <v>28.270375999999999</v>
      </c>
      <c r="AK949" t="s">
        <v>282</v>
      </c>
      <c r="AL949">
        <v>-82.380551999999994</v>
      </c>
      <c r="AM949">
        <v>100</v>
      </c>
      <c r="AN949">
        <v>1100</v>
      </c>
      <c r="AO949" t="s">
        <v>118</v>
      </c>
      <c r="AP949">
        <v>-9</v>
      </c>
      <c r="AQ949">
        <v>87</v>
      </c>
      <c r="AR949">
        <v>832</v>
      </c>
      <c r="AZ949">
        <v>1200</v>
      </c>
      <c r="BA949">
        <v>1</v>
      </c>
      <c r="BB949" t="str">
        <f t="shared" si="439"/>
        <v xml:space="preserve">N711JA  </v>
      </c>
      <c r="BC949">
        <v>1</v>
      </c>
      <c r="BE949">
        <v>0</v>
      </c>
      <c r="BF949">
        <v>0</v>
      </c>
      <c r="BG949">
        <v>0</v>
      </c>
      <c r="BH949">
        <v>1250</v>
      </c>
      <c r="BI949">
        <v>1</v>
      </c>
      <c r="BJ949">
        <v>1</v>
      </c>
      <c r="BK949">
        <v>0</v>
      </c>
      <c r="BL949">
        <v>0</v>
      </c>
      <c r="BO949">
        <v>0</v>
      </c>
      <c r="BP949">
        <v>0</v>
      </c>
      <c r="BW949" t="str">
        <f t="shared" si="450"/>
        <v>14:42:41.422</v>
      </c>
      <c r="CJ949">
        <v>1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343</v>
      </c>
      <c r="CR949">
        <v>1</v>
      </c>
      <c r="CW949">
        <v>10612164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1</v>
      </c>
      <c r="DF949">
        <v>0</v>
      </c>
      <c r="DG949">
        <v>1</v>
      </c>
      <c r="DH949">
        <v>0</v>
      </c>
      <c r="DI949">
        <v>0</v>
      </c>
    </row>
    <row r="950" spans="1:113" x14ac:dyDescent="0.3">
      <c r="A950" t="str">
        <f t="shared" ref="A950:A958" si="451">"05/12/2020 14:42:24.513"</f>
        <v>05/12/2020 14:42:24.513</v>
      </c>
      <c r="C950" t="str">
        <f t="shared" si="438"/>
        <v>FFDFD3C0</v>
      </c>
      <c r="D950" t="s">
        <v>126</v>
      </c>
      <c r="E950">
        <v>6</v>
      </c>
      <c r="F950">
        <v>1006</v>
      </c>
      <c r="G950" t="s">
        <v>114</v>
      </c>
      <c r="J950" t="s">
        <v>128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ref="S950:T958" si="452">"14:42:42.328"</f>
        <v>14:42:42.328</v>
      </c>
      <c r="T950" t="str">
        <f t="shared" si="452"/>
        <v>14:42:42.328</v>
      </c>
      <c r="U950" t="str">
        <f t="shared" si="429"/>
        <v>A9808D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1</v>
      </c>
      <c r="AG950">
        <v>2</v>
      </c>
      <c r="AH950">
        <v>0</v>
      </c>
      <c r="AI950" t="s">
        <v>318</v>
      </c>
      <c r="AJ950">
        <v>28.270697999999999</v>
      </c>
      <c r="AK950" t="s">
        <v>146</v>
      </c>
      <c r="AL950">
        <v>-82.380617000000001</v>
      </c>
      <c r="AM950">
        <v>100</v>
      </c>
      <c r="AN950">
        <v>1200</v>
      </c>
      <c r="AO950" t="s">
        <v>118</v>
      </c>
      <c r="AP950">
        <v>-11</v>
      </c>
      <c r="AQ950">
        <v>87</v>
      </c>
      <c r="AR950">
        <v>832</v>
      </c>
      <c r="AZ950">
        <v>1200</v>
      </c>
      <c r="BA950">
        <v>1</v>
      </c>
      <c r="BB950" t="str">
        <f t="shared" si="439"/>
        <v xml:space="preserve">N711JA  </v>
      </c>
      <c r="BC950">
        <v>1</v>
      </c>
      <c r="BE950">
        <v>0</v>
      </c>
      <c r="BF950">
        <v>0</v>
      </c>
      <c r="BG950">
        <v>0</v>
      </c>
      <c r="BH950">
        <v>1175</v>
      </c>
      <c r="BI950">
        <v>1</v>
      </c>
      <c r="BJ950">
        <v>1</v>
      </c>
      <c r="BK950">
        <v>0</v>
      </c>
      <c r="BL950">
        <v>0</v>
      </c>
      <c r="BO950">
        <v>0</v>
      </c>
      <c r="BP950">
        <v>0</v>
      </c>
      <c r="BW950" t="str">
        <f t="shared" ref="BW950:BW958" si="453">"14:42:42.334"</f>
        <v>14:42:42.334</v>
      </c>
      <c r="CJ950">
        <v>1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343</v>
      </c>
      <c r="CR950">
        <v>1</v>
      </c>
      <c r="CW950">
        <v>10613179</v>
      </c>
      <c r="CY950">
        <v>1</v>
      </c>
      <c r="CZ950">
        <v>0</v>
      </c>
      <c r="DA950">
        <v>0</v>
      </c>
      <c r="DB950">
        <v>0</v>
      </c>
      <c r="DC950">
        <v>0</v>
      </c>
      <c r="DD950">
        <v>1</v>
      </c>
      <c r="DE950">
        <v>1</v>
      </c>
      <c r="DF950">
        <v>0</v>
      </c>
      <c r="DG950">
        <v>1</v>
      </c>
      <c r="DH950">
        <v>0</v>
      </c>
      <c r="DI950">
        <v>0</v>
      </c>
    </row>
    <row r="951" spans="1:113" x14ac:dyDescent="0.3">
      <c r="A951" t="str">
        <f t="shared" si="451"/>
        <v>05/12/2020 14:42:24.513</v>
      </c>
      <c r="C951" t="str">
        <f t="shared" si="438"/>
        <v>FFDFD3C0</v>
      </c>
      <c r="D951" t="s">
        <v>113</v>
      </c>
      <c r="E951">
        <v>3</v>
      </c>
      <c r="H951">
        <v>164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452"/>
        <v>14:42:42.328</v>
      </c>
      <c r="T951" t="str">
        <f t="shared" si="452"/>
        <v>14:42:42.328</v>
      </c>
      <c r="U951" t="str">
        <f t="shared" si="429"/>
        <v>A9808D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1</v>
      </c>
      <c r="AG951">
        <v>2</v>
      </c>
      <c r="AH951">
        <v>0</v>
      </c>
      <c r="AI951" t="s">
        <v>318</v>
      </c>
      <c r="AJ951">
        <v>28.270697999999999</v>
      </c>
      <c r="AK951" t="s">
        <v>146</v>
      </c>
      <c r="AL951">
        <v>-82.380617000000001</v>
      </c>
      <c r="AM951">
        <v>100</v>
      </c>
      <c r="AN951">
        <v>1200</v>
      </c>
      <c r="AO951" t="s">
        <v>118</v>
      </c>
      <c r="AP951">
        <v>-11</v>
      </c>
      <c r="AQ951">
        <v>87</v>
      </c>
      <c r="AR951">
        <v>832</v>
      </c>
      <c r="AZ951">
        <v>1200</v>
      </c>
      <c r="BA951">
        <v>1</v>
      </c>
      <c r="BB951" t="str">
        <f t="shared" si="439"/>
        <v xml:space="preserve">N711JA  </v>
      </c>
      <c r="BC951">
        <v>1</v>
      </c>
      <c r="BE951">
        <v>0</v>
      </c>
      <c r="BF951">
        <v>0</v>
      </c>
      <c r="BG951">
        <v>0</v>
      </c>
      <c r="BH951">
        <v>1175</v>
      </c>
      <c r="BI951">
        <v>1</v>
      </c>
      <c r="BJ951">
        <v>1</v>
      </c>
      <c r="BK951">
        <v>0</v>
      </c>
      <c r="BL951">
        <v>0</v>
      </c>
      <c r="BO951">
        <v>0</v>
      </c>
      <c r="BP951">
        <v>0</v>
      </c>
      <c r="BW951" t="str">
        <f t="shared" si="453"/>
        <v>14:42:42.334</v>
      </c>
      <c r="CJ951">
        <v>1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343</v>
      </c>
      <c r="CR951">
        <v>1</v>
      </c>
      <c r="CW951">
        <v>10613179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1</v>
      </c>
      <c r="DF951">
        <v>0</v>
      </c>
      <c r="DG951">
        <v>1</v>
      </c>
      <c r="DH951">
        <v>0</v>
      </c>
      <c r="DI951">
        <v>0</v>
      </c>
    </row>
    <row r="952" spans="1:113" x14ac:dyDescent="0.3">
      <c r="A952" t="str">
        <f t="shared" si="451"/>
        <v>05/12/2020 14:42:24.513</v>
      </c>
      <c r="C952" t="str">
        <f t="shared" si="438"/>
        <v>FFDFD3C0</v>
      </c>
      <c r="D952" t="s">
        <v>138</v>
      </c>
      <c r="E952">
        <v>2</v>
      </c>
      <c r="H952">
        <v>8</v>
      </c>
      <c r="I952" t="s">
        <v>139</v>
      </c>
      <c r="J952" t="s">
        <v>136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52"/>
        <v>14:42:42.328</v>
      </c>
      <c r="T952" t="str">
        <f t="shared" si="452"/>
        <v>14:42:42.328</v>
      </c>
      <c r="U952" t="str">
        <f t="shared" si="429"/>
        <v>A9808D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1</v>
      </c>
      <c r="AG952">
        <v>2</v>
      </c>
      <c r="AH952">
        <v>0</v>
      </c>
      <c r="AI952" t="s">
        <v>318</v>
      </c>
      <c r="AJ952">
        <v>28.270697999999999</v>
      </c>
      <c r="AK952" t="s">
        <v>146</v>
      </c>
      <c r="AL952">
        <v>-82.380617000000001</v>
      </c>
      <c r="AM952">
        <v>100</v>
      </c>
      <c r="AN952">
        <v>1200</v>
      </c>
      <c r="AO952" t="s">
        <v>118</v>
      </c>
      <c r="AP952">
        <v>-11</v>
      </c>
      <c r="AQ952">
        <v>87</v>
      </c>
      <c r="AR952">
        <v>832</v>
      </c>
      <c r="AZ952">
        <v>1200</v>
      </c>
      <c r="BA952">
        <v>1</v>
      </c>
      <c r="BB952" t="str">
        <f t="shared" si="439"/>
        <v xml:space="preserve">N711JA  </v>
      </c>
      <c r="BC952">
        <v>1</v>
      </c>
      <c r="BE952">
        <v>0</v>
      </c>
      <c r="BF952">
        <v>0</v>
      </c>
      <c r="BG952">
        <v>0</v>
      </c>
      <c r="BH952">
        <v>1175</v>
      </c>
      <c r="BI952">
        <v>1</v>
      </c>
      <c r="BJ952">
        <v>1</v>
      </c>
      <c r="BK952">
        <v>0</v>
      </c>
      <c r="BL952">
        <v>0</v>
      </c>
      <c r="BO952">
        <v>0</v>
      </c>
      <c r="BP952">
        <v>0</v>
      </c>
      <c r="BW952" t="str">
        <f t="shared" si="453"/>
        <v>14:42:42.334</v>
      </c>
      <c r="CJ952">
        <v>1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343</v>
      </c>
      <c r="CR952">
        <v>1</v>
      </c>
      <c r="CW952">
        <v>10613179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1</v>
      </c>
      <c r="DF952">
        <v>0</v>
      </c>
      <c r="DG952">
        <v>1</v>
      </c>
      <c r="DH952">
        <v>0</v>
      </c>
      <c r="DI952">
        <v>0</v>
      </c>
    </row>
    <row r="953" spans="1:113" x14ac:dyDescent="0.3">
      <c r="A953" t="str">
        <f t="shared" si="451"/>
        <v>05/12/2020 14:42:24.513</v>
      </c>
      <c r="C953" t="str">
        <f t="shared" si="438"/>
        <v>FFDFD3C0</v>
      </c>
      <c r="D953" t="s">
        <v>138</v>
      </c>
      <c r="E953">
        <v>3</v>
      </c>
      <c r="H953">
        <v>9</v>
      </c>
      <c r="I953" t="s">
        <v>140</v>
      </c>
      <c r="J953" t="s">
        <v>136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52"/>
        <v>14:42:42.328</v>
      </c>
      <c r="T953" t="str">
        <f t="shared" si="452"/>
        <v>14:42:42.328</v>
      </c>
      <c r="U953" t="str">
        <f t="shared" si="429"/>
        <v>A9808D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1</v>
      </c>
      <c r="AG953">
        <v>2</v>
      </c>
      <c r="AH953">
        <v>0</v>
      </c>
      <c r="AI953" t="s">
        <v>318</v>
      </c>
      <c r="AJ953">
        <v>28.270697999999999</v>
      </c>
      <c r="AK953" t="s">
        <v>146</v>
      </c>
      <c r="AL953">
        <v>-82.380617000000001</v>
      </c>
      <c r="AM953">
        <v>100</v>
      </c>
      <c r="AN953">
        <v>1200</v>
      </c>
      <c r="AO953" t="s">
        <v>118</v>
      </c>
      <c r="AP953">
        <v>-11</v>
      </c>
      <c r="AQ953">
        <v>87</v>
      </c>
      <c r="AR953">
        <v>832</v>
      </c>
      <c r="AZ953">
        <v>1200</v>
      </c>
      <c r="BA953">
        <v>1</v>
      </c>
      <c r="BB953" t="str">
        <f t="shared" si="439"/>
        <v xml:space="preserve">N711JA  </v>
      </c>
      <c r="BC953">
        <v>1</v>
      </c>
      <c r="BE953">
        <v>0</v>
      </c>
      <c r="BF953">
        <v>0</v>
      </c>
      <c r="BG953">
        <v>0</v>
      </c>
      <c r="BH953">
        <v>1175</v>
      </c>
      <c r="BI953">
        <v>1</v>
      </c>
      <c r="BJ953">
        <v>1</v>
      </c>
      <c r="BK953">
        <v>0</v>
      </c>
      <c r="BL953">
        <v>0</v>
      </c>
      <c r="BO953">
        <v>0</v>
      </c>
      <c r="BP953">
        <v>0</v>
      </c>
      <c r="BW953" t="str">
        <f t="shared" si="453"/>
        <v>14:42:42.334</v>
      </c>
      <c r="CJ953">
        <v>1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343</v>
      </c>
      <c r="CR953">
        <v>1</v>
      </c>
      <c r="CW953">
        <v>10613179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1</v>
      </c>
      <c r="DF953">
        <v>0</v>
      </c>
      <c r="DG953">
        <v>1</v>
      </c>
      <c r="DH953">
        <v>0</v>
      </c>
      <c r="DI953">
        <v>0</v>
      </c>
    </row>
    <row r="954" spans="1:113" x14ac:dyDescent="0.3">
      <c r="A954" t="str">
        <f t="shared" si="451"/>
        <v>05/12/2020 14:42:24.513</v>
      </c>
      <c r="C954" t="str">
        <f t="shared" si="438"/>
        <v>FFDFD3C0</v>
      </c>
      <c r="D954" t="s">
        <v>126</v>
      </c>
      <c r="E954">
        <v>7</v>
      </c>
      <c r="F954">
        <v>1007</v>
      </c>
      <c r="G954" t="s">
        <v>127</v>
      </c>
      <c r="J954" t="s">
        <v>128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452"/>
        <v>14:42:42.328</v>
      </c>
      <c r="T954" t="str">
        <f t="shared" si="452"/>
        <v>14:42:42.328</v>
      </c>
      <c r="U954" t="str">
        <f t="shared" si="429"/>
        <v>A9808D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1</v>
      </c>
      <c r="AG954">
        <v>2</v>
      </c>
      <c r="AH954">
        <v>0</v>
      </c>
      <c r="AI954" t="s">
        <v>318</v>
      </c>
      <c r="AJ954">
        <v>28.270697999999999</v>
      </c>
      <c r="AK954" t="s">
        <v>146</v>
      </c>
      <c r="AL954">
        <v>-82.380617000000001</v>
      </c>
      <c r="AM954">
        <v>100</v>
      </c>
      <c r="AN954">
        <v>1200</v>
      </c>
      <c r="AO954" t="s">
        <v>118</v>
      </c>
      <c r="AP954">
        <v>-11</v>
      </c>
      <c r="AQ954">
        <v>87</v>
      </c>
      <c r="AR954">
        <v>832</v>
      </c>
      <c r="AZ954">
        <v>1200</v>
      </c>
      <c r="BA954">
        <v>1</v>
      </c>
      <c r="BB954" t="str">
        <f t="shared" si="439"/>
        <v xml:space="preserve">N711JA  </v>
      </c>
      <c r="BC954">
        <v>1</v>
      </c>
      <c r="BE954">
        <v>0</v>
      </c>
      <c r="BF954">
        <v>0</v>
      </c>
      <c r="BG954">
        <v>0</v>
      </c>
      <c r="BH954">
        <v>1175</v>
      </c>
      <c r="BI954">
        <v>1</v>
      </c>
      <c r="BJ954">
        <v>1</v>
      </c>
      <c r="BK954">
        <v>0</v>
      </c>
      <c r="BL954">
        <v>0</v>
      </c>
      <c r="BO954">
        <v>0</v>
      </c>
      <c r="BP954">
        <v>0</v>
      </c>
      <c r="BW954" t="str">
        <f t="shared" si="453"/>
        <v>14:42:42.334</v>
      </c>
      <c r="CJ954">
        <v>1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343</v>
      </c>
      <c r="CR954">
        <v>1</v>
      </c>
      <c r="CW954">
        <v>10613179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1</v>
      </c>
      <c r="DE954">
        <v>1</v>
      </c>
      <c r="DF954">
        <v>0</v>
      </c>
      <c r="DG954">
        <v>1</v>
      </c>
      <c r="DH954">
        <v>0</v>
      </c>
      <c r="DI954">
        <v>0</v>
      </c>
    </row>
    <row r="955" spans="1:113" x14ac:dyDescent="0.3">
      <c r="A955" t="str">
        <f t="shared" si="451"/>
        <v>05/12/2020 14:42:24.513</v>
      </c>
      <c r="C955" t="str">
        <f t="shared" si="438"/>
        <v>FFDFD3C0</v>
      </c>
      <c r="D955" t="s">
        <v>131</v>
      </c>
      <c r="E955">
        <v>12</v>
      </c>
      <c r="F955">
        <v>2012</v>
      </c>
      <c r="G955" t="s">
        <v>137</v>
      </c>
      <c r="J955" t="s">
        <v>133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452"/>
        <v>14:42:42.328</v>
      </c>
      <c r="T955" t="str">
        <f t="shared" si="452"/>
        <v>14:42:42.328</v>
      </c>
      <c r="U955" t="str">
        <f t="shared" si="429"/>
        <v>A9808D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1</v>
      </c>
      <c r="AG955">
        <v>2</v>
      </c>
      <c r="AH955">
        <v>0</v>
      </c>
      <c r="AI955" t="s">
        <v>318</v>
      </c>
      <c r="AJ955">
        <v>28.270697999999999</v>
      </c>
      <c r="AK955" t="s">
        <v>146</v>
      </c>
      <c r="AL955">
        <v>-82.380617000000001</v>
      </c>
      <c r="AM955">
        <v>100</v>
      </c>
      <c r="AN955">
        <v>1200</v>
      </c>
      <c r="AO955" t="s">
        <v>118</v>
      </c>
      <c r="AP955">
        <v>-11</v>
      </c>
      <c r="AQ955">
        <v>87</v>
      </c>
      <c r="AR955">
        <v>832</v>
      </c>
      <c r="AZ955">
        <v>1200</v>
      </c>
      <c r="BA955">
        <v>1</v>
      </c>
      <c r="BB955" t="str">
        <f t="shared" si="439"/>
        <v xml:space="preserve">N711JA  </v>
      </c>
      <c r="BC955">
        <v>1</v>
      </c>
      <c r="BE955">
        <v>0</v>
      </c>
      <c r="BF955">
        <v>0</v>
      </c>
      <c r="BG955">
        <v>0</v>
      </c>
      <c r="BH955">
        <v>1175</v>
      </c>
      <c r="BI955">
        <v>1</v>
      </c>
      <c r="BJ955">
        <v>1</v>
      </c>
      <c r="BK955">
        <v>0</v>
      </c>
      <c r="BL955">
        <v>0</v>
      </c>
      <c r="BO955">
        <v>0</v>
      </c>
      <c r="BP955">
        <v>0</v>
      </c>
      <c r="BW955" t="str">
        <f t="shared" si="453"/>
        <v>14:42:42.334</v>
      </c>
      <c r="CJ955">
        <v>1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343</v>
      </c>
      <c r="CR955">
        <v>1</v>
      </c>
      <c r="CW955">
        <v>10613179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1</v>
      </c>
      <c r="DE955">
        <v>1</v>
      </c>
      <c r="DF955">
        <v>0</v>
      </c>
      <c r="DG955">
        <v>1</v>
      </c>
      <c r="DH955">
        <v>0</v>
      </c>
      <c r="DI955">
        <v>0</v>
      </c>
    </row>
    <row r="956" spans="1:113" x14ac:dyDescent="0.3">
      <c r="A956" t="str">
        <f t="shared" si="451"/>
        <v>05/12/2020 14:42:24.513</v>
      </c>
      <c r="C956" t="str">
        <f t="shared" si="438"/>
        <v>FFDFD3C0</v>
      </c>
      <c r="D956" t="s">
        <v>131</v>
      </c>
      <c r="E956">
        <v>10</v>
      </c>
      <c r="F956">
        <v>2010</v>
      </c>
      <c r="G956" t="s">
        <v>132</v>
      </c>
      <c r="J956" t="s">
        <v>133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52"/>
        <v>14:42:42.328</v>
      </c>
      <c r="T956" t="str">
        <f t="shared" si="452"/>
        <v>14:42:42.328</v>
      </c>
      <c r="U956" t="str">
        <f t="shared" si="429"/>
        <v>A9808D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1</v>
      </c>
      <c r="AG956">
        <v>2</v>
      </c>
      <c r="AH956">
        <v>0</v>
      </c>
      <c r="AI956" t="s">
        <v>318</v>
      </c>
      <c r="AJ956">
        <v>28.270697999999999</v>
      </c>
      <c r="AK956" t="s">
        <v>146</v>
      </c>
      <c r="AL956">
        <v>-82.380617000000001</v>
      </c>
      <c r="AM956">
        <v>100</v>
      </c>
      <c r="AN956">
        <v>1200</v>
      </c>
      <c r="AO956" t="s">
        <v>118</v>
      </c>
      <c r="AP956">
        <v>-11</v>
      </c>
      <c r="AQ956">
        <v>87</v>
      </c>
      <c r="AR956">
        <v>832</v>
      </c>
      <c r="AZ956">
        <v>1200</v>
      </c>
      <c r="BA956">
        <v>1</v>
      </c>
      <c r="BB956" t="str">
        <f t="shared" si="439"/>
        <v xml:space="preserve">N711JA  </v>
      </c>
      <c r="BC956">
        <v>1</v>
      </c>
      <c r="BE956">
        <v>0</v>
      </c>
      <c r="BF956">
        <v>0</v>
      </c>
      <c r="BG956">
        <v>0</v>
      </c>
      <c r="BH956">
        <v>1175</v>
      </c>
      <c r="BI956">
        <v>1</v>
      </c>
      <c r="BJ956">
        <v>1</v>
      </c>
      <c r="BK956">
        <v>0</v>
      </c>
      <c r="BL956">
        <v>0</v>
      </c>
      <c r="BO956">
        <v>0</v>
      </c>
      <c r="BP956">
        <v>0</v>
      </c>
      <c r="BW956" t="str">
        <f t="shared" si="453"/>
        <v>14:42:42.334</v>
      </c>
      <c r="CJ956">
        <v>1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343</v>
      </c>
      <c r="CR956">
        <v>1</v>
      </c>
      <c r="CW956">
        <v>10613179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1</v>
      </c>
      <c r="DF956">
        <v>0</v>
      </c>
      <c r="DG956">
        <v>1</v>
      </c>
      <c r="DH956">
        <v>0</v>
      </c>
      <c r="DI956">
        <v>0</v>
      </c>
    </row>
    <row r="957" spans="1:113" x14ac:dyDescent="0.3">
      <c r="A957" t="str">
        <f t="shared" si="451"/>
        <v>05/12/2020 14:42:24.513</v>
      </c>
      <c r="C957" t="str">
        <f t="shared" si="438"/>
        <v>FFDFD3C0</v>
      </c>
      <c r="D957" t="s">
        <v>131</v>
      </c>
      <c r="E957">
        <v>18</v>
      </c>
      <c r="F957">
        <v>2018</v>
      </c>
      <c r="G957" t="s">
        <v>161</v>
      </c>
      <c r="J957" t="s">
        <v>133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452"/>
        <v>14:42:42.328</v>
      </c>
      <c r="T957" t="str">
        <f t="shared" si="452"/>
        <v>14:42:42.328</v>
      </c>
      <c r="U957" t="str">
        <f t="shared" si="429"/>
        <v>A9808D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1</v>
      </c>
      <c r="AG957">
        <v>2</v>
      </c>
      <c r="AH957">
        <v>0</v>
      </c>
      <c r="AI957" t="s">
        <v>318</v>
      </c>
      <c r="AJ957">
        <v>28.270697999999999</v>
      </c>
      <c r="AK957" t="s">
        <v>146</v>
      </c>
      <c r="AL957">
        <v>-82.380617000000001</v>
      </c>
      <c r="AM957">
        <v>100</v>
      </c>
      <c r="AN957">
        <v>1200</v>
      </c>
      <c r="AO957" t="s">
        <v>118</v>
      </c>
      <c r="AP957">
        <v>-11</v>
      </c>
      <c r="AQ957">
        <v>87</v>
      </c>
      <c r="AR957">
        <v>832</v>
      </c>
      <c r="AZ957">
        <v>1200</v>
      </c>
      <c r="BA957">
        <v>1</v>
      </c>
      <c r="BB957" t="str">
        <f t="shared" si="439"/>
        <v xml:space="preserve">N711JA  </v>
      </c>
      <c r="BC957">
        <v>1</v>
      </c>
      <c r="BE957">
        <v>0</v>
      </c>
      <c r="BF957">
        <v>0</v>
      </c>
      <c r="BG957">
        <v>0</v>
      </c>
      <c r="BH957">
        <v>1175</v>
      </c>
      <c r="BI957">
        <v>1</v>
      </c>
      <c r="BJ957">
        <v>1</v>
      </c>
      <c r="BK957">
        <v>0</v>
      </c>
      <c r="BL957">
        <v>0</v>
      </c>
      <c r="BO957">
        <v>0</v>
      </c>
      <c r="BP957">
        <v>0</v>
      </c>
      <c r="BW957" t="str">
        <f t="shared" si="453"/>
        <v>14:42:42.334</v>
      </c>
      <c r="CJ957">
        <v>1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343</v>
      </c>
      <c r="CR957">
        <v>1</v>
      </c>
      <c r="CW957">
        <v>10613179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1</v>
      </c>
      <c r="DE957">
        <v>1</v>
      </c>
      <c r="DF957">
        <v>0</v>
      </c>
      <c r="DG957">
        <v>1</v>
      </c>
      <c r="DH957">
        <v>0</v>
      </c>
      <c r="DI957">
        <v>0</v>
      </c>
    </row>
    <row r="958" spans="1:113" x14ac:dyDescent="0.3">
      <c r="A958" t="str">
        <f t="shared" si="451"/>
        <v>05/12/2020 14:42:24.513</v>
      </c>
      <c r="C958" t="str">
        <f t="shared" si="438"/>
        <v>FFDFD3C0</v>
      </c>
      <c r="D958" t="s">
        <v>134</v>
      </c>
      <c r="E958">
        <v>12</v>
      </c>
      <c r="H958">
        <v>64</v>
      </c>
      <c r="I958" t="s">
        <v>135</v>
      </c>
      <c r="J958" t="s">
        <v>136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52"/>
        <v>14:42:42.328</v>
      </c>
      <c r="T958" t="str">
        <f t="shared" si="452"/>
        <v>14:42:42.328</v>
      </c>
      <c r="U958" t="str">
        <f t="shared" si="429"/>
        <v>A9808D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1</v>
      </c>
      <c r="AG958">
        <v>2</v>
      </c>
      <c r="AH958">
        <v>0</v>
      </c>
      <c r="AI958" t="s">
        <v>318</v>
      </c>
      <c r="AJ958">
        <v>28.270697999999999</v>
      </c>
      <c r="AK958" t="s">
        <v>146</v>
      </c>
      <c r="AL958">
        <v>-82.380617000000001</v>
      </c>
      <c r="AM958">
        <v>100</v>
      </c>
      <c r="AN958">
        <v>1200</v>
      </c>
      <c r="AO958" t="s">
        <v>118</v>
      </c>
      <c r="AP958">
        <v>-11</v>
      </c>
      <c r="AQ958">
        <v>87</v>
      </c>
      <c r="AR958">
        <v>832</v>
      </c>
      <c r="AZ958">
        <v>1200</v>
      </c>
      <c r="BA958">
        <v>1</v>
      </c>
      <c r="BB958" t="str">
        <f t="shared" si="439"/>
        <v xml:space="preserve">N711JA  </v>
      </c>
      <c r="BC958">
        <v>1</v>
      </c>
      <c r="BE958">
        <v>0</v>
      </c>
      <c r="BF958">
        <v>0</v>
      </c>
      <c r="BG958">
        <v>0</v>
      </c>
      <c r="BH958">
        <v>1175</v>
      </c>
      <c r="BI958">
        <v>1</v>
      </c>
      <c r="BJ958">
        <v>1</v>
      </c>
      <c r="BK958">
        <v>0</v>
      </c>
      <c r="BL958">
        <v>0</v>
      </c>
      <c r="BO958">
        <v>0</v>
      </c>
      <c r="BP958">
        <v>0</v>
      </c>
      <c r="BW958" t="str">
        <f t="shared" si="453"/>
        <v>14:42:42.334</v>
      </c>
      <c r="CJ958">
        <v>1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343</v>
      </c>
      <c r="CR958">
        <v>1</v>
      </c>
      <c r="CW958">
        <v>10613179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1</v>
      </c>
      <c r="DF958">
        <v>0</v>
      </c>
      <c r="DG958">
        <v>1</v>
      </c>
      <c r="DH958">
        <v>0</v>
      </c>
      <c r="DI958">
        <v>0</v>
      </c>
    </row>
    <row r="959" spans="1:113" x14ac:dyDescent="0.3">
      <c r="A959" t="str">
        <f t="shared" ref="A959:A967" si="454">"05/12/2020 14:42:25.418"</f>
        <v>05/12/2020 14:42:25.418</v>
      </c>
      <c r="C959" t="str">
        <f t="shared" si="438"/>
        <v>FFDFD3C0</v>
      </c>
      <c r="D959" t="s">
        <v>126</v>
      </c>
      <c r="E959">
        <v>6</v>
      </c>
      <c r="F959">
        <v>1006</v>
      </c>
      <c r="G959" t="s">
        <v>114</v>
      </c>
      <c r="J959" t="s">
        <v>128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ref="S959:T967" si="455">"14:42:43.219"</f>
        <v>14:42:43.219</v>
      </c>
      <c r="T959" t="str">
        <f t="shared" si="455"/>
        <v>14:42:43.219</v>
      </c>
      <c r="U959" t="str">
        <f t="shared" si="429"/>
        <v>A9808D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1</v>
      </c>
      <c r="AG959">
        <v>2</v>
      </c>
      <c r="AH959">
        <v>0</v>
      </c>
      <c r="AI959" t="s">
        <v>319</v>
      </c>
      <c r="AJ959">
        <v>28.271083999999998</v>
      </c>
      <c r="AK959" t="s">
        <v>277</v>
      </c>
      <c r="AL959">
        <v>-82.380660000000006</v>
      </c>
      <c r="AM959">
        <v>100</v>
      </c>
      <c r="AN959">
        <v>1200</v>
      </c>
      <c r="AO959" t="s">
        <v>118</v>
      </c>
      <c r="AP959">
        <v>-11</v>
      </c>
      <c r="AQ959">
        <v>87</v>
      </c>
      <c r="AR959">
        <v>768</v>
      </c>
      <c r="AZ959">
        <v>1200</v>
      </c>
      <c r="BA959">
        <v>1</v>
      </c>
      <c r="BB959" t="str">
        <f t="shared" si="439"/>
        <v xml:space="preserve">N711JA  </v>
      </c>
      <c r="BC959">
        <v>1</v>
      </c>
      <c r="BE959">
        <v>0</v>
      </c>
      <c r="BF959">
        <v>0</v>
      </c>
      <c r="BG959">
        <v>0</v>
      </c>
      <c r="BH959">
        <v>1275</v>
      </c>
      <c r="BI959">
        <v>1</v>
      </c>
      <c r="BJ959">
        <v>1</v>
      </c>
      <c r="BK959">
        <v>0</v>
      </c>
      <c r="BL959">
        <v>0</v>
      </c>
      <c r="BO959">
        <v>0</v>
      </c>
      <c r="BP959">
        <v>0</v>
      </c>
      <c r="BW959" t="str">
        <f t="shared" ref="BW959:BW967" si="456">"14:42:43.219"</f>
        <v>14:42:43.219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343</v>
      </c>
      <c r="CR959">
        <v>2</v>
      </c>
      <c r="CW959">
        <v>13012722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1</v>
      </c>
      <c r="DE959">
        <v>1</v>
      </c>
      <c r="DF959">
        <v>0</v>
      </c>
      <c r="DG959">
        <v>1</v>
      </c>
      <c r="DH959">
        <v>0</v>
      </c>
      <c r="DI959">
        <v>0</v>
      </c>
    </row>
    <row r="960" spans="1:113" x14ac:dyDescent="0.3">
      <c r="A960" t="str">
        <f t="shared" si="454"/>
        <v>05/12/2020 14:42:25.418</v>
      </c>
      <c r="C960" t="str">
        <f t="shared" si="438"/>
        <v>FFDFD3C0</v>
      </c>
      <c r="D960" t="s">
        <v>113</v>
      </c>
      <c r="E960">
        <v>3</v>
      </c>
      <c r="H960">
        <v>164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455"/>
        <v>14:42:43.219</v>
      </c>
      <c r="T960" t="str">
        <f t="shared" si="455"/>
        <v>14:42:43.219</v>
      </c>
      <c r="U960" t="str">
        <f t="shared" si="429"/>
        <v>A9808D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1</v>
      </c>
      <c r="AG960">
        <v>2</v>
      </c>
      <c r="AH960">
        <v>0</v>
      </c>
      <c r="AI960" t="s">
        <v>319</v>
      </c>
      <c r="AJ960">
        <v>28.271083999999998</v>
      </c>
      <c r="AK960" t="s">
        <v>277</v>
      </c>
      <c r="AL960">
        <v>-82.380660000000006</v>
      </c>
      <c r="AM960">
        <v>100</v>
      </c>
      <c r="AN960">
        <v>1200</v>
      </c>
      <c r="AO960" t="s">
        <v>118</v>
      </c>
      <c r="AP960">
        <v>-11</v>
      </c>
      <c r="AQ960">
        <v>87</v>
      </c>
      <c r="AR960">
        <v>768</v>
      </c>
      <c r="AZ960">
        <v>1200</v>
      </c>
      <c r="BA960">
        <v>1</v>
      </c>
      <c r="BB960" t="str">
        <f t="shared" si="439"/>
        <v xml:space="preserve">N711JA  </v>
      </c>
      <c r="BC960">
        <v>1</v>
      </c>
      <c r="BE960">
        <v>0</v>
      </c>
      <c r="BF960">
        <v>0</v>
      </c>
      <c r="BG960">
        <v>0</v>
      </c>
      <c r="BH960">
        <v>1275</v>
      </c>
      <c r="BI960">
        <v>1</v>
      </c>
      <c r="BJ960">
        <v>1</v>
      </c>
      <c r="BK960">
        <v>0</v>
      </c>
      <c r="BL960">
        <v>0</v>
      </c>
      <c r="BO960">
        <v>0</v>
      </c>
      <c r="BP960">
        <v>0</v>
      </c>
      <c r="BW960" t="str">
        <f t="shared" si="456"/>
        <v>14:42:43.219</v>
      </c>
      <c r="CJ960">
        <v>1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343</v>
      </c>
      <c r="CR960">
        <v>2</v>
      </c>
      <c r="CW960">
        <v>13012722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1</v>
      </c>
      <c r="DE960">
        <v>1</v>
      </c>
      <c r="DF960">
        <v>0</v>
      </c>
      <c r="DG960">
        <v>1</v>
      </c>
      <c r="DH960">
        <v>0</v>
      </c>
      <c r="DI960">
        <v>0</v>
      </c>
    </row>
    <row r="961" spans="1:113" x14ac:dyDescent="0.3">
      <c r="A961" t="str">
        <f t="shared" si="454"/>
        <v>05/12/2020 14:42:25.418</v>
      </c>
      <c r="C961" t="str">
        <f t="shared" si="438"/>
        <v>FFDFD3C0</v>
      </c>
      <c r="D961" t="s">
        <v>138</v>
      </c>
      <c r="E961">
        <v>2</v>
      </c>
      <c r="H961">
        <v>8</v>
      </c>
      <c r="I961" t="s">
        <v>139</v>
      </c>
      <c r="J961" t="s">
        <v>136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455"/>
        <v>14:42:43.219</v>
      </c>
      <c r="T961" t="str">
        <f t="shared" si="455"/>
        <v>14:42:43.219</v>
      </c>
      <c r="U961" t="str">
        <f t="shared" si="429"/>
        <v>A9808D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1</v>
      </c>
      <c r="AG961">
        <v>2</v>
      </c>
      <c r="AH961">
        <v>0</v>
      </c>
      <c r="AI961" t="s">
        <v>319</v>
      </c>
      <c r="AJ961">
        <v>28.271083999999998</v>
      </c>
      <c r="AK961" t="s">
        <v>277</v>
      </c>
      <c r="AL961">
        <v>-82.380660000000006</v>
      </c>
      <c r="AM961">
        <v>100</v>
      </c>
      <c r="AN961">
        <v>1200</v>
      </c>
      <c r="AO961" t="s">
        <v>118</v>
      </c>
      <c r="AP961">
        <v>-11</v>
      </c>
      <c r="AQ961">
        <v>87</v>
      </c>
      <c r="AR961">
        <v>768</v>
      </c>
      <c r="AZ961">
        <v>1200</v>
      </c>
      <c r="BA961">
        <v>1</v>
      </c>
      <c r="BB961" t="str">
        <f t="shared" si="439"/>
        <v xml:space="preserve">N711JA  </v>
      </c>
      <c r="BC961">
        <v>1</v>
      </c>
      <c r="BE961">
        <v>0</v>
      </c>
      <c r="BF961">
        <v>0</v>
      </c>
      <c r="BG961">
        <v>0</v>
      </c>
      <c r="BH961">
        <v>1275</v>
      </c>
      <c r="BI961">
        <v>1</v>
      </c>
      <c r="BJ961">
        <v>1</v>
      </c>
      <c r="BK961">
        <v>0</v>
      </c>
      <c r="BL961">
        <v>0</v>
      </c>
      <c r="BO961">
        <v>0</v>
      </c>
      <c r="BP961">
        <v>0</v>
      </c>
      <c r="BW961" t="str">
        <f t="shared" si="456"/>
        <v>14:42:43.219</v>
      </c>
      <c r="CJ961">
        <v>1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343</v>
      </c>
      <c r="CR961">
        <v>2</v>
      </c>
      <c r="CW961">
        <v>13012722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1</v>
      </c>
      <c r="DE961">
        <v>1</v>
      </c>
      <c r="DF961">
        <v>0</v>
      </c>
      <c r="DG961">
        <v>1</v>
      </c>
      <c r="DH961">
        <v>0</v>
      </c>
      <c r="DI961">
        <v>0</v>
      </c>
    </row>
    <row r="962" spans="1:113" x14ac:dyDescent="0.3">
      <c r="A962" t="str">
        <f t="shared" si="454"/>
        <v>05/12/2020 14:42:25.418</v>
      </c>
      <c r="C962" t="str">
        <f t="shared" si="438"/>
        <v>FFDFD3C0</v>
      </c>
      <c r="D962" t="s">
        <v>131</v>
      </c>
      <c r="E962">
        <v>10</v>
      </c>
      <c r="F962">
        <v>2010</v>
      </c>
      <c r="G962" t="s">
        <v>132</v>
      </c>
      <c r="J962" t="s">
        <v>133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455"/>
        <v>14:42:43.219</v>
      </c>
      <c r="T962" t="str">
        <f t="shared" si="455"/>
        <v>14:42:43.219</v>
      </c>
      <c r="U962" t="str">
        <f t="shared" ref="U962:U1025" si="457">"A9808D"</f>
        <v>A9808D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1</v>
      </c>
      <c r="AG962">
        <v>2</v>
      </c>
      <c r="AH962">
        <v>0</v>
      </c>
      <c r="AI962" t="s">
        <v>319</v>
      </c>
      <c r="AJ962">
        <v>28.271083999999998</v>
      </c>
      <c r="AK962" t="s">
        <v>277</v>
      </c>
      <c r="AL962">
        <v>-82.380660000000006</v>
      </c>
      <c r="AM962">
        <v>100</v>
      </c>
      <c r="AN962">
        <v>1200</v>
      </c>
      <c r="AO962" t="s">
        <v>118</v>
      </c>
      <c r="AP962">
        <v>-11</v>
      </c>
      <c r="AQ962">
        <v>87</v>
      </c>
      <c r="AR962">
        <v>768</v>
      </c>
      <c r="AZ962">
        <v>1200</v>
      </c>
      <c r="BA962">
        <v>1</v>
      </c>
      <c r="BB962" t="str">
        <f t="shared" si="439"/>
        <v xml:space="preserve">N711JA  </v>
      </c>
      <c r="BC962">
        <v>1</v>
      </c>
      <c r="BE962">
        <v>0</v>
      </c>
      <c r="BF962">
        <v>0</v>
      </c>
      <c r="BG962">
        <v>0</v>
      </c>
      <c r="BH962">
        <v>1275</v>
      </c>
      <c r="BI962">
        <v>1</v>
      </c>
      <c r="BJ962">
        <v>1</v>
      </c>
      <c r="BK962">
        <v>0</v>
      </c>
      <c r="BL962">
        <v>0</v>
      </c>
      <c r="BO962">
        <v>0</v>
      </c>
      <c r="BP962">
        <v>0</v>
      </c>
      <c r="BW962" t="str">
        <f t="shared" si="456"/>
        <v>14:42:43.219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343</v>
      </c>
      <c r="CR962">
        <v>2</v>
      </c>
      <c r="CW962">
        <v>13012722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1</v>
      </c>
      <c r="DE962">
        <v>1</v>
      </c>
      <c r="DF962">
        <v>0</v>
      </c>
      <c r="DG962">
        <v>1</v>
      </c>
      <c r="DH962">
        <v>0</v>
      </c>
      <c r="DI962">
        <v>0</v>
      </c>
    </row>
    <row r="963" spans="1:113" x14ac:dyDescent="0.3">
      <c r="A963" t="str">
        <f t="shared" si="454"/>
        <v>05/12/2020 14:42:25.418</v>
      </c>
      <c r="C963" t="str">
        <f t="shared" si="438"/>
        <v>FFDFD3C0</v>
      </c>
      <c r="D963" t="s">
        <v>138</v>
      </c>
      <c r="E963">
        <v>3</v>
      </c>
      <c r="H963">
        <v>9</v>
      </c>
      <c r="I963" t="s">
        <v>140</v>
      </c>
      <c r="J963" t="s">
        <v>136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55"/>
        <v>14:42:43.219</v>
      </c>
      <c r="T963" t="str">
        <f t="shared" si="455"/>
        <v>14:42:43.219</v>
      </c>
      <c r="U963" t="str">
        <f t="shared" si="457"/>
        <v>A9808D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1</v>
      </c>
      <c r="AG963">
        <v>2</v>
      </c>
      <c r="AH963">
        <v>0</v>
      </c>
      <c r="AI963" t="s">
        <v>319</v>
      </c>
      <c r="AJ963">
        <v>28.271083999999998</v>
      </c>
      <c r="AK963" t="s">
        <v>277</v>
      </c>
      <c r="AL963">
        <v>-82.380660000000006</v>
      </c>
      <c r="AM963">
        <v>100</v>
      </c>
      <c r="AN963">
        <v>1200</v>
      </c>
      <c r="AO963" t="s">
        <v>118</v>
      </c>
      <c r="AP963">
        <v>-11</v>
      </c>
      <c r="AQ963">
        <v>87</v>
      </c>
      <c r="AR963">
        <v>768</v>
      </c>
      <c r="AZ963">
        <v>1200</v>
      </c>
      <c r="BA963">
        <v>1</v>
      </c>
      <c r="BB963" t="str">
        <f t="shared" si="439"/>
        <v xml:space="preserve">N711JA  </v>
      </c>
      <c r="BC963">
        <v>1</v>
      </c>
      <c r="BE963">
        <v>0</v>
      </c>
      <c r="BF963">
        <v>0</v>
      </c>
      <c r="BG963">
        <v>0</v>
      </c>
      <c r="BH963">
        <v>1275</v>
      </c>
      <c r="BI963">
        <v>1</v>
      </c>
      <c r="BJ963">
        <v>1</v>
      </c>
      <c r="BK963">
        <v>0</v>
      </c>
      <c r="BL963">
        <v>0</v>
      </c>
      <c r="BO963">
        <v>0</v>
      </c>
      <c r="BP963">
        <v>0</v>
      </c>
      <c r="BW963" t="str">
        <f t="shared" si="456"/>
        <v>14:42:43.219</v>
      </c>
      <c r="CJ963">
        <v>1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343</v>
      </c>
      <c r="CR963">
        <v>2</v>
      </c>
      <c r="CW963">
        <v>13012722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1</v>
      </c>
      <c r="DF963">
        <v>0</v>
      </c>
      <c r="DG963">
        <v>1</v>
      </c>
      <c r="DH963">
        <v>0</v>
      </c>
      <c r="DI963">
        <v>0</v>
      </c>
    </row>
    <row r="964" spans="1:113" x14ac:dyDescent="0.3">
      <c r="A964" t="str">
        <f t="shared" si="454"/>
        <v>05/12/2020 14:42:25.418</v>
      </c>
      <c r="C964" t="str">
        <f t="shared" si="438"/>
        <v>FFDFD3C0</v>
      </c>
      <c r="D964" t="s">
        <v>126</v>
      </c>
      <c r="E964">
        <v>7</v>
      </c>
      <c r="F964">
        <v>1007</v>
      </c>
      <c r="G964" t="s">
        <v>127</v>
      </c>
      <c r="J964" t="s">
        <v>128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455"/>
        <v>14:42:43.219</v>
      </c>
      <c r="T964" t="str">
        <f t="shared" si="455"/>
        <v>14:42:43.219</v>
      </c>
      <c r="U964" t="str">
        <f t="shared" si="457"/>
        <v>A9808D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1</v>
      </c>
      <c r="AG964">
        <v>2</v>
      </c>
      <c r="AH964">
        <v>0</v>
      </c>
      <c r="AI964" t="s">
        <v>319</v>
      </c>
      <c r="AJ964">
        <v>28.271083999999998</v>
      </c>
      <c r="AK964" t="s">
        <v>277</v>
      </c>
      <c r="AL964">
        <v>-82.380660000000006</v>
      </c>
      <c r="AM964">
        <v>100</v>
      </c>
      <c r="AN964">
        <v>1200</v>
      </c>
      <c r="AO964" t="s">
        <v>118</v>
      </c>
      <c r="AP964">
        <v>-11</v>
      </c>
      <c r="AQ964">
        <v>87</v>
      </c>
      <c r="AR964">
        <v>768</v>
      </c>
      <c r="AZ964">
        <v>1200</v>
      </c>
      <c r="BA964">
        <v>1</v>
      </c>
      <c r="BB964" t="str">
        <f t="shared" si="439"/>
        <v xml:space="preserve">N711JA  </v>
      </c>
      <c r="BC964">
        <v>1</v>
      </c>
      <c r="BE964">
        <v>0</v>
      </c>
      <c r="BF964">
        <v>0</v>
      </c>
      <c r="BG964">
        <v>0</v>
      </c>
      <c r="BH964">
        <v>1275</v>
      </c>
      <c r="BI964">
        <v>1</v>
      </c>
      <c r="BJ964">
        <v>1</v>
      </c>
      <c r="BK964">
        <v>0</v>
      </c>
      <c r="BL964">
        <v>0</v>
      </c>
      <c r="BO964">
        <v>0</v>
      </c>
      <c r="BP964">
        <v>0</v>
      </c>
      <c r="BW964" t="str">
        <f t="shared" si="456"/>
        <v>14:42:43.219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343</v>
      </c>
      <c r="CR964">
        <v>2</v>
      </c>
      <c r="CW964">
        <v>13012722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1</v>
      </c>
      <c r="DF964">
        <v>0</v>
      </c>
      <c r="DG964">
        <v>1</v>
      </c>
      <c r="DH964">
        <v>0</v>
      </c>
      <c r="DI964">
        <v>0</v>
      </c>
    </row>
    <row r="965" spans="1:113" x14ac:dyDescent="0.3">
      <c r="A965" t="str">
        <f t="shared" si="454"/>
        <v>05/12/2020 14:42:25.418</v>
      </c>
      <c r="C965" t="str">
        <f t="shared" si="438"/>
        <v>FFDFD3C0</v>
      </c>
      <c r="D965" t="s">
        <v>131</v>
      </c>
      <c r="E965">
        <v>12</v>
      </c>
      <c r="F965">
        <v>2012</v>
      </c>
      <c r="G965" t="s">
        <v>137</v>
      </c>
      <c r="J965" t="s">
        <v>133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55"/>
        <v>14:42:43.219</v>
      </c>
      <c r="T965" t="str">
        <f t="shared" si="455"/>
        <v>14:42:43.219</v>
      </c>
      <c r="U965" t="str">
        <f t="shared" si="457"/>
        <v>A9808D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1</v>
      </c>
      <c r="AG965">
        <v>2</v>
      </c>
      <c r="AH965">
        <v>0</v>
      </c>
      <c r="AI965" t="s">
        <v>319</v>
      </c>
      <c r="AJ965">
        <v>28.271083999999998</v>
      </c>
      <c r="AK965" t="s">
        <v>277</v>
      </c>
      <c r="AL965">
        <v>-82.380660000000006</v>
      </c>
      <c r="AM965">
        <v>100</v>
      </c>
      <c r="AN965">
        <v>1200</v>
      </c>
      <c r="AO965" t="s">
        <v>118</v>
      </c>
      <c r="AP965">
        <v>-11</v>
      </c>
      <c r="AQ965">
        <v>87</v>
      </c>
      <c r="AR965">
        <v>768</v>
      </c>
      <c r="AZ965">
        <v>1200</v>
      </c>
      <c r="BA965">
        <v>1</v>
      </c>
      <c r="BB965" t="str">
        <f t="shared" si="439"/>
        <v xml:space="preserve">N711JA  </v>
      </c>
      <c r="BC965">
        <v>1</v>
      </c>
      <c r="BE965">
        <v>0</v>
      </c>
      <c r="BF965">
        <v>0</v>
      </c>
      <c r="BG965">
        <v>0</v>
      </c>
      <c r="BH965">
        <v>1275</v>
      </c>
      <c r="BI965">
        <v>1</v>
      </c>
      <c r="BJ965">
        <v>1</v>
      </c>
      <c r="BK965">
        <v>0</v>
      </c>
      <c r="BL965">
        <v>0</v>
      </c>
      <c r="BO965">
        <v>0</v>
      </c>
      <c r="BP965">
        <v>0</v>
      </c>
      <c r="BW965" t="str">
        <f t="shared" si="456"/>
        <v>14:42:43.219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343</v>
      </c>
      <c r="CR965">
        <v>2</v>
      </c>
      <c r="CW965">
        <v>13012722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1</v>
      </c>
      <c r="DE965">
        <v>1</v>
      </c>
      <c r="DF965">
        <v>0</v>
      </c>
      <c r="DG965">
        <v>1</v>
      </c>
      <c r="DH965">
        <v>0</v>
      </c>
      <c r="DI965">
        <v>0</v>
      </c>
    </row>
    <row r="966" spans="1:113" x14ac:dyDescent="0.3">
      <c r="A966" t="str">
        <f t="shared" si="454"/>
        <v>05/12/2020 14:42:25.418</v>
      </c>
      <c r="C966" t="str">
        <f t="shared" si="438"/>
        <v>FFDFD3C0</v>
      </c>
      <c r="D966" t="s">
        <v>131</v>
      </c>
      <c r="E966">
        <v>18</v>
      </c>
      <c r="F966">
        <v>2018</v>
      </c>
      <c r="G966" t="s">
        <v>161</v>
      </c>
      <c r="J966" t="s">
        <v>133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55"/>
        <v>14:42:43.219</v>
      </c>
      <c r="T966" t="str">
        <f t="shared" si="455"/>
        <v>14:42:43.219</v>
      </c>
      <c r="U966" t="str">
        <f t="shared" si="457"/>
        <v>A9808D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1</v>
      </c>
      <c r="AG966">
        <v>2</v>
      </c>
      <c r="AH966">
        <v>0</v>
      </c>
      <c r="AI966" t="s">
        <v>319</v>
      </c>
      <c r="AJ966">
        <v>28.271083999999998</v>
      </c>
      <c r="AK966" t="s">
        <v>277</v>
      </c>
      <c r="AL966">
        <v>-82.380660000000006</v>
      </c>
      <c r="AM966">
        <v>100</v>
      </c>
      <c r="AN966">
        <v>1200</v>
      </c>
      <c r="AO966" t="s">
        <v>118</v>
      </c>
      <c r="AP966">
        <v>-11</v>
      </c>
      <c r="AQ966">
        <v>87</v>
      </c>
      <c r="AR966">
        <v>768</v>
      </c>
      <c r="AZ966">
        <v>1200</v>
      </c>
      <c r="BA966">
        <v>1</v>
      </c>
      <c r="BB966" t="str">
        <f t="shared" si="439"/>
        <v xml:space="preserve">N711JA  </v>
      </c>
      <c r="BC966">
        <v>1</v>
      </c>
      <c r="BE966">
        <v>0</v>
      </c>
      <c r="BF966">
        <v>0</v>
      </c>
      <c r="BG966">
        <v>0</v>
      </c>
      <c r="BH966">
        <v>1275</v>
      </c>
      <c r="BI966">
        <v>1</v>
      </c>
      <c r="BJ966">
        <v>1</v>
      </c>
      <c r="BK966">
        <v>0</v>
      </c>
      <c r="BL966">
        <v>0</v>
      </c>
      <c r="BO966">
        <v>0</v>
      </c>
      <c r="BP966">
        <v>0</v>
      </c>
      <c r="BW966" t="str">
        <f t="shared" si="456"/>
        <v>14:42:43.219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343</v>
      </c>
      <c r="CR966">
        <v>2</v>
      </c>
      <c r="CW966">
        <v>13012722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1</v>
      </c>
      <c r="DF966">
        <v>0</v>
      </c>
      <c r="DG966">
        <v>1</v>
      </c>
      <c r="DH966">
        <v>0</v>
      </c>
      <c r="DI966">
        <v>0</v>
      </c>
    </row>
    <row r="967" spans="1:113" x14ac:dyDescent="0.3">
      <c r="A967" t="str">
        <f t="shared" si="454"/>
        <v>05/12/2020 14:42:25.418</v>
      </c>
      <c r="C967" t="str">
        <f t="shared" si="438"/>
        <v>FFDFD3C0</v>
      </c>
      <c r="D967" t="s">
        <v>134</v>
      </c>
      <c r="E967">
        <v>12</v>
      </c>
      <c r="H967">
        <v>64</v>
      </c>
      <c r="I967" t="s">
        <v>135</v>
      </c>
      <c r="J967" t="s">
        <v>136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55"/>
        <v>14:42:43.219</v>
      </c>
      <c r="T967" t="str">
        <f t="shared" si="455"/>
        <v>14:42:43.219</v>
      </c>
      <c r="U967" t="str">
        <f t="shared" si="457"/>
        <v>A9808D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1</v>
      </c>
      <c r="AG967">
        <v>2</v>
      </c>
      <c r="AH967">
        <v>0</v>
      </c>
      <c r="AI967" t="s">
        <v>319</v>
      </c>
      <c r="AJ967">
        <v>28.271083999999998</v>
      </c>
      <c r="AK967" t="s">
        <v>277</v>
      </c>
      <c r="AL967">
        <v>-82.380660000000006</v>
      </c>
      <c r="AM967">
        <v>100</v>
      </c>
      <c r="AN967">
        <v>1200</v>
      </c>
      <c r="AO967" t="s">
        <v>118</v>
      </c>
      <c r="AP967">
        <v>-11</v>
      </c>
      <c r="AQ967">
        <v>87</v>
      </c>
      <c r="AR967">
        <v>768</v>
      </c>
      <c r="AZ967">
        <v>1200</v>
      </c>
      <c r="BA967">
        <v>1</v>
      </c>
      <c r="BB967" t="str">
        <f t="shared" si="439"/>
        <v xml:space="preserve">N711JA  </v>
      </c>
      <c r="BC967">
        <v>1</v>
      </c>
      <c r="BE967">
        <v>0</v>
      </c>
      <c r="BF967">
        <v>0</v>
      </c>
      <c r="BG967">
        <v>0</v>
      </c>
      <c r="BH967">
        <v>1275</v>
      </c>
      <c r="BI967">
        <v>1</v>
      </c>
      <c r="BJ967">
        <v>1</v>
      </c>
      <c r="BK967">
        <v>0</v>
      </c>
      <c r="BL967">
        <v>0</v>
      </c>
      <c r="BO967">
        <v>0</v>
      </c>
      <c r="BP967">
        <v>0</v>
      </c>
      <c r="BW967" t="str">
        <f t="shared" si="456"/>
        <v>14:42:43.219</v>
      </c>
      <c r="CJ967">
        <v>1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343</v>
      </c>
      <c r="CR967">
        <v>2</v>
      </c>
      <c r="CW967">
        <v>13012722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1</v>
      </c>
      <c r="DF967">
        <v>0</v>
      </c>
      <c r="DG967">
        <v>1</v>
      </c>
      <c r="DH967">
        <v>0</v>
      </c>
      <c r="DI967">
        <v>0</v>
      </c>
    </row>
    <row r="968" spans="1:113" x14ac:dyDescent="0.3">
      <c r="A968" t="str">
        <f t="shared" ref="A968:A976" si="458">"05/12/2020 14:42:26.466"</f>
        <v>05/12/2020 14:42:26.466</v>
      </c>
      <c r="C968" t="str">
        <f t="shared" si="438"/>
        <v>FFDFD3C0</v>
      </c>
      <c r="D968" t="s">
        <v>134</v>
      </c>
      <c r="E968">
        <v>12</v>
      </c>
      <c r="H968">
        <v>64</v>
      </c>
      <c r="I968" t="s">
        <v>135</v>
      </c>
      <c r="J968" t="s">
        <v>136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ref="S968:S976" si="459">"14:42:44.273"</f>
        <v>14:42:44.273</v>
      </c>
      <c r="T968" t="str">
        <f t="shared" ref="T968:T976" si="460">"14:42:44.173"</f>
        <v>14:42:44.173</v>
      </c>
      <c r="U968" t="str">
        <f t="shared" si="457"/>
        <v>A9808D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1</v>
      </c>
      <c r="AG968">
        <v>2</v>
      </c>
      <c r="AH968">
        <v>0</v>
      </c>
      <c r="AI968" t="s">
        <v>320</v>
      </c>
      <c r="AJ968">
        <v>28.271533999999999</v>
      </c>
      <c r="AK968" t="s">
        <v>321</v>
      </c>
      <c r="AL968">
        <v>-82.380724000000001</v>
      </c>
      <c r="AM968">
        <v>100</v>
      </c>
      <c r="AN968">
        <v>1200</v>
      </c>
      <c r="AO968" t="s">
        <v>118</v>
      </c>
      <c r="AP968">
        <v>-10</v>
      </c>
      <c r="AQ968">
        <v>87</v>
      </c>
      <c r="AR968">
        <v>768</v>
      </c>
      <c r="AZ968">
        <v>1200</v>
      </c>
      <c r="BA968">
        <v>1</v>
      </c>
      <c r="BB968" t="str">
        <f t="shared" si="439"/>
        <v xml:space="preserve">N711JA  </v>
      </c>
      <c r="BC968">
        <v>1</v>
      </c>
      <c r="BE968">
        <v>0</v>
      </c>
      <c r="BF968">
        <v>0</v>
      </c>
      <c r="BG968">
        <v>0</v>
      </c>
      <c r="BH968">
        <v>1300</v>
      </c>
      <c r="BI968">
        <v>1</v>
      </c>
      <c r="BJ968">
        <v>1</v>
      </c>
      <c r="BK968">
        <v>0</v>
      </c>
      <c r="BL968">
        <v>0</v>
      </c>
      <c r="BO968">
        <v>0</v>
      </c>
      <c r="BP968">
        <v>0</v>
      </c>
      <c r="BW968" t="str">
        <f t="shared" ref="BW968:BW976" si="461">"14:42:44.281"</f>
        <v>14:42:44.281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343</v>
      </c>
      <c r="CR968">
        <v>2</v>
      </c>
      <c r="CW968">
        <v>13013481</v>
      </c>
      <c r="CY968">
        <v>1</v>
      </c>
      <c r="CZ968">
        <v>0</v>
      </c>
      <c r="DA968">
        <v>0</v>
      </c>
      <c r="DB968">
        <v>0</v>
      </c>
      <c r="DC968">
        <v>0</v>
      </c>
      <c r="DD968">
        <v>1</v>
      </c>
      <c r="DE968">
        <v>1</v>
      </c>
      <c r="DF968">
        <v>0</v>
      </c>
      <c r="DG968">
        <v>1</v>
      </c>
      <c r="DH968">
        <v>0</v>
      </c>
      <c r="DI968">
        <v>0</v>
      </c>
    </row>
    <row r="969" spans="1:113" x14ac:dyDescent="0.3">
      <c r="A969" t="str">
        <f t="shared" si="458"/>
        <v>05/12/2020 14:42:26.466</v>
      </c>
      <c r="C969" t="str">
        <f t="shared" si="438"/>
        <v>FFDFD3C0</v>
      </c>
      <c r="D969" t="s">
        <v>126</v>
      </c>
      <c r="E969">
        <v>6</v>
      </c>
      <c r="F969">
        <v>1006</v>
      </c>
      <c r="G969" t="s">
        <v>114</v>
      </c>
      <c r="J969" t="s">
        <v>128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459"/>
        <v>14:42:44.273</v>
      </c>
      <c r="T969" t="str">
        <f t="shared" si="460"/>
        <v>14:42:44.173</v>
      </c>
      <c r="U969" t="str">
        <f t="shared" si="457"/>
        <v>A9808D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1</v>
      </c>
      <c r="AG969">
        <v>2</v>
      </c>
      <c r="AH969">
        <v>0</v>
      </c>
      <c r="AI969" t="s">
        <v>320</v>
      </c>
      <c r="AJ969">
        <v>28.271533999999999</v>
      </c>
      <c r="AK969" t="s">
        <v>321</v>
      </c>
      <c r="AL969">
        <v>-82.380724000000001</v>
      </c>
      <c r="AM969">
        <v>100</v>
      </c>
      <c r="AN969">
        <v>1200</v>
      </c>
      <c r="AO969" t="s">
        <v>118</v>
      </c>
      <c r="AP969">
        <v>-10</v>
      </c>
      <c r="AQ969">
        <v>87</v>
      </c>
      <c r="AR969">
        <v>768</v>
      </c>
      <c r="AZ969">
        <v>1200</v>
      </c>
      <c r="BA969">
        <v>1</v>
      </c>
      <c r="BB969" t="str">
        <f t="shared" si="439"/>
        <v xml:space="preserve">N711JA  </v>
      </c>
      <c r="BC969">
        <v>1</v>
      </c>
      <c r="BE969">
        <v>0</v>
      </c>
      <c r="BF969">
        <v>0</v>
      </c>
      <c r="BG969">
        <v>0</v>
      </c>
      <c r="BH969">
        <v>1300</v>
      </c>
      <c r="BI969">
        <v>1</v>
      </c>
      <c r="BJ969">
        <v>1</v>
      </c>
      <c r="BK969">
        <v>0</v>
      </c>
      <c r="BL969">
        <v>0</v>
      </c>
      <c r="BO969">
        <v>0</v>
      </c>
      <c r="BP969">
        <v>0</v>
      </c>
      <c r="BW969" t="str">
        <f t="shared" si="461"/>
        <v>14:42:44.281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343</v>
      </c>
      <c r="CR969">
        <v>2</v>
      </c>
      <c r="CW969">
        <v>13013481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1</v>
      </c>
      <c r="DF969">
        <v>0</v>
      </c>
      <c r="DG969">
        <v>1</v>
      </c>
      <c r="DH969">
        <v>0</v>
      </c>
      <c r="DI969">
        <v>0</v>
      </c>
    </row>
    <row r="970" spans="1:113" x14ac:dyDescent="0.3">
      <c r="A970" t="str">
        <f t="shared" si="458"/>
        <v>05/12/2020 14:42:26.466</v>
      </c>
      <c r="C970" t="str">
        <f t="shared" si="438"/>
        <v>FFDFD3C0</v>
      </c>
      <c r="D970" t="s">
        <v>113</v>
      </c>
      <c r="E970">
        <v>3</v>
      </c>
      <c r="H970">
        <v>164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59"/>
        <v>14:42:44.273</v>
      </c>
      <c r="T970" t="str">
        <f t="shared" si="460"/>
        <v>14:42:44.173</v>
      </c>
      <c r="U970" t="str">
        <f t="shared" si="457"/>
        <v>A9808D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1</v>
      </c>
      <c r="AG970">
        <v>2</v>
      </c>
      <c r="AH970">
        <v>0</v>
      </c>
      <c r="AI970" t="s">
        <v>320</v>
      </c>
      <c r="AJ970">
        <v>28.271533999999999</v>
      </c>
      <c r="AK970" t="s">
        <v>321</v>
      </c>
      <c r="AL970">
        <v>-82.380724000000001</v>
      </c>
      <c r="AM970">
        <v>100</v>
      </c>
      <c r="AN970">
        <v>1200</v>
      </c>
      <c r="AO970" t="s">
        <v>118</v>
      </c>
      <c r="AP970">
        <v>-10</v>
      </c>
      <c r="AQ970">
        <v>87</v>
      </c>
      <c r="AR970">
        <v>768</v>
      </c>
      <c r="AZ970">
        <v>1200</v>
      </c>
      <c r="BA970">
        <v>1</v>
      </c>
      <c r="BB970" t="str">
        <f t="shared" si="439"/>
        <v xml:space="preserve">N711JA  </v>
      </c>
      <c r="BC970">
        <v>1</v>
      </c>
      <c r="BE970">
        <v>0</v>
      </c>
      <c r="BF970">
        <v>0</v>
      </c>
      <c r="BG970">
        <v>0</v>
      </c>
      <c r="BH970">
        <v>1300</v>
      </c>
      <c r="BI970">
        <v>1</v>
      </c>
      <c r="BJ970">
        <v>1</v>
      </c>
      <c r="BK970">
        <v>0</v>
      </c>
      <c r="BL970">
        <v>0</v>
      </c>
      <c r="BO970">
        <v>0</v>
      </c>
      <c r="BP970">
        <v>0</v>
      </c>
      <c r="BW970" t="str">
        <f t="shared" si="461"/>
        <v>14:42:44.281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343</v>
      </c>
      <c r="CR970">
        <v>2</v>
      </c>
      <c r="CW970">
        <v>13013481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1</v>
      </c>
      <c r="DE970">
        <v>1</v>
      </c>
      <c r="DF970">
        <v>0</v>
      </c>
      <c r="DG970">
        <v>1</v>
      </c>
      <c r="DH970">
        <v>0</v>
      </c>
      <c r="DI970">
        <v>0</v>
      </c>
    </row>
    <row r="971" spans="1:113" x14ac:dyDescent="0.3">
      <c r="A971" t="str">
        <f t="shared" si="458"/>
        <v>05/12/2020 14:42:26.466</v>
      </c>
      <c r="C971" t="str">
        <f t="shared" si="438"/>
        <v>FFDFD3C0</v>
      </c>
      <c r="D971" t="s">
        <v>131</v>
      </c>
      <c r="E971">
        <v>12</v>
      </c>
      <c r="F971">
        <v>2012</v>
      </c>
      <c r="G971" t="s">
        <v>137</v>
      </c>
      <c r="J971" t="s">
        <v>133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459"/>
        <v>14:42:44.273</v>
      </c>
      <c r="T971" t="str">
        <f t="shared" si="460"/>
        <v>14:42:44.173</v>
      </c>
      <c r="U971" t="str">
        <f t="shared" si="457"/>
        <v>A9808D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1</v>
      </c>
      <c r="AG971">
        <v>2</v>
      </c>
      <c r="AH971">
        <v>0</v>
      </c>
      <c r="AI971" t="s">
        <v>320</v>
      </c>
      <c r="AJ971">
        <v>28.271533999999999</v>
      </c>
      <c r="AK971" t="s">
        <v>321</v>
      </c>
      <c r="AL971">
        <v>-82.380724000000001</v>
      </c>
      <c r="AM971">
        <v>100</v>
      </c>
      <c r="AN971">
        <v>1200</v>
      </c>
      <c r="AO971" t="s">
        <v>118</v>
      </c>
      <c r="AP971">
        <v>-10</v>
      </c>
      <c r="AQ971">
        <v>87</v>
      </c>
      <c r="AR971">
        <v>768</v>
      </c>
      <c r="AZ971">
        <v>1200</v>
      </c>
      <c r="BA971">
        <v>1</v>
      </c>
      <c r="BB971" t="str">
        <f t="shared" si="439"/>
        <v xml:space="preserve">N711JA  </v>
      </c>
      <c r="BC971">
        <v>1</v>
      </c>
      <c r="BE971">
        <v>0</v>
      </c>
      <c r="BF971">
        <v>0</v>
      </c>
      <c r="BG971">
        <v>0</v>
      </c>
      <c r="BH971">
        <v>1300</v>
      </c>
      <c r="BI971">
        <v>1</v>
      </c>
      <c r="BJ971">
        <v>1</v>
      </c>
      <c r="BK971">
        <v>0</v>
      </c>
      <c r="BL971">
        <v>0</v>
      </c>
      <c r="BO971">
        <v>0</v>
      </c>
      <c r="BP971">
        <v>0</v>
      </c>
      <c r="BW971" t="str">
        <f t="shared" si="461"/>
        <v>14:42:44.281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343</v>
      </c>
      <c r="CR971">
        <v>2</v>
      </c>
      <c r="CW971">
        <v>13013481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1</v>
      </c>
      <c r="DF971">
        <v>0</v>
      </c>
      <c r="DG971">
        <v>1</v>
      </c>
      <c r="DH971">
        <v>0</v>
      </c>
      <c r="DI971">
        <v>0</v>
      </c>
    </row>
    <row r="972" spans="1:113" x14ac:dyDescent="0.3">
      <c r="A972" t="str">
        <f t="shared" si="458"/>
        <v>05/12/2020 14:42:26.466</v>
      </c>
      <c r="C972" t="str">
        <f t="shared" si="438"/>
        <v>FFDFD3C0</v>
      </c>
      <c r="D972" t="s">
        <v>131</v>
      </c>
      <c r="E972">
        <v>10</v>
      </c>
      <c r="F972">
        <v>2010</v>
      </c>
      <c r="G972" t="s">
        <v>132</v>
      </c>
      <c r="J972" t="s">
        <v>133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59"/>
        <v>14:42:44.273</v>
      </c>
      <c r="T972" t="str">
        <f t="shared" si="460"/>
        <v>14:42:44.173</v>
      </c>
      <c r="U972" t="str">
        <f t="shared" si="457"/>
        <v>A9808D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1</v>
      </c>
      <c r="AG972">
        <v>2</v>
      </c>
      <c r="AH972">
        <v>0</v>
      </c>
      <c r="AI972" t="s">
        <v>320</v>
      </c>
      <c r="AJ972">
        <v>28.271533999999999</v>
      </c>
      <c r="AK972" t="s">
        <v>321</v>
      </c>
      <c r="AL972">
        <v>-82.380724000000001</v>
      </c>
      <c r="AM972">
        <v>100</v>
      </c>
      <c r="AN972">
        <v>1200</v>
      </c>
      <c r="AO972" t="s">
        <v>118</v>
      </c>
      <c r="AP972">
        <v>-10</v>
      </c>
      <c r="AQ972">
        <v>87</v>
      </c>
      <c r="AR972">
        <v>768</v>
      </c>
      <c r="AZ972">
        <v>1200</v>
      </c>
      <c r="BA972">
        <v>1</v>
      </c>
      <c r="BB972" t="str">
        <f t="shared" si="439"/>
        <v xml:space="preserve">N711JA  </v>
      </c>
      <c r="BC972">
        <v>1</v>
      </c>
      <c r="BE972">
        <v>0</v>
      </c>
      <c r="BF972">
        <v>0</v>
      </c>
      <c r="BG972">
        <v>0</v>
      </c>
      <c r="BH972">
        <v>1300</v>
      </c>
      <c r="BI972">
        <v>1</v>
      </c>
      <c r="BJ972">
        <v>1</v>
      </c>
      <c r="BK972">
        <v>0</v>
      </c>
      <c r="BL972">
        <v>0</v>
      </c>
      <c r="BO972">
        <v>0</v>
      </c>
      <c r="BP972">
        <v>0</v>
      </c>
      <c r="BW972" t="str">
        <f t="shared" si="461"/>
        <v>14:42:44.281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343</v>
      </c>
      <c r="CR972">
        <v>2</v>
      </c>
      <c r="CW972">
        <v>13013481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1</v>
      </c>
      <c r="DF972">
        <v>0</v>
      </c>
      <c r="DG972">
        <v>1</v>
      </c>
      <c r="DH972">
        <v>0</v>
      </c>
      <c r="DI972">
        <v>0</v>
      </c>
    </row>
    <row r="973" spans="1:113" x14ac:dyDescent="0.3">
      <c r="A973" t="str">
        <f t="shared" si="458"/>
        <v>05/12/2020 14:42:26.466</v>
      </c>
      <c r="C973" t="str">
        <f t="shared" si="438"/>
        <v>FFDFD3C0</v>
      </c>
      <c r="D973" t="s">
        <v>126</v>
      </c>
      <c r="E973">
        <v>7</v>
      </c>
      <c r="F973">
        <v>1007</v>
      </c>
      <c r="G973" t="s">
        <v>127</v>
      </c>
      <c r="J973" t="s">
        <v>128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59"/>
        <v>14:42:44.273</v>
      </c>
      <c r="T973" t="str">
        <f t="shared" si="460"/>
        <v>14:42:44.173</v>
      </c>
      <c r="U973" t="str">
        <f t="shared" si="457"/>
        <v>A9808D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1</v>
      </c>
      <c r="AG973">
        <v>2</v>
      </c>
      <c r="AH973">
        <v>0</v>
      </c>
      <c r="AI973" t="s">
        <v>320</v>
      </c>
      <c r="AJ973">
        <v>28.271533999999999</v>
      </c>
      <c r="AK973" t="s">
        <v>321</v>
      </c>
      <c r="AL973">
        <v>-82.380724000000001</v>
      </c>
      <c r="AM973">
        <v>100</v>
      </c>
      <c r="AN973">
        <v>1200</v>
      </c>
      <c r="AO973" t="s">
        <v>118</v>
      </c>
      <c r="AP973">
        <v>-10</v>
      </c>
      <c r="AQ973">
        <v>87</v>
      </c>
      <c r="AR973">
        <v>768</v>
      </c>
      <c r="AZ973">
        <v>1200</v>
      </c>
      <c r="BA973">
        <v>1</v>
      </c>
      <c r="BB973" t="str">
        <f t="shared" si="439"/>
        <v xml:space="preserve">N711JA  </v>
      </c>
      <c r="BC973">
        <v>1</v>
      </c>
      <c r="BE973">
        <v>0</v>
      </c>
      <c r="BF973">
        <v>0</v>
      </c>
      <c r="BG973">
        <v>0</v>
      </c>
      <c r="BH973">
        <v>1300</v>
      </c>
      <c r="BI973">
        <v>1</v>
      </c>
      <c r="BJ973">
        <v>1</v>
      </c>
      <c r="BK973">
        <v>0</v>
      </c>
      <c r="BL973">
        <v>0</v>
      </c>
      <c r="BO973">
        <v>0</v>
      </c>
      <c r="BP973">
        <v>0</v>
      </c>
      <c r="BW973" t="str">
        <f t="shared" si="461"/>
        <v>14:42:44.281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343</v>
      </c>
      <c r="CR973">
        <v>2</v>
      </c>
      <c r="CW973">
        <v>13013481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1</v>
      </c>
      <c r="DF973">
        <v>0</v>
      </c>
      <c r="DG973">
        <v>1</v>
      </c>
      <c r="DH973">
        <v>0</v>
      </c>
      <c r="DI973">
        <v>0</v>
      </c>
    </row>
    <row r="974" spans="1:113" x14ac:dyDescent="0.3">
      <c r="A974" t="str">
        <f t="shared" si="458"/>
        <v>05/12/2020 14:42:26.466</v>
      </c>
      <c r="C974" t="str">
        <f t="shared" si="438"/>
        <v>FFDFD3C0</v>
      </c>
      <c r="D974" t="s">
        <v>131</v>
      </c>
      <c r="E974">
        <v>18</v>
      </c>
      <c r="F974">
        <v>2018</v>
      </c>
      <c r="G974" t="s">
        <v>161</v>
      </c>
      <c r="J974" t="s">
        <v>133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59"/>
        <v>14:42:44.273</v>
      </c>
      <c r="T974" t="str">
        <f t="shared" si="460"/>
        <v>14:42:44.173</v>
      </c>
      <c r="U974" t="str">
        <f t="shared" si="457"/>
        <v>A9808D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1</v>
      </c>
      <c r="AG974">
        <v>2</v>
      </c>
      <c r="AH974">
        <v>0</v>
      </c>
      <c r="AI974" t="s">
        <v>320</v>
      </c>
      <c r="AJ974">
        <v>28.271533999999999</v>
      </c>
      <c r="AK974" t="s">
        <v>321</v>
      </c>
      <c r="AL974">
        <v>-82.380724000000001</v>
      </c>
      <c r="AM974">
        <v>100</v>
      </c>
      <c r="AN974">
        <v>1200</v>
      </c>
      <c r="AO974" t="s">
        <v>118</v>
      </c>
      <c r="AP974">
        <v>-10</v>
      </c>
      <c r="AQ974">
        <v>87</v>
      </c>
      <c r="AR974">
        <v>768</v>
      </c>
      <c r="AZ974">
        <v>1200</v>
      </c>
      <c r="BA974">
        <v>1</v>
      </c>
      <c r="BB974" t="str">
        <f t="shared" si="439"/>
        <v xml:space="preserve">N711JA  </v>
      </c>
      <c r="BC974">
        <v>1</v>
      </c>
      <c r="BE974">
        <v>0</v>
      </c>
      <c r="BF974">
        <v>0</v>
      </c>
      <c r="BG974">
        <v>0</v>
      </c>
      <c r="BH974">
        <v>1300</v>
      </c>
      <c r="BI974">
        <v>1</v>
      </c>
      <c r="BJ974">
        <v>1</v>
      </c>
      <c r="BK974">
        <v>0</v>
      </c>
      <c r="BL974">
        <v>0</v>
      </c>
      <c r="BO974">
        <v>0</v>
      </c>
      <c r="BP974">
        <v>0</v>
      </c>
      <c r="BW974" t="str">
        <f t="shared" si="461"/>
        <v>14:42:44.281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343</v>
      </c>
      <c r="CR974">
        <v>2</v>
      </c>
      <c r="CW974">
        <v>13013481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1</v>
      </c>
      <c r="DF974">
        <v>0</v>
      </c>
      <c r="DG974">
        <v>1</v>
      </c>
      <c r="DH974">
        <v>0</v>
      </c>
      <c r="DI974">
        <v>0</v>
      </c>
    </row>
    <row r="975" spans="1:113" x14ac:dyDescent="0.3">
      <c r="A975" t="str">
        <f t="shared" si="458"/>
        <v>05/12/2020 14:42:26.466</v>
      </c>
      <c r="C975" t="str">
        <f t="shared" si="438"/>
        <v>FFDFD3C0</v>
      </c>
      <c r="D975" t="s">
        <v>138</v>
      </c>
      <c r="E975">
        <v>2</v>
      </c>
      <c r="H975">
        <v>8</v>
      </c>
      <c r="I975" t="s">
        <v>139</v>
      </c>
      <c r="J975" t="s">
        <v>136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459"/>
        <v>14:42:44.273</v>
      </c>
      <c r="T975" t="str">
        <f t="shared" si="460"/>
        <v>14:42:44.173</v>
      </c>
      <c r="U975" t="str">
        <f t="shared" si="457"/>
        <v>A9808D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1</v>
      </c>
      <c r="AG975">
        <v>2</v>
      </c>
      <c r="AH975">
        <v>0</v>
      </c>
      <c r="AI975" t="s">
        <v>320</v>
      </c>
      <c r="AJ975">
        <v>28.271533999999999</v>
      </c>
      <c r="AK975" t="s">
        <v>321</v>
      </c>
      <c r="AL975">
        <v>-82.380724000000001</v>
      </c>
      <c r="AM975">
        <v>100</v>
      </c>
      <c r="AN975">
        <v>1200</v>
      </c>
      <c r="AO975" t="s">
        <v>118</v>
      </c>
      <c r="AP975">
        <v>-10</v>
      </c>
      <c r="AQ975">
        <v>87</v>
      </c>
      <c r="AR975">
        <v>768</v>
      </c>
      <c r="AZ975">
        <v>1200</v>
      </c>
      <c r="BA975">
        <v>1</v>
      </c>
      <c r="BB975" t="str">
        <f t="shared" si="439"/>
        <v xml:space="preserve">N711JA  </v>
      </c>
      <c r="BC975">
        <v>1</v>
      </c>
      <c r="BE975">
        <v>0</v>
      </c>
      <c r="BF975">
        <v>0</v>
      </c>
      <c r="BG975">
        <v>0</v>
      </c>
      <c r="BH975">
        <v>1300</v>
      </c>
      <c r="BI975">
        <v>1</v>
      </c>
      <c r="BJ975">
        <v>1</v>
      </c>
      <c r="BK975">
        <v>0</v>
      </c>
      <c r="BL975">
        <v>0</v>
      </c>
      <c r="BO975">
        <v>0</v>
      </c>
      <c r="BP975">
        <v>0</v>
      </c>
      <c r="BW975" t="str">
        <f t="shared" si="461"/>
        <v>14:42:44.281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343</v>
      </c>
      <c r="CR975">
        <v>2</v>
      </c>
      <c r="CW975">
        <v>13013481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1</v>
      </c>
      <c r="DE975">
        <v>1</v>
      </c>
      <c r="DF975">
        <v>0</v>
      </c>
      <c r="DG975">
        <v>1</v>
      </c>
      <c r="DH975">
        <v>0</v>
      </c>
      <c r="DI975">
        <v>0</v>
      </c>
    </row>
    <row r="976" spans="1:113" x14ac:dyDescent="0.3">
      <c r="A976" t="str">
        <f t="shared" si="458"/>
        <v>05/12/2020 14:42:26.466</v>
      </c>
      <c r="C976" t="str">
        <f t="shared" si="438"/>
        <v>FFDFD3C0</v>
      </c>
      <c r="D976" t="s">
        <v>138</v>
      </c>
      <c r="E976">
        <v>3</v>
      </c>
      <c r="H976">
        <v>9</v>
      </c>
      <c r="I976" t="s">
        <v>140</v>
      </c>
      <c r="J976" t="s">
        <v>136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459"/>
        <v>14:42:44.273</v>
      </c>
      <c r="T976" t="str">
        <f t="shared" si="460"/>
        <v>14:42:44.173</v>
      </c>
      <c r="U976" t="str">
        <f t="shared" si="457"/>
        <v>A9808D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1</v>
      </c>
      <c r="AG976">
        <v>2</v>
      </c>
      <c r="AH976">
        <v>0</v>
      </c>
      <c r="AI976" t="s">
        <v>320</v>
      </c>
      <c r="AJ976">
        <v>28.271533999999999</v>
      </c>
      <c r="AK976" t="s">
        <v>321</v>
      </c>
      <c r="AL976">
        <v>-82.380724000000001</v>
      </c>
      <c r="AM976">
        <v>100</v>
      </c>
      <c r="AN976">
        <v>1200</v>
      </c>
      <c r="AO976" t="s">
        <v>118</v>
      </c>
      <c r="AP976">
        <v>-10</v>
      </c>
      <c r="AQ976">
        <v>87</v>
      </c>
      <c r="AR976">
        <v>768</v>
      </c>
      <c r="AZ976">
        <v>1200</v>
      </c>
      <c r="BA976">
        <v>1</v>
      </c>
      <c r="BB976" t="str">
        <f t="shared" si="439"/>
        <v xml:space="preserve">N711JA  </v>
      </c>
      <c r="BC976">
        <v>1</v>
      </c>
      <c r="BE976">
        <v>0</v>
      </c>
      <c r="BF976">
        <v>0</v>
      </c>
      <c r="BG976">
        <v>0</v>
      </c>
      <c r="BH976">
        <v>1300</v>
      </c>
      <c r="BI976">
        <v>1</v>
      </c>
      <c r="BJ976">
        <v>1</v>
      </c>
      <c r="BK976">
        <v>0</v>
      </c>
      <c r="BL976">
        <v>0</v>
      </c>
      <c r="BO976">
        <v>0</v>
      </c>
      <c r="BP976">
        <v>0</v>
      </c>
      <c r="BW976" t="str">
        <f t="shared" si="461"/>
        <v>14:42:44.281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343</v>
      </c>
      <c r="CR976">
        <v>2</v>
      </c>
      <c r="CW976">
        <v>13013481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1</v>
      </c>
      <c r="DF976">
        <v>0</v>
      </c>
      <c r="DG976">
        <v>1</v>
      </c>
      <c r="DH976">
        <v>0</v>
      </c>
      <c r="DI976">
        <v>0</v>
      </c>
    </row>
    <row r="977" spans="1:113" x14ac:dyDescent="0.3">
      <c r="A977" t="str">
        <f t="shared" ref="A977:A985" si="462">"05/12/2020 14:42:27.381"</f>
        <v>05/12/2020 14:42:27.381</v>
      </c>
      <c r="C977" t="str">
        <f t="shared" si="438"/>
        <v>FFDFD3C0</v>
      </c>
      <c r="D977" t="s">
        <v>134</v>
      </c>
      <c r="E977">
        <v>12</v>
      </c>
      <c r="H977">
        <v>64</v>
      </c>
      <c r="I977" t="s">
        <v>135</v>
      </c>
      <c r="J977" t="s">
        <v>136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ref="S977:T985" si="463">"14:42:45.172"</f>
        <v>14:42:45.172</v>
      </c>
      <c r="T977" t="str">
        <f t="shared" si="463"/>
        <v>14:42:45.172</v>
      </c>
      <c r="U977" t="str">
        <f t="shared" si="457"/>
        <v>A9808D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1</v>
      </c>
      <c r="AG977">
        <v>2</v>
      </c>
      <c r="AH977">
        <v>0</v>
      </c>
      <c r="AI977" t="s">
        <v>322</v>
      </c>
      <c r="AJ977">
        <v>28.271834999999999</v>
      </c>
      <c r="AK977" t="s">
        <v>273</v>
      </c>
      <c r="AL977">
        <v>-82.380767000000006</v>
      </c>
      <c r="AM977">
        <v>100</v>
      </c>
      <c r="AN977">
        <v>1200</v>
      </c>
      <c r="AO977" t="s">
        <v>118</v>
      </c>
      <c r="AP977">
        <v>-11</v>
      </c>
      <c r="AQ977">
        <v>86</v>
      </c>
      <c r="AR977">
        <v>640</v>
      </c>
      <c r="AZ977">
        <v>1200</v>
      </c>
      <c r="BA977">
        <v>1</v>
      </c>
      <c r="BB977" t="str">
        <f t="shared" si="439"/>
        <v xml:space="preserve">N711JA  </v>
      </c>
      <c r="BC977">
        <v>1</v>
      </c>
      <c r="BE977">
        <v>0</v>
      </c>
      <c r="BF977">
        <v>0</v>
      </c>
      <c r="BG977">
        <v>0</v>
      </c>
      <c r="BH977">
        <v>1300</v>
      </c>
      <c r="BI977">
        <v>1</v>
      </c>
      <c r="BJ977">
        <v>1</v>
      </c>
      <c r="BK977">
        <v>0</v>
      </c>
      <c r="BL977">
        <v>0</v>
      </c>
      <c r="BO977">
        <v>0</v>
      </c>
      <c r="BP977">
        <v>0</v>
      </c>
      <c r="BW977" t="str">
        <f t="shared" ref="BW977:BW985" si="464">"14:42:45.173"</f>
        <v>14:42:45.173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343</v>
      </c>
      <c r="CR977">
        <v>1</v>
      </c>
      <c r="CW977">
        <v>10615997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1</v>
      </c>
      <c r="DE977">
        <v>1</v>
      </c>
      <c r="DF977">
        <v>0</v>
      </c>
      <c r="DG977">
        <v>1</v>
      </c>
      <c r="DH977">
        <v>0</v>
      </c>
      <c r="DI977">
        <v>0</v>
      </c>
    </row>
    <row r="978" spans="1:113" x14ac:dyDescent="0.3">
      <c r="A978" t="str">
        <f t="shared" si="462"/>
        <v>05/12/2020 14:42:27.381</v>
      </c>
      <c r="C978" t="str">
        <f t="shared" si="438"/>
        <v>FFDFD3C0</v>
      </c>
      <c r="D978" t="s">
        <v>126</v>
      </c>
      <c r="E978">
        <v>6</v>
      </c>
      <c r="F978">
        <v>1006</v>
      </c>
      <c r="G978" t="s">
        <v>114</v>
      </c>
      <c r="J978" t="s">
        <v>128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463"/>
        <v>14:42:45.172</v>
      </c>
      <c r="T978" t="str">
        <f t="shared" si="463"/>
        <v>14:42:45.172</v>
      </c>
      <c r="U978" t="str">
        <f t="shared" si="457"/>
        <v>A9808D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1</v>
      </c>
      <c r="AG978">
        <v>2</v>
      </c>
      <c r="AH978">
        <v>0</v>
      </c>
      <c r="AI978" t="s">
        <v>322</v>
      </c>
      <c r="AJ978">
        <v>28.271834999999999</v>
      </c>
      <c r="AK978" t="s">
        <v>273</v>
      </c>
      <c r="AL978">
        <v>-82.380767000000006</v>
      </c>
      <c r="AM978">
        <v>100</v>
      </c>
      <c r="AN978">
        <v>1200</v>
      </c>
      <c r="AO978" t="s">
        <v>118</v>
      </c>
      <c r="AP978">
        <v>-11</v>
      </c>
      <c r="AQ978">
        <v>86</v>
      </c>
      <c r="AR978">
        <v>640</v>
      </c>
      <c r="AZ978">
        <v>1200</v>
      </c>
      <c r="BA978">
        <v>1</v>
      </c>
      <c r="BB978" t="str">
        <f t="shared" si="439"/>
        <v xml:space="preserve">N711JA  </v>
      </c>
      <c r="BC978">
        <v>1</v>
      </c>
      <c r="BE978">
        <v>0</v>
      </c>
      <c r="BF978">
        <v>0</v>
      </c>
      <c r="BG978">
        <v>0</v>
      </c>
      <c r="BH978">
        <v>1300</v>
      </c>
      <c r="BI978">
        <v>1</v>
      </c>
      <c r="BJ978">
        <v>1</v>
      </c>
      <c r="BK978">
        <v>0</v>
      </c>
      <c r="BL978">
        <v>0</v>
      </c>
      <c r="BO978">
        <v>0</v>
      </c>
      <c r="BP978">
        <v>0</v>
      </c>
      <c r="BW978" t="str">
        <f t="shared" si="464"/>
        <v>14:42:45.173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343</v>
      </c>
      <c r="CR978">
        <v>1</v>
      </c>
      <c r="CW978">
        <v>10615997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1</v>
      </c>
      <c r="DF978">
        <v>0</v>
      </c>
      <c r="DG978">
        <v>1</v>
      </c>
      <c r="DH978">
        <v>0</v>
      </c>
      <c r="DI978">
        <v>0</v>
      </c>
    </row>
    <row r="979" spans="1:113" x14ac:dyDescent="0.3">
      <c r="A979" t="str">
        <f t="shared" si="462"/>
        <v>05/12/2020 14:42:27.381</v>
      </c>
      <c r="C979" t="str">
        <f t="shared" si="438"/>
        <v>FFDFD3C0</v>
      </c>
      <c r="D979" t="s">
        <v>131</v>
      </c>
      <c r="E979">
        <v>10</v>
      </c>
      <c r="F979">
        <v>2010</v>
      </c>
      <c r="G979" t="s">
        <v>132</v>
      </c>
      <c r="J979" t="s">
        <v>133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63"/>
        <v>14:42:45.172</v>
      </c>
      <c r="T979" t="str">
        <f t="shared" si="463"/>
        <v>14:42:45.172</v>
      </c>
      <c r="U979" t="str">
        <f t="shared" si="457"/>
        <v>A9808D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1</v>
      </c>
      <c r="AG979">
        <v>2</v>
      </c>
      <c r="AH979">
        <v>0</v>
      </c>
      <c r="AI979" t="s">
        <v>322</v>
      </c>
      <c r="AJ979">
        <v>28.271834999999999</v>
      </c>
      <c r="AK979" t="s">
        <v>273</v>
      </c>
      <c r="AL979">
        <v>-82.380767000000006</v>
      </c>
      <c r="AM979">
        <v>100</v>
      </c>
      <c r="AN979">
        <v>1200</v>
      </c>
      <c r="AO979" t="s">
        <v>118</v>
      </c>
      <c r="AP979">
        <v>-11</v>
      </c>
      <c r="AQ979">
        <v>86</v>
      </c>
      <c r="AR979">
        <v>640</v>
      </c>
      <c r="AZ979">
        <v>1200</v>
      </c>
      <c r="BA979">
        <v>1</v>
      </c>
      <c r="BB979" t="str">
        <f t="shared" si="439"/>
        <v xml:space="preserve">N711JA  </v>
      </c>
      <c r="BC979">
        <v>1</v>
      </c>
      <c r="BE979">
        <v>0</v>
      </c>
      <c r="BF979">
        <v>0</v>
      </c>
      <c r="BG979">
        <v>0</v>
      </c>
      <c r="BH979">
        <v>1300</v>
      </c>
      <c r="BI979">
        <v>1</v>
      </c>
      <c r="BJ979">
        <v>1</v>
      </c>
      <c r="BK979">
        <v>0</v>
      </c>
      <c r="BL979">
        <v>0</v>
      </c>
      <c r="BO979">
        <v>0</v>
      </c>
      <c r="BP979">
        <v>0</v>
      </c>
      <c r="BW979" t="str">
        <f t="shared" si="464"/>
        <v>14:42:45.173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343</v>
      </c>
      <c r="CR979">
        <v>1</v>
      </c>
      <c r="CW979">
        <v>10615997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1</v>
      </c>
      <c r="DF979">
        <v>0</v>
      </c>
      <c r="DG979">
        <v>1</v>
      </c>
      <c r="DH979">
        <v>0</v>
      </c>
      <c r="DI979">
        <v>0</v>
      </c>
    </row>
    <row r="980" spans="1:113" x14ac:dyDescent="0.3">
      <c r="A980" t="str">
        <f t="shared" si="462"/>
        <v>05/12/2020 14:42:27.381</v>
      </c>
      <c r="C980" t="str">
        <f t="shared" si="438"/>
        <v>FFDFD3C0</v>
      </c>
      <c r="D980" t="s">
        <v>126</v>
      </c>
      <c r="E980">
        <v>7</v>
      </c>
      <c r="F980">
        <v>1007</v>
      </c>
      <c r="G980" t="s">
        <v>127</v>
      </c>
      <c r="J980" t="s">
        <v>128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63"/>
        <v>14:42:45.172</v>
      </c>
      <c r="T980" t="str">
        <f t="shared" si="463"/>
        <v>14:42:45.172</v>
      </c>
      <c r="U980" t="str">
        <f t="shared" si="457"/>
        <v>A9808D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1</v>
      </c>
      <c r="AG980">
        <v>2</v>
      </c>
      <c r="AH980">
        <v>0</v>
      </c>
      <c r="AI980" t="s">
        <v>322</v>
      </c>
      <c r="AJ980">
        <v>28.271834999999999</v>
      </c>
      <c r="AK980" t="s">
        <v>273</v>
      </c>
      <c r="AL980">
        <v>-82.380767000000006</v>
      </c>
      <c r="AM980">
        <v>100</v>
      </c>
      <c r="AN980">
        <v>1200</v>
      </c>
      <c r="AO980" t="s">
        <v>118</v>
      </c>
      <c r="AP980">
        <v>-11</v>
      </c>
      <c r="AQ980">
        <v>86</v>
      </c>
      <c r="AR980">
        <v>640</v>
      </c>
      <c r="AZ980">
        <v>1200</v>
      </c>
      <c r="BA980">
        <v>1</v>
      </c>
      <c r="BB980" t="str">
        <f t="shared" si="439"/>
        <v xml:space="preserve">N711JA  </v>
      </c>
      <c r="BC980">
        <v>1</v>
      </c>
      <c r="BE980">
        <v>0</v>
      </c>
      <c r="BF980">
        <v>0</v>
      </c>
      <c r="BG980">
        <v>0</v>
      </c>
      <c r="BH980">
        <v>1300</v>
      </c>
      <c r="BI980">
        <v>1</v>
      </c>
      <c r="BJ980">
        <v>1</v>
      </c>
      <c r="BK980">
        <v>0</v>
      </c>
      <c r="BL980">
        <v>0</v>
      </c>
      <c r="BO980">
        <v>0</v>
      </c>
      <c r="BP980">
        <v>0</v>
      </c>
      <c r="BW980" t="str">
        <f t="shared" si="464"/>
        <v>14:42:45.173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343</v>
      </c>
      <c r="CR980">
        <v>1</v>
      </c>
      <c r="CW980">
        <v>10615997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1</v>
      </c>
      <c r="DE980">
        <v>1</v>
      </c>
      <c r="DF980">
        <v>0</v>
      </c>
      <c r="DG980">
        <v>1</v>
      </c>
      <c r="DH980">
        <v>0</v>
      </c>
      <c r="DI980">
        <v>0</v>
      </c>
    </row>
    <row r="981" spans="1:113" x14ac:dyDescent="0.3">
      <c r="A981" t="str">
        <f t="shared" si="462"/>
        <v>05/12/2020 14:42:27.381</v>
      </c>
      <c r="C981" t="str">
        <f t="shared" si="438"/>
        <v>FFDFD3C0</v>
      </c>
      <c r="D981" t="s">
        <v>131</v>
      </c>
      <c r="E981">
        <v>18</v>
      </c>
      <c r="F981">
        <v>2018</v>
      </c>
      <c r="G981" t="s">
        <v>161</v>
      </c>
      <c r="J981" t="s">
        <v>133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63"/>
        <v>14:42:45.172</v>
      </c>
      <c r="T981" t="str">
        <f t="shared" si="463"/>
        <v>14:42:45.172</v>
      </c>
      <c r="U981" t="str">
        <f t="shared" si="457"/>
        <v>A9808D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1</v>
      </c>
      <c r="AG981">
        <v>2</v>
      </c>
      <c r="AH981">
        <v>0</v>
      </c>
      <c r="AI981" t="s">
        <v>322</v>
      </c>
      <c r="AJ981">
        <v>28.271834999999999</v>
      </c>
      <c r="AK981" t="s">
        <v>273</v>
      </c>
      <c r="AL981">
        <v>-82.380767000000006</v>
      </c>
      <c r="AM981">
        <v>100</v>
      </c>
      <c r="AN981">
        <v>1200</v>
      </c>
      <c r="AO981" t="s">
        <v>118</v>
      </c>
      <c r="AP981">
        <v>-11</v>
      </c>
      <c r="AQ981">
        <v>86</v>
      </c>
      <c r="AR981">
        <v>640</v>
      </c>
      <c r="AZ981">
        <v>1200</v>
      </c>
      <c r="BA981">
        <v>1</v>
      </c>
      <c r="BB981" t="str">
        <f t="shared" si="439"/>
        <v xml:space="preserve">N711JA  </v>
      </c>
      <c r="BC981">
        <v>1</v>
      </c>
      <c r="BE981">
        <v>0</v>
      </c>
      <c r="BF981">
        <v>0</v>
      </c>
      <c r="BG981">
        <v>0</v>
      </c>
      <c r="BH981">
        <v>1300</v>
      </c>
      <c r="BI981">
        <v>1</v>
      </c>
      <c r="BJ981">
        <v>1</v>
      </c>
      <c r="BK981">
        <v>0</v>
      </c>
      <c r="BL981">
        <v>0</v>
      </c>
      <c r="BO981">
        <v>0</v>
      </c>
      <c r="BP981">
        <v>0</v>
      </c>
      <c r="BW981" t="str">
        <f t="shared" si="464"/>
        <v>14:42:45.173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343</v>
      </c>
      <c r="CR981">
        <v>1</v>
      </c>
      <c r="CW981">
        <v>10615997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1</v>
      </c>
      <c r="DF981">
        <v>0</v>
      </c>
      <c r="DG981">
        <v>1</v>
      </c>
      <c r="DH981">
        <v>0</v>
      </c>
      <c r="DI981">
        <v>0</v>
      </c>
    </row>
    <row r="982" spans="1:113" x14ac:dyDescent="0.3">
      <c r="A982" t="str">
        <f t="shared" si="462"/>
        <v>05/12/2020 14:42:27.381</v>
      </c>
      <c r="C982" t="str">
        <f t="shared" ref="C982:C1045" si="465">"FFDFD3C0"</f>
        <v>FFDFD3C0</v>
      </c>
      <c r="D982" t="s">
        <v>131</v>
      </c>
      <c r="E982">
        <v>12</v>
      </c>
      <c r="F982">
        <v>2012</v>
      </c>
      <c r="G982" t="s">
        <v>137</v>
      </c>
      <c r="J982" t="s">
        <v>133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463"/>
        <v>14:42:45.172</v>
      </c>
      <c r="T982" t="str">
        <f t="shared" si="463"/>
        <v>14:42:45.172</v>
      </c>
      <c r="U982" t="str">
        <f t="shared" si="457"/>
        <v>A9808D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1</v>
      </c>
      <c r="AG982">
        <v>2</v>
      </c>
      <c r="AH982">
        <v>0</v>
      </c>
      <c r="AI982" t="s">
        <v>322</v>
      </c>
      <c r="AJ982">
        <v>28.271834999999999</v>
      </c>
      <c r="AK982" t="s">
        <v>273</v>
      </c>
      <c r="AL982">
        <v>-82.380767000000006</v>
      </c>
      <c r="AM982">
        <v>100</v>
      </c>
      <c r="AN982">
        <v>1200</v>
      </c>
      <c r="AO982" t="s">
        <v>118</v>
      </c>
      <c r="AP982">
        <v>-11</v>
      </c>
      <c r="AQ982">
        <v>86</v>
      </c>
      <c r="AR982">
        <v>640</v>
      </c>
      <c r="AZ982">
        <v>1200</v>
      </c>
      <c r="BA982">
        <v>1</v>
      </c>
      <c r="BB982" t="str">
        <f t="shared" ref="BB982:BB1045" si="466">"N711JA  "</f>
        <v xml:space="preserve">N711JA  </v>
      </c>
      <c r="BC982">
        <v>1</v>
      </c>
      <c r="BE982">
        <v>0</v>
      </c>
      <c r="BF982">
        <v>0</v>
      </c>
      <c r="BG982">
        <v>0</v>
      </c>
      <c r="BH982">
        <v>1300</v>
      </c>
      <c r="BI982">
        <v>1</v>
      </c>
      <c r="BJ982">
        <v>1</v>
      </c>
      <c r="BK982">
        <v>0</v>
      </c>
      <c r="BL982">
        <v>0</v>
      </c>
      <c r="BO982">
        <v>0</v>
      </c>
      <c r="BP982">
        <v>0</v>
      </c>
      <c r="BW982" t="str">
        <f t="shared" si="464"/>
        <v>14:42:45.173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343</v>
      </c>
      <c r="CR982">
        <v>1</v>
      </c>
      <c r="CW982">
        <v>10615997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1</v>
      </c>
      <c r="DE982">
        <v>1</v>
      </c>
      <c r="DF982">
        <v>0</v>
      </c>
      <c r="DG982">
        <v>1</v>
      </c>
      <c r="DH982">
        <v>0</v>
      </c>
      <c r="DI982">
        <v>0</v>
      </c>
    </row>
    <row r="983" spans="1:113" x14ac:dyDescent="0.3">
      <c r="A983" t="str">
        <f t="shared" si="462"/>
        <v>05/12/2020 14:42:27.381</v>
      </c>
      <c r="C983" t="str">
        <f t="shared" si="465"/>
        <v>FFDFD3C0</v>
      </c>
      <c r="D983" t="s">
        <v>113</v>
      </c>
      <c r="E983">
        <v>3</v>
      </c>
      <c r="H983">
        <v>164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463"/>
        <v>14:42:45.172</v>
      </c>
      <c r="T983" t="str">
        <f t="shared" si="463"/>
        <v>14:42:45.172</v>
      </c>
      <c r="U983" t="str">
        <f t="shared" si="457"/>
        <v>A9808D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1</v>
      </c>
      <c r="AG983">
        <v>2</v>
      </c>
      <c r="AH983">
        <v>0</v>
      </c>
      <c r="AI983" t="s">
        <v>322</v>
      </c>
      <c r="AJ983">
        <v>28.271834999999999</v>
      </c>
      <c r="AK983" t="s">
        <v>273</v>
      </c>
      <c r="AL983">
        <v>-82.380767000000006</v>
      </c>
      <c r="AM983">
        <v>100</v>
      </c>
      <c r="AN983">
        <v>1200</v>
      </c>
      <c r="AO983" t="s">
        <v>118</v>
      </c>
      <c r="AP983">
        <v>-11</v>
      </c>
      <c r="AQ983">
        <v>86</v>
      </c>
      <c r="AR983">
        <v>640</v>
      </c>
      <c r="AZ983">
        <v>1200</v>
      </c>
      <c r="BA983">
        <v>1</v>
      </c>
      <c r="BB983" t="str">
        <f t="shared" si="466"/>
        <v xml:space="preserve">N711JA  </v>
      </c>
      <c r="BC983">
        <v>1</v>
      </c>
      <c r="BE983">
        <v>0</v>
      </c>
      <c r="BF983">
        <v>0</v>
      </c>
      <c r="BG983">
        <v>0</v>
      </c>
      <c r="BH983">
        <v>1300</v>
      </c>
      <c r="BI983">
        <v>1</v>
      </c>
      <c r="BJ983">
        <v>1</v>
      </c>
      <c r="BK983">
        <v>0</v>
      </c>
      <c r="BL983">
        <v>0</v>
      </c>
      <c r="BO983">
        <v>0</v>
      </c>
      <c r="BP983">
        <v>0</v>
      </c>
      <c r="BW983" t="str">
        <f t="shared" si="464"/>
        <v>14:42:45.173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343</v>
      </c>
      <c r="CR983">
        <v>1</v>
      </c>
      <c r="CW983">
        <v>10615997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1</v>
      </c>
      <c r="DF983">
        <v>0</v>
      </c>
      <c r="DG983">
        <v>1</v>
      </c>
      <c r="DH983">
        <v>0</v>
      </c>
      <c r="DI983">
        <v>0</v>
      </c>
    </row>
    <row r="984" spans="1:113" x14ac:dyDescent="0.3">
      <c r="A984" t="str">
        <f t="shared" si="462"/>
        <v>05/12/2020 14:42:27.381</v>
      </c>
      <c r="C984" t="str">
        <f t="shared" si="465"/>
        <v>FFDFD3C0</v>
      </c>
      <c r="D984" t="s">
        <v>138</v>
      </c>
      <c r="E984">
        <v>3</v>
      </c>
      <c r="H984">
        <v>9</v>
      </c>
      <c r="I984" t="s">
        <v>140</v>
      </c>
      <c r="J984" t="s">
        <v>136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63"/>
        <v>14:42:45.172</v>
      </c>
      <c r="T984" t="str">
        <f t="shared" si="463"/>
        <v>14:42:45.172</v>
      </c>
      <c r="U984" t="str">
        <f t="shared" si="457"/>
        <v>A9808D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1</v>
      </c>
      <c r="AG984">
        <v>2</v>
      </c>
      <c r="AH984">
        <v>0</v>
      </c>
      <c r="AI984" t="s">
        <v>322</v>
      </c>
      <c r="AJ984">
        <v>28.271834999999999</v>
      </c>
      <c r="AK984" t="s">
        <v>273</v>
      </c>
      <c r="AL984">
        <v>-82.380767000000006</v>
      </c>
      <c r="AM984">
        <v>100</v>
      </c>
      <c r="AN984">
        <v>1200</v>
      </c>
      <c r="AO984" t="s">
        <v>118</v>
      </c>
      <c r="AP984">
        <v>-11</v>
      </c>
      <c r="AQ984">
        <v>86</v>
      </c>
      <c r="AR984">
        <v>640</v>
      </c>
      <c r="AZ984">
        <v>1200</v>
      </c>
      <c r="BA984">
        <v>1</v>
      </c>
      <c r="BB984" t="str">
        <f t="shared" si="466"/>
        <v xml:space="preserve">N711JA  </v>
      </c>
      <c r="BC984">
        <v>1</v>
      </c>
      <c r="BE984">
        <v>0</v>
      </c>
      <c r="BF984">
        <v>0</v>
      </c>
      <c r="BG984">
        <v>0</v>
      </c>
      <c r="BH984">
        <v>1300</v>
      </c>
      <c r="BI984">
        <v>1</v>
      </c>
      <c r="BJ984">
        <v>1</v>
      </c>
      <c r="BK984">
        <v>0</v>
      </c>
      <c r="BL984">
        <v>0</v>
      </c>
      <c r="BO984">
        <v>0</v>
      </c>
      <c r="BP984">
        <v>0</v>
      </c>
      <c r="BW984" t="str">
        <f t="shared" si="464"/>
        <v>14:42:45.173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343</v>
      </c>
      <c r="CR984">
        <v>1</v>
      </c>
      <c r="CW984">
        <v>10615997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1</v>
      </c>
      <c r="DF984">
        <v>0</v>
      </c>
      <c r="DG984">
        <v>1</v>
      </c>
      <c r="DH984">
        <v>0</v>
      </c>
      <c r="DI984">
        <v>0</v>
      </c>
    </row>
    <row r="985" spans="1:113" x14ac:dyDescent="0.3">
      <c r="A985" t="str">
        <f t="shared" si="462"/>
        <v>05/12/2020 14:42:27.381</v>
      </c>
      <c r="C985" t="str">
        <f t="shared" si="465"/>
        <v>FFDFD3C0</v>
      </c>
      <c r="D985" t="s">
        <v>138</v>
      </c>
      <c r="E985">
        <v>2</v>
      </c>
      <c r="H985">
        <v>8</v>
      </c>
      <c r="I985" t="s">
        <v>139</v>
      </c>
      <c r="J985" t="s">
        <v>136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463"/>
        <v>14:42:45.172</v>
      </c>
      <c r="T985" t="str">
        <f t="shared" si="463"/>
        <v>14:42:45.172</v>
      </c>
      <c r="U985" t="str">
        <f t="shared" si="457"/>
        <v>A9808D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1</v>
      </c>
      <c r="AG985">
        <v>2</v>
      </c>
      <c r="AH985">
        <v>0</v>
      </c>
      <c r="AI985" t="s">
        <v>322</v>
      </c>
      <c r="AJ985">
        <v>28.271834999999999</v>
      </c>
      <c r="AK985" t="s">
        <v>273</v>
      </c>
      <c r="AL985">
        <v>-82.380767000000006</v>
      </c>
      <c r="AM985">
        <v>100</v>
      </c>
      <c r="AN985">
        <v>1200</v>
      </c>
      <c r="AO985" t="s">
        <v>118</v>
      </c>
      <c r="AP985">
        <v>-11</v>
      </c>
      <c r="AQ985">
        <v>86</v>
      </c>
      <c r="AR985">
        <v>640</v>
      </c>
      <c r="AZ985">
        <v>1200</v>
      </c>
      <c r="BA985">
        <v>1</v>
      </c>
      <c r="BB985" t="str">
        <f t="shared" si="466"/>
        <v xml:space="preserve">N711JA  </v>
      </c>
      <c r="BC985">
        <v>1</v>
      </c>
      <c r="BE985">
        <v>0</v>
      </c>
      <c r="BF985">
        <v>0</v>
      </c>
      <c r="BG985">
        <v>0</v>
      </c>
      <c r="BH985">
        <v>1300</v>
      </c>
      <c r="BI985">
        <v>1</v>
      </c>
      <c r="BJ985">
        <v>1</v>
      </c>
      <c r="BK985">
        <v>0</v>
      </c>
      <c r="BL985">
        <v>0</v>
      </c>
      <c r="BO985">
        <v>0</v>
      </c>
      <c r="BP985">
        <v>0</v>
      </c>
      <c r="BW985" t="str">
        <f t="shared" si="464"/>
        <v>14:42:45.173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343</v>
      </c>
      <c r="CR985">
        <v>1</v>
      </c>
      <c r="CW985">
        <v>10615997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1</v>
      </c>
      <c r="DE985">
        <v>1</v>
      </c>
      <c r="DF985">
        <v>0</v>
      </c>
      <c r="DG985">
        <v>1</v>
      </c>
      <c r="DH985">
        <v>0</v>
      </c>
      <c r="DI985">
        <v>0</v>
      </c>
    </row>
    <row r="986" spans="1:113" x14ac:dyDescent="0.3">
      <c r="A986" t="str">
        <f t="shared" ref="A986:A994" si="467">"05/12/2020 14:42:28.466"</f>
        <v>05/12/2020 14:42:28.466</v>
      </c>
      <c r="C986" t="str">
        <f t="shared" si="465"/>
        <v>FFDFD3C0</v>
      </c>
      <c r="D986" t="s">
        <v>113</v>
      </c>
      <c r="E986">
        <v>3</v>
      </c>
      <c r="H986">
        <v>164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ref="S986:S994" si="468">"14:42:46.289"</f>
        <v>14:42:46.289</v>
      </c>
      <c r="T986" t="str">
        <f t="shared" ref="T986:T994" si="469">"14:42:46.189"</f>
        <v>14:42:46.189</v>
      </c>
      <c r="U986" t="str">
        <f t="shared" si="457"/>
        <v>A9808D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1</v>
      </c>
      <c r="AG986">
        <v>2</v>
      </c>
      <c r="AH986">
        <v>0</v>
      </c>
      <c r="AI986" t="s">
        <v>323</v>
      </c>
      <c r="AJ986">
        <v>28.272307000000001</v>
      </c>
      <c r="AK986" t="s">
        <v>148</v>
      </c>
      <c r="AL986">
        <v>-82.380874000000006</v>
      </c>
      <c r="AM986">
        <v>100</v>
      </c>
      <c r="AN986">
        <v>1200</v>
      </c>
      <c r="AO986" t="s">
        <v>118</v>
      </c>
      <c r="AP986">
        <v>-14</v>
      </c>
      <c r="AQ986">
        <v>87</v>
      </c>
      <c r="AR986">
        <v>384</v>
      </c>
      <c r="AZ986">
        <v>1200</v>
      </c>
      <c r="BA986">
        <v>1</v>
      </c>
      <c r="BB986" t="str">
        <f t="shared" si="466"/>
        <v xml:space="preserve">N711JA  </v>
      </c>
      <c r="BC986">
        <v>1</v>
      </c>
      <c r="BE986">
        <v>0</v>
      </c>
      <c r="BF986">
        <v>0</v>
      </c>
      <c r="BG986">
        <v>0</v>
      </c>
      <c r="BH986">
        <v>1300</v>
      </c>
      <c r="BI986">
        <v>1</v>
      </c>
      <c r="BJ986">
        <v>1</v>
      </c>
      <c r="BK986">
        <v>0</v>
      </c>
      <c r="BL986">
        <v>0</v>
      </c>
      <c r="BO986">
        <v>0</v>
      </c>
      <c r="BP986">
        <v>0</v>
      </c>
      <c r="BW986" t="str">
        <f t="shared" ref="BW986:BW994" si="470">"14:42:46.291"</f>
        <v>14:42:46.291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343</v>
      </c>
      <c r="CR986">
        <v>1</v>
      </c>
      <c r="CW986">
        <v>10617098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1</v>
      </c>
      <c r="DE986">
        <v>1</v>
      </c>
      <c r="DF986">
        <v>0</v>
      </c>
      <c r="DG986">
        <v>1</v>
      </c>
      <c r="DH986">
        <v>0</v>
      </c>
      <c r="DI986">
        <v>0</v>
      </c>
    </row>
    <row r="987" spans="1:113" x14ac:dyDescent="0.3">
      <c r="A987" t="str">
        <f t="shared" si="467"/>
        <v>05/12/2020 14:42:28.466</v>
      </c>
      <c r="C987" t="str">
        <f t="shared" si="465"/>
        <v>FFDFD3C0</v>
      </c>
      <c r="D987" t="s">
        <v>138</v>
      </c>
      <c r="E987">
        <v>3</v>
      </c>
      <c r="H987">
        <v>9</v>
      </c>
      <c r="I987" t="s">
        <v>140</v>
      </c>
      <c r="J987" t="s">
        <v>136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468"/>
        <v>14:42:46.289</v>
      </c>
      <c r="T987" t="str">
        <f t="shared" si="469"/>
        <v>14:42:46.189</v>
      </c>
      <c r="U987" t="str">
        <f t="shared" si="457"/>
        <v>A9808D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1</v>
      </c>
      <c r="AG987">
        <v>2</v>
      </c>
      <c r="AH987">
        <v>0</v>
      </c>
      <c r="AI987" t="s">
        <v>323</v>
      </c>
      <c r="AJ987">
        <v>28.272307000000001</v>
      </c>
      <c r="AK987" t="s">
        <v>148</v>
      </c>
      <c r="AL987">
        <v>-82.380874000000006</v>
      </c>
      <c r="AM987">
        <v>100</v>
      </c>
      <c r="AN987">
        <v>1200</v>
      </c>
      <c r="AO987" t="s">
        <v>118</v>
      </c>
      <c r="AP987">
        <v>-14</v>
      </c>
      <c r="AQ987">
        <v>87</v>
      </c>
      <c r="AR987">
        <v>384</v>
      </c>
      <c r="AZ987">
        <v>1200</v>
      </c>
      <c r="BA987">
        <v>1</v>
      </c>
      <c r="BB987" t="str">
        <f t="shared" si="466"/>
        <v xml:space="preserve">N711JA  </v>
      </c>
      <c r="BC987">
        <v>1</v>
      </c>
      <c r="BE987">
        <v>0</v>
      </c>
      <c r="BF987">
        <v>0</v>
      </c>
      <c r="BG987">
        <v>0</v>
      </c>
      <c r="BH987">
        <v>1300</v>
      </c>
      <c r="BI987">
        <v>1</v>
      </c>
      <c r="BJ987">
        <v>1</v>
      </c>
      <c r="BK987">
        <v>0</v>
      </c>
      <c r="BL987">
        <v>0</v>
      </c>
      <c r="BO987">
        <v>0</v>
      </c>
      <c r="BP987">
        <v>0</v>
      </c>
      <c r="BW987" t="str">
        <f t="shared" si="470"/>
        <v>14:42:46.291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343</v>
      </c>
      <c r="CR987">
        <v>1</v>
      </c>
      <c r="CW987">
        <v>10617098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1</v>
      </c>
      <c r="DF987">
        <v>0</v>
      </c>
      <c r="DG987">
        <v>1</v>
      </c>
      <c r="DH987">
        <v>0</v>
      </c>
      <c r="DI987">
        <v>0</v>
      </c>
    </row>
    <row r="988" spans="1:113" x14ac:dyDescent="0.3">
      <c r="A988" t="str">
        <f t="shared" si="467"/>
        <v>05/12/2020 14:42:28.466</v>
      </c>
      <c r="C988" t="str">
        <f t="shared" si="465"/>
        <v>FFDFD3C0</v>
      </c>
      <c r="D988" t="s">
        <v>138</v>
      </c>
      <c r="E988">
        <v>2</v>
      </c>
      <c r="H988">
        <v>8</v>
      </c>
      <c r="I988" t="s">
        <v>139</v>
      </c>
      <c r="J988" t="s">
        <v>136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468"/>
        <v>14:42:46.289</v>
      </c>
      <c r="T988" t="str">
        <f t="shared" si="469"/>
        <v>14:42:46.189</v>
      </c>
      <c r="U988" t="str">
        <f t="shared" si="457"/>
        <v>A9808D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1</v>
      </c>
      <c r="AG988">
        <v>2</v>
      </c>
      <c r="AH988">
        <v>0</v>
      </c>
      <c r="AI988" t="s">
        <v>323</v>
      </c>
      <c r="AJ988">
        <v>28.272307000000001</v>
      </c>
      <c r="AK988" t="s">
        <v>148</v>
      </c>
      <c r="AL988">
        <v>-82.380874000000006</v>
      </c>
      <c r="AM988">
        <v>100</v>
      </c>
      <c r="AN988">
        <v>1200</v>
      </c>
      <c r="AO988" t="s">
        <v>118</v>
      </c>
      <c r="AP988">
        <v>-14</v>
      </c>
      <c r="AQ988">
        <v>87</v>
      </c>
      <c r="AR988">
        <v>384</v>
      </c>
      <c r="AZ988">
        <v>1200</v>
      </c>
      <c r="BA988">
        <v>1</v>
      </c>
      <c r="BB988" t="str">
        <f t="shared" si="466"/>
        <v xml:space="preserve">N711JA  </v>
      </c>
      <c r="BC988">
        <v>1</v>
      </c>
      <c r="BE988">
        <v>0</v>
      </c>
      <c r="BF988">
        <v>0</v>
      </c>
      <c r="BG988">
        <v>0</v>
      </c>
      <c r="BH988">
        <v>1300</v>
      </c>
      <c r="BI988">
        <v>1</v>
      </c>
      <c r="BJ988">
        <v>1</v>
      </c>
      <c r="BK988">
        <v>0</v>
      </c>
      <c r="BL988">
        <v>0</v>
      </c>
      <c r="BO988">
        <v>0</v>
      </c>
      <c r="BP988">
        <v>0</v>
      </c>
      <c r="BW988" t="str">
        <f t="shared" si="470"/>
        <v>14:42:46.291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343</v>
      </c>
      <c r="CR988">
        <v>1</v>
      </c>
      <c r="CW988">
        <v>10617098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1</v>
      </c>
      <c r="DF988">
        <v>0</v>
      </c>
      <c r="DG988">
        <v>1</v>
      </c>
      <c r="DH988">
        <v>0</v>
      </c>
      <c r="DI988">
        <v>0</v>
      </c>
    </row>
    <row r="989" spans="1:113" x14ac:dyDescent="0.3">
      <c r="A989" t="str">
        <f t="shared" si="467"/>
        <v>05/12/2020 14:42:28.466</v>
      </c>
      <c r="C989" t="str">
        <f t="shared" si="465"/>
        <v>FFDFD3C0</v>
      </c>
      <c r="D989" t="s">
        <v>126</v>
      </c>
      <c r="E989">
        <v>6</v>
      </c>
      <c r="F989">
        <v>1006</v>
      </c>
      <c r="G989" t="s">
        <v>114</v>
      </c>
      <c r="J989" t="s">
        <v>128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468"/>
        <v>14:42:46.289</v>
      </c>
      <c r="T989" t="str">
        <f t="shared" si="469"/>
        <v>14:42:46.189</v>
      </c>
      <c r="U989" t="str">
        <f t="shared" si="457"/>
        <v>A9808D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1</v>
      </c>
      <c r="AG989">
        <v>2</v>
      </c>
      <c r="AH989">
        <v>0</v>
      </c>
      <c r="AI989" t="s">
        <v>323</v>
      </c>
      <c r="AJ989">
        <v>28.272307000000001</v>
      </c>
      <c r="AK989" t="s">
        <v>148</v>
      </c>
      <c r="AL989">
        <v>-82.380874000000006</v>
      </c>
      <c r="AM989">
        <v>100</v>
      </c>
      <c r="AN989">
        <v>1200</v>
      </c>
      <c r="AO989" t="s">
        <v>118</v>
      </c>
      <c r="AP989">
        <v>-14</v>
      </c>
      <c r="AQ989">
        <v>87</v>
      </c>
      <c r="AR989">
        <v>384</v>
      </c>
      <c r="AZ989">
        <v>1200</v>
      </c>
      <c r="BA989">
        <v>1</v>
      </c>
      <c r="BB989" t="str">
        <f t="shared" si="466"/>
        <v xml:space="preserve">N711JA  </v>
      </c>
      <c r="BC989">
        <v>1</v>
      </c>
      <c r="BE989">
        <v>0</v>
      </c>
      <c r="BF989">
        <v>0</v>
      </c>
      <c r="BG989">
        <v>0</v>
      </c>
      <c r="BH989">
        <v>1300</v>
      </c>
      <c r="BI989">
        <v>1</v>
      </c>
      <c r="BJ989">
        <v>1</v>
      </c>
      <c r="BK989">
        <v>0</v>
      </c>
      <c r="BL989">
        <v>0</v>
      </c>
      <c r="BO989">
        <v>0</v>
      </c>
      <c r="BP989">
        <v>0</v>
      </c>
      <c r="BW989" t="str">
        <f t="shared" si="470"/>
        <v>14:42:46.291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343</v>
      </c>
      <c r="CR989">
        <v>1</v>
      </c>
      <c r="CW989">
        <v>10617098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1</v>
      </c>
      <c r="DF989">
        <v>0</v>
      </c>
      <c r="DG989">
        <v>1</v>
      </c>
      <c r="DH989">
        <v>0</v>
      </c>
      <c r="DI989">
        <v>0</v>
      </c>
    </row>
    <row r="990" spans="1:113" x14ac:dyDescent="0.3">
      <c r="A990" t="str">
        <f t="shared" si="467"/>
        <v>05/12/2020 14:42:28.466</v>
      </c>
      <c r="C990" t="str">
        <f t="shared" si="465"/>
        <v>FFDFD3C0</v>
      </c>
      <c r="D990" t="s">
        <v>134</v>
      </c>
      <c r="E990">
        <v>12</v>
      </c>
      <c r="H990">
        <v>64</v>
      </c>
      <c r="I990" t="s">
        <v>135</v>
      </c>
      <c r="J990" t="s">
        <v>136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468"/>
        <v>14:42:46.289</v>
      </c>
      <c r="T990" t="str">
        <f t="shared" si="469"/>
        <v>14:42:46.189</v>
      </c>
      <c r="U990" t="str">
        <f t="shared" si="457"/>
        <v>A9808D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1</v>
      </c>
      <c r="AG990">
        <v>2</v>
      </c>
      <c r="AH990">
        <v>0</v>
      </c>
      <c r="AI990" t="s">
        <v>323</v>
      </c>
      <c r="AJ990">
        <v>28.272307000000001</v>
      </c>
      <c r="AK990" t="s">
        <v>148</v>
      </c>
      <c r="AL990">
        <v>-82.380874000000006</v>
      </c>
      <c r="AM990">
        <v>100</v>
      </c>
      <c r="AN990">
        <v>1200</v>
      </c>
      <c r="AO990" t="s">
        <v>118</v>
      </c>
      <c r="AP990">
        <v>-14</v>
      </c>
      <c r="AQ990">
        <v>87</v>
      </c>
      <c r="AR990">
        <v>384</v>
      </c>
      <c r="AZ990">
        <v>1200</v>
      </c>
      <c r="BA990">
        <v>1</v>
      </c>
      <c r="BB990" t="str">
        <f t="shared" si="466"/>
        <v xml:space="preserve">N711JA  </v>
      </c>
      <c r="BC990">
        <v>1</v>
      </c>
      <c r="BE990">
        <v>0</v>
      </c>
      <c r="BF990">
        <v>0</v>
      </c>
      <c r="BG990">
        <v>0</v>
      </c>
      <c r="BH990">
        <v>1300</v>
      </c>
      <c r="BI990">
        <v>1</v>
      </c>
      <c r="BJ990">
        <v>1</v>
      </c>
      <c r="BK990">
        <v>0</v>
      </c>
      <c r="BL990">
        <v>0</v>
      </c>
      <c r="BO990">
        <v>0</v>
      </c>
      <c r="BP990">
        <v>0</v>
      </c>
      <c r="BW990" t="str">
        <f t="shared" si="470"/>
        <v>14:42:46.291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343</v>
      </c>
      <c r="CR990">
        <v>1</v>
      </c>
      <c r="CW990">
        <v>10617098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1</v>
      </c>
      <c r="DE990">
        <v>1</v>
      </c>
      <c r="DF990">
        <v>0</v>
      </c>
      <c r="DG990">
        <v>1</v>
      </c>
      <c r="DH990">
        <v>0</v>
      </c>
      <c r="DI990">
        <v>0</v>
      </c>
    </row>
    <row r="991" spans="1:113" x14ac:dyDescent="0.3">
      <c r="A991" t="str">
        <f t="shared" si="467"/>
        <v>05/12/2020 14:42:28.466</v>
      </c>
      <c r="C991" t="str">
        <f t="shared" si="465"/>
        <v>FFDFD3C0</v>
      </c>
      <c r="D991" t="s">
        <v>131</v>
      </c>
      <c r="E991">
        <v>10</v>
      </c>
      <c r="F991">
        <v>2010</v>
      </c>
      <c r="G991" t="s">
        <v>132</v>
      </c>
      <c r="J991" t="s">
        <v>133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468"/>
        <v>14:42:46.289</v>
      </c>
      <c r="T991" t="str">
        <f t="shared" si="469"/>
        <v>14:42:46.189</v>
      </c>
      <c r="U991" t="str">
        <f t="shared" si="457"/>
        <v>A9808D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1</v>
      </c>
      <c r="AG991">
        <v>2</v>
      </c>
      <c r="AH991">
        <v>0</v>
      </c>
      <c r="AI991" t="s">
        <v>323</v>
      </c>
      <c r="AJ991">
        <v>28.272307000000001</v>
      </c>
      <c r="AK991" t="s">
        <v>148</v>
      </c>
      <c r="AL991">
        <v>-82.380874000000006</v>
      </c>
      <c r="AM991">
        <v>100</v>
      </c>
      <c r="AN991">
        <v>1200</v>
      </c>
      <c r="AO991" t="s">
        <v>118</v>
      </c>
      <c r="AP991">
        <v>-14</v>
      </c>
      <c r="AQ991">
        <v>87</v>
      </c>
      <c r="AR991">
        <v>384</v>
      </c>
      <c r="AZ991">
        <v>1200</v>
      </c>
      <c r="BA991">
        <v>1</v>
      </c>
      <c r="BB991" t="str">
        <f t="shared" si="466"/>
        <v xml:space="preserve">N711JA  </v>
      </c>
      <c r="BC991">
        <v>1</v>
      </c>
      <c r="BE991">
        <v>0</v>
      </c>
      <c r="BF991">
        <v>0</v>
      </c>
      <c r="BG991">
        <v>0</v>
      </c>
      <c r="BH991">
        <v>1300</v>
      </c>
      <c r="BI991">
        <v>1</v>
      </c>
      <c r="BJ991">
        <v>1</v>
      </c>
      <c r="BK991">
        <v>0</v>
      </c>
      <c r="BL991">
        <v>0</v>
      </c>
      <c r="BO991">
        <v>0</v>
      </c>
      <c r="BP991">
        <v>0</v>
      </c>
      <c r="BW991" t="str">
        <f t="shared" si="470"/>
        <v>14:42:46.291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343</v>
      </c>
      <c r="CR991">
        <v>1</v>
      </c>
      <c r="CW991">
        <v>10617098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1</v>
      </c>
      <c r="DF991">
        <v>0</v>
      </c>
      <c r="DG991">
        <v>1</v>
      </c>
      <c r="DH991">
        <v>0</v>
      </c>
      <c r="DI991">
        <v>0</v>
      </c>
    </row>
    <row r="992" spans="1:113" x14ac:dyDescent="0.3">
      <c r="A992" t="str">
        <f t="shared" si="467"/>
        <v>05/12/2020 14:42:28.466</v>
      </c>
      <c r="C992" t="str">
        <f t="shared" si="465"/>
        <v>FFDFD3C0</v>
      </c>
      <c r="D992" t="s">
        <v>126</v>
      </c>
      <c r="E992">
        <v>7</v>
      </c>
      <c r="F992">
        <v>1007</v>
      </c>
      <c r="G992" t="s">
        <v>127</v>
      </c>
      <c r="J992" t="s">
        <v>128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468"/>
        <v>14:42:46.289</v>
      </c>
      <c r="T992" t="str">
        <f t="shared" si="469"/>
        <v>14:42:46.189</v>
      </c>
      <c r="U992" t="str">
        <f t="shared" si="457"/>
        <v>A9808D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1</v>
      </c>
      <c r="AG992">
        <v>2</v>
      </c>
      <c r="AH992">
        <v>0</v>
      </c>
      <c r="AI992" t="s">
        <v>323</v>
      </c>
      <c r="AJ992">
        <v>28.272307000000001</v>
      </c>
      <c r="AK992" t="s">
        <v>148</v>
      </c>
      <c r="AL992">
        <v>-82.380874000000006</v>
      </c>
      <c r="AM992">
        <v>100</v>
      </c>
      <c r="AN992">
        <v>1200</v>
      </c>
      <c r="AO992" t="s">
        <v>118</v>
      </c>
      <c r="AP992">
        <v>-14</v>
      </c>
      <c r="AQ992">
        <v>87</v>
      </c>
      <c r="AR992">
        <v>384</v>
      </c>
      <c r="AZ992">
        <v>1200</v>
      </c>
      <c r="BA992">
        <v>1</v>
      </c>
      <c r="BB992" t="str">
        <f t="shared" si="466"/>
        <v xml:space="preserve">N711JA  </v>
      </c>
      <c r="BC992">
        <v>1</v>
      </c>
      <c r="BE992">
        <v>0</v>
      </c>
      <c r="BF992">
        <v>0</v>
      </c>
      <c r="BG992">
        <v>0</v>
      </c>
      <c r="BH992">
        <v>1300</v>
      </c>
      <c r="BI992">
        <v>1</v>
      </c>
      <c r="BJ992">
        <v>1</v>
      </c>
      <c r="BK992">
        <v>0</v>
      </c>
      <c r="BL992">
        <v>0</v>
      </c>
      <c r="BO992">
        <v>0</v>
      </c>
      <c r="BP992">
        <v>0</v>
      </c>
      <c r="BW992" t="str">
        <f t="shared" si="470"/>
        <v>14:42:46.291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343</v>
      </c>
      <c r="CR992">
        <v>1</v>
      </c>
      <c r="CW992">
        <v>10617098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1</v>
      </c>
      <c r="DF992">
        <v>0</v>
      </c>
      <c r="DG992">
        <v>1</v>
      </c>
      <c r="DH992">
        <v>0</v>
      </c>
      <c r="DI992">
        <v>0</v>
      </c>
    </row>
    <row r="993" spans="1:113" x14ac:dyDescent="0.3">
      <c r="A993" t="str">
        <f t="shared" si="467"/>
        <v>05/12/2020 14:42:28.466</v>
      </c>
      <c r="C993" t="str">
        <f t="shared" si="465"/>
        <v>FFDFD3C0</v>
      </c>
      <c r="D993" t="s">
        <v>131</v>
      </c>
      <c r="E993">
        <v>12</v>
      </c>
      <c r="F993">
        <v>2012</v>
      </c>
      <c r="G993" t="s">
        <v>137</v>
      </c>
      <c r="J993" t="s">
        <v>133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468"/>
        <v>14:42:46.289</v>
      </c>
      <c r="T993" t="str">
        <f t="shared" si="469"/>
        <v>14:42:46.189</v>
      </c>
      <c r="U993" t="str">
        <f t="shared" si="457"/>
        <v>A9808D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1</v>
      </c>
      <c r="AG993">
        <v>2</v>
      </c>
      <c r="AH993">
        <v>0</v>
      </c>
      <c r="AI993" t="s">
        <v>323</v>
      </c>
      <c r="AJ993">
        <v>28.272307000000001</v>
      </c>
      <c r="AK993" t="s">
        <v>148</v>
      </c>
      <c r="AL993">
        <v>-82.380874000000006</v>
      </c>
      <c r="AM993">
        <v>100</v>
      </c>
      <c r="AN993">
        <v>1200</v>
      </c>
      <c r="AO993" t="s">
        <v>118</v>
      </c>
      <c r="AP993">
        <v>-14</v>
      </c>
      <c r="AQ993">
        <v>87</v>
      </c>
      <c r="AR993">
        <v>384</v>
      </c>
      <c r="AZ993">
        <v>1200</v>
      </c>
      <c r="BA993">
        <v>1</v>
      </c>
      <c r="BB993" t="str">
        <f t="shared" si="466"/>
        <v xml:space="preserve">N711JA  </v>
      </c>
      <c r="BC993">
        <v>1</v>
      </c>
      <c r="BE993">
        <v>0</v>
      </c>
      <c r="BF993">
        <v>0</v>
      </c>
      <c r="BG993">
        <v>0</v>
      </c>
      <c r="BH993">
        <v>1300</v>
      </c>
      <c r="BI993">
        <v>1</v>
      </c>
      <c r="BJ993">
        <v>1</v>
      </c>
      <c r="BK993">
        <v>0</v>
      </c>
      <c r="BL993">
        <v>0</v>
      </c>
      <c r="BO993">
        <v>0</v>
      </c>
      <c r="BP993">
        <v>0</v>
      </c>
      <c r="BW993" t="str">
        <f t="shared" si="470"/>
        <v>14:42:46.291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343</v>
      </c>
      <c r="CR993">
        <v>1</v>
      </c>
      <c r="CW993">
        <v>10617098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1</v>
      </c>
      <c r="DF993">
        <v>0</v>
      </c>
      <c r="DG993">
        <v>1</v>
      </c>
      <c r="DH993">
        <v>0</v>
      </c>
      <c r="DI993">
        <v>0</v>
      </c>
    </row>
    <row r="994" spans="1:113" x14ac:dyDescent="0.3">
      <c r="A994" t="str">
        <f t="shared" si="467"/>
        <v>05/12/2020 14:42:28.466</v>
      </c>
      <c r="C994" t="str">
        <f t="shared" si="465"/>
        <v>FFDFD3C0</v>
      </c>
      <c r="D994" t="s">
        <v>131</v>
      </c>
      <c r="E994">
        <v>18</v>
      </c>
      <c r="F994">
        <v>2018</v>
      </c>
      <c r="G994" t="s">
        <v>161</v>
      </c>
      <c r="J994" t="s">
        <v>133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468"/>
        <v>14:42:46.289</v>
      </c>
      <c r="T994" t="str">
        <f t="shared" si="469"/>
        <v>14:42:46.189</v>
      </c>
      <c r="U994" t="str">
        <f t="shared" si="457"/>
        <v>A9808D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1</v>
      </c>
      <c r="AG994">
        <v>2</v>
      </c>
      <c r="AH994">
        <v>0</v>
      </c>
      <c r="AI994" t="s">
        <v>323</v>
      </c>
      <c r="AJ994">
        <v>28.272307000000001</v>
      </c>
      <c r="AK994" t="s">
        <v>148</v>
      </c>
      <c r="AL994">
        <v>-82.380874000000006</v>
      </c>
      <c r="AM994">
        <v>100</v>
      </c>
      <c r="AN994">
        <v>1200</v>
      </c>
      <c r="AO994" t="s">
        <v>118</v>
      </c>
      <c r="AP994">
        <v>-14</v>
      </c>
      <c r="AQ994">
        <v>87</v>
      </c>
      <c r="AR994">
        <v>384</v>
      </c>
      <c r="AZ994">
        <v>1200</v>
      </c>
      <c r="BA994">
        <v>1</v>
      </c>
      <c r="BB994" t="str">
        <f t="shared" si="466"/>
        <v xml:space="preserve">N711JA  </v>
      </c>
      <c r="BC994">
        <v>1</v>
      </c>
      <c r="BE994">
        <v>0</v>
      </c>
      <c r="BF994">
        <v>0</v>
      </c>
      <c r="BG994">
        <v>0</v>
      </c>
      <c r="BH994">
        <v>1300</v>
      </c>
      <c r="BI994">
        <v>1</v>
      </c>
      <c r="BJ994">
        <v>1</v>
      </c>
      <c r="BK994">
        <v>0</v>
      </c>
      <c r="BL994">
        <v>0</v>
      </c>
      <c r="BO994">
        <v>0</v>
      </c>
      <c r="BP994">
        <v>0</v>
      </c>
      <c r="BW994" t="str">
        <f t="shared" si="470"/>
        <v>14:42:46.291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343</v>
      </c>
      <c r="CR994">
        <v>1</v>
      </c>
      <c r="CW994">
        <v>10617098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1</v>
      </c>
      <c r="DF994">
        <v>0</v>
      </c>
      <c r="DG994">
        <v>1</v>
      </c>
      <c r="DH994">
        <v>0</v>
      </c>
      <c r="DI994">
        <v>0</v>
      </c>
    </row>
    <row r="995" spans="1:113" x14ac:dyDescent="0.3">
      <c r="A995" t="str">
        <f t="shared" ref="A995:A1003" si="471">"05/12/2020 14:42:29.334"</f>
        <v>05/12/2020 14:42:29.334</v>
      </c>
      <c r="C995" t="str">
        <f t="shared" si="465"/>
        <v>FFDFD3C0</v>
      </c>
      <c r="D995" t="s">
        <v>138</v>
      </c>
      <c r="E995">
        <v>2</v>
      </c>
      <c r="H995">
        <v>8</v>
      </c>
      <c r="I995" t="s">
        <v>139</v>
      </c>
      <c r="J995" t="s">
        <v>136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ref="S995:T1003" si="472">"14:42:47.164"</f>
        <v>14:42:47.164</v>
      </c>
      <c r="T995" t="str">
        <f t="shared" si="472"/>
        <v>14:42:47.164</v>
      </c>
      <c r="U995" t="str">
        <f t="shared" si="457"/>
        <v>A9808D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1</v>
      </c>
      <c r="AG995">
        <v>2</v>
      </c>
      <c r="AH995">
        <v>0</v>
      </c>
      <c r="AI995" t="s">
        <v>324</v>
      </c>
      <c r="AJ995">
        <v>28.272628999999998</v>
      </c>
      <c r="AK995" t="s">
        <v>266</v>
      </c>
      <c r="AL995">
        <v>-82.380938999999998</v>
      </c>
      <c r="AM995">
        <v>100</v>
      </c>
      <c r="AN995">
        <v>1200</v>
      </c>
      <c r="AO995" t="s">
        <v>118</v>
      </c>
      <c r="AP995">
        <v>-16</v>
      </c>
      <c r="AQ995">
        <v>87</v>
      </c>
      <c r="AR995">
        <v>384</v>
      </c>
      <c r="AZ995">
        <v>1200</v>
      </c>
      <c r="BA995">
        <v>1</v>
      </c>
      <c r="BB995" t="str">
        <f t="shared" si="466"/>
        <v xml:space="preserve">N711JA  </v>
      </c>
      <c r="BC995">
        <v>1</v>
      </c>
      <c r="BE995">
        <v>0</v>
      </c>
      <c r="BF995">
        <v>0</v>
      </c>
      <c r="BG995">
        <v>0</v>
      </c>
      <c r="BH995">
        <v>1325</v>
      </c>
      <c r="BI995">
        <v>1</v>
      </c>
      <c r="BJ995">
        <v>1</v>
      </c>
      <c r="BK995">
        <v>0</v>
      </c>
      <c r="BL995">
        <v>0</v>
      </c>
      <c r="BO995">
        <v>0</v>
      </c>
      <c r="BP995">
        <v>0</v>
      </c>
      <c r="BW995" t="str">
        <f t="shared" ref="BW995:BW1003" si="473">"14:42:47.169"</f>
        <v>14:42:47.169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343</v>
      </c>
      <c r="CR995">
        <v>2</v>
      </c>
      <c r="CW995">
        <v>13015576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1</v>
      </c>
      <c r="DE995">
        <v>1</v>
      </c>
      <c r="DF995">
        <v>0</v>
      </c>
      <c r="DG995">
        <v>1</v>
      </c>
      <c r="DH995">
        <v>0</v>
      </c>
      <c r="DI995">
        <v>0</v>
      </c>
    </row>
    <row r="996" spans="1:113" x14ac:dyDescent="0.3">
      <c r="A996" t="str">
        <f t="shared" si="471"/>
        <v>05/12/2020 14:42:29.334</v>
      </c>
      <c r="C996" t="str">
        <f t="shared" si="465"/>
        <v>FFDFD3C0</v>
      </c>
      <c r="D996" t="s">
        <v>138</v>
      </c>
      <c r="E996">
        <v>3</v>
      </c>
      <c r="H996">
        <v>9</v>
      </c>
      <c r="I996" t="s">
        <v>140</v>
      </c>
      <c r="J996" t="s">
        <v>136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472"/>
        <v>14:42:47.164</v>
      </c>
      <c r="T996" t="str">
        <f t="shared" si="472"/>
        <v>14:42:47.164</v>
      </c>
      <c r="U996" t="str">
        <f t="shared" si="457"/>
        <v>A9808D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1</v>
      </c>
      <c r="AG996">
        <v>2</v>
      </c>
      <c r="AH996">
        <v>0</v>
      </c>
      <c r="AI996" t="s">
        <v>324</v>
      </c>
      <c r="AJ996">
        <v>28.272628999999998</v>
      </c>
      <c r="AK996" t="s">
        <v>266</v>
      </c>
      <c r="AL996">
        <v>-82.380938999999998</v>
      </c>
      <c r="AM996">
        <v>100</v>
      </c>
      <c r="AN996">
        <v>1200</v>
      </c>
      <c r="AO996" t="s">
        <v>118</v>
      </c>
      <c r="AP996">
        <v>-16</v>
      </c>
      <c r="AQ996">
        <v>87</v>
      </c>
      <c r="AR996">
        <v>384</v>
      </c>
      <c r="AZ996">
        <v>1200</v>
      </c>
      <c r="BA996">
        <v>1</v>
      </c>
      <c r="BB996" t="str">
        <f t="shared" si="466"/>
        <v xml:space="preserve">N711JA  </v>
      </c>
      <c r="BC996">
        <v>1</v>
      </c>
      <c r="BE996">
        <v>0</v>
      </c>
      <c r="BF996">
        <v>0</v>
      </c>
      <c r="BG996">
        <v>0</v>
      </c>
      <c r="BH996">
        <v>1325</v>
      </c>
      <c r="BI996">
        <v>1</v>
      </c>
      <c r="BJ996">
        <v>1</v>
      </c>
      <c r="BK996">
        <v>0</v>
      </c>
      <c r="BL996">
        <v>0</v>
      </c>
      <c r="BO996">
        <v>0</v>
      </c>
      <c r="BP996">
        <v>0</v>
      </c>
      <c r="BW996" t="str">
        <f t="shared" si="473"/>
        <v>14:42:47.169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343</v>
      </c>
      <c r="CR996">
        <v>2</v>
      </c>
      <c r="CW996">
        <v>13015576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1</v>
      </c>
      <c r="DF996">
        <v>0</v>
      </c>
      <c r="DG996">
        <v>1</v>
      </c>
      <c r="DH996">
        <v>0</v>
      </c>
      <c r="DI996">
        <v>0</v>
      </c>
    </row>
    <row r="997" spans="1:113" x14ac:dyDescent="0.3">
      <c r="A997" t="str">
        <f t="shared" si="471"/>
        <v>05/12/2020 14:42:29.334</v>
      </c>
      <c r="C997" t="str">
        <f t="shared" si="465"/>
        <v>FFDFD3C0</v>
      </c>
      <c r="D997" t="s">
        <v>126</v>
      </c>
      <c r="E997">
        <v>6</v>
      </c>
      <c r="F997">
        <v>1006</v>
      </c>
      <c r="G997" t="s">
        <v>114</v>
      </c>
      <c r="J997" t="s">
        <v>128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472"/>
        <v>14:42:47.164</v>
      </c>
      <c r="T997" t="str">
        <f t="shared" si="472"/>
        <v>14:42:47.164</v>
      </c>
      <c r="U997" t="str">
        <f t="shared" si="457"/>
        <v>A9808D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1</v>
      </c>
      <c r="AG997">
        <v>2</v>
      </c>
      <c r="AH997">
        <v>0</v>
      </c>
      <c r="AI997" t="s">
        <v>324</v>
      </c>
      <c r="AJ997">
        <v>28.272628999999998</v>
      </c>
      <c r="AK997" t="s">
        <v>266</v>
      </c>
      <c r="AL997">
        <v>-82.380938999999998</v>
      </c>
      <c r="AM997">
        <v>100</v>
      </c>
      <c r="AN997">
        <v>1200</v>
      </c>
      <c r="AO997" t="s">
        <v>118</v>
      </c>
      <c r="AP997">
        <v>-16</v>
      </c>
      <c r="AQ997">
        <v>87</v>
      </c>
      <c r="AR997">
        <v>384</v>
      </c>
      <c r="AZ997">
        <v>1200</v>
      </c>
      <c r="BA997">
        <v>1</v>
      </c>
      <c r="BB997" t="str">
        <f t="shared" si="466"/>
        <v xml:space="preserve">N711JA  </v>
      </c>
      <c r="BC997">
        <v>1</v>
      </c>
      <c r="BE997">
        <v>0</v>
      </c>
      <c r="BF997">
        <v>0</v>
      </c>
      <c r="BG997">
        <v>0</v>
      </c>
      <c r="BH997">
        <v>1325</v>
      </c>
      <c r="BI997">
        <v>1</v>
      </c>
      <c r="BJ997">
        <v>1</v>
      </c>
      <c r="BK997">
        <v>0</v>
      </c>
      <c r="BL997">
        <v>0</v>
      </c>
      <c r="BO997">
        <v>0</v>
      </c>
      <c r="BP997">
        <v>0</v>
      </c>
      <c r="BW997" t="str">
        <f t="shared" si="473"/>
        <v>14:42:47.169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343</v>
      </c>
      <c r="CR997">
        <v>2</v>
      </c>
      <c r="CW997">
        <v>13015576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1</v>
      </c>
      <c r="DF997">
        <v>0</v>
      </c>
      <c r="DG997">
        <v>1</v>
      </c>
      <c r="DH997">
        <v>0</v>
      </c>
      <c r="DI997">
        <v>0</v>
      </c>
    </row>
    <row r="998" spans="1:113" x14ac:dyDescent="0.3">
      <c r="A998" t="str">
        <f t="shared" si="471"/>
        <v>05/12/2020 14:42:29.334</v>
      </c>
      <c r="C998" t="str">
        <f t="shared" si="465"/>
        <v>FFDFD3C0</v>
      </c>
      <c r="D998" t="s">
        <v>134</v>
      </c>
      <c r="E998">
        <v>12</v>
      </c>
      <c r="H998">
        <v>64</v>
      </c>
      <c r="I998" t="s">
        <v>135</v>
      </c>
      <c r="J998" t="s">
        <v>136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472"/>
        <v>14:42:47.164</v>
      </c>
      <c r="T998" t="str">
        <f t="shared" si="472"/>
        <v>14:42:47.164</v>
      </c>
      <c r="U998" t="str">
        <f t="shared" si="457"/>
        <v>A9808D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1</v>
      </c>
      <c r="AG998">
        <v>2</v>
      </c>
      <c r="AH998">
        <v>0</v>
      </c>
      <c r="AI998" t="s">
        <v>324</v>
      </c>
      <c r="AJ998">
        <v>28.272628999999998</v>
      </c>
      <c r="AK998" t="s">
        <v>266</v>
      </c>
      <c r="AL998">
        <v>-82.380938999999998</v>
      </c>
      <c r="AM998">
        <v>100</v>
      </c>
      <c r="AN998">
        <v>1200</v>
      </c>
      <c r="AO998" t="s">
        <v>118</v>
      </c>
      <c r="AP998">
        <v>-16</v>
      </c>
      <c r="AQ998">
        <v>87</v>
      </c>
      <c r="AR998">
        <v>384</v>
      </c>
      <c r="AZ998">
        <v>1200</v>
      </c>
      <c r="BA998">
        <v>1</v>
      </c>
      <c r="BB998" t="str">
        <f t="shared" si="466"/>
        <v xml:space="preserve">N711JA  </v>
      </c>
      <c r="BC998">
        <v>1</v>
      </c>
      <c r="BE998">
        <v>0</v>
      </c>
      <c r="BF998">
        <v>0</v>
      </c>
      <c r="BG998">
        <v>0</v>
      </c>
      <c r="BH998">
        <v>1325</v>
      </c>
      <c r="BI998">
        <v>1</v>
      </c>
      <c r="BJ998">
        <v>1</v>
      </c>
      <c r="BK998">
        <v>0</v>
      </c>
      <c r="BL998">
        <v>0</v>
      </c>
      <c r="BO998">
        <v>0</v>
      </c>
      <c r="BP998">
        <v>0</v>
      </c>
      <c r="BW998" t="str">
        <f t="shared" si="473"/>
        <v>14:42:47.169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343</v>
      </c>
      <c r="CR998">
        <v>2</v>
      </c>
      <c r="CW998">
        <v>13015576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1</v>
      </c>
      <c r="DF998">
        <v>0</v>
      </c>
      <c r="DG998">
        <v>1</v>
      </c>
      <c r="DH998">
        <v>0</v>
      </c>
      <c r="DI998">
        <v>0</v>
      </c>
    </row>
    <row r="999" spans="1:113" x14ac:dyDescent="0.3">
      <c r="A999" t="str">
        <f t="shared" si="471"/>
        <v>05/12/2020 14:42:29.334</v>
      </c>
      <c r="C999" t="str">
        <f t="shared" si="465"/>
        <v>FFDFD3C0</v>
      </c>
      <c r="D999" t="s">
        <v>126</v>
      </c>
      <c r="E999">
        <v>7</v>
      </c>
      <c r="F999">
        <v>1007</v>
      </c>
      <c r="G999" t="s">
        <v>127</v>
      </c>
      <c r="J999" t="s">
        <v>128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472"/>
        <v>14:42:47.164</v>
      </c>
      <c r="T999" t="str">
        <f t="shared" si="472"/>
        <v>14:42:47.164</v>
      </c>
      <c r="U999" t="str">
        <f t="shared" si="457"/>
        <v>A9808D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1</v>
      </c>
      <c r="AG999">
        <v>2</v>
      </c>
      <c r="AH999">
        <v>0</v>
      </c>
      <c r="AI999" t="s">
        <v>324</v>
      </c>
      <c r="AJ999">
        <v>28.272628999999998</v>
      </c>
      <c r="AK999" t="s">
        <v>266</v>
      </c>
      <c r="AL999">
        <v>-82.380938999999998</v>
      </c>
      <c r="AM999">
        <v>100</v>
      </c>
      <c r="AN999">
        <v>1200</v>
      </c>
      <c r="AO999" t="s">
        <v>118</v>
      </c>
      <c r="AP999">
        <v>-16</v>
      </c>
      <c r="AQ999">
        <v>87</v>
      </c>
      <c r="AR999">
        <v>384</v>
      </c>
      <c r="AZ999">
        <v>1200</v>
      </c>
      <c r="BA999">
        <v>1</v>
      </c>
      <c r="BB999" t="str">
        <f t="shared" si="466"/>
        <v xml:space="preserve">N711JA  </v>
      </c>
      <c r="BC999">
        <v>1</v>
      </c>
      <c r="BE999">
        <v>0</v>
      </c>
      <c r="BF999">
        <v>0</v>
      </c>
      <c r="BG999">
        <v>0</v>
      </c>
      <c r="BH999">
        <v>1325</v>
      </c>
      <c r="BI999">
        <v>1</v>
      </c>
      <c r="BJ999">
        <v>1</v>
      </c>
      <c r="BK999">
        <v>0</v>
      </c>
      <c r="BL999">
        <v>0</v>
      </c>
      <c r="BO999">
        <v>0</v>
      </c>
      <c r="BP999">
        <v>0</v>
      </c>
      <c r="BW999" t="str">
        <f t="shared" si="473"/>
        <v>14:42:47.169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343</v>
      </c>
      <c r="CR999">
        <v>2</v>
      </c>
      <c r="CW999">
        <v>13015576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1</v>
      </c>
      <c r="DF999">
        <v>0</v>
      </c>
      <c r="DG999">
        <v>1</v>
      </c>
      <c r="DH999">
        <v>0</v>
      </c>
      <c r="DI999">
        <v>0</v>
      </c>
    </row>
    <row r="1000" spans="1:113" x14ac:dyDescent="0.3">
      <c r="A1000" t="str">
        <f t="shared" si="471"/>
        <v>05/12/2020 14:42:29.334</v>
      </c>
      <c r="C1000" t="str">
        <f t="shared" si="465"/>
        <v>FFDFD3C0</v>
      </c>
      <c r="D1000" t="s">
        <v>131</v>
      </c>
      <c r="E1000">
        <v>10</v>
      </c>
      <c r="F1000">
        <v>2010</v>
      </c>
      <c r="G1000" t="s">
        <v>132</v>
      </c>
      <c r="J1000" t="s">
        <v>133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472"/>
        <v>14:42:47.164</v>
      </c>
      <c r="T1000" t="str">
        <f t="shared" si="472"/>
        <v>14:42:47.164</v>
      </c>
      <c r="U1000" t="str">
        <f t="shared" si="457"/>
        <v>A9808D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1</v>
      </c>
      <c r="AG1000">
        <v>2</v>
      </c>
      <c r="AH1000">
        <v>0</v>
      </c>
      <c r="AI1000" t="s">
        <v>324</v>
      </c>
      <c r="AJ1000">
        <v>28.272628999999998</v>
      </c>
      <c r="AK1000" t="s">
        <v>266</v>
      </c>
      <c r="AL1000">
        <v>-82.380938999999998</v>
      </c>
      <c r="AM1000">
        <v>100</v>
      </c>
      <c r="AN1000">
        <v>1200</v>
      </c>
      <c r="AO1000" t="s">
        <v>118</v>
      </c>
      <c r="AP1000">
        <v>-16</v>
      </c>
      <c r="AQ1000">
        <v>87</v>
      </c>
      <c r="AR1000">
        <v>384</v>
      </c>
      <c r="AZ1000">
        <v>1200</v>
      </c>
      <c r="BA1000">
        <v>1</v>
      </c>
      <c r="BB1000" t="str">
        <f t="shared" si="466"/>
        <v xml:space="preserve">N711JA  </v>
      </c>
      <c r="BC1000">
        <v>1</v>
      </c>
      <c r="BE1000">
        <v>0</v>
      </c>
      <c r="BF1000">
        <v>0</v>
      </c>
      <c r="BG1000">
        <v>0</v>
      </c>
      <c r="BH1000">
        <v>1325</v>
      </c>
      <c r="BI1000">
        <v>1</v>
      </c>
      <c r="BJ1000">
        <v>1</v>
      </c>
      <c r="BK1000">
        <v>0</v>
      </c>
      <c r="BL1000">
        <v>0</v>
      </c>
      <c r="BO1000">
        <v>0</v>
      </c>
      <c r="BP1000">
        <v>0</v>
      </c>
      <c r="BW1000" t="str">
        <f t="shared" si="473"/>
        <v>14:42:47.169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343</v>
      </c>
      <c r="CR1000">
        <v>2</v>
      </c>
      <c r="CW1000">
        <v>13015576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1</v>
      </c>
      <c r="DE1000">
        <v>1</v>
      </c>
      <c r="DF1000">
        <v>0</v>
      </c>
      <c r="DG1000">
        <v>1</v>
      </c>
      <c r="DH1000">
        <v>0</v>
      </c>
      <c r="DI1000">
        <v>0</v>
      </c>
    </row>
    <row r="1001" spans="1:113" x14ac:dyDescent="0.3">
      <c r="A1001" t="str">
        <f t="shared" si="471"/>
        <v>05/12/2020 14:42:29.334</v>
      </c>
      <c r="C1001" t="str">
        <f t="shared" si="465"/>
        <v>FFDFD3C0</v>
      </c>
      <c r="D1001" t="s">
        <v>131</v>
      </c>
      <c r="E1001">
        <v>12</v>
      </c>
      <c r="F1001">
        <v>2012</v>
      </c>
      <c r="G1001" t="s">
        <v>137</v>
      </c>
      <c r="J1001" t="s">
        <v>133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472"/>
        <v>14:42:47.164</v>
      </c>
      <c r="T1001" t="str">
        <f t="shared" si="472"/>
        <v>14:42:47.164</v>
      </c>
      <c r="U1001" t="str">
        <f t="shared" si="457"/>
        <v>A9808D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1</v>
      </c>
      <c r="AG1001">
        <v>2</v>
      </c>
      <c r="AH1001">
        <v>0</v>
      </c>
      <c r="AI1001" t="s">
        <v>324</v>
      </c>
      <c r="AJ1001">
        <v>28.272628999999998</v>
      </c>
      <c r="AK1001" t="s">
        <v>266</v>
      </c>
      <c r="AL1001">
        <v>-82.380938999999998</v>
      </c>
      <c r="AM1001">
        <v>100</v>
      </c>
      <c r="AN1001">
        <v>1200</v>
      </c>
      <c r="AO1001" t="s">
        <v>118</v>
      </c>
      <c r="AP1001">
        <v>-16</v>
      </c>
      <c r="AQ1001">
        <v>87</v>
      </c>
      <c r="AR1001">
        <v>384</v>
      </c>
      <c r="AZ1001">
        <v>1200</v>
      </c>
      <c r="BA1001">
        <v>1</v>
      </c>
      <c r="BB1001" t="str">
        <f t="shared" si="466"/>
        <v xml:space="preserve">N711JA  </v>
      </c>
      <c r="BC1001">
        <v>1</v>
      </c>
      <c r="BE1001">
        <v>0</v>
      </c>
      <c r="BF1001">
        <v>0</v>
      </c>
      <c r="BG1001">
        <v>0</v>
      </c>
      <c r="BH1001">
        <v>1325</v>
      </c>
      <c r="BI1001">
        <v>1</v>
      </c>
      <c r="BJ1001">
        <v>1</v>
      </c>
      <c r="BK1001">
        <v>0</v>
      </c>
      <c r="BL1001">
        <v>0</v>
      </c>
      <c r="BO1001">
        <v>0</v>
      </c>
      <c r="BP1001">
        <v>0</v>
      </c>
      <c r="BW1001" t="str">
        <f t="shared" si="473"/>
        <v>14:42:47.169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343</v>
      </c>
      <c r="CR1001">
        <v>2</v>
      </c>
      <c r="CW1001">
        <v>13015576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1</v>
      </c>
      <c r="DF1001">
        <v>0</v>
      </c>
      <c r="DG1001">
        <v>1</v>
      </c>
      <c r="DH1001">
        <v>0</v>
      </c>
      <c r="DI1001">
        <v>0</v>
      </c>
    </row>
    <row r="1002" spans="1:113" x14ac:dyDescent="0.3">
      <c r="A1002" t="str">
        <f t="shared" si="471"/>
        <v>05/12/2020 14:42:29.334</v>
      </c>
      <c r="C1002" t="str">
        <f t="shared" si="465"/>
        <v>FFDFD3C0</v>
      </c>
      <c r="D1002" t="s">
        <v>131</v>
      </c>
      <c r="E1002">
        <v>18</v>
      </c>
      <c r="F1002">
        <v>2018</v>
      </c>
      <c r="G1002" t="s">
        <v>161</v>
      </c>
      <c r="J1002" t="s">
        <v>133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472"/>
        <v>14:42:47.164</v>
      </c>
      <c r="T1002" t="str">
        <f t="shared" si="472"/>
        <v>14:42:47.164</v>
      </c>
      <c r="U1002" t="str">
        <f t="shared" si="457"/>
        <v>A9808D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1</v>
      </c>
      <c r="AG1002">
        <v>2</v>
      </c>
      <c r="AH1002">
        <v>0</v>
      </c>
      <c r="AI1002" t="s">
        <v>324</v>
      </c>
      <c r="AJ1002">
        <v>28.272628999999998</v>
      </c>
      <c r="AK1002" t="s">
        <v>266</v>
      </c>
      <c r="AL1002">
        <v>-82.380938999999998</v>
      </c>
      <c r="AM1002">
        <v>100</v>
      </c>
      <c r="AN1002">
        <v>1200</v>
      </c>
      <c r="AO1002" t="s">
        <v>118</v>
      </c>
      <c r="AP1002">
        <v>-16</v>
      </c>
      <c r="AQ1002">
        <v>87</v>
      </c>
      <c r="AR1002">
        <v>384</v>
      </c>
      <c r="AZ1002">
        <v>1200</v>
      </c>
      <c r="BA1002">
        <v>1</v>
      </c>
      <c r="BB1002" t="str">
        <f t="shared" si="466"/>
        <v xml:space="preserve">N711JA  </v>
      </c>
      <c r="BC1002">
        <v>1</v>
      </c>
      <c r="BE1002">
        <v>0</v>
      </c>
      <c r="BF1002">
        <v>0</v>
      </c>
      <c r="BG1002">
        <v>0</v>
      </c>
      <c r="BH1002">
        <v>1325</v>
      </c>
      <c r="BI1002">
        <v>1</v>
      </c>
      <c r="BJ1002">
        <v>1</v>
      </c>
      <c r="BK1002">
        <v>0</v>
      </c>
      <c r="BL1002">
        <v>0</v>
      </c>
      <c r="BO1002">
        <v>0</v>
      </c>
      <c r="BP1002">
        <v>0</v>
      </c>
      <c r="BW1002" t="str">
        <f t="shared" si="473"/>
        <v>14:42:47.169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343</v>
      </c>
      <c r="CR1002">
        <v>2</v>
      </c>
      <c r="CW1002">
        <v>13015576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1</v>
      </c>
      <c r="DF1002">
        <v>0</v>
      </c>
      <c r="DG1002">
        <v>1</v>
      </c>
      <c r="DH1002">
        <v>0</v>
      </c>
      <c r="DI1002">
        <v>0</v>
      </c>
    </row>
    <row r="1003" spans="1:113" x14ac:dyDescent="0.3">
      <c r="A1003" t="str">
        <f t="shared" si="471"/>
        <v>05/12/2020 14:42:29.334</v>
      </c>
      <c r="C1003" t="str">
        <f t="shared" si="465"/>
        <v>FFDFD3C0</v>
      </c>
      <c r="D1003" t="s">
        <v>113</v>
      </c>
      <c r="E1003">
        <v>3</v>
      </c>
      <c r="H1003">
        <v>164</v>
      </c>
      <c r="I1003" t="s">
        <v>114</v>
      </c>
      <c r="J1003" t="s">
        <v>115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472"/>
        <v>14:42:47.164</v>
      </c>
      <c r="T1003" t="str">
        <f t="shared" si="472"/>
        <v>14:42:47.164</v>
      </c>
      <c r="U1003" t="str">
        <f t="shared" si="457"/>
        <v>A9808D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1</v>
      </c>
      <c r="AG1003">
        <v>2</v>
      </c>
      <c r="AH1003">
        <v>0</v>
      </c>
      <c r="AI1003" t="s">
        <v>324</v>
      </c>
      <c r="AJ1003">
        <v>28.272628999999998</v>
      </c>
      <c r="AK1003" t="s">
        <v>266</v>
      </c>
      <c r="AL1003">
        <v>-82.380938999999998</v>
      </c>
      <c r="AM1003">
        <v>100</v>
      </c>
      <c r="AN1003">
        <v>1200</v>
      </c>
      <c r="AO1003" t="s">
        <v>118</v>
      </c>
      <c r="AP1003">
        <v>-16</v>
      </c>
      <c r="AQ1003">
        <v>87</v>
      </c>
      <c r="AR1003">
        <v>384</v>
      </c>
      <c r="AZ1003">
        <v>1200</v>
      </c>
      <c r="BA1003">
        <v>1</v>
      </c>
      <c r="BB1003" t="str">
        <f t="shared" si="466"/>
        <v xml:space="preserve">N711JA  </v>
      </c>
      <c r="BC1003">
        <v>1</v>
      </c>
      <c r="BE1003">
        <v>0</v>
      </c>
      <c r="BF1003">
        <v>0</v>
      </c>
      <c r="BG1003">
        <v>0</v>
      </c>
      <c r="BH1003">
        <v>1325</v>
      </c>
      <c r="BI1003">
        <v>1</v>
      </c>
      <c r="BJ1003">
        <v>1</v>
      </c>
      <c r="BK1003">
        <v>0</v>
      </c>
      <c r="BL1003">
        <v>0</v>
      </c>
      <c r="BO1003">
        <v>0</v>
      </c>
      <c r="BP1003">
        <v>0</v>
      </c>
      <c r="BW1003" t="str">
        <f t="shared" si="473"/>
        <v>14:42:47.169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343</v>
      </c>
      <c r="CR1003">
        <v>2</v>
      </c>
      <c r="CW1003">
        <v>13015576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1</v>
      </c>
      <c r="DF1003">
        <v>0</v>
      </c>
      <c r="DG1003">
        <v>1</v>
      </c>
      <c r="DH1003">
        <v>0</v>
      </c>
      <c r="DI1003">
        <v>0</v>
      </c>
    </row>
    <row r="1004" spans="1:113" x14ac:dyDescent="0.3">
      <c r="A1004" t="str">
        <f t="shared" ref="A1004:A1012" si="474">"05/12/2020 14:42:30.316"</f>
        <v>05/12/2020 14:42:30.316</v>
      </c>
      <c r="C1004" t="str">
        <f t="shared" si="465"/>
        <v>FFDFD3C0</v>
      </c>
      <c r="D1004" t="s">
        <v>134</v>
      </c>
      <c r="E1004">
        <v>12</v>
      </c>
      <c r="H1004">
        <v>64</v>
      </c>
      <c r="I1004" t="s">
        <v>135</v>
      </c>
      <c r="J1004" t="s">
        <v>136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ref="S1004:T1012" si="475">"14:42:48.156"</f>
        <v>14:42:48.156</v>
      </c>
      <c r="T1004" t="str">
        <f t="shared" si="475"/>
        <v>14:42:48.156</v>
      </c>
      <c r="U1004" t="str">
        <f t="shared" si="457"/>
        <v>A9808D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1</v>
      </c>
      <c r="AG1004">
        <v>2</v>
      </c>
      <c r="AH1004">
        <v>0</v>
      </c>
      <c r="AI1004" t="s">
        <v>325</v>
      </c>
      <c r="AJ1004">
        <v>28.273036000000001</v>
      </c>
      <c r="AK1004" t="s">
        <v>326</v>
      </c>
      <c r="AL1004">
        <v>-82.381023999999996</v>
      </c>
      <c r="AM1004">
        <v>100</v>
      </c>
      <c r="AN1004">
        <v>1200</v>
      </c>
      <c r="AO1004" t="s">
        <v>118</v>
      </c>
      <c r="AP1004">
        <v>-17</v>
      </c>
      <c r="AQ1004">
        <v>87</v>
      </c>
      <c r="AR1004">
        <v>448</v>
      </c>
      <c r="AZ1004">
        <v>1200</v>
      </c>
      <c r="BA1004">
        <v>1</v>
      </c>
      <c r="BB1004" t="str">
        <f t="shared" si="466"/>
        <v xml:space="preserve">N711JA  </v>
      </c>
      <c r="BC1004">
        <v>1</v>
      </c>
      <c r="BE1004">
        <v>0</v>
      </c>
      <c r="BF1004">
        <v>0</v>
      </c>
      <c r="BG1004">
        <v>0</v>
      </c>
      <c r="BH1004">
        <v>1325</v>
      </c>
      <c r="BI1004">
        <v>1</v>
      </c>
      <c r="BJ1004">
        <v>1</v>
      </c>
      <c r="BK1004">
        <v>0</v>
      </c>
      <c r="BL1004">
        <v>0</v>
      </c>
      <c r="BO1004">
        <v>0</v>
      </c>
      <c r="BP1004">
        <v>0</v>
      </c>
      <c r="BW1004" t="str">
        <f t="shared" ref="BW1004:BW1012" si="476">"14:42:48.156"</f>
        <v>14:42:48.156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343</v>
      </c>
      <c r="CR1004">
        <v>2</v>
      </c>
      <c r="CW1004">
        <v>13016353</v>
      </c>
      <c r="CY1004">
        <v>1</v>
      </c>
      <c r="CZ1004">
        <v>0</v>
      </c>
      <c r="DA1004">
        <v>0</v>
      </c>
      <c r="DB1004">
        <v>0</v>
      </c>
      <c r="DC1004">
        <v>0</v>
      </c>
      <c r="DD1004">
        <v>1</v>
      </c>
      <c r="DE1004">
        <v>1</v>
      </c>
      <c r="DF1004">
        <v>0</v>
      </c>
      <c r="DG1004">
        <v>1</v>
      </c>
      <c r="DH1004">
        <v>0</v>
      </c>
      <c r="DI1004">
        <v>0</v>
      </c>
    </row>
    <row r="1005" spans="1:113" x14ac:dyDescent="0.3">
      <c r="A1005" t="str">
        <f t="shared" si="474"/>
        <v>05/12/2020 14:42:30.316</v>
      </c>
      <c r="C1005" t="str">
        <f t="shared" si="465"/>
        <v>FFDFD3C0</v>
      </c>
      <c r="D1005" t="s">
        <v>113</v>
      </c>
      <c r="E1005">
        <v>3</v>
      </c>
      <c r="H1005">
        <v>164</v>
      </c>
      <c r="I1005" t="s">
        <v>114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475"/>
        <v>14:42:48.156</v>
      </c>
      <c r="T1005" t="str">
        <f t="shared" si="475"/>
        <v>14:42:48.156</v>
      </c>
      <c r="U1005" t="str">
        <f t="shared" si="457"/>
        <v>A9808D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1</v>
      </c>
      <c r="AG1005">
        <v>2</v>
      </c>
      <c r="AH1005">
        <v>0</v>
      </c>
      <c r="AI1005" t="s">
        <v>325</v>
      </c>
      <c r="AJ1005">
        <v>28.273036000000001</v>
      </c>
      <c r="AK1005" t="s">
        <v>326</v>
      </c>
      <c r="AL1005">
        <v>-82.381023999999996</v>
      </c>
      <c r="AM1005">
        <v>100</v>
      </c>
      <c r="AN1005">
        <v>1200</v>
      </c>
      <c r="AO1005" t="s">
        <v>118</v>
      </c>
      <c r="AP1005">
        <v>-17</v>
      </c>
      <c r="AQ1005">
        <v>87</v>
      </c>
      <c r="AR1005">
        <v>448</v>
      </c>
      <c r="AZ1005">
        <v>1200</v>
      </c>
      <c r="BA1005">
        <v>1</v>
      </c>
      <c r="BB1005" t="str">
        <f t="shared" si="466"/>
        <v xml:space="preserve">N711JA  </v>
      </c>
      <c r="BC1005">
        <v>1</v>
      </c>
      <c r="BE1005">
        <v>0</v>
      </c>
      <c r="BF1005">
        <v>0</v>
      </c>
      <c r="BG1005">
        <v>0</v>
      </c>
      <c r="BH1005">
        <v>1325</v>
      </c>
      <c r="BI1005">
        <v>1</v>
      </c>
      <c r="BJ1005">
        <v>1</v>
      </c>
      <c r="BK1005">
        <v>0</v>
      </c>
      <c r="BL1005">
        <v>0</v>
      </c>
      <c r="BO1005">
        <v>0</v>
      </c>
      <c r="BP1005">
        <v>0</v>
      </c>
      <c r="BW1005" t="str">
        <f t="shared" si="476"/>
        <v>14:42:48.156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343</v>
      </c>
      <c r="CR1005">
        <v>2</v>
      </c>
      <c r="CW1005">
        <v>13016353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1</v>
      </c>
      <c r="DE1005">
        <v>1</v>
      </c>
      <c r="DF1005">
        <v>0</v>
      </c>
      <c r="DG1005">
        <v>1</v>
      </c>
      <c r="DH1005">
        <v>0</v>
      </c>
      <c r="DI1005">
        <v>0</v>
      </c>
    </row>
    <row r="1006" spans="1:113" x14ac:dyDescent="0.3">
      <c r="A1006" t="str">
        <f t="shared" si="474"/>
        <v>05/12/2020 14:42:30.316</v>
      </c>
      <c r="C1006" t="str">
        <f t="shared" si="465"/>
        <v>FFDFD3C0</v>
      </c>
      <c r="D1006" t="s">
        <v>138</v>
      </c>
      <c r="E1006">
        <v>2</v>
      </c>
      <c r="H1006">
        <v>8</v>
      </c>
      <c r="I1006" t="s">
        <v>139</v>
      </c>
      <c r="J1006" t="s">
        <v>136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475"/>
        <v>14:42:48.156</v>
      </c>
      <c r="T1006" t="str">
        <f t="shared" si="475"/>
        <v>14:42:48.156</v>
      </c>
      <c r="U1006" t="str">
        <f t="shared" si="457"/>
        <v>A9808D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1</v>
      </c>
      <c r="AG1006">
        <v>2</v>
      </c>
      <c r="AH1006">
        <v>0</v>
      </c>
      <c r="AI1006" t="s">
        <v>325</v>
      </c>
      <c r="AJ1006">
        <v>28.273036000000001</v>
      </c>
      <c r="AK1006" t="s">
        <v>326</v>
      </c>
      <c r="AL1006">
        <v>-82.381023999999996</v>
      </c>
      <c r="AM1006">
        <v>100</v>
      </c>
      <c r="AN1006">
        <v>1200</v>
      </c>
      <c r="AO1006" t="s">
        <v>118</v>
      </c>
      <c r="AP1006">
        <v>-17</v>
      </c>
      <c r="AQ1006">
        <v>87</v>
      </c>
      <c r="AR1006">
        <v>448</v>
      </c>
      <c r="AZ1006">
        <v>1200</v>
      </c>
      <c r="BA1006">
        <v>1</v>
      </c>
      <c r="BB1006" t="str">
        <f t="shared" si="466"/>
        <v xml:space="preserve">N711JA  </v>
      </c>
      <c r="BC1006">
        <v>1</v>
      </c>
      <c r="BE1006">
        <v>0</v>
      </c>
      <c r="BF1006">
        <v>0</v>
      </c>
      <c r="BG1006">
        <v>0</v>
      </c>
      <c r="BH1006">
        <v>1325</v>
      </c>
      <c r="BI1006">
        <v>1</v>
      </c>
      <c r="BJ1006">
        <v>1</v>
      </c>
      <c r="BK1006">
        <v>0</v>
      </c>
      <c r="BL1006">
        <v>0</v>
      </c>
      <c r="BO1006">
        <v>0</v>
      </c>
      <c r="BP1006">
        <v>0</v>
      </c>
      <c r="BW1006" t="str">
        <f t="shared" si="476"/>
        <v>14:42:48.156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343</v>
      </c>
      <c r="CR1006">
        <v>2</v>
      </c>
      <c r="CW1006">
        <v>13016353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1</v>
      </c>
      <c r="DF1006">
        <v>0</v>
      </c>
      <c r="DG1006">
        <v>1</v>
      </c>
      <c r="DH1006">
        <v>0</v>
      </c>
      <c r="DI1006">
        <v>0</v>
      </c>
    </row>
    <row r="1007" spans="1:113" x14ac:dyDescent="0.3">
      <c r="A1007" t="str">
        <f t="shared" si="474"/>
        <v>05/12/2020 14:42:30.316</v>
      </c>
      <c r="C1007" t="str">
        <f t="shared" si="465"/>
        <v>FFDFD3C0</v>
      </c>
      <c r="D1007" t="s">
        <v>138</v>
      </c>
      <c r="E1007">
        <v>3</v>
      </c>
      <c r="H1007">
        <v>9</v>
      </c>
      <c r="I1007" t="s">
        <v>140</v>
      </c>
      <c r="J1007" t="s">
        <v>136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475"/>
        <v>14:42:48.156</v>
      </c>
      <c r="T1007" t="str">
        <f t="shared" si="475"/>
        <v>14:42:48.156</v>
      </c>
      <c r="U1007" t="str">
        <f t="shared" si="457"/>
        <v>A9808D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1</v>
      </c>
      <c r="AG1007">
        <v>2</v>
      </c>
      <c r="AH1007">
        <v>0</v>
      </c>
      <c r="AI1007" t="s">
        <v>325</v>
      </c>
      <c r="AJ1007">
        <v>28.273036000000001</v>
      </c>
      <c r="AK1007" t="s">
        <v>326</v>
      </c>
      <c r="AL1007">
        <v>-82.381023999999996</v>
      </c>
      <c r="AM1007">
        <v>100</v>
      </c>
      <c r="AN1007">
        <v>1200</v>
      </c>
      <c r="AO1007" t="s">
        <v>118</v>
      </c>
      <c r="AP1007">
        <v>-17</v>
      </c>
      <c r="AQ1007">
        <v>87</v>
      </c>
      <c r="AR1007">
        <v>448</v>
      </c>
      <c r="AZ1007">
        <v>1200</v>
      </c>
      <c r="BA1007">
        <v>1</v>
      </c>
      <c r="BB1007" t="str">
        <f t="shared" si="466"/>
        <v xml:space="preserve">N711JA  </v>
      </c>
      <c r="BC1007">
        <v>1</v>
      </c>
      <c r="BE1007">
        <v>0</v>
      </c>
      <c r="BF1007">
        <v>0</v>
      </c>
      <c r="BG1007">
        <v>0</v>
      </c>
      <c r="BH1007">
        <v>1325</v>
      </c>
      <c r="BI1007">
        <v>1</v>
      </c>
      <c r="BJ1007">
        <v>1</v>
      </c>
      <c r="BK1007">
        <v>0</v>
      </c>
      <c r="BL1007">
        <v>0</v>
      </c>
      <c r="BO1007">
        <v>0</v>
      </c>
      <c r="BP1007">
        <v>0</v>
      </c>
      <c r="BW1007" t="str">
        <f t="shared" si="476"/>
        <v>14:42:48.156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343</v>
      </c>
      <c r="CR1007">
        <v>2</v>
      </c>
      <c r="CW1007">
        <v>13016353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1</v>
      </c>
      <c r="DF1007">
        <v>0</v>
      </c>
      <c r="DG1007">
        <v>1</v>
      </c>
      <c r="DH1007">
        <v>0</v>
      </c>
      <c r="DI1007">
        <v>0</v>
      </c>
    </row>
    <row r="1008" spans="1:113" x14ac:dyDescent="0.3">
      <c r="A1008" t="str">
        <f t="shared" si="474"/>
        <v>05/12/2020 14:42:30.316</v>
      </c>
      <c r="C1008" t="str">
        <f t="shared" si="465"/>
        <v>FFDFD3C0</v>
      </c>
      <c r="D1008" t="s">
        <v>126</v>
      </c>
      <c r="E1008">
        <v>6</v>
      </c>
      <c r="F1008">
        <v>1006</v>
      </c>
      <c r="G1008" t="s">
        <v>114</v>
      </c>
      <c r="J1008" t="s">
        <v>128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475"/>
        <v>14:42:48.156</v>
      </c>
      <c r="T1008" t="str">
        <f t="shared" si="475"/>
        <v>14:42:48.156</v>
      </c>
      <c r="U1008" t="str">
        <f t="shared" si="457"/>
        <v>A9808D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1</v>
      </c>
      <c r="AG1008">
        <v>2</v>
      </c>
      <c r="AH1008">
        <v>0</v>
      </c>
      <c r="AI1008" t="s">
        <v>325</v>
      </c>
      <c r="AJ1008">
        <v>28.273036000000001</v>
      </c>
      <c r="AK1008" t="s">
        <v>326</v>
      </c>
      <c r="AL1008">
        <v>-82.381023999999996</v>
      </c>
      <c r="AM1008">
        <v>100</v>
      </c>
      <c r="AN1008">
        <v>1200</v>
      </c>
      <c r="AO1008" t="s">
        <v>118</v>
      </c>
      <c r="AP1008">
        <v>-17</v>
      </c>
      <c r="AQ1008">
        <v>87</v>
      </c>
      <c r="AR1008">
        <v>448</v>
      </c>
      <c r="AZ1008">
        <v>1200</v>
      </c>
      <c r="BA1008">
        <v>1</v>
      </c>
      <c r="BB1008" t="str">
        <f t="shared" si="466"/>
        <v xml:space="preserve">N711JA  </v>
      </c>
      <c r="BC1008">
        <v>1</v>
      </c>
      <c r="BE1008">
        <v>0</v>
      </c>
      <c r="BF1008">
        <v>0</v>
      </c>
      <c r="BG1008">
        <v>0</v>
      </c>
      <c r="BH1008">
        <v>1325</v>
      </c>
      <c r="BI1008">
        <v>1</v>
      </c>
      <c r="BJ1008">
        <v>1</v>
      </c>
      <c r="BK1008">
        <v>0</v>
      </c>
      <c r="BL1008">
        <v>0</v>
      </c>
      <c r="BO1008">
        <v>0</v>
      </c>
      <c r="BP1008">
        <v>0</v>
      </c>
      <c r="BW1008" t="str">
        <f t="shared" si="476"/>
        <v>14:42:48.156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343</v>
      </c>
      <c r="CR1008">
        <v>2</v>
      </c>
      <c r="CW1008">
        <v>13016353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1</v>
      </c>
      <c r="DF1008">
        <v>0</v>
      </c>
      <c r="DG1008">
        <v>1</v>
      </c>
      <c r="DH1008">
        <v>0</v>
      </c>
      <c r="DI1008">
        <v>0</v>
      </c>
    </row>
    <row r="1009" spans="1:113" x14ac:dyDescent="0.3">
      <c r="A1009" t="str">
        <f t="shared" si="474"/>
        <v>05/12/2020 14:42:30.316</v>
      </c>
      <c r="C1009" t="str">
        <f t="shared" si="465"/>
        <v>FFDFD3C0</v>
      </c>
      <c r="D1009" t="s">
        <v>126</v>
      </c>
      <c r="E1009">
        <v>7</v>
      </c>
      <c r="F1009">
        <v>1007</v>
      </c>
      <c r="G1009" t="s">
        <v>127</v>
      </c>
      <c r="J1009" t="s">
        <v>128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475"/>
        <v>14:42:48.156</v>
      </c>
      <c r="T1009" t="str">
        <f t="shared" si="475"/>
        <v>14:42:48.156</v>
      </c>
      <c r="U1009" t="str">
        <f t="shared" si="457"/>
        <v>A9808D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1</v>
      </c>
      <c r="AG1009">
        <v>2</v>
      </c>
      <c r="AH1009">
        <v>0</v>
      </c>
      <c r="AI1009" t="s">
        <v>325</v>
      </c>
      <c r="AJ1009">
        <v>28.273036000000001</v>
      </c>
      <c r="AK1009" t="s">
        <v>326</v>
      </c>
      <c r="AL1009">
        <v>-82.381023999999996</v>
      </c>
      <c r="AM1009">
        <v>100</v>
      </c>
      <c r="AN1009">
        <v>1200</v>
      </c>
      <c r="AO1009" t="s">
        <v>118</v>
      </c>
      <c r="AP1009">
        <v>-17</v>
      </c>
      <c r="AQ1009">
        <v>87</v>
      </c>
      <c r="AR1009">
        <v>448</v>
      </c>
      <c r="AZ1009">
        <v>1200</v>
      </c>
      <c r="BA1009">
        <v>1</v>
      </c>
      <c r="BB1009" t="str">
        <f t="shared" si="466"/>
        <v xml:space="preserve">N711JA  </v>
      </c>
      <c r="BC1009">
        <v>1</v>
      </c>
      <c r="BE1009">
        <v>0</v>
      </c>
      <c r="BF1009">
        <v>0</v>
      </c>
      <c r="BG1009">
        <v>0</v>
      </c>
      <c r="BH1009">
        <v>1325</v>
      </c>
      <c r="BI1009">
        <v>1</v>
      </c>
      <c r="BJ1009">
        <v>1</v>
      </c>
      <c r="BK1009">
        <v>0</v>
      </c>
      <c r="BL1009">
        <v>0</v>
      </c>
      <c r="BO1009">
        <v>0</v>
      </c>
      <c r="BP1009">
        <v>0</v>
      </c>
      <c r="BW1009" t="str">
        <f t="shared" si="476"/>
        <v>14:42:48.156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343</v>
      </c>
      <c r="CR1009">
        <v>2</v>
      </c>
      <c r="CW1009">
        <v>13016353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1</v>
      </c>
      <c r="DF1009">
        <v>0</v>
      </c>
      <c r="DG1009">
        <v>1</v>
      </c>
      <c r="DH1009">
        <v>0</v>
      </c>
      <c r="DI1009">
        <v>0</v>
      </c>
    </row>
    <row r="1010" spans="1:113" x14ac:dyDescent="0.3">
      <c r="A1010" t="str">
        <f t="shared" si="474"/>
        <v>05/12/2020 14:42:30.316</v>
      </c>
      <c r="C1010" t="str">
        <f t="shared" si="465"/>
        <v>FFDFD3C0</v>
      </c>
      <c r="D1010" t="s">
        <v>131</v>
      </c>
      <c r="E1010">
        <v>12</v>
      </c>
      <c r="F1010">
        <v>2012</v>
      </c>
      <c r="G1010" t="s">
        <v>137</v>
      </c>
      <c r="J1010" t="s">
        <v>133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475"/>
        <v>14:42:48.156</v>
      </c>
      <c r="T1010" t="str">
        <f t="shared" si="475"/>
        <v>14:42:48.156</v>
      </c>
      <c r="U1010" t="str">
        <f t="shared" si="457"/>
        <v>A9808D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1</v>
      </c>
      <c r="AG1010">
        <v>2</v>
      </c>
      <c r="AH1010">
        <v>0</v>
      </c>
      <c r="AI1010" t="s">
        <v>325</v>
      </c>
      <c r="AJ1010">
        <v>28.273036000000001</v>
      </c>
      <c r="AK1010" t="s">
        <v>326</v>
      </c>
      <c r="AL1010">
        <v>-82.381023999999996</v>
      </c>
      <c r="AM1010">
        <v>100</v>
      </c>
      <c r="AN1010">
        <v>1200</v>
      </c>
      <c r="AO1010" t="s">
        <v>118</v>
      </c>
      <c r="AP1010">
        <v>-17</v>
      </c>
      <c r="AQ1010">
        <v>87</v>
      </c>
      <c r="AR1010">
        <v>448</v>
      </c>
      <c r="AZ1010">
        <v>1200</v>
      </c>
      <c r="BA1010">
        <v>1</v>
      </c>
      <c r="BB1010" t="str">
        <f t="shared" si="466"/>
        <v xml:space="preserve">N711JA  </v>
      </c>
      <c r="BC1010">
        <v>1</v>
      </c>
      <c r="BE1010">
        <v>0</v>
      </c>
      <c r="BF1010">
        <v>0</v>
      </c>
      <c r="BG1010">
        <v>0</v>
      </c>
      <c r="BH1010">
        <v>1325</v>
      </c>
      <c r="BI1010">
        <v>1</v>
      </c>
      <c r="BJ1010">
        <v>1</v>
      </c>
      <c r="BK1010">
        <v>0</v>
      </c>
      <c r="BL1010">
        <v>0</v>
      </c>
      <c r="BO1010">
        <v>0</v>
      </c>
      <c r="BP1010">
        <v>0</v>
      </c>
      <c r="BW1010" t="str">
        <f t="shared" si="476"/>
        <v>14:42:48.156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343</v>
      </c>
      <c r="CR1010">
        <v>2</v>
      </c>
      <c r="CW1010">
        <v>13016353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1</v>
      </c>
      <c r="DE1010">
        <v>1</v>
      </c>
      <c r="DF1010">
        <v>0</v>
      </c>
      <c r="DG1010">
        <v>1</v>
      </c>
      <c r="DH1010">
        <v>0</v>
      </c>
      <c r="DI1010">
        <v>0</v>
      </c>
    </row>
    <row r="1011" spans="1:113" x14ac:dyDescent="0.3">
      <c r="A1011" t="str">
        <f t="shared" si="474"/>
        <v>05/12/2020 14:42:30.316</v>
      </c>
      <c r="C1011" t="str">
        <f t="shared" si="465"/>
        <v>FFDFD3C0</v>
      </c>
      <c r="D1011" t="s">
        <v>131</v>
      </c>
      <c r="E1011">
        <v>18</v>
      </c>
      <c r="F1011">
        <v>2018</v>
      </c>
      <c r="G1011" t="s">
        <v>161</v>
      </c>
      <c r="J1011" t="s">
        <v>133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475"/>
        <v>14:42:48.156</v>
      </c>
      <c r="T1011" t="str">
        <f t="shared" si="475"/>
        <v>14:42:48.156</v>
      </c>
      <c r="U1011" t="str">
        <f t="shared" si="457"/>
        <v>A9808D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1</v>
      </c>
      <c r="AG1011">
        <v>2</v>
      </c>
      <c r="AH1011">
        <v>0</v>
      </c>
      <c r="AI1011" t="s">
        <v>325</v>
      </c>
      <c r="AJ1011">
        <v>28.273036000000001</v>
      </c>
      <c r="AK1011" t="s">
        <v>326</v>
      </c>
      <c r="AL1011">
        <v>-82.381023999999996</v>
      </c>
      <c r="AM1011">
        <v>100</v>
      </c>
      <c r="AN1011">
        <v>1200</v>
      </c>
      <c r="AO1011" t="s">
        <v>118</v>
      </c>
      <c r="AP1011">
        <v>-17</v>
      </c>
      <c r="AQ1011">
        <v>87</v>
      </c>
      <c r="AR1011">
        <v>448</v>
      </c>
      <c r="AZ1011">
        <v>1200</v>
      </c>
      <c r="BA1011">
        <v>1</v>
      </c>
      <c r="BB1011" t="str">
        <f t="shared" si="466"/>
        <v xml:space="preserve">N711JA  </v>
      </c>
      <c r="BC1011">
        <v>1</v>
      </c>
      <c r="BE1011">
        <v>0</v>
      </c>
      <c r="BF1011">
        <v>0</v>
      </c>
      <c r="BG1011">
        <v>0</v>
      </c>
      <c r="BH1011">
        <v>1325</v>
      </c>
      <c r="BI1011">
        <v>1</v>
      </c>
      <c r="BJ1011">
        <v>1</v>
      </c>
      <c r="BK1011">
        <v>0</v>
      </c>
      <c r="BL1011">
        <v>0</v>
      </c>
      <c r="BO1011">
        <v>0</v>
      </c>
      <c r="BP1011">
        <v>0</v>
      </c>
      <c r="BW1011" t="str">
        <f t="shared" si="476"/>
        <v>14:42:48.156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343</v>
      </c>
      <c r="CR1011">
        <v>2</v>
      </c>
      <c r="CW1011">
        <v>13016353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1</v>
      </c>
      <c r="DF1011">
        <v>0</v>
      </c>
      <c r="DG1011">
        <v>1</v>
      </c>
      <c r="DH1011">
        <v>0</v>
      </c>
      <c r="DI1011">
        <v>0</v>
      </c>
    </row>
    <row r="1012" spans="1:113" x14ac:dyDescent="0.3">
      <c r="A1012" t="str">
        <f t="shared" si="474"/>
        <v>05/12/2020 14:42:30.316</v>
      </c>
      <c r="C1012" t="str">
        <f t="shared" si="465"/>
        <v>FFDFD3C0</v>
      </c>
      <c r="D1012" t="s">
        <v>131</v>
      </c>
      <c r="E1012">
        <v>10</v>
      </c>
      <c r="F1012">
        <v>2010</v>
      </c>
      <c r="G1012" t="s">
        <v>132</v>
      </c>
      <c r="J1012" t="s">
        <v>133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475"/>
        <v>14:42:48.156</v>
      </c>
      <c r="T1012" t="str">
        <f t="shared" si="475"/>
        <v>14:42:48.156</v>
      </c>
      <c r="U1012" t="str">
        <f t="shared" si="457"/>
        <v>A9808D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1</v>
      </c>
      <c r="AG1012">
        <v>2</v>
      </c>
      <c r="AH1012">
        <v>0</v>
      </c>
      <c r="AI1012" t="s">
        <v>325</v>
      </c>
      <c r="AJ1012">
        <v>28.273036000000001</v>
      </c>
      <c r="AK1012" t="s">
        <v>326</v>
      </c>
      <c r="AL1012">
        <v>-82.381023999999996</v>
      </c>
      <c r="AM1012">
        <v>100</v>
      </c>
      <c r="AN1012">
        <v>1200</v>
      </c>
      <c r="AO1012" t="s">
        <v>118</v>
      </c>
      <c r="AP1012">
        <v>-17</v>
      </c>
      <c r="AQ1012">
        <v>87</v>
      </c>
      <c r="AR1012">
        <v>448</v>
      </c>
      <c r="AZ1012">
        <v>1200</v>
      </c>
      <c r="BA1012">
        <v>1</v>
      </c>
      <c r="BB1012" t="str">
        <f t="shared" si="466"/>
        <v xml:space="preserve">N711JA  </v>
      </c>
      <c r="BC1012">
        <v>1</v>
      </c>
      <c r="BE1012">
        <v>0</v>
      </c>
      <c r="BF1012">
        <v>0</v>
      </c>
      <c r="BG1012">
        <v>0</v>
      </c>
      <c r="BH1012">
        <v>1325</v>
      </c>
      <c r="BI1012">
        <v>1</v>
      </c>
      <c r="BJ1012">
        <v>1</v>
      </c>
      <c r="BK1012">
        <v>0</v>
      </c>
      <c r="BL1012">
        <v>0</v>
      </c>
      <c r="BO1012">
        <v>0</v>
      </c>
      <c r="BP1012">
        <v>0</v>
      </c>
      <c r="BW1012" t="str">
        <f t="shared" si="476"/>
        <v>14:42:48.156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343</v>
      </c>
      <c r="CR1012">
        <v>2</v>
      </c>
      <c r="CW1012">
        <v>13016353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1</v>
      </c>
      <c r="DF1012">
        <v>0</v>
      </c>
      <c r="DG1012">
        <v>1</v>
      </c>
      <c r="DH1012">
        <v>0</v>
      </c>
      <c r="DI1012">
        <v>0</v>
      </c>
    </row>
    <row r="1013" spans="1:113" x14ac:dyDescent="0.3">
      <c r="A1013" t="str">
        <f t="shared" ref="A1013:A1021" si="477">"05/12/2020 14:42:31.157"</f>
        <v>05/12/2020 14:42:31.157</v>
      </c>
      <c r="C1013" t="str">
        <f t="shared" si="465"/>
        <v>FFDFD3C0</v>
      </c>
      <c r="D1013" t="s">
        <v>126</v>
      </c>
      <c r="E1013">
        <v>6</v>
      </c>
      <c r="F1013">
        <v>1006</v>
      </c>
      <c r="G1013" t="s">
        <v>114</v>
      </c>
      <c r="J1013" t="s">
        <v>128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S1021" si="478">"14:42:48.992"</f>
        <v>14:42:48.992</v>
      </c>
      <c r="T1013" t="str">
        <f t="shared" ref="T1013:T1021" si="479">"14:42:48.692"</f>
        <v>14:42:48.692</v>
      </c>
      <c r="U1013" t="str">
        <f t="shared" si="457"/>
        <v>A9808D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1</v>
      </c>
      <c r="AG1013">
        <v>2</v>
      </c>
      <c r="AH1013">
        <v>0</v>
      </c>
      <c r="AI1013" t="s">
        <v>327</v>
      </c>
      <c r="AJ1013">
        <v>28.273401</v>
      </c>
      <c r="AK1013" t="s">
        <v>260</v>
      </c>
      <c r="AL1013">
        <v>-82.381089000000003</v>
      </c>
      <c r="AM1013">
        <v>100</v>
      </c>
      <c r="AN1013">
        <v>1200</v>
      </c>
      <c r="AO1013" t="s">
        <v>118</v>
      </c>
      <c r="AP1013">
        <v>-19</v>
      </c>
      <c r="AQ1013">
        <v>87</v>
      </c>
      <c r="AR1013">
        <v>448</v>
      </c>
      <c r="AZ1013">
        <v>1200</v>
      </c>
      <c r="BA1013">
        <v>1</v>
      </c>
      <c r="BB1013" t="str">
        <f t="shared" si="466"/>
        <v xml:space="preserve">N711JA  </v>
      </c>
      <c r="BC1013">
        <v>1</v>
      </c>
      <c r="BE1013">
        <v>0</v>
      </c>
      <c r="BF1013">
        <v>0</v>
      </c>
      <c r="BG1013">
        <v>0</v>
      </c>
      <c r="BH1013">
        <v>1325</v>
      </c>
      <c r="BI1013">
        <v>1</v>
      </c>
      <c r="BJ1013">
        <v>1</v>
      </c>
      <c r="BK1013">
        <v>0</v>
      </c>
      <c r="BL1013">
        <v>0</v>
      </c>
      <c r="BO1013">
        <v>0</v>
      </c>
      <c r="BP1013">
        <v>0</v>
      </c>
      <c r="BW1013" t="str">
        <f t="shared" ref="BW1013:BW1021" si="480">"14:42:48.994"</f>
        <v>14:42:48.994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343</v>
      </c>
      <c r="CR1013">
        <v>2</v>
      </c>
      <c r="CW1013">
        <v>13016969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1</v>
      </c>
      <c r="DF1013">
        <v>0</v>
      </c>
      <c r="DG1013">
        <v>1</v>
      </c>
      <c r="DH1013">
        <v>0</v>
      </c>
      <c r="DI1013">
        <v>0</v>
      </c>
    </row>
    <row r="1014" spans="1:113" x14ac:dyDescent="0.3">
      <c r="A1014" t="str">
        <f t="shared" si="477"/>
        <v>05/12/2020 14:42:31.157</v>
      </c>
      <c r="C1014" t="str">
        <f t="shared" si="465"/>
        <v>FFDFD3C0</v>
      </c>
      <c r="D1014" t="s">
        <v>138</v>
      </c>
      <c r="E1014">
        <v>3</v>
      </c>
      <c r="H1014">
        <v>9</v>
      </c>
      <c r="I1014" t="s">
        <v>140</v>
      </c>
      <c r="J1014" t="s">
        <v>136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478"/>
        <v>14:42:48.992</v>
      </c>
      <c r="T1014" t="str">
        <f t="shared" si="479"/>
        <v>14:42:48.692</v>
      </c>
      <c r="U1014" t="str">
        <f t="shared" si="457"/>
        <v>A9808D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1</v>
      </c>
      <c r="AG1014">
        <v>2</v>
      </c>
      <c r="AH1014">
        <v>0</v>
      </c>
      <c r="AI1014" t="s">
        <v>327</v>
      </c>
      <c r="AJ1014">
        <v>28.273401</v>
      </c>
      <c r="AK1014" t="s">
        <v>260</v>
      </c>
      <c r="AL1014">
        <v>-82.381089000000003</v>
      </c>
      <c r="AM1014">
        <v>100</v>
      </c>
      <c r="AN1014">
        <v>1200</v>
      </c>
      <c r="AO1014" t="s">
        <v>118</v>
      </c>
      <c r="AP1014">
        <v>-19</v>
      </c>
      <c r="AQ1014">
        <v>87</v>
      </c>
      <c r="AR1014">
        <v>448</v>
      </c>
      <c r="AZ1014">
        <v>1200</v>
      </c>
      <c r="BA1014">
        <v>1</v>
      </c>
      <c r="BB1014" t="str">
        <f t="shared" si="466"/>
        <v xml:space="preserve">N711JA  </v>
      </c>
      <c r="BC1014">
        <v>1</v>
      </c>
      <c r="BE1014">
        <v>0</v>
      </c>
      <c r="BF1014">
        <v>0</v>
      </c>
      <c r="BG1014">
        <v>0</v>
      </c>
      <c r="BH1014">
        <v>1325</v>
      </c>
      <c r="BI1014">
        <v>1</v>
      </c>
      <c r="BJ1014">
        <v>1</v>
      </c>
      <c r="BK1014">
        <v>0</v>
      </c>
      <c r="BL1014">
        <v>0</v>
      </c>
      <c r="BO1014">
        <v>0</v>
      </c>
      <c r="BP1014">
        <v>0</v>
      </c>
      <c r="BW1014" t="str">
        <f t="shared" si="480"/>
        <v>14:42:48.994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343</v>
      </c>
      <c r="CR1014">
        <v>2</v>
      </c>
      <c r="CW1014">
        <v>13016969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1</v>
      </c>
      <c r="DF1014">
        <v>0</v>
      </c>
      <c r="DG1014">
        <v>1</v>
      </c>
      <c r="DH1014">
        <v>0</v>
      </c>
      <c r="DI1014">
        <v>0</v>
      </c>
    </row>
    <row r="1015" spans="1:113" x14ac:dyDescent="0.3">
      <c r="A1015" t="str">
        <f t="shared" si="477"/>
        <v>05/12/2020 14:42:31.157</v>
      </c>
      <c r="C1015" t="str">
        <f t="shared" si="465"/>
        <v>FFDFD3C0</v>
      </c>
      <c r="D1015" t="s">
        <v>126</v>
      </c>
      <c r="E1015">
        <v>7</v>
      </c>
      <c r="F1015">
        <v>1007</v>
      </c>
      <c r="G1015" t="s">
        <v>127</v>
      </c>
      <c r="J1015" t="s">
        <v>128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478"/>
        <v>14:42:48.992</v>
      </c>
      <c r="T1015" t="str">
        <f t="shared" si="479"/>
        <v>14:42:48.692</v>
      </c>
      <c r="U1015" t="str">
        <f t="shared" si="457"/>
        <v>A9808D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1</v>
      </c>
      <c r="AG1015">
        <v>2</v>
      </c>
      <c r="AH1015">
        <v>0</v>
      </c>
      <c r="AI1015" t="s">
        <v>327</v>
      </c>
      <c r="AJ1015">
        <v>28.273401</v>
      </c>
      <c r="AK1015" t="s">
        <v>260</v>
      </c>
      <c r="AL1015">
        <v>-82.381089000000003</v>
      </c>
      <c r="AM1015">
        <v>100</v>
      </c>
      <c r="AN1015">
        <v>1200</v>
      </c>
      <c r="AO1015" t="s">
        <v>118</v>
      </c>
      <c r="AP1015">
        <v>-19</v>
      </c>
      <c r="AQ1015">
        <v>87</v>
      </c>
      <c r="AR1015">
        <v>448</v>
      </c>
      <c r="AZ1015">
        <v>1200</v>
      </c>
      <c r="BA1015">
        <v>1</v>
      </c>
      <c r="BB1015" t="str">
        <f t="shared" si="466"/>
        <v xml:space="preserve">N711JA  </v>
      </c>
      <c r="BC1015">
        <v>1</v>
      </c>
      <c r="BE1015">
        <v>0</v>
      </c>
      <c r="BF1015">
        <v>0</v>
      </c>
      <c r="BG1015">
        <v>0</v>
      </c>
      <c r="BH1015">
        <v>1325</v>
      </c>
      <c r="BI1015">
        <v>1</v>
      </c>
      <c r="BJ1015">
        <v>1</v>
      </c>
      <c r="BK1015">
        <v>0</v>
      </c>
      <c r="BL1015">
        <v>0</v>
      </c>
      <c r="BO1015">
        <v>0</v>
      </c>
      <c r="BP1015">
        <v>0</v>
      </c>
      <c r="BW1015" t="str">
        <f t="shared" si="480"/>
        <v>14:42:48.994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343</v>
      </c>
      <c r="CR1015">
        <v>2</v>
      </c>
      <c r="CW1015">
        <v>13016969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1</v>
      </c>
      <c r="DF1015">
        <v>0</v>
      </c>
      <c r="DG1015">
        <v>1</v>
      </c>
      <c r="DH1015">
        <v>0</v>
      </c>
      <c r="DI1015">
        <v>0</v>
      </c>
    </row>
    <row r="1016" spans="1:113" x14ac:dyDescent="0.3">
      <c r="A1016" t="str">
        <f t="shared" si="477"/>
        <v>05/12/2020 14:42:31.157</v>
      </c>
      <c r="C1016" t="str">
        <f t="shared" si="465"/>
        <v>FFDFD3C0</v>
      </c>
      <c r="D1016" t="s">
        <v>131</v>
      </c>
      <c r="E1016">
        <v>10</v>
      </c>
      <c r="F1016">
        <v>2010</v>
      </c>
      <c r="G1016" t="s">
        <v>132</v>
      </c>
      <c r="J1016" t="s">
        <v>133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478"/>
        <v>14:42:48.992</v>
      </c>
      <c r="T1016" t="str">
        <f t="shared" si="479"/>
        <v>14:42:48.692</v>
      </c>
      <c r="U1016" t="str">
        <f t="shared" si="457"/>
        <v>A9808D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1</v>
      </c>
      <c r="AG1016">
        <v>2</v>
      </c>
      <c r="AH1016">
        <v>0</v>
      </c>
      <c r="AI1016" t="s">
        <v>327</v>
      </c>
      <c r="AJ1016">
        <v>28.273401</v>
      </c>
      <c r="AK1016" t="s">
        <v>260</v>
      </c>
      <c r="AL1016">
        <v>-82.381089000000003</v>
      </c>
      <c r="AM1016">
        <v>100</v>
      </c>
      <c r="AN1016">
        <v>1200</v>
      </c>
      <c r="AO1016" t="s">
        <v>118</v>
      </c>
      <c r="AP1016">
        <v>-19</v>
      </c>
      <c r="AQ1016">
        <v>87</v>
      </c>
      <c r="AR1016">
        <v>448</v>
      </c>
      <c r="AZ1016">
        <v>1200</v>
      </c>
      <c r="BA1016">
        <v>1</v>
      </c>
      <c r="BB1016" t="str">
        <f t="shared" si="466"/>
        <v xml:space="preserve">N711JA  </v>
      </c>
      <c r="BC1016">
        <v>1</v>
      </c>
      <c r="BE1016">
        <v>0</v>
      </c>
      <c r="BF1016">
        <v>0</v>
      </c>
      <c r="BG1016">
        <v>0</v>
      </c>
      <c r="BH1016">
        <v>1325</v>
      </c>
      <c r="BI1016">
        <v>1</v>
      </c>
      <c r="BJ1016">
        <v>1</v>
      </c>
      <c r="BK1016">
        <v>0</v>
      </c>
      <c r="BL1016">
        <v>0</v>
      </c>
      <c r="BO1016">
        <v>0</v>
      </c>
      <c r="BP1016">
        <v>0</v>
      </c>
      <c r="BW1016" t="str">
        <f t="shared" si="480"/>
        <v>14:42:48.994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343</v>
      </c>
      <c r="CR1016">
        <v>2</v>
      </c>
      <c r="CW1016">
        <v>13016969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1</v>
      </c>
      <c r="DF1016">
        <v>0</v>
      </c>
      <c r="DG1016">
        <v>1</v>
      </c>
      <c r="DH1016">
        <v>0</v>
      </c>
      <c r="DI1016">
        <v>0</v>
      </c>
    </row>
    <row r="1017" spans="1:113" x14ac:dyDescent="0.3">
      <c r="A1017" t="str">
        <f t="shared" si="477"/>
        <v>05/12/2020 14:42:31.157</v>
      </c>
      <c r="C1017" t="str">
        <f t="shared" si="465"/>
        <v>FFDFD3C0</v>
      </c>
      <c r="D1017" t="s">
        <v>131</v>
      </c>
      <c r="E1017">
        <v>12</v>
      </c>
      <c r="F1017">
        <v>2012</v>
      </c>
      <c r="G1017" t="s">
        <v>137</v>
      </c>
      <c r="J1017" t="s">
        <v>133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478"/>
        <v>14:42:48.992</v>
      </c>
      <c r="T1017" t="str">
        <f t="shared" si="479"/>
        <v>14:42:48.692</v>
      </c>
      <c r="U1017" t="str">
        <f t="shared" si="457"/>
        <v>A9808D</v>
      </c>
      <c r="V1017">
        <v>0</v>
      </c>
      <c r="W1017">
        <v>0</v>
      </c>
      <c r="X1017">
        <v>1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1</v>
      </c>
      <c r="AG1017">
        <v>2</v>
      </c>
      <c r="AH1017">
        <v>0</v>
      </c>
      <c r="AI1017" t="s">
        <v>327</v>
      </c>
      <c r="AJ1017">
        <v>28.273401</v>
      </c>
      <c r="AK1017" t="s">
        <v>260</v>
      </c>
      <c r="AL1017">
        <v>-82.381089000000003</v>
      </c>
      <c r="AM1017">
        <v>100</v>
      </c>
      <c r="AN1017">
        <v>1200</v>
      </c>
      <c r="AO1017" t="s">
        <v>118</v>
      </c>
      <c r="AP1017">
        <v>-19</v>
      </c>
      <c r="AQ1017">
        <v>87</v>
      </c>
      <c r="AR1017">
        <v>448</v>
      </c>
      <c r="AZ1017">
        <v>1200</v>
      </c>
      <c r="BA1017">
        <v>1</v>
      </c>
      <c r="BB1017" t="str">
        <f t="shared" si="466"/>
        <v xml:space="preserve">N711JA  </v>
      </c>
      <c r="BC1017">
        <v>1</v>
      </c>
      <c r="BE1017">
        <v>0</v>
      </c>
      <c r="BF1017">
        <v>0</v>
      </c>
      <c r="BG1017">
        <v>0</v>
      </c>
      <c r="BH1017">
        <v>1325</v>
      </c>
      <c r="BI1017">
        <v>1</v>
      </c>
      <c r="BJ1017">
        <v>1</v>
      </c>
      <c r="BK1017">
        <v>0</v>
      </c>
      <c r="BL1017">
        <v>0</v>
      </c>
      <c r="BO1017">
        <v>0</v>
      </c>
      <c r="BP1017">
        <v>0</v>
      </c>
      <c r="BW1017" t="str">
        <f t="shared" si="480"/>
        <v>14:42:48.994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343</v>
      </c>
      <c r="CR1017">
        <v>2</v>
      </c>
      <c r="CW1017">
        <v>13016969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1</v>
      </c>
      <c r="DE1017">
        <v>1</v>
      </c>
      <c r="DF1017">
        <v>0</v>
      </c>
      <c r="DG1017">
        <v>1</v>
      </c>
      <c r="DH1017">
        <v>0</v>
      </c>
      <c r="DI1017">
        <v>0</v>
      </c>
    </row>
    <row r="1018" spans="1:113" x14ac:dyDescent="0.3">
      <c r="A1018" t="str">
        <f t="shared" si="477"/>
        <v>05/12/2020 14:42:31.157</v>
      </c>
      <c r="C1018" t="str">
        <f t="shared" si="465"/>
        <v>FFDFD3C0</v>
      </c>
      <c r="D1018" t="s">
        <v>131</v>
      </c>
      <c r="E1018">
        <v>18</v>
      </c>
      <c r="F1018">
        <v>2018</v>
      </c>
      <c r="G1018" t="s">
        <v>161</v>
      </c>
      <c r="J1018" t="s">
        <v>133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478"/>
        <v>14:42:48.992</v>
      </c>
      <c r="T1018" t="str">
        <f t="shared" si="479"/>
        <v>14:42:48.692</v>
      </c>
      <c r="U1018" t="str">
        <f t="shared" si="457"/>
        <v>A9808D</v>
      </c>
      <c r="V1018">
        <v>0</v>
      </c>
      <c r="W1018">
        <v>0</v>
      </c>
      <c r="X1018">
        <v>1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1</v>
      </c>
      <c r="AG1018">
        <v>2</v>
      </c>
      <c r="AH1018">
        <v>0</v>
      </c>
      <c r="AI1018" t="s">
        <v>327</v>
      </c>
      <c r="AJ1018">
        <v>28.273401</v>
      </c>
      <c r="AK1018" t="s">
        <v>260</v>
      </c>
      <c r="AL1018">
        <v>-82.381089000000003</v>
      </c>
      <c r="AM1018">
        <v>100</v>
      </c>
      <c r="AN1018">
        <v>1200</v>
      </c>
      <c r="AO1018" t="s">
        <v>118</v>
      </c>
      <c r="AP1018">
        <v>-19</v>
      </c>
      <c r="AQ1018">
        <v>87</v>
      </c>
      <c r="AR1018">
        <v>448</v>
      </c>
      <c r="AZ1018">
        <v>1200</v>
      </c>
      <c r="BA1018">
        <v>1</v>
      </c>
      <c r="BB1018" t="str">
        <f t="shared" si="466"/>
        <v xml:space="preserve">N711JA  </v>
      </c>
      <c r="BC1018">
        <v>1</v>
      </c>
      <c r="BE1018">
        <v>0</v>
      </c>
      <c r="BF1018">
        <v>0</v>
      </c>
      <c r="BG1018">
        <v>0</v>
      </c>
      <c r="BH1018">
        <v>1325</v>
      </c>
      <c r="BI1018">
        <v>1</v>
      </c>
      <c r="BJ1018">
        <v>1</v>
      </c>
      <c r="BK1018">
        <v>0</v>
      </c>
      <c r="BL1018">
        <v>0</v>
      </c>
      <c r="BO1018">
        <v>0</v>
      </c>
      <c r="BP1018">
        <v>0</v>
      </c>
      <c r="BW1018" t="str">
        <f t="shared" si="480"/>
        <v>14:42:48.994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343</v>
      </c>
      <c r="CR1018">
        <v>2</v>
      </c>
      <c r="CW1018">
        <v>13016969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1</v>
      </c>
      <c r="DF1018">
        <v>0</v>
      </c>
      <c r="DG1018">
        <v>1</v>
      </c>
      <c r="DH1018">
        <v>0</v>
      </c>
      <c r="DI1018">
        <v>0</v>
      </c>
    </row>
    <row r="1019" spans="1:113" x14ac:dyDescent="0.3">
      <c r="A1019" t="str">
        <f t="shared" si="477"/>
        <v>05/12/2020 14:42:31.157</v>
      </c>
      <c r="C1019" t="str">
        <f t="shared" si="465"/>
        <v>FFDFD3C0</v>
      </c>
      <c r="D1019" t="s">
        <v>134</v>
      </c>
      <c r="E1019">
        <v>12</v>
      </c>
      <c r="H1019">
        <v>64</v>
      </c>
      <c r="I1019" t="s">
        <v>135</v>
      </c>
      <c r="J1019" t="s">
        <v>136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478"/>
        <v>14:42:48.992</v>
      </c>
      <c r="T1019" t="str">
        <f t="shared" si="479"/>
        <v>14:42:48.692</v>
      </c>
      <c r="U1019" t="str">
        <f t="shared" si="457"/>
        <v>A9808D</v>
      </c>
      <c r="V1019">
        <v>0</v>
      </c>
      <c r="W1019">
        <v>0</v>
      </c>
      <c r="X1019">
        <v>1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1</v>
      </c>
      <c r="AG1019">
        <v>2</v>
      </c>
      <c r="AH1019">
        <v>0</v>
      </c>
      <c r="AI1019" t="s">
        <v>327</v>
      </c>
      <c r="AJ1019">
        <v>28.273401</v>
      </c>
      <c r="AK1019" t="s">
        <v>260</v>
      </c>
      <c r="AL1019">
        <v>-82.381089000000003</v>
      </c>
      <c r="AM1019">
        <v>100</v>
      </c>
      <c r="AN1019">
        <v>1200</v>
      </c>
      <c r="AO1019" t="s">
        <v>118</v>
      </c>
      <c r="AP1019">
        <v>-19</v>
      </c>
      <c r="AQ1019">
        <v>87</v>
      </c>
      <c r="AR1019">
        <v>448</v>
      </c>
      <c r="AZ1019">
        <v>1200</v>
      </c>
      <c r="BA1019">
        <v>1</v>
      </c>
      <c r="BB1019" t="str">
        <f t="shared" si="466"/>
        <v xml:space="preserve">N711JA  </v>
      </c>
      <c r="BC1019">
        <v>1</v>
      </c>
      <c r="BE1019">
        <v>0</v>
      </c>
      <c r="BF1019">
        <v>0</v>
      </c>
      <c r="BG1019">
        <v>0</v>
      </c>
      <c r="BH1019">
        <v>1325</v>
      </c>
      <c r="BI1019">
        <v>1</v>
      </c>
      <c r="BJ1019">
        <v>1</v>
      </c>
      <c r="BK1019">
        <v>0</v>
      </c>
      <c r="BL1019">
        <v>0</v>
      </c>
      <c r="BO1019">
        <v>0</v>
      </c>
      <c r="BP1019">
        <v>0</v>
      </c>
      <c r="BW1019" t="str">
        <f t="shared" si="480"/>
        <v>14:42:48.994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343</v>
      </c>
      <c r="CR1019">
        <v>2</v>
      </c>
      <c r="CW1019">
        <v>13016969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1</v>
      </c>
      <c r="DF1019">
        <v>0</v>
      </c>
      <c r="DG1019">
        <v>1</v>
      </c>
      <c r="DH1019">
        <v>0</v>
      </c>
      <c r="DI1019">
        <v>0</v>
      </c>
    </row>
    <row r="1020" spans="1:113" x14ac:dyDescent="0.3">
      <c r="A1020" t="str">
        <f t="shared" si="477"/>
        <v>05/12/2020 14:42:31.157</v>
      </c>
      <c r="C1020" t="str">
        <f t="shared" si="465"/>
        <v>FFDFD3C0</v>
      </c>
      <c r="D1020" t="s">
        <v>113</v>
      </c>
      <c r="E1020">
        <v>3</v>
      </c>
      <c r="H1020">
        <v>164</v>
      </c>
      <c r="I1020" t="s">
        <v>114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478"/>
        <v>14:42:48.992</v>
      </c>
      <c r="T1020" t="str">
        <f t="shared" si="479"/>
        <v>14:42:48.692</v>
      </c>
      <c r="U1020" t="str">
        <f t="shared" si="457"/>
        <v>A9808D</v>
      </c>
      <c r="V1020">
        <v>0</v>
      </c>
      <c r="W1020">
        <v>0</v>
      </c>
      <c r="X1020">
        <v>1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1</v>
      </c>
      <c r="AG1020">
        <v>2</v>
      </c>
      <c r="AH1020">
        <v>0</v>
      </c>
      <c r="AI1020" t="s">
        <v>327</v>
      </c>
      <c r="AJ1020">
        <v>28.273401</v>
      </c>
      <c r="AK1020" t="s">
        <v>260</v>
      </c>
      <c r="AL1020">
        <v>-82.381089000000003</v>
      </c>
      <c r="AM1020">
        <v>100</v>
      </c>
      <c r="AN1020">
        <v>1200</v>
      </c>
      <c r="AO1020" t="s">
        <v>118</v>
      </c>
      <c r="AP1020">
        <v>-19</v>
      </c>
      <c r="AQ1020">
        <v>87</v>
      </c>
      <c r="AR1020">
        <v>448</v>
      </c>
      <c r="AZ1020">
        <v>1200</v>
      </c>
      <c r="BA1020">
        <v>1</v>
      </c>
      <c r="BB1020" t="str">
        <f t="shared" si="466"/>
        <v xml:space="preserve">N711JA  </v>
      </c>
      <c r="BC1020">
        <v>1</v>
      </c>
      <c r="BE1020">
        <v>0</v>
      </c>
      <c r="BF1020">
        <v>0</v>
      </c>
      <c r="BG1020">
        <v>0</v>
      </c>
      <c r="BH1020">
        <v>1325</v>
      </c>
      <c r="BI1020">
        <v>1</v>
      </c>
      <c r="BJ1020">
        <v>1</v>
      </c>
      <c r="BK1020">
        <v>0</v>
      </c>
      <c r="BL1020">
        <v>0</v>
      </c>
      <c r="BO1020">
        <v>0</v>
      </c>
      <c r="BP1020">
        <v>0</v>
      </c>
      <c r="BW1020" t="str">
        <f t="shared" si="480"/>
        <v>14:42:48.994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343</v>
      </c>
      <c r="CR1020">
        <v>2</v>
      </c>
      <c r="CW1020">
        <v>13016969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1</v>
      </c>
      <c r="DF1020">
        <v>0</v>
      </c>
      <c r="DG1020">
        <v>1</v>
      </c>
      <c r="DH1020">
        <v>0</v>
      </c>
      <c r="DI1020">
        <v>0</v>
      </c>
    </row>
    <row r="1021" spans="1:113" x14ac:dyDescent="0.3">
      <c r="A1021" t="str">
        <f t="shared" si="477"/>
        <v>05/12/2020 14:42:31.157</v>
      </c>
      <c r="C1021" t="str">
        <f t="shared" si="465"/>
        <v>FFDFD3C0</v>
      </c>
      <c r="D1021" t="s">
        <v>138</v>
      </c>
      <c r="E1021">
        <v>2</v>
      </c>
      <c r="H1021">
        <v>8</v>
      </c>
      <c r="I1021" t="s">
        <v>139</v>
      </c>
      <c r="J1021" t="s">
        <v>136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478"/>
        <v>14:42:48.992</v>
      </c>
      <c r="T1021" t="str">
        <f t="shared" si="479"/>
        <v>14:42:48.692</v>
      </c>
      <c r="U1021" t="str">
        <f t="shared" si="457"/>
        <v>A9808D</v>
      </c>
      <c r="V1021">
        <v>0</v>
      </c>
      <c r="W1021">
        <v>0</v>
      </c>
      <c r="X1021">
        <v>1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1</v>
      </c>
      <c r="AG1021">
        <v>2</v>
      </c>
      <c r="AH1021">
        <v>0</v>
      </c>
      <c r="AI1021" t="s">
        <v>327</v>
      </c>
      <c r="AJ1021">
        <v>28.273401</v>
      </c>
      <c r="AK1021" t="s">
        <v>260</v>
      </c>
      <c r="AL1021">
        <v>-82.381089000000003</v>
      </c>
      <c r="AM1021">
        <v>100</v>
      </c>
      <c r="AN1021">
        <v>1200</v>
      </c>
      <c r="AO1021" t="s">
        <v>118</v>
      </c>
      <c r="AP1021">
        <v>-19</v>
      </c>
      <c r="AQ1021">
        <v>87</v>
      </c>
      <c r="AR1021">
        <v>448</v>
      </c>
      <c r="AZ1021">
        <v>1200</v>
      </c>
      <c r="BA1021">
        <v>1</v>
      </c>
      <c r="BB1021" t="str">
        <f t="shared" si="466"/>
        <v xml:space="preserve">N711JA  </v>
      </c>
      <c r="BC1021">
        <v>1</v>
      </c>
      <c r="BE1021">
        <v>0</v>
      </c>
      <c r="BF1021">
        <v>0</v>
      </c>
      <c r="BG1021">
        <v>0</v>
      </c>
      <c r="BH1021">
        <v>1325</v>
      </c>
      <c r="BI1021">
        <v>1</v>
      </c>
      <c r="BJ1021">
        <v>1</v>
      </c>
      <c r="BK1021">
        <v>0</v>
      </c>
      <c r="BL1021">
        <v>0</v>
      </c>
      <c r="BO1021">
        <v>0</v>
      </c>
      <c r="BP1021">
        <v>0</v>
      </c>
      <c r="BW1021" t="str">
        <f t="shared" si="480"/>
        <v>14:42:48.994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343</v>
      </c>
      <c r="CR1021">
        <v>2</v>
      </c>
      <c r="CW1021">
        <v>13016969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1</v>
      </c>
      <c r="DF1021">
        <v>0</v>
      </c>
      <c r="DG1021">
        <v>1</v>
      </c>
      <c r="DH1021">
        <v>0</v>
      </c>
      <c r="DI1021">
        <v>0</v>
      </c>
    </row>
    <row r="1022" spans="1:113" x14ac:dyDescent="0.3">
      <c r="A1022" t="str">
        <f t="shared" ref="A1022:A1030" si="481">"05/12/2020 14:42:32.062"</f>
        <v>05/12/2020 14:42:32.062</v>
      </c>
      <c r="C1022" t="str">
        <f t="shared" si="465"/>
        <v>FFDFD3C0</v>
      </c>
      <c r="D1022" t="s">
        <v>126</v>
      </c>
      <c r="E1022">
        <v>6</v>
      </c>
      <c r="F1022">
        <v>1006</v>
      </c>
      <c r="G1022" t="s">
        <v>114</v>
      </c>
      <c r="J1022" t="s">
        <v>128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ref="S1022:S1030" si="482">"14:42:49.891"</f>
        <v>14:42:49.891</v>
      </c>
      <c r="T1022" t="str">
        <f t="shared" ref="T1022:T1030" si="483">"14:42:49.791"</f>
        <v>14:42:49.791</v>
      </c>
      <c r="U1022" t="str">
        <f t="shared" si="457"/>
        <v>A9808D</v>
      </c>
      <c r="V1022">
        <v>0</v>
      </c>
      <c r="W1022">
        <v>0</v>
      </c>
      <c r="X1022">
        <v>1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1</v>
      </c>
      <c r="AG1022">
        <v>2</v>
      </c>
      <c r="AH1022">
        <v>0</v>
      </c>
      <c r="AI1022" t="s">
        <v>328</v>
      </c>
      <c r="AJ1022">
        <v>28.273765999999998</v>
      </c>
      <c r="AK1022" t="s">
        <v>150</v>
      </c>
      <c r="AL1022">
        <v>-82.381196000000003</v>
      </c>
      <c r="AM1022">
        <v>100</v>
      </c>
      <c r="AN1022">
        <v>1200</v>
      </c>
      <c r="AO1022" t="s">
        <v>118</v>
      </c>
      <c r="AP1022">
        <v>-20</v>
      </c>
      <c r="AQ1022">
        <v>87</v>
      </c>
      <c r="AR1022">
        <v>448</v>
      </c>
      <c r="AZ1022">
        <v>1200</v>
      </c>
      <c r="BA1022">
        <v>1</v>
      </c>
      <c r="BB1022" t="str">
        <f t="shared" si="466"/>
        <v xml:space="preserve">N711JA  </v>
      </c>
      <c r="BC1022">
        <v>1</v>
      </c>
      <c r="BE1022">
        <v>0</v>
      </c>
      <c r="BF1022">
        <v>0</v>
      </c>
      <c r="BG1022">
        <v>0</v>
      </c>
      <c r="BH1022">
        <v>1350</v>
      </c>
      <c r="BI1022">
        <v>1</v>
      </c>
      <c r="BJ1022">
        <v>1</v>
      </c>
      <c r="BK1022">
        <v>0</v>
      </c>
      <c r="BL1022">
        <v>0</v>
      </c>
      <c r="BO1022">
        <v>0</v>
      </c>
      <c r="BP1022">
        <v>0</v>
      </c>
      <c r="BW1022" t="str">
        <f t="shared" ref="BW1022:BW1030" si="484">"14:42:49.896"</f>
        <v>14:42:49.896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343</v>
      </c>
      <c r="CR1022">
        <v>1</v>
      </c>
      <c r="CW1022">
        <v>10620779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1</v>
      </c>
      <c r="DE1022">
        <v>1</v>
      </c>
      <c r="DF1022">
        <v>0</v>
      </c>
      <c r="DG1022">
        <v>1</v>
      </c>
      <c r="DH1022">
        <v>0</v>
      </c>
      <c r="DI1022">
        <v>0</v>
      </c>
    </row>
    <row r="1023" spans="1:113" x14ac:dyDescent="0.3">
      <c r="A1023" t="str">
        <f t="shared" si="481"/>
        <v>05/12/2020 14:42:32.062</v>
      </c>
      <c r="C1023" t="str">
        <f t="shared" si="465"/>
        <v>FFDFD3C0</v>
      </c>
      <c r="D1023" t="s">
        <v>113</v>
      </c>
      <c r="E1023">
        <v>3</v>
      </c>
      <c r="H1023">
        <v>164</v>
      </c>
      <c r="I1023" t="s">
        <v>114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482"/>
        <v>14:42:49.891</v>
      </c>
      <c r="T1023" t="str">
        <f t="shared" si="483"/>
        <v>14:42:49.791</v>
      </c>
      <c r="U1023" t="str">
        <f t="shared" si="457"/>
        <v>A9808D</v>
      </c>
      <c r="V1023">
        <v>0</v>
      </c>
      <c r="W1023">
        <v>0</v>
      </c>
      <c r="X1023">
        <v>1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1</v>
      </c>
      <c r="AG1023">
        <v>2</v>
      </c>
      <c r="AH1023">
        <v>0</v>
      </c>
      <c r="AI1023" t="s">
        <v>328</v>
      </c>
      <c r="AJ1023">
        <v>28.273765999999998</v>
      </c>
      <c r="AK1023" t="s">
        <v>150</v>
      </c>
      <c r="AL1023">
        <v>-82.381196000000003</v>
      </c>
      <c r="AM1023">
        <v>100</v>
      </c>
      <c r="AN1023">
        <v>1200</v>
      </c>
      <c r="AO1023" t="s">
        <v>118</v>
      </c>
      <c r="AP1023">
        <v>-20</v>
      </c>
      <c r="AQ1023">
        <v>87</v>
      </c>
      <c r="AR1023">
        <v>448</v>
      </c>
      <c r="AZ1023">
        <v>1200</v>
      </c>
      <c r="BA1023">
        <v>1</v>
      </c>
      <c r="BB1023" t="str">
        <f t="shared" si="466"/>
        <v xml:space="preserve">N711JA  </v>
      </c>
      <c r="BC1023">
        <v>1</v>
      </c>
      <c r="BE1023">
        <v>0</v>
      </c>
      <c r="BF1023">
        <v>0</v>
      </c>
      <c r="BG1023">
        <v>0</v>
      </c>
      <c r="BH1023">
        <v>1350</v>
      </c>
      <c r="BI1023">
        <v>1</v>
      </c>
      <c r="BJ1023">
        <v>1</v>
      </c>
      <c r="BK1023">
        <v>0</v>
      </c>
      <c r="BL1023">
        <v>0</v>
      </c>
      <c r="BO1023">
        <v>0</v>
      </c>
      <c r="BP1023">
        <v>0</v>
      </c>
      <c r="BW1023" t="str">
        <f t="shared" si="484"/>
        <v>14:42:49.896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343</v>
      </c>
      <c r="CR1023">
        <v>1</v>
      </c>
      <c r="CW1023">
        <v>10620779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1</v>
      </c>
      <c r="DF1023">
        <v>0</v>
      </c>
      <c r="DG1023">
        <v>1</v>
      </c>
      <c r="DH1023">
        <v>0</v>
      </c>
      <c r="DI1023">
        <v>0</v>
      </c>
    </row>
    <row r="1024" spans="1:113" x14ac:dyDescent="0.3">
      <c r="A1024" t="str">
        <f t="shared" si="481"/>
        <v>05/12/2020 14:42:32.062</v>
      </c>
      <c r="C1024" t="str">
        <f t="shared" si="465"/>
        <v>FFDFD3C0</v>
      </c>
      <c r="D1024" t="s">
        <v>138</v>
      </c>
      <c r="E1024">
        <v>2</v>
      </c>
      <c r="H1024">
        <v>8</v>
      </c>
      <c r="I1024" t="s">
        <v>139</v>
      </c>
      <c r="J1024" t="s">
        <v>136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482"/>
        <v>14:42:49.891</v>
      </c>
      <c r="T1024" t="str">
        <f t="shared" si="483"/>
        <v>14:42:49.791</v>
      </c>
      <c r="U1024" t="str">
        <f t="shared" si="457"/>
        <v>A9808D</v>
      </c>
      <c r="V1024">
        <v>0</v>
      </c>
      <c r="W1024">
        <v>0</v>
      </c>
      <c r="X1024">
        <v>1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1</v>
      </c>
      <c r="AG1024">
        <v>2</v>
      </c>
      <c r="AH1024">
        <v>0</v>
      </c>
      <c r="AI1024" t="s">
        <v>328</v>
      </c>
      <c r="AJ1024">
        <v>28.273765999999998</v>
      </c>
      <c r="AK1024" t="s">
        <v>150</v>
      </c>
      <c r="AL1024">
        <v>-82.381196000000003</v>
      </c>
      <c r="AM1024">
        <v>100</v>
      </c>
      <c r="AN1024">
        <v>1200</v>
      </c>
      <c r="AO1024" t="s">
        <v>118</v>
      </c>
      <c r="AP1024">
        <v>-20</v>
      </c>
      <c r="AQ1024">
        <v>87</v>
      </c>
      <c r="AR1024">
        <v>448</v>
      </c>
      <c r="AZ1024">
        <v>1200</v>
      </c>
      <c r="BA1024">
        <v>1</v>
      </c>
      <c r="BB1024" t="str">
        <f t="shared" si="466"/>
        <v xml:space="preserve">N711JA  </v>
      </c>
      <c r="BC1024">
        <v>1</v>
      </c>
      <c r="BE1024">
        <v>0</v>
      </c>
      <c r="BF1024">
        <v>0</v>
      </c>
      <c r="BG1024">
        <v>0</v>
      </c>
      <c r="BH1024">
        <v>1350</v>
      </c>
      <c r="BI1024">
        <v>1</v>
      </c>
      <c r="BJ1024">
        <v>1</v>
      </c>
      <c r="BK1024">
        <v>0</v>
      </c>
      <c r="BL1024">
        <v>0</v>
      </c>
      <c r="BO1024">
        <v>0</v>
      </c>
      <c r="BP1024">
        <v>0</v>
      </c>
      <c r="BW1024" t="str">
        <f t="shared" si="484"/>
        <v>14:42:49.896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343</v>
      </c>
      <c r="CR1024">
        <v>1</v>
      </c>
      <c r="CW1024">
        <v>10620779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1</v>
      </c>
      <c r="DF1024">
        <v>0</v>
      </c>
      <c r="DG1024">
        <v>1</v>
      </c>
      <c r="DH1024">
        <v>0</v>
      </c>
      <c r="DI1024">
        <v>0</v>
      </c>
    </row>
    <row r="1025" spans="1:113" x14ac:dyDescent="0.3">
      <c r="A1025" t="str">
        <f t="shared" si="481"/>
        <v>05/12/2020 14:42:32.062</v>
      </c>
      <c r="C1025" t="str">
        <f t="shared" si="465"/>
        <v>FFDFD3C0</v>
      </c>
      <c r="D1025" t="s">
        <v>138</v>
      </c>
      <c r="E1025">
        <v>3</v>
      </c>
      <c r="H1025">
        <v>9</v>
      </c>
      <c r="I1025" t="s">
        <v>140</v>
      </c>
      <c r="J1025" t="s">
        <v>136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482"/>
        <v>14:42:49.891</v>
      </c>
      <c r="T1025" t="str">
        <f t="shared" si="483"/>
        <v>14:42:49.791</v>
      </c>
      <c r="U1025" t="str">
        <f t="shared" si="457"/>
        <v>A9808D</v>
      </c>
      <c r="V1025">
        <v>0</v>
      </c>
      <c r="W1025">
        <v>0</v>
      </c>
      <c r="X1025">
        <v>1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1</v>
      </c>
      <c r="AG1025">
        <v>2</v>
      </c>
      <c r="AH1025">
        <v>0</v>
      </c>
      <c r="AI1025" t="s">
        <v>328</v>
      </c>
      <c r="AJ1025">
        <v>28.273765999999998</v>
      </c>
      <c r="AK1025" t="s">
        <v>150</v>
      </c>
      <c r="AL1025">
        <v>-82.381196000000003</v>
      </c>
      <c r="AM1025">
        <v>100</v>
      </c>
      <c r="AN1025">
        <v>1200</v>
      </c>
      <c r="AO1025" t="s">
        <v>118</v>
      </c>
      <c r="AP1025">
        <v>-20</v>
      </c>
      <c r="AQ1025">
        <v>87</v>
      </c>
      <c r="AR1025">
        <v>448</v>
      </c>
      <c r="AZ1025">
        <v>1200</v>
      </c>
      <c r="BA1025">
        <v>1</v>
      </c>
      <c r="BB1025" t="str">
        <f t="shared" si="466"/>
        <v xml:space="preserve">N711JA  </v>
      </c>
      <c r="BC1025">
        <v>1</v>
      </c>
      <c r="BE1025">
        <v>0</v>
      </c>
      <c r="BF1025">
        <v>0</v>
      </c>
      <c r="BG1025">
        <v>0</v>
      </c>
      <c r="BH1025">
        <v>1350</v>
      </c>
      <c r="BI1025">
        <v>1</v>
      </c>
      <c r="BJ1025">
        <v>1</v>
      </c>
      <c r="BK1025">
        <v>0</v>
      </c>
      <c r="BL1025">
        <v>0</v>
      </c>
      <c r="BO1025">
        <v>0</v>
      </c>
      <c r="BP1025">
        <v>0</v>
      </c>
      <c r="BW1025" t="str">
        <f t="shared" si="484"/>
        <v>14:42:49.896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343</v>
      </c>
      <c r="CR1025">
        <v>1</v>
      </c>
      <c r="CW1025">
        <v>10620779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1</v>
      </c>
      <c r="DF1025">
        <v>0</v>
      </c>
      <c r="DG1025">
        <v>1</v>
      </c>
      <c r="DH1025">
        <v>0</v>
      </c>
      <c r="DI1025">
        <v>0</v>
      </c>
    </row>
    <row r="1026" spans="1:113" x14ac:dyDescent="0.3">
      <c r="A1026" t="str">
        <f t="shared" si="481"/>
        <v>05/12/2020 14:42:32.062</v>
      </c>
      <c r="C1026" t="str">
        <f t="shared" si="465"/>
        <v>FFDFD3C0</v>
      </c>
      <c r="D1026" t="s">
        <v>131</v>
      </c>
      <c r="E1026">
        <v>10</v>
      </c>
      <c r="F1026">
        <v>2010</v>
      </c>
      <c r="G1026" t="s">
        <v>132</v>
      </c>
      <c r="J1026" t="s">
        <v>133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482"/>
        <v>14:42:49.891</v>
      </c>
      <c r="T1026" t="str">
        <f t="shared" si="483"/>
        <v>14:42:49.791</v>
      </c>
      <c r="U1026" t="str">
        <f t="shared" ref="U1026:U1089" si="485">"A9808D"</f>
        <v>A9808D</v>
      </c>
      <c r="V1026">
        <v>0</v>
      </c>
      <c r="W1026">
        <v>0</v>
      </c>
      <c r="X1026">
        <v>1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1</v>
      </c>
      <c r="AG1026">
        <v>2</v>
      </c>
      <c r="AH1026">
        <v>0</v>
      </c>
      <c r="AI1026" t="s">
        <v>328</v>
      </c>
      <c r="AJ1026">
        <v>28.273765999999998</v>
      </c>
      <c r="AK1026" t="s">
        <v>150</v>
      </c>
      <c r="AL1026">
        <v>-82.381196000000003</v>
      </c>
      <c r="AM1026">
        <v>100</v>
      </c>
      <c r="AN1026">
        <v>1200</v>
      </c>
      <c r="AO1026" t="s">
        <v>118</v>
      </c>
      <c r="AP1026">
        <v>-20</v>
      </c>
      <c r="AQ1026">
        <v>87</v>
      </c>
      <c r="AR1026">
        <v>448</v>
      </c>
      <c r="AZ1026">
        <v>1200</v>
      </c>
      <c r="BA1026">
        <v>1</v>
      </c>
      <c r="BB1026" t="str">
        <f t="shared" si="466"/>
        <v xml:space="preserve">N711JA  </v>
      </c>
      <c r="BC1026">
        <v>1</v>
      </c>
      <c r="BE1026">
        <v>0</v>
      </c>
      <c r="BF1026">
        <v>0</v>
      </c>
      <c r="BG1026">
        <v>0</v>
      </c>
      <c r="BH1026">
        <v>1350</v>
      </c>
      <c r="BI1026">
        <v>1</v>
      </c>
      <c r="BJ1026">
        <v>1</v>
      </c>
      <c r="BK1026">
        <v>0</v>
      </c>
      <c r="BL1026">
        <v>0</v>
      </c>
      <c r="BO1026">
        <v>0</v>
      </c>
      <c r="BP1026">
        <v>0</v>
      </c>
      <c r="BW1026" t="str">
        <f t="shared" si="484"/>
        <v>14:42:49.896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343</v>
      </c>
      <c r="CR1026">
        <v>1</v>
      </c>
      <c r="CW1026">
        <v>10620779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1</v>
      </c>
      <c r="DF1026">
        <v>0</v>
      </c>
      <c r="DG1026">
        <v>1</v>
      </c>
      <c r="DH1026">
        <v>0</v>
      </c>
      <c r="DI1026">
        <v>0</v>
      </c>
    </row>
    <row r="1027" spans="1:113" x14ac:dyDescent="0.3">
      <c r="A1027" t="str">
        <f t="shared" si="481"/>
        <v>05/12/2020 14:42:32.062</v>
      </c>
      <c r="C1027" t="str">
        <f t="shared" si="465"/>
        <v>FFDFD3C0</v>
      </c>
      <c r="D1027" t="s">
        <v>126</v>
      </c>
      <c r="E1027">
        <v>7</v>
      </c>
      <c r="F1027">
        <v>1007</v>
      </c>
      <c r="G1027" t="s">
        <v>127</v>
      </c>
      <c r="J1027" t="s">
        <v>128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482"/>
        <v>14:42:49.891</v>
      </c>
      <c r="T1027" t="str">
        <f t="shared" si="483"/>
        <v>14:42:49.791</v>
      </c>
      <c r="U1027" t="str">
        <f t="shared" si="485"/>
        <v>A9808D</v>
      </c>
      <c r="V1027">
        <v>0</v>
      </c>
      <c r="W1027">
        <v>0</v>
      </c>
      <c r="X1027">
        <v>1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1</v>
      </c>
      <c r="AG1027">
        <v>2</v>
      </c>
      <c r="AH1027">
        <v>0</v>
      </c>
      <c r="AI1027" t="s">
        <v>328</v>
      </c>
      <c r="AJ1027">
        <v>28.273765999999998</v>
      </c>
      <c r="AK1027" t="s">
        <v>150</v>
      </c>
      <c r="AL1027">
        <v>-82.381196000000003</v>
      </c>
      <c r="AM1027">
        <v>100</v>
      </c>
      <c r="AN1027">
        <v>1200</v>
      </c>
      <c r="AO1027" t="s">
        <v>118</v>
      </c>
      <c r="AP1027">
        <v>-20</v>
      </c>
      <c r="AQ1027">
        <v>87</v>
      </c>
      <c r="AR1027">
        <v>448</v>
      </c>
      <c r="AZ1027">
        <v>1200</v>
      </c>
      <c r="BA1027">
        <v>1</v>
      </c>
      <c r="BB1027" t="str">
        <f t="shared" si="466"/>
        <v xml:space="preserve">N711JA  </v>
      </c>
      <c r="BC1027">
        <v>1</v>
      </c>
      <c r="BE1027">
        <v>0</v>
      </c>
      <c r="BF1027">
        <v>0</v>
      </c>
      <c r="BG1027">
        <v>0</v>
      </c>
      <c r="BH1027">
        <v>1350</v>
      </c>
      <c r="BI1027">
        <v>1</v>
      </c>
      <c r="BJ1027">
        <v>1</v>
      </c>
      <c r="BK1027">
        <v>0</v>
      </c>
      <c r="BL1027">
        <v>0</v>
      </c>
      <c r="BO1027">
        <v>0</v>
      </c>
      <c r="BP1027">
        <v>0</v>
      </c>
      <c r="BW1027" t="str">
        <f t="shared" si="484"/>
        <v>14:42:49.896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343</v>
      </c>
      <c r="CR1027">
        <v>1</v>
      </c>
      <c r="CW1027">
        <v>10620779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1</v>
      </c>
      <c r="DF1027">
        <v>0</v>
      </c>
      <c r="DG1027">
        <v>1</v>
      </c>
      <c r="DH1027">
        <v>0</v>
      </c>
      <c r="DI1027">
        <v>0</v>
      </c>
    </row>
    <row r="1028" spans="1:113" x14ac:dyDescent="0.3">
      <c r="A1028" t="str">
        <f t="shared" si="481"/>
        <v>05/12/2020 14:42:32.062</v>
      </c>
      <c r="C1028" t="str">
        <f t="shared" si="465"/>
        <v>FFDFD3C0</v>
      </c>
      <c r="D1028" t="s">
        <v>131</v>
      </c>
      <c r="E1028">
        <v>18</v>
      </c>
      <c r="F1028">
        <v>2018</v>
      </c>
      <c r="G1028" t="s">
        <v>161</v>
      </c>
      <c r="J1028" t="s">
        <v>133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482"/>
        <v>14:42:49.891</v>
      </c>
      <c r="T1028" t="str">
        <f t="shared" si="483"/>
        <v>14:42:49.791</v>
      </c>
      <c r="U1028" t="str">
        <f t="shared" si="485"/>
        <v>A9808D</v>
      </c>
      <c r="V1028">
        <v>0</v>
      </c>
      <c r="W1028">
        <v>0</v>
      </c>
      <c r="X1028">
        <v>1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1</v>
      </c>
      <c r="AG1028">
        <v>2</v>
      </c>
      <c r="AH1028">
        <v>0</v>
      </c>
      <c r="AI1028" t="s">
        <v>328</v>
      </c>
      <c r="AJ1028">
        <v>28.273765999999998</v>
      </c>
      <c r="AK1028" t="s">
        <v>150</v>
      </c>
      <c r="AL1028">
        <v>-82.381196000000003</v>
      </c>
      <c r="AM1028">
        <v>100</v>
      </c>
      <c r="AN1028">
        <v>1200</v>
      </c>
      <c r="AO1028" t="s">
        <v>118</v>
      </c>
      <c r="AP1028">
        <v>-20</v>
      </c>
      <c r="AQ1028">
        <v>87</v>
      </c>
      <c r="AR1028">
        <v>448</v>
      </c>
      <c r="AZ1028">
        <v>1200</v>
      </c>
      <c r="BA1028">
        <v>1</v>
      </c>
      <c r="BB1028" t="str">
        <f t="shared" si="466"/>
        <v xml:space="preserve">N711JA  </v>
      </c>
      <c r="BC1028">
        <v>1</v>
      </c>
      <c r="BE1028">
        <v>0</v>
      </c>
      <c r="BF1028">
        <v>0</v>
      </c>
      <c r="BG1028">
        <v>0</v>
      </c>
      <c r="BH1028">
        <v>1350</v>
      </c>
      <c r="BI1028">
        <v>1</v>
      </c>
      <c r="BJ1028">
        <v>1</v>
      </c>
      <c r="BK1028">
        <v>0</v>
      </c>
      <c r="BL1028">
        <v>0</v>
      </c>
      <c r="BO1028">
        <v>0</v>
      </c>
      <c r="BP1028">
        <v>0</v>
      </c>
      <c r="BW1028" t="str">
        <f t="shared" si="484"/>
        <v>14:42:49.896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343</v>
      </c>
      <c r="CR1028">
        <v>1</v>
      </c>
      <c r="CW1028">
        <v>10620779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1</v>
      </c>
      <c r="DF1028">
        <v>0</v>
      </c>
      <c r="DG1028">
        <v>1</v>
      </c>
      <c r="DH1028">
        <v>0</v>
      </c>
      <c r="DI1028">
        <v>0</v>
      </c>
    </row>
    <row r="1029" spans="1:113" x14ac:dyDescent="0.3">
      <c r="A1029" t="str">
        <f t="shared" si="481"/>
        <v>05/12/2020 14:42:32.062</v>
      </c>
      <c r="C1029" t="str">
        <f t="shared" si="465"/>
        <v>FFDFD3C0</v>
      </c>
      <c r="D1029" t="s">
        <v>131</v>
      </c>
      <c r="E1029">
        <v>12</v>
      </c>
      <c r="F1029">
        <v>2012</v>
      </c>
      <c r="G1029" t="s">
        <v>137</v>
      </c>
      <c r="J1029" t="s">
        <v>133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482"/>
        <v>14:42:49.891</v>
      </c>
      <c r="T1029" t="str">
        <f t="shared" si="483"/>
        <v>14:42:49.791</v>
      </c>
      <c r="U1029" t="str">
        <f t="shared" si="485"/>
        <v>A9808D</v>
      </c>
      <c r="V1029">
        <v>0</v>
      </c>
      <c r="W1029">
        <v>0</v>
      </c>
      <c r="X1029">
        <v>1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1</v>
      </c>
      <c r="AG1029">
        <v>2</v>
      </c>
      <c r="AH1029">
        <v>0</v>
      </c>
      <c r="AI1029" t="s">
        <v>328</v>
      </c>
      <c r="AJ1029">
        <v>28.273765999999998</v>
      </c>
      <c r="AK1029" t="s">
        <v>150</v>
      </c>
      <c r="AL1029">
        <v>-82.381196000000003</v>
      </c>
      <c r="AM1029">
        <v>100</v>
      </c>
      <c r="AN1029">
        <v>1200</v>
      </c>
      <c r="AO1029" t="s">
        <v>118</v>
      </c>
      <c r="AP1029">
        <v>-20</v>
      </c>
      <c r="AQ1029">
        <v>87</v>
      </c>
      <c r="AR1029">
        <v>448</v>
      </c>
      <c r="AZ1029">
        <v>1200</v>
      </c>
      <c r="BA1029">
        <v>1</v>
      </c>
      <c r="BB1029" t="str">
        <f t="shared" si="466"/>
        <v xml:space="preserve">N711JA  </v>
      </c>
      <c r="BC1029">
        <v>1</v>
      </c>
      <c r="BE1029">
        <v>0</v>
      </c>
      <c r="BF1029">
        <v>0</v>
      </c>
      <c r="BG1029">
        <v>0</v>
      </c>
      <c r="BH1029">
        <v>1350</v>
      </c>
      <c r="BI1029">
        <v>1</v>
      </c>
      <c r="BJ1029">
        <v>1</v>
      </c>
      <c r="BK1029">
        <v>0</v>
      </c>
      <c r="BL1029">
        <v>0</v>
      </c>
      <c r="BO1029">
        <v>0</v>
      </c>
      <c r="BP1029">
        <v>0</v>
      </c>
      <c r="BW1029" t="str">
        <f t="shared" si="484"/>
        <v>14:42:49.896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343</v>
      </c>
      <c r="CR1029">
        <v>1</v>
      </c>
      <c r="CW1029">
        <v>10620779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1</v>
      </c>
      <c r="DF1029">
        <v>0</v>
      </c>
      <c r="DG1029">
        <v>1</v>
      </c>
      <c r="DH1029">
        <v>0</v>
      </c>
      <c r="DI1029">
        <v>0</v>
      </c>
    </row>
    <row r="1030" spans="1:113" x14ac:dyDescent="0.3">
      <c r="A1030" t="str">
        <f t="shared" si="481"/>
        <v>05/12/2020 14:42:32.062</v>
      </c>
      <c r="C1030" t="str">
        <f t="shared" si="465"/>
        <v>FFDFD3C0</v>
      </c>
      <c r="D1030" t="s">
        <v>134</v>
      </c>
      <c r="E1030">
        <v>12</v>
      </c>
      <c r="H1030">
        <v>64</v>
      </c>
      <c r="I1030" t="s">
        <v>135</v>
      </c>
      <c r="J1030" t="s">
        <v>136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482"/>
        <v>14:42:49.891</v>
      </c>
      <c r="T1030" t="str">
        <f t="shared" si="483"/>
        <v>14:42:49.791</v>
      </c>
      <c r="U1030" t="str">
        <f t="shared" si="485"/>
        <v>A9808D</v>
      </c>
      <c r="V1030">
        <v>0</v>
      </c>
      <c r="W1030">
        <v>0</v>
      </c>
      <c r="X1030">
        <v>1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1</v>
      </c>
      <c r="AG1030">
        <v>2</v>
      </c>
      <c r="AH1030">
        <v>0</v>
      </c>
      <c r="AI1030" t="s">
        <v>328</v>
      </c>
      <c r="AJ1030">
        <v>28.273765999999998</v>
      </c>
      <c r="AK1030" t="s">
        <v>150</v>
      </c>
      <c r="AL1030">
        <v>-82.381196000000003</v>
      </c>
      <c r="AM1030">
        <v>100</v>
      </c>
      <c r="AN1030">
        <v>1200</v>
      </c>
      <c r="AO1030" t="s">
        <v>118</v>
      </c>
      <c r="AP1030">
        <v>-20</v>
      </c>
      <c r="AQ1030">
        <v>87</v>
      </c>
      <c r="AR1030">
        <v>448</v>
      </c>
      <c r="AZ1030">
        <v>1200</v>
      </c>
      <c r="BA1030">
        <v>1</v>
      </c>
      <c r="BB1030" t="str">
        <f t="shared" si="466"/>
        <v xml:space="preserve">N711JA  </v>
      </c>
      <c r="BC1030">
        <v>1</v>
      </c>
      <c r="BE1030">
        <v>0</v>
      </c>
      <c r="BF1030">
        <v>0</v>
      </c>
      <c r="BG1030">
        <v>0</v>
      </c>
      <c r="BH1030">
        <v>1350</v>
      </c>
      <c r="BI1030">
        <v>1</v>
      </c>
      <c r="BJ1030">
        <v>1</v>
      </c>
      <c r="BK1030">
        <v>0</v>
      </c>
      <c r="BL1030">
        <v>0</v>
      </c>
      <c r="BO1030">
        <v>0</v>
      </c>
      <c r="BP1030">
        <v>0</v>
      </c>
      <c r="BW1030" t="str">
        <f t="shared" si="484"/>
        <v>14:42:49.896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343</v>
      </c>
      <c r="CR1030">
        <v>1</v>
      </c>
      <c r="CW1030">
        <v>10620779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1</v>
      </c>
      <c r="DF1030">
        <v>0</v>
      </c>
      <c r="DG1030">
        <v>1</v>
      </c>
      <c r="DH1030">
        <v>0</v>
      </c>
      <c r="DI1030">
        <v>0</v>
      </c>
    </row>
    <row r="1031" spans="1:113" x14ac:dyDescent="0.3">
      <c r="A1031" t="str">
        <f t="shared" ref="A1031:A1039" si="486">"05/12/2020 14:42:33.101"</f>
        <v>05/12/2020 14:42:33.101</v>
      </c>
      <c r="C1031" t="str">
        <f t="shared" si="465"/>
        <v>FFDFD3C0</v>
      </c>
      <c r="D1031" t="s">
        <v>134</v>
      </c>
      <c r="E1031">
        <v>12</v>
      </c>
      <c r="H1031">
        <v>64</v>
      </c>
      <c r="I1031" t="s">
        <v>135</v>
      </c>
      <c r="J1031" t="s">
        <v>136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ref="S1031:S1039" si="487">"14:42:50.938"</f>
        <v>14:42:50.938</v>
      </c>
      <c r="T1031" t="str">
        <f t="shared" ref="T1031:T1039" si="488">"14:42:50.738"</f>
        <v>14:42:50.738</v>
      </c>
      <c r="U1031" t="str">
        <f t="shared" si="485"/>
        <v>A9808D</v>
      </c>
      <c r="V1031">
        <v>0</v>
      </c>
      <c r="W1031">
        <v>0</v>
      </c>
      <c r="X1031">
        <v>1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1</v>
      </c>
      <c r="AG1031">
        <v>2</v>
      </c>
      <c r="AH1031">
        <v>0</v>
      </c>
      <c r="AI1031" t="s">
        <v>329</v>
      </c>
      <c r="AJ1031">
        <v>28.274194999999999</v>
      </c>
      <c r="AK1031" t="s">
        <v>253</v>
      </c>
      <c r="AL1031">
        <v>-82.381303000000003</v>
      </c>
      <c r="AM1031">
        <v>100</v>
      </c>
      <c r="AN1031">
        <v>1200</v>
      </c>
      <c r="AO1031" t="s">
        <v>118</v>
      </c>
      <c r="AP1031">
        <v>-19</v>
      </c>
      <c r="AQ1031">
        <v>87</v>
      </c>
      <c r="AR1031">
        <v>512</v>
      </c>
      <c r="AZ1031">
        <v>1200</v>
      </c>
      <c r="BA1031">
        <v>1</v>
      </c>
      <c r="BB1031" t="str">
        <f t="shared" si="466"/>
        <v xml:space="preserve">N711JA  </v>
      </c>
      <c r="BC1031">
        <v>1</v>
      </c>
      <c r="BE1031">
        <v>0</v>
      </c>
      <c r="BF1031">
        <v>0</v>
      </c>
      <c r="BG1031">
        <v>0</v>
      </c>
      <c r="BH1031">
        <v>1350</v>
      </c>
      <c r="BI1031">
        <v>1</v>
      </c>
      <c r="BJ1031">
        <v>1</v>
      </c>
      <c r="BK1031">
        <v>0</v>
      </c>
      <c r="BL1031">
        <v>0</v>
      </c>
      <c r="BO1031">
        <v>0</v>
      </c>
      <c r="BP1031">
        <v>0</v>
      </c>
      <c r="BW1031" t="str">
        <f t="shared" ref="BW1031:BW1039" si="489">"14:42:50.942"</f>
        <v>14:42:50.942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343</v>
      </c>
      <c r="CR1031">
        <v>1</v>
      </c>
      <c r="CW1031">
        <v>10621840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1</v>
      </c>
      <c r="DE1031">
        <v>1</v>
      </c>
      <c r="DF1031">
        <v>0</v>
      </c>
      <c r="DG1031">
        <v>1</v>
      </c>
      <c r="DH1031">
        <v>0</v>
      </c>
      <c r="DI1031">
        <v>0</v>
      </c>
    </row>
    <row r="1032" spans="1:113" x14ac:dyDescent="0.3">
      <c r="A1032" t="str">
        <f t="shared" si="486"/>
        <v>05/12/2020 14:42:33.101</v>
      </c>
      <c r="C1032" t="str">
        <f t="shared" si="465"/>
        <v>FFDFD3C0</v>
      </c>
      <c r="D1032" t="s">
        <v>126</v>
      </c>
      <c r="E1032">
        <v>6</v>
      </c>
      <c r="F1032">
        <v>1006</v>
      </c>
      <c r="G1032" t="s">
        <v>114</v>
      </c>
      <c r="J1032" t="s">
        <v>128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487"/>
        <v>14:42:50.938</v>
      </c>
      <c r="T1032" t="str">
        <f t="shared" si="488"/>
        <v>14:42:50.738</v>
      </c>
      <c r="U1032" t="str">
        <f t="shared" si="485"/>
        <v>A9808D</v>
      </c>
      <c r="V1032">
        <v>0</v>
      </c>
      <c r="W1032">
        <v>0</v>
      </c>
      <c r="X1032">
        <v>1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1</v>
      </c>
      <c r="AG1032">
        <v>2</v>
      </c>
      <c r="AH1032">
        <v>0</v>
      </c>
      <c r="AI1032" t="s">
        <v>329</v>
      </c>
      <c r="AJ1032">
        <v>28.274194999999999</v>
      </c>
      <c r="AK1032" t="s">
        <v>253</v>
      </c>
      <c r="AL1032">
        <v>-82.381303000000003</v>
      </c>
      <c r="AM1032">
        <v>100</v>
      </c>
      <c r="AN1032">
        <v>1200</v>
      </c>
      <c r="AO1032" t="s">
        <v>118</v>
      </c>
      <c r="AP1032">
        <v>-19</v>
      </c>
      <c r="AQ1032">
        <v>87</v>
      </c>
      <c r="AR1032">
        <v>512</v>
      </c>
      <c r="AZ1032">
        <v>1200</v>
      </c>
      <c r="BA1032">
        <v>1</v>
      </c>
      <c r="BB1032" t="str">
        <f t="shared" si="466"/>
        <v xml:space="preserve">N711JA  </v>
      </c>
      <c r="BC1032">
        <v>1</v>
      </c>
      <c r="BE1032">
        <v>0</v>
      </c>
      <c r="BF1032">
        <v>0</v>
      </c>
      <c r="BG1032">
        <v>0</v>
      </c>
      <c r="BH1032">
        <v>1350</v>
      </c>
      <c r="BI1032">
        <v>1</v>
      </c>
      <c r="BJ1032">
        <v>1</v>
      </c>
      <c r="BK1032">
        <v>0</v>
      </c>
      <c r="BL1032">
        <v>0</v>
      </c>
      <c r="BO1032">
        <v>0</v>
      </c>
      <c r="BP1032">
        <v>0</v>
      </c>
      <c r="BW1032" t="str">
        <f t="shared" si="489"/>
        <v>14:42:50.942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343</v>
      </c>
      <c r="CR1032">
        <v>1</v>
      </c>
      <c r="CW1032">
        <v>10621840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1</v>
      </c>
      <c r="DF1032">
        <v>0</v>
      </c>
      <c r="DG1032">
        <v>1</v>
      </c>
      <c r="DH1032">
        <v>0</v>
      </c>
      <c r="DI1032">
        <v>0</v>
      </c>
    </row>
    <row r="1033" spans="1:113" x14ac:dyDescent="0.3">
      <c r="A1033" t="str">
        <f t="shared" si="486"/>
        <v>05/12/2020 14:42:33.101</v>
      </c>
      <c r="C1033" t="str">
        <f t="shared" si="465"/>
        <v>FFDFD3C0</v>
      </c>
      <c r="D1033" t="s">
        <v>131</v>
      </c>
      <c r="E1033">
        <v>10</v>
      </c>
      <c r="F1033">
        <v>2010</v>
      </c>
      <c r="G1033" t="s">
        <v>132</v>
      </c>
      <c r="J1033" t="s">
        <v>133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487"/>
        <v>14:42:50.938</v>
      </c>
      <c r="T1033" t="str">
        <f t="shared" si="488"/>
        <v>14:42:50.738</v>
      </c>
      <c r="U1033" t="str">
        <f t="shared" si="485"/>
        <v>A9808D</v>
      </c>
      <c r="V1033">
        <v>0</v>
      </c>
      <c r="W1033">
        <v>0</v>
      </c>
      <c r="X1033">
        <v>1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1</v>
      </c>
      <c r="AG1033">
        <v>2</v>
      </c>
      <c r="AH1033">
        <v>0</v>
      </c>
      <c r="AI1033" t="s">
        <v>329</v>
      </c>
      <c r="AJ1033">
        <v>28.274194999999999</v>
      </c>
      <c r="AK1033" t="s">
        <v>253</v>
      </c>
      <c r="AL1033">
        <v>-82.381303000000003</v>
      </c>
      <c r="AM1033">
        <v>100</v>
      </c>
      <c r="AN1033">
        <v>1200</v>
      </c>
      <c r="AO1033" t="s">
        <v>118</v>
      </c>
      <c r="AP1033">
        <v>-19</v>
      </c>
      <c r="AQ1033">
        <v>87</v>
      </c>
      <c r="AR1033">
        <v>512</v>
      </c>
      <c r="AZ1033">
        <v>1200</v>
      </c>
      <c r="BA1033">
        <v>1</v>
      </c>
      <c r="BB1033" t="str">
        <f t="shared" si="466"/>
        <v xml:space="preserve">N711JA  </v>
      </c>
      <c r="BC1033">
        <v>1</v>
      </c>
      <c r="BE1033">
        <v>0</v>
      </c>
      <c r="BF1033">
        <v>0</v>
      </c>
      <c r="BG1033">
        <v>0</v>
      </c>
      <c r="BH1033">
        <v>1350</v>
      </c>
      <c r="BI1033">
        <v>1</v>
      </c>
      <c r="BJ1033">
        <v>1</v>
      </c>
      <c r="BK1033">
        <v>0</v>
      </c>
      <c r="BL1033">
        <v>0</v>
      </c>
      <c r="BO1033">
        <v>0</v>
      </c>
      <c r="BP1033">
        <v>0</v>
      </c>
      <c r="BW1033" t="str">
        <f t="shared" si="489"/>
        <v>14:42:50.942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343</v>
      </c>
      <c r="CR1033">
        <v>1</v>
      </c>
      <c r="CW1033">
        <v>10621840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1</v>
      </c>
      <c r="DF1033">
        <v>0</v>
      </c>
      <c r="DG1033">
        <v>1</v>
      </c>
      <c r="DH1033">
        <v>0</v>
      </c>
      <c r="DI1033">
        <v>0</v>
      </c>
    </row>
    <row r="1034" spans="1:113" x14ac:dyDescent="0.3">
      <c r="A1034" t="str">
        <f t="shared" si="486"/>
        <v>05/12/2020 14:42:33.101</v>
      </c>
      <c r="C1034" t="str">
        <f t="shared" si="465"/>
        <v>FFDFD3C0</v>
      </c>
      <c r="D1034" t="s">
        <v>131</v>
      </c>
      <c r="E1034">
        <v>12</v>
      </c>
      <c r="F1034">
        <v>2012</v>
      </c>
      <c r="G1034" t="s">
        <v>137</v>
      </c>
      <c r="J1034" t="s">
        <v>133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487"/>
        <v>14:42:50.938</v>
      </c>
      <c r="T1034" t="str">
        <f t="shared" si="488"/>
        <v>14:42:50.738</v>
      </c>
      <c r="U1034" t="str">
        <f t="shared" si="485"/>
        <v>A9808D</v>
      </c>
      <c r="V1034">
        <v>0</v>
      </c>
      <c r="W1034">
        <v>0</v>
      </c>
      <c r="X1034">
        <v>1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1</v>
      </c>
      <c r="AG1034">
        <v>2</v>
      </c>
      <c r="AH1034">
        <v>0</v>
      </c>
      <c r="AI1034" t="s">
        <v>329</v>
      </c>
      <c r="AJ1034">
        <v>28.274194999999999</v>
      </c>
      <c r="AK1034" t="s">
        <v>253</v>
      </c>
      <c r="AL1034">
        <v>-82.381303000000003</v>
      </c>
      <c r="AM1034">
        <v>100</v>
      </c>
      <c r="AN1034">
        <v>1200</v>
      </c>
      <c r="AO1034" t="s">
        <v>118</v>
      </c>
      <c r="AP1034">
        <v>-19</v>
      </c>
      <c r="AQ1034">
        <v>87</v>
      </c>
      <c r="AR1034">
        <v>512</v>
      </c>
      <c r="AZ1034">
        <v>1200</v>
      </c>
      <c r="BA1034">
        <v>1</v>
      </c>
      <c r="BB1034" t="str">
        <f t="shared" si="466"/>
        <v xml:space="preserve">N711JA  </v>
      </c>
      <c r="BC1034">
        <v>1</v>
      </c>
      <c r="BE1034">
        <v>0</v>
      </c>
      <c r="BF1034">
        <v>0</v>
      </c>
      <c r="BG1034">
        <v>0</v>
      </c>
      <c r="BH1034">
        <v>1350</v>
      </c>
      <c r="BI1034">
        <v>1</v>
      </c>
      <c r="BJ1034">
        <v>1</v>
      </c>
      <c r="BK1034">
        <v>0</v>
      </c>
      <c r="BL1034">
        <v>0</v>
      </c>
      <c r="BO1034">
        <v>0</v>
      </c>
      <c r="BP1034">
        <v>0</v>
      </c>
      <c r="BW1034" t="str">
        <f t="shared" si="489"/>
        <v>14:42:50.942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343</v>
      </c>
      <c r="CR1034">
        <v>1</v>
      </c>
      <c r="CW1034">
        <v>10621840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1</v>
      </c>
      <c r="DF1034">
        <v>0</v>
      </c>
      <c r="DG1034">
        <v>1</v>
      </c>
      <c r="DH1034">
        <v>0</v>
      </c>
      <c r="DI1034">
        <v>0</v>
      </c>
    </row>
    <row r="1035" spans="1:113" x14ac:dyDescent="0.3">
      <c r="A1035" t="str">
        <f t="shared" si="486"/>
        <v>05/12/2020 14:42:33.101</v>
      </c>
      <c r="C1035" t="str">
        <f t="shared" si="465"/>
        <v>FFDFD3C0</v>
      </c>
      <c r="D1035" t="s">
        <v>131</v>
      </c>
      <c r="E1035">
        <v>18</v>
      </c>
      <c r="F1035">
        <v>2018</v>
      </c>
      <c r="G1035" t="s">
        <v>161</v>
      </c>
      <c r="J1035" t="s">
        <v>133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487"/>
        <v>14:42:50.938</v>
      </c>
      <c r="T1035" t="str">
        <f t="shared" si="488"/>
        <v>14:42:50.738</v>
      </c>
      <c r="U1035" t="str">
        <f t="shared" si="485"/>
        <v>A9808D</v>
      </c>
      <c r="V1035">
        <v>0</v>
      </c>
      <c r="W1035">
        <v>0</v>
      </c>
      <c r="X1035">
        <v>1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1</v>
      </c>
      <c r="AG1035">
        <v>2</v>
      </c>
      <c r="AH1035">
        <v>0</v>
      </c>
      <c r="AI1035" t="s">
        <v>329</v>
      </c>
      <c r="AJ1035">
        <v>28.274194999999999</v>
      </c>
      <c r="AK1035" t="s">
        <v>253</v>
      </c>
      <c r="AL1035">
        <v>-82.381303000000003</v>
      </c>
      <c r="AM1035">
        <v>100</v>
      </c>
      <c r="AN1035">
        <v>1200</v>
      </c>
      <c r="AO1035" t="s">
        <v>118</v>
      </c>
      <c r="AP1035">
        <v>-19</v>
      </c>
      <c r="AQ1035">
        <v>87</v>
      </c>
      <c r="AR1035">
        <v>512</v>
      </c>
      <c r="AZ1035">
        <v>1200</v>
      </c>
      <c r="BA1035">
        <v>1</v>
      </c>
      <c r="BB1035" t="str">
        <f t="shared" si="466"/>
        <v xml:space="preserve">N711JA  </v>
      </c>
      <c r="BC1035">
        <v>1</v>
      </c>
      <c r="BE1035">
        <v>0</v>
      </c>
      <c r="BF1035">
        <v>0</v>
      </c>
      <c r="BG1035">
        <v>0</v>
      </c>
      <c r="BH1035">
        <v>1350</v>
      </c>
      <c r="BI1035">
        <v>1</v>
      </c>
      <c r="BJ1035">
        <v>1</v>
      </c>
      <c r="BK1035">
        <v>0</v>
      </c>
      <c r="BL1035">
        <v>0</v>
      </c>
      <c r="BO1035">
        <v>0</v>
      </c>
      <c r="BP1035">
        <v>0</v>
      </c>
      <c r="BW1035" t="str">
        <f t="shared" si="489"/>
        <v>14:42:50.942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343</v>
      </c>
      <c r="CR1035">
        <v>1</v>
      </c>
      <c r="CW1035">
        <v>10621840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1</v>
      </c>
      <c r="DF1035">
        <v>0</v>
      </c>
      <c r="DG1035">
        <v>1</v>
      </c>
      <c r="DH1035">
        <v>0</v>
      </c>
      <c r="DI1035">
        <v>0</v>
      </c>
    </row>
    <row r="1036" spans="1:113" x14ac:dyDescent="0.3">
      <c r="A1036" t="str">
        <f t="shared" si="486"/>
        <v>05/12/2020 14:42:33.101</v>
      </c>
      <c r="C1036" t="str">
        <f t="shared" si="465"/>
        <v>FFDFD3C0</v>
      </c>
      <c r="D1036" t="s">
        <v>126</v>
      </c>
      <c r="E1036">
        <v>7</v>
      </c>
      <c r="F1036">
        <v>1007</v>
      </c>
      <c r="G1036" t="s">
        <v>127</v>
      </c>
      <c r="J1036" t="s">
        <v>128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487"/>
        <v>14:42:50.938</v>
      </c>
      <c r="T1036" t="str">
        <f t="shared" si="488"/>
        <v>14:42:50.738</v>
      </c>
      <c r="U1036" t="str">
        <f t="shared" si="485"/>
        <v>A9808D</v>
      </c>
      <c r="V1036">
        <v>0</v>
      </c>
      <c r="W1036">
        <v>0</v>
      </c>
      <c r="X1036">
        <v>1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1</v>
      </c>
      <c r="AG1036">
        <v>2</v>
      </c>
      <c r="AH1036">
        <v>0</v>
      </c>
      <c r="AI1036" t="s">
        <v>329</v>
      </c>
      <c r="AJ1036">
        <v>28.274194999999999</v>
      </c>
      <c r="AK1036" t="s">
        <v>253</v>
      </c>
      <c r="AL1036">
        <v>-82.381303000000003</v>
      </c>
      <c r="AM1036">
        <v>100</v>
      </c>
      <c r="AN1036">
        <v>1200</v>
      </c>
      <c r="AO1036" t="s">
        <v>118</v>
      </c>
      <c r="AP1036">
        <v>-19</v>
      </c>
      <c r="AQ1036">
        <v>87</v>
      </c>
      <c r="AR1036">
        <v>512</v>
      </c>
      <c r="AZ1036">
        <v>1200</v>
      </c>
      <c r="BA1036">
        <v>1</v>
      </c>
      <c r="BB1036" t="str">
        <f t="shared" si="466"/>
        <v xml:space="preserve">N711JA  </v>
      </c>
      <c r="BC1036">
        <v>1</v>
      </c>
      <c r="BE1036">
        <v>0</v>
      </c>
      <c r="BF1036">
        <v>0</v>
      </c>
      <c r="BG1036">
        <v>0</v>
      </c>
      <c r="BH1036">
        <v>1350</v>
      </c>
      <c r="BI1036">
        <v>1</v>
      </c>
      <c r="BJ1036">
        <v>1</v>
      </c>
      <c r="BK1036">
        <v>0</v>
      </c>
      <c r="BL1036">
        <v>0</v>
      </c>
      <c r="BO1036">
        <v>0</v>
      </c>
      <c r="BP1036">
        <v>0</v>
      </c>
      <c r="BW1036" t="str">
        <f t="shared" si="489"/>
        <v>14:42:50.942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343</v>
      </c>
      <c r="CR1036">
        <v>1</v>
      </c>
      <c r="CW1036">
        <v>10621840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1</v>
      </c>
      <c r="DF1036">
        <v>0</v>
      </c>
      <c r="DG1036">
        <v>1</v>
      </c>
      <c r="DH1036">
        <v>0</v>
      </c>
      <c r="DI1036">
        <v>0</v>
      </c>
    </row>
    <row r="1037" spans="1:113" x14ac:dyDescent="0.3">
      <c r="A1037" t="str">
        <f t="shared" si="486"/>
        <v>05/12/2020 14:42:33.101</v>
      </c>
      <c r="C1037" t="str">
        <f t="shared" si="465"/>
        <v>FFDFD3C0</v>
      </c>
      <c r="D1037" t="s">
        <v>113</v>
      </c>
      <c r="E1037">
        <v>3</v>
      </c>
      <c r="H1037">
        <v>164</v>
      </c>
      <c r="I1037" t="s">
        <v>114</v>
      </c>
      <c r="J1037" t="s">
        <v>115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487"/>
        <v>14:42:50.938</v>
      </c>
      <c r="T1037" t="str">
        <f t="shared" si="488"/>
        <v>14:42:50.738</v>
      </c>
      <c r="U1037" t="str">
        <f t="shared" si="485"/>
        <v>A9808D</v>
      </c>
      <c r="V1037">
        <v>0</v>
      </c>
      <c r="W1037">
        <v>0</v>
      </c>
      <c r="X1037">
        <v>1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1</v>
      </c>
      <c r="AG1037">
        <v>2</v>
      </c>
      <c r="AH1037">
        <v>0</v>
      </c>
      <c r="AI1037" t="s">
        <v>329</v>
      </c>
      <c r="AJ1037">
        <v>28.274194999999999</v>
      </c>
      <c r="AK1037" t="s">
        <v>253</v>
      </c>
      <c r="AL1037">
        <v>-82.381303000000003</v>
      </c>
      <c r="AM1037">
        <v>100</v>
      </c>
      <c r="AN1037">
        <v>1200</v>
      </c>
      <c r="AO1037" t="s">
        <v>118</v>
      </c>
      <c r="AP1037">
        <v>-19</v>
      </c>
      <c r="AQ1037">
        <v>87</v>
      </c>
      <c r="AR1037">
        <v>512</v>
      </c>
      <c r="AZ1037">
        <v>1200</v>
      </c>
      <c r="BA1037">
        <v>1</v>
      </c>
      <c r="BB1037" t="str">
        <f t="shared" si="466"/>
        <v xml:space="preserve">N711JA  </v>
      </c>
      <c r="BC1037">
        <v>1</v>
      </c>
      <c r="BE1037">
        <v>0</v>
      </c>
      <c r="BF1037">
        <v>0</v>
      </c>
      <c r="BG1037">
        <v>0</v>
      </c>
      <c r="BH1037">
        <v>1350</v>
      </c>
      <c r="BI1037">
        <v>1</v>
      </c>
      <c r="BJ1037">
        <v>1</v>
      </c>
      <c r="BK1037">
        <v>0</v>
      </c>
      <c r="BL1037">
        <v>0</v>
      </c>
      <c r="BO1037">
        <v>0</v>
      </c>
      <c r="BP1037">
        <v>0</v>
      </c>
      <c r="BW1037" t="str">
        <f t="shared" si="489"/>
        <v>14:42:50.942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343</v>
      </c>
      <c r="CR1037">
        <v>1</v>
      </c>
      <c r="CW1037">
        <v>10621840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1</v>
      </c>
      <c r="DE1037">
        <v>1</v>
      </c>
      <c r="DF1037">
        <v>0</v>
      </c>
      <c r="DG1037">
        <v>1</v>
      </c>
      <c r="DH1037">
        <v>0</v>
      </c>
      <c r="DI1037">
        <v>0</v>
      </c>
    </row>
    <row r="1038" spans="1:113" x14ac:dyDescent="0.3">
      <c r="A1038" t="str">
        <f t="shared" si="486"/>
        <v>05/12/2020 14:42:33.101</v>
      </c>
      <c r="C1038" t="str">
        <f t="shared" si="465"/>
        <v>FFDFD3C0</v>
      </c>
      <c r="D1038" t="s">
        <v>138</v>
      </c>
      <c r="E1038">
        <v>2</v>
      </c>
      <c r="H1038">
        <v>8</v>
      </c>
      <c r="I1038" t="s">
        <v>139</v>
      </c>
      <c r="J1038" t="s">
        <v>136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487"/>
        <v>14:42:50.938</v>
      </c>
      <c r="T1038" t="str">
        <f t="shared" si="488"/>
        <v>14:42:50.738</v>
      </c>
      <c r="U1038" t="str">
        <f t="shared" si="485"/>
        <v>A9808D</v>
      </c>
      <c r="V1038">
        <v>0</v>
      </c>
      <c r="W1038">
        <v>0</v>
      </c>
      <c r="X1038">
        <v>1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1</v>
      </c>
      <c r="AG1038">
        <v>2</v>
      </c>
      <c r="AH1038">
        <v>0</v>
      </c>
      <c r="AI1038" t="s">
        <v>329</v>
      </c>
      <c r="AJ1038">
        <v>28.274194999999999</v>
      </c>
      <c r="AK1038" t="s">
        <v>253</v>
      </c>
      <c r="AL1038">
        <v>-82.381303000000003</v>
      </c>
      <c r="AM1038">
        <v>100</v>
      </c>
      <c r="AN1038">
        <v>1200</v>
      </c>
      <c r="AO1038" t="s">
        <v>118</v>
      </c>
      <c r="AP1038">
        <v>-19</v>
      </c>
      <c r="AQ1038">
        <v>87</v>
      </c>
      <c r="AR1038">
        <v>512</v>
      </c>
      <c r="AZ1038">
        <v>1200</v>
      </c>
      <c r="BA1038">
        <v>1</v>
      </c>
      <c r="BB1038" t="str">
        <f t="shared" si="466"/>
        <v xml:space="preserve">N711JA  </v>
      </c>
      <c r="BC1038">
        <v>1</v>
      </c>
      <c r="BE1038">
        <v>0</v>
      </c>
      <c r="BF1038">
        <v>0</v>
      </c>
      <c r="BG1038">
        <v>0</v>
      </c>
      <c r="BH1038">
        <v>1350</v>
      </c>
      <c r="BI1038">
        <v>1</v>
      </c>
      <c r="BJ1038">
        <v>1</v>
      </c>
      <c r="BK1038">
        <v>0</v>
      </c>
      <c r="BL1038">
        <v>0</v>
      </c>
      <c r="BO1038">
        <v>0</v>
      </c>
      <c r="BP1038">
        <v>0</v>
      </c>
      <c r="BW1038" t="str">
        <f t="shared" si="489"/>
        <v>14:42:50.942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343</v>
      </c>
      <c r="CR1038">
        <v>1</v>
      </c>
      <c r="CW1038">
        <v>10621840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1</v>
      </c>
      <c r="DF1038">
        <v>0</v>
      </c>
      <c r="DG1038">
        <v>1</v>
      </c>
      <c r="DH1038">
        <v>0</v>
      </c>
      <c r="DI1038">
        <v>0</v>
      </c>
    </row>
    <row r="1039" spans="1:113" x14ac:dyDescent="0.3">
      <c r="A1039" t="str">
        <f t="shared" si="486"/>
        <v>05/12/2020 14:42:33.101</v>
      </c>
      <c r="C1039" t="str">
        <f t="shared" si="465"/>
        <v>FFDFD3C0</v>
      </c>
      <c r="D1039" t="s">
        <v>138</v>
      </c>
      <c r="E1039">
        <v>3</v>
      </c>
      <c r="H1039">
        <v>9</v>
      </c>
      <c r="I1039" t="s">
        <v>140</v>
      </c>
      <c r="J1039" t="s">
        <v>136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487"/>
        <v>14:42:50.938</v>
      </c>
      <c r="T1039" t="str">
        <f t="shared" si="488"/>
        <v>14:42:50.738</v>
      </c>
      <c r="U1039" t="str">
        <f t="shared" si="485"/>
        <v>A9808D</v>
      </c>
      <c r="V1039">
        <v>0</v>
      </c>
      <c r="W1039">
        <v>0</v>
      </c>
      <c r="X1039">
        <v>1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1</v>
      </c>
      <c r="AG1039">
        <v>2</v>
      </c>
      <c r="AH1039">
        <v>0</v>
      </c>
      <c r="AI1039" t="s">
        <v>329</v>
      </c>
      <c r="AJ1039">
        <v>28.274194999999999</v>
      </c>
      <c r="AK1039" t="s">
        <v>253</v>
      </c>
      <c r="AL1039">
        <v>-82.381303000000003</v>
      </c>
      <c r="AM1039">
        <v>100</v>
      </c>
      <c r="AN1039">
        <v>1200</v>
      </c>
      <c r="AO1039" t="s">
        <v>118</v>
      </c>
      <c r="AP1039">
        <v>-19</v>
      </c>
      <c r="AQ1039">
        <v>87</v>
      </c>
      <c r="AR1039">
        <v>512</v>
      </c>
      <c r="AZ1039">
        <v>1200</v>
      </c>
      <c r="BA1039">
        <v>1</v>
      </c>
      <c r="BB1039" t="str">
        <f t="shared" si="466"/>
        <v xml:space="preserve">N711JA  </v>
      </c>
      <c r="BC1039">
        <v>1</v>
      </c>
      <c r="BE1039">
        <v>0</v>
      </c>
      <c r="BF1039">
        <v>0</v>
      </c>
      <c r="BG1039">
        <v>0</v>
      </c>
      <c r="BH1039">
        <v>1350</v>
      </c>
      <c r="BI1039">
        <v>1</v>
      </c>
      <c r="BJ1039">
        <v>1</v>
      </c>
      <c r="BK1039">
        <v>0</v>
      </c>
      <c r="BL1039">
        <v>0</v>
      </c>
      <c r="BO1039">
        <v>0</v>
      </c>
      <c r="BP1039">
        <v>0</v>
      </c>
      <c r="BW1039" t="str">
        <f t="shared" si="489"/>
        <v>14:42:50.942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343</v>
      </c>
      <c r="CR1039">
        <v>1</v>
      </c>
      <c r="CW1039">
        <v>10621840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1</v>
      </c>
      <c r="DF1039">
        <v>0</v>
      </c>
      <c r="DG1039">
        <v>1</v>
      </c>
      <c r="DH1039">
        <v>0</v>
      </c>
      <c r="DI1039">
        <v>0</v>
      </c>
    </row>
    <row r="1040" spans="1:113" x14ac:dyDescent="0.3">
      <c r="A1040" t="str">
        <f t="shared" ref="A1040:A1048" si="490">"05/12/2020 14:42:34.164"</f>
        <v>05/12/2020 14:42:34.164</v>
      </c>
      <c r="C1040" t="str">
        <f t="shared" si="465"/>
        <v>FFDFD3C0</v>
      </c>
      <c r="D1040" t="s">
        <v>134</v>
      </c>
      <c r="E1040">
        <v>12</v>
      </c>
      <c r="H1040">
        <v>64</v>
      </c>
      <c r="I1040" t="s">
        <v>135</v>
      </c>
      <c r="J1040" t="s">
        <v>136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ref="S1040:S1048" si="491">"14:42:51.992"</f>
        <v>14:42:51.992</v>
      </c>
      <c r="T1040" t="str">
        <f t="shared" ref="T1040:T1048" si="492">"14:42:51.792"</f>
        <v>14:42:51.792</v>
      </c>
      <c r="U1040" t="str">
        <f t="shared" si="485"/>
        <v>A9808D</v>
      </c>
      <c r="V1040">
        <v>0</v>
      </c>
      <c r="W1040">
        <v>0</v>
      </c>
      <c r="X1040">
        <v>1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1</v>
      </c>
      <c r="AG1040">
        <v>2</v>
      </c>
      <c r="AH1040">
        <v>0</v>
      </c>
      <c r="AI1040" t="s">
        <v>330</v>
      </c>
      <c r="AJ1040">
        <v>28.274623999999999</v>
      </c>
      <c r="AK1040" t="s">
        <v>152</v>
      </c>
      <c r="AL1040">
        <v>-82.381411</v>
      </c>
      <c r="AM1040">
        <v>100</v>
      </c>
      <c r="AN1040">
        <v>1200</v>
      </c>
      <c r="AO1040" t="s">
        <v>118</v>
      </c>
      <c r="AP1040">
        <v>-19</v>
      </c>
      <c r="AQ1040">
        <v>87</v>
      </c>
      <c r="AR1040">
        <v>512</v>
      </c>
      <c r="AZ1040">
        <v>1200</v>
      </c>
      <c r="BA1040">
        <v>1</v>
      </c>
      <c r="BB1040" t="str">
        <f t="shared" si="466"/>
        <v xml:space="preserve">N711JA  </v>
      </c>
      <c r="BC1040">
        <v>1</v>
      </c>
      <c r="BE1040">
        <v>0</v>
      </c>
      <c r="BF1040">
        <v>0</v>
      </c>
      <c r="BG1040">
        <v>0</v>
      </c>
      <c r="BH1040">
        <v>1350</v>
      </c>
      <c r="BI1040">
        <v>1</v>
      </c>
      <c r="BJ1040">
        <v>1</v>
      </c>
      <c r="BK1040">
        <v>0</v>
      </c>
      <c r="BL1040">
        <v>0</v>
      </c>
      <c r="BO1040">
        <v>0</v>
      </c>
      <c r="BP1040">
        <v>0</v>
      </c>
      <c r="BW1040" t="str">
        <f t="shared" ref="BW1040:BW1048" si="493">"14:42:51.993"</f>
        <v>14:42:51.993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343</v>
      </c>
      <c r="CR1040">
        <v>2</v>
      </c>
      <c r="CW1040">
        <v>13019116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1</v>
      </c>
      <c r="DE1040">
        <v>1</v>
      </c>
      <c r="DF1040">
        <v>0</v>
      </c>
      <c r="DG1040">
        <v>1</v>
      </c>
      <c r="DH1040">
        <v>0</v>
      </c>
      <c r="DI1040">
        <v>0</v>
      </c>
    </row>
    <row r="1041" spans="1:113" x14ac:dyDescent="0.3">
      <c r="A1041" t="str">
        <f t="shared" si="490"/>
        <v>05/12/2020 14:42:34.164</v>
      </c>
      <c r="C1041" t="str">
        <f t="shared" si="465"/>
        <v>FFDFD3C0</v>
      </c>
      <c r="D1041" t="s">
        <v>126</v>
      </c>
      <c r="E1041">
        <v>6</v>
      </c>
      <c r="F1041">
        <v>1006</v>
      </c>
      <c r="G1041" t="s">
        <v>114</v>
      </c>
      <c r="J1041" t="s">
        <v>128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491"/>
        <v>14:42:51.992</v>
      </c>
      <c r="T1041" t="str">
        <f t="shared" si="492"/>
        <v>14:42:51.792</v>
      </c>
      <c r="U1041" t="str">
        <f t="shared" si="485"/>
        <v>A9808D</v>
      </c>
      <c r="V1041">
        <v>0</v>
      </c>
      <c r="W1041">
        <v>0</v>
      </c>
      <c r="X1041">
        <v>1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1</v>
      </c>
      <c r="AG1041">
        <v>2</v>
      </c>
      <c r="AH1041">
        <v>0</v>
      </c>
      <c r="AI1041" t="s">
        <v>330</v>
      </c>
      <c r="AJ1041">
        <v>28.274623999999999</v>
      </c>
      <c r="AK1041" t="s">
        <v>152</v>
      </c>
      <c r="AL1041">
        <v>-82.381411</v>
      </c>
      <c r="AM1041">
        <v>100</v>
      </c>
      <c r="AN1041">
        <v>1200</v>
      </c>
      <c r="AO1041" t="s">
        <v>118</v>
      </c>
      <c r="AP1041">
        <v>-19</v>
      </c>
      <c r="AQ1041">
        <v>87</v>
      </c>
      <c r="AR1041">
        <v>512</v>
      </c>
      <c r="AZ1041">
        <v>1200</v>
      </c>
      <c r="BA1041">
        <v>1</v>
      </c>
      <c r="BB1041" t="str">
        <f t="shared" si="466"/>
        <v xml:space="preserve">N711JA  </v>
      </c>
      <c r="BC1041">
        <v>1</v>
      </c>
      <c r="BE1041">
        <v>0</v>
      </c>
      <c r="BF1041">
        <v>0</v>
      </c>
      <c r="BG1041">
        <v>0</v>
      </c>
      <c r="BH1041">
        <v>1350</v>
      </c>
      <c r="BI1041">
        <v>1</v>
      </c>
      <c r="BJ1041">
        <v>1</v>
      </c>
      <c r="BK1041">
        <v>0</v>
      </c>
      <c r="BL1041">
        <v>0</v>
      </c>
      <c r="BO1041">
        <v>0</v>
      </c>
      <c r="BP1041">
        <v>0</v>
      </c>
      <c r="BW1041" t="str">
        <f t="shared" si="493"/>
        <v>14:42:51.993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343</v>
      </c>
      <c r="CR1041">
        <v>2</v>
      </c>
      <c r="CW1041">
        <v>13019116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1</v>
      </c>
      <c r="DF1041">
        <v>0</v>
      </c>
      <c r="DG1041">
        <v>1</v>
      </c>
      <c r="DH1041">
        <v>0</v>
      </c>
      <c r="DI1041">
        <v>0</v>
      </c>
    </row>
    <row r="1042" spans="1:113" x14ac:dyDescent="0.3">
      <c r="A1042" t="str">
        <f t="shared" si="490"/>
        <v>05/12/2020 14:42:34.164</v>
      </c>
      <c r="C1042" t="str">
        <f t="shared" si="465"/>
        <v>FFDFD3C0</v>
      </c>
      <c r="D1042" t="s">
        <v>131</v>
      </c>
      <c r="E1042">
        <v>12</v>
      </c>
      <c r="F1042">
        <v>2012</v>
      </c>
      <c r="G1042" t="s">
        <v>137</v>
      </c>
      <c r="J1042" t="s">
        <v>133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491"/>
        <v>14:42:51.992</v>
      </c>
      <c r="T1042" t="str">
        <f t="shared" si="492"/>
        <v>14:42:51.792</v>
      </c>
      <c r="U1042" t="str">
        <f t="shared" si="485"/>
        <v>A9808D</v>
      </c>
      <c r="V1042">
        <v>0</v>
      </c>
      <c r="W1042">
        <v>0</v>
      </c>
      <c r="X1042">
        <v>1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1</v>
      </c>
      <c r="AG1042">
        <v>2</v>
      </c>
      <c r="AH1042">
        <v>0</v>
      </c>
      <c r="AI1042" t="s">
        <v>330</v>
      </c>
      <c r="AJ1042">
        <v>28.274623999999999</v>
      </c>
      <c r="AK1042" t="s">
        <v>152</v>
      </c>
      <c r="AL1042">
        <v>-82.381411</v>
      </c>
      <c r="AM1042">
        <v>100</v>
      </c>
      <c r="AN1042">
        <v>1200</v>
      </c>
      <c r="AO1042" t="s">
        <v>118</v>
      </c>
      <c r="AP1042">
        <v>-19</v>
      </c>
      <c r="AQ1042">
        <v>87</v>
      </c>
      <c r="AR1042">
        <v>512</v>
      </c>
      <c r="AZ1042">
        <v>1200</v>
      </c>
      <c r="BA1042">
        <v>1</v>
      </c>
      <c r="BB1042" t="str">
        <f t="shared" si="466"/>
        <v xml:space="preserve">N711JA  </v>
      </c>
      <c r="BC1042">
        <v>1</v>
      </c>
      <c r="BE1042">
        <v>0</v>
      </c>
      <c r="BF1042">
        <v>0</v>
      </c>
      <c r="BG1042">
        <v>0</v>
      </c>
      <c r="BH1042">
        <v>1350</v>
      </c>
      <c r="BI1042">
        <v>1</v>
      </c>
      <c r="BJ1042">
        <v>1</v>
      </c>
      <c r="BK1042">
        <v>0</v>
      </c>
      <c r="BL1042">
        <v>0</v>
      </c>
      <c r="BO1042">
        <v>0</v>
      </c>
      <c r="BP1042">
        <v>0</v>
      </c>
      <c r="BW1042" t="str">
        <f t="shared" si="493"/>
        <v>14:42:51.993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343</v>
      </c>
      <c r="CR1042">
        <v>2</v>
      </c>
      <c r="CW1042">
        <v>13019116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1</v>
      </c>
      <c r="DF1042">
        <v>0</v>
      </c>
      <c r="DG1042">
        <v>1</v>
      </c>
      <c r="DH1042">
        <v>0</v>
      </c>
      <c r="DI1042">
        <v>0</v>
      </c>
    </row>
    <row r="1043" spans="1:113" x14ac:dyDescent="0.3">
      <c r="A1043" t="str">
        <f t="shared" si="490"/>
        <v>05/12/2020 14:42:34.164</v>
      </c>
      <c r="C1043" t="str">
        <f t="shared" si="465"/>
        <v>FFDFD3C0</v>
      </c>
      <c r="D1043" t="s">
        <v>131</v>
      </c>
      <c r="E1043">
        <v>10</v>
      </c>
      <c r="F1043">
        <v>2010</v>
      </c>
      <c r="G1043" t="s">
        <v>132</v>
      </c>
      <c r="J1043" t="s">
        <v>133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491"/>
        <v>14:42:51.992</v>
      </c>
      <c r="T1043" t="str">
        <f t="shared" si="492"/>
        <v>14:42:51.792</v>
      </c>
      <c r="U1043" t="str">
        <f t="shared" si="485"/>
        <v>A9808D</v>
      </c>
      <c r="V1043">
        <v>0</v>
      </c>
      <c r="W1043">
        <v>0</v>
      </c>
      <c r="X1043">
        <v>1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1</v>
      </c>
      <c r="AG1043">
        <v>2</v>
      </c>
      <c r="AH1043">
        <v>0</v>
      </c>
      <c r="AI1043" t="s">
        <v>330</v>
      </c>
      <c r="AJ1043">
        <v>28.274623999999999</v>
      </c>
      <c r="AK1043" t="s">
        <v>152</v>
      </c>
      <c r="AL1043">
        <v>-82.381411</v>
      </c>
      <c r="AM1043">
        <v>100</v>
      </c>
      <c r="AN1043">
        <v>1200</v>
      </c>
      <c r="AO1043" t="s">
        <v>118</v>
      </c>
      <c r="AP1043">
        <v>-19</v>
      </c>
      <c r="AQ1043">
        <v>87</v>
      </c>
      <c r="AR1043">
        <v>512</v>
      </c>
      <c r="AZ1043">
        <v>1200</v>
      </c>
      <c r="BA1043">
        <v>1</v>
      </c>
      <c r="BB1043" t="str">
        <f t="shared" si="466"/>
        <v xml:space="preserve">N711JA  </v>
      </c>
      <c r="BC1043">
        <v>1</v>
      </c>
      <c r="BE1043">
        <v>0</v>
      </c>
      <c r="BF1043">
        <v>0</v>
      </c>
      <c r="BG1043">
        <v>0</v>
      </c>
      <c r="BH1043">
        <v>1350</v>
      </c>
      <c r="BI1043">
        <v>1</v>
      </c>
      <c r="BJ1043">
        <v>1</v>
      </c>
      <c r="BK1043">
        <v>0</v>
      </c>
      <c r="BL1043">
        <v>0</v>
      </c>
      <c r="BO1043">
        <v>0</v>
      </c>
      <c r="BP1043">
        <v>0</v>
      </c>
      <c r="BW1043" t="str">
        <f t="shared" si="493"/>
        <v>14:42:51.993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343</v>
      </c>
      <c r="CR1043">
        <v>2</v>
      </c>
      <c r="CW1043">
        <v>13019116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1</v>
      </c>
      <c r="DF1043">
        <v>0</v>
      </c>
      <c r="DG1043">
        <v>1</v>
      </c>
      <c r="DH1043">
        <v>0</v>
      </c>
      <c r="DI1043">
        <v>0</v>
      </c>
    </row>
    <row r="1044" spans="1:113" x14ac:dyDescent="0.3">
      <c r="A1044" t="str">
        <f t="shared" si="490"/>
        <v>05/12/2020 14:42:34.164</v>
      </c>
      <c r="C1044" t="str">
        <f t="shared" si="465"/>
        <v>FFDFD3C0</v>
      </c>
      <c r="D1044" t="s">
        <v>131</v>
      </c>
      <c r="E1044">
        <v>18</v>
      </c>
      <c r="F1044">
        <v>2018</v>
      </c>
      <c r="G1044" t="s">
        <v>161</v>
      </c>
      <c r="J1044" t="s">
        <v>133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491"/>
        <v>14:42:51.992</v>
      </c>
      <c r="T1044" t="str">
        <f t="shared" si="492"/>
        <v>14:42:51.792</v>
      </c>
      <c r="U1044" t="str">
        <f t="shared" si="485"/>
        <v>A9808D</v>
      </c>
      <c r="V1044">
        <v>0</v>
      </c>
      <c r="W1044">
        <v>0</v>
      </c>
      <c r="X1044">
        <v>1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1</v>
      </c>
      <c r="AG1044">
        <v>2</v>
      </c>
      <c r="AH1044">
        <v>0</v>
      </c>
      <c r="AI1044" t="s">
        <v>330</v>
      </c>
      <c r="AJ1044">
        <v>28.274623999999999</v>
      </c>
      <c r="AK1044" t="s">
        <v>152</v>
      </c>
      <c r="AL1044">
        <v>-82.381411</v>
      </c>
      <c r="AM1044">
        <v>100</v>
      </c>
      <c r="AN1044">
        <v>1200</v>
      </c>
      <c r="AO1044" t="s">
        <v>118</v>
      </c>
      <c r="AP1044">
        <v>-19</v>
      </c>
      <c r="AQ1044">
        <v>87</v>
      </c>
      <c r="AR1044">
        <v>512</v>
      </c>
      <c r="AZ1044">
        <v>1200</v>
      </c>
      <c r="BA1044">
        <v>1</v>
      </c>
      <c r="BB1044" t="str">
        <f t="shared" si="466"/>
        <v xml:space="preserve">N711JA  </v>
      </c>
      <c r="BC1044">
        <v>1</v>
      </c>
      <c r="BE1044">
        <v>0</v>
      </c>
      <c r="BF1044">
        <v>0</v>
      </c>
      <c r="BG1044">
        <v>0</v>
      </c>
      <c r="BH1044">
        <v>1350</v>
      </c>
      <c r="BI1044">
        <v>1</v>
      </c>
      <c r="BJ1044">
        <v>1</v>
      </c>
      <c r="BK1044">
        <v>0</v>
      </c>
      <c r="BL1044">
        <v>0</v>
      </c>
      <c r="BO1044">
        <v>0</v>
      </c>
      <c r="BP1044">
        <v>0</v>
      </c>
      <c r="BW1044" t="str">
        <f t="shared" si="493"/>
        <v>14:42:51.993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343</v>
      </c>
      <c r="CR1044">
        <v>2</v>
      </c>
      <c r="CW1044">
        <v>13019116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1</v>
      </c>
      <c r="DF1044">
        <v>0</v>
      </c>
      <c r="DG1044">
        <v>1</v>
      </c>
      <c r="DH1044">
        <v>0</v>
      </c>
      <c r="DI1044">
        <v>0</v>
      </c>
    </row>
    <row r="1045" spans="1:113" x14ac:dyDescent="0.3">
      <c r="A1045" t="str">
        <f t="shared" si="490"/>
        <v>05/12/2020 14:42:34.164</v>
      </c>
      <c r="C1045" t="str">
        <f t="shared" si="465"/>
        <v>FFDFD3C0</v>
      </c>
      <c r="D1045" t="s">
        <v>126</v>
      </c>
      <c r="E1045">
        <v>7</v>
      </c>
      <c r="F1045">
        <v>1007</v>
      </c>
      <c r="G1045" t="s">
        <v>127</v>
      </c>
      <c r="J1045" t="s">
        <v>128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491"/>
        <v>14:42:51.992</v>
      </c>
      <c r="T1045" t="str">
        <f t="shared" si="492"/>
        <v>14:42:51.792</v>
      </c>
      <c r="U1045" t="str">
        <f t="shared" si="485"/>
        <v>A9808D</v>
      </c>
      <c r="V1045">
        <v>0</v>
      </c>
      <c r="W1045">
        <v>0</v>
      </c>
      <c r="X1045">
        <v>1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1</v>
      </c>
      <c r="AG1045">
        <v>2</v>
      </c>
      <c r="AH1045">
        <v>0</v>
      </c>
      <c r="AI1045" t="s">
        <v>330</v>
      </c>
      <c r="AJ1045">
        <v>28.274623999999999</v>
      </c>
      <c r="AK1045" t="s">
        <v>152</v>
      </c>
      <c r="AL1045">
        <v>-82.381411</v>
      </c>
      <c r="AM1045">
        <v>100</v>
      </c>
      <c r="AN1045">
        <v>1200</v>
      </c>
      <c r="AO1045" t="s">
        <v>118</v>
      </c>
      <c r="AP1045">
        <v>-19</v>
      </c>
      <c r="AQ1045">
        <v>87</v>
      </c>
      <c r="AR1045">
        <v>512</v>
      </c>
      <c r="AZ1045">
        <v>1200</v>
      </c>
      <c r="BA1045">
        <v>1</v>
      </c>
      <c r="BB1045" t="str">
        <f t="shared" si="466"/>
        <v xml:space="preserve">N711JA  </v>
      </c>
      <c r="BC1045">
        <v>1</v>
      </c>
      <c r="BE1045">
        <v>0</v>
      </c>
      <c r="BF1045">
        <v>0</v>
      </c>
      <c r="BG1045">
        <v>0</v>
      </c>
      <c r="BH1045">
        <v>1350</v>
      </c>
      <c r="BI1045">
        <v>1</v>
      </c>
      <c r="BJ1045">
        <v>1</v>
      </c>
      <c r="BK1045">
        <v>0</v>
      </c>
      <c r="BL1045">
        <v>0</v>
      </c>
      <c r="BO1045">
        <v>0</v>
      </c>
      <c r="BP1045">
        <v>0</v>
      </c>
      <c r="BW1045" t="str">
        <f t="shared" si="493"/>
        <v>14:42:51.993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343</v>
      </c>
      <c r="CR1045">
        <v>2</v>
      </c>
      <c r="CW1045">
        <v>13019116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1</v>
      </c>
      <c r="DF1045">
        <v>0</v>
      </c>
      <c r="DG1045">
        <v>1</v>
      </c>
      <c r="DH1045">
        <v>0</v>
      </c>
      <c r="DI1045">
        <v>0</v>
      </c>
    </row>
    <row r="1046" spans="1:113" x14ac:dyDescent="0.3">
      <c r="A1046" t="str">
        <f t="shared" si="490"/>
        <v>05/12/2020 14:42:34.164</v>
      </c>
      <c r="C1046" t="str">
        <f t="shared" ref="C1046:C1109" si="494">"FFDFD3C0"</f>
        <v>FFDFD3C0</v>
      </c>
      <c r="D1046" t="s">
        <v>113</v>
      </c>
      <c r="E1046">
        <v>3</v>
      </c>
      <c r="H1046">
        <v>164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491"/>
        <v>14:42:51.992</v>
      </c>
      <c r="T1046" t="str">
        <f t="shared" si="492"/>
        <v>14:42:51.792</v>
      </c>
      <c r="U1046" t="str">
        <f t="shared" si="485"/>
        <v>A9808D</v>
      </c>
      <c r="V1046">
        <v>0</v>
      </c>
      <c r="W1046">
        <v>0</v>
      </c>
      <c r="X1046">
        <v>1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1</v>
      </c>
      <c r="AG1046">
        <v>2</v>
      </c>
      <c r="AH1046">
        <v>0</v>
      </c>
      <c r="AI1046" t="s">
        <v>330</v>
      </c>
      <c r="AJ1046">
        <v>28.274623999999999</v>
      </c>
      <c r="AK1046" t="s">
        <v>152</v>
      </c>
      <c r="AL1046">
        <v>-82.381411</v>
      </c>
      <c r="AM1046">
        <v>100</v>
      </c>
      <c r="AN1046">
        <v>1200</v>
      </c>
      <c r="AO1046" t="s">
        <v>118</v>
      </c>
      <c r="AP1046">
        <v>-19</v>
      </c>
      <c r="AQ1046">
        <v>87</v>
      </c>
      <c r="AR1046">
        <v>512</v>
      </c>
      <c r="AZ1046">
        <v>1200</v>
      </c>
      <c r="BA1046">
        <v>1</v>
      </c>
      <c r="BB1046" t="str">
        <f t="shared" ref="BB1046:BB1109" si="495">"N711JA  "</f>
        <v xml:space="preserve">N711JA  </v>
      </c>
      <c r="BC1046">
        <v>1</v>
      </c>
      <c r="BE1046">
        <v>0</v>
      </c>
      <c r="BF1046">
        <v>0</v>
      </c>
      <c r="BG1046">
        <v>0</v>
      </c>
      <c r="BH1046">
        <v>1350</v>
      </c>
      <c r="BI1046">
        <v>1</v>
      </c>
      <c r="BJ1046">
        <v>1</v>
      </c>
      <c r="BK1046">
        <v>0</v>
      </c>
      <c r="BL1046">
        <v>0</v>
      </c>
      <c r="BO1046">
        <v>0</v>
      </c>
      <c r="BP1046">
        <v>0</v>
      </c>
      <c r="BW1046" t="str">
        <f t="shared" si="493"/>
        <v>14:42:51.993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343</v>
      </c>
      <c r="CR1046">
        <v>2</v>
      </c>
      <c r="CW1046">
        <v>13019116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1</v>
      </c>
      <c r="DF1046">
        <v>0</v>
      </c>
      <c r="DG1046">
        <v>1</v>
      </c>
      <c r="DH1046">
        <v>0</v>
      </c>
      <c r="DI1046">
        <v>0</v>
      </c>
    </row>
    <row r="1047" spans="1:113" x14ac:dyDescent="0.3">
      <c r="A1047" t="str">
        <f t="shared" si="490"/>
        <v>05/12/2020 14:42:34.164</v>
      </c>
      <c r="C1047" t="str">
        <f t="shared" si="494"/>
        <v>FFDFD3C0</v>
      </c>
      <c r="D1047" t="s">
        <v>138</v>
      </c>
      <c r="E1047">
        <v>2</v>
      </c>
      <c r="H1047">
        <v>8</v>
      </c>
      <c r="I1047" t="s">
        <v>139</v>
      </c>
      <c r="J1047" t="s">
        <v>136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491"/>
        <v>14:42:51.992</v>
      </c>
      <c r="T1047" t="str">
        <f t="shared" si="492"/>
        <v>14:42:51.792</v>
      </c>
      <c r="U1047" t="str">
        <f t="shared" si="485"/>
        <v>A9808D</v>
      </c>
      <c r="V1047">
        <v>0</v>
      </c>
      <c r="W1047">
        <v>0</v>
      </c>
      <c r="X1047">
        <v>1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1</v>
      </c>
      <c r="AG1047">
        <v>2</v>
      </c>
      <c r="AH1047">
        <v>0</v>
      </c>
      <c r="AI1047" t="s">
        <v>330</v>
      </c>
      <c r="AJ1047">
        <v>28.274623999999999</v>
      </c>
      <c r="AK1047" t="s">
        <v>152</v>
      </c>
      <c r="AL1047">
        <v>-82.381411</v>
      </c>
      <c r="AM1047">
        <v>100</v>
      </c>
      <c r="AN1047">
        <v>1200</v>
      </c>
      <c r="AO1047" t="s">
        <v>118</v>
      </c>
      <c r="AP1047">
        <v>-19</v>
      </c>
      <c r="AQ1047">
        <v>87</v>
      </c>
      <c r="AR1047">
        <v>512</v>
      </c>
      <c r="AZ1047">
        <v>1200</v>
      </c>
      <c r="BA1047">
        <v>1</v>
      </c>
      <c r="BB1047" t="str">
        <f t="shared" si="495"/>
        <v xml:space="preserve">N711JA  </v>
      </c>
      <c r="BC1047">
        <v>1</v>
      </c>
      <c r="BE1047">
        <v>0</v>
      </c>
      <c r="BF1047">
        <v>0</v>
      </c>
      <c r="BG1047">
        <v>0</v>
      </c>
      <c r="BH1047">
        <v>1350</v>
      </c>
      <c r="BI1047">
        <v>1</v>
      </c>
      <c r="BJ1047">
        <v>1</v>
      </c>
      <c r="BK1047">
        <v>0</v>
      </c>
      <c r="BL1047">
        <v>0</v>
      </c>
      <c r="BO1047">
        <v>0</v>
      </c>
      <c r="BP1047">
        <v>0</v>
      </c>
      <c r="BW1047" t="str">
        <f t="shared" si="493"/>
        <v>14:42:51.993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343</v>
      </c>
      <c r="CR1047">
        <v>2</v>
      </c>
      <c r="CW1047">
        <v>13019116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1</v>
      </c>
      <c r="DF1047">
        <v>0</v>
      </c>
      <c r="DG1047">
        <v>1</v>
      </c>
      <c r="DH1047">
        <v>0</v>
      </c>
      <c r="DI1047">
        <v>0</v>
      </c>
    </row>
    <row r="1048" spans="1:113" x14ac:dyDescent="0.3">
      <c r="A1048" t="str">
        <f t="shared" si="490"/>
        <v>05/12/2020 14:42:34.164</v>
      </c>
      <c r="C1048" t="str">
        <f t="shared" si="494"/>
        <v>FFDFD3C0</v>
      </c>
      <c r="D1048" t="s">
        <v>138</v>
      </c>
      <c r="E1048">
        <v>3</v>
      </c>
      <c r="H1048">
        <v>9</v>
      </c>
      <c r="I1048" t="s">
        <v>140</v>
      </c>
      <c r="J1048" t="s">
        <v>136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491"/>
        <v>14:42:51.992</v>
      </c>
      <c r="T1048" t="str">
        <f t="shared" si="492"/>
        <v>14:42:51.792</v>
      </c>
      <c r="U1048" t="str">
        <f t="shared" si="485"/>
        <v>A9808D</v>
      </c>
      <c r="V1048">
        <v>0</v>
      </c>
      <c r="W1048">
        <v>0</v>
      </c>
      <c r="X1048">
        <v>1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1</v>
      </c>
      <c r="AG1048">
        <v>2</v>
      </c>
      <c r="AH1048">
        <v>0</v>
      </c>
      <c r="AI1048" t="s">
        <v>330</v>
      </c>
      <c r="AJ1048">
        <v>28.274623999999999</v>
      </c>
      <c r="AK1048" t="s">
        <v>152</v>
      </c>
      <c r="AL1048">
        <v>-82.381411</v>
      </c>
      <c r="AM1048">
        <v>100</v>
      </c>
      <c r="AN1048">
        <v>1200</v>
      </c>
      <c r="AO1048" t="s">
        <v>118</v>
      </c>
      <c r="AP1048">
        <v>-19</v>
      </c>
      <c r="AQ1048">
        <v>87</v>
      </c>
      <c r="AR1048">
        <v>512</v>
      </c>
      <c r="AZ1048">
        <v>1200</v>
      </c>
      <c r="BA1048">
        <v>1</v>
      </c>
      <c r="BB1048" t="str">
        <f t="shared" si="495"/>
        <v xml:space="preserve">N711JA  </v>
      </c>
      <c r="BC1048">
        <v>1</v>
      </c>
      <c r="BE1048">
        <v>0</v>
      </c>
      <c r="BF1048">
        <v>0</v>
      </c>
      <c r="BG1048">
        <v>0</v>
      </c>
      <c r="BH1048">
        <v>1350</v>
      </c>
      <c r="BI1048">
        <v>1</v>
      </c>
      <c r="BJ1048">
        <v>1</v>
      </c>
      <c r="BK1048">
        <v>0</v>
      </c>
      <c r="BL1048">
        <v>0</v>
      </c>
      <c r="BO1048">
        <v>0</v>
      </c>
      <c r="BP1048">
        <v>0</v>
      </c>
      <c r="BW1048" t="str">
        <f t="shared" si="493"/>
        <v>14:42:51.993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343</v>
      </c>
      <c r="CR1048">
        <v>2</v>
      </c>
      <c r="CW1048">
        <v>13019116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1</v>
      </c>
      <c r="DF1048">
        <v>0</v>
      </c>
      <c r="DG1048">
        <v>1</v>
      </c>
      <c r="DH1048">
        <v>0</v>
      </c>
      <c r="DI1048">
        <v>0</v>
      </c>
    </row>
    <row r="1049" spans="1:113" x14ac:dyDescent="0.3">
      <c r="A1049" t="str">
        <f t="shared" ref="A1049:A1057" si="496">"05/12/2020 14:42:35.238"</f>
        <v>05/12/2020 14:42:35.238</v>
      </c>
      <c r="C1049" t="str">
        <f t="shared" si="494"/>
        <v>FFDFD3C0</v>
      </c>
      <c r="D1049" t="s">
        <v>131</v>
      </c>
      <c r="E1049">
        <v>10</v>
      </c>
      <c r="F1049">
        <v>2010</v>
      </c>
      <c r="G1049" t="s">
        <v>132</v>
      </c>
      <c r="J1049" t="s">
        <v>133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ref="S1049:S1057" si="497">"14:42:53.070"</f>
        <v>14:42:53.070</v>
      </c>
      <c r="T1049" t="str">
        <f t="shared" ref="T1049:T1057" si="498">"14:42:52.770"</f>
        <v>14:42:52.770</v>
      </c>
      <c r="U1049" t="str">
        <f t="shared" si="485"/>
        <v>A9808D</v>
      </c>
      <c r="V1049">
        <v>0</v>
      </c>
      <c r="W1049">
        <v>0</v>
      </c>
      <c r="X1049">
        <v>1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1</v>
      </c>
      <c r="AG1049">
        <v>2</v>
      </c>
      <c r="AH1049">
        <v>0</v>
      </c>
      <c r="AI1049" t="s">
        <v>331</v>
      </c>
      <c r="AJ1049">
        <v>28.275010999999999</v>
      </c>
      <c r="AK1049" t="s">
        <v>248</v>
      </c>
      <c r="AL1049">
        <v>-82.381518</v>
      </c>
      <c r="AM1049">
        <v>100</v>
      </c>
      <c r="AN1049">
        <v>1300</v>
      </c>
      <c r="AO1049" t="s">
        <v>118</v>
      </c>
      <c r="AP1049">
        <v>-20</v>
      </c>
      <c r="AQ1049">
        <v>87</v>
      </c>
      <c r="AR1049">
        <v>448</v>
      </c>
      <c r="AZ1049">
        <v>1200</v>
      </c>
      <c r="BA1049">
        <v>1</v>
      </c>
      <c r="BB1049" t="str">
        <f t="shared" si="495"/>
        <v xml:space="preserve">N711JA  </v>
      </c>
      <c r="BC1049">
        <v>1</v>
      </c>
      <c r="BE1049">
        <v>0</v>
      </c>
      <c r="BF1049">
        <v>0</v>
      </c>
      <c r="BG1049">
        <v>0</v>
      </c>
      <c r="BH1049">
        <v>1350</v>
      </c>
      <c r="BI1049">
        <v>1</v>
      </c>
      <c r="BJ1049">
        <v>1</v>
      </c>
      <c r="BK1049">
        <v>0</v>
      </c>
      <c r="BL1049">
        <v>0</v>
      </c>
      <c r="BO1049">
        <v>0</v>
      </c>
      <c r="BP1049">
        <v>0</v>
      </c>
      <c r="BW1049" t="str">
        <f t="shared" ref="BW1049:BW1057" si="499">"14:42:53.075"</f>
        <v>14:42:53.075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343</v>
      </c>
      <c r="CR1049">
        <v>2</v>
      </c>
      <c r="CW1049">
        <v>13019924</v>
      </c>
      <c r="CY1049">
        <v>1</v>
      </c>
      <c r="CZ1049">
        <v>0</v>
      </c>
      <c r="DA1049">
        <v>0</v>
      </c>
      <c r="DB1049">
        <v>0</v>
      </c>
      <c r="DC1049">
        <v>0</v>
      </c>
      <c r="DD1049">
        <v>1</v>
      </c>
      <c r="DE1049">
        <v>1</v>
      </c>
      <c r="DF1049">
        <v>0</v>
      </c>
      <c r="DG1049">
        <v>1</v>
      </c>
      <c r="DH1049">
        <v>0</v>
      </c>
      <c r="DI1049">
        <v>0</v>
      </c>
    </row>
    <row r="1050" spans="1:113" x14ac:dyDescent="0.3">
      <c r="A1050" t="str">
        <f t="shared" si="496"/>
        <v>05/12/2020 14:42:35.238</v>
      </c>
      <c r="C1050" t="str">
        <f t="shared" si="494"/>
        <v>FFDFD3C0</v>
      </c>
      <c r="D1050" t="s">
        <v>126</v>
      </c>
      <c r="E1050">
        <v>7</v>
      </c>
      <c r="F1050">
        <v>1007</v>
      </c>
      <c r="G1050" t="s">
        <v>127</v>
      </c>
      <c r="J1050" t="s">
        <v>128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497"/>
        <v>14:42:53.070</v>
      </c>
      <c r="T1050" t="str">
        <f t="shared" si="498"/>
        <v>14:42:52.770</v>
      </c>
      <c r="U1050" t="str">
        <f t="shared" si="485"/>
        <v>A9808D</v>
      </c>
      <c r="V1050">
        <v>0</v>
      </c>
      <c r="W1050">
        <v>0</v>
      </c>
      <c r="X1050">
        <v>1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1</v>
      </c>
      <c r="AG1050">
        <v>2</v>
      </c>
      <c r="AH1050">
        <v>0</v>
      </c>
      <c r="AI1050" t="s">
        <v>331</v>
      </c>
      <c r="AJ1050">
        <v>28.275010999999999</v>
      </c>
      <c r="AK1050" t="s">
        <v>248</v>
      </c>
      <c r="AL1050">
        <v>-82.381518</v>
      </c>
      <c r="AM1050">
        <v>100</v>
      </c>
      <c r="AN1050">
        <v>1300</v>
      </c>
      <c r="AO1050" t="s">
        <v>118</v>
      </c>
      <c r="AP1050">
        <v>-20</v>
      </c>
      <c r="AQ1050">
        <v>87</v>
      </c>
      <c r="AR1050">
        <v>448</v>
      </c>
      <c r="AZ1050">
        <v>1200</v>
      </c>
      <c r="BA1050">
        <v>1</v>
      </c>
      <c r="BB1050" t="str">
        <f t="shared" si="495"/>
        <v xml:space="preserve">N711JA  </v>
      </c>
      <c r="BC1050">
        <v>1</v>
      </c>
      <c r="BE1050">
        <v>0</v>
      </c>
      <c r="BF1050">
        <v>0</v>
      </c>
      <c r="BG1050">
        <v>0</v>
      </c>
      <c r="BH1050">
        <v>1350</v>
      </c>
      <c r="BI1050">
        <v>1</v>
      </c>
      <c r="BJ1050">
        <v>1</v>
      </c>
      <c r="BK1050">
        <v>0</v>
      </c>
      <c r="BL1050">
        <v>0</v>
      </c>
      <c r="BO1050">
        <v>0</v>
      </c>
      <c r="BP1050">
        <v>0</v>
      </c>
      <c r="BW1050" t="str">
        <f t="shared" si="499"/>
        <v>14:42:53.075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343</v>
      </c>
      <c r="CR1050">
        <v>2</v>
      </c>
      <c r="CW1050">
        <v>13019924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1</v>
      </c>
      <c r="DF1050">
        <v>0</v>
      </c>
      <c r="DG1050">
        <v>1</v>
      </c>
      <c r="DH1050">
        <v>0</v>
      </c>
      <c r="DI1050">
        <v>0</v>
      </c>
    </row>
    <row r="1051" spans="1:113" x14ac:dyDescent="0.3">
      <c r="A1051" t="str">
        <f t="shared" si="496"/>
        <v>05/12/2020 14:42:35.238</v>
      </c>
      <c r="C1051" t="str">
        <f t="shared" si="494"/>
        <v>FFDFD3C0</v>
      </c>
      <c r="D1051" t="s">
        <v>131</v>
      </c>
      <c r="E1051">
        <v>12</v>
      </c>
      <c r="F1051">
        <v>2012</v>
      </c>
      <c r="G1051" t="s">
        <v>137</v>
      </c>
      <c r="J1051" t="s">
        <v>133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497"/>
        <v>14:42:53.070</v>
      </c>
      <c r="T1051" t="str">
        <f t="shared" si="498"/>
        <v>14:42:52.770</v>
      </c>
      <c r="U1051" t="str">
        <f t="shared" si="485"/>
        <v>A9808D</v>
      </c>
      <c r="V1051">
        <v>0</v>
      </c>
      <c r="W1051">
        <v>0</v>
      </c>
      <c r="X1051">
        <v>1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1</v>
      </c>
      <c r="AG1051">
        <v>2</v>
      </c>
      <c r="AH1051">
        <v>0</v>
      </c>
      <c r="AI1051" t="s">
        <v>331</v>
      </c>
      <c r="AJ1051">
        <v>28.275010999999999</v>
      </c>
      <c r="AK1051" t="s">
        <v>248</v>
      </c>
      <c r="AL1051">
        <v>-82.381518</v>
      </c>
      <c r="AM1051">
        <v>100</v>
      </c>
      <c r="AN1051">
        <v>1300</v>
      </c>
      <c r="AO1051" t="s">
        <v>118</v>
      </c>
      <c r="AP1051">
        <v>-20</v>
      </c>
      <c r="AQ1051">
        <v>87</v>
      </c>
      <c r="AR1051">
        <v>448</v>
      </c>
      <c r="AZ1051">
        <v>1200</v>
      </c>
      <c r="BA1051">
        <v>1</v>
      </c>
      <c r="BB1051" t="str">
        <f t="shared" si="495"/>
        <v xml:space="preserve">N711JA  </v>
      </c>
      <c r="BC1051">
        <v>1</v>
      </c>
      <c r="BE1051">
        <v>0</v>
      </c>
      <c r="BF1051">
        <v>0</v>
      </c>
      <c r="BG1051">
        <v>0</v>
      </c>
      <c r="BH1051">
        <v>1350</v>
      </c>
      <c r="BI1051">
        <v>1</v>
      </c>
      <c r="BJ1051">
        <v>1</v>
      </c>
      <c r="BK1051">
        <v>0</v>
      </c>
      <c r="BL1051">
        <v>0</v>
      </c>
      <c r="BO1051">
        <v>0</v>
      </c>
      <c r="BP1051">
        <v>0</v>
      </c>
      <c r="BW1051" t="str">
        <f t="shared" si="499"/>
        <v>14:42:53.075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343</v>
      </c>
      <c r="CR1051">
        <v>2</v>
      </c>
      <c r="CW1051">
        <v>13019924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1</v>
      </c>
      <c r="DF1051">
        <v>0</v>
      </c>
      <c r="DG1051">
        <v>1</v>
      </c>
      <c r="DH1051">
        <v>0</v>
      </c>
      <c r="DI1051">
        <v>0</v>
      </c>
    </row>
    <row r="1052" spans="1:113" x14ac:dyDescent="0.3">
      <c r="A1052" t="str">
        <f t="shared" si="496"/>
        <v>05/12/2020 14:42:35.238</v>
      </c>
      <c r="C1052" t="str">
        <f t="shared" si="494"/>
        <v>FFDFD3C0</v>
      </c>
      <c r="D1052" t="s">
        <v>131</v>
      </c>
      <c r="E1052">
        <v>18</v>
      </c>
      <c r="F1052">
        <v>2018</v>
      </c>
      <c r="G1052" t="s">
        <v>161</v>
      </c>
      <c r="J1052" t="s">
        <v>133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497"/>
        <v>14:42:53.070</v>
      </c>
      <c r="T1052" t="str">
        <f t="shared" si="498"/>
        <v>14:42:52.770</v>
      </c>
      <c r="U1052" t="str">
        <f t="shared" si="485"/>
        <v>A9808D</v>
      </c>
      <c r="V1052">
        <v>0</v>
      </c>
      <c r="W1052">
        <v>0</v>
      </c>
      <c r="X1052">
        <v>1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1</v>
      </c>
      <c r="AG1052">
        <v>2</v>
      </c>
      <c r="AH1052">
        <v>0</v>
      </c>
      <c r="AI1052" t="s">
        <v>331</v>
      </c>
      <c r="AJ1052">
        <v>28.275010999999999</v>
      </c>
      <c r="AK1052" t="s">
        <v>248</v>
      </c>
      <c r="AL1052">
        <v>-82.381518</v>
      </c>
      <c r="AM1052">
        <v>100</v>
      </c>
      <c r="AN1052">
        <v>1300</v>
      </c>
      <c r="AO1052" t="s">
        <v>118</v>
      </c>
      <c r="AP1052">
        <v>-20</v>
      </c>
      <c r="AQ1052">
        <v>87</v>
      </c>
      <c r="AR1052">
        <v>448</v>
      </c>
      <c r="AZ1052">
        <v>1200</v>
      </c>
      <c r="BA1052">
        <v>1</v>
      </c>
      <c r="BB1052" t="str">
        <f t="shared" si="495"/>
        <v xml:space="preserve">N711JA  </v>
      </c>
      <c r="BC1052">
        <v>1</v>
      </c>
      <c r="BE1052">
        <v>0</v>
      </c>
      <c r="BF1052">
        <v>0</v>
      </c>
      <c r="BG1052">
        <v>0</v>
      </c>
      <c r="BH1052">
        <v>1350</v>
      </c>
      <c r="BI1052">
        <v>1</v>
      </c>
      <c r="BJ1052">
        <v>1</v>
      </c>
      <c r="BK1052">
        <v>0</v>
      </c>
      <c r="BL1052">
        <v>0</v>
      </c>
      <c r="BO1052">
        <v>0</v>
      </c>
      <c r="BP1052">
        <v>0</v>
      </c>
      <c r="BW1052" t="str">
        <f t="shared" si="499"/>
        <v>14:42:53.075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343</v>
      </c>
      <c r="CR1052">
        <v>2</v>
      </c>
      <c r="CW1052">
        <v>13019924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1</v>
      </c>
      <c r="DF1052">
        <v>0</v>
      </c>
      <c r="DG1052">
        <v>1</v>
      </c>
      <c r="DH1052">
        <v>0</v>
      </c>
      <c r="DI1052">
        <v>0</v>
      </c>
    </row>
    <row r="1053" spans="1:113" x14ac:dyDescent="0.3">
      <c r="A1053" t="str">
        <f t="shared" si="496"/>
        <v>05/12/2020 14:42:35.238</v>
      </c>
      <c r="C1053" t="str">
        <f t="shared" si="494"/>
        <v>FFDFD3C0</v>
      </c>
      <c r="D1053" t="s">
        <v>113</v>
      </c>
      <c r="E1053">
        <v>3</v>
      </c>
      <c r="H1053">
        <v>164</v>
      </c>
      <c r="I1053" t="s">
        <v>114</v>
      </c>
      <c r="J1053" t="s">
        <v>115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497"/>
        <v>14:42:53.070</v>
      </c>
      <c r="T1053" t="str">
        <f t="shared" si="498"/>
        <v>14:42:52.770</v>
      </c>
      <c r="U1053" t="str">
        <f t="shared" si="485"/>
        <v>A9808D</v>
      </c>
      <c r="V1053">
        <v>0</v>
      </c>
      <c r="W1053">
        <v>0</v>
      </c>
      <c r="X1053">
        <v>1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1</v>
      </c>
      <c r="AG1053">
        <v>2</v>
      </c>
      <c r="AH1053">
        <v>0</v>
      </c>
      <c r="AI1053" t="s">
        <v>331</v>
      </c>
      <c r="AJ1053">
        <v>28.275010999999999</v>
      </c>
      <c r="AK1053" t="s">
        <v>248</v>
      </c>
      <c r="AL1053">
        <v>-82.381518</v>
      </c>
      <c r="AM1053">
        <v>100</v>
      </c>
      <c r="AN1053">
        <v>1300</v>
      </c>
      <c r="AO1053" t="s">
        <v>118</v>
      </c>
      <c r="AP1053">
        <v>-20</v>
      </c>
      <c r="AQ1053">
        <v>87</v>
      </c>
      <c r="AR1053">
        <v>448</v>
      </c>
      <c r="AZ1053">
        <v>1200</v>
      </c>
      <c r="BA1053">
        <v>1</v>
      </c>
      <c r="BB1053" t="str">
        <f t="shared" si="495"/>
        <v xml:space="preserve">N711JA  </v>
      </c>
      <c r="BC1053">
        <v>1</v>
      </c>
      <c r="BE1053">
        <v>0</v>
      </c>
      <c r="BF1053">
        <v>0</v>
      </c>
      <c r="BG1053">
        <v>0</v>
      </c>
      <c r="BH1053">
        <v>1350</v>
      </c>
      <c r="BI1053">
        <v>1</v>
      </c>
      <c r="BJ1053">
        <v>1</v>
      </c>
      <c r="BK1053">
        <v>0</v>
      </c>
      <c r="BL1053">
        <v>0</v>
      </c>
      <c r="BO1053">
        <v>0</v>
      </c>
      <c r="BP1053">
        <v>0</v>
      </c>
      <c r="BW1053" t="str">
        <f t="shared" si="499"/>
        <v>14:42:53.075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343</v>
      </c>
      <c r="CR1053">
        <v>2</v>
      </c>
      <c r="CW1053">
        <v>13019924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1</v>
      </c>
      <c r="DF1053">
        <v>0</v>
      </c>
      <c r="DG1053">
        <v>1</v>
      </c>
      <c r="DH1053">
        <v>0</v>
      </c>
      <c r="DI1053">
        <v>0</v>
      </c>
    </row>
    <row r="1054" spans="1:113" x14ac:dyDescent="0.3">
      <c r="A1054" t="str">
        <f t="shared" si="496"/>
        <v>05/12/2020 14:42:35.238</v>
      </c>
      <c r="C1054" t="str">
        <f t="shared" si="494"/>
        <v>FFDFD3C0</v>
      </c>
      <c r="D1054" t="s">
        <v>138</v>
      </c>
      <c r="E1054">
        <v>2</v>
      </c>
      <c r="H1054">
        <v>8</v>
      </c>
      <c r="I1054" t="s">
        <v>139</v>
      </c>
      <c r="J1054" t="s">
        <v>136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497"/>
        <v>14:42:53.070</v>
      </c>
      <c r="T1054" t="str">
        <f t="shared" si="498"/>
        <v>14:42:52.770</v>
      </c>
      <c r="U1054" t="str">
        <f t="shared" si="485"/>
        <v>A9808D</v>
      </c>
      <c r="V1054">
        <v>0</v>
      </c>
      <c r="W1054">
        <v>0</v>
      </c>
      <c r="X1054">
        <v>1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1</v>
      </c>
      <c r="AG1054">
        <v>2</v>
      </c>
      <c r="AH1054">
        <v>0</v>
      </c>
      <c r="AI1054" t="s">
        <v>331</v>
      </c>
      <c r="AJ1054">
        <v>28.275010999999999</v>
      </c>
      <c r="AK1054" t="s">
        <v>248</v>
      </c>
      <c r="AL1054">
        <v>-82.381518</v>
      </c>
      <c r="AM1054">
        <v>100</v>
      </c>
      <c r="AN1054">
        <v>1300</v>
      </c>
      <c r="AO1054" t="s">
        <v>118</v>
      </c>
      <c r="AP1054">
        <v>-20</v>
      </c>
      <c r="AQ1054">
        <v>87</v>
      </c>
      <c r="AR1054">
        <v>448</v>
      </c>
      <c r="AZ1054">
        <v>1200</v>
      </c>
      <c r="BA1054">
        <v>1</v>
      </c>
      <c r="BB1054" t="str">
        <f t="shared" si="495"/>
        <v xml:space="preserve">N711JA  </v>
      </c>
      <c r="BC1054">
        <v>1</v>
      </c>
      <c r="BE1054">
        <v>0</v>
      </c>
      <c r="BF1054">
        <v>0</v>
      </c>
      <c r="BG1054">
        <v>0</v>
      </c>
      <c r="BH1054">
        <v>1350</v>
      </c>
      <c r="BI1054">
        <v>1</v>
      </c>
      <c r="BJ1054">
        <v>1</v>
      </c>
      <c r="BK1054">
        <v>0</v>
      </c>
      <c r="BL1054">
        <v>0</v>
      </c>
      <c r="BO1054">
        <v>0</v>
      </c>
      <c r="BP1054">
        <v>0</v>
      </c>
      <c r="BW1054" t="str">
        <f t="shared" si="499"/>
        <v>14:42:53.075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343</v>
      </c>
      <c r="CR1054">
        <v>2</v>
      </c>
      <c r="CW1054">
        <v>13019924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1</v>
      </c>
      <c r="DF1054">
        <v>0</v>
      </c>
      <c r="DG1054">
        <v>1</v>
      </c>
      <c r="DH1054">
        <v>0</v>
      </c>
      <c r="DI1054">
        <v>0</v>
      </c>
    </row>
    <row r="1055" spans="1:113" x14ac:dyDescent="0.3">
      <c r="A1055" t="str">
        <f t="shared" si="496"/>
        <v>05/12/2020 14:42:35.238</v>
      </c>
      <c r="C1055" t="str">
        <f t="shared" si="494"/>
        <v>FFDFD3C0</v>
      </c>
      <c r="D1055" t="s">
        <v>138</v>
      </c>
      <c r="E1055">
        <v>3</v>
      </c>
      <c r="H1055">
        <v>9</v>
      </c>
      <c r="I1055" t="s">
        <v>140</v>
      </c>
      <c r="J1055" t="s">
        <v>136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497"/>
        <v>14:42:53.070</v>
      </c>
      <c r="T1055" t="str">
        <f t="shared" si="498"/>
        <v>14:42:52.770</v>
      </c>
      <c r="U1055" t="str">
        <f t="shared" si="485"/>
        <v>A9808D</v>
      </c>
      <c r="V1055">
        <v>0</v>
      </c>
      <c r="W1055">
        <v>0</v>
      </c>
      <c r="X1055">
        <v>1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1</v>
      </c>
      <c r="AG1055">
        <v>2</v>
      </c>
      <c r="AH1055">
        <v>0</v>
      </c>
      <c r="AI1055" t="s">
        <v>331</v>
      </c>
      <c r="AJ1055">
        <v>28.275010999999999</v>
      </c>
      <c r="AK1055" t="s">
        <v>248</v>
      </c>
      <c r="AL1055">
        <v>-82.381518</v>
      </c>
      <c r="AM1055">
        <v>100</v>
      </c>
      <c r="AN1055">
        <v>1300</v>
      </c>
      <c r="AO1055" t="s">
        <v>118</v>
      </c>
      <c r="AP1055">
        <v>-20</v>
      </c>
      <c r="AQ1055">
        <v>87</v>
      </c>
      <c r="AR1055">
        <v>448</v>
      </c>
      <c r="AZ1055">
        <v>1200</v>
      </c>
      <c r="BA1055">
        <v>1</v>
      </c>
      <c r="BB1055" t="str">
        <f t="shared" si="495"/>
        <v xml:space="preserve">N711JA  </v>
      </c>
      <c r="BC1055">
        <v>1</v>
      </c>
      <c r="BE1055">
        <v>0</v>
      </c>
      <c r="BF1055">
        <v>0</v>
      </c>
      <c r="BG1055">
        <v>0</v>
      </c>
      <c r="BH1055">
        <v>1350</v>
      </c>
      <c r="BI1055">
        <v>1</v>
      </c>
      <c r="BJ1055">
        <v>1</v>
      </c>
      <c r="BK1055">
        <v>0</v>
      </c>
      <c r="BL1055">
        <v>0</v>
      </c>
      <c r="BO1055">
        <v>0</v>
      </c>
      <c r="BP1055">
        <v>0</v>
      </c>
      <c r="BW1055" t="str">
        <f t="shared" si="499"/>
        <v>14:42:53.075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343</v>
      </c>
      <c r="CR1055">
        <v>2</v>
      </c>
      <c r="CW1055">
        <v>13019924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1</v>
      </c>
      <c r="DF1055">
        <v>0</v>
      </c>
      <c r="DG1055">
        <v>1</v>
      </c>
      <c r="DH1055">
        <v>0</v>
      </c>
      <c r="DI1055">
        <v>0</v>
      </c>
    </row>
    <row r="1056" spans="1:113" x14ac:dyDescent="0.3">
      <c r="A1056" t="str">
        <f t="shared" si="496"/>
        <v>05/12/2020 14:42:35.238</v>
      </c>
      <c r="C1056" t="str">
        <f t="shared" si="494"/>
        <v>FFDFD3C0</v>
      </c>
      <c r="D1056" t="s">
        <v>134</v>
      </c>
      <c r="E1056">
        <v>12</v>
      </c>
      <c r="H1056">
        <v>64</v>
      </c>
      <c r="I1056" t="s">
        <v>135</v>
      </c>
      <c r="J1056" t="s">
        <v>136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497"/>
        <v>14:42:53.070</v>
      </c>
      <c r="T1056" t="str">
        <f t="shared" si="498"/>
        <v>14:42:52.770</v>
      </c>
      <c r="U1056" t="str">
        <f t="shared" si="485"/>
        <v>A9808D</v>
      </c>
      <c r="V1056">
        <v>0</v>
      </c>
      <c r="W1056">
        <v>0</v>
      </c>
      <c r="X1056">
        <v>1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1</v>
      </c>
      <c r="AG1056">
        <v>2</v>
      </c>
      <c r="AH1056">
        <v>0</v>
      </c>
      <c r="AI1056" t="s">
        <v>331</v>
      </c>
      <c r="AJ1056">
        <v>28.275010999999999</v>
      </c>
      <c r="AK1056" t="s">
        <v>248</v>
      </c>
      <c r="AL1056">
        <v>-82.381518</v>
      </c>
      <c r="AM1056">
        <v>100</v>
      </c>
      <c r="AN1056">
        <v>1300</v>
      </c>
      <c r="AO1056" t="s">
        <v>118</v>
      </c>
      <c r="AP1056">
        <v>-20</v>
      </c>
      <c r="AQ1056">
        <v>87</v>
      </c>
      <c r="AR1056">
        <v>448</v>
      </c>
      <c r="AZ1056">
        <v>1200</v>
      </c>
      <c r="BA1056">
        <v>1</v>
      </c>
      <c r="BB1056" t="str">
        <f t="shared" si="495"/>
        <v xml:space="preserve">N711JA  </v>
      </c>
      <c r="BC1056">
        <v>1</v>
      </c>
      <c r="BE1056">
        <v>0</v>
      </c>
      <c r="BF1056">
        <v>0</v>
      </c>
      <c r="BG1056">
        <v>0</v>
      </c>
      <c r="BH1056">
        <v>1350</v>
      </c>
      <c r="BI1056">
        <v>1</v>
      </c>
      <c r="BJ1056">
        <v>1</v>
      </c>
      <c r="BK1056">
        <v>0</v>
      </c>
      <c r="BL1056">
        <v>0</v>
      </c>
      <c r="BO1056">
        <v>0</v>
      </c>
      <c r="BP1056">
        <v>0</v>
      </c>
      <c r="BW1056" t="str">
        <f t="shared" si="499"/>
        <v>14:42:53.075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343</v>
      </c>
      <c r="CR1056">
        <v>2</v>
      </c>
      <c r="CW1056">
        <v>13019924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1</v>
      </c>
      <c r="DF1056">
        <v>0</v>
      </c>
      <c r="DG1056">
        <v>1</v>
      </c>
      <c r="DH1056">
        <v>0</v>
      </c>
      <c r="DI1056">
        <v>0</v>
      </c>
    </row>
    <row r="1057" spans="1:113" x14ac:dyDescent="0.3">
      <c r="A1057" t="str">
        <f t="shared" si="496"/>
        <v>05/12/2020 14:42:35.238</v>
      </c>
      <c r="C1057" t="str">
        <f t="shared" si="494"/>
        <v>FFDFD3C0</v>
      </c>
      <c r="D1057" t="s">
        <v>126</v>
      </c>
      <c r="E1057">
        <v>6</v>
      </c>
      <c r="F1057">
        <v>1006</v>
      </c>
      <c r="G1057" t="s">
        <v>114</v>
      </c>
      <c r="J1057" t="s">
        <v>128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497"/>
        <v>14:42:53.070</v>
      </c>
      <c r="T1057" t="str">
        <f t="shared" si="498"/>
        <v>14:42:52.770</v>
      </c>
      <c r="U1057" t="str">
        <f t="shared" si="485"/>
        <v>A9808D</v>
      </c>
      <c r="V1057">
        <v>0</v>
      </c>
      <c r="W1057">
        <v>0</v>
      </c>
      <c r="X1057">
        <v>1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1</v>
      </c>
      <c r="AG1057">
        <v>2</v>
      </c>
      <c r="AH1057">
        <v>0</v>
      </c>
      <c r="AI1057" t="s">
        <v>331</v>
      </c>
      <c r="AJ1057">
        <v>28.275010999999999</v>
      </c>
      <c r="AK1057" t="s">
        <v>248</v>
      </c>
      <c r="AL1057">
        <v>-82.381518</v>
      </c>
      <c r="AM1057">
        <v>100</v>
      </c>
      <c r="AN1057">
        <v>1300</v>
      </c>
      <c r="AO1057" t="s">
        <v>118</v>
      </c>
      <c r="AP1057">
        <v>-20</v>
      </c>
      <c r="AQ1057">
        <v>87</v>
      </c>
      <c r="AR1057">
        <v>448</v>
      </c>
      <c r="AZ1057">
        <v>1200</v>
      </c>
      <c r="BA1057">
        <v>1</v>
      </c>
      <c r="BB1057" t="str">
        <f t="shared" si="495"/>
        <v xml:space="preserve">N711JA  </v>
      </c>
      <c r="BC1057">
        <v>1</v>
      </c>
      <c r="BE1057">
        <v>0</v>
      </c>
      <c r="BF1057">
        <v>0</v>
      </c>
      <c r="BG1057">
        <v>0</v>
      </c>
      <c r="BH1057">
        <v>1350</v>
      </c>
      <c r="BI1057">
        <v>1</v>
      </c>
      <c r="BJ1057">
        <v>1</v>
      </c>
      <c r="BK1057">
        <v>0</v>
      </c>
      <c r="BL1057">
        <v>0</v>
      </c>
      <c r="BO1057">
        <v>0</v>
      </c>
      <c r="BP1057">
        <v>0</v>
      </c>
      <c r="BW1057" t="str">
        <f t="shared" si="499"/>
        <v>14:42:53.075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343</v>
      </c>
      <c r="CR1057">
        <v>2</v>
      </c>
      <c r="CW1057">
        <v>13019924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1</v>
      </c>
      <c r="DF1057">
        <v>0</v>
      </c>
      <c r="DG1057">
        <v>1</v>
      </c>
      <c r="DH1057">
        <v>0</v>
      </c>
      <c r="DI1057">
        <v>0</v>
      </c>
    </row>
    <row r="1058" spans="1:113" x14ac:dyDescent="0.3">
      <c r="A1058" t="str">
        <f t="shared" ref="A1058:A1066" si="500">"05/12/2020 14:42:36.120"</f>
        <v>05/12/2020 14:42:36.120</v>
      </c>
      <c r="C1058" t="str">
        <f t="shared" si="494"/>
        <v>FFDFD3C0</v>
      </c>
      <c r="D1058" t="s">
        <v>138</v>
      </c>
      <c r="E1058">
        <v>2</v>
      </c>
      <c r="H1058">
        <v>8</v>
      </c>
      <c r="I1058" t="s">
        <v>139</v>
      </c>
      <c r="J1058" t="s">
        <v>136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ref="S1058:S1066" si="501">"14:42:53.945"</f>
        <v>14:42:53.945</v>
      </c>
      <c r="T1058" t="str">
        <f t="shared" ref="T1058:T1066" si="502">"14:42:53.645"</f>
        <v>14:42:53.645</v>
      </c>
      <c r="U1058" t="str">
        <f t="shared" si="485"/>
        <v>A9808D</v>
      </c>
      <c r="V1058">
        <v>0</v>
      </c>
      <c r="W1058">
        <v>0</v>
      </c>
      <c r="X1058">
        <v>1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1</v>
      </c>
      <c r="AG1058">
        <v>2</v>
      </c>
      <c r="AH1058">
        <v>0</v>
      </c>
      <c r="AI1058" t="s">
        <v>332</v>
      </c>
      <c r="AJ1058">
        <v>28.275375</v>
      </c>
      <c r="AK1058" t="s">
        <v>154</v>
      </c>
      <c r="AL1058">
        <v>-82.381625</v>
      </c>
      <c r="AM1058">
        <v>100</v>
      </c>
      <c r="AN1058">
        <v>1300</v>
      </c>
      <c r="AO1058" t="s">
        <v>118</v>
      </c>
      <c r="AP1058">
        <v>-21</v>
      </c>
      <c r="AQ1058">
        <v>87</v>
      </c>
      <c r="AR1058">
        <v>512</v>
      </c>
      <c r="AZ1058">
        <v>1200</v>
      </c>
      <c r="BA1058">
        <v>1</v>
      </c>
      <c r="BB1058" t="str">
        <f t="shared" si="495"/>
        <v xml:space="preserve">N711JA  </v>
      </c>
      <c r="BC1058">
        <v>1</v>
      </c>
      <c r="BE1058">
        <v>0</v>
      </c>
      <c r="BF1058">
        <v>0</v>
      </c>
      <c r="BG1058">
        <v>0</v>
      </c>
      <c r="BH1058">
        <v>1375</v>
      </c>
      <c r="BI1058">
        <v>1</v>
      </c>
      <c r="BJ1058">
        <v>1</v>
      </c>
      <c r="BK1058">
        <v>0</v>
      </c>
      <c r="BL1058">
        <v>0</v>
      </c>
      <c r="BO1058">
        <v>0</v>
      </c>
      <c r="BP1058">
        <v>0</v>
      </c>
      <c r="BW1058" t="str">
        <f t="shared" ref="BW1058:BW1066" si="503">"14:42:53.949"</f>
        <v>14:42:53.949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343</v>
      </c>
      <c r="CR1058">
        <v>1</v>
      </c>
      <c r="CW1058">
        <v>10624972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1</v>
      </c>
      <c r="DE1058">
        <v>1</v>
      </c>
      <c r="DF1058">
        <v>0</v>
      </c>
      <c r="DG1058">
        <v>1</v>
      </c>
      <c r="DH1058">
        <v>0</v>
      </c>
      <c r="DI1058">
        <v>0</v>
      </c>
    </row>
    <row r="1059" spans="1:113" x14ac:dyDescent="0.3">
      <c r="A1059" t="str">
        <f t="shared" si="500"/>
        <v>05/12/2020 14:42:36.120</v>
      </c>
      <c r="C1059" t="str">
        <f t="shared" si="494"/>
        <v>FFDFD3C0</v>
      </c>
      <c r="D1059" t="s">
        <v>138</v>
      </c>
      <c r="E1059">
        <v>3</v>
      </c>
      <c r="H1059">
        <v>9</v>
      </c>
      <c r="I1059" t="s">
        <v>140</v>
      </c>
      <c r="J1059" t="s">
        <v>136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01"/>
        <v>14:42:53.945</v>
      </c>
      <c r="T1059" t="str">
        <f t="shared" si="502"/>
        <v>14:42:53.645</v>
      </c>
      <c r="U1059" t="str">
        <f t="shared" si="485"/>
        <v>A9808D</v>
      </c>
      <c r="V1059">
        <v>0</v>
      </c>
      <c r="W1059">
        <v>0</v>
      </c>
      <c r="X1059">
        <v>1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1</v>
      </c>
      <c r="AG1059">
        <v>2</v>
      </c>
      <c r="AH1059">
        <v>0</v>
      </c>
      <c r="AI1059" t="s">
        <v>332</v>
      </c>
      <c r="AJ1059">
        <v>28.275375</v>
      </c>
      <c r="AK1059" t="s">
        <v>154</v>
      </c>
      <c r="AL1059">
        <v>-82.381625</v>
      </c>
      <c r="AM1059">
        <v>100</v>
      </c>
      <c r="AN1059">
        <v>1300</v>
      </c>
      <c r="AO1059" t="s">
        <v>118</v>
      </c>
      <c r="AP1059">
        <v>-21</v>
      </c>
      <c r="AQ1059">
        <v>87</v>
      </c>
      <c r="AR1059">
        <v>512</v>
      </c>
      <c r="AZ1059">
        <v>1200</v>
      </c>
      <c r="BA1059">
        <v>1</v>
      </c>
      <c r="BB1059" t="str">
        <f t="shared" si="495"/>
        <v xml:space="preserve">N711JA  </v>
      </c>
      <c r="BC1059">
        <v>1</v>
      </c>
      <c r="BE1059">
        <v>0</v>
      </c>
      <c r="BF1059">
        <v>0</v>
      </c>
      <c r="BG1059">
        <v>0</v>
      </c>
      <c r="BH1059">
        <v>1375</v>
      </c>
      <c r="BI1059">
        <v>1</v>
      </c>
      <c r="BJ1059">
        <v>1</v>
      </c>
      <c r="BK1059">
        <v>0</v>
      </c>
      <c r="BL1059">
        <v>0</v>
      </c>
      <c r="BO1059">
        <v>0</v>
      </c>
      <c r="BP1059">
        <v>0</v>
      </c>
      <c r="BW1059" t="str">
        <f t="shared" si="503"/>
        <v>14:42:53.949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343</v>
      </c>
      <c r="CR1059">
        <v>1</v>
      </c>
      <c r="CW1059">
        <v>10624972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1</v>
      </c>
      <c r="DF1059">
        <v>0</v>
      </c>
      <c r="DG1059">
        <v>1</v>
      </c>
      <c r="DH1059">
        <v>0</v>
      </c>
      <c r="DI1059">
        <v>0</v>
      </c>
    </row>
    <row r="1060" spans="1:113" x14ac:dyDescent="0.3">
      <c r="A1060" t="str">
        <f t="shared" si="500"/>
        <v>05/12/2020 14:42:36.120</v>
      </c>
      <c r="C1060" t="str">
        <f t="shared" si="494"/>
        <v>FFDFD3C0</v>
      </c>
      <c r="D1060" t="s">
        <v>126</v>
      </c>
      <c r="E1060">
        <v>6</v>
      </c>
      <c r="F1060">
        <v>1006</v>
      </c>
      <c r="G1060" t="s">
        <v>114</v>
      </c>
      <c r="J1060" t="s">
        <v>128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01"/>
        <v>14:42:53.945</v>
      </c>
      <c r="T1060" t="str">
        <f t="shared" si="502"/>
        <v>14:42:53.645</v>
      </c>
      <c r="U1060" t="str">
        <f t="shared" si="485"/>
        <v>A9808D</v>
      </c>
      <c r="V1060">
        <v>0</v>
      </c>
      <c r="W1060">
        <v>0</v>
      </c>
      <c r="X1060">
        <v>1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1</v>
      </c>
      <c r="AG1060">
        <v>2</v>
      </c>
      <c r="AH1060">
        <v>0</v>
      </c>
      <c r="AI1060" t="s">
        <v>332</v>
      </c>
      <c r="AJ1060">
        <v>28.275375</v>
      </c>
      <c r="AK1060" t="s">
        <v>154</v>
      </c>
      <c r="AL1060">
        <v>-82.381625</v>
      </c>
      <c r="AM1060">
        <v>100</v>
      </c>
      <c r="AN1060">
        <v>1300</v>
      </c>
      <c r="AO1060" t="s">
        <v>118</v>
      </c>
      <c r="AP1060">
        <v>-21</v>
      </c>
      <c r="AQ1060">
        <v>87</v>
      </c>
      <c r="AR1060">
        <v>512</v>
      </c>
      <c r="AZ1060">
        <v>1200</v>
      </c>
      <c r="BA1060">
        <v>1</v>
      </c>
      <c r="BB1060" t="str">
        <f t="shared" si="495"/>
        <v xml:space="preserve">N711JA  </v>
      </c>
      <c r="BC1060">
        <v>1</v>
      </c>
      <c r="BE1060">
        <v>0</v>
      </c>
      <c r="BF1060">
        <v>0</v>
      </c>
      <c r="BG1060">
        <v>0</v>
      </c>
      <c r="BH1060">
        <v>1375</v>
      </c>
      <c r="BI1060">
        <v>1</v>
      </c>
      <c r="BJ1060">
        <v>1</v>
      </c>
      <c r="BK1060">
        <v>0</v>
      </c>
      <c r="BL1060">
        <v>0</v>
      </c>
      <c r="BO1060">
        <v>0</v>
      </c>
      <c r="BP1060">
        <v>0</v>
      </c>
      <c r="BW1060" t="str">
        <f t="shared" si="503"/>
        <v>14:42:53.949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343</v>
      </c>
      <c r="CR1060">
        <v>1</v>
      </c>
      <c r="CW1060">
        <v>10624972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1</v>
      </c>
      <c r="DF1060">
        <v>0</v>
      </c>
      <c r="DG1060">
        <v>1</v>
      </c>
      <c r="DH1060">
        <v>0</v>
      </c>
      <c r="DI1060">
        <v>0</v>
      </c>
    </row>
    <row r="1061" spans="1:113" x14ac:dyDescent="0.3">
      <c r="A1061" t="str">
        <f t="shared" si="500"/>
        <v>05/12/2020 14:42:36.120</v>
      </c>
      <c r="C1061" t="str">
        <f t="shared" si="494"/>
        <v>FFDFD3C0</v>
      </c>
      <c r="D1061" t="s">
        <v>134</v>
      </c>
      <c r="E1061">
        <v>12</v>
      </c>
      <c r="H1061">
        <v>64</v>
      </c>
      <c r="I1061" t="s">
        <v>135</v>
      </c>
      <c r="J1061" t="s">
        <v>136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01"/>
        <v>14:42:53.945</v>
      </c>
      <c r="T1061" t="str">
        <f t="shared" si="502"/>
        <v>14:42:53.645</v>
      </c>
      <c r="U1061" t="str">
        <f t="shared" si="485"/>
        <v>A9808D</v>
      </c>
      <c r="V1061">
        <v>0</v>
      </c>
      <c r="W1061">
        <v>0</v>
      </c>
      <c r="X1061">
        <v>1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1</v>
      </c>
      <c r="AG1061">
        <v>2</v>
      </c>
      <c r="AH1061">
        <v>0</v>
      </c>
      <c r="AI1061" t="s">
        <v>332</v>
      </c>
      <c r="AJ1061">
        <v>28.275375</v>
      </c>
      <c r="AK1061" t="s">
        <v>154</v>
      </c>
      <c r="AL1061">
        <v>-82.381625</v>
      </c>
      <c r="AM1061">
        <v>100</v>
      </c>
      <c r="AN1061">
        <v>1300</v>
      </c>
      <c r="AO1061" t="s">
        <v>118</v>
      </c>
      <c r="AP1061">
        <v>-21</v>
      </c>
      <c r="AQ1061">
        <v>87</v>
      </c>
      <c r="AR1061">
        <v>512</v>
      </c>
      <c r="AZ1061">
        <v>1200</v>
      </c>
      <c r="BA1061">
        <v>1</v>
      </c>
      <c r="BB1061" t="str">
        <f t="shared" si="495"/>
        <v xml:space="preserve">N711JA  </v>
      </c>
      <c r="BC1061">
        <v>1</v>
      </c>
      <c r="BE1061">
        <v>0</v>
      </c>
      <c r="BF1061">
        <v>0</v>
      </c>
      <c r="BG1061">
        <v>0</v>
      </c>
      <c r="BH1061">
        <v>1375</v>
      </c>
      <c r="BI1061">
        <v>1</v>
      </c>
      <c r="BJ1061">
        <v>1</v>
      </c>
      <c r="BK1061">
        <v>0</v>
      </c>
      <c r="BL1061">
        <v>0</v>
      </c>
      <c r="BO1061">
        <v>0</v>
      </c>
      <c r="BP1061">
        <v>0</v>
      </c>
      <c r="BW1061" t="str">
        <f t="shared" si="503"/>
        <v>14:42:53.949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343</v>
      </c>
      <c r="CR1061">
        <v>1</v>
      </c>
      <c r="CW1061">
        <v>10624972</v>
      </c>
      <c r="CY1061">
        <v>0</v>
      </c>
      <c r="CZ1061">
        <v>0</v>
      </c>
      <c r="DA1061">
        <v>1</v>
      </c>
      <c r="DB1061">
        <v>0</v>
      </c>
      <c r="DC1061">
        <v>0</v>
      </c>
      <c r="DD1061">
        <v>1</v>
      </c>
      <c r="DE1061">
        <v>1</v>
      </c>
      <c r="DF1061">
        <v>0</v>
      </c>
      <c r="DG1061">
        <v>1</v>
      </c>
      <c r="DH1061">
        <v>0</v>
      </c>
      <c r="DI1061">
        <v>0</v>
      </c>
    </row>
    <row r="1062" spans="1:113" x14ac:dyDescent="0.3">
      <c r="A1062" t="str">
        <f t="shared" si="500"/>
        <v>05/12/2020 14:42:36.120</v>
      </c>
      <c r="C1062" t="str">
        <f t="shared" si="494"/>
        <v>FFDFD3C0</v>
      </c>
      <c r="D1062" t="s">
        <v>131</v>
      </c>
      <c r="E1062">
        <v>10</v>
      </c>
      <c r="F1062">
        <v>2010</v>
      </c>
      <c r="G1062" t="s">
        <v>132</v>
      </c>
      <c r="J1062" t="s">
        <v>133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01"/>
        <v>14:42:53.945</v>
      </c>
      <c r="T1062" t="str">
        <f t="shared" si="502"/>
        <v>14:42:53.645</v>
      </c>
      <c r="U1062" t="str">
        <f t="shared" si="485"/>
        <v>A9808D</v>
      </c>
      <c r="V1062">
        <v>0</v>
      </c>
      <c r="W1062">
        <v>0</v>
      </c>
      <c r="X1062">
        <v>1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1</v>
      </c>
      <c r="AG1062">
        <v>2</v>
      </c>
      <c r="AH1062">
        <v>0</v>
      </c>
      <c r="AI1062" t="s">
        <v>332</v>
      </c>
      <c r="AJ1062">
        <v>28.275375</v>
      </c>
      <c r="AK1062" t="s">
        <v>154</v>
      </c>
      <c r="AL1062">
        <v>-82.381625</v>
      </c>
      <c r="AM1062">
        <v>100</v>
      </c>
      <c r="AN1062">
        <v>1300</v>
      </c>
      <c r="AO1062" t="s">
        <v>118</v>
      </c>
      <c r="AP1062">
        <v>-21</v>
      </c>
      <c r="AQ1062">
        <v>87</v>
      </c>
      <c r="AR1062">
        <v>512</v>
      </c>
      <c r="AZ1062">
        <v>1200</v>
      </c>
      <c r="BA1062">
        <v>1</v>
      </c>
      <c r="BB1062" t="str">
        <f t="shared" si="495"/>
        <v xml:space="preserve">N711JA  </v>
      </c>
      <c r="BC1062">
        <v>1</v>
      </c>
      <c r="BE1062">
        <v>0</v>
      </c>
      <c r="BF1062">
        <v>0</v>
      </c>
      <c r="BG1062">
        <v>0</v>
      </c>
      <c r="BH1062">
        <v>1375</v>
      </c>
      <c r="BI1062">
        <v>1</v>
      </c>
      <c r="BJ1062">
        <v>1</v>
      </c>
      <c r="BK1062">
        <v>0</v>
      </c>
      <c r="BL1062">
        <v>0</v>
      </c>
      <c r="BO1062">
        <v>0</v>
      </c>
      <c r="BP1062">
        <v>0</v>
      </c>
      <c r="BW1062" t="str">
        <f t="shared" si="503"/>
        <v>14:42:53.949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343</v>
      </c>
      <c r="CR1062">
        <v>1</v>
      </c>
      <c r="CW1062">
        <v>10624972</v>
      </c>
      <c r="CY1062">
        <v>0</v>
      </c>
      <c r="CZ1062">
        <v>0</v>
      </c>
      <c r="DA1062">
        <v>1</v>
      </c>
      <c r="DB1062">
        <v>0</v>
      </c>
      <c r="DC1062">
        <v>0</v>
      </c>
      <c r="DD1062">
        <v>1</v>
      </c>
      <c r="DE1062">
        <v>1</v>
      </c>
      <c r="DF1062">
        <v>0</v>
      </c>
      <c r="DG1062">
        <v>1</v>
      </c>
      <c r="DH1062">
        <v>0</v>
      </c>
      <c r="DI1062">
        <v>0</v>
      </c>
    </row>
    <row r="1063" spans="1:113" x14ac:dyDescent="0.3">
      <c r="A1063" t="str">
        <f t="shared" si="500"/>
        <v>05/12/2020 14:42:36.120</v>
      </c>
      <c r="C1063" t="str">
        <f t="shared" si="494"/>
        <v>FFDFD3C0</v>
      </c>
      <c r="D1063" t="s">
        <v>131</v>
      </c>
      <c r="E1063">
        <v>18</v>
      </c>
      <c r="F1063">
        <v>2018</v>
      </c>
      <c r="G1063" t="s">
        <v>161</v>
      </c>
      <c r="J1063" t="s">
        <v>133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01"/>
        <v>14:42:53.945</v>
      </c>
      <c r="T1063" t="str">
        <f t="shared" si="502"/>
        <v>14:42:53.645</v>
      </c>
      <c r="U1063" t="str">
        <f t="shared" si="485"/>
        <v>A9808D</v>
      </c>
      <c r="V1063">
        <v>0</v>
      </c>
      <c r="W1063">
        <v>0</v>
      </c>
      <c r="X1063">
        <v>1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1</v>
      </c>
      <c r="AG1063">
        <v>2</v>
      </c>
      <c r="AH1063">
        <v>0</v>
      </c>
      <c r="AI1063" t="s">
        <v>332</v>
      </c>
      <c r="AJ1063">
        <v>28.275375</v>
      </c>
      <c r="AK1063" t="s">
        <v>154</v>
      </c>
      <c r="AL1063">
        <v>-82.381625</v>
      </c>
      <c r="AM1063">
        <v>100</v>
      </c>
      <c r="AN1063">
        <v>1300</v>
      </c>
      <c r="AO1063" t="s">
        <v>118</v>
      </c>
      <c r="AP1063">
        <v>-21</v>
      </c>
      <c r="AQ1063">
        <v>87</v>
      </c>
      <c r="AR1063">
        <v>512</v>
      </c>
      <c r="AZ1063">
        <v>1200</v>
      </c>
      <c r="BA1063">
        <v>1</v>
      </c>
      <c r="BB1063" t="str">
        <f t="shared" si="495"/>
        <v xml:space="preserve">N711JA  </v>
      </c>
      <c r="BC1063">
        <v>1</v>
      </c>
      <c r="BE1063">
        <v>0</v>
      </c>
      <c r="BF1063">
        <v>0</v>
      </c>
      <c r="BG1063">
        <v>0</v>
      </c>
      <c r="BH1063">
        <v>1375</v>
      </c>
      <c r="BI1063">
        <v>1</v>
      </c>
      <c r="BJ1063">
        <v>1</v>
      </c>
      <c r="BK1063">
        <v>0</v>
      </c>
      <c r="BL1063">
        <v>0</v>
      </c>
      <c r="BO1063">
        <v>0</v>
      </c>
      <c r="BP1063">
        <v>0</v>
      </c>
      <c r="BW1063" t="str">
        <f t="shared" si="503"/>
        <v>14:42:53.949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343</v>
      </c>
      <c r="CR1063">
        <v>1</v>
      </c>
      <c r="CW1063">
        <v>10624972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1</v>
      </c>
      <c r="DF1063">
        <v>0</v>
      </c>
      <c r="DG1063">
        <v>1</v>
      </c>
      <c r="DH1063">
        <v>0</v>
      </c>
      <c r="DI1063">
        <v>0</v>
      </c>
    </row>
    <row r="1064" spans="1:113" x14ac:dyDescent="0.3">
      <c r="A1064" t="str">
        <f t="shared" si="500"/>
        <v>05/12/2020 14:42:36.120</v>
      </c>
      <c r="C1064" t="str">
        <f t="shared" si="494"/>
        <v>FFDFD3C0</v>
      </c>
      <c r="D1064" t="s">
        <v>126</v>
      </c>
      <c r="E1064">
        <v>7</v>
      </c>
      <c r="F1064">
        <v>1007</v>
      </c>
      <c r="G1064" t="s">
        <v>127</v>
      </c>
      <c r="J1064" t="s">
        <v>128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501"/>
        <v>14:42:53.945</v>
      </c>
      <c r="T1064" t="str">
        <f t="shared" si="502"/>
        <v>14:42:53.645</v>
      </c>
      <c r="U1064" t="str">
        <f t="shared" si="485"/>
        <v>A9808D</v>
      </c>
      <c r="V1064">
        <v>0</v>
      </c>
      <c r="W1064">
        <v>0</v>
      </c>
      <c r="X1064">
        <v>1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1</v>
      </c>
      <c r="AG1064">
        <v>2</v>
      </c>
      <c r="AH1064">
        <v>0</v>
      </c>
      <c r="AI1064" t="s">
        <v>332</v>
      </c>
      <c r="AJ1064">
        <v>28.275375</v>
      </c>
      <c r="AK1064" t="s">
        <v>154</v>
      </c>
      <c r="AL1064">
        <v>-82.381625</v>
      </c>
      <c r="AM1064">
        <v>100</v>
      </c>
      <c r="AN1064">
        <v>1300</v>
      </c>
      <c r="AO1064" t="s">
        <v>118</v>
      </c>
      <c r="AP1064">
        <v>-21</v>
      </c>
      <c r="AQ1064">
        <v>87</v>
      </c>
      <c r="AR1064">
        <v>512</v>
      </c>
      <c r="AZ1064">
        <v>1200</v>
      </c>
      <c r="BA1064">
        <v>1</v>
      </c>
      <c r="BB1064" t="str">
        <f t="shared" si="495"/>
        <v xml:space="preserve">N711JA  </v>
      </c>
      <c r="BC1064">
        <v>1</v>
      </c>
      <c r="BE1064">
        <v>0</v>
      </c>
      <c r="BF1064">
        <v>0</v>
      </c>
      <c r="BG1064">
        <v>0</v>
      </c>
      <c r="BH1064">
        <v>1375</v>
      </c>
      <c r="BI1064">
        <v>1</v>
      </c>
      <c r="BJ1064">
        <v>1</v>
      </c>
      <c r="BK1064">
        <v>0</v>
      </c>
      <c r="BL1064">
        <v>0</v>
      </c>
      <c r="BO1064">
        <v>0</v>
      </c>
      <c r="BP1064">
        <v>0</v>
      </c>
      <c r="BW1064" t="str">
        <f t="shared" si="503"/>
        <v>14:42:53.949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343</v>
      </c>
      <c r="CR1064">
        <v>1</v>
      </c>
      <c r="CW1064">
        <v>10624972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1</v>
      </c>
      <c r="DF1064">
        <v>0</v>
      </c>
      <c r="DG1064">
        <v>1</v>
      </c>
      <c r="DH1064">
        <v>0</v>
      </c>
      <c r="DI1064">
        <v>0</v>
      </c>
    </row>
    <row r="1065" spans="1:113" x14ac:dyDescent="0.3">
      <c r="A1065" t="str">
        <f t="shared" si="500"/>
        <v>05/12/2020 14:42:36.120</v>
      </c>
      <c r="C1065" t="str">
        <f t="shared" si="494"/>
        <v>FFDFD3C0</v>
      </c>
      <c r="D1065" t="s">
        <v>131</v>
      </c>
      <c r="E1065">
        <v>12</v>
      </c>
      <c r="F1065">
        <v>2012</v>
      </c>
      <c r="G1065" t="s">
        <v>137</v>
      </c>
      <c r="J1065" t="s">
        <v>133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501"/>
        <v>14:42:53.945</v>
      </c>
      <c r="T1065" t="str">
        <f t="shared" si="502"/>
        <v>14:42:53.645</v>
      </c>
      <c r="U1065" t="str">
        <f t="shared" si="485"/>
        <v>A9808D</v>
      </c>
      <c r="V1065">
        <v>0</v>
      </c>
      <c r="W1065">
        <v>0</v>
      </c>
      <c r="X1065">
        <v>1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1</v>
      </c>
      <c r="AG1065">
        <v>2</v>
      </c>
      <c r="AH1065">
        <v>0</v>
      </c>
      <c r="AI1065" t="s">
        <v>332</v>
      </c>
      <c r="AJ1065">
        <v>28.275375</v>
      </c>
      <c r="AK1065" t="s">
        <v>154</v>
      </c>
      <c r="AL1065">
        <v>-82.381625</v>
      </c>
      <c r="AM1065">
        <v>100</v>
      </c>
      <c r="AN1065">
        <v>1300</v>
      </c>
      <c r="AO1065" t="s">
        <v>118</v>
      </c>
      <c r="AP1065">
        <v>-21</v>
      </c>
      <c r="AQ1065">
        <v>87</v>
      </c>
      <c r="AR1065">
        <v>512</v>
      </c>
      <c r="AZ1065">
        <v>1200</v>
      </c>
      <c r="BA1065">
        <v>1</v>
      </c>
      <c r="BB1065" t="str">
        <f t="shared" si="495"/>
        <v xml:space="preserve">N711JA  </v>
      </c>
      <c r="BC1065">
        <v>1</v>
      </c>
      <c r="BE1065">
        <v>0</v>
      </c>
      <c r="BF1065">
        <v>0</v>
      </c>
      <c r="BG1065">
        <v>0</v>
      </c>
      <c r="BH1065">
        <v>1375</v>
      </c>
      <c r="BI1065">
        <v>1</v>
      </c>
      <c r="BJ1065">
        <v>1</v>
      </c>
      <c r="BK1065">
        <v>0</v>
      </c>
      <c r="BL1065">
        <v>0</v>
      </c>
      <c r="BO1065">
        <v>0</v>
      </c>
      <c r="BP1065">
        <v>0</v>
      </c>
      <c r="BW1065" t="str">
        <f t="shared" si="503"/>
        <v>14:42:53.949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343</v>
      </c>
      <c r="CR1065">
        <v>1</v>
      </c>
      <c r="CW1065">
        <v>10624972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1</v>
      </c>
      <c r="DF1065">
        <v>0</v>
      </c>
      <c r="DG1065">
        <v>1</v>
      </c>
      <c r="DH1065">
        <v>0</v>
      </c>
      <c r="DI1065">
        <v>0</v>
      </c>
    </row>
    <row r="1066" spans="1:113" x14ac:dyDescent="0.3">
      <c r="A1066" t="str">
        <f t="shared" si="500"/>
        <v>05/12/2020 14:42:36.120</v>
      </c>
      <c r="C1066" t="str">
        <f t="shared" si="494"/>
        <v>FFDFD3C0</v>
      </c>
      <c r="D1066" t="s">
        <v>113</v>
      </c>
      <c r="E1066">
        <v>3</v>
      </c>
      <c r="H1066">
        <v>164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01"/>
        <v>14:42:53.945</v>
      </c>
      <c r="T1066" t="str">
        <f t="shared" si="502"/>
        <v>14:42:53.645</v>
      </c>
      <c r="U1066" t="str">
        <f t="shared" si="485"/>
        <v>A9808D</v>
      </c>
      <c r="V1066">
        <v>0</v>
      </c>
      <c r="W1066">
        <v>0</v>
      </c>
      <c r="X1066">
        <v>1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1</v>
      </c>
      <c r="AG1066">
        <v>2</v>
      </c>
      <c r="AH1066">
        <v>0</v>
      </c>
      <c r="AI1066" t="s">
        <v>332</v>
      </c>
      <c r="AJ1066">
        <v>28.275375</v>
      </c>
      <c r="AK1066" t="s">
        <v>154</v>
      </c>
      <c r="AL1066">
        <v>-82.381625</v>
      </c>
      <c r="AM1066">
        <v>100</v>
      </c>
      <c r="AN1066">
        <v>1300</v>
      </c>
      <c r="AO1066" t="s">
        <v>118</v>
      </c>
      <c r="AP1066">
        <v>-21</v>
      </c>
      <c r="AQ1066">
        <v>87</v>
      </c>
      <c r="AR1066">
        <v>512</v>
      </c>
      <c r="AZ1066">
        <v>1200</v>
      </c>
      <c r="BA1066">
        <v>1</v>
      </c>
      <c r="BB1066" t="str">
        <f t="shared" si="495"/>
        <v xml:space="preserve">N711JA  </v>
      </c>
      <c r="BC1066">
        <v>1</v>
      </c>
      <c r="BE1066">
        <v>0</v>
      </c>
      <c r="BF1066">
        <v>0</v>
      </c>
      <c r="BG1066">
        <v>0</v>
      </c>
      <c r="BH1066">
        <v>1375</v>
      </c>
      <c r="BI1066">
        <v>1</v>
      </c>
      <c r="BJ1066">
        <v>1</v>
      </c>
      <c r="BK1066">
        <v>0</v>
      </c>
      <c r="BL1066">
        <v>0</v>
      </c>
      <c r="BO1066">
        <v>0</v>
      </c>
      <c r="BP1066">
        <v>0</v>
      </c>
      <c r="BW1066" t="str">
        <f t="shared" si="503"/>
        <v>14:42:53.949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343</v>
      </c>
      <c r="CR1066">
        <v>1</v>
      </c>
      <c r="CW1066">
        <v>10624972</v>
      </c>
      <c r="CY1066">
        <v>0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1</v>
      </c>
      <c r="DF1066">
        <v>0</v>
      </c>
      <c r="DG1066">
        <v>1</v>
      </c>
      <c r="DH1066">
        <v>0</v>
      </c>
      <c r="DI1066">
        <v>0</v>
      </c>
    </row>
    <row r="1067" spans="1:113" x14ac:dyDescent="0.3">
      <c r="A1067" t="str">
        <f t="shared" ref="A1067:A1075" si="504">"05/12/2020 14:42:37.174"</f>
        <v>05/12/2020 14:42:37.174</v>
      </c>
      <c r="C1067" t="str">
        <f t="shared" si="494"/>
        <v>FFDFD3C0</v>
      </c>
      <c r="D1067" t="s">
        <v>113</v>
      </c>
      <c r="E1067">
        <v>3</v>
      </c>
      <c r="H1067">
        <v>164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ref="S1067:S1075" si="505">"14:42:55.008"</f>
        <v>14:42:55.008</v>
      </c>
      <c r="T1067" t="str">
        <f t="shared" ref="T1067:T1075" si="506">"14:42:54.608"</f>
        <v>14:42:54.608</v>
      </c>
      <c r="U1067" t="str">
        <f t="shared" si="485"/>
        <v>A9808D</v>
      </c>
      <c r="V1067">
        <v>0</v>
      </c>
      <c r="W1067">
        <v>0</v>
      </c>
      <c r="X1067">
        <v>1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1</v>
      </c>
      <c r="AG1067">
        <v>2</v>
      </c>
      <c r="AH1067">
        <v>0</v>
      </c>
      <c r="AI1067" t="s">
        <v>333</v>
      </c>
      <c r="AJ1067">
        <v>28.275783000000001</v>
      </c>
      <c r="AK1067" t="s">
        <v>334</v>
      </c>
      <c r="AL1067">
        <v>-82.381732</v>
      </c>
      <c r="AM1067">
        <v>100</v>
      </c>
      <c r="AN1067">
        <v>1300</v>
      </c>
      <c r="AO1067" t="s">
        <v>118</v>
      </c>
      <c r="AP1067">
        <v>-22</v>
      </c>
      <c r="AQ1067">
        <v>87</v>
      </c>
      <c r="AR1067">
        <v>448</v>
      </c>
      <c r="AZ1067">
        <v>1200</v>
      </c>
      <c r="BA1067">
        <v>1</v>
      </c>
      <c r="BB1067" t="str">
        <f t="shared" si="495"/>
        <v xml:space="preserve">N711JA  </v>
      </c>
      <c r="BC1067">
        <v>1</v>
      </c>
      <c r="BE1067">
        <v>0</v>
      </c>
      <c r="BF1067">
        <v>0</v>
      </c>
      <c r="BG1067">
        <v>0</v>
      </c>
      <c r="BH1067">
        <v>1375</v>
      </c>
      <c r="BI1067">
        <v>1</v>
      </c>
      <c r="BJ1067">
        <v>1</v>
      </c>
      <c r="BK1067">
        <v>0</v>
      </c>
      <c r="BL1067">
        <v>0</v>
      </c>
      <c r="BO1067">
        <v>0</v>
      </c>
      <c r="BP1067">
        <v>0</v>
      </c>
      <c r="BW1067" t="str">
        <f t="shared" ref="BW1067:BW1075" si="507">"14:42:55.015"</f>
        <v>14:42:55.015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343</v>
      </c>
      <c r="CR1067">
        <v>1</v>
      </c>
      <c r="CW1067">
        <v>10626059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1</v>
      </c>
      <c r="DE1067">
        <v>1</v>
      </c>
      <c r="DF1067">
        <v>0</v>
      </c>
      <c r="DG1067">
        <v>1</v>
      </c>
      <c r="DH1067">
        <v>0</v>
      </c>
      <c r="DI1067">
        <v>0</v>
      </c>
    </row>
    <row r="1068" spans="1:113" x14ac:dyDescent="0.3">
      <c r="A1068" t="str">
        <f t="shared" si="504"/>
        <v>05/12/2020 14:42:37.174</v>
      </c>
      <c r="C1068" t="str">
        <f t="shared" si="494"/>
        <v>FFDFD3C0</v>
      </c>
      <c r="D1068" t="s">
        <v>138</v>
      </c>
      <c r="E1068">
        <v>2</v>
      </c>
      <c r="H1068">
        <v>8</v>
      </c>
      <c r="I1068" t="s">
        <v>139</v>
      </c>
      <c r="J1068" t="s">
        <v>136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05"/>
        <v>14:42:55.008</v>
      </c>
      <c r="T1068" t="str">
        <f t="shared" si="506"/>
        <v>14:42:54.608</v>
      </c>
      <c r="U1068" t="str">
        <f t="shared" si="485"/>
        <v>A9808D</v>
      </c>
      <c r="V1068">
        <v>0</v>
      </c>
      <c r="W1068">
        <v>0</v>
      </c>
      <c r="X1068">
        <v>1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1</v>
      </c>
      <c r="AG1068">
        <v>2</v>
      </c>
      <c r="AH1068">
        <v>0</v>
      </c>
      <c r="AI1068" t="s">
        <v>333</v>
      </c>
      <c r="AJ1068">
        <v>28.275783000000001</v>
      </c>
      <c r="AK1068" t="s">
        <v>334</v>
      </c>
      <c r="AL1068">
        <v>-82.381732</v>
      </c>
      <c r="AM1068">
        <v>100</v>
      </c>
      <c r="AN1068">
        <v>1300</v>
      </c>
      <c r="AO1068" t="s">
        <v>118</v>
      </c>
      <c r="AP1068">
        <v>-22</v>
      </c>
      <c r="AQ1068">
        <v>87</v>
      </c>
      <c r="AR1068">
        <v>448</v>
      </c>
      <c r="AZ1068">
        <v>1200</v>
      </c>
      <c r="BA1068">
        <v>1</v>
      </c>
      <c r="BB1068" t="str">
        <f t="shared" si="495"/>
        <v xml:space="preserve">N711JA  </v>
      </c>
      <c r="BC1068">
        <v>1</v>
      </c>
      <c r="BE1068">
        <v>0</v>
      </c>
      <c r="BF1068">
        <v>0</v>
      </c>
      <c r="BG1068">
        <v>0</v>
      </c>
      <c r="BH1068">
        <v>1375</v>
      </c>
      <c r="BI1068">
        <v>1</v>
      </c>
      <c r="BJ1068">
        <v>1</v>
      </c>
      <c r="BK1068">
        <v>0</v>
      </c>
      <c r="BL1068">
        <v>0</v>
      </c>
      <c r="BO1068">
        <v>0</v>
      </c>
      <c r="BP1068">
        <v>0</v>
      </c>
      <c r="BW1068" t="str">
        <f t="shared" si="507"/>
        <v>14:42:55.015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343</v>
      </c>
      <c r="CR1068">
        <v>1</v>
      </c>
      <c r="CW1068">
        <v>10626059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1</v>
      </c>
      <c r="DF1068">
        <v>0</v>
      </c>
      <c r="DG1068">
        <v>1</v>
      </c>
      <c r="DH1068">
        <v>0</v>
      </c>
      <c r="DI1068">
        <v>0</v>
      </c>
    </row>
    <row r="1069" spans="1:113" x14ac:dyDescent="0.3">
      <c r="A1069" t="str">
        <f t="shared" si="504"/>
        <v>05/12/2020 14:42:37.174</v>
      </c>
      <c r="C1069" t="str">
        <f t="shared" si="494"/>
        <v>FFDFD3C0</v>
      </c>
      <c r="D1069" t="s">
        <v>138</v>
      </c>
      <c r="E1069">
        <v>3</v>
      </c>
      <c r="H1069">
        <v>9</v>
      </c>
      <c r="I1069" t="s">
        <v>140</v>
      </c>
      <c r="J1069" t="s">
        <v>136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05"/>
        <v>14:42:55.008</v>
      </c>
      <c r="T1069" t="str">
        <f t="shared" si="506"/>
        <v>14:42:54.608</v>
      </c>
      <c r="U1069" t="str">
        <f t="shared" si="485"/>
        <v>A9808D</v>
      </c>
      <c r="V1069">
        <v>0</v>
      </c>
      <c r="W1069">
        <v>0</v>
      </c>
      <c r="X1069">
        <v>1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1</v>
      </c>
      <c r="AG1069">
        <v>2</v>
      </c>
      <c r="AH1069">
        <v>0</v>
      </c>
      <c r="AI1069" t="s">
        <v>333</v>
      </c>
      <c r="AJ1069">
        <v>28.275783000000001</v>
      </c>
      <c r="AK1069" t="s">
        <v>334</v>
      </c>
      <c r="AL1069">
        <v>-82.381732</v>
      </c>
      <c r="AM1069">
        <v>100</v>
      </c>
      <c r="AN1069">
        <v>1300</v>
      </c>
      <c r="AO1069" t="s">
        <v>118</v>
      </c>
      <c r="AP1069">
        <v>-22</v>
      </c>
      <c r="AQ1069">
        <v>87</v>
      </c>
      <c r="AR1069">
        <v>448</v>
      </c>
      <c r="AZ1069">
        <v>1200</v>
      </c>
      <c r="BA1069">
        <v>1</v>
      </c>
      <c r="BB1069" t="str">
        <f t="shared" si="495"/>
        <v xml:space="preserve">N711JA  </v>
      </c>
      <c r="BC1069">
        <v>1</v>
      </c>
      <c r="BE1069">
        <v>0</v>
      </c>
      <c r="BF1069">
        <v>0</v>
      </c>
      <c r="BG1069">
        <v>0</v>
      </c>
      <c r="BH1069">
        <v>1375</v>
      </c>
      <c r="BI1069">
        <v>1</v>
      </c>
      <c r="BJ1069">
        <v>1</v>
      </c>
      <c r="BK1069">
        <v>0</v>
      </c>
      <c r="BL1069">
        <v>0</v>
      </c>
      <c r="BO1069">
        <v>0</v>
      </c>
      <c r="BP1069">
        <v>0</v>
      </c>
      <c r="BW1069" t="str">
        <f t="shared" si="507"/>
        <v>14:42:55.015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343</v>
      </c>
      <c r="CR1069">
        <v>1</v>
      </c>
      <c r="CW1069">
        <v>10626059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1</v>
      </c>
      <c r="DF1069">
        <v>0</v>
      </c>
      <c r="DG1069">
        <v>1</v>
      </c>
      <c r="DH1069">
        <v>0</v>
      </c>
      <c r="DI1069">
        <v>0</v>
      </c>
    </row>
    <row r="1070" spans="1:113" x14ac:dyDescent="0.3">
      <c r="A1070" t="str">
        <f t="shared" si="504"/>
        <v>05/12/2020 14:42:37.174</v>
      </c>
      <c r="C1070" t="str">
        <f t="shared" si="494"/>
        <v>FFDFD3C0</v>
      </c>
      <c r="D1070" t="s">
        <v>126</v>
      </c>
      <c r="E1070">
        <v>6</v>
      </c>
      <c r="F1070">
        <v>1006</v>
      </c>
      <c r="G1070" t="s">
        <v>114</v>
      </c>
      <c r="J1070" t="s">
        <v>128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05"/>
        <v>14:42:55.008</v>
      </c>
      <c r="T1070" t="str">
        <f t="shared" si="506"/>
        <v>14:42:54.608</v>
      </c>
      <c r="U1070" t="str">
        <f t="shared" si="485"/>
        <v>A9808D</v>
      </c>
      <c r="V1070">
        <v>0</v>
      </c>
      <c r="W1070">
        <v>0</v>
      </c>
      <c r="X1070">
        <v>1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1</v>
      </c>
      <c r="AG1070">
        <v>2</v>
      </c>
      <c r="AH1070">
        <v>0</v>
      </c>
      <c r="AI1070" t="s">
        <v>333</v>
      </c>
      <c r="AJ1070">
        <v>28.275783000000001</v>
      </c>
      <c r="AK1070" t="s">
        <v>334</v>
      </c>
      <c r="AL1070">
        <v>-82.381732</v>
      </c>
      <c r="AM1070">
        <v>100</v>
      </c>
      <c r="AN1070">
        <v>1300</v>
      </c>
      <c r="AO1070" t="s">
        <v>118</v>
      </c>
      <c r="AP1070">
        <v>-22</v>
      </c>
      <c r="AQ1070">
        <v>87</v>
      </c>
      <c r="AR1070">
        <v>448</v>
      </c>
      <c r="AZ1070">
        <v>1200</v>
      </c>
      <c r="BA1070">
        <v>1</v>
      </c>
      <c r="BB1070" t="str">
        <f t="shared" si="495"/>
        <v xml:space="preserve">N711JA  </v>
      </c>
      <c r="BC1070">
        <v>1</v>
      </c>
      <c r="BE1070">
        <v>0</v>
      </c>
      <c r="BF1070">
        <v>0</v>
      </c>
      <c r="BG1070">
        <v>0</v>
      </c>
      <c r="BH1070">
        <v>1375</v>
      </c>
      <c r="BI1070">
        <v>1</v>
      </c>
      <c r="BJ1070">
        <v>1</v>
      </c>
      <c r="BK1070">
        <v>0</v>
      </c>
      <c r="BL1070">
        <v>0</v>
      </c>
      <c r="BO1070">
        <v>0</v>
      </c>
      <c r="BP1070">
        <v>0</v>
      </c>
      <c r="BW1070" t="str">
        <f t="shared" si="507"/>
        <v>14:42:55.015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343</v>
      </c>
      <c r="CR1070">
        <v>1</v>
      </c>
      <c r="CW1070">
        <v>10626059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1</v>
      </c>
      <c r="DF1070">
        <v>0</v>
      </c>
      <c r="DG1070">
        <v>1</v>
      </c>
      <c r="DH1070">
        <v>0</v>
      </c>
      <c r="DI1070">
        <v>0</v>
      </c>
    </row>
    <row r="1071" spans="1:113" x14ac:dyDescent="0.3">
      <c r="A1071" t="str">
        <f t="shared" si="504"/>
        <v>05/12/2020 14:42:37.174</v>
      </c>
      <c r="C1071" t="str">
        <f t="shared" si="494"/>
        <v>FFDFD3C0</v>
      </c>
      <c r="D1071" t="s">
        <v>126</v>
      </c>
      <c r="E1071">
        <v>7</v>
      </c>
      <c r="F1071">
        <v>1007</v>
      </c>
      <c r="G1071" t="s">
        <v>127</v>
      </c>
      <c r="J1071" t="s">
        <v>128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505"/>
        <v>14:42:55.008</v>
      </c>
      <c r="T1071" t="str">
        <f t="shared" si="506"/>
        <v>14:42:54.608</v>
      </c>
      <c r="U1071" t="str">
        <f t="shared" si="485"/>
        <v>A9808D</v>
      </c>
      <c r="V1071">
        <v>0</v>
      </c>
      <c r="W1071">
        <v>0</v>
      </c>
      <c r="X1071">
        <v>1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1</v>
      </c>
      <c r="AG1071">
        <v>2</v>
      </c>
      <c r="AH1071">
        <v>0</v>
      </c>
      <c r="AI1071" t="s">
        <v>333</v>
      </c>
      <c r="AJ1071">
        <v>28.275783000000001</v>
      </c>
      <c r="AK1071" t="s">
        <v>334</v>
      </c>
      <c r="AL1071">
        <v>-82.381732</v>
      </c>
      <c r="AM1071">
        <v>100</v>
      </c>
      <c r="AN1071">
        <v>1300</v>
      </c>
      <c r="AO1071" t="s">
        <v>118</v>
      </c>
      <c r="AP1071">
        <v>-22</v>
      </c>
      <c r="AQ1071">
        <v>87</v>
      </c>
      <c r="AR1071">
        <v>448</v>
      </c>
      <c r="AZ1071">
        <v>1200</v>
      </c>
      <c r="BA1071">
        <v>1</v>
      </c>
      <c r="BB1071" t="str">
        <f t="shared" si="495"/>
        <v xml:space="preserve">N711JA  </v>
      </c>
      <c r="BC1071">
        <v>1</v>
      </c>
      <c r="BE1071">
        <v>0</v>
      </c>
      <c r="BF1071">
        <v>0</v>
      </c>
      <c r="BG1071">
        <v>0</v>
      </c>
      <c r="BH1071">
        <v>1375</v>
      </c>
      <c r="BI1071">
        <v>1</v>
      </c>
      <c r="BJ1071">
        <v>1</v>
      </c>
      <c r="BK1071">
        <v>0</v>
      </c>
      <c r="BL1071">
        <v>0</v>
      </c>
      <c r="BO1071">
        <v>0</v>
      </c>
      <c r="BP1071">
        <v>0</v>
      </c>
      <c r="BW1071" t="str">
        <f t="shared" si="507"/>
        <v>14:42:55.015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343</v>
      </c>
      <c r="CR1071">
        <v>1</v>
      </c>
      <c r="CW1071">
        <v>10626059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1</v>
      </c>
      <c r="DF1071">
        <v>0</v>
      </c>
      <c r="DG1071">
        <v>1</v>
      </c>
      <c r="DH1071">
        <v>0</v>
      </c>
      <c r="DI1071">
        <v>0</v>
      </c>
    </row>
    <row r="1072" spans="1:113" x14ac:dyDescent="0.3">
      <c r="A1072" t="str">
        <f t="shared" si="504"/>
        <v>05/12/2020 14:42:37.174</v>
      </c>
      <c r="C1072" t="str">
        <f t="shared" si="494"/>
        <v>FFDFD3C0</v>
      </c>
      <c r="D1072" t="s">
        <v>131</v>
      </c>
      <c r="E1072">
        <v>18</v>
      </c>
      <c r="F1072">
        <v>2018</v>
      </c>
      <c r="G1072" t="s">
        <v>161</v>
      </c>
      <c r="J1072" t="s">
        <v>133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505"/>
        <v>14:42:55.008</v>
      </c>
      <c r="T1072" t="str">
        <f t="shared" si="506"/>
        <v>14:42:54.608</v>
      </c>
      <c r="U1072" t="str">
        <f t="shared" si="485"/>
        <v>A9808D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1</v>
      </c>
      <c r="AG1072">
        <v>2</v>
      </c>
      <c r="AH1072">
        <v>0</v>
      </c>
      <c r="AI1072" t="s">
        <v>333</v>
      </c>
      <c r="AJ1072">
        <v>28.275783000000001</v>
      </c>
      <c r="AK1072" t="s">
        <v>334</v>
      </c>
      <c r="AL1072">
        <v>-82.381732</v>
      </c>
      <c r="AM1072">
        <v>100</v>
      </c>
      <c r="AN1072">
        <v>1300</v>
      </c>
      <c r="AO1072" t="s">
        <v>118</v>
      </c>
      <c r="AP1072">
        <v>-22</v>
      </c>
      <c r="AQ1072">
        <v>87</v>
      </c>
      <c r="AR1072">
        <v>448</v>
      </c>
      <c r="AZ1072">
        <v>1200</v>
      </c>
      <c r="BA1072">
        <v>1</v>
      </c>
      <c r="BB1072" t="str">
        <f t="shared" si="495"/>
        <v xml:space="preserve">N711JA  </v>
      </c>
      <c r="BC1072">
        <v>1</v>
      </c>
      <c r="BE1072">
        <v>0</v>
      </c>
      <c r="BF1072">
        <v>0</v>
      </c>
      <c r="BG1072">
        <v>0</v>
      </c>
      <c r="BH1072">
        <v>1375</v>
      </c>
      <c r="BI1072">
        <v>1</v>
      </c>
      <c r="BJ1072">
        <v>1</v>
      </c>
      <c r="BK1072">
        <v>0</v>
      </c>
      <c r="BL1072">
        <v>0</v>
      </c>
      <c r="BO1072">
        <v>0</v>
      </c>
      <c r="BP1072">
        <v>0</v>
      </c>
      <c r="BW1072" t="str">
        <f t="shared" si="507"/>
        <v>14:42:55.015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343</v>
      </c>
      <c r="CR1072">
        <v>1</v>
      </c>
      <c r="CW1072">
        <v>10626059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1</v>
      </c>
      <c r="DF1072">
        <v>0</v>
      </c>
      <c r="DG1072">
        <v>1</v>
      </c>
      <c r="DH1072">
        <v>0</v>
      </c>
      <c r="DI1072">
        <v>0</v>
      </c>
    </row>
    <row r="1073" spans="1:113" x14ac:dyDescent="0.3">
      <c r="A1073" t="str">
        <f t="shared" si="504"/>
        <v>05/12/2020 14:42:37.174</v>
      </c>
      <c r="C1073" t="str">
        <f t="shared" si="494"/>
        <v>FFDFD3C0</v>
      </c>
      <c r="D1073" t="s">
        <v>131</v>
      </c>
      <c r="E1073">
        <v>12</v>
      </c>
      <c r="F1073">
        <v>2012</v>
      </c>
      <c r="G1073" t="s">
        <v>137</v>
      </c>
      <c r="J1073" t="s">
        <v>133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05"/>
        <v>14:42:55.008</v>
      </c>
      <c r="T1073" t="str">
        <f t="shared" si="506"/>
        <v>14:42:54.608</v>
      </c>
      <c r="U1073" t="str">
        <f t="shared" si="485"/>
        <v>A9808D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1</v>
      </c>
      <c r="AG1073">
        <v>2</v>
      </c>
      <c r="AH1073">
        <v>0</v>
      </c>
      <c r="AI1073" t="s">
        <v>333</v>
      </c>
      <c r="AJ1073">
        <v>28.275783000000001</v>
      </c>
      <c r="AK1073" t="s">
        <v>334</v>
      </c>
      <c r="AL1073">
        <v>-82.381732</v>
      </c>
      <c r="AM1073">
        <v>100</v>
      </c>
      <c r="AN1073">
        <v>1300</v>
      </c>
      <c r="AO1073" t="s">
        <v>118</v>
      </c>
      <c r="AP1073">
        <v>-22</v>
      </c>
      <c r="AQ1073">
        <v>87</v>
      </c>
      <c r="AR1073">
        <v>448</v>
      </c>
      <c r="AZ1073">
        <v>1200</v>
      </c>
      <c r="BA1073">
        <v>1</v>
      </c>
      <c r="BB1073" t="str">
        <f t="shared" si="495"/>
        <v xml:space="preserve">N711JA  </v>
      </c>
      <c r="BC1073">
        <v>1</v>
      </c>
      <c r="BE1073">
        <v>0</v>
      </c>
      <c r="BF1073">
        <v>0</v>
      </c>
      <c r="BG1073">
        <v>0</v>
      </c>
      <c r="BH1073">
        <v>1375</v>
      </c>
      <c r="BI1073">
        <v>1</v>
      </c>
      <c r="BJ1073">
        <v>1</v>
      </c>
      <c r="BK1073">
        <v>0</v>
      </c>
      <c r="BL1073">
        <v>0</v>
      </c>
      <c r="BO1073">
        <v>0</v>
      </c>
      <c r="BP1073">
        <v>0</v>
      </c>
      <c r="BW1073" t="str">
        <f t="shared" si="507"/>
        <v>14:42:55.015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343</v>
      </c>
      <c r="CR1073">
        <v>1</v>
      </c>
      <c r="CW1073">
        <v>10626059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1</v>
      </c>
      <c r="DF1073">
        <v>0</v>
      </c>
      <c r="DG1073">
        <v>1</v>
      </c>
      <c r="DH1073">
        <v>0</v>
      </c>
      <c r="DI1073">
        <v>0</v>
      </c>
    </row>
    <row r="1074" spans="1:113" x14ac:dyDescent="0.3">
      <c r="A1074" t="str">
        <f t="shared" si="504"/>
        <v>05/12/2020 14:42:37.174</v>
      </c>
      <c r="C1074" t="str">
        <f t="shared" si="494"/>
        <v>FFDFD3C0</v>
      </c>
      <c r="D1074" t="s">
        <v>131</v>
      </c>
      <c r="E1074">
        <v>10</v>
      </c>
      <c r="F1074">
        <v>2010</v>
      </c>
      <c r="G1074" t="s">
        <v>132</v>
      </c>
      <c r="J1074" t="s">
        <v>133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505"/>
        <v>14:42:55.008</v>
      </c>
      <c r="T1074" t="str">
        <f t="shared" si="506"/>
        <v>14:42:54.608</v>
      </c>
      <c r="U1074" t="str">
        <f t="shared" si="485"/>
        <v>A9808D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1</v>
      </c>
      <c r="AG1074">
        <v>2</v>
      </c>
      <c r="AH1074">
        <v>0</v>
      </c>
      <c r="AI1074" t="s">
        <v>333</v>
      </c>
      <c r="AJ1074">
        <v>28.275783000000001</v>
      </c>
      <c r="AK1074" t="s">
        <v>334</v>
      </c>
      <c r="AL1074">
        <v>-82.381732</v>
      </c>
      <c r="AM1074">
        <v>100</v>
      </c>
      <c r="AN1074">
        <v>1300</v>
      </c>
      <c r="AO1074" t="s">
        <v>118</v>
      </c>
      <c r="AP1074">
        <v>-22</v>
      </c>
      <c r="AQ1074">
        <v>87</v>
      </c>
      <c r="AR1074">
        <v>448</v>
      </c>
      <c r="AZ1074">
        <v>1200</v>
      </c>
      <c r="BA1074">
        <v>1</v>
      </c>
      <c r="BB1074" t="str">
        <f t="shared" si="495"/>
        <v xml:space="preserve">N711JA  </v>
      </c>
      <c r="BC1074">
        <v>1</v>
      </c>
      <c r="BE1074">
        <v>0</v>
      </c>
      <c r="BF1074">
        <v>0</v>
      </c>
      <c r="BG1074">
        <v>0</v>
      </c>
      <c r="BH1074">
        <v>1375</v>
      </c>
      <c r="BI1074">
        <v>1</v>
      </c>
      <c r="BJ1074">
        <v>1</v>
      </c>
      <c r="BK1074">
        <v>0</v>
      </c>
      <c r="BL1074">
        <v>0</v>
      </c>
      <c r="BO1074">
        <v>0</v>
      </c>
      <c r="BP1074">
        <v>0</v>
      </c>
      <c r="BW1074" t="str">
        <f t="shared" si="507"/>
        <v>14:42:55.015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343</v>
      </c>
      <c r="CR1074">
        <v>1</v>
      </c>
      <c r="CW1074">
        <v>10626059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1</v>
      </c>
      <c r="DF1074">
        <v>0</v>
      </c>
      <c r="DG1074">
        <v>1</v>
      </c>
      <c r="DH1074">
        <v>0</v>
      </c>
      <c r="DI1074">
        <v>0</v>
      </c>
    </row>
    <row r="1075" spans="1:113" x14ac:dyDescent="0.3">
      <c r="A1075" t="str">
        <f t="shared" si="504"/>
        <v>05/12/2020 14:42:37.174</v>
      </c>
      <c r="C1075" t="str">
        <f t="shared" si="494"/>
        <v>FFDFD3C0</v>
      </c>
      <c r="D1075" t="s">
        <v>134</v>
      </c>
      <c r="E1075">
        <v>12</v>
      </c>
      <c r="H1075">
        <v>64</v>
      </c>
      <c r="I1075" t="s">
        <v>135</v>
      </c>
      <c r="J1075" t="s">
        <v>136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05"/>
        <v>14:42:55.008</v>
      </c>
      <c r="T1075" t="str">
        <f t="shared" si="506"/>
        <v>14:42:54.608</v>
      </c>
      <c r="U1075" t="str">
        <f t="shared" si="485"/>
        <v>A9808D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1</v>
      </c>
      <c r="AG1075">
        <v>2</v>
      </c>
      <c r="AH1075">
        <v>0</v>
      </c>
      <c r="AI1075" t="s">
        <v>333</v>
      </c>
      <c r="AJ1075">
        <v>28.275783000000001</v>
      </c>
      <c r="AK1075" t="s">
        <v>334</v>
      </c>
      <c r="AL1075">
        <v>-82.381732</v>
      </c>
      <c r="AM1075">
        <v>100</v>
      </c>
      <c r="AN1075">
        <v>1300</v>
      </c>
      <c r="AO1075" t="s">
        <v>118</v>
      </c>
      <c r="AP1075">
        <v>-22</v>
      </c>
      <c r="AQ1075">
        <v>87</v>
      </c>
      <c r="AR1075">
        <v>448</v>
      </c>
      <c r="AZ1075">
        <v>1200</v>
      </c>
      <c r="BA1075">
        <v>1</v>
      </c>
      <c r="BB1075" t="str">
        <f t="shared" si="495"/>
        <v xml:space="preserve">N711JA  </v>
      </c>
      <c r="BC1075">
        <v>1</v>
      </c>
      <c r="BE1075">
        <v>0</v>
      </c>
      <c r="BF1075">
        <v>0</v>
      </c>
      <c r="BG1075">
        <v>0</v>
      </c>
      <c r="BH1075">
        <v>1375</v>
      </c>
      <c r="BI1075">
        <v>1</v>
      </c>
      <c r="BJ1075">
        <v>1</v>
      </c>
      <c r="BK1075">
        <v>0</v>
      </c>
      <c r="BL1075">
        <v>0</v>
      </c>
      <c r="BO1075">
        <v>0</v>
      </c>
      <c r="BP1075">
        <v>0</v>
      </c>
      <c r="BW1075" t="str">
        <f t="shared" si="507"/>
        <v>14:42:55.015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343</v>
      </c>
      <c r="CR1075">
        <v>1</v>
      </c>
      <c r="CW1075">
        <v>10626059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1</v>
      </c>
      <c r="DF1075">
        <v>0</v>
      </c>
      <c r="DG1075">
        <v>1</v>
      </c>
      <c r="DH1075">
        <v>0</v>
      </c>
      <c r="DI1075">
        <v>0</v>
      </c>
    </row>
    <row r="1076" spans="1:113" x14ac:dyDescent="0.3">
      <c r="A1076" t="str">
        <f t="shared" ref="A1076:A1084" si="508">"05/12/2020 14:42:38.066"</f>
        <v>05/12/2020 14:42:38.066</v>
      </c>
      <c r="C1076" t="str">
        <f t="shared" si="494"/>
        <v>FFDFD3C0</v>
      </c>
      <c r="D1076" t="s">
        <v>134</v>
      </c>
      <c r="E1076">
        <v>12</v>
      </c>
      <c r="H1076">
        <v>64</v>
      </c>
      <c r="I1076" t="s">
        <v>135</v>
      </c>
      <c r="J1076" t="s">
        <v>136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ref="S1076:S1084" si="509">"14:42:55.906"</f>
        <v>14:42:55.906</v>
      </c>
      <c r="T1076" t="str">
        <f t="shared" ref="T1076:T1084" si="510">"14:42:55.606"</f>
        <v>14:42:55.606</v>
      </c>
      <c r="U1076" t="str">
        <f t="shared" si="485"/>
        <v>A9808D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1</v>
      </c>
      <c r="AG1076">
        <v>2</v>
      </c>
      <c r="AH1076">
        <v>0</v>
      </c>
      <c r="AI1076" t="s">
        <v>335</v>
      </c>
      <c r="AJ1076">
        <v>28.276147999999999</v>
      </c>
      <c r="AK1076" t="s">
        <v>156</v>
      </c>
      <c r="AL1076">
        <v>-82.381883000000002</v>
      </c>
      <c r="AM1076">
        <v>100</v>
      </c>
      <c r="AN1076">
        <v>1300</v>
      </c>
      <c r="AO1076" t="s">
        <v>118</v>
      </c>
      <c r="AP1076">
        <v>-23</v>
      </c>
      <c r="AQ1076">
        <v>87</v>
      </c>
      <c r="AR1076">
        <v>512</v>
      </c>
      <c r="AZ1076">
        <v>1200</v>
      </c>
      <c r="BA1076">
        <v>1</v>
      </c>
      <c r="BB1076" t="str">
        <f t="shared" si="495"/>
        <v xml:space="preserve">N711JA  </v>
      </c>
      <c r="BC1076">
        <v>1</v>
      </c>
      <c r="BE1076">
        <v>0</v>
      </c>
      <c r="BF1076">
        <v>0</v>
      </c>
      <c r="BG1076">
        <v>0</v>
      </c>
      <c r="BH1076">
        <v>1375</v>
      </c>
      <c r="BI1076">
        <v>1</v>
      </c>
      <c r="BJ1076">
        <v>1</v>
      </c>
      <c r="BK1076">
        <v>0</v>
      </c>
      <c r="BL1076">
        <v>0</v>
      </c>
      <c r="BO1076">
        <v>0</v>
      </c>
      <c r="BP1076">
        <v>0</v>
      </c>
      <c r="BW1076" t="str">
        <f t="shared" ref="BW1076:BW1084" si="511">"14:42:55.908"</f>
        <v>14:42:55.908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343</v>
      </c>
      <c r="CR1076">
        <v>2</v>
      </c>
      <c r="CW1076">
        <v>13021856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1</v>
      </c>
      <c r="DE1076">
        <v>1</v>
      </c>
      <c r="DF1076">
        <v>0</v>
      </c>
      <c r="DG1076">
        <v>1</v>
      </c>
      <c r="DH1076">
        <v>0</v>
      </c>
      <c r="DI1076">
        <v>0</v>
      </c>
    </row>
    <row r="1077" spans="1:113" x14ac:dyDescent="0.3">
      <c r="A1077" t="str">
        <f t="shared" si="508"/>
        <v>05/12/2020 14:42:38.066</v>
      </c>
      <c r="C1077" t="str">
        <f t="shared" si="494"/>
        <v>FFDFD3C0</v>
      </c>
      <c r="D1077" t="s">
        <v>113</v>
      </c>
      <c r="E1077">
        <v>3</v>
      </c>
      <c r="H1077">
        <v>164</v>
      </c>
      <c r="I1077" t="s">
        <v>114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09"/>
        <v>14:42:55.906</v>
      </c>
      <c r="T1077" t="str">
        <f t="shared" si="510"/>
        <v>14:42:55.606</v>
      </c>
      <c r="U1077" t="str">
        <f t="shared" si="485"/>
        <v>A9808D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1</v>
      </c>
      <c r="AG1077">
        <v>2</v>
      </c>
      <c r="AH1077">
        <v>0</v>
      </c>
      <c r="AI1077" t="s">
        <v>335</v>
      </c>
      <c r="AJ1077">
        <v>28.276147999999999</v>
      </c>
      <c r="AK1077" t="s">
        <v>156</v>
      </c>
      <c r="AL1077">
        <v>-82.381883000000002</v>
      </c>
      <c r="AM1077">
        <v>100</v>
      </c>
      <c r="AN1077">
        <v>1300</v>
      </c>
      <c r="AO1077" t="s">
        <v>118</v>
      </c>
      <c r="AP1077">
        <v>-23</v>
      </c>
      <c r="AQ1077">
        <v>87</v>
      </c>
      <c r="AR1077">
        <v>512</v>
      </c>
      <c r="AZ1077">
        <v>1200</v>
      </c>
      <c r="BA1077">
        <v>1</v>
      </c>
      <c r="BB1077" t="str">
        <f t="shared" si="495"/>
        <v xml:space="preserve">N711JA  </v>
      </c>
      <c r="BC1077">
        <v>1</v>
      </c>
      <c r="BE1077">
        <v>0</v>
      </c>
      <c r="BF1077">
        <v>0</v>
      </c>
      <c r="BG1077">
        <v>0</v>
      </c>
      <c r="BH1077">
        <v>1375</v>
      </c>
      <c r="BI1077">
        <v>1</v>
      </c>
      <c r="BJ1077">
        <v>1</v>
      </c>
      <c r="BK1077">
        <v>0</v>
      </c>
      <c r="BL1077">
        <v>0</v>
      </c>
      <c r="BO1077">
        <v>0</v>
      </c>
      <c r="BP1077">
        <v>0</v>
      </c>
      <c r="BW1077" t="str">
        <f t="shared" si="511"/>
        <v>14:42:55.908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343</v>
      </c>
      <c r="CR1077">
        <v>2</v>
      </c>
      <c r="CW1077">
        <v>13021856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1</v>
      </c>
      <c r="DF1077">
        <v>0</v>
      </c>
      <c r="DG1077">
        <v>1</v>
      </c>
      <c r="DH1077">
        <v>0</v>
      </c>
      <c r="DI1077">
        <v>0</v>
      </c>
    </row>
    <row r="1078" spans="1:113" x14ac:dyDescent="0.3">
      <c r="A1078" t="str">
        <f t="shared" si="508"/>
        <v>05/12/2020 14:42:38.066</v>
      </c>
      <c r="C1078" t="str">
        <f t="shared" si="494"/>
        <v>FFDFD3C0</v>
      </c>
      <c r="D1078" t="s">
        <v>138</v>
      </c>
      <c r="E1078">
        <v>2</v>
      </c>
      <c r="H1078">
        <v>8</v>
      </c>
      <c r="I1078" t="s">
        <v>139</v>
      </c>
      <c r="J1078" t="s">
        <v>136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509"/>
        <v>14:42:55.906</v>
      </c>
      <c r="T1078" t="str">
        <f t="shared" si="510"/>
        <v>14:42:55.606</v>
      </c>
      <c r="U1078" t="str">
        <f t="shared" si="485"/>
        <v>A9808D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1</v>
      </c>
      <c r="AG1078">
        <v>2</v>
      </c>
      <c r="AH1078">
        <v>0</v>
      </c>
      <c r="AI1078" t="s">
        <v>335</v>
      </c>
      <c r="AJ1078">
        <v>28.276147999999999</v>
      </c>
      <c r="AK1078" t="s">
        <v>156</v>
      </c>
      <c r="AL1078">
        <v>-82.381883000000002</v>
      </c>
      <c r="AM1078">
        <v>100</v>
      </c>
      <c r="AN1078">
        <v>1300</v>
      </c>
      <c r="AO1078" t="s">
        <v>118</v>
      </c>
      <c r="AP1078">
        <v>-23</v>
      </c>
      <c r="AQ1078">
        <v>87</v>
      </c>
      <c r="AR1078">
        <v>512</v>
      </c>
      <c r="AZ1078">
        <v>1200</v>
      </c>
      <c r="BA1078">
        <v>1</v>
      </c>
      <c r="BB1078" t="str">
        <f t="shared" si="495"/>
        <v xml:space="preserve">N711JA  </v>
      </c>
      <c r="BC1078">
        <v>1</v>
      </c>
      <c r="BE1078">
        <v>0</v>
      </c>
      <c r="BF1078">
        <v>0</v>
      </c>
      <c r="BG1078">
        <v>0</v>
      </c>
      <c r="BH1078">
        <v>1375</v>
      </c>
      <c r="BI1078">
        <v>1</v>
      </c>
      <c r="BJ1078">
        <v>1</v>
      </c>
      <c r="BK1078">
        <v>0</v>
      </c>
      <c r="BL1078">
        <v>0</v>
      </c>
      <c r="BO1078">
        <v>0</v>
      </c>
      <c r="BP1078">
        <v>0</v>
      </c>
      <c r="BW1078" t="str">
        <f t="shared" si="511"/>
        <v>14:42:55.908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343</v>
      </c>
      <c r="CR1078">
        <v>2</v>
      </c>
      <c r="CW1078">
        <v>13021856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1</v>
      </c>
      <c r="DF1078">
        <v>0</v>
      </c>
      <c r="DG1078">
        <v>1</v>
      </c>
      <c r="DH1078">
        <v>0</v>
      </c>
      <c r="DI1078">
        <v>0</v>
      </c>
    </row>
    <row r="1079" spans="1:113" x14ac:dyDescent="0.3">
      <c r="A1079" t="str">
        <f t="shared" si="508"/>
        <v>05/12/2020 14:42:38.066</v>
      </c>
      <c r="C1079" t="str">
        <f t="shared" si="494"/>
        <v>FFDFD3C0</v>
      </c>
      <c r="D1079" t="s">
        <v>138</v>
      </c>
      <c r="E1079">
        <v>3</v>
      </c>
      <c r="H1079">
        <v>9</v>
      </c>
      <c r="I1079" t="s">
        <v>140</v>
      </c>
      <c r="J1079" t="s">
        <v>136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509"/>
        <v>14:42:55.906</v>
      </c>
      <c r="T1079" t="str">
        <f t="shared" si="510"/>
        <v>14:42:55.606</v>
      </c>
      <c r="U1079" t="str">
        <f t="shared" si="485"/>
        <v>A9808D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1</v>
      </c>
      <c r="AG1079">
        <v>2</v>
      </c>
      <c r="AH1079">
        <v>0</v>
      </c>
      <c r="AI1079" t="s">
        <v>335</v>
      </c>
      <c r="AJ1079">
        <v>28.276147999999999</v>
      </c>
      <c r="AK1079" t="s">
        <v>156</v>
      </c>
      <c r="AL1079">
        <v>-82.381883000000002</v>
      </c>
      <c r="AM1079">
        <v>100</v>
      </c>
      <c r="AN1079">
        <v>1300</v>
      </c>
      <c r="AO1079" t="s">
        <v>118</v>
      </c>
      <c r="AP1079">
        <v>-23</v>
      </c>
      <c r="AQ1079">
        <v>87</v>
      </c>
      <c r="AR1079">
        <v>512</v>
      </c>
      <c r="AZ1079">
        <v>1200</v>
      </c>
      <c r="BA1079">
        <v>1</v>
      </c>
      <c r="BB1079" t="str">
        <f t="shared" si="495"/>
        <v xml:space="preserve">N711JA  </v>
      </c>
      <c r="BC1079">
        <v>1</v>
      </c>
      <c r="BE1079">
        <v>0</v>
      </c>
      <c r="BF1079">
        <v>0</v>
      </c>
      <c r="BG1079">
        <v>0</v>
      </c>
      <c r="BH1079">
        <v>1375</v>
      </c>
      <c r="BI1079">
        <v>1</v>
      </c>
      <c r="BJ1079">
        <v>1</v>
      </c>
      <c r="BK1079">
        <v>0</v>
      </c>
      <c r="BL1079">
        <v>0</v>
      </c>
      <c r="BO1079">
        <v>0</v>
      </c>
      <c r="BP1079">
        <v>0</v>
      </c>
      <c r="BW1079" t="str">
        <f t="shared" si="511"/>
        <v>14:42:55.908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343</v>
      </c>
      <c r="CR1079">
        <v>2</v>
      </c>
      <c r="CW1079">
        <v>13021856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1</v>
      </c>
      <c r="DF1079">
        <v>0</v>
      </c>
      <c r="DG1079">
        <v>1</v>
      </c>
      <c r="DH1079">
        <v>0</v>
      </c>
      <c r="DI1079">
        <v>0</v>
      </c>
    </row>
    <row r="1080" spans="1:113" x14ac:dyDescent="0.3">
      <c r="A1080" t="str">
        <f t="shared" si="508"/>
        <v>05/12/2020 14:42:38.066</v>
      </c>
      <c r="C1080" t="str">
        <f t="shared" si="494"/>
        <v>FFDFD3C0</v>
      </c>
      <c r="D1080" t="s">
        <v>126</v>
      </c>
      <c r="E1080">
        <v>7</v>
      </c>
      <c r="F1080">
        <v>1007</v>
      </c>
      <c r="G1080" t="s">
        <v>127</v>
      </c>
      <c r="J1080" t="s">
        <v>128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509"/>
        <v>14:42:55.906</v>
      </c>
      <c r="T1080" t="str">
        <f t="shared" si="510"/>
        <v>14:42:55.606</v>
      </c>
      <c r="U1080" t="str">
        <f t="shared" si="485"/>
        <v>A9808D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1</v>
      </c>
      <c r="AG1080">
        <v>2</v>
      </c>
      <c r="AH1080">
        <v>0</v>
      </c>
      <c r="AI1080" t="s">
        <v>335</v>
      </c>
      <c r="AJ1080">
        <v>28.276147999999999</v>
      </c>
      <c r="AK1080" t="s">
        <v>156</v>
      </c>
      <c r="AL1080">
        <v>-82.381883000000002</v>
      </c>
      <c r="AM1080">
        <v>100</v>
      </c>
      <c r="AN1080">
        <v>1300</v>
      </c>
      <c r="AO1080" t="s">
        <v>118</v>
      </c>
      <c r="AP1080">
        <v>-23</v>
      </c>
      <c r="AQ1080">
        <v>87</v>
      </c>
      <c r="AR1080">
        <v>512</v>
      </c>
      <c r="AZ1080">
        <v>1200</v>
      </c>
      <c r="BA1080">
        <v>1</v>
      </c>
      <c r="BB1080" t="str">
        <f t="shared" si="495"/>
        <v xml:space="preserve">N711JA  </v>
      </c>
      <c r="BC1080">
        <v>1</v>
      </c>
      <c r="BE1080">
        <v>0</v>
      </c>
      <c r="BF1080">
        <v>0</v>
      </c>
      <c r="BG1080">
        <v>0</v>
      </c>
      <c r="BH1080">
        <v>1375</v>
      </c>
      <c r="BI1080">
        <v>1</v>
      </c>
      <c r="BJ1080">
        <v>1</v>
      </c>
      <c r="BK1080">
        <v>0</v>
      </c>
      <c r="BL1080">
        <v>0</v>
      </c>
      <c r="BO1080">
        <v>0</v>
      </c>
      <c r="BP1080">
        <v>0</v>
      </c>
      <c r="BW1080" t="str">
        <f t="shared" si="511"/>
        <v>14:42:55.908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343</v>
      </c>
      <c r="CR1080">
        <v>2</v>
      </c>
      <c r="CW1080">
        <v>13021856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1</v>
      </c>
      <c r="DF1080">
        <v>0</v>
      </c>
      <c r="DG1080">
        <v>1</v>
      </c>
      <c r="DH1080">
        <v>0</v>
      </c>
      <c r="DI1080">
        <v>0</v>
      </c>
    </row>
    <row r="1081" spans="1:113" x14ac:dyDescent="0.3">
      <c r="A1081" t="str">
        <f t="shared" si="508"/>
        <v>05/12/2020 14:42:38.066</v>
      </c>
      <c r="C1081" t="str">
        <f t="shared" si="494"/>
        <v>FFDFD3C0</v>
      </c>
      <c r="D1081" t="s">
        <v>126</v>
      </c>
      <c r="E1081">
        <v>6</v>
      </c>
      <c r="F1081">
        <v>1006</v>
      </c>
      <c r="G1081" t="s">
        <v>114</v>
      </c>
      <c r="J1081" t="s">
        <v>128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509"/>
        <v>14:42:55.906</v>
      </c>
      <c r="T1081" t="str">
        <f t="shared" si="510"/>
        <v>14:42:55.606</v>
      </c>
      <c r="U1081" t="str">
        <f t="shared" si="485"/>
        <v>A9808D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1</v>
      </c>
      <c r="AG1081">
        <v>2</v>
      </c>
      <c r="AH1081">
        <v>0</v>
      </c>
      <c r="AI1081" t="s">
        <v>335</v>
      </c>
      <c r="AJ1081">
        <v>28.276147999999999</v>
      </c>
      <c r="AK1081" t="s">
        <v>156</v>
      </c>
      <c r="AL1081">
        <v>-82.381883000000002</v>
      </c>
      <c r="AM1081">
        <v>100</v>
      </c>
      <c r="AN1081">
        <v>1300</v>
      </c>
      <c r="AO1081" t="s">
        <v>118</v>
      </c>
      <c r="AP1081">
        <v>-23</v>
      </c>
      <c r="AQ1081">
        <v>87</v>
      </c>
      <c r="AR1081">
        <v>512</v>
      </c>
      <c r="AZ1081">
        <v>1200</v>
      </c>
      <c r="BA1081">
        <v>1</v>
      </c>
      <c r="BB1081" t="str">
        <f t="shared" si="495"/>
        <v xml:space="preserve">N711JA  </v>
      </c>
      <c r="BC1081">
        <v>1</v>
      </c>
      <c r="BE1081">
        <v>0</v>
      </c>
      <c r="BF1081">
        <v>0</v>
      </c>
      <c r="BG1081">
        <v>0</v>
      </c>
      <c r="BH1081">
        <v>1375</v>
      </c>
      <c r="BI1081">
        <v>1</v>
      </c>
      <c r="BJ1081">
        <v>1</v>
      </c>
      <c r="BK1081">
        <v>0</v>
      </c>
      <c r="BL1081">
        <v>0</v>
      </c>
      <c r="BO1081">
        <v>0</v>
      </c>
      <c r="BP1081">
        <v>0</v>
      </c>
      <c r="BW1081" t="str">
        <f t="shared" si="511"/>
        <v>14:42:55.908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343</v>
      </c>
      <c r="CR1081">
        <v>2</v>
      </c>
      <c r="CW1081">
        <v>13021856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1</v>
      </c>
      <c r="DF1081">
        <v>0</v>
      </c>
      <c r="DG1081">
        <v>1</v>
      </c>
      <c r="DH1081">
        <v>0</v>
      </c>
      <c r="DI1081">
        <v>0</v>
      </c>
    </row>
    <row r="1082" spans="1:113" x14ac:dyDescent="0.3">
      <c r="A1082" t="str">
        <f t="shared" si="508"/>
        <v>05/12/2020 14:42:38.066</v>
      </c>
      <c r="C1082" t="str">
        <f t="shared" si="494"/>
        <v>FFDFD3C0</v>
      </c>
      <c r="D1082" t="s">
        <v>131</v>
      </c>
      <c r="E1082">
        <v>10</v>
      </c>
      <c r="F1082">
        <v>2010</v>
      </c>
      <c r="G1082" t="s">
        <v>132</v>
      </c>
      <c r="J1082" t="s">
        <v>133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09"/>
        <v>14:42:55.906</v>
      </c>
      <c r="T1082" t="str">
        <f t="shared" si="510"/>
        <v>14:42:55.606</v>
      </c>
      <c r="U1082" t="str">
        <f t="shared" si="485"/>
        <v>A9808D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1</v>
      </c>
      <c r="AG1082">
        <v>2</v>
      </c>
      <c r="AH1082">
        <v>0</v>
      </c>
      <c r="AI1082" t="s">
        <v>335</v>
      </c>
      <c r="AJ1082">
        <v>28.276147999999999</v>
      </c>
      <c r="AK1082" t="s">
        <v>156</v>
      </c>
      <c r="AL1082">
        <v>-82.381883000000002</v>
      </c>
      <c r="AM1082">
        <v>100</v>
      </c>
      <c r="AN1082">
        <v>1300</v>
      </c>
      <c r="AO1082" t="s">
        <v>118</v>
      </c>
      <c r="AP1082">
        <v>-23</v>
      </c>
      <c r="AQ1082">
        <v>87</v>
      </c>
      <c r="AR1082">
        <v>512</v>
      </c>
      <c r="AZ1082">
        <v>1200</v>
      </c>
      <c r="BA1082">
        <v>1</v>
      </c>
      <c r="BB1082" t="str">
        <f t="shared" si="495"/>
        <v xml:space="preserve">N711JA  </v>
      </c>
      <c r="BC1082">
        <v>1</v>
      </c>
      <c r="BE1082">
        <v>0</v>
      </c>
      <c r="BF1082">
        <v>0</v>
      </c>
      <c r="BG1082">
        <v>0</v>
      </c>
      <c r="BH1082">
        <v>1375</v>
      </c>
      <c r="BI1082">
        <v>1</v>
      </c>
      <c r="BJ1082">
        <v>1</v>
      </c>
      <c r="BK1082">
        <v>0</v>
      </c>
      <c r="BL1082">
        <v>0</v>
      </c>
      <c r="BO1082">
        <v>0</v>
      </c>
      <c r="BP1082">
        <v>0</v>
      </c>
      <c r="BW1082" t="str">
        <f t="shared" si="511"/>
        <v>14:42:55.908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343</v>
      </c>
      <c r="CR1082">
        <v>2</v>
      </c>
      <c r="CW1082">
        <v>13021856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1</v>
      </c>
      <c r="DF1082">
        <v>0</v>
      </c>
      <c r="DG1082">
        <v>1</v>
      </c>
      <c r="DH1082">
        <v>0</v>
      </c>
      <c r="DI1082">
        <v>0</v>
      </c>
    </row>
    <row r="1083" spans="1:113" x14ac:dyDescent="0.3">
      <c r="A1083" t="str">
        <f t="shared" si="508"/>
        <v>05/12/2020 14:42:38.066</v>
      </c>
      <c r="C1083" t="str">
        <f t="shared" si="494"/>
        <v>FFDFD3C0</v>
      </c>
      <c r="D1083" t="s">
        <v>131</v>
      </c>
      <c r="E1083">
        <v>12</v>
      </c>
      <c r="F1083">
        <v>2012</v>
      </c>
      <c r="G1083" t="s">
        <v>137</v>
      </c>
      <c r="J1083" t="s">
        <v>133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509"/>
        <v>14:42:55.906</v>
      </c>
      <c r="T1083" t="str">
        <f t="shared" si="510"/>
        <v>14:42:55.606</v>
      </c>
      <c r="U1083" t="str">
        <f t="shared" si="485"/>
        <v>A9808D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1</v>
      </c>
      <c r="AG1083">
        <v>2</v>
      </c>
      <c r="AH1083">
        <v>0</v>
      </c>
      <c r="AI1083" t="s">
        <v>335</v>
      </c>
      <c r="AJ1083">
        <v>28.276147999999999</v>
      </c>
      <c r="AK1083" t="s">
        <v>156</v>
      </c>
      <c r="AL1083">
        <v>-82.381883000000002</v>
      </c>
      <c r="AM1083">
        <v>100</v>
      </c>
      <c r="AN1083">
        <v>1300</v>
      </c>
      <c r="AO1083" t="s">
        <v>118</v>
      </c>
      <c r="AP1083">
        <v>-23</v>
      </c>
      <c r="AQ1083">
        <v>87</v>
      </c>
      <c r="AR1083">
        <v>512</v>
      </c>
      <c r="AZ1083">
        <v>1200</v>
      </c>
      <c r="BA1083">
        <v>1</v>
      </c>
      <c r="BB1083" t="str">
        <f t="shared" si="495"/>
        <v xml:space="preserve">N711JA  </v>
      </c>
      <c r="BC1083">
        <v>1</v>
      </c>
      <c r="BE1083">
        <v>0</v>
      </c>
      <c r="BF1083">
        <v>0</v>
      </c>
      <c r="BG1083">
        <v>0</v>
      </c>
      <c r="BH1083">
        <v>1375</v>
      </c>
      <c r="BI1083">
        <v>1</v>
      </c>
      <c r="BJ1083">
        <v>1</v>
      </c>
      <c r="BK1083">
        <v>0</v>
      </c>
      <c r="BL1083">
        <v>0</v>
      </c>
      <c r="BO1083">
        <v>0</v>
      </c>
      <c r="BP1083">
        <v>0</v>
      </c>
      <c r="BW1083" t="str">
        <f t="shared" si="511"/>
        <v>14:42:55.908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343</v>
      </c>
      <c r="CR1083">
        <v>2</v>
      </c>
      <c r="CW1083">
        <v>13021856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1</v>
      </c>
      <c r="DF1083">
        <v>0</v>
      </c>
      <c r="DG1083">
        <v>1</v>
      </c>
      <c r="DH1083">
        <v>0</v>
      </c>
      <c r="DI1083">
        <v>0</v>
      </c>
    </row>
    <row r="1084" spans="1:113" x14ac:dyDescent="0.3">
      <c r="A1084" t="str">
        <f t="shared" si="508"/>
        <v>05/12/2020 14:42:38.066</v>
      </c>
      <c r="C1084" t="str">
        <f t="shared" si="494"/>
        <v>FFDFD3C0</v>
      </c>
      <c r="D1084" t="s">
        <v>131</v>
      </c>
      <c r="E1084">
        <v>18</v>
      </c>
      <c r="F1084">
        <v>2018</v>
      </c>
      <c r="G1084" t="s">
        <v>161</v>
      </c>
      <c r="J1084" t="s">
        <v>133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09"/>
        <v>14:42:55.906</v>
      </c>
      <c r="T1084" t="str">
        <f t="shared" si="510"/>
        <v>14:42:55.606</v>
      </c>
      <c r="U1084" t="str">
        <f t="shared" si="485"/>
        <v>A9808D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1</v>
      </c>
      <c r="AG1084">
        <v>2</v>
      </c>
      <c r="AH1084">
        <v>0</v>
      </c>
      <c r="AI1084" t="s">
        <v>335</v>
      </c>
      <c r="AJ1084">
        <v>28.276147999999999</v>
      </c>
      <c r="AK1084" t="s">
        <v>156</v>
      </c>
      <c r="AL1084">
        <v>-82.381883000000002</v>
      </c>
      <c r="AM1084">
        <v>100</v>
      </c>
      <c r="AN1084">
        <v>1300</v>
      </c>
      <c r="AO1084" t="s">
        <v>118</v>
      </c>
      <c r="AP1084">
        <v>-23</v>
      </c>
      <c r="AQ1084">
        <v>87</v>
      </c>
      <c r="AR1084">
        <v>512</v>
      </c>
      <c r="AZ1084">
        <v>1200</v>
      </c>
      <c r="BA1084">
        <v>1</v>
      </c>
      <c r="BB1084" t="str">
        <f t="shared" si="495"/>
        <v xml:space="preserve">N711JA  </v>
      </c>
      <c r="BC1084">
        <v>1</v>
      </c>
      <c r="BE1084">
        <v>0</v>
      </c>
      <c r="BF1084">
        <v>0</v>
      </c>
      <c r="BG1084">
        <v>0</v>
      </c>
      <c r="BH1084">
        <v>1375</v>
      </c>
      <c r="BI1084">
        <v>1</v>
      </c>
      <c r="BJ1084">
        <v>1</v>
      </c>
      <c r="BK1084">
        <v>0</v>
      </c>
      <c r="BL1084">
        <v>0</v>
      </c>
      <c r="BO1084">
        <v>0</v>
      </c>
      <c r="BP1084">
        <v>0</v>
      </c>
      <c r="BW1084" t="str">
        <f t="shared" si="511"/>
        <v>14:42:55.908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343</v>
      </c>
      <c r="CR1084">
        <v>2</v>
      </c>
      <c r="CW1084">
        <v>13021856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1</v>
      </c>
      <c r="DF1084">
        <v>0</v>
      </c>
      <c r="DG1084">
        <v>1</v>
      </c>
      <c r="DH1084">
        <v>0</v>
      </c>
      <c r="DI1084">
        <v>0</v>
      </c>
    </row>
    <row r="1085" spans="1:113" x14ac:dyDescent="0.3">
      <c r="A1085" t="str">
        <f t="shared" ref="A1085:A1093" si="512">"05/12/2020 14:42:39.152"</f>
        <v>05/12/2020 14:42:39.152</v>
      </c>
      <c r="C1085" t="str">
        <f t="shared" si="494"/>
        <v>FFDFD3C0</v>
      </c>
      <c r="D1085" t="s">
        <v>113</v>
      </c>
      <c r="E1085">
        <v>3</v>
      </c>
      <c r="H1085">
        <v>164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ref="S1085:S1093" si="513">"14:42:56.992"</f>
        <v>14:42:56.992</v>
      </c>
      <c r="T1085" t="str">
        <f t="shared" ref="T1085:T1093" si="514">"14:42:56.592"</f>
        <v>14:42:56.592</v>
      </c>
      <c r="U1085" t="str">
        <f t="shared" si="485"/>
        <v>A9808D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1</v>
      </c>
      <c r="AG1085">
        <v>2</v>
      </c>
      <c r="AH1085">
        <v>0</v>
      </c>
      <c r="AI1085" t="s">
        <v>336</v>
      </c>
      <c r="AJ1085">
        <v>28.276620000000001</v>
      </c>
      <c r="AK1085" t="s">
        <v>236</v>
      </c>
      <c r="AL1085">
        <v>-82.382011000000006</v>
      </c>
      <c r="AM1085">
        <v>100</v>
      </c>
      <c r="AN1085">
        <v>1300</v>
      </c>
      <c r="AO1085" t="s">
        <v>118</v>
      </c>
      <c r="AP1085">
        <v>-25</v>
      </c>
      <c r="AQ1085">
        <v>87</v>
      </c>
      <c r="AR1085">
        <v>512</v>
      </c>
      <c r="AZ1085">
        <v>1200</v>
      </c>
      <c r="BA1085">
        <v>1</v>
      </c>
      <c r="BB1085" t="str">
        <f t="shared" si="495"/>
        <v xml:space="preserve">N711JA  </v>
      </c>
      <c r="BC1085">
        <v>1</v>
      </c>
      <c r="BE1085">
        <v>0</v>
      </c>
      <c r="BF1085">
        <v>0</v>
      </c>
      <c r="BG1085">
        <v>0</v>
      </c>
      <c r="BH1085">
        <v>1400</v>
      </c>
      <c r="BI1085">
        <v>1</v>
      </c>
      <c r="BJ1085">
        <v>1</v>
      </c>
      <c r="BK1085">
        <v>0</v>
      </c>
      <c r="BL1085">
        <v>0</v>
      </c>
      <c r="BO1085">
        <v>0</v>
      </c>
      <c r="BP1085">
        <v>0</v>
      </c>
      <c r="BW1085" t="str">
        <f t="shared" ref="BW1085:BW1093" si="515">"14:42:56.996"</f>
        <v>14:42:56.996</v>
      </c>
      <c r="CJ1085">
        <v>1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343</v>
      </c>
      <c r="CR1085">
        <v>1</v>
      </c>
      <c r="CW1085">
        <v>10628074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1</v>
      </c>
      <c r="DE1085">
        <v>1</v>
      </c>
      <c r="DF1085">
        <v>0</v>
      </c>
      <c r="DG1085">
        <v>1</v>
      </c>
      <c r="DH1085">
        <v>0</v>
      </c>
      <c r="DI1085">
        <v>0</v>
      </c>
    </row>
    <row r="1086" spans="1:113" x14ac:dyDescent="0.3">
      <c r="A1086" t="str">
        <f t="shared" si="512"/>
        <v>05/12/2020 14:42:39.152</v>
      </c>
      <c r="C1086" t="str">
        <f t="shared" si="494"/>
        <v>FFDFD3C0</v>
      </c>
      <c r="D1086" t="s">
        <v>138</v>
      </c>
      <c r="E1086">
        <v>2</v>
      </c>
      <c r="H1086">
        <v>8</v>
      </c>
      <c r="I1086" t="s">
        <v>139</v>
      </c>
      <c r="J1086" t="s">
        <v>136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513"/>
        <v>14:42:56.992</v>
      </c>
      <c r="T1086" t="str">
        <f t="shared" si="514"/>
        <v>14:42:56.592</v>
      </c>
      <c r="U1086" t="str">
        <f t="shared" si="485"/>
        <v>A9808D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1</v>
      </c>
      <c r="AG1086">
        <v>2</v>
      </c>
      <c r="AH1086">
        <v>0</v>
      </c>
      <c r="AI1086" t="s">
        <v>336</v>
      </c>
      <c r="AJ1086">
        <v>28.276620000000001</v>
      </c>
      <c r="AK1086" t="s">
        <v>236</v>
      </c>
      <c r="AL1086">
        <v>-82.382011000000006</v>
      </c>
      <c r="AM1086">
        <v>100</v>
      </c>
      <c r="AN1086">
        <v>1300</v>
      </c>
      <c r="AO1086" t="s">
        <v>118</v>
      </c>
      <c r="AP1086">
        <v>-25</v>
      </c>
      <c r="AQ1086">
        <v>87</v>
      </c>
      <c r="AR1086">
        <v>512</v>
      </c>
      <c r="AZ1086">
        <v>1200</v>
      </c>
      <c r="BA1086">
        <v>1</v>
      </c>
      <c r="BB1086" t="str">
        <f t="shared" si="495"/>
        <v xml:space="preserve">N711JA  </v>
      </c>
      <c r="BC1086">
        <v>1</v>
      </c>
      <c r="BE1086">
        <v>0</v>
      </c>
      <c r="BF1086">
        <v>0</v>
      </c>
      <c r="BG1086">
        <v>0</v>
      </c>
      <c r="BH1086">
        <v>1400</v>
      </c>
      <c r="BI1086">
        <v>1</v>
      </c>
      <c r="BJ1086">
        <v>1</v>
      </c>
      <c r="BK1086">
        <v>0</v>
      </c>
      <c r="BL1086">
        <v>0</v>
      </c>
      <c r="BO1086">
        <v>0</v>
      </c>
      <c r="BP1086">
        <v>0</v>
      </c>
      <c r="BW1086" t="str">
        <f t="shared" si="515"/>
        <v>14:42:56.996</v>
      </c>
      <c r="CJ1086">
        <v>1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343</v>
      </c>
      <c r="CR1086">
        <v>1</v>
      </c>
      <c r="CW1086">
        <v>10628074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1</v>
      </c>
      <c r="DF1086">
        <v>0</v>
      </c>
      <c r="DG1086">
        <v>1</v>
      </c>
      <c r="DH1086">
        <v>0</v>
      </c>
      <c r="DI1086">
        <v>0</v>
      </c>
    </row>
    <row r="1087" spans="1:113" x14ac:dyDescent="0.3">
      <c r="A1087" t="str">
        <f t="shared" si="512"/>
        <v>05/12/2020 14:42:39.152</v>
      </c>
      <c r="C1087" t="str">
        <f t="shared" si="494"/>
        <v>FFDFD3C0</v>
      </c>
      <c r="D1087" t="s">
        <v>138</v>
      </c>
      <c r="E1087">
        <v>3</v>
      </c>
      <c r="H1087">
        <v>9</v>
      </c>
      <c r="I1087" t="s">
        <v>140</v>
      </c>
      <c r="J1087" t="s">
        <v>136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513"/>
        <v>14:42:56.992</v>
      </c>
      <c r="T1087" t="str">
        <f t="shared" si="514"/>
        <v>14:42:56.592</v>
      </c>
      <c r="U1087" t="str">
        <f t="shared" si="485"/>
        <v>A9808D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1</v>
      </c>
      <c r="AG1087">
        <v>2</v>
      </c>
      <c r="AH1087">
        <v>0</v>
      </c>
      <c r="AI1087" t="s">
        <v>336</v>
      </c>
      <c r="AJ1087">
        <v>28.276620000000001</v>
      </c>
      <c r="AK1087" t="s">
        <v>236</v>
      </c>
      <c r="AL1087">
        <v>-82.382011000000006</v>
      </c>
      <c r="AM1087">
        <v>100</v>
      </c>
      <c r="AN1087">
        <v>1300</v>
      </c>
      <c r="AO1087" t="s">
        <v>118</v>
      </c>
      <c r="AP1087">
        <v>-25</v>
      </c>
      <c r="AQ1087">
        <v>87</v>
      </c>
      <c r="AR1087">
        <v>512</v>
      </c>
      <c r="AZ1087">
        <v>1200</v>
      </c>
      <c r="BA1087">
        <v>1</v>
      </c>
      <c r="BB1087" t="str">
        <f t="shared" si="495"/>
        <v xml:space="preserve">N711JA  </v>
      </c>
      <c r="BC1087">
        <v>1</v>
      </c>
      <c r="BE1087">
        <v>0</v>
      </c>
      <c r="BF1087">
        <v>0</v>
      </c>
      <c r="BG1087">
        <v>0</v>
      </c>
      <c r="BH1087">
        <v>1400</v>
      </c>
      <c r="BI1087">
        <v>1</v>
      </c>
      <c r="BJ1087">
        <v>1</v>
      </c>
      <c r="BK1087">
        <v>0</v>
      </c>
      <c r="BL1087">
        <v>0</v>
      </c>
      <c r="BO1087">
        <v>0</v>
      </c>
      <c r="BP1087">
        <v>0</v>
      </c>
      <c r="BW1087" t="str">
        <f t="shared" si="515"/>
        <v>14:42:56.996</v>
      </c>
      <c r="CJ1087">
        <v>1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343</v>
      </c>
      <c r="CR1087">
        <v>1</v>
      </c>
      <c r="CW1087">
        <v>10628074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1</v>
      </c>
      <c r="DF1087">
        <v>0</v>
      </c>
      <c r="DG1087">
        <v>1</v>
      </c>
      <c r="DH1087">
        <v>0</v>
      </c>
      <c r="DI1087">
        <v>0</v>
      </c>
    </row>
    <row r="1088" spans="1:113" x14ac:dyDescent="0.3">
      <c r="A1088" t="str">
        <f t="shared" si="512"/>
        <v>05/12/2020 14:42:39.152</v>
      </c>
      <c r="C1088" t="str">
        <f t="shared" si="494"/>
        <v>FFDFD3C0</v>
      </c>
      <c r="D1088" t="s">
        <v>126</v>
      </c>
      <c r="E1088">
        <v>7</v>
      </c>
      <c r="F1088">
        <v>1007</v>
      </c>
      <c r="G1088" t="s">
        <v>127</v>
      </c>
      <c r="J1088" t="s">
        <v>128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513"/>
        <v>14:42:56.992</v>
      </c>
      <c r="T1088" t="str">
        <f t="shared" si="514"/>
        <v>14:42:56.592</v>
      </c>
      <c r="U1088" t="str">
        <f t="shared" si="485"/>
        <v>A9808D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1</v>
      </c>
      <c r="AG1088">
        <v>2</v>
      </c>
      <c r="AH1088">
        <v>0</v>
      </c>
      <c r="AI1088" t="s">
        <v>336</v>
      </c>
      <c r="AJ1088">
        <v>28.276620000000001</v>
      </c>
      <c r="AK1088" t="s">
        <v>236</v>
      </c>
      <c r="AL1088">
        <v>-82.382011000000006</v>
      </c>
      <c r="AM1088">
        <v>100</v>
      </c>
      <c r="AN1088">
        <v>1300</v>
      </c>
      <c r="AO1088" t="s">
        <v>118</v>
      </c>
      <c r="AP1088">
        <v>-25</v>
      </c>
      <c r="AQ1088">
        <v>87</v>
      </c>
      <c r="AR1088">
        <v>512</v>
      </c>
      <c r="AZ1088">
        <v>1200</v>
      </c>
      <c r="BA1088">
        <v>1</v>
      </c>
      <c r="BB1088" t="str">
        <f t="shared" si="495"/>
        <v xml:space="preserve">N711JA  </v>
      </c>
      <c r="BC1088">
        <v>1</v>
      </c>
      <c r="BE1088">
        <v>0</v>
      </c>
      <c r="BF1088">
        <v>0</v>
      </c>
      <c r="BG1088">
        <v>0</v>
      </c>
      <c r="BH1088">
        <v>1400</v>
      </c>
      <c r="BI1088">
        <v>1</v>
      </c>
      <c r="BJ1088">
        <v>1</v>
      </c>
      <c r="BK1088">
        <v>0</v>
      </c>
      <c r="BL1088">
        <v>0</v>
      </c>
      <c r="BO1088">
        <v>0</v>
      </c>
      <c r="BP1088">
        <v>0</v>
      </c>
      <c r="BW1088" t="str">
        <f t="shared" si="515"/>
        <v>14:42:56.996</v>
      </c>
      <c r="CJ1088">
        <v>1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343</v>
      </c>
      <c r="CR1088">
        <v>1</v>
      </c>
      <c r="CW1088">
        <v>10628074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1</v>
      </c>
      <c r="DF1088">
        <v>0</v>
      </c>
      <c r="DG1088">
        <v>1</v>
      </c>
      <c r="DH1088">
        <v>0</v>
      </c>
      <c r="DI1088">
        <v>0</v>
      </c>
    </row>
    <row r="1089" spans="1:113" x14ac:dyDescent="0.3">
      <c r="A1089" t="str">
        <f t="shared" si="512"/>
        <v>05/12/2020 14:42:39.152</v>
      </c>
      <c r="C1089" t="str">
        <f t="shared" si="494"/>
        <v>FFDFD3C0</v>
      </c>
      <c r="D1089" t="s">
        <v>131</v>
      </c>
      <c r="E1089">
        <v>10</v>
      </c>
      <c r="F1089">
        <v>2010</v>
      </c>
      <c r="G1089" t="s">
        <v>132</v>
      </c>
      <c r="J1089" t="s">
        <v>133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13"/>
        <v>14:42:56.992</v>
      </c>
      <c r="T1089" t="str">
        <f t="shared" si="514"/>
        <v>14:42:56.592</v>
      </c>
      <c r="U1089" t="str">
        <f t="shared" si="485"/>
        <v>A9808D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1</v>
      </c>
      <c r="AG1089">
        <v>2</v>
      </c>
      <c r="AH1089">
        <v>0</v>
      </c>
      <c r="AI1089" t="s">
        <v>336</v>
      </c>
      <c r="AJ1089">
        <v>28.276620000000001</v>
      </c>
      <c r="AK1089" t="s">
        <v>236</v>
      </c>
      <c r="AL1089">
        <v>-82.382011000000006</v>
      </c>
      <c r="AM1089">
        <v>100</v>
      </c>
      <c r="AN1089">
        <v>1300</v>
      </c>
      <c r="AO1089" t="s">
        <v>118</v>
      </c>
      <c r="AP1089">
        <v>-25</v>
      </c>
      <c r="AQ1089">
        <v>87</v>
      </c>
      <c r="AR1089">
        <v>512</v>
      </c>
      <c r="AZ1089">
        <v>1200</v>
      </c>
      <c r="BA1089">
        <v>1</v>
      </c>
      <c r="BB1089" t="str">
        <f t="shared" si="495"/>
        <v xml:space="preserve">N711JA  </v>
      </c>
      <c r="BC1089">
        <v>1</v>
      </c>
      <c r="BE1089">
        <v>0</v>
      </c>
      <c r="BF1089">
        <v>0</v>
      </c>
      <c r="BG1089">
        <v>0</v>
      </c>
      <c r="BH1089">
        <v>1400</v>
      </c>
      <c r="BI1089">
        <v>1</v>
      </c>
      <c r="BJ1089">
        <v>1</v>
      </c>
      <c r="BK1089">
        <v>0</v>
      </c>
      <c r="BL1089">
        <v>0</v>
      </c>
      <c r="BO1089">
        <v>0</v>
      </c>
      <c r="BP1089">
        <v>0</v>
      </c>
      <c r="BW1089" t="str">
        <f t="shared" si="515"/>
        <v>14:42:56.996</v>
      </c>
      <c r="CJ1089">
        <v>1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343</v>
      </c>
      <c r="CR1089">
        <v>1</v>
      </c>
      <c r="CW1089">
        <v>10628074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1</v>
      </c>
      <c r="DF1089">
        <v>0</v>
      </c>
      <c r="DG1089">
        <v>1</v>
      </c>
      <c r="DH1089">
        <v>0</v>
      </c>
      <c r="DI1089">
        <v>0</v>
      </c>
    </row>
    <row r="1090" spans="1:113" x14ac:dyDescent="0.3">
      <c r="A1090" t="str">
        <f t="shared" si="512"/>
        <v>05/12/2020 14:42:39.152</v>
      </c>
      <c r="C1090" t="str">
        <f t="shared" si="494"/>
        <v>FFDFD3C0</v>
      </c>
      <c r="D1090" t="s">
        <v>126</v>
      </c>
      <c r="E1090">
        <v>6</v>
      </c>
      <c r="F1090">
        <v>1006</v>
      </c>
      <c r="G1090" t="s">
        <v>114</v>
      </c>
      <c r="J1090" t="s">
        <v>128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513"/>
        <v>14:42:56.992</v>
      </c>
      <c r="T1090" t="str">
        <f t="shared" si="514"/>
        <v>14:42:56.592</v>
      </c>
      <c r="U1090" t="str">
        <f t="shared" ref="U1090:U1153" si="516">"A9808D"</f>
        <v>A9808D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1</v>
      </c>
      <c r="AG1090">
        <v>2</v>
      </c>
      <c r="AH1090">
        <v>0</v>
      </c>
      <c r="AI1090" t="s">
        <v>336</v>
      </c>
      <c r="AJ1090">
        <v>28.276620000000001</v>
      </c>
      <c r="AK1090" t="s">
        <v>236</v>
      </c>
      <c r="AL1090">
        <v>-82.382011000000006</v>
      </c>
      <c r="AM1090">
        <v>100</v>
      </c>
      <c r="AN1090">
        <v>1300</v>
      </c>
      <c r="AO1090" t="s">
        <v>118</v>
      </c>
      <c r="AP1090">
        <v>-25</v>
      </c>
      <c r="AQ1090">
        <v>87</v>
      </c>
      <c r="AR1090">
        <v>512</v>
      </c>
      <c r="AZ1090">
        <v>1200</v>
      </c>
      <c r="BA1090">
        <v>1</v>
      </c>
      <c r="BB1090" t="str">
        <f t="shared" si="495"/>
        <v xml:space="preserve">N711JA  </v>
      </c>
      <c r="BC1090">
        <v>1</v>
      </c>
      <c r="BE1090">
        <v>0</v>
      </c>
      <c r="BF1090">
        <v>0</v>
      </c>
      <c r="BG1090">
        <v>0</v>
      </c>
      <c r="BH1090">
        <v>1400</v>
      </c>
      <c r="BI1090">
        <v>1</v>
      </c>
      <c r="BJ1090">
        <v>1</v>
      </c>
      <c r="BK1090">
        <v>0</v>
      </c>
      <c r="BL1090">
        <v>0</v>
      </c>
      <c r="BO1090">
        <v>0</v>
      </c>
      <c r="BP1090">
        <v>0</v>
      </c>
      <c r="BW1090" t="str">
        <f t="shared" si="515"/>
        <v>14:42:56.996</v>
      </c>
      <c r="CJ1090">
        <v>1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343</v>
      </c>
      <c r="CR1090">
        <v>1</v>
      </c>
      <c r="CW1090">
        <v>10628074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1</v>
      </c>
      <c r="DE1090">
        <v>1</v>
      </c>
      <c r="DF1090">
        <v>0</v>
      </c>
      <c r="DG1090">
        <v>1</v>
      </c>
      <c r="DH1090">
        <v>0</v>
      </c>
      <c r="DI1090">
        <v>0</v>
      </c>
    </row>
    <row r="1091" spans="1:113" x14ac:dyDescent="0.3">
      <c r="A1091" t="str">
        <f t="shared" si="512"/>
        <v>05/12/2020 14:42:39.152</v>
      </c>
      <c r="C1091" t="str">
        <f t="shared" si="494"/>
        <v>FFDFD3C0</v>
      </c>
      <c r="D1091" t="s">
        <v>131</v>
      </c>
      <c r="E1091">
        <v>12</v>
      </c>
      <c r="F1091">
        <v>2012</v>
      </c>
      <c r="G1091" t="s">
        <v>137</v>
      </c>
      <c r="J1091" t="s">
        <v>133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13"/>
        <v>14:42:56.992</v>
      </c>
      <c r="T1091" t="str">
        <f t="shared" si="514"/>
        <v>14:42:56.592</v>
      </c>
      <c r="U1091" t="str">
        <f t="shared" si="516"/>
        <v>A9808D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1</v>
      </c>
      <c r="AG1091">
        <v>2</v>
      </c>
      <c r="AH1091">
        <v>0</v>
      </c>
      <c r="AI1091" t="s">
        <v>336</v>
      </c>
      <c r="AJ1091">
        <v>28.276620000000001</v>
      </c>
      <c r="AK1091" t="s">
        <v>236</v>
      </c>
      <c r="AL1091">
        <v>-82.382011000000006</v>
      </c>
      <c r="AM1091">
        <v>100</v>
      </c>
      <c r="AN1091">
        <v>1300</v>
      </c>
      <c r="AO1091" t="s">
        <v>118</v>
      </c>
      <c r="AP1091">
        <v>-25</v>
      </c>
      <c r="AQ1091">
        <v>87</v>
      </c>
      <c r="AR1091">
        <v>512</v>
      </c>
      <c r="AZ1091">
        <v>1200</v>
      </c>
      <c r="BA1091">
        <v>1</v>
      </c>
      <c r="BB1091" t="str">
        <f t="shared" si="495"/>
        <v xml:space="preserve">N711JA  </v>
      </c>
      <c r="BC1091">
        <v>1</v>
      </c>
      <c r="BE1091">
        <v>0</v>
      </c>
      <c r="BF1091">
        <v>0</v>
      </c>
      <c r="BG1091">
        <v>0</v>
      </c>
      <c r="BH1091">
        <v>1400</v>
      </c>
      <c r="BI1091">
        <v>1</v>
      </c>
      <c r="BJ1091">
        <v>1</v>
      </c>
      <c r="BK1091">
        <v>0</v>
      </c>
      <c r="BL1091">
        <v>0</v>
      </c>
      <c r="BO1091">
        <v>0</v>
      </c>
      <c r="BP1091">
        <v>0</v>
      </c>
      <c r="BW1091" t="str">
        <f t="shared" si="515"/>
        <v>14:42:56.996</v>
      </c>
      <c r="CJ1091">
        <v>1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343</v>
      </c>
      <c r="CR1091">
        <v>1</v>
      </c>
      <c r="CW1091">
        <v>10628074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1</v>
      </c>
      <c r="DF1091">
        <v>0</v>
      </c>
      <c r="DG1091">
        <v>1</v>
      </c>
      <c r="DH1091">
        <v>0</v>
      </c>
      <c r="DI1091">
        <v>0</v>
      </c>
    </row>
    <row r="1092" spans="1:113" x14ac:dyDescent="0.3">
      <c r="A1092" t="str">
        <f t="shared" si="512"/>
        <v>05/12/2020 14:42:39.152</v>
      </c>
      <c r="C1092" t="str">
        <f t="shared" si="494"/>
        <v>FFDFD3C0</v>
      </c>
      <c r="D1092" t="s">
        <v>131</v>
      </c>
      <c r="E1092">
        <v>18</v>
      </c>
      <c r="F1092">
        <v>2018</v>
      </c>
      <c r="G1092" t="s">
        <v>161</v>
      </c>
      <c r="J1092" t="s">
        <v>133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13"/>
        <v>14:42:56.992</v>
      </c>
      <c r="T1092" t="str">
        <f t="shared" si="514"/>
        <v>14:42:56.592</v>
      </c>
      <c r="U1092" t="str">
        <f t="shared" si="516"/>
        <v>A9808D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1</v>
      </c>
      <c r="AG1092">
        <v>2</v>
      </c>
      <c r="AH1092">
        <v>0</v>
      </c>
      <c r="AI1092" t="s">
        <v>336</v>
      </c>
      <c r="AJ1092">
        <v>28.276620000000001</v>
      </c>
      <c r="AK1092" t="s">
        <v>236</v>
      </c>
      <c r="AL1092">
        <v>-82.382011000000006</v>
      </c>
      <c r="AM1092">
        <v>100</v>
      </c>
      <c r="AN1092">
        <v>1300</v>
      </c>
      <c r="AO1092" t="s">
        <v>118</v>
      </c>
      <c r="AP1092">
        <v>-25</v>
      </c>
      <c r="AQ1092">
        <v>87</v>
      </c>
      <c r="AR1092">
        <v>512</v>
      </c>
      <c r="AZ1092">
        <v>1200</v>
      </c>
      <c r="BA1092">
        <v>1</v>
      </c>
      <c r="BB1092" t="str">
        <f t="shared" si="495"/>
        <v xml:space="preserve">N711JA  </v>
      </c>
      <c r="BC1092">
        <v>1</v>
      </c>
      <c r="BE1092">
        <v>0</v>
      </c>
      <c r="BF1092">
        <v>0</v>
      </c>
      <c r="BG1092">
        <v>0</v>
      </c>
      <c r="BH1092">
        <v>1400</v>
      </c>
      <c r="BI1092">
        <v>1</v>
      </c>
      <c r="BJ1092">
        <v>1</v>
      </c>
      <c r="BK1092">
        <v>0</v>
      </c>
      <c r="BL1092">
        <v>0</v>
      </c>
      <c r="BO1092">
        <v>0</v>
      </c>
      <c r="BP1092">
        <v>0</v>
      </c>
      <c r="BW1092" t="str">
        <f t="shared" si="515"/>
        <v>14:42:56.996</v>
      </c>
      <c r="CJ1092">
        <v>1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343</v>
      </c>
      <c r="CR1092">
        <v>1</v>
      </c>
      <c r="CW1092">
        <v>10628074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1</v>
      </c>
      <c r="DF1092">
        <v>0</v>
      </c>
      <c r="DG1092">
        <v>1</v>
      </c>
      <c r="DH1092">
        <v>0</v>
      </c>
      <c r="DI1092">
        <v>0</v>
      </c>
    </row>
    <row r="1093" spans="1:113" x14ac:dyDescent="0.3">
      <c r="A1093" t="str">
        <f t="shared" si="512"/>
        <v>05/12/2020 14:42:39.152</v>
      </c>
      <c r="C1093" t="str">
        <f t="shared" si="494"/>
        <v>FFDFD3C0</v>
      </c>
      <c r="D1093" t="s">
        <v>134</v>
      </c>
      <c r="E1093">
        <v>12</v>
      </c>
      <c r="H1093">
        <v>64</v>
      </c>
      <c r="I1093" t="s">
        <v>135</v>
      </c>
      <c r="J1093" t="s">
        <v>136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513"/>
        <v>14:42:56.992</v>
      </c>
      <c r="T1093" t="str">
        <f t="shared" si="514"/>
        <v>14:42:56.592</v>
      </c>
      <c r="U1093" t="str">
        <f t="shared" si="516"/>
        <v>A9808D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1</v>
      </c>
      <c r="AG1093">
        <v>2</v>
      </c>
      <c r="AH1093">
        <v>0</v>
      </c>
      <c r="AI1093" t="s">
        <v>336</v>
      </c>
      <c r="AJ1093">
        <v>28.276620000000001</v>
      </c>
      <c r="AK1093" t="s">
        <v>236</v>
      </c>
      <c r="AL1093">
        <v>-82.382011000000006</v>
      </c>
      <c r="AM1093">
        <v>100</v>
      </c>
      <c r="AN1093">
        <v>1300</v>
      </c>
      <c r="AO1093" t="s">
        <v>118</v>
      </c>
      <c r="AP1093">
        <v>-25</v>
      </c>
      <c r="AQ1093">
        <v>87</v>
      </c>
      <c r="AR1093">
        <v>512</v>
      </c>
      <c r="AZ1093">
        <v>1200</v>
      </c>
      <c r="BA1093">
        <v>1</v>
      </c>
      <c r="BB1093" t="str">
        <f t="shared" si="495"/>
        <v xml:space="preserve">N711JA  </v>
      </c>
      <c r="BC1093">
        <v>1</v>
      </c>
      <c r="BE1093">
        <v>0</v>
      </c>
      <c r="BF1093">
        <v>0</v>
      </c>
      <c r="BG1093">
        <v>0</v>
      </c>
      <c r="BH1093">
        <v>1400</v>
      </c>
      <c r="BI1093">
        <v>1</v>
      </c>
      <c r="BJ1093">
        <v>1</v>
      </c>
      <c r="BK1093">
        <v>0</v>
      </c>
      <c r="BL1093">
        <v>0</v>
      </c>
      <c r="BO1093">
        <v>0</v>
      </c>
      <c r="BP1093">
        <v>0</v>
      </c>
      <c r="BW1093" t="str">
        <f t="shared" si="515"/>
        <v>14:42:56.996</v>
      </c>
      <c r="CJ1093">
        <v>1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343</v>
      </c>
      <c r="CR1093">
        <v>1</v>
      </c>
      <c r="CW1093">
        <v>10628074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1</v>
      </c>
      <c r="DF1093">
        <v>0</v>
      </c>
      <c r="DG1093">
        <v>1</v>
      </c>
      <c r="DH1093">
        <v>0</v>
      </c>
      <c r="DI1093">
        <v>0</v>
      </c>
    </row>
    <row r="1094" spans="1:113" x14ac:dyDescent="0.3">
      <c r="A1094" t="str">
        <f t="shared" ref="A1094:A1102" si="517">"05/12/2020 14:42:40.246"</f>
        <v>05/12/2020 14:42:40.246</v>
      </c>
      <c r="C1094" t="str">
        <f t="shared" si="494"/>
        <v>FFDFD3C0</v>
      </c>
      <c r="D1094" t="s">
        <v>134</v>
      </c>
      <c r="E1094">
        <v>12</v>
      </c>
      <c r="H1094">
        <v>64</v>
      </c>
      <c r="I1094" t="s">
        <v>135</v>
      </c>
      <c r="J1094" t="s">
        <v>136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ref="S1094:S1102" si="518">"14:42:58.047"</f>
        <v>14:42:58.047</v>
      </c>
      <c r="T1094" t="str">
        <f t="shared" ref="T1094:T1102" si="519">"14:42:57.647"</f>
        <v>14:42:57.647</v>
      </c>
      <c r="U1094" t="str">
        <f t="shared" si="516"/>
        <v>A9808D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1</v>
      </c>
      <c r="AG1094">
        <v>2</v>
      </c>
      <c r="AH1094">
        <v>0</v>
      </c>
      <c r="AI1094" t="s">
        <v>337</v>
      </c>
      <c r="AJ1094">
        <v>28.276985</v>
      </c>
      <c r="AK1094" t="s">
        <v>158</v>
      </c>
      <c r="AL1094">
        <v>-82.382119000000003</v>
      </c>
      <c r="AM1094">
        <v>100</v>
      </c>
      <c r="AN1094">
        <v>1300</v>
      </c>
      <c r="AO1094" t="s">
        <v>118</v>
      </c>
      <c r="AP1094">
        <v>-26</v>
      </c>
      <c r="AQ1094">
        <v>87</v>
      </c>
      <c r="AR1094">
        <v>512</v>
      </c>
      <c r="AZ1094">
        <v>1200</v>
      </c>
      <c r="BA1094">
        <v>1</v>
      </c>
      <c r="BB1094" t="str">
        <f t="shared" si="495"/>
        <v xml:space="preserve">N711JA  </v>
      </c>
      <c r="BC1094">
        <v>1</v>
      </c>
      <c r="BE1094">
        <v>0</v>
      </c>
      <c r="BF1094">
        <v>0</v>
      </c>
      <c r="BG1094">
        <v>0</v>
      </c>
      <c r="BH1094">
        <v>1400</v>
      </c>
      <c r="BI1094">
        <v>1</v>
      </c>
      <c r="BJ1094">
        <v>1</v>
      </c>
      <c r="BK1094">
        <v>0</v>
      </c>
      <c r="BL1094">
        <v>0</v>
      </c>
      <c r="BO1094">
        <v>0</v>
      </c>
      <c r="BP1094">
        <v>0</v>
      </c>
      <c r="BW1094" t="str">
        <f t="shared" ref="BW1094:BW1102" si="520">"14:42:58.050"</f>
        <v>14:42:58.050</v>
      </c>
      <c r="CJ1094">
        <v>1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343</v>
      </c>
      <c r="CR1094">
        <v>2</v>
      </c>
      <c r="CW1094">
        <v>13023512</v>
      </c>
      <c r="CY1094">
        <v>1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1</v>
      </c>
      <c r="DF1094">
        <v>0</v>
      </c>
      <c r="DG1094">
        <v>1</v>
      </c>
      <c r="DH1094">
        <v>0</v>
      </c>
      <c r="DI1094">
        <v>0</v>
      </c>
    </row>
    <row r="1095" spans="1:113" x14ac:dyDescent="0.3">
      <c r="A1095" t="str">
        <f t="shared" si="517"/>
        <v>05/12/2020 14:42:40.246</v>
      </c>
      <c r="C1095" t="str">
        <f t="shared" si="494"/>
        <v>FFDFD3C0</v>
      </c>
      <c r="D1095" t="s">
        <v>113</v>
      </c>
      <c r="E1095">
        <v>3</v>
      </c>
      <c r="H1095">
        <v>164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518"/>
        <v>14:42:58.047</v>
      </c>
      <c r="T1095" t="str">
        <f t="shared" si="519"/>
        <v>14:42:57.647</v>
      </c>
      <c r="U1095" t="str">
        <f t="shared" si="516"/>
        <v>A9808D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1</v>
      </c>
      <c r="AG1095">
        <v>2</v>
      </c>
      <c r="AH1095">
        <v>0</v>
      </c>
      <c r="AI1095" t="s">
        <v>337</v>
      </c>
      <c r="AJ1095">
        <v>28.276985</v>
      </c>
      <c r="AK1095" t="s">
        <v>158</v>
      </c>
      <c r="AL1095">
        <v>-82.382119000000003</v>
      </c>
      <c r="AM1095">
        <v>100</v>
      </c>
      <c r="AN1095">
        <v>1300</v>
      </c>
      <c r="AO1095" t="s">
        <v>118</v>
      </c>
      <c r="AP1095">
        <v>-26</v>
      </c>
      <c r="AQ1095">
        <v>87</v>
      </c>
      <c r="AR1095">
        <v>512</v>
      </c>
      <c r="AZ1095">
        <v>1200</v>
      </c>
      <c r="BA1095">
        <v>1</v>
      </c>
      <c r="BB1095" t="str">
        <f t="shared" si="495"/>
        <v xml:space="preserve">N711JA  </v>
      </c>
      <c r="BC1095">
        <v>1</v>
      </c>
      <c r="BE1095">
        <v>0</v>
      </c>
      <c r="BF1095">
        <v>0</v>
      </c>
      <c r="BG1095">
        <v>0</v>
      </c>
      <c r="BH1095">
        <v>1400</v>
      </c>
      <c r="BI1095">
        <v>1</v>
      </c>
      <c r="BJ1095">
        <v>1</v>
      </c>
      <c r="BK1095">
        <v>0</v>
      </c>
      <c r="BL1095">
        <v>0</v>
      </c>
      <c r="BO1095">
        <v>0</v>
      </c>
      <c r="BP1095">
        <v>0</v>
      </c>
      <c r="BW1095" t="str">
        <f t="shared" si="520"/>
        <v>14:42:58.050</v>
      </c>
      <c r="CJ1095">
        <v>1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343</v>
      </c>
      <c r="CR1095">
        <v>2</v>
      </c>
      <c r="CW1095">
        <v>13023512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1</v>
      </c>
      <c r="DF1095">
        <v>0</v>
      </c>
      <c r="DG1095">
        <v>1</v>
      </c>
      <c r="DH1095">
        <v>0</v>
      </c>
      <c r="DI1095">
        <v>0</v>
      </c>
    </row>
    <row r="1096" spans="1:113" x14ac:dyDescent="0.3">
      <c r="A1096" t="str">
        <f t="shared" si="517"/>
        <v>05/12/2020 14:42:40.246</v>
      </c>
      <c r="C1096" t="str">
        <f t="shared" si="494"/>
        <v>FFDFD3C0</v>
      </c>
      <c r="D1096" t="s">
        <v>138</v>
      </c>
      <c r="E1096">
        <v>2</v>
      </c>
      <c r="H1096">
        <v>8</v>
      </c>
      <c r="I1096" t="s">
        <v>139</v>
      </c>
      <c r="J1096" t="s">
        <v>136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18"/>
        <v>14:42:58.047</v>
      </c>
      <c r="T1096" t="str">
        <f t="shared" si="519"/>
        <v>14:42:57.647</v>
      </c>
      <c r="U1096" t="str">
        <f t="shared" si="516"/>
        <v>A9808D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1</v>
      </c>
      <c r="AG1096">
        <v>2</v>
      </c>
      <c r="AH1096">
        <v>0</v>
      </c>
      <c r="AI1096" t="s">
        <v>337</v>
      </c>
      <c r="AJ1096">
        <v>28.276985</v>
      </c>
      <c r="AK1096" t="s">
        <v>158</v>
      </c>
      <c r="AL1096">
        <v>-82.382119000000003</v>
      </c>
      <c r="AM1096">
        <v>100</v>
      </c>
      <c r="AN1096">
        <v>1300</v>
      </c>
      <c r="AO1096" t="s">
        <v>118</v>
      </c>
      <c r="AP1096">
        <v>-26</v>
      </c>
      <c r="AQ1096">
        <v>87</v>
      </c>
      <c r="AR1096">
        <v>512</v>
      </c>
      <c r="AZ1096">
        <v>1200</v>
      </c>
      <c r="BA1096">
        <v>1</v>
      </c>
      <c r="BB1096" t="str">
        <f t="shared" si="495"/>
        <v xml:space="preserve">N711JA  </v>
      </c>
      <c r="BC1096">
        <v>1</v>
      </c>
      <c r="BE1096">
        <v>0</v>
      </c>
      <c r="BF1096">
        <v>0</v>
      </c>
      <c r="BG1096">
        <v>0</v>
      </c>
      <c r="BH1096">
        <v>1400</v>
      </c>
      <c r="BI1096">
        <v>1</v>
      </c>
      <c r="BJ1096">
        <v>1</v>
      </c>
      <c r="BK1096">
        <v>0</v>
      </c>
      <c r="BL1096">
        <v>0</v>
      </c>
      <c r="BO1096">
        <v>0</v>
      </c>
      <c r="BP1096">
        <v>0</v>
      </c>
      <c r="BW1096" t="str">
        <f t="shared" si="520"/>
        <v>14:42:58.050</v>
      </c>
      <c r="CJ1096">
        <v>1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343</v>
      </c>
      <c r="CR1096">
        <v>2</v>
      </c>
      <c r="CW1096">
        <v>13023512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1</v>
      </c>
      <c r="DF1096">
        <v>0</v>
      </c>
      <c r="DG1096">
        <v>1</v>
      </c>
      <c r="DH1096">
        <v>0</v>
      </c>
      <c r="DI1096">
        <v>0</v>
      </c>
    </row>
    <row r="1097" spans="1:113" x14ac:dyDescent="0.3">
      <c r="A1097" t="str">
        <f t="shared" si="517"/>
        <v>05/12/2020 14:42:40.246</v>
      </c>
      <c r="C1097" t="str">
        <f t="shared" si="494"/>
        <v>FFDFD3C0</v>
      </c>
      <c r="D1097" t="s">
        <v>138</v>
      </c>
      <c r="E1097">
        <v>3</v>
      </c>
      <c r="H1097">
        <v>9</v>
      </c>
      <c r="I1097" t="s">
        <v>140</v>
      </c>
      <c r="J1097" t="s">
        <v>136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518"/>
        <v>14:42:58.047</v>
      </c>
      <c r="T1097" t="str">
        <f t="shared" si="519"/>
        <v>14:42:57.647</v>
      </c>
      <c r="U1097" t="str">
        <f t="shared" si="516"/>
        <v>A9808D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1</v>
      </c>
      <c r="AG1097">
        <v>2</v>
      </c>
      <c r="AH1097">
        <v>0</v>
      </c>
      <c r="AI1097" t="s">
        <v>337</v>
      </c>
      <c r="AJ1097">
        <v>28.276985</v>
      </c>
      <c r="AK1097" t="s">
        <v>158</v>
      </c>
      <c r="AL1097">
        <v>-82.382119000000003</v>
      </c>
      <c r="AM1097">
        <v>100</v>
      </c>
      <c r="AN1097">
        <v>1300</v>
      </c>
      <c r="AO1097" t="s">
        <v>118</v>
      </c>
      <c r="AP1097">
        <v>-26</v>
      </c>
      <c r="AQ1097">
        <v>87</v>
      </c>
      <c r="AR1097">
        <v>512</v>
      </c>
      <c r="AZ1097">
        <v>1200</v>
      </c>
      <c r="BA1097">
        <v>1</v>
      </c>
      <c r="BB1097" t="str">
        <f t="shared" si="495"/>
        <v xml:space="preserve">N711JA  </v>
      </c>
      <c r="BC1097">
        <v>1</v>
      </c>
      <c r="BE1097">
        <v>0</v>
      </c>
      <c r="BF1097">
        <v>0</v>
      </c>
      <c r="BG1097">
        <v>0</v>
      </c>
      <c r="BH1097">
        <v>1400</v>
      </c>
      <c r="BI1097">
        <v>1</v>
      </c>
      <c r="BJ1097">
        <v>1</v>
      </c>
      <c r="BK1097">
        <v>0</v>
      </c>
      <c r="BL1097">
        <v>0</v>
      </c>
      <c r="BO1097">
        <v>0</v>
      </c>
      <c r="BP1097">
        <v>0</v>
      </c>
      <c r="BW1097" t="str">
        <f t="shared" si="520"/>
        <v>14:42:58.050</v>
      </c>
      <c r="CJ1097">
        <v>1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343</v>
      </c>
      <c r="CR1097">
        <v>2</v>
      </c>
      <c r="CW1097">
        <v>13023512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1</v>
      </c>
      <c r="DE1097">
        <v>1</v>
      </c>
      <c r="DF1097">
        <v>0</v>
      </c>
      <c r="DG1097">
        <v>1</v>
      </c>
      <c r="DH1097">
        <v>0</v>
      </c>
      <c r="DI1097">
        <v>0</v>
      </c>
    </row>
    <row r="1098" spans="1:113" x14ac:dyDescent="0.3">
      <c r="A1098" t="str">
        <f t="shared" si="517"/>
        <v>05/12/2020 14:42:40.246</v>
      </c>
      <c r="C1098" t="str">
        <f t="shared" si="494"/>
        <v>FFDFD3C0</v>
      </c>
      <c r="D1098" t="s">
        <v>131</v>
      </c>
      <c r="E1098">
        <v>10</v>
      </c>
      <c r="F1098">
        <v>2010</v>
      </c>
      <c r="G1098" t="s">
        <v>132</v>
      </c>
      <c r="J1098" t="s">
        <v>133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18"/>
        <v>14:42:58.047</v>
      </c>
      <c r="T1098" t="str">
        <f t="shared" si="519"/>
        <v>14:42:57.647</v>
      </c>
      <c r="U1098" t="str">
        <f t="shared" si="516"/>
        <v>A9808D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1</v>
      </c>
      <c r="AG1098">
        <v>2</v>
      </c>
      <c r="AH1098">
        <v>0</v>
      </c>
      <c r="AI1098" t="s">
        <v>337</v>
      </c>
      <c r="AJ1098">
        <v>28.276985</v>
      </c>
      <c r="AK1098" t="s">
        <v>158</v>
      </c>
      <c r="AL1098">
        <v>-82.382119000000003</v>
      </c>
      <c r="AM1098">
        <v>100</v>
      </c>
      <c r="AN1098">
        <v>1300</v>
      </c>
      <c r="AO1098" t="s">
        <v>118</v>
      </c>
      <c r="AP1098">
        <v>-26</v>
      </c>
      <c r="AQ1098">
        <v>87</v>
      </c>
      <c r="AR1098">
        <v>512</v>
      </c>
      <c r="AZ1098">
        <v>1200</v>
      </c>
      <c r="BA1098">
        <v>1</v>
      </c>
      <c r="BB1098" t="str">
        <f t="shared" si="495"/>
        <v xml:space="preserve">N711JA  </v>
      </c>
      <c r="BC1098">
        <v>1</v>
      </c>
      <c r="BE1098">
        <v>0</v>
      </c>
      <c r="BF1098">
        <v>0</v>
      </c>
      <c r="BG1098">
        <v>0</v>
      </c>
      <c r="BH1098">
        <v>1400</v>
      </c>
      <c r="BI1098">
        <v>1</v>
      </c>
      <c r="BJ1098">
        <v>1</v>
      </c>
      <c r="BK1098">
        <v>0</v>
      </c>
      <c r="BL1098">
        <v>0</v>
      </c>
      <c r="BO1098">
        <v>0</v>
      </c>
      <c r="BP1098">
        <v>0</v>
      </c>
      <c r="BW1098" t="str">
        <f t="shared" si="520"/>
        <v>14:42:58.050</v>
      </c>
      <c r="CJ1098">
        <v>1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343</v>
      </c>
      <c r="CR1098">
        <v>2</v>
      </c>
      <c r="CW1098">
        <v>13023512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1</v>
      </c>
      <c r="DF1098">
        <v>0</v>
      </c>
      <c r="DG1098">
        <v>1</v>
      </c>
      <c r="DH1098">
        <v>0</v>
      </c>
      <c r="DI1098">
        <v>0</v>
      </c>
    </row>
    <row r="1099" spans="1:113" x14ac:dyDescent="0.3">
      <c r="A1099" t="str">
        <f t="shared" si="517"/>
        <v>05/12/2020 14:42:40.246</v>
      </c>
      <c r="C1099" t="str">
        <f t="shared" si="494"/>
        <v>FFDFD3C0</v>
      </c>
      <c r="D1099" t="s">
        <v>126</v>
      </c>
      <c r="E1099">
        <v>7</v>
      </c>
      <c r="F1099">
        <v>1007</v>
      </c>
      <c r="G1099" t="s">
        <v>127</v>
      </c>
      <c r="J1099" t="s">
        <v>128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18"/>
        <v>14:42:58.047</v>
      </c>
      <c r="T1099" t="str">
        <f t="shared" si="519"/>
        <v>14:42:57.647</v>
      </c>
      <c r="U1099" t="str">
        <f t="shared" si="516"/>
        <v>A9808D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1</v>
      </c>
      <c r="AG1099">
        <v>2</v>
      </c>
      <c r="AH1099">
        <v>0</v>
      </c>
      <c r="AI1099" t="s">
        <v>337</v>
      </c>
      <c r="AJ1099">
        <v>28.276985</v>
      </c>
      <c r="AK1099" t="s">
        <v>158</v>
      </c>
      <c r="AL1099">
        <v>-82.382119000000003</v>
      </c>
      <c r="AM1099">
        <v>100</v>
      </c>
      <c r="AN1099">
        <v>1300</v>
      </c>
      <c r="AO1099" t="s">
        <v>118</v>
      </c>
      <c r="AP1099">
        <v>-26</v>
      </c>
      <c r="AQ1099">
        <v>87</v>
      </c>
      <c r="AR1099">
        <v>512</v>
      </c>
      <c r="AZ1099">
        <v>1200</v>
      </c>
      <c r="BA1099">
        <v>1</v>
      </c>
      <c r="BB1099" t="str">
        <f t="shared" si="495"/>
        <v xml:space="preserve">N711JA  </v>
      </c>
      <c r="BC1099">
        <v>1</v>
      </c>
      <c r="BE1099">
        <v>0</v>
      </c>
      <c r="BF1099">
        <v>0</v>
      </c>
      <c r="BG1099">
        <v>0</v>
      </c>
      <c r="BH1099">
        <v>1400</v>
      </c>
      <c r="BI1099">
        <v>1</v>
      </c>
      <c r="BJ1099">
        <v>1</v>
      </c>
      <c r="BK1099">
        <v>0</v>
      </c>
      <c r="BL1099">
        <v>0</v>
      </c>
      <c r="BO1099">
        <v>0</v>
      </c>
      <c r="BP1099">
        <v>0</v>
      </c>
      <c r="BW1099" t="str">
        <f t="shared" si="520"/>
        <v>14:42:58.050</v>
      </c>
      <c r="CJ1099">
        <v>1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343</v>
      </c>
      <c r="CR1099">
        <v>2</v>
      </c>
      <c r="CW1099">
        <v>13023512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1</v>
      </c>
      <c r="DF1099">
        <v>0</v>
      </c>
      <c r="DG1099">
        <v>1</v>
      </c>
      <c r="DH1099">
        <v>0</v>
      </c>
      <c r="DI1099">
        <v>0</v>
      </c>
    </row>
    <row r="1100" spans="1:113" x14ac:dyDescent="0.3">
      <c r="A1100" t="str">
        <f t="shared" si="517"/>
        <v>05/12/2020 14:42:40.246</v>
      </c>
      <c r="C1100" t="str">
        <f t="shared" si="494"/>
        <v>FFDFD3C0</v>
      </c>
      <c r="D1100" t="s">
        <v>126</v>
      </c>
      <c r="E1100">
        <v>6</v>
      </c>
      <c r="F1100">
        <v>1006</v>
      </c>
      <c r="G1100" t="s">
        <v>114</v>
      </c>
      <c r="J1100" t="s">
        <v>128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18"/>
        <v>14:42:58.047</v>
      </c>
      <c r="T1100" t="str">
        <f t="shared" si="519"/>
        <v>14:42:57.647</v>
      </c>
      <c r="U1100" t="str">
        <f t="shared" si="516"/>
        <v>A9808D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1</v>
      </c>
      <c r="AG1100">
        <v>2</v>
      </c>
      <c r="AH1100">
        <v>0</v>
      </c>
      <c r="AI1100" t="s">
        <v>337</v>
      </c>
      <c r="AJ1100">
        <v>28.276985</v>
      </c>
      <c r="AK1100" t="s">
        <v>158</v>
      </c>
      <c r="AL1100">
        <v>-82.382119000000003</v>
      </c>
      <c r="AM1100">
        <v>100</v>
      </c>
      <c r="AN1100">
        <v>1300</v>
      </c>
      <c r="AO1100" t="s">
        <v>118</v>
      </c>
      <c r="AP1100">
        <v>-26</v>
      </c>
      <c r="AQ1100">
        <v>87</v>
      </c>
      <c r="AR1100">
        <v>512</v>
      </c>
      <c r="AZ1100">
        <v>1200</v>
      </c>
      <c r="BA1100">
        <v>1</v>
      </c>
      <c r="BB1100" t="str">
        <f t="shared" si="495"/>
        <v xml:space="preserve">N711JA  </v>
      </c>
      <c r="BC1100">
        <v>1</v>
      </c>
      <c r="BE1100">
        <v>0</v>
      </c>
      <c r="BF1100">
        <v>0</v>
      </c>
      <c r="BG1100">
        <v>0</v>
      </c>
      <c r="BH1100">
        <v>1400</v>
      </c>
      <c r="BI1100">
        <v>1</v>
      </c>
      <c r="BJ1100">
        <v>1</v>
      </c>
      <c r="BK1100">
        <v>0</v>
      </c>
      <c r="BL1100">
        <v>0</v>
      </c>
      <c r="BO1100">
        <v>0</v>
      </c>
      <c r="BP1100">
        <v>0</v>
      </c>
      <c r="BW1100" t="str">
        <f t="shared" si="520"/>
        <v>14:42:58.050</v>
      </c>
      <c r="CJ1100">
        <v>1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343</v>
      </c>
      <c r="CR1100">
        <v>2</v>
      </c>
      <c r="CW1100">
        <v>13023512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1</v>
      </c>
      <c r="DF1100">
        <v>0</v>
      </c>
      <c r="DG1100">
        <v>1</v>
      </c>
      <c r="DH1100">
        <v>0</v>
      </c>
      <c r="DI1100">
        <v>0</v>
      </c>
    </row>
    <row r="1101" spans="1:113" x14ac:dyDescent="0.3">
      <c r="A1101" t="str">
        <f t="shared" si="517"/>
        <v>05/12/2020 14:42:40.246</v>
      </c>
      <c r="C1101" t="str">
        <f t="shared" si="494"/>
        <v>FFDFD3C0</v>
      </c>
      <c r="D1101" t="s">
        <v>131</v>
      </c>
      <c r="E1101">
        <v>12</v>
      </c>
      <c r="F1101">
        <v>2012</v>
      </c>
      <c r="G1101" t="s">
        <v>137</v>
      </c>
      <c r="J1101" t="s">
        <v>133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18"/>
        <v>14:42:58.047</v>
      </c>
      <c r="T1101" t="str">
        <f t="shared" si="519"/>
        <v>14:42:57.647</v>
      </c>
      <c r="U1101" t="str">
        <f t="shared" si="516"/>
        <v>A9808D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1</v>
      </c>
      <c r="AG1101">
        <v>2</v>
      </c>
      <c r="AH1101">
        <v>0</v>
      </c>
      <c r="AI1101" t="s">
        <v>337</v>
      </c>
      <c r="AJ1101">
        <v>28.276985</v>
      </c>
      <c r="AK1101" t="s">
        <v>158</v>
      </c>
      <c r="AL1101">
        <v>-82.382119000000003</v>
      </c>
      <c r="AM1101">
        <v>100</v>
      </c>
      <c r="AN1101">
        <v>1300</v>
      </c>
      <c r="AO1101" t="s">
        <v>118</v>
      </c>
      <c r="AP1101">
        <v>-26</v>
      </c>
      <c r="AQ1101">
        <v>87</v>
      </c>
      <c r="AR1101">
        <v>512</v>
      </c>
      <c r="AZ1101">
        <v>1200</v>
      </c>
      <c r="BA1101">
        <v>1</v>
      </c>
      <c r="BB1101" t="str">
        <f t="shared" si="495"/>
        <v xml:space="preserve">N711JA  </v>
      </c>
      <c r="BC1101">
        <v>1</v>
      </c>
      <c r="BE1101">
        <v>0</v>
      </c>
      <c r="BF1101">
        <v>0</v>
      </c>
      <c r="BG1101">
        <v>0</v>
      </c>
      <c r="BH1101">
        <v>1400</v>
      </c>
      <c r="BI1101">
        <v>1</v>
      </c>
      <c r="BJ1101">
        <v>1</v>
      </c>
      <c r="BK1101">
        <v>0</v>
      </c>
      <c r="BL1101">
        <v>0</v>
      </c>
      <c r="BO1101">
        <v>0</v>
      </c>
      <c r="BP1101">
        <v>0</v>
      </c>
      <c r="BW1101" t="str">
        <f t="shared" si="520"/>
        <v>14:42:58.050</v>
      </c>
      <c r="CJ1101">
        <v>1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343</v>
      </c>
      <c r="CR1101">
        <v>2</v>
      </c>
      <c r="CW1101">
        <v>13023512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1</v>
      </c>
      <c r="DF1101">
        <v>0</v>
      </c>
      <c r="DG1101">
        <v>1</v>
      </c>
      <c r="DH1101">
        <v>0</v>
      </c>
      <c r="DI1101">
        <v>0</v>
      </c>
    </row>
    <row r="1102" spans="1:113" x14ac:dyDescent="0.3">
      <c r="A1102" t="str">
        <f t="shared" si="517"/>
        <v>05/12/2020 14:42:40.246</v>
      </c>
      <c r="C1102" t="str">
        <f t="shared" si="494"/>
        <v>FFDFD3C0</v>
      </c>
      <c r="D1102" t="s">
        <v>131</v>
      </c>
      <c r="E1102">
        <v>18</v>
      </c>
      <c r="F1102">
        <v>2018</v>
      </c>
      <c r="G1102" t="s">
        <v>161</v>
      </c>
      <c r="J1102" t="s">
        <v>133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518"/>
        <v>14:42:58.047</v>
      </c>
      <c r="T1102" t="str">
        <f t="shared" si="519"/>
        <v>14:42:57.647</v>
      </c>
      <c r="U1102" t="str">
        <f t="shared" si="516"/>
        <v>A9808D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1</v>
      </c>
      <c r="AG1102">
        <v>2</v>
      </c>
      <c r="AH1102">
        <v>0</v>
      </c>
      <c r="AI1102" t="s">
        <v>337</v>
      </c>
      <c r="AJ1102">
        <v>28.276985</v>
      </c>
      <c r="AK1102" t="s">
        <v>158</v>
      </c>
      <c r="AL1102">
        <v>-82.382119000000003</v>
      </c>
      <c r="AM1102">
        <v>100</v>
      </c>
      <c r="AN1102">
        <v>1300</v>
      </c>
      <c r="AO1102" t="s">
        <v>118</v>
      </c>
      <c r="AP1102">
        <v>-26</v>
      </c>
      <c r="AQ1102">
        <v>87</v>
      </c>
      <c r="AR1102">
        <v>512</v>
      </c>
      <c r="AZ1102">
        <v>1200</v>
      </c>
      <c r="BA1102">
        <v>1</v>
      </c>
      <c r="BB1102" t="str">
        <f t="shared" si="495"/>
        <v xml:space="preserve">N711JA  </v>
      </c>
      <c r="BC1102">
        <v>1</v>
      </c>
      <c r="BE1102">
        <v>0</v>
      </c>
      <c r="BF1102">
        <v>0</v>
      </c>
      <c r="BG1102">
        <v>0</v>
      </c>
      <c r="BH1102">
        <v>1400</v>
      </c>
      <c r="BI1102">
        <v>1</v>
      </c>
      <c r="BJ1102">
        <v>1</v>
      </c>
      <c r="BK1102">
        <v>0</v>
      </c>
      <c r="BL1102">
        <v>0</v>
      </c>
      <c r="BO1102">
        <v>0</v>
      </c>
      <c r="BP1102">
        <v>0</v>
      </c>
      <c r="BW1102" t="str">
        <f t="shared" si="520"/>
        <v>14:42:58.050</v>
      </c>
      <c r="CJ1102">
        <v>1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343</v>
      </c>
      <c r="CR1102">
        <v>2</v>
      </c>
      <c r="CW1102">
        <v>13023512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1</v>
      </c>
      <c r="DF1102">
        <v>0</v>
      </c>
      <c r="DG1102">
        <v>1</v>
      </c>
      <c r="DH1102">
        <v>0</v>
      </c>
      <c r="DI1102">
        <v>0</v>
      </c>
    </row>
    <row r="1103" spans="1:113" x14ac:dyDescent="0.3">
      <c r="A1103" t="str">
        <f t="shared" ref="A1103:A1111" si="521">"05/12/2020 14:42:41.222"</f>
        <v>05/12/2020 14:42:41.222</v>
      </c>
      <c r="C1103" t="str">
        <f t="shared" si="494"/>
        <v>FFDFD3C0</v>
      </c>
      <c r="D1103" t="s">
        <v>131</v>
      </c>
      <c r="E1103">
        <v>10</v>
      </c>
      <c r="F1103">
        <v>2010</v>
      </c>
      <c r="G1103" t="s">
        <v>132</v>
      </c>
      <c r="J1103" t="s">
        <v>133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ref="S1103:S1111" si="522">"14:42:59.039"</f>
        <v>14:42:59.039</v>
      </c>
      <c r="T1103" t="str">
        <f t="shared" ref="T1103:T1111" si="523">"14:42:58.639"</f>
        <v>14:42:58.639</v>
      </c>
      <c r="U1103" t="str">
        <f t="shared" si="516"/>
        <v>A9808D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1</v>
      </c>
      <c r="AG1103">
        <v>2</v>
      </c>
      <c r="AH1103">
        <v>0</v>
      </c>
      <c r="AI1103" t="s">
        <v>338</v>
      </c>
      <c r="AJ1103">
        <v>28.277414</v>
      </c>
      <c r="AK1103" t="s">
        <v>228</v>
      </c>
      <c r="AL1103">
        <v>-82.382268999999994</v>
      </c>
      <c r="AM1103">
        <v>100</v>
      </c>
      <c r="AN1103">
        <v>1300</v>
      </c>
      <c r="AO1103" t="s">
        <v>118</v>
      </c>
      <c r="AP1103">
        <v>-27</v>
      </c>
      <c r="AQ1103">
        <v>87</v>
      </c>
      <c r="AR1103">
        <v>576</v>
      </c>
      <c r="AZ1103">
        <v>1200</v>
      </c>
      <c r="BA1103">
        <v>1</v>
      </c>
      <c r="BB1103" t="str">
        <f t="shared" si="495"/>
        <v xml:space="preserve">N711JA  </v>
      </c>
      <c r="BC1103">
        <v>1</v>
      </c>
      <c r="BE1103">
        <v>0</v>
      </c>
      <c r="BF1103">
        <v>0</v>
      </c>
      <c r="BG1103">
        <v>0</v>
      </c>
      <c r="BH1103">
        <v>1400</v>
      </c>
      <c r="BI1103">
        <v>1</v>
      </c>
      <c r="BJ1103">
        <v>1</v>
      </c>
      <c r="BK1103">
        <v>0</v>
      </c>
      <c r="BL1103">
        <v>0</v>
      </c>
      <c r="BO1103">
        <v>0</v>
      </c>
      <c r="BP1103">
        <v>0</v>
      </c>
      <c r="BW1103" t="str">
        <f t="shared" ref="BW1103:BW1111" si="524">"14:42:59.040"</f>
        <v>14:42:59.040</v>
      </c>
      <c r="CJ1103">
        <v>1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343</v>
      </c>
      <c r="CR1103">
        <v>1</v>
      </c>
      <c r="CW1103">
        <v>10630241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1</v>
      </c>
      <c r="DE1103">
        <v>1</v>
      </c>
      <c r="DF1103">
        <v>0</v>
      </c>
      <c r="DG1103">
        <v>1</v>
      </c>
      <c r="DH1103">
        <v>0</v>
      </c>
      <c r="DI1103">
        <v>0</v>
      </c>
    </row>
    <row r="1104" spans="1:113" x14ac:dyDescent="0.3">
      <c r="A1104" t="str">
        <f t="shared" si="521"/>
        <v>05/12/2020 14:42:41.222</v>
      </c>
      <c r="C1104" t="str">
        <f t="shared" si="494"/>
        <v>FFDFD3C0</v>
      </c>
      <c r="D1104" t="s">
        <v>126</v>
      </c>
      <c r="E1104">
        <v>7</v>
      </c>
      <c r="F1104">
        <v>1007</v>
      </c>
      <c r="G1104" t="s">
        <v>127</v>
      </c>
      <c r="J1104" t="s">
        <v>128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22"/>
        <v>14:42:59.039</v>
      </c>
      <c r="T1104" t="str">
        <f t="shared" si="523"/>
        <v>14:42:58.639</v>
      </c>
      <c r="U1104" t="str">
        <f t="shared" si="516"/>
        <v>A9808D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1</v>
      </c>
      <c r="AG1104">
        <v>2</v>
      </c>
      <c r="AH1104">
        <v>0</v>
      </c>
      <c r="AI1104" t="s">
        <v>338</v>
      </c>
      <c r="AJ1104">
        <v>28.277414</v>
      </c>
      <c r="AK1104" t="s">
        <v>228</v>
      </c>
      <c r="AL1104">
        <v>-82.382268999999994</v>
      </c>
      <c r="AM1104">
        <v>100</v>
      </c>
      <c r="AN1104">
        <v>1300</v>
      </c>
      <c r="AO1104" t="s">
        <v>118</v>
      </c>
      <c r="AP1104">
        <v>-27</v>
      </c>
      <c r="AQ1104">
        <v>87</v>
      </c>
      <c r="AR1104">
        <v>576</v>
      </c>
      <c r="AZ1104">
        <v>1200</v>
      </c>
      <c r="BA1104">
        <v>1</v>
      </c>
      <c r="BB1104" t="str">
        <f t="shared" si="495"/>
        <v xml:space="preserve">N711JA  </v>
      </c>
      <c r="BC1104">
        <v>1</v>
      </c>
      <c r="BE1104">
        <v>0</v>
      </c>
      <c r="BF1104">
        <v>0</v>
      </c>
      <c r="BG1104">
        <v>0</v>
      </c>
      <c r="BH1104">
        <v>1400</v>
      </c>
      <c r="BI1104">
        <v>1</v>
      </c>
      <c r="BJ1104">
        <v>1</v>
      </c>
      <c r="BK1104">
        <v>0</v>
      </c>
      <c r="BL1104">
        <v>0</v>
      </c>
      <c r="BO1104">
        <v>0</v>
      </c>
      <c r="BP1104">
        <v>0</v>
      </c>
      <c r="BW1104" t="str">
        <f t="shared" si="524"/>
        <v>14:42:59.040</v>
      </c>
      <c r="CJ1104">
        <v>1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343</v>
      </c>
      <c r="CR1104">
        <v>1</v>
      </c>
      <c r="CW1104">
        <v>10630241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1</v>
      </c>
      <c r="DF1104">
        <v>0</v>
      </c>
      <c r="DG1104">
        <v>1</v>
      </c>
      <c r="DH1104">
        <v>0</v>
      </c>
      <c r="DI1104">
        <v>0</v>
      </c>
    </row>
    <row r="1105" spans="1:113" x14ac:dyDescent="0.3">
      <c r="A1105" t="str">
        <f t="shared" si="521"/>
        <v>05/12/2020 14:42:41.222</v>
      </c>
      <c r="C1105" t="str">
        <f t="shared" si="494"/>
        <v>FFDFD3C0</v>
      </c>
      <c r="D1105" t="s">
        <v>131</v>
      </c>
      <c r="E1105">
        <v>12</v>
      </c>
      <c r="F1105">
        <v>2012</v>
      </c>
      <c r="G1105" t="s">
        <v>137</v>
      </c>
      <c r="J1105" t="s">
        <v>133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22"/>
        <v>14:42:59.039</v>
      </c>
      <c r="T1105" t="str">
        <f t="shared" si="523"/>
        <v>14:42:58.639</v>
      </c>
      <c r="U1105" t="str">
        <f t="shared" si="516"/>
        <v>A9808D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1</v>
      </c>
      <c r="AG1105">
        <v>2</v>
      </c>
      <c r="AH1105">
        <v>0</v>
      </c>
      <c r="AI1105" t="s">
        <v>338</v>
      </c>
      <c r="AJ1105">
        <v>28.277414</v>
      </c>
      <c r="AK1105" t="s">
        <v>228</v>
      </c>
      <c r="AL1105">
        <v>-82.382268999999994</v>
      </c>
      <c r="AM1105">
        <v>100</v>
      </c>
      <c r="AN1105">
        <v>1300</v>
      </c>
      <c r="AO1105" t="s">
        <v>118</v>
      </c>
      <c r="AP1105">
        <v>-27</v>
      </c>
      <c r="AQ1105">
        <v>87</v>
      </c>
      <c r="AR1105">
        <v>576</v>
      </c>
      <c r="AZ1105">
        <v>1200</v>
      </c>
      <c r="BA1105">
        <v>1</v>
      </c>
      <c r="BB1105" t="str">
        <f t="shared" si="495"/>
        <v xml:space="preserve">N711JA  </v>
      </c>
      <c r="BC1105">
        <v>1</v>
      </c>
      <c r="BE1105">
        <v>0</v>
      </c>
      <c r="BF1105">
        <v>0</v>
      </c>
      <c r="BG1105">
        <v>0</v>
      </c>
      <c r="BH1105">
        <v>1400</v>
      </c>
      <c r="BI1105">
        <v>1</v>
      </c>
      <c r="BJ1105">
        <v>1</v>
      </c>
      <c r="BK1105">
        <v>0</v>
      </c>
      <c r="BL1105">
        <v>0</v>
      </c>
      <c r="BO1105">
        <v>0</v>
      </c>
      <c r="BP1105">
        <v>0</v>
      </c>
      <c r="BW1105" t="str">
        <f t="shared" si="524"/>
        <v>14:42:59.040</v>
      </c>
      <c r="CJ1105">
        <v>1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343</v>
      </c>
      <c r="CR1105">
        <v>1</v>
      </c>
      <c r="CW1105">
        <v>10630241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1</v>
      </c>
      <c r="DF1105">
        <v>0</v>
      </c>
      <c r="DG1105">
        <v>1</v>
      </c>
      <c r="DH1105">
        <v>0</v>
      </c>
      <c r="DI1105">
        <v>0</v>
      </c>
    </row>
    <row r="1106" spans="1:113" x14ac:dyDescent="0.3">
      <c r="A1106" t="str">
        <f t="shared" si="521"/>
        <v>05/12/2020 14:42:41.222</v>
      </c>
      <c r="C1106" t="str">
        <f t="shared" si="494"/>
        <v>FFDFD3C0</v>
      </c>
      <c r="D1106" t="s">
        <v>131</v>
      </c>
      <c r="E1106">
        <v>18</v>
      </c>
      <c r="F1106">
        <v>2018</v>
      </c>
      <c r="G1106" t="s">
        <v>161</v>
      </c>
      <c r="J1106" t="s">
        <v>133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22"/>
        <v>14:42:59.039</v>
      </c>
      <c r="T1106" t="str">
        <f t="shared" si="523"/>
        <v>14:42:58.639</v>
      </c>
      <c r="U1106" t="str">
        <f t="shared" si="516"/>
        <v>A9808D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1</v>
      </c>
      <c r="AG1106">
        <v>2</v>
      </c>
      <c r="AH1106">
        <v>0</v>
      </c>
      <c r="AI1106" t="s">
        <v>338</v>
      </c>
      <c r="AJ1106">
        <v>28.277414</v>
      </c>
      <c r="AK1106" t="s">
        <v>228</v>
      </c>
      <c r="AL1106">
        <v>-82.382268999999994</v>
      </c>
      <c r="AM1106">
        <v>100</v>
      </c>
      <c r="AN1106">
        <v>1300</v>
      </c>
      <c r="AO1106" t="s">
        <v>118</v>
      </c>
      <c r="AP1106">
        <v>-27</v>
      </c>
      <c r="AQ1106">
        <v>87</v>
      </c>
      <c r="AR1106">
        <v>576</v>
      </c>
      <c r="AZ1106">
        <v>1200</v>
      </c>
      <c r="BA1106">
        <v>1</v>
      </c>
      <c r="BB1106" t="str">
        <f t="shared" si="495"/>
        <v xml:space="preserve">N711JA  </v>
      </c>
      <c r="BC1106">
        <v>1</v>
      </c>
      <c r="BE1106">
        <v>0</v>
      </c>
      <c r="BF1106">
        <v>0</v>
      </c>
      <c r="BG1106">
        <v>0</v>
      </c>
      <c r="BH1106">
        <v>1400</v>
      </c>
      <c r="BI1106">
        <v>1</v>
      </c>
      <c r="BJ1106">
        <v>1</v>
      </c>
      <c r="BK1106">
        <v>0</v>
      </c>
      <c r="BL1106">
        <v>0</v>
      </c>
      <c r="BO1106">
        <v>0</v>
      </c>
      <c r="BP1106">
        <v>0</v>
      </c>
      <c r="BW1106" t="str">
        <f t="shared" si="524"/>
        <v>14:42:59.040</v>
      </c>
      <c r="CJ1106">
        <v>1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343</v>
      </c>
      <c r="CR1106">
        <v>1</v>
      </c>
      <c r="CW1106">
        <v>10630241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1</v>
      </c>
      <c r="DF1106">
        <v>0</v>
      </c>
      <c r="DG1106">
        <v>1</v>
      </c>
      <c r="DH1106">
        <v>0</v>
      </c>
      <c r="DI1106">
        <v>0</v>
      </c>
    </row>
    <row r="1107" spans="1:113" x14ac:dyDescent="0.3">
      <c r="A1107" t="str">
        <f t="shared" si="521"/>
        <v>05/12/2020 14:42:41.222</v>
      </c>
      <c r="C1107" t="str">
        <f t="shared" si="494"/>
        <v>FFDFD3C0</v>
      </c>
      <c r="D1107" t="s">
        <v>113</v>
      </c>
      <c r="E1107">
        <v>3</v>
      </c>
      <c r="H1107">
        <v>164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22"/>
        <v>14:42:59.039</v>
      </c>
      <c r="T1107" t="str">
        <f t="shared" si="523"/>
        <v>14:42:58.639</v>
      </c>
      <c r="U1107" t="str">
        <f t="shared" si="516"/>
        <v>A9808D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1</v>
      </c>
      <c r="AG1107">
        <v>2</v>
      </c>
      <c r="AH1107">
        <v>0</v>
      </c>
      <c r="AI1107" t="s">
        <v>338</v>
      </c>
      <c r="AJ1107">
        <v>28.277414</v>
      </c>
      <c r="AK1107" t="s">
        <v>228</v>
      </c>
      <c r="AL1107">
        <v>-82.382268999999994</v>
      </c>
      <c r="AM1107">
        <v>100</v>
      </c>
      <c r="AN1107">
        <v>1300</v>
      </c>
      <c r="AO1107" t="s">
        <v>118</v>
      </c>
      <c r="AP1107">
        <v>-27</v>
      </c>
      <c r="AQ1107">
        <v>87</v>
      </c>
      <c r="AR1107">
        <v>576</v>
      </c>
      <c r="AZ1107">
        <v>1200</v>
      </c>
      <c r="BA1107">
        <v>1</v>
      </c>
      <c r="BB1107" t="str">
        <f t="shared" si="495"/>
        <v xml:space="preserve">N711JA  </v>
      </c>
      <c r="BC1107">
        <v>1</v>
      </c>
      <c r="BE1107">
        <v>0</v>
      </c>
      <c r="BF1107">
        <v>0</v>
      </c>
      <c r="BG1107">
        <v>0</v>
      </c>
      <c r="BH1107">
        <v>1400</v>
      </c>
      <c r="BI1107">
        <v>1</v>
      </c>
      <c r="BJ1107">
        <v>1</v>
      </c>
      <c r="BK1107">
        <v>0</v>
      </c>
      <c r="BL1107">
        <v>0</v>
      </c>
      <c r="BO1107">
        <v>0</v>
      </c>
      <c r="BP1107">
        <v>0</v>
      </c>
      <c r="BW1107" t="str">
        <f t="shared" si="524"/>
        <v>14:42:59.040</v>
      </c>
      <c r="CJ1107">
        <v>1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343</v>
      </c>
      <c r="CR1107">
        <v>1</v>
      </c>
      <c r="CW1107">
        <v>10630241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1</v>
      </c>
      <c r="DF1107">
        <v>0</v>
      </c>
      <c r="DG1107">
        <v>1</v>
      </c>
      <c r="DH1107">
        <v>0</v>
      </c>
      <c r="DI1107">
        <v>0</v>
      </c>
    </row>
    <row r="1108" spans="1:113" x14ac:dyDescent="0.3">
      <c r="A1108" t="str">
        <f t="shared" si="521"/>
        <v>05/12/2020 14:42:41.222</v>
      </c>
      <c r="C1108" t="str">
        <f t="shared" si="494"/>
        <v>FFDFD3C0</v>
      </c>
      <c r="D1108" t="s">
        <v>138</v>
      </c>
      <c r="E1108">
        <v>2</v>
      </c>
      <c r="H1108">
        <v>8</v>
      </c>
      <c r="I1108" t="s">
        <v>139</v>
      </c>
      <c r="J1108" t="s">
        <v>136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522"/>
        <v>14:42:59.039</v>
      </c>
      <c r="T1108" t="str">
        <f t="shared" si="523"/>
        <v>14:42:58.639</v>
      </c>
      <c r="U1108" t="str">
        <f t="shared" si="516"/>
        <v>A9808D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1</v>
      </c>
      <c r="AG1108">
        <v>2</v>
      </c>
      <c r="AH1108">
        <v>0</v>
      </c>
      <c r="AI1108" t="s">
        <v>338</v>
      </c>
      <c r="AJ1108">
        <v>28.277414</v>
      </c>
      <c r="AK1108" t="s">
        <v>228</v>
      </c>
      <c r="AL1108">
        <v>-82.382268999999994</v>
      </c>
      <c r="AM1108">
        <v>100</v>
      </c>
      <c r="AN1108">
        <v>1300</v>
      </c>
      <c r="AO1108" t="s">
        <v>118</v>
      </c>
      <c r="AP1108">
        <v>-27</v>
      </c>
      <c r="AQ1108">
        <v>87</v>
      </c>
      <c r="AR1108">
        <v>576</v>
      </c>
      <c r="AZ1108">
        <v>1200</v>
      </c>
      <c r="BA1108">
        <v>1</v>
      </c>
      <c r="BB1108" t="str">
        <f t="shared" si="495"/>
        <v xml:space="preserve">N711JA  </v>
      </c>
      <c r="BC1108">
        <v>1</v>
      </c>
      <c r="BE1108">
        <v>0</v>
      </c>
      <c r="BF1108">
        <v>0</v>
      </c>
      <c r="BG1108">
        <v>0</v>
      </c>
      <c r="BH1108">
        <v>1400</v>
      </c>
      <c r="BI1108">
        <v>1</v>
      </c>
      <c r="BJ1108">
        <v>1</v>
      </c>
      <c r="BK1108">
        <v>0</v>
      </c>
      <c r="BL1108">
        <v>0</v>
      </c>
      <c r="BO1108">
        <v>0</v>
      </c>
      <c r="BP1108">
        <v>0</v>
      </c>
      <c r="BW1108" t="str">
        <f t="shared" si="524"/>
        <v>14:42:59.040</v>
      </c>
      <c r="CJ1108">
        <v>1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343</v>
      </c>
      <c r="CR1108">
        <v>1</v>
      </c>
      <c r="CW1108">
        <v>10630241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1</v>
      </c>
      <c r="DF1108">
        <v>0</v>
      </c>
      <c r="DG1108">
        <v>1</v>
      </c>
      <c r="DH1108">
        <v>0</v>
      </c>
      <c r="DI1108">
        <v>0</v>
      </c>
    </row>
    <row r="1109" spans="1:113" x14ac:dyDescent="0.3">
      <c r="A1109" t="str">
        <f t="shared" si="521"/>
        <v>05/12/2020 14:42:41.222</v>
      </c>
      <c r="C1109" t="str">
        <f t="shared" si="494"/>
        <v>FFDFD3C0</v>
      </c>
      <c r="D1109" t="s">
        <v>138</v>
      </c>
      <c r="E1109">
        <v>3</v>
      </c>
      <c r="H1109">
        <v>9</v>
      </c>
      <c r="I1109" t="s">
        <v>140</v>
      </c>
      <c r="J1109" t="s">
        <v>136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522"/>
        <v>14:42:59.039</v>
      </c>
      <c r="T1109" t="str">
        <f t="shared" si="523"/>
        <v>14:42:58.639</v>
      </c>
      <c r="U1109" t="str">
        <f t="shared" si="516"/>
        <v>A9808D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1</v>
      </c>
      <c r="AG1109">
        <v>2</v>
      </c>
      <c r="AH1109">
        <v>0</v>
      </c>
      <c r="AI1109" t="s">
        <v>338</v>
      </c>
      <c r="AJ1109">
        <v>28.277414</v>
      </c>
      <c r="AK1109" t="s">
        <v>228</v>
      </c>
      <c r="AL1109">
        <v>-82.382268999999994</v>
      </c>
      <c r="AM1109">
        <v>100</v>
      </c>
      <c r="AN1109">
        <v>1300</v>
      </c>
      <c r="AO1109" t="s">
        <v>118</v>
      </c>
      <c r="AP1109">
        <v>-27</v>
      </c>
      <c r="AQ1109">
        <v>87</v>
      </c>
      <c r="AR1109">
        <v>576</v>
      </c>
      <c r="AZ1109">
        <v>1200</v>
      </c>
      <c r="BA1109">
        <v>1</v>
      </c>
      <c r="BB1109" t="str">
        <f t="shared" si="495"/>
        <v xml:space="preserve">N711JA  </v>
      </c>
      <c r="BC1109">
        <v>1</v>
      </c>
      <c r="BE1109">
        <v>0</v>
      </c>
      <c r="BF1109">
        <v>0</v>
      </c>
      <c r="BG1109">
        <v>0</v>
      </c>
      <c r="BH1109">
        <v>1400</v>
      </c>
      <c r="BI1109">
        <v>1</v>
      </c>
      <c r="BJ1109">
        <v>1</v>
      </c>
      <c r="BK1109">
        <v>0</v>
      </c>
      <c r="BL1109">
        <v>0</v>
      </c>
      <c r="BO1109">
        <v>0</v>
      </c>
      <c r="BP1109">
        <v>0</v>
      </c>
      <c r="BW1109" t="str">
        <f t="shared" si="524"/>
        <v>14:42:59.040</v>
      </c>
      <c r="CJ1109">
        <v>1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343</v>
      </c>
      <c r="CR1109">
        <v>1</v>
      </c>
      <c r="CW1109">
        <v>10630241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1</v>
      </c>
      <c r="DF1109">
        <v>0</v>
      </c>
      <c r="DG1109">
        <v>1</v>
      </c>
      <c r="DH1109">
        <v>0</v>
      </c>
      <c r="DI1109">
        <v>0</v>
      </c>
    </row>
    <row r="1110" spans="1:113" x14ac:dyDescent="0.3">
      <c r="A1110" t="str">
        <f t="shared" si="521"/>
        <v>05/12/2020 14:42:41.222</v>
      </c>
      <c r="C1110" t="str">
        <f t="shared" ref="C1110:C1173" si="525">"FFDFD3C0"</f>
        <v>FFDFD3C0</v>
      </c>
      <c r="D1110" t="s">
        <v>126</v>
      </c>
      <c r="E1110">
        <v>6</v>
      </c>
      <c r="F1110">
        <v>1006</v>
      </c>
      <c r="G1110" t="s">
        <v>114</v>
      </c>
      <c r="J1110" t="s">
        <v>128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22"/>
        <v>14:42:59.039</v>
      </c>
      <c r="T1110" t="str">
        <f t="shared" si="523"/>
        <v>14:42:58.639</v>
      </c>
      <c r="U1110" t="str">
        <f t="shared" si="516"/>
        <v>A9808D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1</v>
      </c>
      <c r="AG1110">
        <v>2</v>
      </c>
      <c r="AH1110">
        <v>0</v>
      </c>
      <c r="AI1110" t="s">
        <v>338</v>
      </c>
      <c r="AJ1110">
        <v>28.277414</v>
      </c>
      <c r="AK1110" t="s">
        <v>228</v>
      </c>
      <c r="AL1110">
        <v>-82.382268999999994</v>
      </c>
      <c r="AM1110">
        <v>100</v>
      </c>
      <c r="AN1110">
        <v>1300</v>
      </c>
      <c r="AO1110" t="s">
        <v>118</v>
      </c>
      <c r="AP1110">
        <v>-27</v>
      </c>
      <c r="AQ1110">
        <v>87</v>
      </c>
      <c r="AR1110">
        <v>576</v>
      </c>
      <c r="AZ1110">
        <v>1200</v>
      </c>
      <c r="BA1110">
        <v>1</v>
      </c>
      <c r="BB1110" t="str">
        <f t="shared" ref="BB1110:BB1173" si="526">"N711JA  "</f>
        <v xml:space="preserve">N711JA  </v>
      </c>
      <c r="BC1110">
        <v>1</v>
      </c>
      <c r="BE1110">
        <v>0</v>
      </c>
      <c r="BF1110">
        <v>0</v>
      </c>
      <c r="BG1110">
        <v>0</v>
      </c>
      <c r="BH1110">
        <v>1400</v>
      </c>
      <c r="BI1110">
        <v>1</v>
      </c>
      <c r="BJ1110">
        <v>1</v>
      </c>
      <c r="BK1110">
        <v>0</v>
      </c>
      <c r="BL1110">
        <v>0</v>
      </c>
      <c r="BO1110">
        <v>0</v>
      </c>
      <c r="BP1110">
        <v>0</v>
      </c>
      <c r="BW1110" t="str">
        <f t="shared" si="524"/>
        <v>14:42:59.040</v>
      </c>
      <c r="CJ1110">
        <v>1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343</v>
      </c>
      <c r="CR1110">
        <v>1</v>
      </c>
      <c r="CW1110">
        <v>10630241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1</v>
      </c>
      <c r="DF1110">
        <v>0</v>
      </c>
      <c r="DG1110">
        <v>1</v>
      </c>
      <c r="DH1110">
        <v>0</v>
      </c>
      <c r="DI1110">
        <v>0</v>
      </c>
    </row>
    <row r="1111" spans="1:113" x14ac:dyDescent="0.3">
      <c r="A1111" t="str">
        <f t="shared" si="521"/>
        <v>05/12/2020 14:42:41.222</v>
      </c>
      <c r="C1111" t="str">
        <f t="shared" si="525"/>
        <v>FFDFD3C0</v>
      </c>
      <c r="D1111" t="s">
        <v>134</v>
      </c>
      <c r="E1111">
        <v>12</v>
      </c>
      <c r="H1111">
        <v>64</v>
      </c>
      <c r="I1111" t="s">
        <v>135</v>
      </c>
      <c r="J1111" t="s">
        <v>136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22"/>
        <v>14:42:59.039</v>
      </c>
      <c r="T1111" t="str">
        <f t="shared" si="523"/>
        <v>14:42:58.639</v>
      </c>
      <c r="U1111" t="str">
        <f t="shared" si="516"/>
        <v>A9808D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1</v>
      </c>
      <c r="AG1111">
        <v>2</v>
      </c>
      <c r="AH1111">
        <v>0</v>
      </c>
      <c r="AI1111" t="s">
        <v>338</v>
      </c>
      <c r="AJ1111">
        <v>28.277414</v>
      </c>
      <c r="AK1111" t="s">
        <v>228</v>
      </c>
      <c r="AL1111">
        <v>-82.382268999999994</v>
      </c>
      <c r="AM1111">
        <v>100</v>
      </c>
      <c r="AN1111">
        <v>1300</v>
      </c>
      <c r="AO1111" t="s">
        <v>118</v>
      </c>
      <c r="AP1111">
        <v>-27</v>
      </c>
      <c r="AQ1111">
        <v>87</v>
      </c>
      <c r="AR1111">
        <v>576</v>
      </c>
      <c r="AZ1111">
        <v>1200</v>
      </c>
      <c r="BA1111">
        <v>1</v>
      </c>
      <c r="BB1111" t="str">
        <f t="shared" si="526"/>
        <v xml:space="preserve">N711JA  </v>
      </c>
      <c r="BC1111">
        <v>1</v>
      </c>
      <c r="BE1111">
        <v>0</v>
      </c>
      <c r="BF1111">
        <v>0</v>
      </c>
      <c r="BG1111">
        <v>0</v>
      </c>
      <c r="BH1111">
        <v>1400</v>
      </c>
      <c r="BI1111">
        <v>1</v>
      </c>
      <c r="BJ1111">
        <v>1</v>
      </c>
      <c r="BK1111">
        <v>0</v>
      </c>
      <c r="BL1111">
        <v>0</v>
      </c>
      <c r="BO1111">
        <v>0</v>
      </c>
      <c r="BP1111">
        <v>0</v>
      </c>
      <c r="BW1111" t="str">
        <f t="shared" si="524"/>
        <v>14:42:59.040</v>
      </c>
      <c r="CJ1111">
        <v>1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343</v>
      </c>
      <c r="CR1111">
        <v>1</v>
      </c>
      <c r="CW1111">
        <v>10630241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1</v>
      </c>
      <c r="DF1111">
        <v>0</v>
      </c>
      <c r="DG1111">
        <v>1</v>
      </c>
      <c r="DH1111">
        <v>0</v>
      </c>
      <c r="DI1111">
        <v>0</v>
      </c>
    </row>
    <row r="1112" spans="1:113" x14ac:dyDescent="0.3">
      <c r="A1112" t="str">
        <f t="shared" ref="A1112:A1120" si="527">"05/12/2020 14:42:42.323"</f>
        <v>05/12/2020 14:42:42.323</v>
      </c>
      <c r="C1112" t="str">
        <f t="shared" si="525"/>
        <v>FFDFD3C0</v>
      </c>
      <c r="D1112" t="s">
        <v>134</v>
      </c>
      <c r="E1112">
        <v>12</v>
      </c>
      <c r="H1112">
        <v>64</v>
      </c>
      <c r="I1112" t="s">
        <v>135</v>
      </c>
      <c r="J1112" t="s">
        <v>136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ref="S1112:S1120" si="528">"14:43:00.156"</f>
        <v>14:43:00.156</v>
      </c>
      <c r="T1112" t="str">
        <f t="shared" ref="T1112:T1120" si="529">"14:43:00.056"</f>
        <v>14:43:00.056</v>
      </c>
      <c r="U1112" t="str">
        <f t="shared" si="516"/>
        <v>A9808D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339</v>
      </c>
      <c r="AJ1112">
        <v>28.277885999999999</v>
      </c>
      <c r="AK1112" t="s">
        <v>223</v>
      </c>
      <c r="AL1112">
        <v>-82.382462000000004</v>
      </c>
      <c r="AM1112">
        <v>100</v>
      </c>
      <c r="AN1112">
        <v>1300</v>
      </c>
      <c r="AO1112" t="s">
        <v>118</v>
      </c>
      <c r="AP1112">
        <v>-28</v>
      </c>
      <c r="AQ1112">
        <v>86</v>
      </c>
      <c r="AR1112">
        <v>512</v>
      </c>
      <c r="AZ1112">
        <v>1200</v>
      </c>
      <c r="BA1112">
        <v>1</v>
      </c>
      <c r="BB1112" t="str">
        <f t="shared" si="526"/>
        <v xml:space="preserve">N711JA  </v>
      </c>
      <c r="BC1112">
        <v>1</v>
      </c>
      <c r="BE1112">
        <v>0</v>
      </c>
      <c r="BF1112">
        <v>0</v>
      </c>
      <c r="BG1112">
        <v>0</v>
      </c>
      <c r="BH1112">
        <v>1425</v>
      </c>
      <c r="BI1112">
        <v>1</v>
      </c>
      <c r="BJ1112">
        <v>1</v>
      </c>
      <c r="BK1112">
        <v>0</v>
      </c>
      <c r="BL1112">
        <v>0</v>
      </c>
      <c r="BO1112">
        <v>0</v>
      </c>
      <c r="BP1112">
        <v>0</v>
      </c>
      <c r="BW1112" t="str">
        <f t="shared" ref="BW1112:BW1120" si="530">"14:43:00.161"</f>
        <v>14:43:00.161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343</v>
      </c>
      <c r="CR1112">
        <v>2</v>
      </c>
      <c r="CW1112">
        <v>13024947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 t="shared" si="527"/>
        <v>05/12/2020 14:42:42.323</v>
      </c>
      <c r="C1113" t="str">
        <f t="shared" si="525"/>
        <v>FFDFD3C0</v>
      </c>
      <c r="D1113" t="s">
        <v>131</v>
      </c>
      <c r="E1113">
        <v>10</v>
      </c>
      <c r="F1113">
        <v>2010</v>
      </c>
      <c r="G1113" t="s">
        <v>132</v>
      </c>
      <c r="J1113" t="s">
        <v>133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28"/>
        <v>14:43:00.156</v>
      </c>
      <c r="T1113" t="str">
        <f t="shared" si="529"/>
        <v>14:43:00.056</v>
      </c>
      <c r="U1113" t="str">
        <f t="shared" si="516"/>
        <v>A9808D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339</v>
      </c>
      <c r="AJ1113">
        <v>28.277885999999999</v>
      </c>
      <c r="AK1113" t="s">
        <v>223</v>
      </c>
      <c r="AL1113">
        <v>-82.382462000000004</v>
      </c>
      <c r="AM1113">
        <v>100</v>
      </c>
      <c r="AN1113">
        <v>1300</v>
      </c>
      <c r="AO1113" t="s">
        <v>118</v>
      </c>
      <c r="AP1113">
        <v>-28</v>
      </c>
      <c r="AQ1113">
        <v>86</v>
      </c>
      <c r="AR1113">
        <v>512</v>
      </c>
      <c r="AZ1113">
        <v>1200</v>
      </c>
      <c r="BA1113">
        <v>1</v>
      </c>
      <c r="BB1113" t="str">
        <f t="shared" si="526"/>
        <v xml:space="preserve">N711JA  </v>
      </c>
      <c r="BC1113">
        <v>1</v>
      </c>
      <c r="BE1113">
        <v>0</v>
      </c>
      <c r="BF1113">
        <v>0</v>
      </c>
      <c r="BG1113">
        <v>0</v>
      </c>
      <c r="BH1113">
        <v>1425</v>
      </c>
      <c r="BI1113">
        <v>1</v>
      </c>
      <c r="BJ1113">
        <v>1</v>
      </c>
      <c r="BK1113">
        <v>0</v>
      </c>
      <c r="BL1113">
        <v>0</v>
      </c>
      <c r="BO1113">
        <v>0</v>
      </c>
      <c r="BP1113">
        <v>0</v>
      </c>
      <c r="BW1113" t="str">
        <f t="shared" si="530"/>
        <v>14:43:00.161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343</v>
      </c>
      <c r="CR1113">
        <v>2</v>
      </c>
      <c r="CW1113">
        <v>13024947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 t="shared" si="527"/>
        <v>05/12/2020 14:42:42.323</v>
      </c>
      <c r="C1114" t="str">
        <f t="shared" si="525"/>
        <v>FFDFD3C0</v>
      </c>
      <c r="D1114" t="s">
        <v>126</v>
      </c>
      <c r="E1114">
        <v>7</v>
      </c>
      <c r="F1114">
        <v>1007</v>
      </c>
      <c r="G1114" t="s">
        <v>127</v>
      </c>
      <c r="J1114" t="s">
        <v>128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28"/>
        <v>14:43:00.156</v>
      </c>
      <c r="T1114" t="str">
        <f t="shared" si="529"/>
        <v>14:43:00.056</v>
      </c>
      <c r="U1114" t="str">
        <f t="shared" si="516"/>
        <v>A9808D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339</v>
      </c>
      <c r="AJ1114">
        <v>28.277885999999999</v>
      </c>
      <c r="AK1114" t="s">
        <v>223</v>
      </c>
      <c r="AL1114">
        <v>-82.382462000000004</v>
      </c>
      <c r="AM1114">
        <v>100</v>
      </c>
      <c r="AN1114">
        <v>1300</v>
      </c>
      <c r="AO1114" t="s">
        <v>118</v>
      </c>
      <c r="AP1114">
        <v>-28</v>
      </c>
      <c r="AQ1114">
        <v>86</v>
      </c>
      <c r="AR1114">
        <v>512</v>
      </c>
      <c r="AZ1114">
        <v>1200</v>
      </c>
      <c r="BA1114">
        <v>1</v>
      </c>
      <c r="BB1114" t="str">
        <f t="shared" si="526"/>
        <v xml:space="preserve">N711JA  </v>
      </c>
      <c r="BC1114">
        <v>1</v>
      </c>
      <c r="BE1114">
        <v>0</v>
      </c>
      <c r="BF1114">
        <v>0</v>
      </c>
      <c r="BG1114">
        <v>0</v>
      </c>
      <c r="BH1114">
        <v>1425</v>
      </c>
      <c r="BI1114">
        <v>1</v>
      </c>
      <c r="BJ1114">
        <v>1</v>
      </c>
      <c r="BK1114">
        <v>0</v>
      </c>
      <c r="BL1114">
        <v>0</v>
      </c>
      <c r="BO1114">
        <v>0</v>
      </c>
      <c r="BP1114">
        <v>0</v>
      </c>
      <c r="BW1114" t="str">
        <f t="shared" si="530"/>
        <v>14:43:00.161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343</v>
      </c>
      <c r="CR1114">
        <v>2</v>
      </c>
      <c r="CW1114">
        <v>13024947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si="527"/>
        <v>05/12/2020 14:42:42.323</v>
      </c>
      <c r="C1115" t="str">
        <f t="shared" si="525"/>
        <v>FFDFD3C0</v>
      </c>
      <c r="D1115" t="s">
        <v>131</v>
      </c>
      <c r="E1115">
        <v>12</v>
      </c>
      <c r="F1115">
        <v>2012</v>
      </c>
      <c r="G1115" t="s">
        <v>137</v>
      </c>
      <c r="J1115" t="s">
        <v>133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528"/>
        <v>14:43:00.156</v>
      </c>
      <c r="T1115" t="str">
        <f t="shared" si="529"/>
        <v>14:43:00.056</v>
      </c>
      <c r="U1115" t="str">
        <f t="shared" si="516"/>
        <v>A9808D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339</v>
      </c>
      <c r="AJ1115">
        <v>28.277885999999999</v>
      </c>
      <c r="AK1115" t="s">
        <v>223</v>
      </c>
      <c r="AL1115">
        <v>-82.382462000000004</v>
      </c>
      <c r="AM1115">
        <v>100</v>
      </c>
      <c r="AN1115">
        <v>1300</v>
      </c>
      <c r="AO1115" t="s">
        <v>118</v>
      </c>
      <c r="AP1115">
        <v>-28</v>
      </c>
      <c r="AQ1115">
        <v>86</v>
      </c>
      <c r="AR1115">
        <v>512</v>
      </c>
      <c r="AZ1115">
        <v>1200</v>
      </c>
      <c r="BA1115">
        <v>1</v>
      </c>
      <c r="BB1115" t="str">
        <f t="shared" si="526"/>
        <v xml:space="preserve">N711JA  </v>
      </c>
      <c r="BC1115">
        <v>1</v>
      </c>
      <c r="BE1115">
        <v>0</v>
      </c>
      <c r="BF1115">
        <v>0</v>
      </c>
      <c r="BG1115">
        <v>0</v>
      </c>
      <c r="BH1115">
        <v>1425</v>
      </c>
      <c r="BI1115">
        <v>1</v>
      </c>
      <c r="BJ1115">
        <v>1</v>
      </c>
      <c r="BK1115">
        <v>0</v>
      </c>
      <c r="BL1115">
        <v>0</v>
      </c>
      <c r="BO1115">
        <v>0</v>
      </c>
      <c r="BP1115">
        <v>0</v>
      </c>
      <c r="BW1115" t="str">
        <f t="shared" si="530"/>
        <v>14:43:00.161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343</v>
      </c>
      <c r="CR1115">
        <v>2</v>
      </c>
      <c r="CW1115">
        <v>13024947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527"/>
        <v>05/12/2020 14:42:42.323</v>
      </c>
      <c r="C1116" t="str">
        <f t="shared" si="525"/>
        <v>FFDFD3C0</v>
      </c>
      <c r="D1116" t="s">
        <v>131</v>
      </c>
      <c r="E1116">
        <v>18</v>
      </c>
      <c r="F1116">
        <v>2018</v>
      </c>
      <c r="G1116" t="s">
        <v>161</v>
      </c>
      <c r="J1116" t="s">
        <v>133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528"/>
        <v>14:43:00.156</v>
      </c>
      <c r="T1116" t="str">
        <f t="shared" si="529"/>
        <v>14:43:00.056</v>
      </c>
      <c r="U1116" t="str">
        <f t="shared" si="516"/>
        <v>A9808D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339</v>
      </c>
      <c r="AJ1116">
        <v>28.277885999999999</v>
      </c>
      <c r="AK1116" t="s">
        <v>223</v>
      </c>
      <c r="AL1116">
        <v>-82.382462000000004</v>
      </c>
      <c r="AM1116">
        <v>100</v>
      </c>
      <c r="AN1116">
        <v>1300</v>
      </c>
      <c r="AO1116" t="s">
        <v>118</v>
      </c>
      <c r="AP1116">
        <v>-28</v>
      </c>
      <c r="AQ1116">
        <v>86</v>
      </c>
      <c r="AR1116">
        <v>512</v>
      </c>
      <c r="AZ1116">
        <v>1200</v>
      </c>
      <c r="BA1116">
        <v>1</v>
      </c>
      <c r="BB1116" t="str">
        <f t="shared" si="526"/>
        <v xml:space="preserve">N711JA  </v>
      </c>
      <c r="BC1116">
        <v>1</v>
      </c>
      <c r="BE1116">
        <v>0</v>
      </c>
      <c r="BF1116">
        <v>0</v>
      </c>
      <c r="BG1116">
        <v>0</v>
      </c>
      <c r="BH1116">
        <v>1425</v>
      </c>
      <c r="BI1116">
        <v>1</v>
      </c>
      <c r="BJ1116">
        <v>1</v>
      </c>
      <c r="BK1116">
        <v>0</v>
      </c>
      <c r="BL1116">
        <v>0</v>
      </c>
      <c r="BO1116">
        <v>0</v>
      </c>
      <c r="BP1116">
        <v>0</v>
      </c>
      <c r="BW1116" t="str">
        <f t="shared" si="530"/>
        <v>14:43:00.161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343</v>
      </c>
      <c r="CR1116">
        <v>2</v>
      </c>
      <c r="CW1116">
        <v>13024947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527"/>
        <v>05/12/2020 14:42:42.323</v>
      </c>
      <c r="C1117" t="str">
        <f t="shared" si="525"/>
        <v>FFDFD3C0</v>
      </c>
      <c r="D1117" t="s">
        <v>126</v>
      </c>
      <c r="E1117">
        <v>6</v>
      </c>
      <c r="F1117">
        <v>1006</v>
      </c>
      <c r="G1117" t="s">
        <v>114</v>
      </c>
      <c r="J1117" t="s">
        <v>128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28"/>
        <v>14:43:00.156</v>
      </c>
      <c r="T1117" t="str">
        <f t="shared" si="529"/>
        <v>14:43:00.056</v>
      </c>
      <c r="U1117" t="str">
        <f t="shared" si="516"/>
        <v>A9808D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339</v>
      </c>
      <c r="AJ1117">
        <v>28.277885999999999</v>
      </c>
      <c r="AK1117" t="s">
        <v>223</v>
      </c>
      <c r="AL1117">
        <v>-82.382462000000004</v>
      </c>
      <c r="AM1117">
        <v>100</v>
      </c>
      <c r="AN1117">
        <v>1300</v>
      </c>
      <c r="AO1117" t="s">
        <v>118</v>
      </c>
      <c r="AP1117">
        <v>-28</v>
      </c>
      <c r="AQ1117">
        <v>86</v>
      </c>
      <c r="AR1117">
        <v>512</v>
      </c>
      <c r="AZ1117">
        <v>1200</v>
      </c>
      <c r="BA1117">
        <v>1</v>
      </c>
      <c r="BB1117" t="str">
        <f t="shared" si="526"/>
        <v xml:space="preserve">N711JA  </v>
      </c>
      <c r="BC1117">
        <v>1</v>
      </c>
      <c r="BE1117">
        <v>0</v>
      </c>
      <c r="BF1117">
        <v>0</v>
      </c>
      <c r="BG1117">
        <v>0</v>
      </c>
      <c r="BH1117">
        <v>1425</v>
      </c>
      <c r="BI1117">
        <v>1</v>
      </c>
      <c r="BJ1117">
        <v>1</v>
      </c>
      <c r="BK1117">
        <v>0</v>
      </c>
      <c r="BL1117">
        <v>0</v>
      </c>
      <c r="BO1117">
        <v>0</v>
      </c>
      <c r="BP1117">
        <v>0</v>
      </c>
      <c r="BW1117" t="str">
        <f t="shared" si="530"/>
        <v>14:43:00.161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343</v>
      </c>
      <c r="CR1117">
        <v>2</v>
      </c>
      <c r="CW1117">
        <v>13024947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si="527"/>
        <v>05/12/2020 14:42:42.323</v>
      </c>
      <c r="C1118" t="str">
        <f t="shared" si="525"/>
        <v>FFDFD3C0</v>
      </c>
      <c r="D1118" t="s">
        <v>113</v>
      </c>
      <c r="E1118">
        <v>3</v>
      </c>
      <c r="H1118">
        <v>164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28"/>
        <v>14:43:00.156</v>
      </c>
      <c r="T1118" t="str">
        <f t="shared" si="529"/>
        <v>14:43:00.056</v>
      </c>
      <c r="U1118" t="str">
        <f t="shared" si="516"/>
        <v>A9808D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339</v>
      </c>
      <c r="AJ1118">
        <v>28.277885999999999</v>
      </c>
      <c r="AK1118" t="s">
        <v>223</v>
      </c>
      <c r="AL1118">
        <v>-82.382462000000004</v>
      </c>
      <c r="AM1118">
        <v>100</v>
      </c>
      <c r="AN1118">
        <v>1300</v>
      </c>
      <c r="AO1118" t="s">
        <v>118</v>
      </c>
      <c r="AP1118">
        <v>-28</v>
      </c>
      <c r="AQ1118">
        <v>86</v>
      </c>
      <c r="AR1118">
        <v>512</v>
      </c>
      <c r="AZ1118">
        <v>1200</v>
      </c>
      <c r="BA1118">
        <v>1</v>
      </c>
      <c r="BB1118" t="str">
        <f t="shared" si="526"/>
        <v xml:space="preserve">N711JA  </v>
      </c>
      <c r="BC1118">
        <v>1</v>
      </c>
      <c r="BE1118">
        <v>0</v>
      </c>
      <c r="BF1118">
        <v>0</v>
      </c>
      <c r="BG1118">
        <v>0</v>
      </c>
      <c r="BH1118">
        <v>1425</v>
      </c>
      <c r="BI1118">
        <v>1</v>
      </c>
      <c r="BJ1118">
        <v>1</v>
      </c>
      <c r="BK1118">
        <v>0</v>
      </c>
      <c r="BL1118">
        <v>0</v>
      </c>
      <c r="BO1118">
        <v>0</v>
      </c>
      <c r="BP1118">
        <v>0</v>
      </c>
      <c r="BW1118" t="str">
        <f t="shared" si="530"/>
        <v>14:43:00.161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343</v>
      </c>
      <c r="CR1118">
        <v>2</v>
      </c>
      <c r="CW1118">
        <v>13024947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527"/>
        <v>05/12/2020 14:42:42.323</v>
      </c>
      <c r="C1119" t="str">
        <f t="shared" si="525"/>
        <v>FFDFD3C0</v>
      </c>
      <c r="D1119" t="s">
        <v>138</v>
      </c>
      <c r="E1119">
        <v>2</v>
      </c>
      <c r="H1119">
        <v>8</v>
      </c>
      <c r="I1119" t="s">
        <v>139</v>
      </c>
      <c r="J1119" t="s">
        <v>136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28"/>
        <v>14:43:00.156</v>
      </c>
      <c r="T1119" t="str">
        <f t="shared" si="529"/>
        <v>14:43:00.056</v>
      </c>
      <c r="U1119" t="str">
        <f t="shared" si="516"/>
        <v>A9808D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339</v>
      </c>
      <c r="AJ1119">
        <v>28.277885999999999</v>
      </c>
      <c r="AK1119" t="s">
        <v>223</v>
      </c>
      <c r="AL1119">
        <v>-82.382462000000004</v>
      </c>
      <c r="AM1119">
        <v>100</v>
      </c>
      <c r="AN1119">
        <v>1300</v>
      </c>
      <c r="AO1119" t="s">
        <v>118</v>
      </c>
      <c r="AP1119">
        <v>-28</v>
      </c>
      <c r="AQ1119">
        <v>86</v>
      </c>
      <c r="AR1119">
        <v>512</v>
      </c>
      <c r="AZ1119">
        <v>1200</v>
      </c>
      <c r="BA1119">
        <v>1</v>
      </c>
      <c r="BB1119" t="str">
        <f t="shared" si="526"/>
        <v xml:space="preserve">N711JA  </v>
      </c>
      <c r="BC1119">
        <v>1</v>
      </c>
      <c r="BE1119">
        <v>0</v>
      </c>
      <c r="BF1119">
        <v>0</v>
      </c>
      <c r="BG1119">
        <v>0</v>
      </c>
      <c r="BH1119">
        <v>1425</v>
      </c>
      <c r="BI1119">
        <v>1</v>
      </c>
      <c r="BJ1119">
        <v>1</v>
      </c>
      <c r="BK1119">
        <v>0</v>
      </c>
      <c r="BL1119">
        <v>0</v>
      </c>
      <c r="BO1119">
        <v>0</v>
      </c>
      <c r="BP1119">
        <v>0</v>
      </c>
      <c r="BW1119" t="str">
        <f t="shared" si="530"/>
        <v>14:43:00.161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343</v>
      </c>
      <c r="CR1119">
        <v>2</v>
      </c>
      <c r="CW1119">
        <v>13024947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527"/>
        <v>05/12/2020 14:42:42.323</v>
      </c>
      <c r="C1120" t="str">
        <f t="shared" si="525"/>
        <v>FFDFD3C0</v>
      </c>
      <c r="D1120" t="s">
        <v>138</v>
      </c>
      <c r="E1120">
        <v>3</v>
      </c>
      <c r="H1120">
        <v>9</v>
      </c>
      <c r="I1120" t="s">
        <v>140</v>
      </c>
      <c r="J1120" t="s">
        <v>136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28"/>
        <v>14:43:00.156</v>
      </c>
      <c r="T1120" t="str">
        <f t="shared" si="529"/>
        <v>14:43:00.056</v>
      </c>
      <c r="U1120" t="str">
        <f t="shared" si="516"/>
        <v>A9808D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339</v>
      </c>
      <c r="AJ1120">
        <v>28.277885999999999</v>
      </c>
      <c r="AK1120" t="s">
        <v>223</v>
      </c>
      <c r="AL1120">
        <v>-82.382462000000004</v>
      </c>
      <c r="AM1120">
        <v>100</v>
      </c>
      <c r="AN1120">
        <v>1300</v>
      </c>
      <c r="AO1120" t="s">
        <v>118</v>
      </c>
      <c r="AP1120">
        <v>-28</v>
      </c>
      <c r="AQ1120">
        <v>86</v>
      </c>
      <c r="AR1120">
        <v>512</v>
      </c>
      <c r="AZ1120">
        <v>1200</v>
      </c>
      <c r="BA1120">
        <v>1</v>
      </c>
      <c r="BB1120" t="str">
        <f t="shared" si="526"/>
        <v xml:space="preserve">N711JA  </v>
      </c>
      <c r="BC1120">
        <v>1</v>
      </c>
      <c r="BE1120">
        <v>0</v>
      </c>
      <c r="BF1120">
        <v>0</v>
      </c>
      <c r="BG1120">
        <v>0</v>
      </c>
      <c r="BH1120">
        <v>1425</v>
      </c>
      <c r="BI1120">
        <v>1</v>
      </c>
      <c r="BJ1120">
        <v>1</v>
      </c>
      <c r="BK1120">
        <v>0</v>
      </c>
      <c r="BL1120">
        <v>0</v>
      </c>
      <c r="BO1120">
        <v>0</v>
      </c>
      <c r="BP1120">
        <v>0</v>
      </c>
      <c r="BW1120" t="str">
        <f t="shared" si="530"/>
        <v>14:43:00.161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343</v>
      </c>
      <c r="CR1120">
        <v>2</v>
      </c>
      <c r="CW1120">
        <v>13024947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 t="shared" ref="A1121:A1129" si="531">"05/12/2020 14:42:43.383"</f>
        <v>05/12/2020 14:42:43.383</v>
      </c>
      <c r="C1121" t="str">
        <f t="shared" si="525"/>
        <v>FFDFD3C0</v>
      </c>
      <c r="D1121" t="s">
        <v>126</v>
      </c>
      <c r="E1121">
        <v>7</v>
      </c>
      <c r="F1121">
        <v>1007</v>
      </c>
      <c r="G1121" t="s">
        <v>127</v>
      </c>
      <c r="J1121" t="s">
        <v>128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ref="S1121:S1129" si="532">"14:43:01.188"</f>
        <v>14:43:01.188</v>
      </c>
      <c r="T1121" t="str">
        <f t="shared" ref="T1121:T1129" si="533">"14:43:01.088"</f>
        <v>14:43:01.088</v>
      </c>
      <c r="U1121" t="str">
        <f t="shared" si="516"/>
        <v>A9808D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1</v>
      </c>
      <c r="AG1121">
        <v>2</v>
      </c>
      <c r="AH1121">
        <v>0</v>
      </c>
      <c r="AI1121" t="s">
        <v>340</v>
      </c>
      <c r="AJ1121">
        <v>28.278293999999999</v>
      </c>
      <c r="AK1121" t="s">
        <v>341</v>
      </c>
      <c r="AL1121">
        <v>-82.382591000000005</v>
      </c>
      <c r="AM1121">
        <v>100</v>
      </c>
      <c r="AN1121">
        <v>1300</v>
      </c>
      <c r="AO1121" t="s">
        <v>118</v>
      </c>
      <c r="AP1121">
        <v>-29</v>
      </c>
      <c r="AQ1121">
        <v>86</v>
      </c>
      <c r="AR1121">
        <v>576</v>
      </c>
      <c r="AZ1121">
        <v>1200</v>
      </c>
      <c r="BA1121">
        <v>1</v>
      </c>
      <c r="BB1121" t="str">
        <f t="shared" si="526"/>
        <v xml:space="preserve">N711JA  </v>
      </c>
      <c r="BC1121">
        <v>1</v>
      </c>
      <c r="BE1121">
        <v>0</v>
      </c>
      <c r="BF1121">
        <v>0</v>
      </c>
      <c r="BG1121">
        <v>0</v>
      </c>
      <c r="BH1121">
        <v>1425</v>
      </c>
      <c r="BI1121">
        <v>1</v>
      </c>
      <c r="BJ1121">
        <v>1</v>
      </c>
      <c r="BK1121">
        <v>0</v>
      </c>
      <c r="BL1121">
        <v>0</v>
      </c>
      <c r="BO1121">
        <v>0</v>
      </c>
      <c r="BP1121">
        <v>0</v>
      </c>
      <c r="BW1121" t="str">
        <f t="shared" ref="BW1121:BW1129" si="534">"14:43:01.189"</f>
        <v>14:43:01.189</v>
      </c>
      <c r="CJ1121">
        <v>1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343</v>
      </c>
      <c r="CR1121">
        <v>2</v>
      </c>
      <c r="CW1121">
        <v>13025747</v>
      </c>
      <c r="CY1121">
        <v>1</v>
      </c>
      <c r="CZ1121">
        <v>0</v>
      </c>
      <c r="DA1121">
        <v>0</v>
      </c>
      <c r="DB1121">
        <v>0</v>
      </c>
      <c r="DC1121">
        <v>0</v>
      </c>
      <c r="DD1121">
        <v>1</v>
      </c>
      <c r="DE1121">
        <v>1</v>
      </c>
      <c r="DF1121">
        <v>0</v>
      </c>
      <c r="DG1121">
        <v>1</v>
      </c>
      <c r="DH1121">
        <v>0</v>
      </c>
      <c r="DI1121">
        <v>0</v>
      </c>
    </row>
    <row r="1122" spans="1:113" x14ac:dyDescent="0.3">
      <c r="A1122" t="str">
        <f t="shared" si="531"/>
        <v>05/12/2020 14:42:43.383</v>
      </c>
      <c r="C1122" t="str">
        <f t="shared" si="525"/>
        <v>FFDFD3C0</v>
      </c>
      <c r="D1122" t="s">
        <v>131</v>
      </c>
      <c r="E1122">
        <v>10</v>
      </c>
      <c r="F1122">
        <v>2010</v>
      </c>
      <c r="G1122" t="s">
        <v>132</v>
      </c>
      <c r="J1122" t="s">
        <v>133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32"/>
        <v>14:43:01.188</v>
      </c>
      <c r="T1122" t="str">
        <f t="shared" si="533"/>
        <v>14:43:01.088</v>
      </c>
      <c r="U1122" t="str">
        <f t="shared" si="516"/>
        <v>A9808D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1</v>
      </c>
      <c r="AG1122">
        <v>2</v>
      </c>
      <c r="AH1122">
        <v>0</v>
      </c>
      <c r="AI1122" t="s">
        <v>340</v>
      </c>
      <c r="AJ1122">
        <v>28.278293999999999</v>
      </c>
      <c r="AK1122" t="s">
        <v>341</v>
      </c>
      <c r="AL1122">
        <v>-82.382591000000005</v>
      </c>
      <c r="AM1122">
        <v>100</v>
      </c>
      <c r="AN1122">
        <v>1300</v>
      </c>
      <c r="AO1122" t="s">
        <v>118</v>
      </c>
      <c r="AP1122">
        <v>-29</v>
      </c>
      <c r="AQ1122">
        <v>86</v>
      </c>
      <c r="AR1122">
        <v>576</v>
      </c>
      <c r="AZ1122">
        <v>1200</v>
      </c>
      <c r="BA1122">
        <v>1</v>
      </c>
      <c r="BB1122" t="str">
        <f t="shared" si="526"/>
        <v xml:space="preserve">N711JA  </v>
      </c>
      <c r="BC1122">
        <v>1</v>
      </c>
      <c r="BE1122">
        <v>0</v>
      </c>
      <c r="BF1122">
        <v>0</v>
      </c>
      <c r="BG1122">
        <v>0</v>
      </c>
      <c r="BH1122">
        <v>1425</v>
      </c>
      <c r="BI1122">
        <v>1</v>
      </c>
      <c r="BJ1122">
        <v>1</v>
      </c>
      <c r="BK1122">
        <v>0</v>
      </c>
      <c r="BL1122">
        <v>0</v>
      </c>
      <c r="BO1122">
        <v>0</v>
      </c>
      <c r="BP1122">
        <v>0</v>
      </c>
      <c r="BW1122" t="str">
        <f t="shared" si="534"/>
        <v>14:43:01.189</v>
      </c>
      <c r="CJ1122">
        <v>1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343</v>
      </c>
      <c r="CR1122">
        <v>2</v>
      </c>
      <c r="CW1122">
        <v>13025747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1</v>
      </c>
      <c r="DF1122">
        <v>0</v>
      </c>
      <c r="DG1122">
        <v>1</v>
      </c>
      <c r="DH1122">
        <v>0</v>
      </c>
      <c r="DI1122">
        <v>0</v>
      </c>
    </row>
    <row r="1123" spans="1:113" x14ac:dyDescent="0.3">
      <c r="A1123" t="str">
        <f t="shared" si="531"/>
        <v>05/12/2020 14:42:43.383</v>
      </c>
      <c r="C1123" t="str">
        <f t="shared" si="525"/>
        <v>FFDFD3C0</v>
      </c>
      <c r="D1123" t="s">
        <v>131</v>
      </c>
      <c r="E1123">
        <v>12</v>
      </c>
      <c r="F1123">
        <v>2012</v>
      </c>
      <c r="G1123" t="s">
        <v>137</v>
      </c>
      <c r="J1123" t="s">
        <v>133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532"/>
        <v>14:43:01.188</v>
      </c>
      <c r="T1123" t="str">
        <f t="shared" si="533"/>
        <v>14:43:01.088</v>
      </c>
      <c r="U1123" t="str">
        <f t="shared" si="516"/>
        <v>A9808D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1</v>
      </c>
      <c r="AG1123">
        <v>2</v>
      </c>
      <c r="AH1123">
        <v>0</v>
      </c>
      <c r="AI1123" t="s">
        <v>340</v>
      </c>
      <c r="AJ1123">
        <v>28.278293999999999</v>
      </c>
      <c r="AK1123" t="s">
        <v>341</v>
      </c>
      <c r="AL1123">
        <v>-82.382591000000005</v>
      </c>
      <c r="AM1123">
        <v>100</v>
      </c>
      <c r="AN1123">
        <v>1300</v>
      </c>
      <c r="AO1123" t="s">
        <v>118</v>
      </c>
      <c r="AP1123">
        <v>-29</v>
      </c>
      <c r="AQ1123">
        <v>86</v>
      </c>
      <c r="AR1123">
        <v>576</v>
      </c>
      <c r="AZ1123">
        <v>1200</v>
      </c>
      <c r="BA1123">
        <v>1</v>
      </c>
      <c r="BB1123" t="str">
        <f t="shared" si="526"/>
        <v xml:space="preserve">N711JA  </v>
      </c>
      <c r="BC1123">
        <v>1</v>
      </c>
      <c r="BE1123">
        <v>0</v>
      </c>
      <c r="BF1123">
        <v>0</v>
      </c>
      <c r="BG1123">
        <v>0</v>
      </c>
      <c r="BH1123">
        <v>1425</v>
      </c>
      <c r="BI1123">
        <v>1</v>
      </c>
      <c r="BJ1123">
        <v>1</v>
      </c>
      <c r="BK1123">
        <v>0</v>
      </c>
      <c r="BL1123">
        <v>0</v>
      </c>
      <c r="BO1123">
        <v>0</v>
      </c>
      <c r="BP1123">
        <v>0</v>
      </c>
      <c r="BW1123" t="str">
        <f t="shared" si="534"/>
        <v>14:43:01.189</v>
      </c>
      <c r="CJ1123">
        <v>1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343</v>
      </c>
      <c r="CR1123">
        <v>2</v>
      </c>
      <c r="CW1123">
        <v>13025747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1</v>
      </c>
      <c r="DF1123">
        <v>0</v>
      </c>
      <c r="DG1123">
        <v>1</v>
      </c>
      <c r="DH1123">
        <v>0</v>
      </c>
      <c r="DI1123">
        <v>0</v>
      </c>
    </row>
    <row r="1124" spans="1:113" x14ac:dyDescent="0.3">
      <c r="A1124" t="str">
        <f t="shared" si="531"/>
        <v>05/12/2020 14:42:43.383</v>
      </c>
      <c r="C1124" t="str">
        <f t="shared" si="525"/>
        <v>FFDFD3C0</v>
      </c>
      <c r="D1124" t="s">
        <v>131</v>
      </c>
      <c r="E1124">
        <v>18</v>
      </c>
      <c r="F1124">
        <v>2018</v>
      </c>
      <c r="G1124" t="s">
        <v>161</v>
      </c>
      <c r="J1124" t="s">
        <v>133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532"/>
        <v>14:43:01.188</v>
      </c>
      <c r="T1124" t="str">
        <f t="shared" si="533"/>
        <v>14:43:01.088</v>
      </c>
      <c r="U1124" t="str">
        <f t="shared" si="516"/>
        <v>A9808D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1</v>
      </c>
      <c r="AG1124">
        <v>2</v>
      </c>
      <c r="AH1124">
        <v>0</v>
      </c>
      <c r="AI1124" t="s">
        <v>340</v>
      </c>
      <c r="AJ1124">
        <v>28.278293999999999</v>
      </c>
      <c r="AK1124" t="s">
        <v>341</v>
      </c>
      <c r="AL1124">
        <v>-82.382591000000005</v>
      </c>
      <c r="AM1124">
        <v>100</v>
      </c>
      <c r="AN1124">
        <v>1300</v>
      </c>
      <c r="AO1124" t="s">
        <v>118</v>
      </c>
      <c r="AP1124">
        <v>-29</v>
      </c>
      <c r="AQ1124">
        <v>86</v>
      </c>
      <c r="AR1124">
        <v>576</v>
      </c>
      <c r="AZ1124">
        <v>1200</v>
      </c>
      <c r="BA1124">
        <v>1</v>
      </c>
      <c r="BB1124" t="str">
        <f t="shared" si="526"/>
        <v xml:space="preserve">N711JA  </v>
      </c>
      <c r="BC1124">
        <v>1</v>
      </c>
      <c r="BE1124">
        <v>0</v>
      </c>
      <c r="BF1124">
        <v>0</v>
      </c>
      <c r="BG1124">
        <v>0</v>
      </c>
      <c r="BH1124">
        <v>1425</v>
      </c>
      <c r="BI1124">
        <v>1</v>
      </c>
      <c r="BJ1124">
        <v>1</v>
      </c>
      <c r="BK1124">
        <v>0</v>
      </c>
      <c r="BL1124">
        <v>0</v>
      </c>
      <c r="BO1124">
        <v>0</v>
      </c>
      <c r="BP1124">
        <v>0</v>
      </c>
      <c r="BW1124" t="str">
        <f t="shared" si="534"/>
        <v>14:43:01.189</v>
      </c>
      <c r="CJ1124">
        <v>1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343</v>
      </c>
      <c r="CR1124">
        <v>2</v>
      </c>
      <c r="CW1124">
        <v>13025747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1</v>
      </c>
      <c r="DF1124">
        <v>0</v>
      </c>
      <c r="DG1124">
        <v>1</v>
      </c>
      <c r="DH1124">
        <v>0</v>
      </c>
      <c r="DI1124">
        <v>0</v>
      </c>
    </row>
    <row r="1125" spans="1:113" x14ac:dyDescent="0.3">
      <c r="A1125" t="str">
        <f t="shared" si="531"/>
        <v>05/12/2020 14:42:43.383</v>
      </c>
      <c r="C1125" t="str">
        <f t="shared" si="525"/>
        <v>FFDFD3C0</v>
      </c>
      <c r="D1125" t="s">
        <v>134</v>
      </c>
      <c r="E1125">
        <v>12</v>
      </c>
      <c r="H1125">
        <v>64</v>
      </c>
      <c r="I1125" t="s">
        <v>135</v>
      </c>
      <c r="J1125" t="s">
        <v>136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532"/>
        <v>14:43:01.188</v>
      </c>
      <c r="T1125" t="str">
        <f t="shared" si="533"/>
        <v>14:43:01.088</v>
      </c>
      <c r="U1125" t="str">
        <f t="shared" si="516"/>
        <v>A9808D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1</v>
      </c>
      <c r="AG1125">
        <v>2</v>
      </c>
      <c r="AH1125">
        <v>0</v>
      </c>
      <c r="AI1125" t="s">
        <v>340</v>
      </c>
      <c r="AJ1125">
        <v>28.278293999999999</v>
      </c>
      <c r="AK1125" t="s">
        <v>341</v>
      </c>
      <c r="AL1125">
        <v>-82.382591000000005</v>
      </c>
      <c r="AM1125">
        <v>100</v>
      </c>
      <c r="AN1125">
        <v>1300</v>
      </c>
      <c r="AO1125" t="s">
        <v>118</v>
      </c>
      <c r="AP1125">
        <v>-29</v>
      </c>
      <c r="AQ1125">
        <v>86</v>
      </c>
      <c r="AR1125">
        <v>576</v>
      </c>
      <c r="AZ1125">
        <v>1200</v>
      </c>
      <c r="BA1125">
        <v>1</v>
      </c>
      <c r="BB1125" t="str">
        <f t="shared" si="526"/>
        <v xml:space="preserve">N711JA  </v>
      </c>
      <c r="BC1125">
        <v>1</v>
      </c>
      <c r="BE1125">
        <v>0</v>
      </c>
      <c r="BF1125">
        <v>0</v>
      </c>
      <c r="BG1125">
        <v>0</v>
      </c>
      <c r="BH1125">
        <v>1425</v>
      </c>
      <c r="BI1125">
        <v>1</v>
      </c>
      <c r="BJ1125">
        <v>1</v>
      </c>
      <c r="BK1125">
        <v>0</v>
      </c>
      <c r="BL1125">
        <v>0</v>
      </c>
      <c r="BO1125">
        <v>0</v>
      </c>
      <c r="BP1125">
        <v>0</v>
      </c>
      <c r="BW1125" t="str">
        <f t="shared" si="534"/>
        <v>14:43:01.189</v>
      </c>
      <c r="CJ1125">
        <v>1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343</v>
      </c>
      <c r="CR1125">
        <v>2</v>
      </c>
      <c r="CW1125">
        <v>13025747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1</v>
      </c>
      <c r="DF1125">
        <v>0</v>
      </c>
      <c r="DG1125">
        <v>1</v>
      </c>
      <c r="DH1125">
        <v>0</v>
      </c>
      <c r="DI1125">
        <v>0</v>
      </c>
    </row>
    <row r="1126" spans="1:113" x14ac:dyDescent="0.3">
      <c r="A1126" t="str">
        <f t="shared" si="531"/>
        <v>05/12/2020 14:42:43.383</v>
      </c>
      <c r="C1126" t="str">
        <f t="shared" si="525"/>
        <v>FFDFD3C0</v>
      </c>
      <c r="D1126" t="s">
        <v>126</v>
      </c>
      <c r="E1126">
        <v>6</v>
      </c>
      <c r="F1126">
        <v>1006</v>
      </c>
      <c r="G1126" t="s">
        <v>114</v>
      </c>
      <c r="J1126" t="s">
        <v>128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32"/>
        <v>14:43:01.188</v>
      </c>
      <c r="T1126" t="str">
        <f t="shared" si="533"/>
        <v>14:43:01.088</v>
      </c>
      <c r="U1126" t="str">
        <f t="shared" si="516"/>
        <v>A9808D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1</v>
      </c>
      <c r="AG1126">
        <v>2</v>
      </c>
      <c r="AH1126">
        <v>0</v>
      </c>
      <c r="AI1126" t="s">
        <v>340</v>
      </c>
      <c r="AJ1126">
        <v>28.278293999999999</v>
      </c>
      <c r="AK1126" t="s">
        <v>341</v>
      </c>
      <c r="AL1126">
        <v>-82.382591000000005</v>
      </c>
      <c r="AM1126">
        <v>100</v>
      </c>
      <c r="AN1126">
        <v>1300</v>
      </c>
      <c r="AO1126" t="s">
        <v>118</v>
      </c>
      <c r="AP1126">
        <v>-29</v>
      </c>
      <c r="AQ1126">
        <v>86</v>
      </c>
      <c r="AR1126">
        <v>576</v>
      </c>
      <c r="AZ1126">
        <v>1200</v>
      </c>
      <c r="BA1126">
        <v>1</v>
      </c>
      <c r="BB1126" t="str">
        <f t="shared" si="526"/>
        <v xml:space="preserve">N711JA  </v>
      </c>
      <c r="BC1126">
        <v>1</v>
      </c>
      <c r="BE1126">
        <v>0</v>
      </c>
      <c r="BF1126">
        <v>0</v>
      </c>
      <c r="BG1126">
        <v>0</v>
      </c>
      <c r="BH1126">
        <v>1425</v>
      </c>
      <c r="BI1126">
        <v>1</v>
      </c>
      <c r="BJ1126">
        <v>1</v>
      </c>
      <c r="BK1126">
        <v>0</v>
      </c>
      <c r="BL1126">
        <v>0</v>
      </c>
      <c r="BO1126">
        <v>0</v>
      </c>
      <c r="BP1126">
        <v>0</v>
      </c>
      <c r="BW1126" t="str">
        <f t="shared" si="534"/>
        <v>14:43:01.189</v>
      </c>
      <c r="CJ1126">
        <v>1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343</v>
      </c>
      <c r="CR1126">
        <v>2</v>
      </c>
      <c r="CW1126">
        <v>13025747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1</v>
      </c>
      <c r="DF1126">
        <v>0</v>
      </c>
      <c r="DG1126">
        <v>1</v>
      </c>
      <c r="DH1126">
        <v>0</v>
      </c>
      <c r="DI1126">
        <v>0</v>
      </c>
    </row>
    <row r="1127" spans="1:113" x14ac:dyDescent="0.3">
      <c r="A1127" t="str">
        <f t="shared" si="531"/>
        <v>05/12/2020 14:42:43.383</v>
      </c>
      <c r="C1127" t="str">
        <f t="shared" si="525"/>
        <v>FFDFD3C0</v>
      </c>
      <c r="D1127" t="s">
        <v>113</v>
      </c>
      <c r="E1127">
        <v>3</v>
      </c>
      <c r="H1127">
        <v>164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32"/>
        <v>14:43:01.188</v>
      </c>
      <c r="T1127" t="str">
        <f t="shared" si="533"/>
        <v>14:43:01.088</v>
      </c>
      <c r="U1127" t="str">
        <f t="shared" si="516"/>
        <v>A9808D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1</v>
      </c>
      <c r="AG1127">
        <v>2</v>
      </c>
      <c r="AH1127">
        <v>0</v>
      </c>
      <c r="AI1127" t="s">
        <v>340</v>
      </c>
      <c r="AJ1127">
        <v>28.278293999999999</v>
      </c>
      <c r="AK1127" t="s">
        <v>341</v>
      </c>
      <c r="AL1127">
        <v>-82.382591000000005</v>
      </c>
      <c r="AM1127">
        <v>100</v>
      </c>
      <c r="AN1127">
        <v>1300</v>
      </c>
      <c r="AO1127" t="s">
        <v>118</v>
      </c>
      <c r="AP1127">
        <v>-29</v>
      </c>
      <c r="AQ1127">
        <v>86</v>
      </c>
      <c r="AR1127">
        <v>576</v>
      </c>
      <c r="AZ1127">
        <v>1200</v>
      </c>
      <c r="BA1127">
        <v>1</v>
      </c>
      <c r="BB1127" t="str">
        <f t="shared" si="526"/>
        <v xml:space="preserve">N711JA  </v>
      </c>
      <c r="BC1127">
        <v>1</v>
      </c>
      <c r="BE1127">
        <v>0</v>
      </c>
      <c r="BF1127">
        <v>0</v>
      </c>
      <c r="BG1127">
        <v>0</v>
      </c>
      <c r="BH1127">
        <v>1425</v>
      </c>
      <c r="BI1127">
        <v>1</v>
      </c>
      <c r="BJ1127">
        <v>1</v>
      </c>
      <c r="BK1127">
        <v>0</v>
      </c>
      <c r="BL1127">
        <v>0</v>
      </c>
      <c r="BO1127">
        <v>0</v>
      </c>
      <c r="BP1127">
        <v>0</v>
      </c>
      <c r="BW1127" t="str">
        <f t="shared" si="534"/>
        <v>14:43:01.189</v>
      </c>
      <c r="CJ1127">
        <v>1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343</v>
      </c>
      <c r="CR1127">
        <v>2</v>
      </c>
      <c r="CW1127">
        <v>13025747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1</v>
      </c>
      <c r="DF1127">
        <v>0</v>
      </c>
      <c r="DG1127">
        <v>1</v>
      </c>
      <c r="DH1127">
        <v>0</v>
      </c>
      <c r="DI1127">
        <v>0</v>
      </c>
    </row>
    <row r="1128" spans="1:113" x14ac:dyDescent="0.3">
      <c r="A1128" t="str">
        <f t="shared" si="531"/>
        <v>05/12/2020 14:42:43.383</v>
      </c>
      <c r="C1128" t="str">
        <f t="shared" si="525"/>
        <v>FFDFD3C0</v>
      </c>
      <c r="D1128" t="s">
        <v>138</v>
      </c>
      <c r="E1128">
        <v>2</v>
      </c>
      <c r="H1128">
        <v>8</v>
      </c>
      <c r="I1128" t="s">
        <v>139</v>
      </c>
      <c r="J1128" t="s">
        <v>136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32"/>
        <v>14:43:01.188</v>
      </c>
      <c r="T1128" t="str">
        <f t="shared" si="533"/>
        <v>14:43:01.088</v>
      </c>
      <c r="U1128" t="str">
        <f t="shared" si="516"/>
        <v>A9808D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1</v>
      </c>
      <c r="AG1128">
        <v>2</v>
      </c>
      <c r="AH1128">
        <v>0</v>
      </c>
      <c r="AI1128" t="s">
        <v>340</v>
      </c>
      <c r="AJ1128">
        <v>28.278293999999999</v>
      </c>
      <c r="AK1128" t="s">
        <v>341</v>
      </c>
      <c r="AL1128">
        <v>-82.382591000000005</v>
      </c>
      <c r="AM1128">
        <v>100</v>
      </c>
      <c r="AN1128">
        <v>1300</v>
      </c>
      <c r="AO1128" t="s">
        <v>118</v>
      </c>
      <c r="AP1128">
        <v>-29</v>
      </c>
      <c r="AQ1128">
        <v>86</v>
      </c>
      <c r="AR1128">
        <v>576</v>
      </c>
      <c r="AZ1128">
        <v>1200</v>
      </c>
      <c r="BA1128">
        <v>1</v>
      </c>
      <c r="BB1128" t="str">
        <f t="shared" si="526"/>
        <v xml:space="preserve">N711JA  </v>
      </c>
      <c r="BC1128">
        <v>1</v>
      </c>
      <c r="BE1128">
        <v>0</v>
      </c>
      <c r="BF1128">
        <v>0</v>
      </c>
      <c r="BG1128">
        <v>0</v>
      </c>
      <c r="BH1128">
        <v>1425</v>
      </c>
      <c r="BI1128">
        <v>1</v>
      </c>
      <c r="BJ1128">
        <v>1</v>
      </c>
      <c r="BK1128">
        <v>0</v>
      </c>
      <c r="BL1128">
        <v>0</v>
      </c>
      <c r="BO1128">
        <v>0</v>
      </c>
      <c r="BP1128">
        <v>0</v>
      </c>
      <c r="BW1128" t="str">
        <f t="shared" si="534"/>
        <v>14:43:01.189</v>
      </c>
      <c r="CJ1128">
        <v>1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343</v>
      </c>
      <c r="CR1128">
        <v>2</v>
      </c>
      <c r="CW1128">
        <v>13025747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1</v>
      </c>
      <c r="DF1128">
        <v>0</v>
      </c>
      <c r="DG1128">
        <v>1</v>
      </c>
      <c r="DH1128">
        <v>0</v>
      </c>
      <c r="DI1128">
        <v>0</v>
      </c>
    </row>
    <row r="1129" spans="1:113" x14ac:dyDescent="0.3">
      <c r="A1129" t="str">
        <f t="shared" si="531"/>
        <v>05/12/2020 14:42:43.383</v>
      </c>
      <c r="C1129" t="str">
        <f t="shared" si="525"/>
        <v>FFDFD3C0</v>
      </c>
      <c r="D1129" t="s">
        <v>138</v>
      </c>
      <c r="E1129">
        <v>3</v>
      </c>
      <c r="H1129">
        <v>9</v>
      </c>
      <c r="I1129" t="s">
        <v>140</v>
      </c>
      <c r="J1129" t="s">
        <v>136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32"/>
        <v>14:43:01.188</v>
      </c>
      <c r="T1129" t="str">
        <f t="shared" si="533"/>
        <v>14:43:01.088</v>
      </c>
      <c r="U1129" t="str">
        <f t="shared" si="516"/>
        <v>A9808D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1</v>
      </c>
      <c r="AG1129">
        <v>2</v>
      </c>
      <c r="AH1129">
        <v>0</v>
      </c>
      <c r="AI1129" t="s">
        <v>340</v>
      </c>
      <c r="AJ1129">
        <v>28.278293999999999</v>
      </c>
      <c r="AK1129" t="s">
        <v>341</v>
      </c>
      <c r="AL1129">
        <v>-82.382591000000005</v>
      </c>
      <c r="AM1129">
        <v>100</v>
      </c>
      <c r="AN1129">
        <v>1300</v>
      </c>
      <c r="AO1129" t="s">
        <v>118</v>
      </c>
      <c r="AP1129">
        <v>-29</v>
      </c>
      <c r="AQ1129">
        <v>86</v>
      </c>
      <c r="AR1129">
        <v>576</v>
      </c>
      <c r="AZ1129">
        <v>1200</v>
      </c>
      <c r="BA1129">
        <v>1</v>
      </c>
      <c r="BB1129" t="str">
        <f t="shared" si="526"/>
        <v xml:space="preserve">N711JA  </v>
      </c>
      <c r="BC1129">
        <v>1</v>
      </c>
      <c r="BE1129">
        <v>0</v>
      </c>
      <c r="BF1129">
        <v>0</v>
      </c>
      <c r="BG1129">
        <v>0</v>
      </c>
      <c r="BH1129">
        <v>1425</v>
      </c>
      <c r="BI1129">
        <v>1</v>
      </c>
      <c r="BJ1129">
        <v>1</v>
      </c>
      <c r="BK1129">
        <v>0</v>
      </c>
      <c r="BL1129">
        <v>0</v>
      </c>
      <c r="BO1129">
        <v>0</v>
      </c>
      <c r="BP1129">
        <v>0</v>
      </c>
      <c r="BW1129" t="str">
        <f t="shared" si="534"/>
        <v>14:43:01.189</v>
      </c>
      <c r="CJ1129">
        <v>1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343</v>
      </c>
      <c r="CR1129">
        <v>2</v>
      </c>
      <c r="CW1129">
        <v>13025747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1</v>
      </c>
      <c r="DF1129">
        <v>0</v>
      </c>
      <c r="DG1129">
        <v>1</v>
      </c>
      <c r="DH1129">
        <v>0</v>
      </c>
      <c r="DI1129">
        <v>0</v>
      </c>
    </row>
    <row r="1130" spans="1:113" x14ac:dyDescent="0.3">
      <c r="A1130" t="str">
        <f t="shared" ref="A1130:A1138" si="535">"05/12/2020 14:42:44.312"</f>
        <v>05/12/2020 14:42:44.312</v>
      </c>
      <c r="C1130" t="str">
        <f t="shared" si="525"/>
        <v>FFDFD3C0</v>
      </c>
      <c r="D1130" t="s">
        <v>113</v>
      </c>
      <c r="E1130">
        <v>3</v>
      </c>
      <c r="H1130">
        <v>164</v>
      </c>
      <c r="I1130" t="s">
        <v>114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ref="S1130:S1138" si="536">"14:43:02.156"</f>
        <v>14:43:02.156</v>
      </c>
      <c r="T1130" t="str">
        <f t="shared" ref="T1130:T1138" si="537">"14:43:02.056"</f>
        <v>14:43:02.056</v>
      </c>
      <c r="U1130" t="str">
        <f t="shared" si="516"/>
        <v>A9808D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342</v>
      </c>
      <c r="AJ1130">
        <v>28.278680000000001</v>
      </c>
      <c r="AK1130" t="s">
        <v>211</v>
      </c>
      <c r="AL1130">
        <v>-82.382784000000001</v>
      </c>
      <c r="AM1130">
        <v>100</v>
      </c>
      <c r="AN1130">
        <v>1300</v>
      </c>
      <c r="AO1130" t="s">
        <v>118</v>
      </c>
      <c r="AP1130">
        <v>-30</v>
      </c>
      <c r="AQ1130">
        <v>86</v>
      </c>
      <c r="AR1130">
        <v>512</v>
      </c>
      <c r="AZ1130">
        <v>1200</v>
      </c>
      <c r="BA1130">
        <v>1</v>
      </c>
      <c r="BB1130" t="str">
        <f t="shared" si="526"/>
        <v xml:space="preserve">N711JA  </v>
      </c>
      <c r="BC1130">
        <v>1</v>
      </c>
      <c r="BE1130">
        <v>0</v>
      </c>
      <c r="BF1130">
        <v>0</v>
      </c>
      <c r="BG1130">
        <v>0</v>
      </c>
      <c r="BH1130">
        <v>1450</v>
      </c>
      <c r="BI1130">
        <v>1</v>
      </c>
      <c r="BJ1130">
        <v>1</v>
      </c>
      <c r="BK1130">
        <v>0</v>
      </c>
      <c r="BL1130">
        <v>0</v>
      </c>
      <c r="BO1130">
        <v>0</v>
      </c>
      <c r="BP1130">
        <v>0</v>
      </c>
      <c r="BW1130" t="str">
        <f t="shared" ref="BW1130:BW1138" si="538">"14:43:02.161"</f>
        <v>14:43:02.161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343</v>
      </c>
      <c r="CR1130">
        <v>1</v>
      </c>
      <c r="CW1130">
        <v>10633517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 t="shared" si="535"/>
        <v>05/12/2020 14:42:44.312</v>
      </c>
      <c r="C1131" t="str">
        <f t="shared" si="525"/>
        <v>FFDFD3C0</v>
      </c>
      <c r="D1131" t="s">
        <v>138</v>
      </c>
      <c r="E1131">
        <v>2</v>
      </c>
      <c r="H1131">
        <v>8</v>
      </c>
      <c r="I1131" t="s">
        <v>139</v>
      </c>
      <c r="J1131" t="s">
        <v>136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36"/>
        <v>14:43:02.156</v>
      </c>
      <c r="T1131" t="str">
        <f t="shared" si="537"/>
        <v>14:43:02.056</v>
      </c>
      <c r="U1131" t="str">
        <f t="shared" si="516"/>
        <v>A9808D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342</v>
      </c>
      <c r="AJ1131">
        <v>28.278680000000001</v>
      </c>
      <c r="AK1131" t="s">
        <v>211</v>
      </c>
      <c r="AL1131">
        <v>-82.382784000000001</v>
      </c>
      <c r="AM1131">
        <v>100</v>
      </c>
      <c r="AN1131">
        <v>1300</v>
      </c>
      <c r="AO1131" t="s">
        <v>118</v>
      </c>
      <c r="AP1131">
        <v>-30</v>
      </c>
      <c r="AQ1131">
        <v>86</v>
      </c>
      <c r="AR1131">
        <v>512</v>
      </c>
      <c r="AZ1131">
        <v>1200</v>
      </c>
      <c r="BA1131">
        <v>1</v>
      </c>
      <c r="BB1131" t="str">
        <f t="shared" si="526"/>
        <v xml:space="preserve">N711JA  </v>
      </c>
      <c r="BC1131">
        <v>1</v>
      </c>
      <c r="BE1131">
        <v>0</v>
      </c>
      <c r="BF1131">
        <v>0</v>
      </c>
      <c r="BG1131">
        <v>0</v>
      </c>
      <c r="BH1131">
        <v>1450</v>
      </c>
      <c r="BI1131">
        <v>1</v>
      </c>
      <c r="BJ1131">
        <v>1</v>
      </c>
      <c r="BK1131">
        <v>0</v>
      </c>
      <c r="BL1131">
        <v>0</v>
      </c>
      <c r="BO1131">
        <v>0</v>
      </c>
      <c r="BP1131">
        <v>0</v>
      </c>
      <c r="BW1131" t="str">
        <f t="shared" si="538"/>
        <v>14:43:02.161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343</v>
      </c>
      <c r="CR1131">
        <v>1</v>
      </c>
      <c r="CW1131">
        <v>10633517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 t="shared" si="535"/>
        <v>05/12/2020 14:42:44.312</v>
      </c>
      <c r="C1132" t="str">
        <f t="shared" si="525"/>
        <v>FFDFD3C0</v>
      </c>
      <c r="D1132" t="s">
        <v>138</v>
      </c>
      <c r="E1132">
        <v>3</v>
      </c>
      <c r="H1132">
        <v>9</v>
      </c>
      <c r="I1132" t="s">
        <v>140</v>
      </c>
      <c r="J1132" t="s">
        <v>136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36"/>
        <v>14:43:02.156</v>
      </c>
      <c r="T1132" t="str">
        <f t="shared" si="537"/>
        <v>14:43:02.056</v>
      </c>
      <c r="U1132" t="str">
        <f t="shared" si="516"/>
        <v>A9808D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342</v>
      </c>
      <c r="AJ1132">
        <v>28.278680000000001</v>
      </c>
      <c r="AK1132" t="s">
        <v>211</v>
      </c>
      <c r="AL1132">
        <v>-82.382784000000001</v>
      </c>
      <c r="AM1132">
        <v>100</v>
      </c>
      <c r="AN1132">
        <v>1300</v>
      </c>
      <c r="AO1132" t="s">
        <v>118</v>
      </c>
      <c r="AP1132">
        <v>-30</v>
      </c>
      <c r="AQ1132">
        <v>86</v>
      </c>
      <c r="AR1132">
        <v>512</v>
      </c>
      <c r="AZ1132">
        <v>1200</v>
      </c>
      <c r="BA1132">
        <v>1</v>
      </c>
      <c r="BB1132" t="str">
        <f t="shared" si="526"/>
        <v xml:space="preserve">N711JA  </v>
      </c>
      <c r="BC1132">
        <v>1</v>
      </c>
      <c r="BE1132">
        <v>0</v>
      </c>
      <c r="BF1132">
        <v>0</v>
      </c>
      <c r="BG1132">
        <v>0</v>
      </c>
      <c r="BH1132">
        <v>1450</v>
      </c>
      <c r="BI1132">
        <v>1</v>
      </c>
      <c r="BJ1132">
        <v>1</v>
      </c>
      <c r="BK1132">
        <v>0</v>
      </c>
      <c r="BL1132">
        <v>0</v>
      </c>
      <c r="BO1132">
        <v>0</v>
      </c>
      <c r="BP1132">
        <v>0</v>
      </c>
      <c r="BW1132" t="str">
        <f t="shared" si="538"/>
        <v>14:43:02.161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343</v>
      </c>
      <c r="CR1132">
        <v>1</v>
      </c>
      <c r="CW1132">
        <v>10633517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si="535"/>
        <v>05/12/2020 14:42:44.312</v>
      </c>
      <c r="C1133" t="str">
        <f t="shared" si="525"/>
        <v>FFDFD3C0</v>
      </c>
      <c r="D1133" t="s">
        <v>131</v>
      </c>
      <c r="E1133">
        <v>10</v>
      </c>
      <c r="F1133">
        <v>2010</v>
      </c>
      <c r="G1133" t="s">
        <v>132</v>
      </c>
      <c r="J1133" t="s">
        <v>133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36"/>
        <v>14:43:02.156</v>
      </c>
      <c r="T1133" t="str">
        <f t="shared" si="537"/>
        <v>14:43:02.056</v>
      </c>
      <c r="U1133" t="str">
        <f t="shared" si="516"/>
        <v>A9808D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342</v>
      </c>
      <c r="AJ1133">
        <v>28.278680000000001</v>
      </c>
      <c r="AK1133" t="s">
        <v>211</v>
      </c>
      <c r="AL1133">
        <v>-82.382784000000001</v>
      </c>
      <c r="AM1133">
        <v>100</v>
      </c>
      <c r="AN1133">
        <v>1300</v>
      </c>
      <c r="AO1133" t="s">
        <v>118</v>
      </c>
      <c r="AP1133">
        <v>-30</v>
      </c>
      <c r="AQ1133">
        <v>86</v>
      </c>
      <c r="AR1133">
        <v>512</v>
      </c>
      <c r="AZ1133">
        <v>1200</v>
      </c>
      <c r="BA1133">
        <v>1</v>
      </c>
      <c r="BB1133" t="str">
        <f t="shared" si="526"/>
        <v xml:space="preserve">N711JA  </v>
      </c>
      <c r="BC1133">
        <v>1</v>
      </c>
      <c r="BE1133">
        <v>0</v>
      </c>
      <c r="BF1133">
        <v>0</v>
      </c>
      <c r="BG1133">
        <v>0</v>
      </c>
      <c r="BH1133">
        <v>1450</v>
      </c>
      <c r="BI1133">
        <v>1</v>
      </c>
      <c r="BJ1133">
        <v>1</v>
      </c>
      <c r="BK1133">
        <v>0</v>
      </c>
      <c r="BL1133">
        <v>0</v>
      </c>
      <c r="BO1133">
        <v>0</v>
      </c>
      <c r="BP1133">
        <v>0</v>
      </c>
      <c r="BW1133" t="str">
        <f t="shared" si="538"/>
        <v>14:43:02.161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343</v>
      </c>
      <c r="CR1133">
        <v>1</v>
      </c>
      <c r="CW1133">
        <v>10633517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535"/>
        <v>05/12/2020 14:42:44.312</v>
      </c>
      <c r="C1134" t="str">
        <f t="shared" si="525"/>
        <v>FFDFD3C0</v>
      </c>
      <c r="D1134" t="s">
        <v>126</v>
      </c>
      <c r="E1134">
        <v>7</v>
      </c>
      <c r="F1134">
        <v>1007</v>
      </c>
      <c r="G1134" t="s">
        <v>127</v>
      </c>
      <c r="J1134" t="s">
        <v>128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536"/>
        <v>14:43:02.156</v>
      </c>
      <c r="T1134" t="str">
        <f t="shared" si="537"/>
        <v>14:43:02.056</v>
      </c>
      <c r="U1134" t="str">
        <f t="shared" si="516"/>
        <v>A9808D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342</v>
      </c>
      <c r="AJ1134">
        <v>28.278680000000001</v>
      </c>
      <c r="AK1134" t="s">
        <v>211</v>
      </c>
      <c r="AL1134">
        <v>-82.382784000000001</v>
      </c>
      <c r="AM1134">
        <v>100</v>
      </c>
      <c r="AN1134">
        <v>1300</v>
      </c>
      <c r="AO1134" t="s">
        <v>118</v>
      </c>
      <c r="AP1134">
        <v>-30</v>
      </c>
      <c r="AQ1134">
        <v>86</v>
      </c>
      <c r="AR1134">
        <v>512</v>
      </c>
      <c r="AZ1134">
        <v>1200</v>
      </c>
      <c r="BA1134">
        <v>1</v>
      </c>
      <c r="BB1134" t="str">
        <f t="shared" si="526"/>
        <v xml:space="preserve">N711JA  </v>
      </c>
      <c r="BC1134">
        <v>1</v>
      </c>
      <c r="BE1134">
        <v>0</v>
      </c>
      <c r="BF1134">
        <v>0</v>
      </c>
      <c r="BG1134">
        <v>0</v>
      </c>
      <c r="BH1134">
        <v>1450</v>
      </c>
      <c r="BI1134">
        <v>1</v>
      </c>
      <c r="BJ1134">
        <v>1</v>
      </c>
      <c r="BK1134">
        <v>0</v>
      </c>
      <c r="BL1134">
        <v>0</v>
      </c>
      <c r="BO1134">
        <v>0</v>
      </c>
      <c r="BP1134">
        <v>0</v>
      </c>
      <c r="BW1134" t="str">
        <f t="shared" si="538"/>
        <v>14:43:02.161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343</v>
      </c>
      <c r="CR1134">
        <v>1</v>
      </c>
      <c r="CW1134">
        <v>10633517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si="535"/>
        <v>05/12/2020 14:42:44.312</v>
      </c>
      <c r="C1135" t="str">
        <f t="shared" si="525"/>
        <v>FFDFD3C0</v>
      </c>
      <c r="D1135" t="s">
        <v>131</v>
      </c>
      <c r="E1135">
        <v>12</v>
      </c>
      <c r="F1135">
        <v>2012</v>
      </c>
      <c r="G1135" t="s">
        <v>137</v>
      </c>
      <c r="J1135" t="s">
        <v>133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36"/>
        <v>14:43:02.156</v>
      </c>
      <c r="T1135" t="str">
        <f t="shared" si="537"/>
        <v>14:43:02.056</v>
      </c>
      <c r="U1135" t="str">
        <f t="shared" si="516"/>
        <v>A9808D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342</v>
      </c>
      <c r="AJ1135">
        <v>28.278680000000001</v>
      </c>
      <c r="AK1135" t="s">
        <v>211</v>
      </c>
      <c r="AL1135">
        <v>-82.382784000000001</v>
      </c>
      <c r="AM1135">
        <v>100</v>
      </c>
      <c r="AN1135">
        <v>1300</v>
      </c>
      <c r="AO1135" t="s">
        <v>118</v>
      </c>
      <c r="AP1135">
        <v>-30</v>
      </c>
      <c r="AQ1135">
        <v>86</v>
      </c>
      <c r="AR1135">
        <v>512</v>
      </c>
      <c r="AZ1135">
        <v>1200</v>
      </c>
      <c r="BA1135">
        <v>1</v>
      </c>
      <c r="BB1135" t="str">
        <f t="shared" si="526"/>
        <v xml:space="preserve">N711JA  </v>
      </c>
      <c r="BC1135">
        <v>1</v>
      </c>
      <c r="BE1135">
        <v>0</v>
      </c>
      <c r="BF1135">
        <v>0</v>
      </c>
      <c r="BG1135">
        <v>0</v>
      </c>
      <c r="BH1135">
        <v>1450</v>
      </c>
      <c r="BI1135">
        <v>1</v>
      </c>
      <c r="BJ1135">
        <v>1</v>
      </c>
      <c r="BK1135">
        <v>0</v>
      </c>
      <c r="BL1135">
        <v>0</v>
      </c>
      <c r="BO1135">
        <v>0</v>
      </c>
      <c r="BP1135">
        <v>0</v>
      </c>
      <c r="BW1135" t="str">
        <f t="shared" si="538"/>
        <v>14:43:02.161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343</v>
      </c>
      <c r="CR1135">
        <v>1</v>
      </c>
      <c r="CW1135">
        <v>10633517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si="535"/>
        <v>05/12/2020 14:42:44.312</v>
      </c>
      <c r="C1136" t="str">
        <f t="shared" si="525"/>
        <v>FFDFD3C0</v>
      </c>
      <c r="D1136" t="s">
        <v>131</v>
      </c>
      <c r="E1136">
        <v>18</v>
      </c>
      <c r="F1136">
        <v>2018</v>
      </c>
      <c r="G1136" t="s">
        <v>161</v>
      </c>
      <c r="J1136" t="s">
        <v>133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36"/>
        <v>14:43:02.156</v>
      </c>
      <c r="T1136" t="str">
        <f t="shared" si="537"/>
        <v>14:43:02.056</v>
      </c>
      <c r="U1136" t="str">
        <f t="shared" si="516"/>
        <v>A9808D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342</v>
      </c>
      <c r="AJ1136">
        <v>28.278680000000001</v>
      </c>
      <c r="AK1136" t="s">
        <v>211</v>
      </c>
      <c r="AL1136">
        <v>-82.382784000000001</v>
      </c>
      <c r="AM1136">
        <v>100</v>
      </c>
      <c r="AN1136">
        <v>1300</v>
      </c>
      <c r="AO1136" t="s">
        <v>118</v>
      </c>
      <c r="AP1136">
        <v>-30</v>
      </c>
      <c r="AQ1136">
        <v>86</v>
      </c>
      <c r="AR1136">
        <v>512</v>
      </c>
      <c r="AZ1136">
        <v>1200</v>
      </c>
      <c r="BA1136">
        <v>1</v>
      </c>
      <c r="BB1136" t="str">
        <f t="shared" si="526"/>
        <v xml:space="preserve">N711JA  </v>
      </c>
      <c r="BC1136">
        <v>1</v>
      </c>
      <c r="BE1136">
        <v>0</v>
      </c>
      <c r="BF1136">
        <v>0</v>
      </c>
      <c r="BG1136">
        <v>0</v>
      </c>
      <c r="BH1136">
        <v>1450</v>
      </c>
      <c r="BI1136">
        <v>1</v>
      </c>
      <c r="BJ1136">
        <v>1</v>
      </c>
      <c r="BK1136">
        <v>0</v>
      </c>
      <c r="BL1136">
        <v>0</v>
      </c>
      <c r="BO1136">
        <v>0</v>
      </c>
      <c r="BP1136">
        <v>0</v>
      </c>
      <c r="BW1136" t="str">
        <f t="shared" si="538"/>
        <v>14:43:02.161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343</v>
      </c>
      <c r="CR1136">
        <v>1</v>
      </c>
      <c r="CW1136">
        <v>10633517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535"/>
        <v>05/12/2020 14:42:44.312</v>
      </c>
      <c r="C1137" t="str">
        <f t="shared" si="525"/>
        <v>FFDFD3C0</v>
      </c>
      <c r="D1137" t="s">
        <v>126</v>
      </c>
      <c r="E1137">
        <v>6</v>
      </c>
      <c r="F1137">
        <v>1006</v>
      </c>
      <c r="G1137" t="s">
        <v>114</v>
      </c>
      <c r="J1137" t="s">
        <v>128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36"/>
        <v>14:43:02.156</v>
      </c>
      <c r="T1137" t="str">
        <f t="shared" si="537"/>
        <v>14:43:02.056</v>
      </c>
      <c r="U1137" t="str">
        <f t="shared" si="516"/>
        <v>A9808D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342</v>
      </c>
      <c r="AJ1137">
        <v>28.278680000000001</v>
      </c>
      <c r="AK1137" t="s">
        <v>211</v>
      </c>
      <c r="AL1137">
        <v>-82.382784000000001</v>
      </c>
      <c r="AM1137">
        <v>100</v>
      </c>
      <c r="AN1137">
        <v>1300</v>
      </c>
      <c r="AO1137" t="s">
        <v>118</v>
      </c>
      <c r="AP1137">
        <v>-30</v>
      </c>
      <c r="AQ1137">
        <v>86</v>
      </c>
      <c r="AR1137">
        <v>512</v>
      </c>
      <c r="AZ1137">
        <v>1200</v>
      </c>
      <c r="BA1137">
        <v>1</v>
      </c>
      <c r="BB1137" t="str">
        <f t="shared" si="526"/>
        <v xml:space="preserve">N711JA  </v>
      </c>
      <c r="BC1137">
        <v>1</v>
      </c>
      <c r="BE1137">
        <v>0</v>
      </c>
      <c r="BF1137">
        <v>0</v>
      </c>
      <c r="BG1137">
        <v>0</v>
      </c>
      <c r="BH1137">
        <v>1450</v>
      </c>
      <c r="BI1137">
        <v>1</v>
      </c>
      <c r="BJ1137">
        <v>1</v>
      </c>
      <c r="BK1137">
        <v>0</v>
      </c>
      <c r="BL1137">
        <v>0</v>
      </c>
      <c r="BO1137">
        <v>0</v>
      </c>
      <c r="BP1137">
        <v>0</v>
      </c>
      <c r="BW1137" t="str">
        <f t="shared" si="538"/>
        <v>14:43:02.161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343</v>
      </c>
      <c r="CR1137">
        <v>1</v>
      </c>
      <c r="CW1137">
        <v>10633517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si="535"/>
        <v>05/12/2020 14:42:44.312</v>
      </c>
      <c r="C1138" t="str">
        <f t="shared" si="525"/>
        <v>FFDFD3C0</v>
      </c>
      <c r="D1138" t="s">
        <v>134</v>
      </c>
      <c r="E1138">
        <v>12</v>
      </c>
      <c r="H1138">
        <v>64</v>
      </c>
      <c r="I1138" t="s">
        <v>135</v>
      </c>
      <c r="J1138" t="s">
        <v>136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36"/>
        <v>14:43:02.156</v>
      </c>
      <c r="T1138" t="str">
        <f t="shared" si="537"/>
        <v>14:43:02.056</v>
      </c>
      <c r="U1138" t="str">
        <f t="shared" si="516"/>
        <v>A9808D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342</v>
      </c>
      <c r="AJ1138">
        <v>28.278680000000001</v>
      </c>
      <c r="AK1138" t="s">
        <v>211</v>
      </c>
      <c r="AL1138">
        <v>-82.382784000000001</v>
      </c>
      <c r="AM1138">
        <v>100</v>
      </c>
      <c r="AN1138">
        <v>1300</v>
      </c>
      <c r="AO1138" t="s">
        <v>118</v>
      </c>
      <c r="AP1138">
        <v>-30</v>
      </c>
      <c r="AQ1138">
        <v>86</v>
      </c>
      <c r="AR1138">
        <v>512</v>
      </c>
      <c r="AZ1138">
        <v>1200</v>
      </c>
      <c r="BA1138">
        <v>1</v>
      </c>
      <c r="BB1138" t="str">
        <f t="shared" si="526"/>
        <v xml:space="preserve">N711JA  </v>
      </c>
      <c r="BC1138">
        <v>1</v>
      </c>
      <c r="BE1138">
        <v>0</v>
      </c>
      <c r="BF1138">
        <v>0</v>
      </c>
      <c r="BG1138">
        <v>0</v>
      </c>
      <c r="BH1138">
        <v>1450</v>
      </c>
      <c r="BI1138">
        <v>1</v>
      </c>
      <c r="BJ1138">
        <v>1</v>
      </c>
      <c r="BK1138">
        <v>0</v>
      </c>
      <c r="BL1138">
        <v>0</v>
      </c>
      <c r="BO1138">
        <v>0</v>
      </c>
      <c r="BP1138">
        <v>0</v>
      </c>
      <c r="BW1138" t="str">
        <f t="shared" si="538"/>
        <v>14:43:02.161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343</v>
      </c>
      <c r="CR1138">
        <v>1</v>
      </c>
      <c r="CW1138">
        <v>10633517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 t="shared" ref="A1139:A1147" si="539">"05/12/2020 14:42:45.356"</f>
        <v>05/12/2020 14:42:45.356</v>
      </c>
      <c r="C1139" t="str">
        <f t="shared" si="525"/>
        <v>FFDFD3C0</v>
      </c>
      <c r="D1139" t="s">
        <v>126</v>
      </c>
      <c r="E1139">
        <v>6</v>
      </c>
      <c r="F1139">
        <v>1006</v>
      </c>
      <c r="G1139" t="s">
        <v>114</v>
      </c>
      <c r="J1139" t="s">
        <v>128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ref="S1139:S1147" si="540">"14:43:03.164"</f>
        <v>14:43:03.164</v>
      </c>
      <c r="T1139" t="str">
        <f t="shared" ref="T1139:T1147" si="541">"14:43:03.064"</f>
        <v>14:43:03.064</v>
      </c>
      <c r="U1139" t="str">
        <f t="shared" si="516"/>
        <v>A9808D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343</v>
      </c>
      <c r="AJ1139">
        <v>28.279088000000002</v>
      </c>
      <c r="AK1139" t="s">
        <v>344</v>
      </c>
      <c r="AL1139">
        <v>-82.382913000000002</v>
      </c>
      <c r="AM1139">
        <v>100</v>
      </c>
      <c r="AN1139">
        <v>1400</v>
      </c>
      <c r="AO1139" t="s">
        <v>118</v>
      </c>
      <c r="AP1139">
        <v>-30</v>
      </c>
      <c r="AQ1139">
        <v>85</v>
      </c>
      <c r="AR1139">
        <v>512</v>
      </c>
      <c r="AZ1139">
        <v>1200</v>
      </c>
      <c r="BA1139">
        <v>1</v>
      </c>
      <c r="BB1139" t="str">
        <f t="shared" si="526"/>
        <v xml:space="preserve">N711JA  </v>
      </c>
      <c r="BC1139">
        <v>1</v>
      </c>
      <c r="BE1139">
        <v>0</v>
      </c>
      <c r="BF1139">
        <v>0</v>
      </c>
      <c r="BG1139">
        <v>0</v>
      </c>
      <c r="BH1139">
        <v>1450</v>
      </c>
      <c r="BI1139">
        <v>1</v>
      </c>
      <c r="BJ1139">
        <v>1</v>
      </c>
      <c r="BK1139">
        <v>0</v>
      </c>
      <c r="BL1139">
        <v>0</v>
      </c>
      <c r="BO1139">
        <v>0</v>
      </c>
      <c r="BP1139">
        <v>0</v>
      </c>
      <c r="BW1139" t="str">
        <f t="shared" ref="BW1139:BW1147" si="542">"14:43:03.169"</f>
        <v>14:43:03.169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343</v>
      </c>
      <c r="CR1139">
        <v>1</v>
      </c>
      <c r="CW1139">
        <v>10634559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 t="shared" si="539"/>
        <v>05/12/2020 14:42:45.356</v>
      </c>
      <c r="C1140" t="str">
        <f t="shared" si="525"/>
        <v>FFDFD3C0</v>
      </c>
      <c r="D1140" t="s">
        <v>134</v>
      </c>
      <c r="E1140">
        <v>12</v>
      </c>
      <c r="H1140">
        <v>64</v>
      </c>
      <c r="I1140" t="s">
        <v>135</v>
      </c>
      <c r="J1140" t="s">
        <v>136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540"/>
        <v>14:43:03.164</v>
      </c>
      <c r="T1140" t="str">
        <f t="shared" si="541"/>
        <v>14:43:03.064</v>
      </c>
      <c r="U1140" t="str">
        <f t="shared" si="516"/>
        <v>A9808D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343</v>
      </c>
      <c r="AJ1140">
        <v>28.279088000000002</v>
      </c>
      <c r="AK1140" t="s">
        <v>344</v>
      </c>
      <c r="AL1140">
        <v>-82.382913000000002</v>
      </c>
      <c r="AM1140">
        <v>100</v>
      </c>
      <c r="AN1140">
        <v>1400</v>
      </c>
      <c r="AO1140" t="s">
        <v>118</v>
      </c>
      <c r="AP1140">
        <v>-30</v>
      </c>
      <c r="AQ1140">
        <v>85</v>
      </c>
      <c r="AR1140">
        <v>512</v>
      </c>
      <c r="AZ1140">
        <v>1200</v>
      </c>
      <c r="BA1140">
        <v>1</v>
      </c>
      <c r="BB1140" t="str">
        <f t="shared" si="526"/>
        <v xml:space="preserve">N711JA  </v>
      </c>
      <c r="BC1140">
        <v>1</v>
      </c>
      <c r="BE1140">
        <v>0</v>
      </c>
      <c r="BF1140">
        <v>0</v>
      </c>
      <c r="BG1140">
        <v>0</v>
      </c>
      <c r="BH1140">
        <v>1450</v>
      </c>
      <c r="BI1140">
        <v>1</v>
      </c>
      <c r="BJ1140">
        <v>1</v>
      </c>
      <c r="BK1140">
        <v>0</v>
      </c>
      <c r="BL1140">
        <v>0</v>
      </c>
      <c r="BO1140">
        <v>0</v>
      </c>
      <c r="BP1140">
        <v>0</v>
      </c>
      <c r="BW1140" t="str">
        <f t="shared" si="542"/>
        <v>14:43:03.169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343</v>
      </c>
      <c r="CR1140">
        <v>1</v>
      </c>
      <c r="CW1140">
        <v>10634559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 t="shared" si="539"/>
        <v>05/12/2020 14:42:45.356</v>
      </c>
      <c r="C1141" t="str">
        <f t="shared" si="525"/>
        <v>FFDFD3C0</v>
      </c>
      <c r="D1141" t="s">
        <v>113</v>
      </c>
      <c r="E1141">
        <v>3</v>
      </c>
      <c r="H1141">
        <v>164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540"/>
        <v>14:43:03.164</v>
      </c>
      <c r="T1141" t="str">
        <f t="shared" si="541"/>
        <v>14:43:03.064</v>
      </c>
      <c r="U1141" t="str">
        <f t="shared" si="516"/>
        <v>A9808D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343</v>
      </c>
      <c r="AJ1141">
        <v>28.279088000000002</v>
      </c>
      <c r="AK1141" t="s">
        <v>344</v>
      </c>
      <c r="AL1141">
        <v>-82.382913000000002</v>
      </c>
      <c r="AM1141">
        <v>100</v>
      </c>
      <c r="AN1141">
        <v>1400</v>
      </c>
      <c r="AO1141" t="s">
        <v>118</v>
      </c>
      <c r="AP1141">
        <v>-30</v>
      </c>
      <c r="AQ1141">
        <v>85</v>
      </c>
      <c r="AR1141">
        <v>512</v>
      </c>
      <c r="AZ1141">
        <v>1200</v>
      </c>
      <c r="BA1141">
        <v>1</v>
      </c>
      <c r="BB1141" t="str">
        <f t="shared" si="526"/>
        <v xml:space="preserve">N711JA  </v>
      </c>
      <c r="BC1141">
        <v>1</v>
      </c>
      <c r="BE1141">
        <v>0</v>
      </c>
      <c r="BF1141">
        <v>0</v>
      </c>
      <c r="BG1141">
        <v>0</v>
      </c>
      <c r="BH1141">
        <v>1450</v>
      </c>
      <c r="BI1141">
        <v>1</v>
      </c>
      <c r="BJ1141">
        <v>1</v>
      </c>
      <c r="BK1141">
        <v>0</v>
      </c>
      <c r="BL1141">
        <v>0</v>
      </c>
      <c r="BO1141">
        <v>0</v>
      </c>
      <c r="BP1141">
        <v>0</v>
      </c>
      <c r="BW1141" t="str">
        <f t="shared" si="542"/>
        <v>14:43:03.169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343</v>
      </c>
      <c r="CR1141">
        <v>1</v>
      </c>
      <c r="CW1141">
        <v>10634559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 t="shared" si="539"/>
        <v>05/12/2020 14:42:45.356</v>
      </c>
      <c r="C1142" t="str">
        <f t="shared" si="525"/>
        <v>FFDFD3C0</v>
      </c>
      <c r="D1142" t="s">
        <v>138</v>
      </c>
      <c r="E1142">
        <v>2</v>
      </c>
      <c r="H1142">
        <v>8</v>
      </c>
      <c r="I1142" t="s">
        <v>139</v>
      </c>
      <c r="J1142" t="s">
        <v>136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540"/>
        <v>14:43:03.164</v>
      </c>
      <c r="T1142" t="str">
        <f t="shared" si="541"/>
        <v>14:43:03.064</v>
      </c>
      <c r="U1142" t="str">
        <f t="shared" si="516"/>
        <v>A9808D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343</v>
      </c>
      <c r="AJ1142">
        <v>28.279088000000002</v>
      </c>
      <c r="AK1142" t="s">
        <v>344</v>
      </c>
      <c r="AL1142">
        <v>-82.382913000000002</v>
      </c>
      <c r="AM1142">
        <v>100</v>
      </c>
      <c r="AN1142">
        <v>1400</v>
      </c>
      <c r="AO1142" t="s">
        <v>118</v>
      </c>
      <c r="AP1142">
        <v>-30</v>
      </c>
      <c r="AQ1142">
        <v>85</v>
      </c>
      <c r="AR1142">
        <v>512</v>
      </c>
      <c r="AZ1142">
        <v>1200</v>
      </c>
      <c r="BA1142">
        <v>1</v>
      </c>
      <c r="BB1142" t="str">
        <f t="shared" si="526"/>
        <v xml:space="preserve">N711JA  </v>
      </c>
      <c r="BC1142">
        <v>1</v>
      </c>
      <c r="BE1142">
        <v>0</v>
      </c>
      <c r="BF1142">
        <v>0</v>
      </c>
      <c r="BG1142">
        <v>0</v>
      </c>
      <c r="BH1142">
        <v>1450</v>
      </c>
      <c r="BI1142">
        <v>1</v>
      </c>
      <c r="BJ1142">
        <v>1</v>
      </c>
      <c r="BK1142">
        <v>0</v>
      </c>
      <c r="BL1142">
        <v>0</v>
      </c>
      <c r="BO1142">
        <v>0</v>
      </c>
      <c r="BP1142">
        <v>0</v>
      </c>
      <c r="BW1142" t="str">
        <f t="shared" si="542"/>
        <v>14:43:03.169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343</v>
      </c>
      <c r="CR1142">
        <v>1</v>
      </c>
      <c r="CW1142">
        <v>10634559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 t="shared" si="539"/>
        <v>05/12/2020 14:42:45.356</v>
      </c>
      <c r="C1143" t="str">
        <f t="shared" si="525"/>
        <v>FFDFD3C0</v>
      </c>
      <c r="D1143" t="s">
        <v>138</v>
      </c>
      <c r="E1143">
        <v>3</v>
      </c>
      <c r="H1143">
        <v>9</v>
      </c>
      <c r="I1143" t="s">
        <v>140</v>
      </c>
      <c r="J1143" t="s">
        <v>136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40"/>
        <v>14:43:03.164</v>
      </c>
      <c r="T1143" t="str">
        <f t="shared" si="541"/>
        <v>14:43:03.064</v>
      </c>
      <c r="U1143" t="str">
        <f t="shared" si="516"/>
        <v>A9808D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343</v>
      </c>
      <c r="AJ1143">
        <v>28.279088000000002</v>
      </c>
      <c r="AK1143" t="s">
        <v>344</v>
      </c>
      <c r="AL1143">
        <v>-82.382913000000002</v>
      </c>
      <c r="AM1143">
        <v>100</v>
      </c>
      <c r="AN1143">
        <v>1400</v>
      </c>
      <c r="AO1143" t="s">
        <v>118</v>
      </c>
      <c r="AP1143">
        <v>-30</v>
      </c>
      <c r="AQ1143">
        <v>85</v>
      </c>
      <c r="AR1143">
        <v>512</v>
      </c>
      <c r="AZ1143">
        <v>1200</v>
      </c>
      <c r="BA1143">
        <v>1</v>
      </c>
      <c r="BB1143" t="str">
        <f t="shared" si="526"/>
        <v xml:space="preserve">N711JA  </v>
      </c>
      <c r="BC1143">
        <v>1</v>
      </c>
      <c r="BE1143">
        <v>0</v>
      </c>
      <c r="BF1143">
        <v>0</v>
      </c>
      <c r="BG1143">
        <v>0</v>
      </c>
      <c r="BH1143">
        <v>1450</v>
      </c>
      <c r="BI1143">
        <v>1</v>
      </c>
      <c r="BJ1143">
        <v>1</v>
      </c>
      <c r="BK1143">
        <v>0</v>
      </c>
      <c r="BL1143">
        <v>0</v>
      </c>
      <c r="BO1143">
        <v>0</v>
      </c>
      <c r="BP1143">
        <v>0</v>
      </c>
      <c r="BW1143" t="str">
        <f t="shared" si="542"/>
        <v>14:43:03.169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343</v>
      </c>
      <c r="CR1143">
        <v>1</v>
      </c>
      <c r="CW1143">
        <v>10634559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 t="shared" si="539"/>
        <v>05/12/2020 14:42:45.356</v>
      </c>
      <c r="C1144" t="str">
        <f t="shared" si="525"/>
        <v>FFDFD3C0</v>
      </c>
      <c r="D1144" t="s">
        <v>131</v>
      </c>
      <c r="E1144">
        <v>10</v>
      </c>
      <c r="F1144">
        <v>2010</v>
      </c>
      <c r="G1144" t="s">
        <v>132</v>
      </c>
      <c r="J1144" t="s">
        <v>133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540"/>
        <v>14:43:03.164</v>
      </c>
      <c r="T1144" t="str">
        <f t="shared" si="541"/>
        <v>14:43:03.064</v>
      </c>
      <c r="U1144" t="str">
        <f t="shared" si="516"/>
        <v>A9808D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343</v>
      </c>
      <c r="AJ1144">
        <v>28.279088000000002</v>
      </c>
      <c r="AK1144" t="s">
        <v>344</v>
      </c>
      <c r="AL1144">
        <v>-82.382913000000002</v>
      </c>
      <c r="AM1144">
        <v>100</v>
      </c>
      <c r="AN1144">
        <v>1400</v>
      </c>
      <c r="AO1144" t="s">
        <v>118</v>
      </c>
      <c r="AP1144">
        <v>-30</v>
      </c>
      <c r="AQ1144">
        <v>85</v>
      </c>
      <c r="AR1144">
        <v>512</v>
      </c>
      <c r="AZ1144">
        <v>1200</v>
      </c>
      <c r="BA1144">
        <v>1</v>
      </c>
      <c r="BB1144" t="str">
        <f t="shared" si="526"/>
        <v xml:space="preserve">N711JA  </v>
      </c>
      <c r="BC1144">
        <v>1</v>
      </c>
      <c r="BE1144">
        <v>0</v>
      </c>
      <c r="BF1144">
        <v>0</v>
      </c>
      <c r="BG1144">
        <v>0</v>
      </c>
      <c r="BH1144">
        <v>1450</v>
      </c>
      <c r="BI1144">
        <v>1</v>
      </c>
      <c r="BJ1144">
        <v>1</v>
      </c>
      <c r="BK1144">
        <v>0</v>
      </c>
      <c r="BL1144">
        <v>0</v>
      </c>
      <c r="BO1144">
        <v>0</v>
      </c>
      <c r="BP1144">
        <v>0</v>
      </c>
      <c r="BW1144" t="str">
        <f t="shared" si="542"/>
        <v>14:43:03.169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343</v>
      </c>
      <c r="CR1144">
        <v>1</v>
      </c>
      <c r="CW1144">
        <v>10634559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 t="shared" si="539"/>
        <v>05/12/2020 14:42:45.356</v>
      </c>
      <c r="C1145" t="str">
        <f t="shared" si="525"/>
        <v>FFDFD3C0</v>
      </c>
      <c r="D1145" t="s">
        <v>126</v>
      </c>
      <c r="E1145">
        <v>7</v>
      </c>
      <c r="F1145">
        <v>1007</v>
      </c>
      <c r="G1145" t="s">
        <v>127</v>
      </c>
      <c r="J1145" t="s">
        <v>128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40"/>
        <v>14:43:03.164</v>
      </c>
      <c r="T1145" t="str">
        <f t="shared" si="541"/>
        <v>14:43:03.064</v>
      </c>
      <c r="U1145" t="str">
        <f t="shared" si="516"/>
        <v>A9808D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343</v>
      </c>
      <c r="AJ1145">
        <v>28.279088000000002</v>
      </c>
      <c r="AK1145" t="s">
        <v>344</v>
      </c>
      <c r="AL1145">
        <v>-82.382913000000002</v>
      </c>
      <c r="AM1145">
        <v>100</v>
      </c>
      <c r="AN1145">
        <v>1400</v>
      </c>
      <c r="AO1145" t="s">
        <v>118</v>
      </c>
      <c r="AP1145">
        <v>-30</v>
      </c>
      <c r="AQ1145">
        <v>85</v>
      </c>
      <c r="AR1145">
        <v>512</v>
      </c>
      <c r="AZ1145">
        <v>1200</v>
      </c>
      <c r="BA1145">
        <v>1</v>
      </c>
      <c r="BB1145" t="str">
        <f t="shared" si="526"/>
        <v xml:space="preserve">N711JA  </v>
      </c>
      <c r="BC1145">
        <v>1</v>
      </c>
      <c r="BE1145">
        <v>0</v>
      </c>
      <c r="BF1145">
        <v>0</v>
      </c>
      <c r="BG1145">
        <v>0</v>
      </c>
      <c r="BH1145">
        <v>1450</v>
      </c>
      <c r="BI1145">
        <v>1</v>
      </c>
      <c r="BJ1145">
        <v>1</v>
      </c>
      <c r="BK1145">
        <v>0</v>
      </c>
      <c r="BL1145">
        <v>0</v>
      </c>
      <c r="BO1145">
        <v>0</v>
      </c>
      <c r="BP1145">
        <v>0</v>
      </c>
      <c r="BW1145" t="str">
        <f t="shared" si="542"/>
        <v>14:43:03.169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343</v>
      </c>
      <c r="CR1145">
        <v>1</v>
      </c>
      <c r="CW1145">
        <v>10634559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 t="shared" si="539"/>
        <v>05/12/2020 14:42:45.356</v>
      </c>
      <c r="C1146" t="str">
        <f t="shared" si="525"/>
        <v>FFDFD3C0</v>
      </c>
      <c r="D1146" t="s">
        <v>131</v>
      </c>
      <c r="E1146">
        <v>12</v>
      </c>
      <c r="F1146">
        <v>2012</v>
      </c>
      <c r="G1146" t="s">
        <v>137</v>
      </c>
      <c r="J1146" t="s">
        <v>133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540"/>
        <v>14:43:03.164</v>
      </c>
      <c r="T1146" t="str">
        <f t="shared" si="541"/>
        <v>14:43:03.064</v>
      </c>
      <c r="U1146" t="str">
        <f t="shared" si="516"/>
        <v>A9808D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343</v>
      </c>
      <c r="AJ1146">
        <v>28.279088000000002</v>
      </c>
      <c r="AK1146" t="s">
        <v>344</v>
      </c>
      <c r="AL1146">
        <v>-82.382913000000002</v>
      </c>
      <c r="AM1146">
        <v>100</v>
      </c>
      <c r="AN1146">
        <v>1400</v>
      </c>
      <c r="AO1146" t="s">
        <v>118</v>
      </c>
      <c r="AP1146">
        <v>-30</v>
      </c>
      <c r="AQ1146">
        <v>85</v>
      </c>
      <c r="AR1146">
        <v>512</v>
      </c>
      <c r="AZ1146">
        <v>1200</v>
      </c>
      <c r="BA1146">
        <v>1</v>
      </c>
      <c r="BB1146" t="str">
        <f t="shared" si="526"/>
        <v xml:space="preserve">N711JA  </v>
      </c>
      <c r="BC1146">
        <v>1</v>
      </c>
      <c r="BE1146">
        <v>0</v>
      </c>
      <c r="BF1146">
        <v>0</v>
      </c>
      <c r="BG1146">
        <v>0</v>
      </c>
      <c r="BH1146">
        <v>1450</v>
      </c>
      <c r="BI1146">
        <v>1</v>
      </c>
      <c r="BJ1146">
        <v>1</v>
      </c>
      <c r="BK1146">
        <v>0</v>
      </c>
      <c r="BL1146">
        <v>0</v>
      </c>
      <c r="BO1146">
        <v>0</v>
      </c>
      <c r="BP1146">
        <v>0</v>
      </c>
      <c r="BW1146" t="str">
        <f t="shared" si="542"/>
        <v>14:43:03.169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343</v>
      </c>
      <c r="CR1146">
        <v>1</v>
      </c>
      <c r="CW1146">
        <v>10634559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 t="shared" si="539"/>
        <v>05/12/2020 14:42:45.356</v>
      </c>
      <c r="C1147" t="str">
        <f t="shared" si="525"/>
        <v>FFDFD3C0</v>
      </c>
      <c r="D1147" t="s">
        <v>131</v>
      </c>
      <c r="E1147">
        <v>18</v>
      </c>
      <c r="F1147">
        <v>2018</v>
      </c>
      <c r="G1147" t="s">
        <v>161</v>
      </c>
      <c r="J1147" t="s">
        <v>133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540"/>
        <v>14:43:03.164</v>
      </c>
      <c r="T1147" t="str">
        <f t="shared" si="541"/>
        <v>14:43:03.064</v>
      </c>
      <c r="U1147" t="str">
        <f t="shared" si="516"/>
        <v>A9808D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343</v>
      </c>
      <c r="AJ1147">
        <v>28.279088000000002</v>
      </c>
      <c r="AK1147" t="s">
        <v>344</v>
      </c>
      <c r="AL1147">
        <v>-82.382913000000002</v>
      </c>
      <c r="AM1147">
        <v>100</v>
      </c>
      <c r="AN1147">
        <v>1400</v>
      </c>
      <c r="AO1147" t="s">
        <v>118</v>
      </c>
      <c r="AP1147">
        <v>-30</v>
      </c>
      <c r="AQ1147">
        <v>85</v>
      </c>
      <c r="AR1147">
        <v>512</v>
      </c>
      <c r="AZ1147">
        <v>1200</v>
      </c>
      <c r="BA1147">
        <v>1</v>
      </c>
      <c r="BB1147" t="str">
        <f t="shared" si="526"/>
        <v xml:space="preserve">N711JA  </v>
      </c>
      <c r="BC1147">
        <v>1</v>
      </c>
      <c r="BE1147">
        <v>0</v>
      </c>
      <c r="BF1147">
        <v>0</v>
      </c>
      <c r="BG1147">
        <v>0</v>
      </c>
      <c r="BH1147">
        <v>1450</v>
      </c>
      <c r="BI1147">
        <v>1</v>
      </c>
      <c r="BJ1147">
        <v>1</v>
      </c>
      <c r="BK1147">
        <v>0</v>
      </c>
      <c r="BL1147">
        <v>0</v>
      </c>
      <c r="BO1147">
        <v>0</v>
      </c>
      <c r="BP1147">
        <v>0</v>
      </c>
      <c r="BW1147" t="str">
        <f t="shared" si="542"/>
        <v>14:43:03.169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343</v>
      </c>
      <c r="CR1147">
        <v>1</v>
      </c>
      <c r="CW1147">
        <v>10634559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 t="shared" ref="A1148:A1156" si="543">"05/12/2020 14:42:46.304"</f>
        <v>05/12/2020 14:42:46.304</v>
      </c>
      <c r="C1148" t="str">
        <f t="shared" si="525"/>
        <v>FFDFD3C0</v>
      </c>
      <c r="D1148" t="s">
        <v>131</v>
      </c>
      <c r="E1148">
        <v>18</v>
      </c>
      <c r="F1148">
        <v>2018</v>
      </c>
      <c r="G1148" t="s">
        <v>161</v>
      </c>
      <c r="J1148" t="s">
        <v>133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ref="S1148:T1156" si="544">"14:43:04.133"</f>
        <v>14:43:04.133</v>
      </c>
      <c r="T1148" t="str">
        <f t="shared" si="544"/>
        <v>14:43:04.133</v>
      </c>
      <c r="U1148" t="str">
        <f t="shared" si="516"/>
        <v>A9808D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345</v>
      </c>
      <c r="AJ1148">
        <v>28.279451999999999</v>
      </c>
      <c r="AK1148" t="s">
        <v>169</v>
      </c>
      <c r="AL1148">
        <v>-82.383083999999997</v>
      </c>
      <c r="AM1148">
        <v>100</v>
      </c>
      <c r="AN1148">
        <v>1400</v>
      </c>
      <c r="AO1148" t="s">
        <v>118</v>
      </c>
      <c r="AP1148">
        <v>-32</v>
      </c>
      <c r="AQ1148">
        <v>85</v>
      </c>
      <c r="AR1148">
        <v>640</v>
      </c>
      <c r="AZ1148">
        <v>1200</v>
      </c>
      <c r="BA1148">
        <v>1</v>
      </c>
      <c r="BB1148" t="str">
        <f t="shared" si="526"/>
        <v xml:space="preserve">N711JA  </v>
      </c>
      <c r="BC1148">
        <v>1</v>
      </c>
      <c r="BE1148">
        <v>0</v>
      </c>
      <c r="BF1148">
        <v>0</v>
      </c>
      <c r="BG1148">
        <v>0</v>
      </c>
      <c r="BH1148">
        <v>1350</v>
      </c>
      <c r="BI1148">
        <v>1</v>
      </c>
      <c r="BJ1148">
        <v>1</v>
      </c>
      <c r="BK1148">
        <v>0</v>
      </c>
      <c r="BL1148">
        <v>0</v>
      </c>
      <c r="BO1148">
        <v>0</v>
      </c>
      <c r="BP1148">
        <v>0</v>
      </c>
      <c r="BW1148" t="str">
        <f t="shared" ref="BW1148:BW1156" si="545">"14:43:04.134"</f>
        <v>14:43:04.134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343</v>
      </c>
      <c r="CR1148">
        <v>2</v>
      </c>
      <c r="CW1148">
        <v>13027779</v>
      </c>
      <c r="CY1148">
        <v>1</v>
      </c>
      <c r="CZ1148">
        <v>0</v>
      </c>
      <c r="DA1148">
        <v>0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si="543"/>
        <v>05/12/2020 14:42:46.304</v>
      </c>
      <c r="C1149" t="str">
        <f t="shared" si="525"/>
        <v>FFDFD3C0</v>
      </c>
      <c r="D1149" t="s">
        <v>126</v>
      </c>
      <c r="E1149">
        <v>6</v>
      </c>
      <c r="F1149">
        <v>1006</v>
      </c>
      <c r="G1149" t="s">
        <v>114</v>
      </c>
      <c r="J1149" t="s">
        <v>128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544"/>
        <v>14:43:04.133</v>
      </c>
      <c r="T1149" t="str">
        <f t="shared" si="544"/>
        <v>14:43:04.133</v>
      </c>
      <c r="U1149" t="str">
        <f t="shared" si="516"/>
        <v>A9808D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345</v>
      </c>
      <c r="AJ1149">
        <v>28.279451999999999</v>
      </c>
      <c r="AK1149" t="s">
        <v>169</v>
      </c>
      <c r="AL1149">
        <v>-82.383083999999997</v>
      </c>
      <c r="AM1149">
        <v>100</v>
      </c>
      <c r="AN1149">
        <v>1400</v>
      </c>
      <c r="AO1149" t="s">
        <v>118</v>
      </c>
      <c r="AP1149">
        <v>-32</v>
      </c>
      <c r="AQ1149">
        <v>85</v>
      </c>
      <c r="AR1149">
        <v>640</v>
      </c>
      <c r="AZ1149">
        <v>1200</v>
      </c>
      <c r="BA1149">
        <v>1</v>
      </c>
      <c r="BB1149" t="str">
        <f t="shared" si="526"/>
        <v xml:space="preserve">N711JA  </v>
      </c>
      <c r="BC1149">
        <v>1</v>
      </c>
      <c r="BE1149">
        <v>0</v>
      </c>
      <c r="BF1149">
        <v>0</v>
      </c>
      <c r="BG1149">
        <v>0</v>
      </c>
      <c r="BH1149">
        <v>1350</v>
      </c>
      <c r="BI1149">
        <v>1</v>
      </c>
      <c r="BJ1149">
        <v>1</v>
      </c>
      <c r="BK1149">
        <v>0</v>
      </c>
      <c r="BL1149">
        <v>0</v>
      </c>
      <c r="BO1149">
        <v>0</v>
      </c>
      <c r="BP1149">
        <v>0</v>
      </c>
      <c r="BW1149" t="str">
        <f t="shared" si="545"/>
        <v>14:43:04.134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343</v>
      </c>
      <c r="CR1149">
        <v>2</v>
      </c>
      <c r="CW1149">
        <v>13027779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543"/>
        <v>05/12/2020 14:42:46.304</v>
      </c>
      <c r="C1150" t="str">
        <f t="shared" si="525"/>
        <v>FFDFD3C0</v>
      </c>
      <c r="D1150" t="s">
        <v>134</v>
      </c>
      <c r="E1150">
        <v>12</v>
      </c>
      <c r="H1150">
        <v>64</v>
      </c>
      <c r="I1150" t="s">
        <v>135</v>
      </c>
      <c r="J1150" t="s">
        <v>136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44"/>
        <v>14:43:04.133</v>
      </c>
      <c r="T1150" t="str">
        <f t="shared" si="544"/>
        <v>14:43:04.133</v>
      </c>
      <c r="U1150" t="str">
        <f t="shared" si="516"/>
        <v>A9808D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345</v>
      </c>
      <c r="AJ1150">
        <v>28.279451999999999</v>
      </c>
      <c r="AK1150" t="s">
        <v>169</v>
      </c>
      <c r="AL1150">
        <v>-82.383083999999997</v>
      </c>
      <c r="AM1150">
        <v>100</v>
      </c>
      <c r="AN1150">
        <v>1400</v>
      </c>
      <c r="AO1150" t="s">
        <v>118</v>
      </c>
      <c r="AP1150">
        <v>-32</v>
      </c>
      <c r="AQ1150">
        <v>85</v>
      </c>
      <c r="AR1150">
        <v>640</v>
      </c>
      <c r="AZ1150">
        <v>1200</v>
      </c>
      <c r="BA1150">
        <v>1</v>
      </c>
      <c r="BB1150" t="str">
        <f t="shared" si="526"/>
        <v xml:space="preserve">N711JA  </v>
      </c>
      <c r="BC1150">
        <v>1</v>
      </c>
      <c r="BE1150">
        <v>0</v>
      </c>
      <c r="BF1150">
        <v>0</v>
      </c>
      <c r="BG1150">
        <v>0</v>
      </c>
      <c r="BH1150">
        <v>1350</v>
      </c>
      <c r="BI1150">
        <v>1</v>
      </c>
      <c r="BJ1150">
        <v>1</v>
      </c>
      <c r="BK1150">
        <v>0</v>
      </c>
      <c r="BL1150">
        <v>0</v>
      </c>
      <c r="BO1150">
        <v>0</v>
      </c>
      <c r="BP1150">
        <v>0</v>
      </c>
      <c r="BW1150" t="str">
        <f t="shared" si="545"/>
        <v>14:43:04.134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343</v>
      </c>
      <c r="CR1150">
        <v>2</v>
      </c>
      <c r="CW1150">
        <v>13027779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 t="shared" si="543"/>
        <v>05/12/2020 14:42:46.304</v>
      </c>
      <c r="C1151" t="str">
        <f t="shared" si="525"/>
        <v>FFDFD3C0</v>
      </c>
      <c r="D1151" t="s">
        <v>113</v>
      </c>
      <c r="E1151">
        <v>3</v>
      </c>
      <c r="H1151">
        <v>164</v>
      </c>
      <c r="I1151" t="s">
        <v>114</v>
      </c>
      <c r="J1151" t="s">
        <v>115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544"/>
        <v>14:43:04.133</v>
      </c>
      <c r="T1151" t="str">
        <f t="shared" si="544"/>
        <v>14:43:04.133</v>
      </c>
      <c r="U1151" t="str">
        <f t="shared" si="516"/>
        <v>A9808D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345</v>
      </c>
      <c r="AJ1151">
        <v>28.279451999999999</v>
      </c>
      <c r="AK1151" t="s">
        <v>169</v>
      </c>
      <c r="AL1151">
        <v>-82.383083999999997</v>
      </c>
      <c r="AM1151">
        <v>100</v>
      </c>
      <c r="AN1151">
        <v>1400</v>
      </c>
      <c r="AO1151" t="s">
        <v>118</v>
      </c>
      <c r="AP1151">
        <v>-32</v>
      </c>
      <c r="AQ1151">
        <v>85</v>
      </c>
      <c r="AR1151">
        <v>640</v>
      </c>
      <c r="AZ1151">
        <v>1200</v>
      </c>
      <c r="BA1151">
        <v>1</v>
      </c>
      <c r="BB1151" t="str">
        <f t="shared" si="526"/>
        <v xml:space="preserve">N711JA  </v>
      </c>
      <c r="BC1151">
        <v>1</v>
      </c>
      <c r="BE1151">
        <v>0</v>
      </c>
      <c r="BF1151">
        <v>0</v>
      </c>
      <c r="BG1151">
        <v>0</v>
      </c>
      <c r="BH1151">
        <v>1350</v>
      </c>
      <c r="BI1151">
        <v>1</v>
      </c>
      <c r="BJ1151">
        <v>1</v>
      </c>
      <c r="BK1151">
        <v>0</v>
      </c>
      <c r="BL1151">
        <v>0</v>
      </c>
      <c r="BO1151">
        <v>0</v>
      </c>
      <c r="BP1151">
        <v>0</v>
      </c>
      <c r="BW1151" t="str">
        <f t="shared" si="545"/>
        <v>14:43:04.134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343</v>
      </c>
      <c r="CR1151">
        <v>2</v>
      </c>
      <c r="CW1151">
        <v>13027779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 t="shared" si="543"/>
        <v>05/12/2020 14:42:46.304</v>
      </c>
      <c r="C1152" t="str">
        <f t="shared" si="525"/>
        <v>FFDFD3C0</v>
      </c>
      <c r="D1152" t="s">
        <v>138</v>
      </c>
      <c r="E1152">
        <v>2</v>
      </c>
      <c r="H1152">
        <v>8</v>
      </c>
      <c r="I1152" t="s">
        <v>139</v>
      </c>
      <c r="J1152" t="s">
        <v>136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44"/>
        <v>14:43:04.133</v>
      </c>
      <c r="T1152" t="str">
        <f t="shared" si="544"/>
        <v>14:43:04.133</v>
      </c>
      <c r="U1152" t="str">
        <f t="shared" si="516"/>
        <v>A9808D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345</v>
      </c>
      <c r="AJ1152">
        <v>28.279451999999999</v>
      </c>
      <c r="AK1152" t="s">
        <v>169</v>
      </c>
      <c r="AL1152">
        <v>-82.383083999999997</v>
      </c>
      <c r="AM1152">
        <v>100</v>
      </c>
      <c r="AN1152">
        <v>1400</v>
      </c>
      <c r="AO1152" t="s">
        <v>118</v>
      </c>
      <c r="AP1152">
        <v>-32</v>
      </c>
      <c r="AQ1152">
        <v>85</v>
      </c>
      <c r="AR1152">
        <v>640</v>
      </c>
      <c r="AZ1152">
        <v>1200</v>
      </c>
      <c r="BA1152">
        <v>1</v>
      </c>
      <c r="BB1152" t="str">
        <f t="shared" si="526"/>
        <v xml:space="preserve">N711JA  </v>
      </c>
      <c r="BC1152">
        <v>1</v>
      </c>
      <c r="BE1152">
        <v>0</v>
      </c>
      <c r="BF1152">
        <v>0</v>
      </c>
      <c r="BG1152">
        <v>0</v>
      </c>
      <c r="BH1152">
        <v>1350</v>
      </c>
      <c r="BI1152">
        <v>1</v>
      </c>
      <c r="BJ1152">
        <v>1</v>
      </c>
      <c r="BK1152">
        <v>0</v>
      </c>
      <c r="BL1152">
        <v>0</v>
      </c>
      <c r="BO1152">
        <v>0</v>
      </c>
      <c r="BP1152">
        <v>0</v>
      </c>
      <c r="BW1152" t="str">
        <f t="shared" si="545"/>
        <v>14:43:04.134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343</v>
      </c>
      <c r="CR1152">
        <v>2</v>
      </c>
      <c r="CW1152">
        <v>13027779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 t="shared" si="543"/>
        <v>05/12/2020 14:42:46.304</v>
      </c>
      <c r="C1153" t="str">
        <f t="shared" si="525"/>
        <v>FFDFD3C0</v>
      </c>
      <c r="D1153" t="s">
        <v>138</v>
      </c>
      <c r="E1153">
        <v>3</v>
      </c>
      <c r="H1153">
        <v>9</v>
      </c>
      <c r="I1153" t="s">
        <v>140</v>
      </c>
      <c r="J1153" t="s">
        <v>136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544"/>
        <v>14:43:04.133</v>
      </c>
      <c r="T1153" t="str">
        <f t="shared" si="544"/>
        <v>14:43:04.133</v>
      </c>
      <c r="U1153" t="str">
        <f t="shared" si="516"/>
        <v>A9808D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345</v>
      </c>
      <c r="AJ1153">
        <v>28.279451999999999</v>
      </c>
      <c r="AK1153" t="s">
        <v>169</v>
      </c>
      <c r="AL1153">
        <v>-82.383083999999997</v>
      </c>
      <c r="AM1153">
        <v>100</v>
      </c>
      <c r="AN1153">
        <v>1400</v>
      </c>
      <c r="AO1153" t="s">
        <v>118</v>
      </c>
      <c r="AP1153">
        <v>-32</v>
      </c>
      <c r="AQ1153">
        <v>85</v>
      </c>
      <c r="AR1153">
        <v>640</v>
      </c>
      <c r="AZ1153">
        <v>1200</v>
      </c>
      <c r="BA1153">
        <v>1</v>
      </c>
      <c r="BB1153" t="str">
        <f t="shared" si="526"/>
        <v xml:space="preserve">N711JA  </v>
      </c>
      <c r="BC1153">
        <v>1</v>
      </c>
      <c r="BE1153">
        <v>0</v>
      </c>
      <c r="BF1153">
        <v>0</v>
      </c>
      <c r="BG1153">
        <v>0</v>
      </c>
      <c r="BH1153">
        <v>1350</v>
      </c>
      <c r="BI1153">
        <v>1</v>
      </c>
      <c r="BJ1153">
        <v>1</v>
      </c>
      <c r="BK1153">
        <v>0</v>
      </c>
      <c r="BL1153">
        <v>0</v>
      </c>
      <c r="BO1153">
        <v>0</v>
      </c>
      <c r="BP1153">
        <v>0</v>
      </c>
      <c r="BW1153" t="str">
        <f t="shared" si="545"/>
        <v>14:43:04.134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343</v>
      </c>
      <c r="CR1153">
        <v>2</v>
      </c>
      <c r="CW1153">
        <v>13027779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 t="shared" si="543"/>
        <v>05/12/2020 14:42:46.304</v>
      </c>
      <c r="C1154" t="str">
        <f t="shared" si="525"/>
        <v>FFDFD3C0</v>
      </c>
      <c r="D1154" t="s">
        <v>126</v>
      </c>
      <c r="E1154">
        <v>7</v>
      </c>
      <c r="F1154">
        <v>1007</v>
      </c>
      <c r="G1154" t="s">
        <v>127</v>
      </c>
      <c r="J1154" t="s">
        <v>128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544"/>
        <v>14:43:04.133</v>
      </c>
      <c r="T1154" t="str">
        <f t="shared" si="544"/>
        <v>14:43:04.133</v>
      </c>
      <c r="U1154" t="str">
        <f t="shared" ref="U1154:U1217" si="546">"A9808D"</f>
        <v>A9808D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345</v>
      </c>
      <c r="AJ1154">
        <v>28.279451999999999</v>
      </c>
      <c r="AK1154" t="s">
        <v>169</v>
      </c>
      <c r="AL1154">
        <v>-82.383083999999997</v>
      </c>
      <c r="AM1154">
        <v>100</v>
      </c>
      <c r="AN1154">
        <v>1400</v>
      </c>
      <c r="AO1154" t="s">
        <v>118</v>
      </c>
      <c r="AP1154">
        <v>-32</v>
      </c>
      <c r="AQ1154">
        <v>85</v>
      </c>
      <c r="AR1154">
        <v>640</v>
      </c>
      <c r="AZ1154">
        <v>1200</v>
      </c>
      <c r="BA1154">
        <v>1</v>
      </c>
      <c r="BB1154" t="str">
        <f t="shared" si="526"/>
        <v xml:space="preserve">N711JA  </v>
      </c>
      <c r="BC1154">
        <v>1</v>
      </c>
      <c r="BE1154">
        <v>0</v>
      </c>
      <c r="BF1154">
        <v>0</v>
      </c>
      <c r="BG1154">
        <v>0</v>
      </c>
      <c r="BH1154">
        <v>1350</v>
      </c>
      <c r="BI1154">
        <v>1</v>
      </c>
      <c r="BJ1154">
        <v>1</v>
      </c>
      <c r="BK1154">
        <v>0</v>
      </c>
      <c r="BL1154">
        <v>0</v>
      </c>
      <c r="BO1154">
        <v>0</v>
      </c>
      <c r="BP1154">
        <v>0</v>
      </c>
      <c r="BW1154" t="str">
        <f t="shared" si="545"/>
        <v>14:43:04.134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343</v>
      </c>
      <c r="CR1154">
        <v>2</v>
      </c>
      <c r="CW1154">
        <v>13027779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 t="shared" si="543"/>
        <v>05/12/2020 14:42:46.304</v>
      </c>
      <c r="C1155" t="str">
        <f t="shared" si="525"/>
        <v>FFDFD3C0</v>
      </c>
      <c r="D1155" t="s">
        <v>131</v>
      </c>
      <c r="E1155">
        <v>10</v>
      </c>
      <c r="F1155">
        <v>2010</v>
      </c>
      <c r="G1155" t="s">
        <v>132</v>
      </c>
      <c r="J1155" t="s">
        <v>133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544"/>
        <v>14:43:04.133</v>
      </c>
      <c r="T1155" t="str">
        <f t="shared" si="544"/>
        <v>14:43:04.133</v>
      </c>
      <c r="U1155" t="str">
        <f t="shared" si="546"/>
        <v>A9808D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345</v>
      </c>
      <c r="AJ1155">
        <v>28.279451999999999</v>
      </c>
      <c r="AK1155" t="s">
        <v>169</v>
      </c>
      <c r="AL1155">
        <v>-82.383083999999997</v>
      </c>
      <c r="AM1155">
        <v>100</v>
      </c>
      <c r="AN1155">
        <v>1400</v>
      </c>
      <c r="AO1155" t="s">
        <v>118</v>
      </c>
      <c r="AP1155">
        <v>-32</v>
      </c>
      <c r="AQ1155">
        <v>85</v>
      </c>
      <c r="AR1155">
        <v>640</v>
      </c>
      <c r="AZ1155">
        <v>1200</v>
      </c>
      <c r="BA1155">
        <v>1</v>
      </c>
      <c r="BB1155" t="str">
        <f t="shared" si="526"/>
        <v xml:space="preserve">N711JA  </v>
      </c>
      <c r="BC1155">
        <v>1</v>
      </c>
      <c r="BE1155">
        <v>0</v>
      </c>
      <c r="BF1155">
        <v>0</v>
      </c>
      <c r="BG1155">
        <v>0</v>
      </c>
      <c r="BH1155">
        <v>1350</v>
      </c>
      <c r="BI1155">
        <v>1</v>
      </c>
      <c r="BJ1155">
        <v>1</v>
      </c>
      <c r="BK1155">
        <v>0</v>
      </c>
      <c r="BL1155">
        <v>0</v>
      </c>
      <c r="BO1155">
        <v>0</v>
      </c>
      <c r="BP1155">
        <v>0</v>
      </c>
      <c r="BW1155" t="str">
        <f t="shared" si="545"/>
        <v>14:43:04.134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343</v>
      </c>
      <c r="CR1155">
        <v>2</v>
      </c>
      <c r="CW1155">
        <v>13027779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 t="shared" si="543"/>
        <v>05/12/2020 14:42:46.304</v>
      </c>
      <c r="C1156" t="str">
        <f t="shared" si="525"/>
        <v>FFDFD3C0</v>
      </c>
      <c r="D1156" t="s">
        <v>131</v>
      </c>
      <c r="E1156">
        <v>12</v>
      </c>
      <c r="F1156">
        <v>2012</v>
      </c>
      <c r="G1156" t="s">
        <v>137</v>
      </c>
      <c r="J1156" t="s">
        <v>133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544"/>
        <v>14:43:04.133</v>
      </c>
      <c r="T1156" t="str">
        <f t="shared" si="544"/>
        <v>14:43:04.133</v>
      </c>
      <c r="U1156" t="str">
        <f t="shared" si="546"/>
        <v>A9808D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345</v>
      </c>
      <c r="AJ1156">
        <v>28.279451999999999</v>
      </c>
      <c r="AK1156" t="s">
        <v>169</v>
      </c>
      <c r="AL1156">
        <v>-82.383083999999997</v>
      </c>
      <c r="AM1156">
        <v>100</v>
      </c>
      <c r="AN1156">
        <v>1400</v>
      </c>
      <c r="AO1156" t="s">
        <v>118</v>
      </c>
      <c r="AP1156">
        <v>-32</v>
      </c>
      <c r="AQ1156">
        <v>85</v>
      </c>
      <c r="AR1156">
        <v>640</v>
      </c>
      <c r="AZ1156">
        <v>1200</v>
      </c>
      <c r="BA1156">
        <v>1</v>
      </c>
      <c r="BB1156" t="str">
        <f t="shared" si="526"/>
        <v xml:space="preserve">N711JA  </v>
      </c>
      <c r="BC1156">
        <v>1</v>
      </c>
      <c r="BE1156">
        <v>0</v>
      </c>
      <c r="BF1156">
        <v>0</v>
      </c>
      <c r="BG1156">
        <v>0</v>
      </c>
      <c r="BH1156">
        <v>1350</v>
      </c>
      <c r="BI1156">
        <v>1</v>
      </c>
      <c r="BJ1156">
        <v>1</v>
      </c>
      <c r="BK1156">
        <v>0</v>
      </c>
      <c r="BL1156">
        <v>0</v>
      </c>
      <c r="BO1156">
        <v>0</v>
      </c>
      <c r="BP1156">
        <v>0</v>
      </c>
      <c r="BW1156" t="str">
        <f t="shared" si="545"/>
        <v>14:43:04.134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343</v>
      </c>
      <c r="CR1156">
        <v>2</v>
      </c>
      <c r="CW1156">
        <v>13027779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 t="shared" ref="A1157:A1165" si="547">"05/12/2020 14:42:47.369"</f>
        <v>05/12/2020 14:42:47.369</v>
      </c>
      <c r="C1157" t="str">
        <f t="shared" si="525"/>
        <v>FFDFD3C0</v>
      </c>
      <c r="D1157" t="s">
        <v>126</v>
      </c>
      <c r="E1157">
        <v>6</v>
      </c>
      <c r="F1157">
        <v>1006</v>
      </c>
      <c r="G1157" t="s">
        <v>114</v>
      </c>
      <c r="J1157" t="s">
        <v>128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ref="S1157:S1165" si="548">"14:43:05.195"</f>
        <v>14:43:05.195</v>
      </c>
      <c r="T1157" t="str">
        <f t="shared" ref="T1157:T1165" si="549">"14:43:05.095"</f>
        <v>14:43:05.095</v>
      </c>
      <c r="U1157" t="str">
        <f t="shared" si="546"/>
        <v>A9808D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346</v>
      </c>
      <c r="AJ1157">
        <v>28.279881</v>
      </c>
      <c r="AK1157" t="s">
        <v>347</v>
      </c>
      <c r="AL1157">
        <v>-82.383234999999999</v>
      </c>
      <c r="AM1157">
        <v>100</v>
      </c>
      <c r="AN1157">
        <v>1400</v>
      </c>
      <c r="AO1157" t="s">
        <v>118</v>
      </c>
      <c r="AP1157">
        <v>-33</v>
      </c>
      <c r="AQ1157">
        <v>85</v>
      </c>
      <c r="AR1157">
        <v>704</v>
      </c>
      <c r="AZ1157">
        <v>1200</v>
      </c>
      <c r="BA1157">
        <v>1</v>
      </c>
      <c r="BB1157" t="str">
        <f t="shared" si="526"/>
        <v xml:space="preserve">N711JA  </v>
      </c>
      <c r="BC1157">
        <v>1</v>
      </c>
      <c r="BE1157">
        <v>0</v>
      </c>
      <c r="BF1157">
        <v>0</v>
      </c>
      <c r="BG1157">
        <v>0</v>
      </c>
      <c r="BH1157">
        <v>1475</v>
      </c>
      <c r="BI1157">
        <v>1</v>
      </c>
      <c r="BJ1157">
        <v>1</v>
      </c>
      <c r="BK1157">
        <v>0</v>
      </c>
      <c r="BL1157">
        <v>0</v>
      </c>
      <c r="BO1157">
        <v>0</v>
      </c>
      <c r="BP1157">
        <v>0</v>
      </c>
      <c r="BW1157" t="str">
        <f t="shared" ref="BW1157:BW1165" si="550">"14:43:05.202"</f>
        <v>14:43:05.202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343</v>
      </c>
      <c r="CR1157">
        <v>2</v>
      </c>
      <c r="CW1157">
        <v>13028546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 t="shared" si="547"/>
        <v>05/12/2020 14:42:47.369</v>
      </c>
      <c r="C1158" t="str">
        <f t="shared" si="525"/>
        <v>FFDFD3C0</v>
      </c>
      <c r="D1158" t="s">
        <v>134</v>
      </c>
      <c r="E1158">
        <v>12</v>
      </c>
      <c r="H1158">
        <v>64</v>
      </c>
      <c r="I1158" t="s">
        <v>135</v>
      </c>
      <c r="J1158" t="s">
        <v>136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548"/>
        <v>14:43:05.195</v>
      </c>
      <c r="T1158" t="str">
        <f t="shared" si="549"/>
        <v>14:43:05.095</v>
      </c>
      <c r="U1158" t="str">
        <f t="shared" si="546"/>
        <v>A9808D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346</v>
      </c>
      <c r="AJ1158">
        <v>28.279881</v>
      </c>
      <c r="AK1158" t="s">
        <v>347</v>
      </c>
      <c r="AL1158">
        <v>-82.383234999999999</v>
      </c>
      <c r="AM1158">
        <v>100</v>
      </c>
      <c r="AN1158">
        <v>1400</v>
      </c>
      <c r="AO1158" t="s">
        <v>118</v>
      </c>
      <c r="AP1158">
        <v>-33</v>
      </c>
      <c r="AQ1158">
        <v>85</v>
      </c>
      <c r="AR1158">
        <v>704</v>
      </c>
      <c r="AZ1158">
        <v>1200</v>
      </c>
      <c r="BA1158">
        <v>1</v>
      </c>
      <c r="BB1158" t="str">
        <f t="shared" si="526"/>
        <v xml:space="preserve">N711JA  </v>
      </c>
      <c r="BC1158">
        <v>1</v>
      </c>
      <c r="BE1158">
        <v>0</v>
      </c>
      <c r="BF1158">
        <v>0</v>
      </c>
      <c r="BG1158">
        <v>0</v>
      </c>
      <c r="BH1158">
        <v>1475</v>
      </c>
      <c r="BI1158">
        <v>1</v>
      </c>
      <c r="BJ1158">
        <v>1</v>
      </c>
      <c r="BK1158">
        <v>0</v>
      </c>
      <c r="BL1158">
        <v>0</v>
      </c>
      <c r="BO1158">
        <v>0</v>
      </c>
      <c r="BP1158">
        <v>0</v>
      </c>
      <c r="BW1158" t="str">
        <f t="shared" si="550"/>
        <v>14:43:05.202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343</v>
      </c>
      <c r="CR1158">
        <v>2</v>
      </c>
      <c r="CW1158">
        <v>13028546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 t="shared" si="547"/>
        <v>05/12/2020 14:42:47.369</v>
      </c>
      <c r="C1159" t="str">
        <f t="shared" si="525"/>
        <v>FFDFD3C0</v>
      </c>
      <c r="D1159" t="s">
        <v>113</v>
      </c>
      <c r="E1159">
        <v>3</v>
      </c>
      <c r="H1159">
        <v>164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548"/>
        <v>14:43:05.195</v>
      </c>
      <c r="T1159" t="str">
        <f t="shared" si="549"/>
        <v>14:43:05.095</v>
      </c>
      <c r="U1159" t="str">
        <f t="shared" si="546"/>
        <v>A9808D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346</v>
      </c>
      <c r="AJ1159">
        <v>28.279881</v>
      </c>
      <c r="AK1159" t="s">
        <v>347</v>
      </c>
      <c r="AL1159">
        <v>-82.383234999999999</v>
      </c>
      <c r="AM1159">
        <v>100</v>
      </c>
      <c r="AN1159">
        <v>1400</v>
      </c>
      <c r="AO1159" t="s">
        <v>118</v>
      </c>
      <c r="AP1159">
        <v>-33</v>
      </c>
      <c r="AQ1159">
        <v>85</v>
      </c>
      <c r="AR1159">
        <v>704</v>
      </c>
      <c r="AZ1159">
        <v>1200</v>
      </c>
      <c r="BA1159">
        <v>1</v>
      </c>
      <c r="BB1159" t="str">
        <f t="shared" si="526"/>
        <v xml:space="preserve">N711JA  </v>
      </c>
      <c r="BC1159">
        <v>1</v>
      </c>
      <c r="BE1159">
        <v>0</v>
      </c>
      <c r="BF1159">
        <v>0</v>
      </c>
      <c r="BG1159">
        <v>0</v>
      </c>
      <c r="BH1159">
        <v>1475</v>
      </c>
      <c r="BI1159">
        <v>1</v>
      </c>
      <c r="BJ1159">
        <v>1</v>
      </c>
      <c r="BK1159">
        <v>0</v>
      </c>
      <c r="BL1159">
        <v>0</v>
      </c>
      <c r="BO1159">
        <v>0</v>
      </c>
      <c r="BP1159">
        <v>0</v>
      </c>
      <c r="BW1159" t="str">
        <f t="shared" si="550"/>
        <v>14:43:05.202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343</v>
      </c>
      <c r="CR1159">
        <v>2</v>
      </c>
      <c r="CW1159">
        <v>13028546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 t="shared" si="547"/>
        <v>05/12/2020 14:42:47.369</v>
      </c>
      <c r="C1160" t="str">
        <f t="shared" si="525"/>
        <v>FFDFD3C0</v>
      </c>
      <c r="D1160" t="s">
        <v>131</v>
      </c>
      <c r="E1160">
        <v>10</v>
      </c>
      <c r="F1160">
        <v>2010</v>
      </c>
      <c r="G1160" t="s">
        <v>132</v>
      </c>
      <c r="J1160" t="s">
        <v>133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548"/>
        <v>14:43:05.195</v>
      </c>
      <c r="T1160" t="str">
        <f t="shared" si="549"/>
        <v>14:43:05.095</v>
      </c>
      <c r="U1160" t="str">
        <f t="shared" si="546"/>
        <v>A9808D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346</v>
      </c>
      <c r="AJ1160">
        <v>28.279881</v>
      </c>
      <c r="AK1160" t="s">
        <v>347</v>
      </c>
      <c r="AL1160">
        <v>-82.383234999999999</v>
      </c>
      <c r="AM1160">
        <v>100</v>
      </c>
      <c r="AN1160">
        <v>1400</v>
      </c>
      <c r="AO1160" t="s">
        <v>118</v>
      </c>
      <c r="AP1160">
        <v>-33</v>
      </c>
      <c r="AQ1160">
        <v>85</v>
      </c>
      <c r="AR1160">
        <v>704</v>
      </c>
      <c r="AZ1160">
        <v>1200</v>
      </c>
      <c r="BA1160">
        <v>1</v>
      </c>
      <c r="BB1160" t="str">
        <f t="shared" si="526"/>
        <v xml:space="preserve">N711JA  </v>
      </c>
      <c r="BC1160">
        <v>1</v>
      </c>
      <c r="BE1160">
        <v>0</v>
      </c>
      <c r="BF1160">
        <v>0</v>
      </c>
      <c r="BG1160">
        <v>0</v>
      </c>
      <c r="BH1160">
        <v>1475</v>
      </c>
      <c r="BI1160">
        <v>1</v>
      </c>
      <c r="BJ1160">
        <v>1</v>
      </c>
      <c r="BK1160">
        <v>0</v>
      </c>
      <c r="BL1160">
        <v>0</v>
      </c>
      <c r="BO1160">
        <v>0</v>
      </c>
      <c r="BP1160">
        <v>0</v>
      </c>
      <c r="BW1160" t="str">
        <f t="shared" si="550"/>
        <v>14:43:05.202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343</v>
      </c>
      <c r="CR1160">
        <v>2</v>
      </c>
      <c r="CW1160">
        <v>13028546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 t="shared" si="547"/>
        <v>05/12/2020 14:42:47.369</v>
      </c>
      <c r="C1161" t="str">
        <f t="shared" si="525"/>
        <v>FFDFD3C0</v>
      </c>
      <c r="D1161" t="s">
        <v>126</v>
      </c>
      <c r="E1161">
        <v>7</v>
      </c>
      <c r="F1161">
        <v>1007</v>
      </c>
      <c r="G1161" t="s">
        <v>127</v>
      </c>
      <c r="J1161" t="s">
        <v>128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548"/>
        <v>14:43:05.195</v>
      </c>
      <c r="T1161" t="str">
        <f t="shared" si="549"/>
        <v>14:43:05.095</v>
      </c>
      <c r="U1161" t="str">
        <f t="shared" si="546"/>
        <v>A9808D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346</v>
      </c>
      <c r="AJ1161">
        <v>28.279881</v>
      </c>
      <c r="AK1161" t="s">
        <v>347</v>
      </c>
      <c r="AL1161">
        <v>-82.383234999999999</v>
      </c>
      <c r="AM1161">
        <v>100</v>
      </c>
      <c r="AN1161">
        <v>1400</v>
      </c>
      <c r="AO1161" t="s">
        <v>118</v>
      </c>
      <c r="AP1161">
        <v>-33</v>
      </c>
      <c r="AQ1161">
        <v>85</v>
      </c>
      <c r="AR1161">
        <v>704</v>
      </c>
      <c r="AZ1161">
        <v>1200</v>
      </c>
      <c r="BA1161">
        <v>1</v>
      </c>
      <c r="BB1161" t="str">
        <f t="shared" si="526"/>
        <v xml:space="preserve">N711JA  </v>
      </c>
      <c r="BC1161">
        <v>1</v>
      </c>
      <c r="BE1161">
        <v>0</v>
      </c>
      <c r="BF1161">
        <v>0</v>
      </c>
      <c r="BG1161">
        <v>0</v>
      </c>
      <c r="BH1161">
        <v>1475</v>
      </c>
      <c r="BI1161">
        <v>1</v>
      </c>
      <c r="BJ1161">
        <v>1</v>
      </c>
      <c r="BK1161">
        <v>0</v>
      </c>
      <c r="BL1161">
        <v>0</v>
      </c>
      <c r="BO1161">
        <v>0</v>
      </c>
      <c r="BP1161">
        <v>0</v>
      </c>
      <c r="BW1161" t="str">
        <f t="shared" si="550"/>
        <v>14:43:05.202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343</v>
      </c>
      <c r="CR1161">
        <v>2</v>
      </c>
      <c r="CW1161">
        <v>13028546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 t="shared" si="547"/>
        <v>05/12/2020 14:42:47.369</v>
      </c>
      <c r="C1162" t="str">
        <f t="shared" si="525"/>
        <v>FFDFD3C0</v>
      </c>
      <c r="D1162" t="s">
        <v>131</v>
      </c>
      <c r="E1162">
        <v>12</v>
      </c>
      <c r="F1162">
        <v>2012</v>
      </c>
      <c r="G1162" t="s">
        <v>137</v>
      </c>
      <c r="J1162" t="s">
        <v>133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548"/>
        <v>14:43:05.195</v>
      </c>
      <c r="T1162" t="str">
        <f t="shared" si="549"/>
        <v>14:43:05.095</v>
      </c>
      <c r="U1162" t="str">
        <f t="shared" si="546"/>
        <v>A9808D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346</v>
      </c>
      <c r="AJ1162">
        <v>28.279881</v>
      </c>
      <c r="AK1162" t="s">
        <v>347</v>
      </c>
      <c r="AL1162">
        <v>-82.383234999999999</v>
      </c>
      <c r="AM1162">
        <v>100</v>
      </c>
      <c r="AN1162">
        <v>1400</v>
      </c>
      <c r="AO1162" t="s">
        <v>118</v>
      </c>
      <c r="AP1162">
        <v>-33</v>
      </c>
      <c r="AQ1162">
        <v>85</v>
      </c>
      <c r="AR1162">
        <v>704</v>
      </c>
      <c r="AZ1162">
        <v>1200</v>
      </c>
      <c r="BA1162">
        <v>1</v>
      </c>
      <c r="BB1162" t="str">
        <f t="shared" si="526"/>
        <v xml:space="preserve">N711JA  </v>
      </c>
      <c r="BC1162">
        <v>1</v>
      </c>
      <c r="BE1162">
        <v>0</v>
      </c>
      <c r="BF1162">
        <v>0</v>
      </c>
      <c r="BG1162">
        <v>0</v>
      </c>
      <c r="BH1162">
        <v>1475</v>
      </c>
      <c r="BI1162">
        <v>1</v>
      </c>
      <c r="BJ1162">
        <v>1</v>
      </c>
      <c r="BK1162">
        <v>0</v>
      </c>
      <c r="BL1162">
        <v>0</v>
      </c>
      <c r="BO1162">
        <v>0</v>
      </c>
      <c r="BP1162">
        <v>0</v>
      </c>
      <c r="BW1162" t="str">
        <f t="shared" si="550"/>
        <v>14:43:05.202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343</v>
      </c>
      <c r="CR1162">
        <v>2</v>
      </c>
      <c r="CW1162">
        <v>13028546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 t="shared" si="547"/>
        <v>05/12/2020 14:42:47.369</v>
      </c>
      <c r="C1163" t="str">
        <f t="shared" si="525"/>
        <v>FFDFD3C0</v>
      </c>
      <c r="D1163" t="s">
        <v>131</v>
      </c>
      <c r="E1163">
        <v>18</v>
      </c>
      <c r="F1163">
        <v>2018</v>
      </c>
      <c r="G1163" t="s">
        <v>161</v>
      </c>
      <c r="J1163" t="s">
        <v>133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548"/>
        <v>14:43:05.195</v>
      </c>
      <c r="T1163" t="str">
        <f t="shared" si="549"/>
        <v>14:43:05.095</v>
      </c>
      <c r="U1163" t="str">
        <f t="shared" si="546"/>
        <v>A9808D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346</v>
      </c>
      <c r="AJ1163">
        <v>28.279881</v>
      </c>
      <c r="AK1163" t="s">
        <v>347</v>
      </c>
      <c r="AL1163">
        <v>-82.383234999999999</v>
      </c>
      <c r="AM1163">
        <v>100</v>
      </c>
      <c r="AN1163">
        <v>1400</v>
      </c>
      <c r="AO1163" t="s">
        <v>118</v>
      </c>
      <c r="AP1163">
        <v>-33</v>
      </c>
      <c r="AQ1163">
        <v>85</v>
      </c>
      <c r="AR1163">
        <v>704</v>
      </c>
      <c r="AZ1163">
        <v>1200</v>
      </c>
      <c r="BA1163">
        <v>1</v>
      </c>
      <c r="BB1163" t="str">
        <f t="shared" si="526"/>
        <v xml:space="preserve">N711JA  </v>
      </c>
      <c r="BC1163">
        <v>1</v>
      </c>
      <c r="BE1163">
        <v>0</v>
      </c>
      <c r="BF1163">
        <v>0</v>
      </c>
      <c r="BG1163">
        <v>0</v>
      </c>
      <c r="BH1163">
        <v>1475</v>
      </c>
      <c r="BI1163">
        <v>1</v>
      </c>
      <c r="BJ1163">
        <v>1</v>
      </c>
      <c r="BK1163">
        <v>0</v>
      </c>
      <c r="BL1163">
        <v>0</v>
      </c>
      <c r="BO1163">
        <v>0</v>
      </c>
      <c r="BP1163">
        <v>0</v>
      </c>
      <c r="BW1163" t="str">
        <f t="shared" si="550"/>
        <v>14:43:05.202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343</v>
      </c>
      <c r="CR1163">
        <v>2</v>
      </c>
      <c r="CW1163">
        <v>13028546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 t="shared" si="547"/>
        <v>05/12/2020 14:42:47.369</v>
      </c>
      <c r="C1164" t="str">
        <f t="shared" si="525"/>
        <v>FFDFD3C0</v>
      </c>
      <c r="D1164" t="s">
        <v>138</v>
      </c>
      <c r="E1164">
        <v>2</v>
      </c>
      <c r="H1164">
        <v>8</v>
      </c>
      <c r="I1164" t="s">
        <v>139</v>
      </c>
      <c r="J1164" t="s">
        <v>136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548"/>
        <v>14:43:05.195</v>
      </c>
      <c r="T1164" t="str">
        <f t="shared" si="549"/>
        <v>14:43:05.095</v>
      </c>
      <c r="U1164" t="str">
        <f t="shared" si="546"/>
        <v>A9808D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346</v>
      </c>
      <c r="AJ1164">
        <v>28.279881</v>
      </c>
      <c r="AK1164" t="s">
        <v>347</v>
      </c>
      <c r="AL1164">
        <v>-82.383234999999999</v>
      </c>
      <c r="AM1164">
        <v>100</v>
      </c>
      <c r="AN1164">
        <v>1400</v>
      </c>
      <c r="AO1164" t="s">
        <v>118</v>
      </c>
      <c r="AP1164">
        <v>-33</v>
      </c>
      <c r="AQ1164">
        <v>85</v>
      </c>
      <c r="AR1164">
        <v>704</v>
      </c>
      <c r="AZ1164">
        <v>1200</v>
      </c>
      <c r="BA1164">
        <v>1</v>
      </c>
      <c r="BB1164" t="str">
        <f t="shared" si="526"/>
        <v xml:space="preserve">N711JA  </v>
      </c>
      <c r="BC1164">
        <v>1</v>
      </c>
      <c r="BE1164">
        <v>0</v>
      </c>
      <c r="BF1164">
        <v>0</v>
      </c>
      <c r="BG1164">
        <v>0</v>
      </c>
      <c r="BH1164">
        <v>1475</v>
      </c>
      <c r="BI1164">
        <v>1</v>
      </c>
      <c r="BJ1164">
        <v>1</v>
      </c>
      <c r="BK1164">
        <v>0</v>
      </c>
      <c r="BL1164">
        <v>0</v>
      </c>
      <c r="BO1164">
        <v>0</v>
      </c>
      <c r="BP1164">
        <v>0</v>
      </c>
      <c r="BW1164" t="str">
        <f t="shared" si="550"/>
        <v>14:43:05.202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343</v>
      </c>
      <c r="CR1164">
        <v>2</v>
      </c>
      <c r="CW1164">
        <v>13028546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si="547"/>
        <v>05/12/2020 14:42:47.369</v>
      </c>
      <c r="C1165" t="str">
        <f t="shared" si="525"/>
        <v>FFDFD3C0</v>
      </c>
      <c r="D1165" t="s">
        <v>138</v>
      </c>
      <c r="E1165">
        <v>3</v>
      </c>
      <c r="H1165">
        <v>9</v>
      </c>
      <c r="I1165" t="s">
        <v>140</v>
      </c>
      <c r="J1165" t="s">
        <v>136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548"/>
        <v>14:43:05.195</v>
      </c>
      <c r="T1165" t="str">
        <f t="shared" si="549"/>
        <v>14:43:05.095</v>
      </c>
      <c r="U1165" t="str">
        <f t="shared" si="546"/>
        <v>A9808D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346</v>
      </c>
      <c r="AJ1165">
        <v>28.279881</v>
      </c>
      <c r="AK1165" t="s">
        <v>347</v>
      </c>
      <c r="AL1165">
        <v>-82.383234999999999</v>
      </c>
      <c r="AM1165">
        <v>100</v>
      </c>
      <c r="AN1165">
        <v>1400</v>
      </c>
      <c r="AO1165" t="s">
        <v>118</v>
      </c>
      <c r="AP1165">
        <v>-33</v>
      </c>
      <c r="AQ1165">
        <v>85</v>
      </c>
      <c r="AR1165">
        <v>704</v>
      </c>
      <c r="AZ1165">
        <v>1200</v>
      </c>
      <c r="BA1165">
        <v>1</v>
      </c>
      <c r="BB1165" t="str">
        <f t="shared" si="526"/>
        <v xml:space="preserve">N711JA  </v>
      </c>
      <c r="BC1165">
        <v>1</v>
      </c>
      <c r="BE1165">
        <v>0</v>
      </c>
      <c r="BF1165">
        <v>0</v>
      </c>
      <c r="BG1165">
        <v>0</v>
      </c>
      <c r="BH1165">
        <v>1475</v>
      </c>
      <c r="BI1165">
        <v>1</v>
      </c>
      <c r="BJ1165">
        <v>1</v>
      </c>
      <c r="BK1165">
        <v>0</v>
      </c>
      <c r="BL1165">
        <v>0</v>
      </c>
      <c r="BO1165">
        <v>0</v>
      </c>
      <c r="BP1165">
        <v>0</v>
      </c>
      <c r="BW1165" t="str">
        <f t="shared" si="550"/>
        <v>14:43:05.202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343</v>
      </c>
      <c r="CR1165">
        <v>2</v>
      </c>
      <c r="CW1165">
        <v>13028546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ref="A1166:A1174" si="551">"05/12/2020 14:42:48.314"</f>
        <v>05/12/2020 14:42:48.314</v>
      </c>
      <c r="C1166" t="str">
        <f t="shared" si="525"/>
        <v>FFDFD3C0</v>
      </c>
      <c r="D1166" t="s">
        <v>131</v>
      </c>
      <c r="E1166">
        <v>18</v>
      </c>
      <c r="F1166">
        <v>2018</v>
      </c>
      <c r="G1166" t="s">
        <v>161</v>
      </c>
      <c r="J1166" t="s">
        <v>133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ref="S1166:S1174" si="552">"14:43:06.148"</f>
        <v>14:43:06.148</v>
      </c>
      <c r="T1166" t="str">
        <f t="shared" ref="T1166:T1174" si="553">"14:43:05.948"</f>
        <v>14:43:05.948</v>
      </c>
      <c r="U1166" t="str">
        <f t="shared" si="546"/>
        <v>A9808D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348</v>
      </c>
      <c r="AJ1166">
        <v>28.280268</v>
      </c>
      <c r="AK1166" t="s">
        <v>349</v>
      </c>
      <c r="AL1166">
        <v>-82.383471</v>
      </c>
      <c r="AM1166">
        <v>100</v>
      </c>
      <c r="AN1166">
        <v>1400</v>
      </c>
      <c r="AO1166" t="s">
        <v>118</v>
      </c>
      <c r="AP1166">
        <v>-34</v>
      </c>
      <c r="AQ1166">
        <v>85</v>
      </c>
      <c r="AR1166">
        <v>576</v>
      </c>
      <c r="AZ1166">
        <v>1200</v>
      </c>
      <c r="BA1166">
        <v>1</v>
      </c>
      <c r="BB1166" t="str">
        <f t="shared" si="526"/>
        <v xml:space="preserve">N711JA  </v>
      </c>
      <c r="BC1166">
        <v>1</v>
      </c>
      <c r="BE1166">
        <v>0</v>
      </c>
      <c r="BF1166">
        <v>0</v>
      </c>
      <c r="BG1166">
        <v>0</v>
      </c>
      <c r="BH1166">
        <v>1475</v>
      </c>
      <c r="BI1166">
        <v>1</v>
      </c>
      <c r="BJ1166">
        <v>1</v>
      </c>
      <c r="BK1166">
        <v>0</v>
      </c>
      <c r="BL1166">
        <v>0</v>
      </c>
      <c r="BO1166">
        <v>0</v>
      </c>
      <c r="BP1166">
        <v>0</v>
      </c>
      <c r="BW1166" t="str">
        <f t="shared" ref="BW1166:BW1174" si="554">"14:43:06.156"</f>
        <v>14:43:06.156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343</v>
      </c>
      <c r="CR1166">
        <v>2</v>
      </c>
      <c r="CW1166">
        <v>13029262</v>
      </c>
      <c r="CY1166">
        <v>1</v>
      </c>
      <c r="CZ1166">
        <v>0</v>
      </c>
      <c r="DA1166">
        <v>0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si="551"/>
        <v>05/12/2020 14:42:48.314</v>
      </c>
      <c r="C1167" t="str">
        <f t="shared" si="525"/>
        <v>FFDFD3C0</v>
      </c>
      <c r="D1167" t="s">
        <v>138</v>
      </c>
      <c r="E1167">
        <v>2</v>
      </c>
      <c r="H1167">
        <v>8</v>
      </c>
      <c r="I1167" t="s">
        <v>139</v>
      </c>
      <c r="J1167" t="s">
        <v>136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552"/>
        <v>14:43:06.148</v>
      </c>
      <c r="T1167" t="str">
        <f t="shared" si="553"/>
        <v>14:43:05.948</v>
      </c>
      <c r="U1167" t="str">
        <f t="shared" si="546"/>
        <v>A9808D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348</v>
      </c>
      <c r="AJ1167">
        <v>28.280268</v>
      </c>
      <c r="AK1167" t="s">
        <v>349</v>
      </c>
      <c r="AL1167">
        <v>-82.383471</v>
      </c>
      <c r="AM1167">
        <v>100</v>
      </c>
      <c r="AN1167">
        <v>1400</v>
      </c>
      <c r="AO1167" t="s">
        <v>118</v>
      </c>
      <c r="AP1167">
        <v>-34</v>
      </c>
      <c r="AQ1167">
        <v>85</v>
      </c>
      <c r="AR1167">
        <v>576</v>
      </c>
      <c r="AZ1167">
        <v>1200</v>
      </c>
      <c r="BA1167">
        <v>1</v>
      </c>
      <c r="BB1167" t="str">
        <f t="shared" si="526"/>
        <v xml:space="preserve">N711JA  </v>
      </c>
      <c r="BC1167">
        <v>1</v>
      </c>
      <c r="BE1167">
        <v>0</v>
      </c>
      <c r="BF1167">
        <v>0</v>
      </c>
      <c r="BG1167">
        <v>0</v>
      </c>
      <c r="BH1167">
        <v>1475</v>
      </c>
      <c r="BI1167">
        <v>1</v>
      </c>
      <c r="BJ1167">
        <v>1</v>
      </c>
      <c r="BK1167">
        <v>0</v>
      </c>
      <c r="BL1167">
        <v>0</v>
      </c>
      <c r="BO1167">
        <v>0</v>
      </c>
      <c r="BP1167">
        <v>0</v>
      </c>
      <c r="BW1167" t="str">
        <f t="shared" si="554"/>
        <v>14:43:06.156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343</v>
      </c>
      <c r="CR1167">
        <v>2</v>
      </c>
      <c r="CW1167">
        <v>13029262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551"/>
        <v>05/12/2020 14:42:48.314</v>
      </c>
      <c r="C1168" t="str">
        <f t="shared" si="525"/>
        <v>FFDFD3C0</v>
      </c>
      <c r="D1168" t="s">
        <v>138</v>
      </c>
      <c r="E1168">
        <v>3</v>
      </c>
      <c r="H1168">
        <v>9</v>
      </c>
      <c r="I1168" t="s">
        <v>140</v>
      </c>
      <c r="J1168" t="s">
        <v>136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552"/>
        <v>14:43:06.148</v>
      </c>
      <c r="T1168" t="str">
        <f t="shared" si="553"/>
        <v>14:43:05.948</v>
      </c>
      <c r="U1168" t="str">
        <f t="shared" si="546"/>
        <v>A9808D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348</v>
      </c>
      <c r="AJ1168">
        <v>28.280268</v>
      </c>
      <c r="AK1168" t="s">
        <v>349</v>
      </c>
      <c r="AL1168">
        <v>-82.383471</v>
      </c>
      <c r="AM1168">
        <v>100</v>
      </c>
      <c r="AN1168">
        <v>1400</v>
      </c>
      <c r="AO1168" t="s">
        <v>118</v>
      </c>
      <c r="AP1168">
        <v>-34</v>
      </c>
      <c r="AQ1168">
        <v>85</v>
      </c>
      <c r="AR1168">
        <v>576</v>
      </c>
      <c r="AZ1168">
        <v>1200</v>
      </c>
      <c r="BA1168">
        <v>1</v>
      </c>
      <c r="BB1168" t="str">
        <f t="shared" si="526"/>
        <v xml:space="preserve">N711JA  </v>
      </c>
      <c r="BC1168">
        <v>1</v>
      </c>
      <c r="BE1168">
        <v>0</v>
      </c>
      <c r="BF1168">
        <v>0</v>
      </c>
      <c r="BG1168">
        <v>0</v>
      </c>
      <c r="BH1168">
        <v>1475</v>
      </c>
      <c r="BI1168">
        <v>1</v>
      </c>
      <c r="BJ1168">
        <v>1</v>
      </c>
      <c r="BK1168">
        <v>0</v>
      </c>
      <c r="BL1168">
        <v>0</v>
      </c>
      <c r="BO1168">
        <v>0</v>
      </c>
      <c r="BP1168">
        <v>0</v>
      </c>
      <c r="BW1168" t="str">
        <f t="shared" si="554"/>
        <v>14:43:06.156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343</v>
      </c>
      <c r="CR1168">
        <v>2</v>
      </c>
      <c r="CW1168">
        <v>13029262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 t="shared" si="551"/>
        <v>05/12/2020 14:42:48.314</v>
      </c>
      <c r="C1169" t="str">
        <f t="shared" si="525"/>
        <v>FFDFD3C0</v>
      </c>
      <c r="D1169" t="s">
        <v>126</v>
      </c>
      <c r="E1169">
        <v>6</v>
      </c>
      <c r="F1169">
        <v>1006</v>
      </c>
      <c r="G1169" t="s">
        <v>114</v>
      </c>
      <c r="J1169" t="s">
        <v>128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552"/>
        <v>14:43:06.148</v>
      </c>
      <c r="T1169" t="str">
        <f t="shared" si="553"/>
        <v>14:43:05.948</v>
      </c>
      <c r="U1169" t="str">
        <f t="shared" si="546"/>
        <v>A9808D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348</v>
      </c>
      <c r="AJ1169">
        <v>28.280268</v>
      </c>
      <c r="AK1169" t="s">
        <v>349</v>
      </c>
      <c r="AL1169">
        <v>-82.383471</v>
      </c>
      <c r="AM1169">
        <v>100</v>
      </c>
      <c r="AN1169">
        <v>1400</v>
      </c>
      <c r="AO1169" t="s">
        <v>118</v>
      </c>
      <c r="AP1169">
        <v>-34</v>
      </c>
      <c r="AQ1169">
        <v>85</v>
      </c>
      <c r="AR1169">
        <v>576</v>
      </c>
      <c r="AZ1169">
        <v>1200</v>
      </c>
      <c r="BA1169">
        <v>1</v>
      </c>
      <c r="BB1169" t="str">
        <f t="shared" si="526"/>
        <v xml:space="preserve">N711JA  </v>
      </c>
      <c r="BC1169">
        <v>1</v>
      </c>
      <c r="BE1169">
        <v>0</v>
      </c>
      <c r="BF1169">
        <v>0</v>
      </c>
      <c r="BG1169">
        <v>0</v>
      </c>
      <c r="BH1169">
        <v>1475</v>
      </c>
      <c r="BI1169">
        <v>1</v>
      </c>
      <c r="BJ1169">
        <v>1</v>
      </c>
      <c r="BK1169">
        <v>0</v>
      </c>
      <c r="BL1169">
        <v>0</v>
      </c>
      <c r="BO1169">
        <v>0</v>
      </c>
      <c r="BP1169">
        <v>0</v>
      </c>
      <c r="BW1169" t="str">
        <f t="shared" si="554"/>
        <v>14:43:06.156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343</v>
      </c>
      <c r="CR1169">
        <v>2</v>
      </c>
      <c r="CW1169">
        <v>13029262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 t="shared" si="551"/>
        <v>05/12/2020 14:42:48.314</v>
      </c>
      <c r="C1170" t="str">
        <f t="shared" si="525"/>
        <v>FFDFD3C0</v>
      </c>
      <c r="D1170" t="s">
        <v>134</v>
      </c>
      <c r="E1170">
        <v>12</v>
      </c>
      <c r="H1170">
        <v>64</v>
      </c>
      <c r="I1170" t="s">
        <v>135</v>
      </c>
      <c r="J1170" t="s">
        <v>136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52"/>
        <v>14:43:06.148</v>
      </c>
      <c r="T1170" t="str">
        <f t="shared" si="553"/>
        <v>14:43:05.948</v>
      </c>
      <c r="U1170" t="str">
        <f t="shared" si="546"/>
        <v>A9808D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348</v>
      </c>
      <c r="AJ1170">
        <v>28.280268</v>
      </c>
      <c r="AK1170" t="s">
        <v>349</v>
      </c>
      <c r="AL1170">
        <v>-82.383471</v>
      </c>
      <c r="AM1170">
        <v>100</v>
      </c>
      <c r="AN1170">
        <v>1400</v>
      </c>
      <c r="AO1170" t="s">
        <v>118</v>
      </c>
      <c r="AP1170">
        <v>-34</v>
      </c>
      <c r="AQ1170">
        <v>85</v>
      </c>
      <c r="AR1170">
        <v>576</v>
      </c>
      <c r="AZ1170">
        <v>1200</v>
      </c>
      <c r="BA1170">
        <v>1</v>
      </c>
      <c r="BB1170" t="str">
        <f t="shared" si="526"/>
        <v xml:space="preserve">N711JA  </v>
      </c>
      <c r="BC1170">
        <v>1</v>
      </c>
      <c r="BE1170">
        <v>0</v>
      </c>
      <c r="BF1170">
        <v>0</v>
      </c>
      <c r="BG1170">
        <v>0</v>
      </c>
      <c r="BH1170">
        <v>1475</v>
      </c>
      <c r="BI1170">
        <v>1</v>
      </c>
      <c r="BJ1170">
        <v>1</v>
      </c>
      <c r="BK1170">
        <v>0</v>
      </c>
      <c r="BL1170">
        <v>0</v>
      </c>
      <c r="BO1170">
        <v>0</v>
      </c>
      <c r="BP1170">
        <v>0</v>
      </c>
      <c r="BW1170" t="str">
        <f t="shared" si="554"/>
        <v>14:43:06.156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343</v>
      </c>
      <c r="CR1170">
        <v>2</v>
      </c>
      <c r="CW1170">
        <v>13029262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 t="shared" si="551"/>
        <v>05/12/2020 14:42:48.314</v>
      </c>
      <c r="C1171" t="str">
        <f t="shared" si="525"/>
        <v>FFDFD3C0</v>
      </c>
      <c r="D1171" t="s">
        <v>131</v>
      </c>
      <c r="E1171">
        <v>10</v>
      </c>
      <c r="F1171">
        <v>2010</v>
      </c>
      <c r="G1171" t="s">
        <v>132</v>
      </c>
      <c r="J1171" t="s">
        <v>133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552"/>
        <v>14:43:06.148</v>
      </c>
      <c r="T1171" t="str">
        <f t="shared" si="553"/>
        <v>14:43:05.948</v>
      </c>
      <c r="U1171" t="str">
        <f t="shared" si="546"/>
        <v>A9808D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348</v>
      </c>
      <c r="AJ1171">
        <v>28.280268</v>
      </c>
      <c r="AK1171" t="s">
        <v>349</v>
      </c>
      <c r="AL1171">
        <v>-82.383471</v>
      </c>
      <c r="AM1171">
        <v>100</v>
      </c>
      <c r="AN1171">
        <v>1400</v>
      </c>
      <c r="AO1171" t="s">
        <v>118</v>
      </c>
      <c r="AP1171">
        <v>-34</v>
      </c>
      <c r="AQ1171">
        <v>85</v>
      </c>
      <c r="AR1171">
        <v>576</v>
      </c>
      <c r="AZ1171">
        <v>1200</v>
      </c>
      <c r="BA1171">
        <v>1</v>
      </c>
      <c r="BB1171" t="str">
        <f t="shared" si="526"/>
        <v xml:space="preserve">N711JA  </v>
      </c>
      <c r="BC1171">
        <v>1</v>
      </c>
      <c r="BE1171">
        <v>0</v>
      </c>
      <c r="BF1171">
        <v>0</v>
      </c>
      <c r="BG1171">
        <v>0</v>
      </c>
      <c r="BH1171">
        <v>1475</v>
      </c>
      <c r="BI1171">
        <v>1</v>
      </c>
      <c r="BJ1171">
        <v>1</v>
      </c>
      <c r="BK1171">
        <v>0</v>
      </c>
      <c r="BL1171">
        <v>0</v>
      </c>
      <c r="BO1171">
        <v>0</v>
      </c>
      <c r="BP1171">
        <v>0</v>
      </c>
      <c r="BW1171" t="str">
        <f t="shared" si="554"/>
        <v>14:43:06.156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343</v>
      </c>
      <c r="CR1171">
        <v>2</v>
      </c>
      <c r="CW1171">
        <v>13029262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 t="shared" si="551"/>
        <v>05/12/2020 14:42:48.314</v>
      </c>
      <c r="C1172" t="str">
        <f t="shared" si="525"/>
        <v>FFDFD3C0</v>
      </c>
      <c r="D1172" t="s">
        <v>113</v>
      </c>
      <c r="E1172">
        <v>3</v>
      </c>
      <c r="H1172">
        <v>164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552"/>
        <v>14:43:06.148</v>
      </c>
      <c r="T1172" t="str">
        <f t="shared" si="553"/>
        <v>14:43:05.948</v>
      </c>
      <c r="U1172" t="str">
        <f t="shared" si="546"/>
        <v>A9808D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348</v>
      </c>
      <c r="AJ1172">
        <v>28.280268</v>
      </c>
      <c r="AK1172" t="s">
        <v>349</v>
      </c>
      <c r="AL1172">
        <v>-82.383471</v>
      </c>
      <c r="AM1172">
        <v>100</v>
      </c>
      <c r="AN1172">
        <v>1400</v>
      </c>
      <c r="AO1172" t="s">
        <v>118</v>
      </c>
      <c r="AP1172">
        <v>-34</v>
      </c>
      <c r="AQ1172">
        <v>85</v>
      </c>
      <c r="AR1172">
        <v>576</v>
      </c>
      <c r="AZ1172">
        <v>1200</v>
      </c>
      <c r="BA1172">
        <v>1</v>
      </c>
      <c r="BB1172" t="str">
        <f t="shared" si="526"/>
        <v xml:space="preserve">N711JA  </v>
      </c>
      <c r="BC1172">
        <v>1</v>
      </c>
      <c r="BE1172">
        <v>0</v>
      </c>
      <c r="BF1172">
        <v>0</v>
      </c>
      <c r="BG1172">
        <v>0</v>
      </c>
      <c r="BH1172">
        <v>1475</v>
      </c>
      <c r="BI1172">
        <v>1</v>
      </c>
      <c r="BJ1172">
        <v>1</v>
      </c>
      <c r="BK1172">
        <v>0</v>
      </c>
      <c r="BL1172">
        <v>0</v>
      </c>
      <c r="BO1172">
        <v>0</v>
      </c>
      <c r="BP1172">
        <v>0</v>
      </c>
      <c r="BW1172" t="str">
        <f t="shared" si="554"/>
        <v>14:43:06.156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343</v>
      </c>
      <c r="CR1172">
        <v>2</v>
      </c>
      <c r="CW1172">
        <v>13029262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 t="shared" si="551"/>
        <v>05/12/2020 14:42:48.314</v>
      </c>
      <c r="C1173" t="str">
        <f t="shared" si="525"/>
        <v>FFDFD3C0</v>
      </c>
      <c r="D1173" t="s">
        <v>126</v>
      </c>
      <c r="E1173">
        <v>7</v>
      </c>
      <c r="F1173">
        <v>1007</v>
      </c>
      <c r="G1173" t="s">
        <v>127</v>
      </c>
      <c r="J1173" t="s">
        <v>128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552"/>
        <v>14:43:06.148</v>
      </c>
      <c r="T1173" t="str">
        <f t="shared" si="553"/>
        <v>14:43:05.948</v>
      </c>
      <c r="U1173" t="str">
        <f t="shared" si="546"/>
        <v>A9808D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348</v>
      </c>
      <c r="AJ1173">
        <v>28.280268</v>
      </c>
      <c r="AK1173" t="s">
        <v>349</v>
      </c>
      <c r="AL1173">
        <v>-82.383471</v>
      </c>
      <c r="AM1173">
        <v>100</v>
      </c>
      <c r="AN1173">
        <v>1400</v>
      </c>
      <c r="AO1173" t="s">
        <v>118</v>
      </c>
      <c r="AP1173">
        <v>-34</v>
      </c>
      <c r="AQ1173">
        <v>85</v>
      </c>
      <c r="AR1173">
        <v>576</v>
      </c>
      <c r="AZ1173">
        <v>1200</v>
      </c>
      <c r="BA1173">
        <v>1</v>
      </c>
      <c r="BB1173" t="str">
        <f t="shared" si="526"/>
        <v xml:space="preserve">N711JA  </v>
      </c>
      <c r="BC1173">
        <v>1</v>
      </c>
      <c r="BE1173">
        <v>0</v>
      </c>
      <c r="BF1173">
        <v>0</v>
      </c>
      <c r="BG1173">
        <v>0</v>
      </c>
      <c r="BH1173">
        <v>1475</v>
      </c>
      <c r="BI1173">
        <v>1</v>
      </c>
      <c r="BJ1173">
        <v>1</v>
      </c>
      <c r="BK1173">
        <v>0</v>
      </c>
      <c r="BL1173">
        <v>0</v>
      </c>
      <c r="BO1173">
        <v>0</v>
      </c>
      <c r="BP1173">
        <v>0</v>
      </c>
      <c r="BW1173" t="str">
        <f t="shared" si="554"/>
        <v>14:43:06.156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343</v>
      </c>
      <c r="CR1173">
        <v>2</v>
      </c>
      <c r="CW1173">
        <v>13029262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 t="shared" si="551"/>
        <v>05/12/2020 14:42:48.314</v>
      </c>
      <c r="C1174" t="str">
        <f t="shared" ref="C1174:C1237" si="555">"FFDFD3C0"</f>
        <v>FFDFD3C0</v>
      </c>
      <c r="D1174" t="s">
        <v>131</v>
      </c>
      <c r="E1174">
        <v>12</v>
      </c>
      <c r="F1174">
        <v>2012</v>
      </c>
      <c r="G1174" t="s">
        <v>137</v>
      </c>
      <c r="J1174" t="s">
        <v>133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552"/>
        <v>14:43:06.148</v>
      </c>
      <c r="T1174" t="str">
        <f t="shared" si="553"/>
        <v>14:43:05.948</v>
      </c>
      <c r="U1174" t="str">
        <f t="shared" si="546"/>
        <v>A9808D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348</v>
      </c>
      <c r="AJ1174">
        <v>28.280268</v>
      </c>
      <c r="AK1174" t="s">
        <v>349</v>
      </c>
      <c r="AL1174">
        <v>-82.383471</v>
      </c>
      <c r="AM1174">
        <v>100</v>
      </c>
      <c r="AN1174">
        <v>1400</v>
      </c>
      <c r="AO1174" t="s">
        <v>118</v>
      </c>
      <c r="AP1174">
        <v>-34</v>
      </c>
      <c r="AQ1174">
        <v>85</v>
      </c>
      <c r="AR1174">
        <v>576</v>
      </c>
      <c r="AZ1174">
        <v>1200</v>
      </c>
      <c r="BA1174">
        <v>1</v>
      </c>
      <c r="BB1174" t="str">
        <f t="shared" ref="BB1174:BB1237" si="556">"N711JA  "</f>
        <v xml:space="preserve">N711JA  </v>
      </c>
      <c r="BC1174">
        <v>1</v>
      </c>
      <c r="BE1174">
        <v>0</v>
      </c>
      <c r="BF1174">
        <v>0</v>
      </c>
      <c r="BG1174">
        <v>0</v>
      </c>
      <c r="BH1174">
        <v>1475</v>
      </c>
      <c r="BI1174">
        <v>1</v>
      </c>
      <c r="BJ1174">
        <v>1</v>
      </c>
      <c r="BK1174">
        <v>0</v>
      </c>
      <c r="BL1174">
        <v>0</v>
      </c>
      <c r="BO1174">
        <v>0</v>
      </c>
      <c r="BP1174">
        <v>0</v>
      </c>
      <c r="BW1174" t="str">
        <f t="shared" si="554"/>
        <v>14:43:06.156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343</v>
      </c>
      <c r="CR1174">
        <v>2</v>
      </c>
      <c r="CW1174">
        <v>13029262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 t="shared" ref="A1175:A1183" si="557">"05/12/2020 14:42:49.412"</f>
        <v>05/12/2020 14:42:49.412</v>
      </c>
      <c r="C1175" t="str">
        <f t="shared" si="555"/>
        <v>FFDFD3C0</v>
      </c>
      <c r="D1175" t="s">
        <v>134</v>
      </c>
      <c r="E1175">
        <v>12</v>
      </c>
      <c r="H1175">
        <v>64</v>
      </c>
      <c r="I1175" t="s">
        <v>135</v>
      </c>
      <c r="J1175" t="s">
        <v>136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ref="S1175:S1183" si="558">"14:43:07.227"</f>
        <v>14:43:07.227</v>
      </c>
      <c r="T1175" t="str">
        <f t="shared" ref="T1175:T1183" si="559">"14:43:07.027"</f>
        <v>14:43:07.027</v>
      </c>
      <c r="U1175" t="str">
        <f t="shared" si="546"/>
        <v>A9808D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350</v>
      </c>
      <c r="AJ1175">
        <v>28.280674999999999</v>
      </c>
      <c r="AK1175" t="s">
        <v>351</v>
      </c>
      <c r="AL1175">
        <v>-82.383621000000005</v>
      </c>
      <c r="AM1175">
        <v>100</v>
      </c>
      <c r="AN1175">
        <v>1400</v>
      </c>
      <c r="AO1175" t="s">
        <v>118</v>
      </c>
      <c r="AP1175">
        <v>-35</v>
      </c>
      <c r="AQ1175">
        <v>86</v>
      </c>
      <c r="AR1175">
        <v>0</v>
      </c>
      <c r="AZ1175">
        <v>1200</v>
      </c>
      <c r="BA1175">
        <v>1</v>
      </c>
      <c r="BB1175" t="str">
        <f t="shared" si="556"/>
        <v xml:space="preserve">N711JA  </v>
      </c>
      <c r="BC1175">
        <v>1</v>
      </c>
      <c r="BE1175">
        <v>0</v>
      </c>
      <c r="BF1175">
        <v>0</v>
      </c>
      <c r="BG1175">
        <v>0</v>
      </c>
      <c r="BH1175">
        <v>1475</v>
      </c>
      <c r="BI1175">
        <v>1</v>
      </c>
      <c r="BJ1175">
        <v>1</v>
      </c>
      <c r="BK1175">
        <v>0</v>
      </c>
      <c r="BL1175">
        <v>0</v>
      </c>
      <c r="BO1175">
        <v>0</v>
      </c>
      <c r="BP1175">
        <v>0</v>
      </c>
      <c r="BW1175" t="str">
        <f t="shared" ref="BW1175:BW1183" si="560">"14:43:07.230"</f>
        <v>14:43:07.230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358</v>
      </c>
      <c r="CR1175">
        <v>0</v>
      </c>
      <c r="CW1175">
        <v>4665735</v>
      </c>
      <c r="CY1175">
        <v>1</v>
      </c>
      <c r="CZ1175">
        <v>0</v>
      </c>
      <c r="DA1175">
        <v>0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 t="shared" si="557"/>
        <v>05/12/2020 14:42:49.412</v>
      </c>
      <c r="C1176" t="str">
        <f t="shared" si="555"/>
        <v>FFDFD3C0</v>
      </c>
      <c r="D1176" t="s">
        <v>126</v>
      </c>
      <c r="E1176">
        <v>7</v>
      </c>
      <c r="F1176">
        <v>1007</v>
      </c>
      <c r="G1176" t="s">
        <v>127</v>
      </c>
      <c r="J1176" t="s">
        <v>128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558"/>
        <v>14:43:07.227</v>
      </c>
      <c r="T1176" t="str">
        <f t="shared" si="559"/>
        <v>14:43:07.027</v>
      </c>
      <c r="U1176" t="str">
        <f t="shared" si="546"/>
        <v>A9808D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350</v>
      </c>
      <c r="AJ1176">
        <v>28.280674999999999</v>
      </c>
      <c r="AK1176" t="s">
        <v>351</v>
      </c>
      <c r="AL1176">
        <v>-82.383621000000005</v>
      </c>
      <c r="AM1176">
        <v>100</v>
      </c>
      <c r="AN1176">
        <v>1400</v>
      </c>
      <c r="AO1176" t="s">
        <v>118</v>
      </c>
      <c r="AP1176">
        <v>-35</v>
      </c>
      <c r="AQ1176">
        <v>86</v>
      </c>
      <c r="AR1176">
        <v>0</v>
      </c>
      <c r="AZ1176">
        <v>1200</v>
      </c>
      <c r="BA1176">
        <v>1</v>
      </c>
      <c r="BB1176" t="str">
        <f t="shared" si="556"/>
        <v xml:space="preserve">N711JA  </v>
      </c>
      <c r="BC1176">
        <v>1</v>
      </c>
      <c r="BE1176">
        <v>0</v>
      </c>
      <c r="BF1176">
        <v>0</v>
      </c>
      <c r="BG1176">
        <v>0</v>
      </c>
      <c r="BH1176">
        <v>1475</v>
      </c>
      <c r="BI1176">
        <v>1</v>
      </c>
      <c r="BJ1176">
        <v>1</v>
      </c>
      <c r="BK1176">
        <v>0</v>
      </c>
      <c r="BL1176">
        <v>0</v>
      </c>
      <c r="BO1176">
        <v>0</v>
      </c>
      <c r="BP1176">
        <v>0</v>
      </c>
      <c r="BW1176" t="str">
        <f t="shared" si="560"/>
        <v>14:43:07.230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358</v>
      </c>
      <c r="CR1176">
        <v>0</v>
      </c>
      <c r="CW1176">
        <v>4665735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 t="shared" si="557"/>
        <v>05/12/2020 14:42:49.412</v>
      </c>
      <c r="C1177" t="str">
        <f t="shared" si="555"/>
        <v>FFDFD3C0</v>
      </c>
      <c r="D1177" t="s">
        <v>131</v>
      </c>
      <c r="E1177">
        <v>10</v>
      </c>
      <c r="F1177">
        <v>2010</v>
      </c>
      <c r="G1177" t="s">
        <v>132</v>
      </c>
      <c r="J1177" t="s">
        <v>133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558"/>
        <v>14:43:07.227</v>
      </c>
      <c r="T1177" t="str">
        <f t="shared" si="559"/>
        <v>14:43:07.027</v>
      </c>
      <c r="U1177" t="str">
        <f t="shared" si="546"/>
        <v>A9808D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350</v>
      </c>
      <c r="AJ1177">
        <v>28.280674999999999</v>
      </c>
      <c r="AK1177" t="s">
        <v>351</v>
      </c>
      <c r="AL1177">
        <v>-82.383621000000005</v>
      </c>
      <c r="AM1177">
        <v>100</v>
      </c>
      <c r="AN1177">
        <v>1400</v>
      </c>
      <c r="AO1177" t="s">
        <v>118</v>
      </c>
      <c r="AP1177">
        <v>-35</v>
      </c>
      <c r="AQ1177">
        <v>86</v>
      </c>
      <c r="AR1177">
        <v>0</v>
      </c>
      <c r="AZ1177">
        <v>1200</v>
      </c>
      <c r="BA1177">
        <v>1</v>
      </c>
      <c r="BB1177" t="str">
        <f t="shared" si="556"/>
        <v xml:space="preserve">N711JA  </v>
      </c>
      <c r="BC1177">
        <v>1</v>
      </c>
      <c r="BE1177">
        <v>0</v>
      </c>
      <c r="BF1177">
        <v>0</v>
      </c>
      <c r="BG1177">
        <v>0</v>
      </c>
      <c r="BH1177">
        <v>1475</v>
      </c>
      <c r="BI1177">
        <v>1</v>
      </c>
      <c r="BJ1177">
        <v>1</v>
      </c>
      <c r="BK1177">
        <v>0</v>
      </c>
      <c r="BL1177">
        <v>0</v>
      </c>
      <c r="BO1177">
        <v>0</v>
      </c>
      <c r="BP1177">
        <v>0</v>
      </c>
      <c r="BW1177" t="str">
        <f t="shared" si="560"/>
        <v>14:43:07.230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358</v>
      </c>
      <c r="CR1177">
        <v>0</v>
      </c>
      <c r="CW1177">
        <v>4665735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 t="shared" si="557"/>
        <v>05/12/2020 14:42:49.412</v>
      </c>
      <c r="C1178" t="str">
        <f t="shared" si="555"/>
        <v>FFDFD3C0</v>
      </c>
      <c r="D1178" t="s">
        <v>131</v>
      </c>
      <c r="E1178">
        <v>12</v>
      </c>
      <c r="F1178">
        <v>2012</v>
      </c>
      <c r="G1178" t="s">
        <v>137</v>
      </c>
      <c r="J1178" t="s">
        <v>133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558"/>
        <v>14:43:07.227</v>
      </c>
      <c r="T1178" t="str">
        <f t="shared" si="559"/>
        <v>14:43:07.027</v>
      </c>
      <c r="U1178" t="str">
        <f t="shared" si="546"/>
        <v>A9808D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350</v>
      </c>
      <c r="AJ1178">
        <v>28.280674999999999</v>
      </c>
      <c r="AK1178" t="s">
        <v>351</v>
      </c>
      <c r="AL1178">
        <v>-82.383621000000005</v>
      </c>
      <c r="AM1178">
        <v>100</v>
      </c>
      <c r="AN1178">
        <v>1400</v>
      </c>
      <c r="AO1178" t="s">
        <v>118</v>
      </c>
      <c r="AP1178">
        <v>-35</v>
      </c>
      <c r="AQ1178">
        <v>86</v>
      </c>
      <c r="AR1178">
        <v>0</v>
      </c>
      <c r="AZ1178">
        <v>1200</v>
      </c>
      <c r="BA1178">
        <v>1</v>
      </c>
      <c r="BB1178" t="str">
        <f t="shared" si="556"/>
        <v xml:space="preserve">N711JA  </v>
      </c>
      <c r="BC1178">
        <v>1</v>
      </c>
      <c r="BE1178">
        <v>0</v>
      </c>
      <c r="BF1178">
        <v>0</v>
      </c>
      <c r="BG1178">
        <v>0</v>
      </c>
      <c r="BH1178">
        <v>1475</v>
      </c>
      <c r="BI1178">
        <v>1</v>
      </c>
      <c r="BJ1178">
        <v>1</v>
      </c>
      <c r="BK1178">
        <v>0</v>
      </c>
      <c r="BL1178">
        <v>0</v>
      </c>
      <c r="BO1178">
        <v>0</v>
      </c>
      <c r="BP1178">
        <v>0</v>
      </c>
      <c r="BW1178" t="str">
        <f t="shared" si="560"/>
        <v>14:43:07.230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343</v>
      </c>
      <c r="CR1178">
        <v>1</v>
      </c>
      <c r="CW1178">
        <v>10638690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 t="shared" si="557"/>
        <v>05/12/2020 14:42:49.412</v>
      </c>
      <c r="C1179" t="str">
        <f t="shared" si="555"/>
        <v>FFDFD3C0</v>
      </c>
      <c r="D1179" t="s">
        <v>131</v>
      </c>
      <c r="E1179">
        <v>18</v>
      </c>
      <c r="F1179">
        <v>2018</v>
      </c>
      <c r="G1179" t="s">
        <v>161</v>
      </c>
      <c r="J1179" t="s">
        <v>133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558"/>
        <v>14:43:07.227</v>
      </c>
      <c r="T1179" t="str">
        <f t="shared" si="559"/>
        <v>14:43:07.027</v>
      </c>
      <c r="U1179" t="str">
        <f t="shared" si="546"/>
        <v>A9808D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350</v>
      </c>
      <c r="AJ1179">
        <v>28.280674999999999</v>
      </c>
      <c r="AK1179" t="s">
        <v>351</v>
      </c>
      <c r="AL1179">
        <v>-82.383621000000005</v>
      </c>
      <c r="AM1179">
        <v>100</v>
      </c>
      <c r="AN1179">
        <v>1400</v>
      </c>
      <c r="AO1179" t="s">
        <v>118</v>
      </c>
      <c r="AP1179">
        <v>-35</v>
      </c>
      <c r="AQ1179">
        <v>86</v>
      </c>
      <c r="AR1179">
        <v>0</v>
      </c>
      <c r="AZ1179">
        <v>1200</v>
      </c>
      <c r="BA1179">
        <v>1</v>
      </c>
      <c r="BB1179" t="str">
        <f t="shared" si="556"/>
        <v xml:space="preserve">N711JA  </v>
      </c>
      <c r="BC1179">
        <v>1</v>
      </c>
      <c r="BE1179">
        <v>0</v>
      </c>
      <c r="BF1179">
        <v>0</v>
      </c>
      <c r="BG1179">
        <v>0</v>
      </c>
      <c r="BH1179">
        <v>1475</v>
      </c>
      <c r="BI1179">
        <v>1</v>
      </c>
      <c r="BJ1179">
        <v>1</v>
      </c>
      <c r="BK1179">
        <v>0</v>
      </c>
      <c r="BL1179">
        <v>0</v>
      </c>
      <c r="BO1179">
        <v>0</v>
      </c>
      <c r="BP1179">
        <v>0</v>
      </c>
      <c r="BW1179" t="str">
        <f t="shared" si="560"/>
        <v>14:43:07.230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343</v>
      </c>
      <c r="CR1179">
        <v>1</v>
      </c>
      <c r="CW1179">
        <v>10638690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 t="shared" si="557"/>
        <v>05/12/2020 14:42:49.412</v>
      </c>
      <c r="C1180" t="str">
        <f t="shared" si="555"/>
        <v>FFDFD3C0</v>
      </c>
      <c r="D1180" t="s">
        <v>113</v>
      </c>
      <c r="E1180">
        <v>3</v>
      </c>
      <c r="H1180">
        <v>164</v>
      </c>
      <c r="I1180" t="s">
        <v>114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558"/>
        <v>14:43:07.227</v>
      </c>
      <c r="T1180" t="str">
        <f t="shared" si="559"/>
        <v>14:43:07.027</v>
      </c>
      <c r="U1180" t="str">
        <f t="shared" si="546"/>
        <v>A9808D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350</v>
      </c>
      <c r="AJ1180">
        <v>28.280674999999999</v>
      </c>
      <c r="AK1180" t="s">
        <v>351</v>
      </c>
      <c r="AL1180">
        <v>-82.383621000000005</v>
      </c>
      <c r="AM1180">
        <v>100</v>
      </c>
      <c r="AN1180">
        <v>1400</v>
      </c>
      <c r="AO1180" t="s">
        <v>118</v>
      </c>
      <c r="AP1180">
        <v>-35</v>
      </c>
      <c r="AQ1180">
        <v>86</v>
      </c>
      <c r="AR1180">
        <v>0</v>
      </c>
      <c r="AZ1180">
        <v>1200</v>
      </c>
      <c r="BA1180">
        <v>1</v>
      </c>
      <c r="BB1180" t="str">
        <f t="shared" si="556"/>
        <v xml:space="preserve">N711JA  </v>
      </c>
      <c r="BC1180">
        <v>1</v>
      </c>
      <c r="BE1180">
        <v>0</v>
      </c>
      <c r="BF1180">
        <v>0</v>
      </c>
      <c r="BG1180">
        <v>0</v>
      </c>
      <c r="BH1180">
        <v>1475</v>
      </c>
      <c r="BI1180">
        <v>1</v>
      </c>
      <c r="BJ1180">
        <v>1</v>
      </c>
      <c r="BK1180">
        <v>0</v>
      </c>
      <c r="BL1180">
        <v>0</v>
      </c>
      <c r="BO1180">
        <v>0</v>
      </c>
      <c r="BP1180">
        <v>0</v>
      </c>
      <c r="BW1180" t="str">
        <f t="shared" si="560"/>
        <v>14:43:07.230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343</v>
      </c>
      <c r="CR1180">
        <v>1</v>
      </c>
      <c r="CW1180">
        <v>10638690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 t="shared" si="557"/>
        <v>05/12/2020 14:42:49.412</v>
      </c>
      <c r="C1181" t="str">
        <f t="shared" si="555"/>
        <v>FFDFD3C0</v>
      </c>
      <c r="D1181" t="s">
        <v>126</v>
      </c>
      <c r="E1181">
        <v>6</v>
      </c>
      <c r="F1181">
        <v>1006</v>
      </c>
      <c r="G1181" t="s">
        <v>114</v>
      </c>
      <c r="J1181" t="s">
        <v>128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558"/>
        <v>14:43:07.227</v>
      </c>
      <c r="T1181" t="str">
        <f t="shared" si="559"/>
        <v>14:43:07.027</v>
      </c>
      <c r="U1181" t="str">
        <f t="shared" si="546"/>
        <v>A9808D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350</v>
      </c>
      <c r="AJ1181">
        <v>28.280674999999999</v>
      </c>
      <c r="AK1181" t="s">
        <v>351</v>
      </c>
      <c r="AL1181">
        <v>-82.383621000000005</v>
      </c>
      <c r="AM1181">
        <v>100</v>
      </c>
      <c r="AN1181">
        <v>1400</v>
      </c>
      <c r="AO1181" t="s">
        <v>118</v>
      </c>
      <c r="AP1181">
        <v>-35</v>
      </c>
      <c r="AQ1181">
        <v>86</v>
      </c>
      <c r="AR1181">
        <v>0</v>
      </c>
      <c r="AZ1181">
        <v>1200</v>
      </c>
      <c r="BA1181">
        <v>1</v>
      </c>
      <c r="BB1181" t="str">
        <f t="shared" si="556"/>
        <v xml:space="preserve">N711JA  </v>
      </c>
      <c r="BC1181">
        <v>1</v>
      </c>
      <c r="BE1181">
        <v>0</v>
      </c>
      <c r="BF1181">
        <v>0</v>
      </c>
      <c r="BG1181">
        <v>0</v>
      </c>
      <c r="BH1181">
        <v>1475</v>
      </c>
      <c r="BI1181">
        <v>1</v>
      </c>
      <c r="BJ1181">
        <v>1</v>
      </c>
      <c r="BK1181">
        <v>0</v>
      </c>
      <c r="BL1181">
        <v>0</v>
      </c>
      <c r="BO1181">
        <v>0</v>
      </c>
      <c r="BP1181">
        <v>0</v>
      </c>
      <c r="BW1181" t="str">
        <f t="shared" si="560"/>
        <v>14:43:07.230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358</v>
      </c>
      <c r="CR1181">
        <v>0</v>
      </c>
      <c r="CW1181">
        <v>4665735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 t="shared" si="557"/>
        <v>05/12/2020 14:42:49.412</v>
      </c>
      <c r="C1182" t="str">
        <f t="shared" si="555"/>
        <v>FFDFD3C0</v>
      </c>
      <c r="D1182" t="s">
        <v>138</v>
      </c>
      <c r="E1182">
        <v>2</v>
      </c>
      <c r="H1182">
        <v>8</v>
      </c>
      <c r="I1182" t="s">
        <v>139</v>
      </c>
      <c r="J1182" t="s">
        <v>136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558"/>
        <v>14:43:07.227</v>
      </c>
      <c r="T1182" t="str">
        <f t="shared" si="559"/>
        <v>14:43:07.027</v>
      </c>
      <c r="U1182" t="str">
        <f t="shared" si="546"/>
        <v>A9808D</v>
      </c>
      <c r="V1182">
        <v>0</v>
      </c>
      <c r="W1182">
        <v>0</v>
      </c>
      <c r="X1182">
        <v>1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350</v>
      </c>
      <c r="AJ1182">
        <v>28.280674999999999</v>
      </c>
      <c r="AK1182" t="s">
        <v>351</v>
      </c>
      <c r="AL1182">
        <v>-82.383621000000005</v>
      </c>
      <c r="AM1182">
        <v>100</v>
      </c>
      <c r="AN1182">
        <v>1400</v>
      </c>
      <c r="AO1182" t="s">
        <v>118</v>
      </c>
      <c r="AP1182">
        <v>-35</v>
      </c>
      <c r="AQ1182">
        <v>86</v>
      </c>
      <c r="AR1182">
        <v>0</v>
      </c>
      <c r="AZ1182">
        <v>1200</v>
      </c>
      <c r="BA1182">
        <v>1</v>
      </c>
      <c r="BB1182" t="str">
        <f t="shared" si="556"/>
        <v xml:space="preserve">N711JA  </v>
      </c>
      <c r="BC1182">
        <v>1</v>
      </c>
      <c r="BE1182">
        <v>0</v>
      </c>
      <c r="BF1182">
        <v>0</v>
      </c>
      <c r="BG1182">
        <v>0</v>
      </c>
      <c r="BH1182">
        <v>1475</v>
      </c>
      <c r="BI1182">
        <v>1</v>
      </c>
      <c r="BJ1182">
        <v>1</v>
      </c>
      <c r="BK1182">
        <v>0</v>
      </c>
      <c r="BL1182">
        <v>0</v>
      </c>
      <c r="BO1182">
        <v>0</v>
      </c>
      <c r="BP1182">
        <v>0</v>
      </c>
      <c r="BW1182" t="str">
        <f t="shared" si="560"/>
        <v>14:43:07.230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343</v>
      </c>
      <c r="CR1182">
        <v>1</v>
      </c>
      <c r="CW1182">
        <v>10638690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 t="shared" si="557"/>
        <v>05/12/2020 14:42:49.412</v>
      </c>
      <c r="C1183" t="str">
        <f t="shared" si="555"/>
        <v>FFDFD3C0</v>
      </c>
      <c r="D1183" t="s">
        <v>138</v>
      </c>
      <c r="E1183">
        <v>3</v>
      </c>
      <c r="H1183">
        <v>9</v>
      </c>
      <c r="I1183" t="s">
        <v>140</v>
      </c>
      <c r="J1183" t="s">
        <v>136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558"/>
        <v>14:43:07.227</v>
      </c>
      <c r="T1183" t="str">
        <f t="shared" si="559"/>
        <v>14:43:07.027</v>
      </c>
      <c r="U1183" t="str">
        <f t="shared" si="546"/>
        <v>A9808D</v>
      </c>
      <c r="V1183">
        <v>0</v>
      </c>
      <c r="W1183">
        <v>0</v>
      </c>
      <c r="X1183">
        <v>1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350</v>
      </c>
      <c r="AJ1183">
        <v>28.280674999999999</v>
      </c>
      <c r="AK1183" t="s">
        <v>351</v>
      </c>
      <c r="AL1183">
        <v>-82.383621000000005</v>
      </c>
      <c r="AM1183">
        <v>100</v>
      </c>
      <c r="AN1183">
        <v>1400</v>
      </c>
      <c r="AO1183" t="s">
        <v>118</v>
      </c>
      <c r="AP1183">
        <v>-35</v>
      </c>
      <c r="AQ1183">
        <v>86</v>
      </c>
      <c r="AR1183">
        <v>0</v>
      </c>
      <c r="AZ1183">
        <v>1200</v>
      </c>
      <c r="BA1183">
        <v>1</v>
      </c>
      <c r="BB1183" t="str">
        <f t="shared" si="556"/>
        <v xml:space="preserve">N711JA  </v>
      </c>
      <c r="BC1183">
        <v>1</v>
      </c>
      <c r="BE1183">
        <v>0</v>
      </c>
      <c r="BF1183">
        <v>0</v>
      </c>
      <c r="BG1183">
        <v>0</v>
      </c>
      <c r="BH1183">
        <v>1475</v>
      </c>
      <c r="BI1183">
        <v>1</v>
      </c>
      <c r="BJ1183">
        <v>1</v>
      </c>
      <c r="BK1183">
        <v>0</v>
      </c>
      <c r="BL1183">
        <v>0</v>
      </c>
      <c r="BO1183">
        <v>0</v>
      </c>
      <c r="BP1183">
        <v>0</v>
      </c>
      <c r="BW1183" t="str">
        <f t="shared" si="560"/>
        <v>14:43:07.230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358</v>
      </c>
      <c r="CR1183">
        <v>0</v>
      </c>
      <c r="CW1183">
        <v>4665735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 t="shared" ref="A1184:A1192" si="561">"05/12/2020 14:42:50.435"</f>
        <v>05/12/2020 14:42:50.435</v>
      </c>
      <c r="C1184" t="str">
        <f t="shared" si="555"/>
        <v>FFDFD3C0</v>
      </c>
      <c r="D1184" t="s">
        <v>113</v>
      </c>
      <c r="E1184">
        <v>3</v>
      </c>
      <c r="H1184">
        <v>164</v>
      </c>
      <c r="I1184" t="s">
        <v>114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ref="S1184:S1192" si="562">"14:43:08.266"</f>
        <v>14:43:08.266</v>
      </c>
      <c r="T1184" t="str">
        <f t="shared" ref="T1184:T1192" si="563">"14:43:07.866"</f>
        <v>14:43:07.866</v>
      </c>
      <c r="U1184" t="str">
        <f t="shared" si="546"/>
        <v>A9808D</v>
      </c>
      <c r="V1184">
        <v>0</v>
      </c>
      <c r="W1184">
        <v>0</v>
      </c>
      <c r="X1184">
        <v>1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352</v>
      </c>
      <c r="AJ1184">
        <v>28.281147000000001</v>
      </c>
      <c r="AK1184" t="s">
        <v>353</v>
      </c>
      <c r="AL1184">
        <v>-82.383770999999996</v>
      </c>
      <c r="AM1184">
        <v>100</v>
      </c>
      <c r="AN1184">
        <v>1400</v>
      </c>
      <c r="AO1184" t="s">
        <v>118</v>
      </c>
      <c r="AP1184">
        <v>-33</v>
      </c>
      <c r="AQ1184">
        <v>88</v>
      </c>
      <c r="AR1184">
        <v>-384</v>
      </c>
      <c r="AZ1184">
        <v>1200</v>
      </c>
      <c r="BA1184">
        <v>1</v>
      </c>
      <c r="BB1184" t="str">
        <f t="shared" si="556"/>
        <v xml:space="preserve">N711JA  </v>
      </c>
      <c r="BC1184">
        <v>1</v>
      </c>
      <c r="BE1184">
        <v>0</v>
      </c>
      <c r="BF1184">
        <v>0</v>
      </c>
      <c r="BG1184">
        <v>0</v>
      </c>
      <c r="BH1184">
        <v>1475</v>
      </c>
      <c r="BI1184">
        <v>1</v>
      </c>
      <c r="BJ1184">
        <v>1</v>
      </c>
      <c r="BK1184">
        <v>0</v>
      </c>
      <c r="BL1184">
        <v>0</v>
      </c>
      <c r="BO1184">
        <v>0</v>
      </c>
      <c r="BP1184">
        <v>0</v>
      </c>
      <c r="BW1184" t="str">
        <f t="shared" ref="BW1184:BW1192" si="564">"14:43:08.270"</f>
        <v>14:43:08.270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343</v>
      </c>
      <c r="CR1184">
        <v>2</v>
      </c>
      <c r="CW1184">
        <v>13030790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 t="shared" si="561"/>
        <v>05/12/2020 14:42:50.435</v>
      </c>
      <c r="C1185" t="str">
        <f t="shared" si="555"/>
        <v>FFDFD3C0</v>
      </c>
      <c r="D1185" t="s">
        <v>126</v>
      </c>
      <c r="E1185">
        <v>6</v>
      </c>
      <c r="F1185">
        <v>1006</v>
      </c>
      <c r="G1185" t="s">
        <v>114</v>
      </c>
      <c r="J1185" t="s">
        <v>128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562"/>
        <v>14:43:08.266</v>
      </c>
      <c r="T1185" t="str">
        <f t="shared" si="563"/>
        <v>14:43:07.866</v>
      </c>
      <c r="U1185" t="str">
        <f t="shared" si="546"/>
        <v>A9808D</v>
      </c>
      <c r="V1185">
        <v>0</v>
      </c>
      <c r="W1185">
        <v>0</v>
      </c>
      <c r="X1185">
        <v>1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352</v>
      </c>
      <c r="AJ1185">
        <v>28.281147000000001</v>
      </c>
      <c r="AK1185" t="s">
        <v>353</v>
      </c>
      <c r="AL1185">
        <v>-82.383770999999996</v>
      </c>
      <c r="AM1185">
        <v>100</v>
      </c>
      <c r="AN1185">
        <v>1400</v>
      </c>
      <c r="AO1185" t="s">
        <v>118</v>
      </c>
      <c r="AP1185">
        <v>-33</v>
      </c>
      <c r="AQ1185">
        <v>88</v>
      </c>
      <c r="AR1185">
        <v>-384</v>
      </c>
      <c r="AZ1185">
        <v>1200</v>
      </c>
      <c r="BA1185">
        <v>1</v>
      </c>
      <c r="BB1185" t="str">
        <f t="shared" si="556"/>
        <v xml:space="preserve">N711JA  </v>
      </c>
      <c r="BC1185">
        <v>1</v>
      </c>
      <c r="BE1185">
        <v>0</v>
      </c>
      <c r="BF1185">
        <v>0</v>
      </c>
      <c r="BG1185">
        <v>0</v>
      </c>
      <c r="BH1185">
        <v>1475</v>
      </c>
      <c r="BI1185">
        <v>1</v>
      </c>
      <c r="BJ1185">
        <v>1</v>
      </c>
      <c r="BK1185">
        <v>0</v>
      </c>
      <c r="BL1185">
        <v>0</v>
      </c>
      <c r="BO1185">
        <v>0</v>
      </c>
      <c r="BP1185">
        <v>0</v>
      </c>
      <c r="BW1185" t="str">
        <f t="shared" si="564"/>
        <v>14:43:08.270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343</v>
      </c>
      <c r="CR1185">
        <v>2</v>
      </c>
      <c r="CW1185">
        <v>13030790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 t="shared" si="561"/>
        <v>05/12/2020 14:42:50.435</v>
      </c>
      <c r="C1186" t="str">
        <f t="shared" si="555"/>
        <v>FFDFD3C0</v>
      </c>
      <c r="D1186" t="s">
        <v>138</v>
      </c>
      <c r="E1186">
        <v>2</v>
      </c>
      <c r="H1186">
        <v>8</v>
      </c>
      <c r="I1186" t="s">
        <v>139</v>
      </c>
      <c r="J1186" t="s">
        <v>136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562"/>
        <v>14:43:08.266</v>
      </c>
      <c r="T1186" t="str">
        <f t="shared" si="563"/>
        <v>14:43:07.866</v>
      </c>
      <c r="U1186" t="str">
        <f t="shared" si="546"/>
        <v>A9808D</v>
      </c>
      <c r="V1186">
        <v>0</v>
      </c>
      <c r="W1186">
        <v>0</v>
      </c>
      <c r="X1186">
        <v>1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352</v>
      </c>
      <c r="AJ1186">
        <v>28.281147000000001</v>
      </c>
      <c r="AK1186" t="s">
        <v>353</v>
      </c>
      <c r="AL1186">
        <v>-82.383770999999996</v>
      </c>
      <c r="AM1186">
        <v>100</v>
      </c>
      <c r="AN1186">
        <v>1400</v>
      </c>
      <c r="AO1186" t="s">
        <v>118</v>
      </c>
      <c r="AP1186">
        <v>-33</v>
      </c>
      <c r="AQ1186">
        <v>88</v>
      </c>
      <c r="AR1186">
        <v>-384</v>
      </c>
      <c r="AZ1186">
        <v>1200</v>
      </c>
      <c r="BA1186">
        <v>1</v>
      </c>
      <c r="BB1186" t="str">
        <f t="shared" si="556"/>
        <v xml:space="preserve">N711JA  </v>
      </c>
      <c r="BC1186">
        <v>1</v>
      </c>
      <c r="BE1186">
        <v>0</v>
      </c>
      <c r="BF1186">
        <v>0</v>
      </c>
      <c r="BG1186">
        <v>0</v>
      </c>
      <c r="BH1186">
        <v>1475</v>
      </c>
      <c r="BI1186">
        <v>1</v>
      </c>
      <c r="BJ1186">
        <v>1</v>
      </c>
      <c r="BK1186">
        <v>0</v>
      </c>
      <c r="BL1186">
        <v>0</v>
      </c>
      <c r="BO1186">
        <v>0</v>
      </c>
      <c r="BP1186">
        <v>0</v>
      </c>
      <c r="BW1186" t="str">
        <f t="shared" si="564"/>
        <v>14:43:08.270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343</v>
      </c>
      <c r="CR1186">
        <v>2</v>
      </c>
      <c r="CW1186">
        <v>13030790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si="561"/>
        <v>05/12/2020 14:42:50.435</v>
      </c>
      <c r="C1187" t="str">
        <f t="shared" si="555"/>
        <v>FFDFD3C0</v>
      </c>
      <c r="D1187" t="s">
        <v>138</v>
      </c>
      <c r="E1187">
        <v>3</v>
      </c>
      <c r="H1187">
        <v>9</v>
      </c>
      <c r="I1187" t="s">
        <v>140</v>
      </c>
      <c r="J1187" t="s">
        <v>136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562"/>
        <v>14:43:08.266</v>
      </c>
      <c r="T1187" t="str">
        <f t="shared" si="563"/>
        <v>14:43:07.866</v>
      </c>
      <c r="U1187" t="str">
        <f t="shared" si="546"/>
        <v>A9808D</v>
      </c>
      <c r="V1187">
        <v>0</v>
      </c>
      <c r="W1187">
        <v>0</v>
      </c>
      <c r="X1187">
        <v>1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352</v>
      </c>
      <c r="AJ1187">
        <v>28.281147000000001</v>
      </c>
      <c r="AK1187" t="s">
        <v>353</v>
      </c>
      <c r="AL1187">
        <v>-82.383770999999996</v>
      </c>
      <c r="AM1187">
        <v>100</v>
      </c>
      <c r="AN1187">
        <v>1400</v>
      </c>
      <c r="AO1187" t="s">
        <v>118</v>
      </c>
      <c r="AP1187">
        <v>-33</v>
      </c>
      <c r="AQ1187">
        <v>88</v>
      </c>
      <c r="AR1187">
        <v>-384</v>
      </c>
      <c r="AZ1187">
        <v>1200</v>
      </c>
      <c r="BA1187">
        <v>1</v>
      </c>
      <c r="BB1187" t="str">
        <f t="shared" si="556"/>
        <v xml:space="preserve">N711JA  </v>
      </c>
      <c r="BC1187">
        <v>1</v>
      </c>
      <c r="BE1187">
        <v>0</v>
      </c>
      <c r="BF1187">
        <v>0</v>
      </c>
      <c r="BG1187">
        <v>0</v>
      </c>
      <c r="BH1187">
        <v>1475</v>
      </c>
      <c r="BI1187">
        <v>1</v>
      </c>
      <c r="BJ1187">
        <v>1</v>
      </c>
      <c r="BK1187">
        <v>0</v>
      </c>
      <c r="BL1187">
        <v>0</v>
      </c>
      <c r="BO1187">
        <v>0</v>
      </c>
      <c r="BP1187">
        <v>0</v>
      </c>
      <c r="BW1187" t="str">
        <f t="shared" si="564"/>
        <v>14:43:08.270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343</v>
      </c>
      <c r="CR1187">
        <v>2</v>
      </c>
      <c r="CW1187">
        <v>13030790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si="561"/>
        <v>05/12/2020 14:42:50.435</v>
      </c>
      <c r="C1188" t="str">
        <f t="shared" si="555"/>
        <v>FFDFD3C0</v>
      </c>
      <c r="D1188" t="s">
        <v>126</v>
      </c>
      <c r="E1188">
        <v>7</v>
      </c>
      <c r="F1188">
        <v>1007</v>
      </c>
      <c r="G1188" t="s">
        <v>127</v>
      </c>
      <c r="J1188" t="s">
        <v>128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562"/>
        <v>14:43:08.266</v>
      </c>
      <c r="T1188" t="str">
        <f t="shared" si="563"/>
        <v>14:43:07.866</v>
      </c>
      <c r="U1188" t="str">
        <f t="shared" si="546"/>
        <v>A9808D</v>
      </c>
      <c r="V1188">
        <v>0</v>
      </c>
      <c r="W1188">
        <v>0</v>
      </c>
      <c r="X1188">
        <v>1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352</v>
      </c>
      <c r="AJ1188">
        <v>28.281147000000001</v>
      </c>
      <c r="AK1188" t="s">
        <v>353</v>
      </c>
      <c r="AL1188">
        <v>-82.383770999999996</v>
      </c>
      <c r="AM1188">
        <v>100</v>
      </c>
      <c r="AN1188">
        <v>1400</v>
      </c>
      <c r="AO1188" t="s">
        <v>118</v>
      </c>
      <c r="AP1188">
        <v>-33</v>
      </c>
      <c r="AQ1188">
        <v>88</v>
      </c>
      <c r="AR1188">
        <v>-384</v>
      </c>
      <c r="AZ1188">
        <v>1200</v>
      </c>
      <c r="BA1188">
        <v>1</v>
      </c>
      <c r="BB1188" t="str">
        <f t="shared" si="556"/>
        <v xml:space="preserve">N711JA  </v>
      </c>
      <c r="BC1188">
        <v>1</v>
      </c>
      <c r="BE1188">
        <v>0</v>
      </c>
      <c r="BF1188">
        <v>0</v>
      </c>
      <c r="BG1188">
        <v>0</v>
      </c>
      <c r="BH1188">
        <v>1475</v>
      </c>
      <c r="BI1188">
        <v>1</v>
      </c>
      <c r="BJ1188">
        <v>1</v>
      </c>
      <c r="BK1188">
        <v>0</v>
      </c>
      <c r="BL1188">
        <v>0</v>
      </c>
      <c r="BO1188">
        <v>0</v>
      </c>
      <c r="BP1188">
        <v>0</v>
      </c>
      <c r="BW1188" t="str">
        <f t="shared" si="564"/>
        <v>14:43:08.270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343</v>
      </c>
      <c r="CR1188">
        <v>2</v>
      </c>
      <c r="CW1188">
        <v>13030790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561"/>
        <v>05/12/2020 14:42:50.435</v>
      </c>
      <c r="C1189" t="str">
        <f t="shared" si="555"/>
        <v>FFDFD3C0</v>
      </c>
      <c r="D1189" t="s">
        <v>131</v>
      </c>
      <c r="E1189">
        <v>10</v>
      </c>
      <c r="F1189">
        <v>2010</v>
      </c>
      <c r="G1189" t="s">
        <v>132</v>
      </c>
      <c r="J1189" t="s">
        <v>133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562"/>
        <v>14:43:08.266</v>
      </c>
      <c r="T1189" t="str">
        <f t="shared" si="563"/>
        <v>14:43:07.866</v>
      </c>
      <c r="U1189" t="str">
        <f t="shared" si="546"/>
        <v>A9808D</v>
      </c>
      <c r="V1189">
        <v>0</v>
      </c>
      <c r="W1189">
        <v>0</v>
      </c>
      <c r="X1189">
        <v>1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352</v>
      </c>
      <c r="AJ1189">
        <v>28.281147000000001</v>
      </c>
      <c r="AK1189" t="s">
        <v>353</v>
      </c>
      <c r="AL1189">
        <v>-82.383770999999996</v>
      </c>
      <c r="AM1189">
        <v>100</v>
      </c>
      <c r="AN1189">
        <v>1400</v>
      </c>
      <c r="AO1189" t="s">
        <v>118</v>
      </c>
      <c r="AP1189">
        <v>-33</v>
      </c>
      <c r="AQ1189">
        <v>88</v>
      </c>
      <c r="AR1189">
        <v>-384</v>
      </c>
      <c r="AZ1189">
        <v>1200</v>
      </c>
      <c r="BA1189">
        <v>1</v>
      </c>
      <c r="BB1189" t="str">
        <f t="shared" si="556"/>
        <v xml:space="preserve">N711JA  </v>
      </c>
      <c r="BC1189">
        <v>1</v>
      </c>
      <c r="BE1189">
        <v>0</v>
      </c>
      <c r="BF1189">
        <v>0</v>
      </c>
      <c r="BG1189">
        <v>0</v>
      </c>
      <c r="BH1189">
        <v>1475</v>
      </c>
      <c r="BI1189">
        <v>1</v>
      </c>
      <c r="BJ1189">
        <v>1</v>
      </c>
      <c r="BK1189">
        <v>0</v>
      </c>
      <c r="BL1189">
        <v>0</v>
      </c>
      <c r="BO1189">
        <v>0</v>
      </c>
      <c r="BP1189">
        <v>0</v>
      </c>
      <c r="BW1189" t="str">
        <f t="shared" si="564"/>
        <v>14:43:08.270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343</v>
      </c>
      <c r="CR1189">
        <v>2</v>
      </c>
      <c r="CW1189">
        <v>13030790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 t="shared" si="561"/>
        <v>05/12/2020 14:42:50.435</v>
      </c>
      <c r="C1190" t="str">
        <f t="shared" si="555"/>
        <v>FFDFD3C0</v>
      </c>
      <c r="D1190" t="s">
        <v>131</v>
      </c>
      <c r="E1190">
        <v>12</v>
      </c>
      <c r="F1190">
        <v>2012</v>
      </c>
      <c r="G1190" t="s">
        <v>137</v>
      </c>
      <c r="J1190" t="s">
        <v>133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562"/>
        <v>14:43:08.266</v>
      </c>
      <c r="T1190" t="str">
        <f t="shared" si="563"/>
        <v>14:43:07.866</v>
      </c>
      <c r="U1190" t="str">
        <f t="shared" si="546"/>
        <v>A9808D</v>
      </c>
      <c r="V1190">
        <v>0</v>
      </c>
      <c r="W1190">
        <v>0</v>
      </c>
      <c r="X1190">
        <v>1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352</v>
      </c>
      <c r="AJ1190">
        <v>28.281147000000001</v>
      </c>
      <c r="AK1190" t="s">
        <v>353</v>
      </c>
      <c r="AL1190">
        <v>-82.383770999999996</v>
      </c>
      <c r="AM1190">
        <v>100</v>
      </c>
      <c r="AN1190">
        <v>1400</v>
      </c>
      <c r="AO1190" t="s">
        <v>118</v>
      </c>
      <c r="AP1190">
        <v>-33</v>
      </c>
      <c r="AQ1190">
        <v>88</v>
      </c>
      <c r="AR1190">
        <v>-384</v>
      </c>
      <c r="AZ1190">
        <v>1200</v>
      </c>
      <c r="BA1190">
        <v>1</v>
      </c>
      <c r="BB1190" t="str">
        <f t="shared" si="556"/>
        <v xml:space="preserve">N711JA  </v>
      </c>
      <c r="BC1190">
        <v>1</v>
      </c>
      <c r="BE1190">
        <v>0</v>
      </c>
      <c r="BF1190">
        <v>0</v>
      </c>
      <c r="BG1190">
        <v>0</v>
      </c>
      <c r="BH1190">
        <v>1475</v>
      </c>
      <c r="BI1190">
        <v>1</v>
      </c>
      <c r="BJ1190">
        <v>1</v>
      </c>
      <c r="BK1190">
        <v>0</v>
      </c>
      <c r="BL1190">
        <v>0</v>
      </c>
      <c r="BO1190">
        <v>0</v>
      </c>
      <c r="BP1190">
        <v>0</v>
      </c>
      <c r="BW1190" t="str">
        <f t="shared" si="564"/>
        <v>14:43:08.270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343</v>
      </c>
      <c r="CR1190">
        <v>2</v>
      </c>
      <c r="CW1190">
        <v>13030790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 t="shared" si="561"/>
        <v>05/12/2020 14:42:50.435</v>
      </c>
      <c r="C1191" t="str">
        <f t="shared" si="555"/>
        <v>FFDFD3C0</v>
      </c>
      <c r="D1191" t="s">
        <v>134</v>
      </c>
      <c r="E1191">
        <v>12</v>
      </c>
      <c r="H1191">
        <v>64</v>
      </c>
      <c r="I1191" t="s">
        <v>135</v>
      </c>
      <c r="J1191" t="s">
        <v>136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562"/>
        <v>14:43:08.266</v>
      </c>
      <c r="T1191" t="str">
        <f t="shared" si="563"/>
        <v>14:43:07.866</v>
      </c>
      <c r="U1191" t="str">
        <f t="shared" si="546"/>
        <v>A9808D</v>
      </c>
      <c r="V1191">
        <v>0</v>
      </c>
      <c r="W1191">
        <v>0</v>
      </c>
      <c r="X1191">
        <v>1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352</v>
      </c>
      <c r="AJ1191">
        <v>28.281147000000001</v>
      </c>
      <c r="AK1191" t="s">
        <v>353</v>
      </c>
      <c r="AL1191">
        <v>-82.383770999999996</v>
      </c>
      <c r="AM1191">
        <v>100</v>
      </c>
      <c r="AN1191">
        <v>1400</v>
      </c>
      <c r="AO1191" t="s">
        <v>118</v>
      </c>
      <c r="AP1191">
        <v>-33</v>
      </c>
      <c r="AQ1191">
        <v>88</v>
      </c>
      <c r="AR1191">
        <v>-384</v>
      </c>
      <c r="AZ1191">
        <v>1200</v>
      </c>
      <c r="BA1191">
        <v>1</v>
      </c>
      <c r="BB1191" t="str">
        <f t="shared" si="556"/>
        <v xml:space="preserve">N711JA  </v>
      </c>
      <c r="BC1191">
        <v>1</v>
      </c>
      <c r="BE1191">
        <v>0</v>
      </c>
      <c r="BF1191">
        <v>0</v>
      </c>
      <c r="BG1191">
        <v>0</v>
      </c>
      <c r="BH1191">
        <v>1475</v>
      </c>
      <c r="BI1191">
        <v>1</v>
      </c>
      <c r="BJ1191">
        <v>1</v>
      </c>
      <c r="BK1191">
        <v>0</v>
      </c>
      <c r="BL1191">
        <v>0</v>
      </c>
      <c r="BO1191">
        <v>0</v>
      </c>
      <c r="BP1191">
        <v>0</v>
      </c>
      <c r="BW1191" t="str">
        <f t="shared" si="564"/>
        <v>14:43:08.270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343</v>
      </c>
      <c r="CR1191">
        <v>2</v>
      </c>
      <c r="CW1191">
        <v>13030790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 t="shared" si="561"/>
        <v>05/12/2020 14:42:50.435</v>
      </c>
      <c r="C1192" t="str">
        <f t="shared" si="555"/>
        <v>FFDFD3C0</v>
      </c>
      <c r="D1192" t="s">
        <v>131</v>
      </c>
      <c r="E1192">
        <v>18</v>
      </c>
      <c r="F1192">
        <v>2018</v>
      </c>
      <c r="G1192" t="s">
        <v>161</v>
      </c>
      <c r="J1192" t="s">
        <v>133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562"/>
        <v>14:43:08.266</v>
      </c>
      <c r="T1192" t="str">
        <f t="shared" si="563"/>
        <v>14:43:07.866</v>
      </c>
      <c r="U1192" t="str">
        <f t="shared" si="546"/>
        <v>A9808D</v>
      </c>
      <c r="V1192">
        <v>0</v>
      </c>
      <c r="W1192">
        <v>0</v>
      </c>
      <c r="X1192">
        <v>1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352</v>
      </c>
      <c r="AJ1192">
        <v>28.281147000000001</v>
      </c>
      <c r="AK1192" t="s">
        <v>353</v>
      </c>
      <c r="AL1192">
        <v>-82.383770999999996</v>
      </c>
      <c r="AM1192">
        <v>100</v>
      </c>
      <c r="AN1192">
        <v>1400</v>
      </c>
      <c r="AO1192" t="s">
        <v>118</v>
      </c>
      <c r="AP1192">
        <v>-33</v>
      </c>
      <c r="AQ1192">
        <v>88</v>
      </c>
      <c r="AR1192">
        <v>-384</v>
      </c>
      <c r="AZ1192">
        <v>1200</v>
      </c>
      <c r="BA1192">
        <v>1</v>
      </c>
      <c r="BB1192" t="str">
        <f t="shared" si="556"/>
        <v xml:space="preserve">N711JA  </v>
      </c>
      <c r="BC1192">
        <v>1</v>
      </c>
      <c r="BE1192">
        <v>0</v>
      </c>
      <c r="BF1192">
        <v>0</v>
      </c>
      <c r="BG1192">
        <v>0</v>
      </c>
      <c r="BH1192">
        <v>1475</v>
      </c>
      <c r="BI1192">
        <v>1</v>
      </c>
      <c r="BJ1192">
        <v>1</v>
      </c>
      <c r="BK1192">
        <v>0</v>
      </c>
      <c r="BL1192">
        <v>0</v>
      </c>
      <c r="BO1192">
        <v>0</v>
      </c>
      <c r="BP1192">
        <v>0</v>
      </c>
      <c r="BW1192" t="str">
        <f t="shared" si="564"/>
        <v>14:43:08.270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343</v>
      </c>
      <c r="CR1192">
        <v>2</v>
      </c>
      <c r="CW1192">
        <v>13030790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 t="shared" ref="A1193:A1201" si="565">"05/12/2020 14:42:51.512"</f>
        <v>05/12/2020 14:42:51.512</v>
      </c>
      <c r="C1193" t="str">
        <f t="shared" si="555"/>
        <v>FFDFD3C0</v>
      </c>
      <c r="D1193" t="s">
        <v>138</v>
      </c>
      <c r="E1193">
        <v>3</v>
      </c>
      <c r="H1193">
        <v>9</v>
      </c>
      <c r="I1193" t="s">
        <v>140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ref="S1193:T1201" si="566">"14:43:09.344"</f>
        <v>14:43:09.344</v>
      </c>
      <c r="T1193" t="str">
        <f t="shared" si="566"/>
        <v>14:43:09.344</v>
      </c>
      <c r="U1193" t="str">
        <f t="shared" si="546"/>
        <v>A9808D</v>
      </c>
      <c r="V1193">
        <v>0</v>
      </c>
      <c r="W1193">
        <v>0</v>
      </c>
      <c r="X1193">
        <v>1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354</v>
      </c>
      <c r="AJ1193">
        <v>28.281597999999999</v>
      </c>
      <c r="AK1193" t="s">
        <v>355</v>
      </c>
      <c r="AL1193">
        <v>-82.383943000000002</v>
      </c>
      <c r="AM1193">
        <v>100</v>
      </c>
      <c r="AN1193">
        <v>1400</v>
      </c>
      <c r="AO1193" t="s">
        <v>118</v>
      </c>
      <c r="AP1193">
        <v>-22</v>
      </c>
      <c r="AQ1193">
        <v>94</v>
      </c>
      <c r="AR1193">
        <v>-384</v>
      </c>
      <c r="AZ1193">
        <v>1200</v>
      </c>
      <c r="BA1193">
        <v>1</v>
      </c>
      <c r="BB1193" t="str">
        <f t="shared" si="556"/>
        <v xml:space="preserve">N711JA  </v>
      </c>
      <c r="BC1193">
        <v>1</v>
      </c>
      <c r="BE1193">
        <v>0</v>
      </c>
      <c r="BF1193">
        <v>0</v>
      </c>
      <c r="BG1193">
        <v>0</v>
      </c>
      <c r="BH1193">
        <v>1475</v>
      </c>
      <c r="BI1193">
        <v>1</v>
      </c>
      <c r="BJ1193">
        <v>1</v>
      </c>
      <c r="BK1193">
        <v>0</v>
      </c>
      <c r="BL1193">
        <v>0</v>
      </c>
      <c r="BO1193">
        <v>0</v>
      </c>
      <c r="BP1193">
        <v>0</v>
      </c>
      <c r="BW1193" t="str">
        <f t="shared" ref="BW1193:BW1201" si="567">"14:43:09.345"</f>
        <v>14:43:09.345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343</v>
      </c>
      <c r="CR1193">
        <v>1</v>
      </c>
      <c r="CW1193">
        <v>10640851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 t="shared" si="565"/>
        <v>05/12/2020 14:42:51.512</v>
      </c>
      <c r="C1194" t="str">
        <f t="shared" si="555"/>
        <v>FFDFD3C0</v>
      </c>
      <c r="D1194" t="s">
        <v>126</v>
      </c>
      <c r="E1194">
        <v>7</v>
      </c>
      <c r="F1194">
        <v>1007</v>
      </c>
      <c r="G1194" t="s">
        <v>127</v>
      </c>
      <c r="J1194" t="s">
        <v>128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566"/>
        <v>14:43:09.344</v>
      </c>
      <c r="T1194" t="str">
        <f t="shared" si="566"/>
        <v>14:43:09.344</v>
      </c>
      <c r="U1194" t="str">
        <f t="shared" si="546"/>
        <v>A9808D</v>
      </c>
      <c r="V1194">
        <v>0</v>
      </c>
      <c r="W1194">
        <v>0</v>
      </c>
      <c r="X1194">
        <v>1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354</v>
      </c>
      <c r="AJ1194">
        <v>28.281597999999999</v>
      </c>
      <c r="AK1194" t="s">
        <v>355</v>
      </c>
      <c r="AL1194">
        <v>-82.383943000000002</v>
      </c>
      <c r="AM1194">
        <v>100</v>
      </c>
      <c r="AN1194">
        <v>1400</v>
      </c>
      <c r="AO1194" t="s">
        <v>118</v>
      </c>
      <c r="AP1194">
        <v>-22</v>
      </c>
      <c r="AQ1194">
        <v>94</v>
      </c>
      <c r="AR1194">
        <v>-384</v>
      </c>
      <c r="AZ1194">
        <v>1200</v>
      </c>
      <c r="BA1194">
        <v>1</v>
      </c>
      <c r="BB1194" t="str">
        <f t="shared" si="556"/>
        <v xml:space="preserve">N711JA  </v>
      </c>
      <c r="BC1194">
        <v>1</v>
      </c>
      <c r="BE1194">
        <v>0</v>
      </c>
      <c r="BF1194">
        <v>0</v>
      </c>
      <c r="BG1194">
        <v>0</v>
      </c>
      <c r="BH1194">
        <v>1475</v>
      </c>
      <c r="BI1194">
        <v>1</v>
      </c>
      <c r="BJ1194">
        <v>1</v>
      </c>
      <c r="BK1194">
        <v>0</v>
      </c>
      <c r="BL1194">
        <v>0</v>
      </c>
      <c r="BO1194">
        <v>0</v>
      </c>
      <c r="BP1194">
        <v>0</v>
      </c>
      <c r="BW1194" t="str">
        <f t="shared" si="567"/>
        <v>14:43:09.345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343</v>
      </c>
      <c r="CR1194">
        <v>1</v>
      </c>
      <c r="CW1194">
        <v>10640851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 t="shared" si="565"/>
        <v>05/12/2020 14:42:51.512</v>
      </c>
      <c r="C1195" t="str">
        <f t="shared" si="555"/>
        <v>FFDFD3C0</v>
      </c>
      <c r="D1195" t="s">
        <v>131</v>
      </c>
      <c r="E1195">
        <v>10</v>
      </c>
      <c r="F1195">
        <v>2010</v>
      </c>
      <c r="G1195" t="s">
        <v>132</v>
      </c>
      <c r="J1195" t="s">
        <v>133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566"/>
        <v>14:43:09.344</v>
      </c>
      <c r="T1195" t="str">
        <f t="shared" si="566"/>
        <v>14:43:09.344</v>
      </c>
      <c r="U1195" t="str">
        <f t="shared" si="546"/>
        <v>A9808D</v>
      </c>
      <c r="V1195">
        <v>0</v>
      </c>
      <c r="W1195">
        <v>0</v>
      </c>
      <c r="X1195">
        <v>1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354</v>
      </c>
      <c r="AJ1195">
        <v>28.281597999999999</v>
      </c>
      <c r="AK1195" t="s">
        <v>355</v>
      </c>
      <c r="AL1195">
        <v>-82.383943000000002</v>
      </c>
      <c r="AM1195">
        <v>100</v>
      </c>
      <c r="AN1195">
        <v>1400</v>
      </c>
      <c r="AO1195" t="s">
        <v>118</v>
      </c>
      <c r="AP1195">
        <v>-22</v>
      </c>
      <c r="AQ1195">
        <v>94</v>
      </c>
      <c r="AR1195">
        <v>-384</v>
      </c>
      <c r="AZ1195">
        <v>1200</v>
      </c>
      <c r="BA1195">
        <v>1</v>
      </c>
      <c r="BB1195" t="str">
        <f t="shared" si="556"/>
        <v xml:space="preserve">N711JA  </v>
      </c>
      <c r="BC1195">
        <v>1</v>
      </c>
      <c r="BE1195">
        <v>0</v>
      </c>
      <c r="BF1195">
        <v>0</v>
      </c>
      <c r="BG1195">
        <v>0</v>
      </c>
      <c r="BH1195">
        <v>1475</v>
      </c>
      <c r="BI1195">
        <v>1</v>
      </c>
      <c r="BJ1195">
        <v>1</v>
      </c>
      <c r="BK1195">
        <v>0</v>
      </c>
      <c r="BL1195">
        <v>0</v>
      </c>
      <c r="BO1195">
        <v>0</v>
      </c>
      <c r="BP1195">
        <v>0</v>
      </c>
      <c r="BW1195" t="str">
        <f t="shared" si="567"/>
        <v>14:43:09.345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343</v>
      </c>
      <c r="CR1195">
        <v>1</v>
      </c>
      <c r="CW1195">
        <v>10640851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 t="shared" si="565"/>
        <v>05/12/2020 14:42:51.512</v>
      </c>
      <c r="C1196" t="str">
        <f t="shared" si="555"/>
        <v>FFDFD3C0</v>
      </c>
      <c r="D1196" t="s">
        <v>131</v>
      </c>
      <c r="E1196">
        <v>12</v>
      </c>
      <c r="F1196">
        <v>2012</v>
      </c>
      <c r="G1196" t="s">
        <v>137</v>
      </c>
      <c r="J1196" t="s">
        <v>133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566"/>
        <v>14:43:09.344</v>
      </c>
      <c r="T1196" t="str">
        <f t="shared" si="566"/>
        <v>14:43:09.344</v>
      </c>
      <c r="U1196" t="str">
        <f t="shared" si="546"/>
        <v>A9808D</v>
      </c>
      <c r="V1196">
        <v>0</v>
      </c>
      <c r="W1196">
        <v>0</v>
      </c>
      <c r="X1196">
        <v>1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354</v>
      </c>
      <c r="AJ1196">
        <v>28.281597999999999</v>
      </c>
      <c r="AK1196" t="s">
        <v>355</v>
      </c>
      <c r="AL1196">
        <v>-82.383943000000002</v>
      </c>
      <c r="AM1196">
        <v>100</v>
      </c>
      <c r="AN1196">
        <v>1400</v>
      </c>
      <c r="AO1196" t="s">
        <v>118</v>
      </c>
      <c r="AP1196">
        <v>-22</v>
      </c>
      <c r="AQ1196">
        <v>94</v>
      </c>
      <c r="AR1196">
        <v>-384</v>
      </c>
      <c r="AZ1196">
        <v>1200</v>
      </c>
      <c r="BA1196">
        <v>1</v>
      </c>
      <c r="BB1196" t="str">
        <f t="shared" si="556"/>
        <v xml:space="preserve">N711JA  </v>
      </c>
      <c r="BC1196">
        <v>1</v>
      </c>
      <c r="BE1196">
        <v>0</v>
      </c>
      <c r="BF1196">
        <v>0</v>
      </c>
      <c r="BG1196">
        <v>0</v>
      </c>
      <c r="BH1196">
        <v>1475</v>
      </c>
      <c r="BI1196">
        <v>1</v>
      </c>
      <c r="BJ1196">
        <v>1</v>
      </c>
      <c r="BK1196">
        <v>0</v>
      </c>
      <c r="BL1196">
        <v>0</v>
      </c>
      <c r="BO1196">
        <v>0</v>
      </c>
      <c r="BP1196">
        <v>0</v>
      </c>
      <c r="BW1196" t="str">
        <f t="shared" si="567"/>
        <v>14:43:09.345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343</v>
      </c>
      <c r="CR1196">
        <v>1</v>
      </c>
      <c r="CW1196">
        <v>10640851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 t="shared" si="565"/>
        <v>05/12/2020 14:42:51.512</v>
      </c>
      <c r="C1197" t="str">
        <f t="shared" si="555"/>
        <v>FFDFD3C0</v>
      </c>
      <c r="D1197" t="s">
        <v>131</v>
      </c>
      <c r="E1197">
        <v>18</v>
      </c>
      <c r="F1197">
        <v>2018</v>
      </c>
      <c r="G1197" t="s">
        <v>161</v>
      </c>
      <c r="J1197" t="s">
        <v>133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566"/>
        <v>14:43:09.344</v>
      </c>
      <c r="T1197" t="str">
        <f t="shared" si="566"/>
        <v>14:43:09.344</v>
      </c>
      <c r="U1197" t="str">
        <f t="shared" si="546"/>
        <v>A9808D</v>
      </c>
      <c r="V1197">
        <v>0</v>
      </c>
      <c r="W1197">
        <v>0</v>
      </c>
      <c r="X1197">
        <v>1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354</v>
      </c>
      <c r="AJ1197">
        <v>28.281597999999999</v>
      </c>
      <c r="AK1197" t="s">
        <v>355</v>
      </c>
      <c r="AL1197">
        <v>-82.383943000000002</v>
      </c>
      <c r="AM1197">
        <v>100</v>
      </c>
      <c r="AN1197">
        <v>1400</v>
      </c>
      <c r="AO1197" t="s">
        <v>118</v>
      </c>
      <c r="AP1197">
        <v>-22</v>
      </c>
      <c r="AQ1197">
        <v>94</v>
      </c>
      <c r="AR1197">
        <v>-384</v>
      </c>
      <c r="AZ1197">
        <v>1200</v>
      </c>
      <c r="BA1197">
        <v>1</v>
      </c>
      <c r="BB1197" t="str">
        <f t="shared" si="556"/>
        <v xml:space="preserve">N711JA  </v>
      </c>
      <c r="BC1197">
        <v>1</v>
      </c>
      <c r="BE1197">
        <v>0</v>
      </c>
      <c r="BF1197">
        <v>0</v>
      </c>
      <c r="BG1197">
        <v>0</v>
      </c>
      <c r="BH1197">
        <v>1475</v>
      </c>
      <c r="BI1197">
        <v>1</v>
      </c>
      <c r="BJ1197">
        <v>1</v>
      </c>
      <c r="BK1197">
        <v>0</v>
      </c>
      <c r="BL1197">
        <v>0</v>
      </c>
      <c r="BO1197">
        <v>0</v>
      </c>
      <c r="BP1197">
        <v>0</v>
      </c>
      <c r="BW1197" t="str">
        <f t="shared" si="567"/>
        <v>14:43:09.345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343</v>
      </c>
      <c r="CR1197">
        <v>1</v>
      </c>
      <c r="CW1197">
        <v>10640851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 t="shared" si="565"/>
        <v>05/12/2020 14:42:51.512</v>
      </c>
      <c r="C1198" t="str">
        <f t="shared" si="555"/>
        <v>FFDFD3C0</v>
      </c>
      <c r="D1198" t="s">
        <v>134</v>
      </c>
      <c r="E1198">
        <v>12</v>
      </c>
      <c r="H1198">
        <v>64</v>
      </c>
      <c r="I1198" t="s">
        <v>135</v>
      </c>
      <c r="J1198" t="s">
        <v>136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566"/>
        <v>14:43:09.344</v>
      </c>
      <c r="T1198" t="str">
        <f t="shared" si="566"/>
        <v>14:43:09.344</v>
      </c>
      <c r="U1198" t="str">
        <f t="shared" si="546"/>
        <v>A9808D</v>
      </c>
      <c r="V1198">
        <v>0</v>
      </c>
      <c r="W1198">
        <v>0</v>
      </c>
      <c r="X1198">
        <v>1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354</v>
      </c>
      <c r="AJ1198">
        <v>28.281597999999999</v>
      </c>
      <c r="AK1198" t="s">
        <v>355</v>
      </c>
      <c r="AL1198">
        <v>-82.383943000000002</v>
      </c>
      <c r="AM1198">
        <v>100</v>
      </c>
      <c r="AN1198">
        <v>1400</v>
      </c>
      <c r="AO1198" t="s">
        <v>118</v>
      </c>
      <c r="AP1198">
        <v>-22</v>
      </c>
      <c r="AQ1198">
        <v>94</v>
      </c>
      <c r="AR1198">
        <v>-384</v>
      </c>
      <c r="AZ1198">
        <v>1200</v>
      </c>
      <c r="BA1198">
        <v>1</v>
      </c>
      <c r="BB1198" t="str">
        <f t="shared" si="556"/>
        <v xml:space="preserve">N711JA  </v>
      </c>
      <c r="BC1198">
        <v>1</v>
      </c>
      <c r="BE1198">
        <v>0</v>
      </c>
      <c r="BF1198">
        <v>0</v>
      </c>
      <c r="BG1198">
        <v>0</v>
      </c>
      <c r="BH1198">
        <v>1475</v>
      </c>
      <c r="BI1198">
        <v>1</v>
      </c>
      <c r="BJ1198">
        <v>1</v>
      </c>
      <c r="BK1198">
        <v>0</v>
      </c>
      <c r="BL1198">
        <v>0</v>
      </c>
      <c r="BO1198">
        <v>0</v>
      </c>
      <c r="BP1198">
        <v>0</v>
      </c>
      <c r="BW1198" t="str">
        <f t="shared" si="567"/>
        <v>14:43:09.345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343</v>
      </c>
      <c r="CR1198">
        <v>1</v>
      </c>
      <c r="CW1198">
        <v>10640851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 t="shared" si="565"/>
        <v>05/12/2020 14:42:51.512</v>
      </c>
      <c r="C1199" t="str">
        <f t="shared" si="555"/>
        <v>FFDFD3C0</v>
      </c>
      <c r="D1199" t="s">
        <v>113</v>
      </c>
      <c r="E1199">
        <v>3</v>
      </c>
      <c r="H1199">
        <v>164</v>
      </c>
      <c r="I1199" t="s">
        <v>114</v>
      </c>
      <c r="J1199" t="s">
        <v>115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566"/>
        <v>14:43:09.344</v>
      </c>
      <c r="T1199" t="str">
        <f t="shared" si="566"/>
        <v>14:43:09.344</v>
      </c>
      <c r="U1199" t="str">
        <f t="shared" si="546"/>
        <v>A9808D</v>
      </c>
      <c r="V1199">
        <v>0</v>
      </c>
      <c r="W1199">
        <v>0</v>
      </c>
      <c r="X1199">
        <v>1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354</v>
      </c>
      <c r="AJ1199">
        <v>28.281597999999999</v>
      </c>
      <c r="AK1199" t="s">
        <v>355</v>
      </c>
      <c r="AL1199">
        <v>-82.383943000000002</v>
      </c>
      <c r="AM1199">
        <v>100</v>
      </c>
      <c r="AN1199">
        <v>1400</v>
      </c>
      <c r="AO1199" t="s">
        <v>118</v>
      </c>
      <c r="AP1199">
        <v>-22</v>
      </c>
      <c r="AQ1199">
        <v>94</v>
      </c>
      <c r="AR1199">
        <v>-384</v>
      </c>
      <c r="AZ1199">
        <v>1200</v>
      </c>
      <c r="BA1199">
        <v>1</v>
      </c>
      <c r="BB1199" t="str">
        <f t="shared" si="556"/>
        <v xml:space="preserve">N711JA  </v>
      </c>
      <c r="BC1199">
        <v>1</v>
      </c>
      <c r="BE1199">
        <v>0</v>
      </c>
      <c r="BF1199">
        <v>0</v>
      </c>
      <c r="BG1199">
        <v>0</v>
      </c>
      <c r="BH1199">
        <v>1475</v>
      </c>
      <c r="BI1199">
        <v>1</v>
      </c>
      <c r="BJ1199">
        <v>1</v>
      </c>
      <c r="BK1199">
        <v>0</v>
      </c>
      <c r="BL1199">
        <v>0</v>
      </c>
      <c r="BO1199">
        <v>0</v>
      </c>
      <c r="BP1199">
        <v>0</v>
      </c>
      <c r="BW1199" t="str">
        <f t="shared" si="567"/>
        <v>14:43:09.345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343</v>
      </c>
      <c r="CR1199">
        <v>1</v>
      </c>
      <c r="CW1199">
        <v>10640851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 t="shared" si="565"/>
        <v>05/12/2020 14:42:51.512</v>
      </c>
      <c r="C1200" t="str">
        <f t="shared" si="555"/>
        <v>FFDFD3C0</v>
      </c>
      <c r="D1200" t="s">
        <v>126</v>
      </c>
      <c r="E1200">
        <v>6</v>
      </c>
      <c r="F1200">
        <v>1006</v>
      </c>
      <c r="G1200" t="s">
        <v>114</v>
      </c>
      <c r="J1200" t="s">
        <v>128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566"/>
        <v>14:43:09.344</v>
      </c>
      <c r="T1200" t="str">
        <f t="shared" si="566"/>
        <v>14:43:09.344</v>
      </c>
      <c r="U1200" t="str">
        <f t="shared" si="546"/>
        <v>A9808D</v>
      </c>
      <c r="V1200">
        <v>0</v>
      </c>
      <c r="W1200">
        <v>0</v>
      </c>
      <c r="X1200">
        <v>1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354</v>
      </c>
      <c r="AJ1200">
        <v>28.281597999999999</v>
      </c>
      <c r="AK1200" t="s">
        <v>355</v>
      </c>
      <c r="AL1200">
        <v>-82.383943000000002</v>
      </c>
      <c r="AM1200">
        <v>100</v>
      </c>
      <c r="AN1200">
        <v>1400</v>
      </c>
      <c r="AO1200" t="s">
        <v>118</v>
      </c>
      <c r="AP1200">
        <v>-22</v>
      </c>
      <c r="AQ1200">
        <v>94</v>
      </c>
      <c r="AR1200">
        <v>-384</v>
      </c>
      <c r="AZ1200">
        <v>1200</v>
      </c>
      <c r="BA1200">
        <v>1</v>
      </c>
      <c r="BB1200" t="str">
        <f t="shared" si="556"/>
        <v xml:space="preserve">N711JA  </v>
      </c>
      <c r="BC1200">
        <v>1</v>
      </c>
      <c r="BE1200">
        <v>0</v>
      </c>
      <c r="BF1200">
        <v>0</v>
      </c>
      <c r="BG1200">
        <v>0</v>
      </c>
      <c r="BH1200">
        <v>1475</v>
      </c>
      <c r="BI1200">
        <v>1</v>
      </c>
      <c r="BJ1200">
        <v>1</v>
      </c>
      <c r="BK1200">
        <v>0</v>
      </c>
      <c r="BL1200">
        <v>0</v>
      </c>
      <c r="BO1200">
        <v>0</v>
      </c>
      <c r="BP1200">
        <v>0</v>
      </c>
      <c r="BW1200" t="str">
        <f t="shared" si="567"/>
        <v>14:43:09.345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343</v>
      </c>
      <c r="CR1200">
        <v>1</v>
      </c>
      <c r="CW1200">
        <v>10640851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 t="shared" si="565"/>
        <v>05/12/2020 14:42:51.512</v>
      </c>
      <c r="C1201" t="str">
        <f t="shared" si="555"/>
        <v>FFDFD3C0</v>
      </c>
      <c r="D1201" t="s">
        <v>138</v>
      </c>
      <c r="E1201">
        <v>2</v>
      </c>
      <c r="H1201">
        <v>8</v>
      </c>
      <c r="I1201" t="s">
        <v>139</v>
      </c>
      <c r="J1201" t="s">
        <v>136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566"/>
        <v>14:43:09.344</v>
      </c>
      <c r="T1201" t="str">
        <f t="shared" si="566"/>
        <v>14:43:09.344</v>
      </c>
      <c r="U1201" t="str">
        <f t="shared" si="546"/>
        <v>A9808D</v>
      </c>
      <c r="V1201">
        <v>0</v>
      </c>
      <c r="W1201">
        <v>0</v>
      </c>
      <c r="X1201">
        <v>1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354</v>
      </c>
      <c r="AJ1201">
        <v>28.281597999999999</v>
      </c>
      <c r="AK1201" t="s">
        <v>355</v>
      </c>
      <c r="AL1201">
        <v>-82.383943000000002</v>
      </c>
      <c r="AM1201">
        <v>100</v>
      </c>
      <c r="AN1201">
        <v>1400</v>
      </c>
      <c r="AO1201" t="s">
        <v>118</v>
      </c>
      <c r="AP1201">
        <v>-22</v>
      </c>
      <c r="AQ1201">
        <v>94</v>
      </c>
      <c r="AR1201">
        <v>-384</v>
      </c>
      <c r="AZ1201">
        <v>1200</v>
      </c>
      <c r="BA1201">
        <v>1</v>
      </c>
      <c r="BB1201" t="str">
        <f t="shared" si="556"/>
        <v xml:space="preserve">N711JA  </v>
      </c>
      <c r="BC1201">
        <v>1</v>
      </c>
      <c r="BE1201">
        <v>0</v>
      </c>
      <c r="BF1201">
        <v>0</v>
      </c>
      <c r="BG1201">
        <v>0</v>
      </c>
      <c r="BH1201">
        <v>1475</v>
      </c>
      <c r="BI1201">
        <v>1</v>
      </c>
      <c r="BJ1201">
        <v>1</v>
      </c>
      <c r="BK1201">
        <v>0</v>
      </c>
      <c r="BL1201">
        <v>0</v>
      </c>
      <c r="BO1201">
        <v>0</v>
      </c>
      <c r="BP1201">
        <v>0</v>
      </c>
      <c r="BW1201" t="str">
        <f t="shared" si="567"/>
        <v>14:43:09.345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343</v>
      </c>
      <c r="CR1201">
        <v>1</v>
      </c>
      <c r="CW1201">
        <v>10640851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 t="shared" ref="A1202:A1210" si="568">"05/12/2020 14:42:52.483"</f>
        <v>05/12/2020 14:42:52.483</v>
      </c>
      <c r="C1202" t="str">
        <f t="shared" si="555"/>
        <v>FFDFD3C0</v>
      </c>
      <c r="D1202" t="s">
        <v>131</v>
      </c>
      <c r="E1202">
        <v>12</v>
      </c>
      <c r="F1202">
        <v>2012</v>
      </c>
      <c r="G1202" t="s">
        <v>137</v>
      </c>
      <c r="J1202" t="s">
        <v>133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ref="S1202:S1210" si="569">"14:43:10.305"</f>
        <v>14:43:10.305</v>
      </c>
      <c r="T1202" t="str">
        <f t="shared" ref="T1202:T1210" si="570">"14:43:09.905"</f>
        <v>14:43:09.905</v>
      </c>
      <c r="U1202" t="str">
        <f t="shared" si="546"/>
        <v>A9808D</v>
      </c>
      <c r="V1202">
        <v>0</v>
      </c>
      <c r="W1202">
        <v>0</v>
      </c>
      <c r="X1202">
        <v>1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1</v>
      </c>
      <c r="AG1202">
        <v>2</v>
      </c>
      <c r="AH1202">
        <v>0</v>
      </c>
      <c r="AI1202" t="s">
        <v>356</v>
      </c>
      <c r="AJ1202">
        <v>28.282005999999999</v>
      </c>
      <c r="AK1202" t="s">
        <v>357</v>
      </c>
      <c r="AL1202">
        <v>-82.384050000000002</v>
      </c>
      <c r="AM1202">
        <v>100</v>
      </c>
      <c r="AN1202">
        <v>1400</v>
      </c>
      <c r="AO1202" t="s">
        <v>118</v>
      </c>
      <c r="AP1202">
        <v>-20</v>
      </c>
      <c r="AQ1202">
        <v>95</v>
      </c>
      <c r="AR1202">
        <v>-448</v>
      </c>
      <c r="AZ1202">
        <v>1200</v>
      </c>
      <c r="BA1202">
        <v>1</v>
      </c>
      <c r="BB1202" t="str">
        <f t="shared" si="556"/>
        <v xml:space="preserve">N711JA  </v>
      </c>
      <c r="BC1202">
        <v>1</v>
      </c>
      <c r="BE1202">
        <v>0</v>
      </c>
      <c r="BF1202">
        <v>0</v>
      </c>
      <c r="BG1202">
        <v>0</v>
      </c>
      <c r="BH1202">
        <v>1475</v>
      </c>
      <c r="BI1202">
        <v>1</v>
      </c>
      <c r="BJ1202">
        <v>1</v>
      </c>
      <c r="BK1202">
        <v>0</v>
      </c>
      <c r="BL1202">
        <v>0</v>
      </c>
      <c r="BO1202">
        <v>0</v>
      </c>
      <c r="BP1202">
        <v>0</v>
      </c>
      <c r="BW1202" t="str">
        <f t="shared" ref="BW1202:BW1210" si="571">"14:43:10.309"</f>
        <v>14:43:10.309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343</v>
      </c>
      <c r="CR1202">
        <v>2</v>
      </c>
      <c r="CW1202">
        <v>13032273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1</v>
      </c>
      <c r="DF1202">
        <v>0</v>
      </c>
      <c r="DG1202">
        <v>1</v>
      </c>
      <c r="DH1202">
        <v>0</v>
      </c>
      <c r="DI1202">
        <v>0</v>
      </c>
    </row>
    <row r="1203" spans="1:113" x14ac:dyDescent="0.3">
      <c r="A1203" t="str">
        <f t="shared" si="568"/>
        <v>05/12/2020 14:42:52.483</v>
      </c>
      <c r="C1203" t="str">
        <f t="shared" si="555"/>
        <v>FFDFD3C0</v>
      </c>
      <c r="D1203" t="s">
        <v>131</v>
      </c>
      <c r="E1203">
        <v>18</v>
      </c>
      <c r="F1203">
        <v>2018</v>
      </c>
      <c r="G1203" t="s">
        <v>161</v>
      </c>
      <c r="J1203" t="s">
        <v>133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569"/>
        <v>14:43:10.305</v>
      </c>
      <c r="T1203" t="str">
        <f t="shared" si="570"/>
        <v>14:43:09.905</v>
      </c>
      <c r="U1203" t="str">
        <f t="shared" si="546"/>
        <v>A9808D</v>
      </c>
      <c r="V1203">
        <v>0</v>
      </c>
      <c r="W1203">
        <v>0</v>
      </c>
      <c r="X1203">
        <v>1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1</v>
      </c>
      <c r="AG1203">
        <v>2</v>
      </c>
      <c r="AH1203">
        <v>0</v>
      </c>
      <c r="AI1203" t="s">
        <v>356</v>
      </c>
      <c r="AJ1203">
        <v>28.282005999999999</v>
      </c>
      <c r="AK1203" t="s">
        <v>357</v>
      </c>
      <c r="AL1203">
        <v>-82.384050000000002</v>
      </c>
      <c r="AM1203">
        <v>100</v>
      </c>
      <c r="AN1203">
        <v>1400</v>
      </c>
      <c r="AO1203" t="s">
        <v>118</v>
      </c>
      <c r="AP1203">
        <v>-20</v>
      </c>
      <c r="AQ1203">
        <v>95</v>
      </c>
      <c r="AR1203">
        <v>-448</v>
      </c>
      <c r="AZ1203">
        <v>1200</v>
      </c>
      <c r="BA1203">
        <v>1</v>
      </c>
      <c r="BB1203" t="str">
        <f t="shared" si="556"/>
        <v xml:space="preserve">N711JA  </v>
      </c>
      <c r="BC1203">
        <v>1</v>
      </c>
      <c r="BE1203">
        <v>0</v>
      </c>
      <c r="BF1203">
        <v>0</v>
      </c>
      <c r="BG1203">
        <v>0</v>
      </c>
      <c r="BH1203">
        <v>1475</v>
      </c>
      <c r="BI1203">
        <v>1</v>
      </c>
      <c r="BJ1203">
        <v>1</v>
      </c>
      <c r="BK1203">
        <v>0</v>
      </c>
      <c r="BL1203">
        <v>0</v>
      </c>
      <c r="BO1203">
        <v>0</v>
      </c>
      <c r="BP1203">
        <v>0</v>
      </c>
      <c r="BW1203" t="str">
        <f t="shared" si="571"/>
        <v>14:43:10.309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343</v>
      </c>
      <c r="CR1203">
        <v>2</v>
      </c>
      <c r="CW1203">
        <v>13032273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1</v>
      </c>
      <c r="DF1203">
        <v>0</v>
      </c>
      <c r="DG1203">
        <v>1</v>
      </c>
      <c r="DH1203">
        <v>0</v>
      </c>
      <c r="DI1203">
        <v>0</v>
      </c>
    </row>
    <row r="1204" spans="1:113" x14ac:dyDescent="0.3">
      <c r="A1204" t="str">
        <f t="shared" si="568"/>
        <v>05/12/2020 14:42:52.483</v>
      </c>
      <c r="C1204" t="str">
        <f t="shared" si="555"/>
        <v>FFDFD3C0</v>
      </c>
      <c r="D1204" t="s">
        <v>134</v>
      </c>
      <c r="E1204">
        <v>12</v>
      </c>
      <c r="H1204">
        <v>64</v>
      </c>
      <c r="I1204" t="s">
        <v>135</v>
      </c>
      <c r="J1204" t="s">
        <v>136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569"/>
        <v>14:43:10.305</v>
      </c>
      <c r="T1204" t="str">
        <f t="shared" si="570"/>
        <v>14:43:09.905</v>
      </c>
      <c r="U1204" t="str">
        <f t="shared" si="546"/>
        <v>A9808D</v>
      </c>
      <c r="V1204">
        <v>0</v>
      </c>
      <c r="W1204">
        <v>0</v>
      </c>
      <c r="X1204">
        <v>1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356</v>
      </c>
      <c r="AJ1204">
        <v>28.282005999999999</v>
      </c>
      <c r="AK1204" t="s">
        <v>357</v>
      </c>
      <c r="AL1204">
        <v>-82.384050000000002</v>
      </c>
      <c r="AM1204">
        <v>100</v>
      </c>
      <c r="AN1204">
        <v>1400</v>
      </c>
      <c r="AO1204" t="s">
        <v>118</v>
      </c>
      <c r="AP1204">
        <v>-20</v>
      </c>
      <c r="AQ1204">
        <v>95</v>
      </c>
      <c r="AR1204">
        <v>-448</v>
      </c>
      <c r="AZ1204">
        <v>1200</v>
      </c>
      <c r="BA1204">
        <v>1</v>
      </c>
      <c r="BB1204" t="str">
        <f t="shared" si="556"/>
        <v xml:space="preserve">N711JA  </v>
      </c>
      <c r="BC1204">
        <v>1</v>
      </c>
      <c r="BE1204">
        <v>0</v>
      </c>
      <c r="BF1204">
        <v>0</v>
      </c>
      <c r="BG1204">
        <v>0</v>
      </c>
      <c r="BH1204">
        <v>1475</v>
      </c>
      <c r="BI1204">
        <v>1</v>
      </c>
      <c r="BJ1204">
        <v>1</v>
      </c>
      <c r="BK1204">
        <v>0</v>
      </c>
      <c r="BL1204">
        <v>0</v>
      </c>
      <c r="BO1204">
        <v>0</v>
      </c>
      <c r="BP1204">
        <v>0</v>
      </c>
      <c r="BW1204" t="str">
        <f t="shared" si="571"/>
        <v>14:43:10.309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343</v>
      </c>
      <c r="CR1204">
        <v>2</v>
      </c>
      <c r="CW1204">
        <v>13032273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1</v>
      </c>
      <c r="DF1204">
        <v>0</v>
      </c>
      <c r="DG1204">
        <v>1</v>
      </c>
      <c r="DH1204">
        <v>0</v>
      </c>
      <c r="DI1204">
        <v>0</v>
      </c>
    </row>
    <row r="1205" spans="1:113" x14ac:dyDescent="0.3">
      <c r="A1205" t="str">
        <f t="shared" si="568"/>
        <v>05/12/2020 14:42:52.483</v>
      </c>
      <c r="C1205" t="str">
        <f t="shared" si="555"/>
        <v>FFDFD3C0</v>
      </c>
      <c r="D1205" t="s">
        <v>126</v>
      </c>
      <c r="E1205">
        <v>6</v>
      </c>
      <c r="F1205">
        <v>1006</v>
      </c>
      <c r="G1205" t="s">
        <v>114</v>
      </c>
      <c r="J1205" t="s">
        <v>128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569"/>
        <v>14:43:10.305</v>
      </c>
      <c r="T1205" t="str">
        <f t="shared" si="570"/>
        <v>14:43:09.905</v>
      </c>
      <c r="U1205" t="str">
        <f t="shared" si="546"/>
        <v>A9808D</v>
      </c>
      <c r="V1205">
        <v>0</v>
      </c>
      <c r="W1205">
        <v>0</v>
      </c>
      <c r="X1205">
        <v>1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1</v>
      </c>
      <c r="AG1205">
        <v>2</v>
      </c>
      <c r="AH1205">
        <v>0</v>
      </c>
      <c r="AI1205" t="s">
        <v>356</v>
      </c>
      <c r="AJ1205">
        <v>28.282005999999999</v>
      </c>
      <c r="AK1205" t="s">
        <v>357</v>
      </c>
      <c r="AL1205">
        <v>-82.384050000000002</v>
      </c>
      <c r="AM1205">
        <v>100</v>
      </c>
      <c r="AN1205">
        <v>1400</v>
      </c>
      <c r="AO1205" t="s">
        <v>118</v>
      </c>
      <c r="AP1205">
        <v>-20</v>
      </c>
      <c r="AQ1205">
        <v>95</v>
      </c>
      <c r="AR1205">
        <v>-448</v>
      </c>
      <c r="AZ1205">
        <v>1200</v>
      </c>
      <c r="BA1205">
        <v>1</v>
      </c>
      <c r="BB1205" t="str">
        <f t="shared" si="556"/>
        <v xml:space="preserve">N711JA  </v>
      </c>
      <c r="BC1205">
        <v>1</v>
      </c>
      <c r="BE1205">
        <v>0</v>
      </c>
      <c r="BF1205">
        <v>0</v>
      </c>
      <c r="BG1205">
        <v>0</v>
      </c>
      <c r="BH1205">
        <v>1475</v>
      </c>
      <c r="BI1205">
        <v>1</v>
      </c>
      <c r="BJ1205">
        <v>1</v>
      </c>
      <c r="BK1205">
        <v>0</v>
      </c>
      <c r="BL1205">
        <v>0</v>
      </c>
      <c r="BO1205">
        <v>0</v>
      </c>
      <c r="BP1205">
        <v>0</v>
      </c>
      <c r="BW1205" t="str">
        <f t="shared" si="571"/>
        <v>14:43:10.309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343</v>
      </c>
      <c r="CR1205">
        <v>2</v>
      </c>
      <c r="CW1205">
        <v>13032273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1</v>
      </c>
      <c r="DF1205">
        <v>0</v>
      </c>
      <c r="DG1205">
        <v>1</v>
      </c>
      <c r="DH1205">
        <v>0</v>
      </c>
      <c r="DI1205">
        <v>0</v>
      </c>
    </row>
    <row r="1206" spans="1:113" x14ac:dyDescent="0.3">
      <c r="A1206" t="str">
        <f t="shared" si="568"/>
        <v>05/12/2020 14:42:52.483</v>
      </c>
      <c r="C1206" t="str">
        <f t="shared" si="555"/>
        <v>FFDFD3C0</v>
      </c>
      <c r="D1206" t="s">
        <v>113</v>
      </c>
      <c r="E1206">
        <v>3</v>
      </c>
      <c r="H1206">
        <v>164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569"/>
        <v>14:43:10.305</v>
      </c>
      <c r="T1206" t="str">
        <f t="shared" si="570"/>
        <v>14:43:09.905</v>
      </c>
      <c r="U1206" t="str">
        <f t="shared" si="546"/>
        <v>A9808D</v>
      </c>
      <c r="V1206">
        <v>0</v>
      </c>
      <c r="W1206">
        <v>0</v>
      </c>
      <c r="X1206">
        <v>1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356</v>
      </c>
      <c r="AJ1206">
        <v>28.282005999999999</v>
      </c>
      <c r="AK1206" t="s">
        <v>357</v>
      </c>
      <c r="AL1206">
        <v>-82.384050000000002</v>
      </c>
      <c r="AM1206">
        <v>100</v>
      </c>
      <c r="AN1206">
        <v>1400</v>
      </c>
      <c r="AO1206" t="s">
        <v>118</v>
      </c>
      <c r="AP1206">
        <v>-20</v>
      </c>
      <c r="AQ1206">
        <v>95</v>
      </c>
      <c r="AR1206">
        <v>-448</v>
      </c>
      <c r="AZ1206">
        <v>1200</v>
      </c>
      <c r="BA1206">
        <v>1</v>
      </c>
      <c r="BB1206" t="str">
        <f t="shared" si="556"/>
        <v xml:space="preserve">N711JA  </v>
      </c>
      <c r="BC1206">
        <v>1</v>
      </c>
      <c r="BE1206">
        <v>0</v>
      </c>
      <c r="BF1206">
        <v>0</v>
      </c>
      <c r="BG1206">
        <v>0</v>
      </c>
      <c r="BH1206">
        <v>1475</v>
      </c>
      <c r="BI1206">
        <v>1</v>
      </c>
      <c r="BJ1206">
        <v>1</v>
      </c>
      <c r="BK1206">
        <v>0</v>
      </c>
      <c r="BL1206">
        <v>0</v>
      </c>
      <c r="BO1206">
        <v>0</v>
      </c>
      <c r="BP1206">
        <v>0</v>
      </c>
      <c r="BW1206" t="str">
        <f t="shared" si="571"/>
        <v>14:43:10.309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343</v>
      </c>
      <c r="CR1206">
        <v>2</v>
      </c>
      <c r="CW1206">
        <v>13032273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1</v>
      </c>
      <c r="DF1206">
        <v>0</v>
      </c>
      <c r="DG1206">
        <v>1</v>
      </c>
      <c r="DH1206">
        <v>0</v>
      </c>
      <c r="DI1206">
        <v>0</v>
      </c>
    </row>
    <row r="1207" spans="1:113" x14ac:dyDescent="0.3">
      <c r="A1207" t="str">
        <f t="shared" si="568"/>
        <v>05/12/2020 14:42:52.483</v>
      </c>
      <c r="C1207" t="str">
        <f t="shared" si="555"/>
        <v>FFDFD3C0</v>
      </c>
      <c r="D1207" t="s">
        <v>138</v>
      </c>
      <c r="E1207">
        <v>2</v>
      </c>
      <c r="H1207">
        <v>8</v>
      </c>
      <c r="I1207" t="s">
        <v>139</v>
      </c>
      <c r="J1207" t="s">
        <v>136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569"/>
        <v>14:43:10.305</v>
      </c>
      <c r="T1207" t="str">
        <f t="shared" si="570"/>
        <v>14:43:09.905</v>
      </c>
      <c r="U1207" t="str">
        <f t="shared" si="546"/>
        <v>A9808D</v>
      </c>
      <c r="V1207">
        <v>0</v>
      </c>
      <c r="W1207">
        <v>0</v>
      </c>
      <c r="X1207">
        <v>1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356</v>
      </c>
      <c r="AJ1207">
        <v>28.282005999999999</v>
      </c>
      <c r="AK1207" t="s">
        <v>357</v>
      </c>
      <c r="AL1207">
        <v>-82.384050000000002</v>
      </c>
      <c r="AM1207">
        <v>100</v>
      </c>
      <c r="AN1207">
        <v>1400</v>
      </c>
      <c r="AO1207" t="s">
        <v>118</v>
      </c>
      <c r="AP1207">
        <v>-20</v>
      </c>
      <c r="AQ1207">
        <v>95</v>
      </c>
      <c r="AR1207">
        <v>-448</v>
      </c>
      <c r="AZ1207">
        <v>1200</v>
      </c>
      <c r="BA1207">
        <v>1</v>
      </c>
      <c r="BB1207" t="str">
        <f t="shared" si="556"/>
        <v xml:space="preserve">N711JA  </v>
      </c>
      <c r="BC1207">
        <v>1</v>
      </c>
      <c r="BE1207">
        <v>0</v>
      </c>
      <c r="BF1207">
        <v>0</v>
      </c>
      <c r="BG1207">
        <v>0</v>
      </c>
      <c r="BH1207">
        <v>1475</v>
      </c>
      <c r="BI1207">
        <v>1</v>
      </c>
      <c r="BJ1207">
        <v>1</v>
      </c>
      <c r="BK1207">
        <v>0</v>
      </c>
      <c r="BL1207">
        <v>0</v>
      </c>
      <c r="BO1207">
        <v>0</v>
      </c>
      <c r="BP1207">
        <v>0</v>
      </c>
      <c r="BW1207" t="str">
        <f t="shared" si="571"/>
        <v>14:43:10.309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343</v>
      </c>
      <c r="CR1207">
        <v>2</v>
      </c>
      <c r="CW1207">
        <v>13032273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1</v>
      </c>
      <c r="DF1207">
        <v>0</v>
      </c>
      <c r="DG1207">
        <v>1</v>
      </c>
      <c r="DH1207">
        <v>0</v>
      </c>
      <c r="DI1207">
        <v>0</v>
      </c>
    </row>
    <row r="1208" spans="1:113" x14ac:dyDescent="0.3">
      <c r="A1208" t="str">
        <f t="shared" si="568"/>
        <v>05/12/2020 14:42:52.483</v>
      </c>
      <c r="C1208" t="str">
        <f t="shared" si="555"/>
        <v>FFDFD3C0</v>
      </c>
      <c r="D1208" t="s">
        <v>138</v>
      </c>
      <c r="E1208">
        <v>3</v>
      </c>
      <c r="H1208">
        <v>9</v>
      </c>
      <c r="I1208" t="s">
        <v>140</v>
      </c>
      <c r="J1208" t="s">
        <v>136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569"/>
        <v>14:43:10.305</v>
      </c>
      <c r="T1208" t="str">
        <f t="shared" si="570"/>
        <v>14:43:09.905</v>
      </c>
      <c r="U1208" t="str">
        <f t="shared" si="546"/>
        <v>A9808D</v>
      </c>
      <c r="V1208">
        <v>0</v>
      </c>
      <c r="W1208">
        <v>0</v>
      </c>
      <c r="X1208">
        <v>1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356</v>
      </c>
      <c r="AJ1208">
        <v>28.282005999999999</v>
      </c>
      <c r="AK1208" t="s">
        <v>357</v>
      </c>
      <c r="AL1208">
        <v>-82.384050000000002</v>
      </c>
      <c r="AM1208">
        <v>100</v>
      </c>
      <c r="AN1208">
        <v>1400</v>
      </c>
      <c r="AO1208" t="s">
        <v>118</v>
      </c>
      <c r="AP1208">
        <v>-20</v>
      </c>
      <c r="AQ1208">
        <v>95</v>
      </c>
      <c r="AR1208">
        <v>-448</v>
      </c>
      <c r="AZ1208">
        <v>1200</v>
      </c>
      <c r="BA1208">
        <v>1</v>
      </c>
      <c r="BB1208" t="str">
        <f t="shared" si="556"/>
        <v xml:space="preserve">N711JA  </v>
      </c>
      <c r="BC1208">
        <v>1</v>
      </c>
      <c r="BE1208">
        <v>0</v>
      </c>
      <c r="BF1208">
        <v>0</v>
      </c>
      <c r="BG1208">
        <v>0</v>
      </c>
      <c r="BH1208">
        <v>1475</v>
      </c>
      <c r="BI1208">
        <v>1</v>
      </c>
      <c r="BJ1208">
        <v>1</v>
      </c>
      <c r="BK1208">
        <v>0</v>
      </c>
      <c r="BL1208">
        <v>0</v>
      </c>
      <c r="BO1208">
        <v>0</v>
      </c>
      <c r="BP1208">
        <v>0</v>
      </c>
      <c r="BW1208" t="str">
        <f t="shared" si="571"/>
        <v>14:43:10.309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343</v>
      </c>
      <c r="CR1208">
        <v>2</v>
      </c>
      <c r="CW1208">
        <v>13032273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1</v>
      </c>
      <c r="DF1208">
        <v>0</v>
      </c>
      <c r="DG1208">
        <v>1</v>
      </c>
      <c r="DH1208">
        <v>0</v>
      </c>
      <c r="DI1208">
        <v>0</v>
      </c>
    </row>
    <row r="1209" spans="1:113" x14ac:dyDescent="0.3">
      <c r="A1209" t="str">
        <f t="shared" si="568"/>
        <v>05/12/2020 14:42:52.483</v>
      </c>
      <c r="C1209" t="str">
        <f t="shared" si="555"/>
        <v>FFDFD3C0</v>
      </c>
      <c r="D1209" t="s">
        <v>131</v>
      </c>
      <c r="E1209">
        <v>10</v>
      </c>
      <c r="F1209">
        <v>2010</v>
      </c>
      <c r="G1209" t="s">
        <v>132</v>
      </c>
      <c r="J1209" t="s">
        <v>133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569"/>
        <v>14:43:10.305</v>
      </c>
      <c r="T1209" t="str">
        <f t="shared" si="570"/>
        <v>14:43:09.905</v>
      </c>
      <c r="U1209" t="str">
        <f t="shared" si="546"/>
        <v>A9808D</v>
      </c>
      <c r="V1209">
        <v>0</v>
      </c>
      <c r="W1209">
        <v>0</v>
      </c>
      <c r="X1209">
        <v>1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1</v>
      </c>
      <c r="AG1209">
        <v>2</v>
      </c>
      <c r="AH1209">
        <v>0</v>
      </c>
      <c r="AI1209" t="s">
        <v>356</v>
      </c>
      <c r="AJ1209">
        <v>28.282005999999999</v>
      </c>
      <c r="AK1209" t="s">
        <v>357</v>
      </c>
      <c r="AL1209">
        <v>-82.384050000000002</v>
      </c>
      <c r="AM1209">
        <v>100</v>
      </c>
      <c r="AN1209">
        <v>1400</v>
      </c>
      <c r="AO1209" t="s">
        <v>118</v>
      </c>
      <c r="AP1209">
        <v>-20</v>
      </c>
      <c r="AQ1209">
        <v>95</v>
      </c>
      <c r="AR1209">
        <v>-448</v>
      </c>
      <c r="AZ1209">
        <v>1200</v>
      </c>
      <c r="BA1209">
        <v>1</v>
      </c>
      <c r="BB1209" t="str">
        <f t="shared" si="556"/>
        <v xml:space="preserve">N711JA  </v>
      </c>
      <c r="BC1209">
        <v>1</v>
      </c>
      <c r="BE1209">
        <v>0</v>
      </c>
      <c r="BF1209">
        <v>0</v>
      </c>
      <c r="BG1209">
        <v>0</v>
      </c>
      <c r="BH1209">
        <v>1475</v>
      </c>
      <c r="BI1209">
        <v>1</v>
      </c>
      <c r="BJ1209">
        <v>1</v>
      </c>
      <c r="BK1209">
        <v>0</v>
      </c>
      <c r="BL1209">
        <v>0</v>
      </c>
      <c r="BO1209">
        <v>0</v>
      </c>
      <c r="BP1209">
        <v>0</v>
      </c>
      <c r="BW1209" t="str">
        <f t="shared" si="571"/>
        <v>14:43:10.309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343</v>
      </c>
      <c r="CR1209">
        <v>2</v>
      </c>
      <c r="CW1209">
        <v>13032273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1</v>
      </c>
      <c r="DF1209">
        <v>0</v>
      </c>
      <c r="DG1209">
        <v>1</v>
      </c>
      <c r="DH1209">
        <v>0</v>
      </c>
      <c r="DI1209">
        <v>0</v>
      </c>
    </row>
    <row r="1210" spans="1:113" x14ac:dyDescent="0.3">
      <c r="A1210" t="str">
        <f t="shared" si="568"/>
        <v>05/12/2020 14:42:52.483</v>
      </c>
      <c r="C1210" t="str">
        <f t="shared" si="555"/>
        <v>FFDFD3C0</v>
      </c>
      <c r="D1210" t="s">
        <v>126</v>
      </c>
      <c r="E1210">
        <v>7</v>
      </c>
      <c r="F1210">
        <v>1007</v>
      </c>
      <c r="G1210" t="s">
        <v>127</v>
      </c>
      <c r="J1210" t="s">
        <v>128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569"/>
        <v>14:43:10.305</v>
      </c>
      <c r="T1210" t="str">
        <f t="shared" si="570"/>
        <v>14:43:09.905</v>
      </c>
      <c r="U1210" t="str">
        <f t="shared" si="546"/>
        <v>A9808D</v>
      </c>
      <c r="V1210">
        <v>0</v>
      </c>
      <c r="W1210">
        <v>0</v>
      </c>
      <c r="X1210">
        <v>1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1</v>
      </c>
      <c r="AG1210">
        <v>2</v>
      </c>
      <c r="AH1210">
        <v>0</v>
      </c>
      <c r="AI1210" t="s">
        <v>356</v>
      </c>
      <c r="AJ1210">
        <v>28.282005999999999</v>
      </c>
      <c r="AK1210" t="s">
        <v>357</v>
      </c>
      <c r="AL1210">
        <v>-82.384050000000002</v>
      </c>
      <c r="AM1210">
        <v>100</v>
      </c>
      <c r="AN1210">
        <v>1400</v>
      </c>
      <c r="AO1210" t="s">
        <v>118</v>
      </c>
      <c r="AP1210">
        <v>-20</v>
      </c>
      <c r="AQ1210">
        <v>95</v>
      </c>
      <c r="AR1210">
        <v>-448</v>
      </c>
      <c r="AZ1210">
        <v>1200</v>
      </c>
      <c r="BA1210">
        <v>1</v>
      </c>
      <c r="BB1210" t="str">
        <f t="shared" si="556"/>
        <v xml:space="preserve">N711JA  </v>
      </c>
      <c r="BC1210">
        <v>1</v>
      </c>
      <c r="BE1210">
        <v>0</v>
      </c>
      <c r="BF1210">
        <v>0</v>
      </c>
      <c r="BG1210">
        <v>0</v>
      </c>
      <c r="BH1210">
        <v>1475</v>
      </c>
      <c r="BI1210">
        <v>1</v>
      </c>
      <c r="BJ1210">
        <v>1</v>
      </c>
      <c r="BK1210">
        <v>0</v>
      </c>
      <c r="BL1210">
        <v>0</v>
      </c>
      <c r="BO1210">
        <v>0</v>
      </c>
      <c r="BP1210">
        <v>0</v>
      </c>
      <c r="BW1210" t="str">
        <f t="shared" si="571"/>
        <v>14:43:10.309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343</v>
      </c>
      <c r="CR1210">
        <v>2</v>
      </c>
      <c r="CW1210">
        <v>13032273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1</v>
      </c>
      <c r="DF1210">
        <v>0</v>
      </c>
      <c r="DG1210">
        <v>1</v>
      </c>
      <c r="DH1210">
        <v>0</v>
      </c>
      <c r="DI1210">
        <v>0</v>
      </c>
    </row>
    <row r="1211" spans="1:113" x14ac:dyDescent="0.3">
      <c r="A1211" t="str">
        <f t="shared" ref="A1211:A1219" si="572">"05/12/2020 14:42:53.623"</f>
        <v>05/12/2020 14:42:53.623</v>
      </c>
      <c r="C1211" t="str">
        <f t="shared" si="555"/>
        <v>FFDFD3C0</v>
      </c>
      <c r="D1211" t="s">
        <v>113</v>
      </c>
      <c r="E1211">
        <v>3</v>
      </c>
      <c r="H1211">
        <v>164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ref="S1211:T1219" si="573">"14:43:11.453"</f>
        <v>14:43:11.453</v>
      </c>
      <c r="T1211" t="str">
        <f t="shared" si="573"/>
        <v>14:43:11.453</v>
      </c>
      <c r="U1211" t="str">
        <f t="shared" si="546"/>
        <v>A9808D</v>
      </c>
      <c r="V1211">
        <v>0</v>
      </c>
      <c r="W1211">
        <v>0</v>
      </c>
      <c r="X1211">
        <v>1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1</v>
      </c>
      <c r="AG1211">
        <v>2</v>
      </c>
      <c r="AH1211">
        <v>0</v>
      </c>
      <c r="AI1211" t="s">
        <v>358</v>
      </c>
      <c r="AJ1211">
        <v>28.282541999999999</v>
      </c>
      <c r="AK1211" t="s">
        <v>357</v>
      </c>
      <c r="AL1211">
        <v>-82.384050000000002</v>
      </c>
      <c r="AM1211">
        <v>100</v>
      </c>
      <c r="AN1211">
        <v>1400</v>
      </c>
      <c r="AO1211" t="s">
        <v>118</v>
      </c>
      <c r="AP1211">
        <v>-7</v>
      </c>
      <c r="AQ1211">
        <v>98</v>
      </c>
      <c r="AR1211">
        <v>-512</v>
      </c>
      <c r="AZ1211">
        <v>1200</v>
      </c>
      <c r="BA1211">
        <v>1</v>
      </c>
      <c r="BB1211" t="str">
        <f t="shared" si="556"/>
        <v xml:space="preserve">N711JA  </v>
      </c>
      <c r="BC1211">
        <v>1</v>
      </c>
      <c r="BE1211">
        <v>0</v>
      </c>
      <c r="BF1211">
        <v>0</v>
      </c>
      <c r="BG1211">
        <v>0</v>
      </c>
      <c r="BH1211">
        <v>1450</v>
      </c>
      <c r="BI1211">
        <v>1</v>
      </c>
      <c r="BJ1211">
        <v>1</v>
      </c>
      <c r="BK1211">
        <v>0</v>
      </c>
      <c r="BL1211">
        <v>0</v>
      </c>
      <c r="BO1211">
        <v>0</v>
      </c>
      <c r="BP1211">
        <v>0</v>
      </c>
      <c r="BW1211" t="str">
        <f t="shared" ref="BW1211:BW1219" si="574">"14:43:11.457"</f>
        <v>14:43:11.457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343</v>
      </c>
      <c r="CR1211">
        <v>2</v>
      </c>
      <c r="CW1211">
        <v>13033169</v>
      </c>
      <c r="CY1211">
        <v>1</v>
      </c>
      <c r="CZ1211">
        <v>0</v>
      </c>
      <c r="DA1211">
        <v>0</v>
      </c>
      <c r="DB1211">
        <v>0</v>
      </c>
      <c r="DC1211">
        <v>0</v>
      </c>
      <c r="DD1211">
        <v>1</v>
      </c>
      <c r="DE1211">
        <v>1</v>
      </c>
      <c r="DF1211">
        <v>0</v>
      </c>
      <c r="DG1211">
        <v>1</v>
      </c>
      <c r="DH1211">
        <v>0</v>
      </c>
      <c r="DI1211">
        <v>0</v>
      </c>
    </row>
    <row r="1212" spans="1:113" x14ac:dyDescent="0.3">
      <c r="A1212" t="str">
        <f t="shared" si="572"/>
        <v>05/12/2020 14:42:53.623</v>
      </c>
      <c r="C1212" t="str">
        <f t="shared" si="555"/>
        <v>FFDFD3C0</v>
      </c>
      <c r="D1212" t="s">
        <v>138</v>
      </c>
      <c r="E1212">
        <v>2</v>
      </c>
      <c r="H1212">
        <v>8</v>
      </c>
      <c r="I1212" t="s">
        <v>139</v>
      </c>
      <c r="J1212" t="s">
        <v>136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573"/>
        <v>14:43:11.453</v>
      </c>
      <c r="T1212" t="str">
        <f t="shared" si="573"/>
        <v>14:43:11.453</v>
      </c>
      <c r="U1212" t="str">
        <f t="shared" si="546"/>
        <v>A9808D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1</v>
      </c>
      <c r="AG1212">
        <v>2</v>
      </c>
      <c r="AH1212">
        <v>0</v>
      </c>
      <c r="AI1212" t="s">
        <v>358</v>
      </c>
      <c r="AJ1212">
        <v>28.282541999999999</v>
      </c>
      <c r="AK1212" t="s">
        <v>357</v>
      </c>
      <c r="AL1212">
        <v>-82.384050000000002</v>
      </c>
      <c r="AM1212">
        <v>100</v>
      </c>
      <c r="AN1212">
        <v>1400</v>
      </c>
      <c r="AO1212" t="s">
        <v>118</v>
      </c>
      <c r="AP1212">
        <v>-7</v>
      </c>
      <c r="AQ1212">
        <v>98</v>
      </c>
      <c r="AR1212">
        <v>-512</v>
      </c>
      <c r="AZ1212">
        <v>1200</v>
      </c>
      <c r="BA1212">
        <v>1</v>
      </c>
      <c r="BB1212" t="str">
        <f t="shared" si="556"/>
        <v xml:space="preserve">N711JA  </v>
      </c>
      <c r="BC1212">
        <v>1</v>
      </c>
      <c r="BE1212">
        <v>0</v>
      </c>
      <c r="BF1212">
        <v>0</v>
      </c>
      <c r="BG1212">
        <v>0</v>
      </c>
      <c r="BH1212">
        <v>1450</v>
      </c>
      <c r="BI1212">
        <v>1</v>
      </c>
      <c r="BJ1212">
        <v>1</v>
      </c>
      <c r="BK1212">
        <v>0</v>
      </c>
      <c r="BL1212">
        <v>0</v>
      </c>
      <c r="BO1212">
        <v>0</v>
      </c>
      <c r="BP1212">
        <v>0</v>
      </c>
      <c r="BW1212" t="str">
        <f t="shared" si="574"/>
        <v>14:43:11.457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343</v>
      </c>
      <c r="CR1212">
        <v>2</v>
      </c>
      <c r="CW1212">
        <v>13033169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1</v>
      </c>
      <c r="DF1212">
        <v>0</v>
      </c>
      <c r="DG1212">
        <v>1</v>
      </c>
      <c r="DH1212">
        <v>0</v>
      </c>
      <c r="DI1212">
        <v>0</v>
      </c>
    </row>
    <row r="1213" spans="1:113" x14ac:dyDescent="0.3">
      <c r="A1213" t="str">
        <f t="shared" si="572"/>
        <v>05/12/2020 14:42:53.623</v>
      </c>
      <c r="C1213" t="str">
        <f t="shared" si="555"/>
        <v>FFDFD3C0</v>
      </c>
      <c r="D1213" t="s">
        <v>126</v>
      </c>
      <c r="E1213">
        <v>7</v>
      </c>
      <c r="F1213">
        <v>1007</v>
      </c>
      <c r="G1213" t="s">
        <v>127</v>
      </c>
      <c r="J1213" t="s">
        <v>128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573"/>
        <v>14:43:11.453</v>
      </c>
      <c r="T1213" t="str">
        <f t="shared" si="573"/>
        <v>14:43:11.453</v>
      </c>
      <c r="U1213" t="str">
        <f t="shared" si="546"/>
        <v>A9808D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1</v>
      </c>
      <c r="AG1213">
        <v>2</v>
      </c>
      <c r="AH1213">
        <v>0</v>
      </c>
      <c r="AI1213" t="s">
        <v>358</v>
      </c>
      <c r="AJ1213">
        <v>28.282541999999999</v>
      </c>
      <c r="AK1213" t="s">
        <v>357</v>
      </c>
      <c r="AL1213">
        <v>-82.384050000000002</v>
      </c>
      <c r="AM1213">
        <v>100</v>
      </c>
      <c r="AN1213">
        <v>1400</v>
      </c>
      <c r="AO1213" t="s">
        <v>118</v>
      </c>
      <c r="AP1213">
        <v>-7</v>
      </c>
      <c r="AQ1213">
        <v>98</v>
      </c>
      <c r="AR1213">
        <v>-512</v>
      </c>
      <c r="AZ1213">
        <v>1200</v>
      </c>
      <c r="BA1213">
        <v>1</v>
      </c>
      <c r="BB1213" t="str">
        <f t="shared" si="556"/>
        <v xml:space="preserve">N711JA  </v>
      </c>
      <c r="BC1213">
        <v>1</v>
      </c>
      <c r="BE1213">
        <v>0</v>
      </c>
      <c r="BF1213">
        <v>0</v>
      </c>
      <c r="BG1213">
        <v>0</v>
      </c>
      <c r="BH1213">
        <v>1450</v>
      </c>
      <c r="BI1213">
        <v>1</v>
      </c>
      <c r="BJ1213">
        <v>1</v>
      </c>
      <c r="BK1213">
        <v>0</v>
      </c>
      <c r="BL1213">
        <v>0</v>
      </c>
      <c r="BO1213">
        <v>0</v>
      </c>
      <c r="BP1213">
        <v>0</v>
      </c>
      <c r="BW1213" t="str">
        <f t="shared" si="574"/>
        <v>14:43:11.457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343</v>
      </c>
      <c r="CR1213">
        <v>2</v>
      </c>
      <c r="CW1213">
        <v>13033169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1</v>
      </c>
      <c r="DF1213">
        <v>0</v>
      </c>
      <c r="DG1213">
        <v>1</v>
      </c>
      <c r="DH1213">
        <v>0</v>
      </c>
      <c r="DI1213">
        <v>0</v>
      </c>
    </row>
    <row r="1214" spans="1:113" x14ac:dyDescent="0.3">
      <c r="A1214" t="str">
        <f t="shared" si="572"/>
        <v>05/12/2020 14:42:53.623</v>
      </c>
      <c r="C1214" t="str">
        <f t="shared" si="555"/>
        <v>FFDFD3C0</v>
      </c>
      <c r="D1214" t="s">
        <v>131</v>
      </c>
      <c r="E1214">
        <v>10</v>
      </c>
      <c r="F1214">
        <v>2010</v>
      </c>
      <c r="G1214" t="s">
        <v>132</v>
      </c>
      <c r="J1214" t="s">
        <v>133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573"/>
        <v>14:43:11.453</v>
      </c>
      <c r="T1214" t="str">
        <f t="shared" si="573"/>
        <v>14:43:11.453</v>
      </c>
      <c r="U1214" t="str">
        <f t="shared" si="546"/>
        <v>A9808D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1</v>
      </c>
      <c r="AG1214">
        <v>2</v>
      </c>
      <c r="AH1214">
        <v>0</v>
      </c>
      <c r="AI1214" t="s">
        <v>358</v>
      </c>
      <c r="AJ1214">
        <v>28.282541999999999</v>
      </c>
      <c r="AK1214" t="s">
        <v>357</v>
      </c>
      <c r="AL1214">
        <v>-82.384050000000002</v>
      </c>
      <c r="AM1214">
        <v>100</v>
      </c>
      <c r="AN1214">
        <v>1400</v>
      </c>
      <c r="AO1214" t="s">
        <v>118</v>
      </c>
      <c r="AP1214">
        <v>-7</v>
      </c>
      <c r="AQ1214">
        <v>98</v>
      </c>
      <c r="AR1214">
        <v>-512</v>
      </c>
      <c r="AZ1214">
        <v>1200</v>
      </c>
      <c r="BA1214">
        <v>1</v>
      </c>
      <c r="BB1214" t="str">
        <f t="shared" si="556"/>
        <v xml:space="preserve">N711JA  </v>
      </c>
      <c r="BC1214">
        <v>1</v>
      </c>
      <c r="BE1214">
        <v>0</v>
      </c>
      <c r="BF1214">
        <v>0</v>
      </c>
      <c r="BG1214">
        <v>0</v>
      </c>
      <c r="BH1214">
        <v>1450</v>
      </c>
      <c r="BI1214">
        <v>1</v>
      </c>
      <c r="BJ1214">
        <v>1</v>
      </c>
      <c r="BK1214">
        <v>0</v>
      </c>
      <c r="BL1214">
        <v>0</v>
      </c>
      <c r="BO1214">
        <v>0</v>
      </c>
      <c r="BP1214">
        <v>0</v>
      </c>
      <c r="BW1214" t="str">
        <f t="shared" si="574"/>
        <v>14:43:11.457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343</v>
      </c>
      <c r="CR1214">
        <v>2</v>
      </c>
      <c r="CW1214">
        <v>13033169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1</v>
      </c>
      <c r="DE1214">
        <v>1</v>
      </c>
      <c r="DF1214">
        <v>0</v>
      </c>
      <c r="DG1214">
        <v>1</v>
      </c>
      <c r="DH1214">
        <v>0</v>
      </c>
      <c r="DI1214">
        <v>0</v>
      </c>
    </row>
    <row r="1215" spans="1:113" x14ac:dyDescent="0.3">
      <c r="A1215" t="str">
        <f t="shared" si="572"/>
        <v>05/12/2020 14:42:53.623</v>
      </c>
      <c r="C1215" t="str">
        <f t="shared" si="555"/>
        <v>FFDFD3C0</v>
      </c>
      <c r="D1215" t="s">
        <v>131</v>
      </c>
      <c r="E1215">
        <v>12</v>
      </c>
      <c r="F1215">
        <v>2012</v>
      </c>
      <c r="G1215" t="s">
        <v>137</v>
      </c>
      <c r="J1215" t="s">
        <v>133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573"/>
        <v>14:43:11.453</v>
      </c>
      <c r="T1215" t="str">
        <f t="shared" si="573"/>
        <v>14:43:11.453</v>
      </c>
      <c r="U1215" t="str">
        <f t="shared" si="546"/>
        <v>A9808D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1</v>
      </c>
      <c r="AG1215">
        <v>2</v>
      </c>
      <c r="AH1215">
        <v>0</v>
      </c>
      <c r="AI1215" t="s">
        <v>358</v>
      </c>
      <c r="AJ1215">
        <v>28.282541999999999</v>
      </c>
      <c r="AK1215" t="s">
        <v>357</v>
      </c>
      <c r="AL1215">
        <v>-82.384050000000002</v>
      </c>
      <c r="AM1215">
        <v>100</v>
      </c>
      <c r="AN1215">
        <v>1400</v>
      </c>
      <c r="AO1215" t="s">
        <v>118</v>
      </c>
      <c r="AP1215">
        <v>-7</v>
      </c>
      <c r="AQ1215">
        <v>98</v>
      </c>
      <c r="AR1215">
        <v>-512</v>
      </c>
      <c r="AZ1215">
        <v>1200</v>
      </c>
      <c r="BA1215">
        <v>1</v>
      </c>
      <c r="BB1215" t="str">
        <f t="shared" si="556"/>
        <v xml:space="preserve">N711JA  </v>
      </c>
      <c r="BC1215">
        <v>1</v>
      </c>
      <c r="BE1215">
        <v>0</v>
      </c>
      <c r="BF1215">
        <v>0</v>
      </c>
      <c r="BG1215">
        <v>0</v>
      </c>
      <c r="BH1215">
        <v>1450</v>
      </c>
      <c r="BI1215">
        <v>1</v>
      </c>
      <c r="BJ1215">
        <v>1</v>
      </c>
      <c r="BK1215">
        <v>0</v>
      </c>
      <c r="BL1215">
        <v>0</v>
      </c>
      <c r="BO1215">
        <v>0</v>
      </c>
      <c r="BP1215">
        <v>0</v>
      </c>
      <c r="BW1215" t="str">
        <f t="shared" si="574"/>
        <v>14:43:11.457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343</v>
      </c>
      <c r="CR1215">
        <v>2</v>
      </c>
      <c r="CW1215">
        <v>13033169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1</v>
      </c>
      <c r="DF1215">
        <v>0</v>
      </c>
      <c r="DG1215">
        <v>1</v>
      </c>
      <c r="DH1215">
        <v>0</v>
      </c>
      <c r="DI1215">
        <v>0</v>
      </c>
    </row>
    <row r="1216" spans="1:113" x14ac:dyDescent="0.3">
      <c r="A1216" t="str">
        <f t="shared" si="572"/>
        <v>05/12/2020 14:42:53.623</v>
      </c>
      <c r="C1216" t="str">
        <f t="shared" si="555"/>
        <v>FFDFD3C0</v>
      </c>
      <c r="D1216" t="s">
        <v>131</v>
      </c>
      <c r="E1216">
        <v>18</v>
      </c>
      <c r="F1216">
        <v>2018</v>
      </c>
      <c r="G1216" t="s">
        <v>161</v>
      </c>
      <c r="J1216" t="s">
        <v>133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573"/>
        <v>14:43:11.453</v>
      </c>
      <c r="T1216" t="str">
        <f t="shared" si="573"/>
        <v>14:43:11.453</v>
      </c>
      <c r="U1216" t="str">
        <f t="shared" si="546"/>
        <v>A9808D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1</v>
      </c>
      <c r="AG1216">
        <v>2</v>
      </c>
      <c r="AH1216">
        <v>0</v>
      </c>
      <c r="AI1216" t="s">
        <v>358</v>
      </c>
      <c r="AJ1216">
        <v>28.282541999999999</v>
      </c>
      <c r="AK1216" t="s">
        <v>357</v>
      </c>
      <c r="AL1216">
        <v>-82.384050000000002</v>
      </c>
      <c r="AM1216">
        <v>100</v>
      </c>
      <c r="AN1216">
        <v>1400</v>
      </c>
      <c r="AO1216" t="s">
        <v>118</v>
      </c>
      <c r="AP1216">
        <v>-7</v>
      </c>
      <c r="AQ1216">
        <v>98</v>
      </c>
      <c r="AR1216">
        <v>-512</v>
      </c>
      <c r="AZ1216">
        <v>1200</v>
      </c>
      <c r="BA1216">
        <v>1</v>
      </c>
      <c r="BB1216" t="str">
        <f t="shared" si="556"/>
        <v xml:space="preserve">N711JA  </v>
      </c>
      <c r="BC1216">
        <v>1</v>
      </c>
      <c r="BE1216">
        <v>0</v>
      </c>
      <c r="BF1216">
        <v>0</v>
      </c>
      <c r="BG1216">
        <v>0</v>
      </c>
      <c r="BH1216">
        <v>1450</v>
      </c>
      <c r="BI1216">
        <v>1</v>
      </c>
      <c r="BJ1216">
        <v>1</v>
      </c>
      <c r="BK1216">
        <v>0</v>
      </c>
      <c r="BL1216">
        <v>0</v>
      </c>
      <c r="BO1216">
        <v>0</v>
      </c>
      <c r="BP1216">
        <v>0</v>
      </c>
      <c r="BW1216" t="str">
        <f t="shared" si="574"/>
        <v>14:43:11.457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343</v>
      </c>
      <c r="CR1216">
        <v>2</v>
      </c>
      <c r="CW1216">
        <v>13033169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1</v>
      </c>
      <c r="DF1216">
        <v>0</v>
      </c>
      <c r="DG1216">
        <v>1</v>
      </c>
      <c r="DH1216">
        <v>0</v>
      </c>
      <c r="DI1216">
        <v>0</v>
      </c>
    </row>
    <row r="1217" spans="1:113" x14ac:dyDescent="0.3">
      <c r="A1217" t="str">
        <f t="shared" si="572"/>
        <v>05/12/2020 14:42:53.623</v>
      </c>
      <c r="C1217" t="str">
        <f t="shared" si="555"/>
        <v>FFDFD3C0</v>
      </c>
      <c r="D1217" t="s">
        <v>138</v>
      </c>
      <c r="E1217">
        <v>3</v>
      </c>
      <c r="H1217">
        <v>9</v>
      </c>
      <c r="I1217" t="s">
        <v>140</v>
      </c>
      <c r="J1217" t="s">
        <v>136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573"/>
        <v>14:43:11.453</v>
      </c>
      <c r="T1217" t="str">
        <f t="shared" si="573"/>
        <v>14:43:11.453</v>
      </c>
      <c r="U1217" t="str">
        <f t="shared" si="546"/>
        <v>A9808D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1</v>
      </c>
      <c r="AG1217">
        <v>2</v>
      </c>
      <c r="AH1217">
        <v>0</v>
      </c>
      <c r="AI1217" t="s">
        <v>358</v>
      </c>
      <c r="AJ1217">
        <v>28.282541999999999</v>
      </c>
      <c r="AK1217" t="s">
        <v>357</v>
      </c>
      <c r="AL1217">
        <v>-82.384050000000002</v>
      </c>
      <c r="AM1217">
        <v>100</v>
      </c>
      <c r="AN1217">
        <v>1400</v>
      </c>
      <c r="AO1217" t="s">
        <v>118</v>
      </c>
      <c r="AP1217">
        <v>-7</v>
      </c>
      <c r="AQ1217">
        <v>98</v>
      </c>
      <c r="AR1217">
        <v>-512</v>
      </c>
      <c r="AZ1217">
        <v>1200</v>
      </c>
      <c r="BA1217">
        <v>1</v>
      </c>
      <c r="BB1217" t="str">
        <f t="shared" si="556"/>
        <v xml:space="preserve">N711JA  </v>
      </c>
      <c r="BC1217">
        <v>1</v>
      </c>
      <c r="BE1217">
        <v>0</v>
      </c>
      <c r="BF1217">
        <v>0</v>
      </c>
      <c r="BG1217">
        <v>0</v>
      </c>
      <c r="BH1217">
        <v>1450</v>
      </c>
      <c r="BI1217">
        <v>1</v>
      </c>
      <c r="BJ1217">
        <v>1</v>
      </c>
      <c r="BK1217">
        <v>0</v>
      </c>
      <c r="BL1217">
        <v>0</v>
      </c>
      <c r="BO1217">
        <v>0</v>
      </c>
      <c r="BP1217">
        <v>0</v>
      </c>
      <c r="BW1217" t="str">
        <f t="shared" si="574"/>
        <v>14:43:11.457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343</v>
      </c>
      <c r="CR1217">
        <v>2</v>
      </c>
      <c r="CW1217">
        <v>13033169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1</v>
      </c>
      <c r="DF1217">
        <v>0</v>
      </c>
      <c r="DG1217">
        <v>1</v>
      </c>
      <c r="DH1217">
        <v>0</v>
      </c>
      <c r="DI1217">
        <v>0</v>
      </c>
    </row>
    <row r="1218" spans="1:113" x14ac:dyDescent="0.3">
      <c r="A1218" t="str">
        <f t="shared" si="572"/>
        <v>05/12/2020 14:42:53.623</v>
      </c>
      <c r="C1218" t="str">
        <f t="shared" si="555"/>
        <v>FFDFD3C0</v>
      </c>
      <c r="D1218" t="s">
        <v>126</v>
      </c>
      <c r="E1218">
        <v>6</v>
      </c>
      <c r="F1218">
        <v>1006</v>
      </c>
      <c r="G1218" t="s">
        <v>114</v>
      </c>
      <c r="J1218" t="s">
        <v>128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573"/>
        <v>14:43:11.453</v>
      </c>
      <c r="T1218" t="str">
        <f t="shared" si="573"/>
        <v>14:43:11.453</v>
      </c>
      <c r="U1218" t="str">
        <f t="shared" ref="U1218:U1281" si="575">"A9808D"</f>
        <v>A9808D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1</v>
      </c>
      <c r="AG1218">
        <v>2</v>
      </c>
      <c r="AH1218">
        <v>0</v>
      </c>
      <c r="AI1218" t="s">
        <v>358</v>
      </c>
      <c r="AJ1218">
        <v>28.282541999999999</v>
      </c>
      <c r="AK1218" t="s">
        <v>357</v>
      </c>
      <c r="AL1218">
        <v>-82.384050000000002</v>
      </c>
      <c r="AM1218">
        <v>100</v>
      </c>
      <c r="AN1218">
        <v>1400</v>
      </c>
      <c r="AO1218" t="s">
        <v>118</v>
      </c>
      <c r="AP1218">
        <v>-7</v>
      </c>
      <c r="AQ1218">
        <v>98</v>
      </c>
      <c r="AR1218">
        <v>-512</v>
      </c>
      <c r="AZ1218">
        <v>1200</v>
      </c>
      <c r="BA1218">
        <v>1</v>
      </c>
      <c r="BB1218" t="str">
        <f t="shared" si="556"/>
        <v xml:space="preserve">N711JA  </v>
      </c>
      <c r="BC1218">
        <v>1</v>
      </c>
      <c r="BE1218">
        <v>0</v>
      </c>
      <c r="BF1218">
        <v>0</v>
      </c>
      <c r="BG1218">
        <v>0</v>
      </c>
      <c r="BH1218">
        <v>1450</v>
      </c>
      <c r="BI1218">
        <v>1</v>
      </c>
      <c r="BJ1218">
        <v>1</v>
      </c>
      <c r="BK1218">
        <v>0</v>
      </c>
      <c r="BL1218">
        <v>0</v>
      </c>
      <c r="BO1218">
        <v>0</v>
      </c>
      <c r="BP1218">
        <v>0</v>
      </c>
      <c r="BW1218" t="str">
        <f t="shared" si="574"/>
        <v>14:43:11.457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343</v>
      </c>
      <c r="CR1218">
        <v>2</v>
      </c>
      <c r="CW1218">
        <v>13033169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1</v>
      </c>
      <c r="DF1218">
        <v>0</v>
      </c>
      <c r="DG1218">
        <v>1</v>
      </c>
      <c r="DH1218">
        <v>0</v>
      </c>
      <c r="DI1218">
        <v>0</v>
      </c>
    </row>
    <row r="1219" spans="1:113" x14ac:dyDescent="0.3">
      <c r="A1219" t="str">
        <f t="shared" si="572"/>
        <v>05/12/2020 14:42:53.623</v>
      </c>
      <c r="C1219" t="str">
        <f t="shared" si="555"/>
        <v>FFDFD3C0</v>
      </c>
      <c r="D1219" t="s">
        <v>134</v>
      </c>
      <c r="E1219">
        <v>12</v>
      </c>
      <c r="H1219">
        <v>64</v>
      </c>
      <c r="I1219" t="s">
        <v>135</v>
      </c>
      <c r="J1219" t="s">
        <v>136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573"/>
        <v>14:43:11.453</v>
      </c>
      <c r="T1219" t="str">
        <f t="shared" si="573"/>
        <v>14:43:11.453</v>
      </c>
      <c r="U1219" t="str">
        <f t="shared" si="575"/>
        <v>A9808D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1</v>
      </c>
      <c r="AG1219">
        <v>2</v>
      </c>
      <c r="AH1219">
        <v>0</v>
      </c>
      <c r="AI1219" t="s">
        <v>358</v>
      </c>
      <c r="AJ1219">
        <v>28.282541999999999</v>
      </c>
      <c r="AK1219" t="s">
        <v>357</v>
      </c>
      <c r="AL1219">
        <v>-82.384050000000002</v>
      </c>
      <c r="AM1219">
        <v>100</v>
      </c>
      <c r="AN1219">
        <v>1400</v>
      </c>
      <c r="AO1219" t="s">
        <v>118</v>
      </c>
      <c r="AP1219">
        <v>-7</v>
      </c>
      <c r="AQ1219">
        <v>98</v>
      </c>
      <c r="AR1219">
        <v>-512</v>
      </c>
      <c r="AZ1219">
        <v>1200</v>
      </c>
      <c r="BA1219">
        <v>1</v>
      </c>
      <c r="BB1219" t="str">
        <f t="shared" si="556"/>
        <v xml:space="preserve">N711JA  </v>
      </c>
      <c r="BC1219">
        <v>1</v>
      </c>
      <c r="BE1219">
        <v>0</v>
      </c>
      <c r="BF1219">
        <v>0</v>
      </c>
      <c r="BG1219">
        <v>0</v>
      </c>
      <c r="BH1219">
        <v>1450</v>
      </c>
      <c r="BI1219">
        <v>1</v>
      </c>
      <c r="BJ1219">
        <v>1</v>
      </c>
      <c r="BK1219">
        <v>0</v>
      </c>
      <c r="BL1219">
        <v>0</v>
      </c>
      <c r="BO1219">
        <v>0</v>
      </c>
      <c r="BP1219">
        <v>0</v>
      </c>
      <c r="BW1219" t="str">
        <f t="shared" si="574"/>
        <v>14:43:11.457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343</v>
      </c>
      <c r="CR1219">
        <v>2</v>
      </c>
      <c r="CW1219">
        <v>13033169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1</v>
      </c>
      <c r="DF1219">
        <v>0</v>
      </c>
      <c r="DG1219">
        <v>1</v>
      </c>
      <c r="DH1219">
        <v>0</v>
      </c>
      <c r="DI1219">
        <v>0</v>
      </c>
    </row>
    <row r="1220" spans="1:113" x14ac:dyDescent="0.3">
      <c r="A1220" t="str">
        <f t="shared" ref="A1220:A1228" si="576">"05/12/2020 14:42:54.567"</f>
        <v>05/12/2020 14:42:54.567</v>
      </c>
      <c r="C1220" t="str">
        <f t="shared" si="555"/>
        <v>FFDFD3C0</v>
      </c>
      <c r="D1220" t="s">
        <v>126</v>
      </c>
      <c r="E1220">
        <v>6</v>
      </c>
      <c r="F1220">
        <v>1006</v>
      </c>
      <c r="G1220" t="s">
        <v>114</v>
      </c>
      <c r="J1220" t="s">
        <v>128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ref="S1220:S1228" si="577">"14:43:12.383"</f>
        <v>14:43:12.383</v>
      </c>
      <c r="T1220" t="str">
        <f t="shared" ref="T1220:T1228" si="578">"14:43:11.883"</f>
        <v>14:43:11.883</v>
      </c>
      <c r="U1220" t="str">
        <f t="shared" si="575"/>
        <v>A9808D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359</v>
      </c>
      <c r="AJ1220">
        <v>28.28295</v>
      </c>
      <c r="AK1220" t="s">
        <v>357</v>
      </c>
      <c r="AL1220">
        <v>-82.384050000000002</v>
      </c>
      <c r="AM1220">
        <v>100</v>
      </c>
      <c r="AN1220">
        <v>1400</v>
      </c>
      <c r="AO1220" t="s">
        <v>118</v>
      </c>
      <c r="AP1220">
        <v>-3</v>
      </c>
      <c r="AQ1220">
        <v>98</v>
      </c>
      <c r="AR1220">
        <v>-384</v>
      </c>
      <c r="AZ1220">
        <v>1200</v>
      </c>
      <c r="BA1220">
        <v>1</v>
      </c>
      <c r="BB1220" t="str">
        <f t="shared" si="556"/>
        <v xml:space="preserve">N711JA  </v>
      </c>
      <c r="BC1220">
        <v>1</v>
      </c>
      <c r="BE1220">
        <v>0</v>
      </c>
      <c r="BF1220">
        <v>0</v>
      </c>
      <c r="BG1220">
        <v>0</v>
      </c>
      <c r="BH1220">
        <v>1450</v>
      </c>
      <c r="BI1220">
        <v>1</v>
      </c>
      <c r="BJ1220">
        <v>1</v>
      </c>
      <c r="BK1220">
        <v>0</v>
      </c>
      <c r="BL1220">
        <v>0</v>
      </c>
      <c r="BO1220">
        <v>0</v>
      </c>
      <c r="BP1220">
        <v>0</v>
      </c>
      <c r="BW1220" t="str">
        <f t="shared" ref="BW1220:BW1228" si="579">"14:43:12.389"</f>
        <v>14:43:12.389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343</v>
      </c>
      <c r="CR1220">
        <v>1</v>
      </c>
      <c r="CW1220">
        <v>10644083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si="576"/>
        <v>05/12/2020 14:42:54.567</v>
      </c>
      <c r="C1221" t="str">
        <f t="shared" si="555"/>
        <v>FFDFD3C0</v>
      </c>
      <c r="D1221" t="s">
        <v>134</v>
      </c>
      <c r="E1221">
        <v>12</v>
      </c>
      <c r="H1221">
        <v>64</v>
      </c>
      <c r="I1221" t="s">
        <v>135</v>
      </c>
      <c r="J1221" t="s">
        <v>136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577"/>
        <v>14:43:12.383</v>
      </c>
      <c r="T1221" t="str">
        <f t="shared" si="578"/>
        <v>14:43:11.883</v>
      </c>
      <c r="U1221" t="str">
        <f t="shared" si="575"/>
        <v>A9808D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1</v>
      </c>
      <c r="AG1221">
        <v>2</v>
      </c>
      <c r="AH1221">
        <v>0</v>
      </c>
      <c r="AI1221" t="s">
        <v>359</v>
      </c>
      <c r="AJ1221">
        <v>28.28295</v>
      </c>
      <c r="AK1221" t="s">
        <v>357</v>
      </c>
      <c r="AL1221">
        <v>-82.384050000000002</v>
      </c>
      <c r="AM1221">
        <v>100</v>
      </c>
      <c r="AN1221">
        <v>1400</v>
      </c>
      <c r="AO1221" t="s">
        <v>118</v>
      </c>
      <c r="AP1221">
        <v>-3</v>
      </c>
      <c r="AQ1221">
        <v>98</v>
      </c>
      <c r="AR1221">
        <v>-384</v>
      </c>
      <c r="AZ1221">
        <v>1200</v>
      </c>
      <c r="BA1221">
        <v>1</v>
      </c>
      <c r="BB1221" t="str">
        <f t="shared" si="556"/>
        <v xml:space="preserve">N711JA  </v>
      </c>
      <c r="BC1221">
        <v>1</v>
      </c>
      <c r="BE1221">
        <v>0</v>
      </c>
      <c r="BF1221">
        <v>0</v>
      </c>
      <c r="BG1221">
        <v>0</v>
      </c>
      <c r="BH1221">
        <v>1450</v>
      </c>
      <c r="BI1221">
        <v>1</v>
      </c>
      <c r="BJ1221">
        <v>1</v>
      </c>
      <c r="BK1221">
        <v>0</v>
      </c>
      <c r="BL1221">
        <v>0</v>
      </c>
      <c r="BO1221">
        <v>0</v>
      </c>
      <c r="BP1221">
        <v>0</v>
      </c>
      <c r="BW1221" t="str">
        <f t="shared" si="579"/>
        <v>14:43:12.389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343</v>
      </c>
      <c r="CR1221">
        <v>1</v>
      </c>
      <c r="CW1221">
        <v>10644083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si="576"/>
        <v>05/12/2020 14:42:54.567</v>
      </c>
      <c r="C1222" t="str">
        <f t="shared" si="555"/>
        <v>FFDFD3C0</v>
      </c>
      <c r="D1222" t="s">
        <v>113</v>
      </c>
      <c r="E1222">
        <v>3</v>
      </c>
      <c r="H1222">
        <v>164</v>
      </c>
      <c r="I1222" t="s">
        <v>114</v>
      </c>
      <c r="J1222" t="s">
        <v>115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577"/>
        <v>14:43:12.383</v>
      </c>
      <c r="T1222" t="str">
        <f t="shared" si="578"/>
        <v>14:43:11.883</v>
      </c>
      <c r="U1222" t="str">
        <f t="shared" si="575"/>
        <v>A9808D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1</v>
      </c>
      <c r="AG1222">
        <v>2</v>
      </c>
      <c r="AH1222">
        <v>0</v>
      </c>
      <c r="AI1222" t="s">
        <v>359</v>
      </c>
      <c r="AJ1222">
        <v>28.28295</v>
      </c>
      <c r="AK1222" t="s">
        <v>357</v>
      </c>
      <c r="AL1222">
        <v>-82.384050000000002</v>
      </c>
      <c r="AM1222">
        <v>100</v>
      </c>
      <c r="AN1222">
        <v>1400</v>
      </c>
      <c r="AO1222" t="s">
        <v>118</v>
      </c>
      <c r="AP1222">
        <v>-3</v>
      </c>
      <c r="AQ1222">
        <v>98</v>
      </c>
      <c r="AR1222">
        <v>-384</v>
      </c>
      <c r="AZ1222">
        <v>1200</v>
      </c>
      <c r="BA1222">
        <v>1</v>
      </c>
      <c r="BB1222" t="str">
        <f t="shared" si="556"/>
        <v xml:space="preserve">N711JA  </v>
      </c>
      <c r="BC1222">
        <v>1</v>
      </c>
      <c r="BE1222">
        <v>0</v>
      </c>
      <c r="BF1222">
        <v>0</v>
      </c>
      <c r="BG1222">
        <v>0</v>
      </c>
      <c r="BH1222">
        <v>1450</v>
      </c>
      <c r="BI1222">
        <v>1</v>
      </c>
      <c r="BJ1222">
        <v>1</v>
      </c>
      <c r="BK1222">
        <v>0</v>
      </c>
      <c r="BL1222">
        <v>0</v>
      </c>
      <c r="BO1222">
        <v>0</v>
      </c>
      <c r="BP1222">
        <v>0</v>
      </c>
      <c r="BW1222" t="str">
        <f t="shared" si="579"/>
        <v>14:43:12.389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343</v>
      </c>
      <c r="CR1222">
        <v>1</v>
      </c>
      <c r="CW1222">
        <v>10644083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576"/>
        <v>05/12/2020 14:42:54.567</v>
      </c>
      <c r="C1223" t="str">
        <f t="shared" si="555"/>
        <v>FFDFD3C0</v>
      </c>
      <c r="D1223" t="s">
        <v>126</v>
      </c>
      <c r="E1223">
        <v>7</v>
      </c>
      <c r="F1223">
        <v>1007</v>
      </c>
      <c r="G1223" t="s">
        <v>127</v>
      </c>
      <c r="J1223" t="s">
        <v>128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577"/>
        <v>14:43:12.383</v>
      </c>
      <c r="T1223" t="str">
        <f t="shared" si="578"/>
        <v>14:43:11.883</v>
      </c>
      <c r="U1223" t="str">
        <f t="shared" si="575"/>
        <v>A9808D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359</v>
      </c>
      <c r="AJ1223">
        <v>28.28295</v>
      </c>
      <c r="AK1223" t="s">
        <v>357</v>
      </c>
      <c r="AL1223">
        <v>-82.384050000000002</v>
      </c>
      <c r="AM1223">
        <v>100</v>
      </c>
      <c r="AN1223">
        <v>1400</v>
      </c>
      <c r="AO1223" t="s">
        <v>118</v>
      </c>
      <c r="AP1223">
        <v>-3</v>
      </c>
      <c r="AQ1223">
        <v>98</v>
      </c>
      <c r="AR1223">
        <v>-384</v>
      </c>
      <c r="AZ1223">
        <v>1200</v>
      </c>
      <c r="BA1223">
        <v>1</v>
      </c>
      <c r="BB1223" t="str">
        <f t="shared" si="556"/>
        <v xml:space="preserve">N711JA  </v>
      </c>
      <c r="BC1223">
        <v>1</v>
      </c>
      <c r="BE1223">
        <v>0</v>
      </c>
      <c r="BF1223">
        <v>0</v>
      </c>
      <c r="BG1223">
        <v>0</v>
      </c>
      <c r="BH1223">
        <v>1450</v>
      </c>
      <c r="BI1223">
        <v>1</v>
      </c>
      <c r="BJ1223">
        <v>1</v>
      </c>
      <c r="BK1223">
        <v>0</v>
      </c>
      <c r="BL1223">
        <v>0</v>
      </c>
      <c r="BO1223">
        <v>0</v>
      </c>
      <c r="BP1223">
        <v>0</v>
      </c>
      <c r="BW1223" t="str">
        <f t="shared" si="579"/>
        <v>14:43:12.389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343</v>
      </c>
      <c r="CR1223">
        <v>1</v>
      </c>
      <c r="CW1223">
        <v>10644083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576"/>
        <v>05/12/2020 14:42:54.567</v>
      </c>
      <c r="C1224" t="str">
        <f t="shared" si="555"/>
        <v>FFDFD3C0</v>
      </c>
      <c r="D1224" t="s">
        <v>131</v>
      </c>
      <c r="E1224">
        <v>10</v>
      </c>
      <c r="F1224">
        <v>2010</v>
      </c>
      <c r="G1224" t="s">
        <v>132</v>
      </c>
      <c r="J1224" t="s">
        <v>133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577"/>
        <v>14:43:12.383</v>
      </c>
      <c r="T1224" t="str">
        <f t="shared" si="578"/>
        <v>14:43:11.883</v>
      </c>
      <c r="U1224" t="str">
        <f t="shared" si="575"/>
        <v>A9808D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359</v>
      </c>
      <c r="AJ1224">
        <v>28.28295</v>
      </c>
      <c r="AK1224" t="s">
        <v>357</v>
      </c>
      <c r="AL1224">
        <v>-82.384050000000002</v>
      </c>
      <c r="AM1224">
        <v>100</v>
      </c>
      <c r="AN1224">
        <v>1400</v>
      </c>
      <c r="AO1224" t="s">
        <v>118</v>
      </c>
      <c r="AP1224">
        <v>-3</v>
      </c>
      <c r="AQ1224">
        <v>98</v>
      </c>
      <c r="AR1224">
        <v>-384</v>
      </c>
      <c r="AZ1224">
        <v>1200</v>
      </c>
      <c r="BA1224">
        <v>1</v>
      </c>
      <c r="BB1224" t="str">
        <f t="shared" si="556"/>
        <v xml:space="preserve">N711JA  </v>
      </c>
      <c r="BC1224">
        <v>1</v>
      </c>
      <c r="BE1224">
        <v>0</v>
      </c>
      <c r="BF1224">
        <v>0</v>
      </c>
      <c r="BG1224">
        <v>0</v>
      </c>
      <c r="BH1224">
        <v>1450</v>
      </c>
      <c r="BI1224">
        <v>1</v>
      </c>
      <c r="BJ1224">
        <v>1</v>
      </c>
      <c r="BK1224">
        <v>0</v>
      </c>
      <c r="BL1224">
        <v>0</v>
      </c>
      <c r="BO1224">
        <v>0</v>
      </c>
      <c r="BP1224">
        <v>0</v>
      </c>
      <c r="BW1224" t="str">
        <f t="shared" si="579"/>
        <v>14:43:12.389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343</v>
      </c>
      <c r="CR1224">
        <v>1</v>
      </c>
      <c r="CW1224">
        <v>10644083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576"/>
        <v>05/12/2020 14:42:54.567</v>
      </c>
      <c r="C1225" t="str">
        <f t="shared" si="555"/>
        <v>FFDFD3C0</v>
      </c>
      <c r="D1225" t="s">
        <v>131</v>
      </c>
      <c r="E1225">
        <v>12</v>
      </c>
      <c r="F1225">
        <v>2012</v>
      </c>
      <c r="G1225" t="s">
        <v>137</v>
      </c>
      <c r="J1225" t="s">
        <v>133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577"/>
        <v>14:43:12.383</v>
      </c>
      <c r="T1225" t="str">
        <f t="shared" si="578"/>
        <v>14:43:11.883</v>
      </c>
      <c r="U1225" t="str">
        <f t="shared" si="575"/>
        <v>A9808D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359</v>
      </c>
      <c r="AJ1225">
        <v>28.28295</v>
      </c>
      <c r="AK1225" t="s">
        <v>357</v>
      </c>
      <c r="AL1225">
        <v>-82.384050000000002</v>
      </c>
      <c r="AM1225">
        <v>100</v>
      </c>
      <c r="AN1225">
        <v>1400</v>
      </c>
      <c r="AO1225" t="s">
        <v>118</v>
      </c>
      <c r="AP1225">
        <v>-3</v>
      </c>
      <c r="AQ1225">
        <v>98</v>
      </c>
      <c r="AR1225">
        <v>-384</v>
      </c>
      <c r="AZ1225">
        <v>1200</v>
      </c>
      <c r="BA1225">
        <v>1</v>
      </c>
      <c r="BB1225" t="str">
        <f t="shared" si="556"/>
        <v xml:space="preserve">N711JA  </v>
      </c>
      <c r="BC1225">
        <v>1</v>
      </c>
      <c r="BE1225">
        <v>0</v>
      </c>
      <c r="BF1225">
        <v>0</v>
      </c>
      <c r="BG1225">
        <v>0</v>
      </c>
      <c r="BH1225">
        <v>1450</v>
      </c>
      <c r="BI1225">
        <v>1</v>
      </c>
      <c r="BJ1225">
        <v>1</v>
      </c>
      <c r="BK1225">
        <v>0</v>
      </c>
      <c r="BL1225">
        <v>0</v>
      </c>
      <c r="BO1225">
        <v>0</v>
      </c>
      <c r="BP1225">
        <v>0</v>
      </c>
      <c r="BW1225" t="str">
        <f t="shared" si="579"/>
        <v>14:43:12.389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343</v>
      </c>
      <c r="CR1225">
        <v>1</v>
      </c>
      <c r="CW1225">
        <v>10644083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si="576"/>
        <v>05/12/2020 14:42:54.567</v>
      </c>
      <c r="C1226" t="str">
        <f t="shared" si="555"/>
        <v>FFDFD3C0</v>
      </c>
      <c r="D1226" t="s">
        <v>131</v>
      </c>
      <c r="E1226">
        <v>18</v>
      </c>
      <c r="F1226">
        <v>2018</v>
      </c>
      <c r="G1226" t="s">
        <v>161</v>
      </c>
      <c r="J1226" t="s">
        <v>133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577"/>
        <v>14:43:12.383</v>
      </c>
      <c r="T1226" t="str">
        <f t="shared" si="578"/>
        <v>14:43:11.883</v>
      </c>
      <c r="U1226" t="str">
        <f t="shared" si="575"/>
        <v>A9808D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359</v>
      </c>
      <c r="AJ1226">
        <v>28.28295</v>
      </c>
      <c r="AK1226" t="s">
        <v>357</v>
      </c>
      <c r="AL1226">
        <v>-82.384050000000002</v>
      </c>
      <c r="AM1226">
        <v>100</v>
      </c>
      <c r="AN1226">
        <v>1400</v>
      </c>
      <c r="AO1226" t="s">
        <v>118</v>
      </c>
      <c r="AP1226">
        <v>-3</v>
      </c>
      <c r="AQ1226">
        <v>98</v>
      </c>
      <c r="AR1226">
        <v>-384</v>
      </c>
      <c r="AZ1226">
        <v>1200</v>
      </c>
      <c r="BA1226">
        <v>1</v>
      </c>
      <c r="BB1226" t="str">
        <f t="shared" si="556"/>
        <v xml:space="preserve">N711JA  </v>
      </c>
      <c r="BC1226">
        <v>1</v>
      </c>
      <c r="BE1226">
        <v>0</v>
      </c>
      <c r="BF1226">
        <v>0</v>
      </c>
      <c r="BG1226">
        <v>0</v>
      </c>
      <c r="BH1226">
        <v>1450</v>
      </c>
      <c r="BI1226">
        <v>1</v>
      </c>
      <c r="BJ1226">
        <v>1</v>
      </c>
      <c r="BK1226">
        <v>0</v>
      </c>
      <c r="BL1226">
        <v>0</v>
      </c>
      <c r="BO1226">
        <v>0</v>
      </c>
      <c r="BP1226">
        <v>0</v>
      </c>
      <c r="BW1226" t="str">
        <f t="shared" si="579"/>
        <v>14:43:12.389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343</v>
      </c>
      <c r="CR1226">
        <v>1</v>
      </c>
      <c r="CW1226">
        <v>10644083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576"/>
        <v>05/12/2020 14:42:54.567</v>
      </c>
      <c r="C1227" t="str">
        <f t="shared" si="555"/>
        <v>FFDFD3C0</v>
      </c>
      <c r="D1227" t="s">
        <v>138</v>
      </c>
      <c r="E1227">
        <v>2</v>
      </c>
      <c r="H1227">
        <v>8</v>
      </c>
      <c r="I1227" t="s">
        <v>139</v>
      </c>
      <c r="J1227" t="s">
        <v>136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577"/>
        <v>14:43:12.383</v>
      </c>
      <c r="T1227" t="str">
        <f t="shared" si="578"/>
        <v>14:43:11.883</v>
      </c>
      <c r="U1227" t="str">
        <f t="shared" si="575"/>
        <v>A9808D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1</v>
      </c>
      <c r="AG1227">
        <v>2</v>
      </c>
      <c r="AH1227">
        <v>0</v>
      </c>
      <c r="AI1227" t="s">
        <v>359</v>
      </c>
      <c r="AJ1227">
        <v>28.28295</v>
      </c>
      <c r="AK1227" t="s">
        <v>357</v>
      </c>
      <c r="AL1227">
        <v>-82.384050000000002</v>
      </c>
      <c r="AM1227">
        <v>100</v>
      </c>
      <c r="AN1227">
        <v>1400</v>
      </c>
      <c r="AO1227" t="s">
        <v>118</v>
      </c>
      <c r="AP1227">
        <v>-3</v>
      </c>
      <c r="AQ1227">
        <v>98</v>
      </c>
      <c r="AR1227">
        <v>-384</v>
      </c>
      <c r="AZ1227">
        <v>1200</v>
      </c>
      <c r="BA1227">
        <v>1</v>
      </c>
      <c r="BB1227" t="str">
        <f t="shared" si="556"/>
        <v xml:space="preserve">N711JA  </v>
      </c>
      <c r="BC1227">
        <v>1</v>
      </c>
      <c r="BE1227">
        <v>0</v>
      </c>
      <c r="BF1227">
        <v>0</v>
      </c>
      <c r="BG1227">
        <v>0</v>
      </c>
      <c r="BH1227">
        <v>1450</v>
      </c>
      <c r="BI1227">
        <v>1</v>
      </c>
      <c r="BJ1227">
        <v>1</v>
      </c>
      <c r="BK1227">
        <v>0</v>
      </c>
      <c r="BL1227">
        <v>0</v>
      </c>
      <c r="BO1227">
        <v>0</v>
      </c>
      <c r="BP1227">
        <v>0</v>
      </c>
      <c r="BW1227" t="str">
        <f t="shared" si="579"/>
        <v>14:43:12.389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343</v>
      </c>
      <c r="CR1227">
        <v>1</v>
      </c>
      <c r="CW1227">
        <v>10644083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576"/>
        <v>05/12/2020 14:42:54.567</v>
      </c>
      <c r="C1228" t="str">
        <f t="shared" si="555"/>
        <v>FFDFD3C0</v>
      </c>
      <c r="D1228" t="s">
        <v>138</v>
      </c>
      <c r="E1228">
        <v>3</v>
      </c>
      <c r="H1228">
        <v>9</v>
      </c>
      <c r="I1228" t="s">
        <v>140</v>
      </c>
      <c r="J1228" t="s">
        <v>136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577"/>
        <v>14:43:12.383</v>
      </c>
      <c r="T1228" t="str">
        <f t="shared" si="578"/>
        <v>14:43:11.883</v>
      </c>
      <c r="U1228" t="str">
        <f t="shared" si="575"/>
        <v>A9808D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1</v>
      </c>
      <c r="AG1228">
        <v>2</v>
      </c>
      <c r="AH1228">
        <v>0</v>
      </c>
      <c r="AI1228" t="s">
        <v>359</v>
      </c>
      <c r="AJ1228">
        <v>28.28295</v>
      </c>
      <c r="AK1228" t="s">
        <v>357</v>
      </c>
      <c r="AL1228">
        <v>-82.384050000000002</v>
      </c>
      <c r="AM1228">
        <v>100</v>
      </c>
      <c r="AN1228">
        <v>1400</v>
      </c>
      <c r="AO1228" t="s">
        <v>118</v>
      </c>
      <c r="AP1228">
        <v>-3</v>
      </c>
      <c r="AQ1228">
        <v>98</v>
      </c>
      <c r="AR1228">
        <v>-384</v>
      </c>
      <c r="AZ1228">
        <v>1200</v>
      </c>
      <c r="BA1228">
        <v>1</v>
      </c>
      <c r="BB1228" t="str">
        <f t="shared" si="556"/>
        <v xml:space="preserve">N711JA  </v>
      </c>
      <c r="BC1228">
        <v>1</v>
      </c>
      <c r="BE1228">
        <v>0</v>
      </c>
      <c r="BF1228">
        <v>0</v>
      </c>
      <c r="BG1228">
        <v>0</v>
      </c>
      <c r="BH1228">
        <v>1450</v>
      </c>
      <c r="BI1228">
        <v>1</v>
      </c>
      <c r="BJ1228">
        <v>1</v>
      </c>
      <c r="BK1228">
        <v>0</v>
      </c>
      <c r="BL1228">
        <v>0</v>
      </c>
      <c r="BO1228">
        <v>0</v>
      </c>
      <c r="BP1228">
        <v>0</v>
      </c>
      <c r="BW1228" t="str">
        <f t="shared" si="579"/>
        <v>14:43:12.389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343</v>
      </c>
      <c r="CR1228">
        <v>1</v>
      </c>
      <c r="CW1228">
        <v>10644083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ref="A1229:A1237" si="580">"05/12/2020 14:42:55.451"</f>
        <v>05/12/2020 14:42:55.451</v>
      </c>
      <c r="C1229" t="str">
        <f t="shared" si="555"/>
        <v>FFDFD3C0</v>
      </c>
      <c r="D1229" t="s">
        <v>131</v>
      </c>
      <c r="E1229">
        <v>10</v>
      </c>
      <c r="F1229">
        <v>2010</v>
      </c>
      <c r="G1229" t="s">
        <v>132</v>
      </c>
      <c r="J1229" t="s">
        <v>133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S1237" si="581">"14:43:13.258"</f>
        <v>14:43:13.258</v>
      </c>
      <c r="T1229" t="str">
        <f t="shared" ref="T1229:T1237" si="582">"14:43:13.058"</f>
        <v>14:43:13.058</v>
      </c>
      <c r="U1229" t="str">
        <f t="shared" si="575"/>
        <v>A9808D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360</v>
      </c>
      <c r="AJ1229">
        <v>28.283379</v>
      </c>
      <c r="AK1229" t="s">
        <v>361</v>
      </c>
      <c r="AL1229">
        <v>-82.384006999999997</v>
      </c>
      <c r="AM1229">
        <v>100</v>
      </c>
      <c r="AN1229">
        <v>1400</v>
      </c>
      <c r="AO1229" t="s">
        <v>118</v>
      </c>
      <c r="AP1229">
        <v>11</v>
      </c>
      <c r="AQ1229">
        <v>98</v>
      </c>
      <c r="AR1229">
        <v>0</v>
      </c>
      <c r="AZ1229">
        <v>1200</v>
      </c>
      <c r="BA1229">
        <v>1</v>
      </c>
      <c r="BB1229" t="str">
        <f t="shared" si="556"/>
        <v xml:space="preserve">N711JA  </v>
      </c>
      <c r="BC1229">
        <v>1</v>
      </c>
      <c r="BE1229">
        <v>0</v>
      </c>
      <c r="BF1229">
        <v>0</v>
      </c>
      <c r="BG1229">
        <v>0</v>
      </c>
      <c r="BH1229">
        <v>1450</v>
      </c>
      <c r="BI1229">
        <v>1</v>
      </c>
      <c r="BJ1229">
        <v>1</v>
      </c>
      <c r="BK1229">
        <v>0</v>
      </c>
      <c r="BL1229">
        <v>0</v>
      </c>
      <c r="BO1229">
        <v>0</v>
      </c>
      <c r="BP1229">
        <v>0</v>
      </c>
      <c r="BW1229" t="str">
        <f t="shared" ref="BW1229:BW1237" si="583">"14:43:13.260"</f>
        <v>14:43:13.260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343</v>
      </c>
      <c r="CR1229">
        <v>1</v>
      </c>
      <c r="CW1229">
        <v>10645005</v>
      </c>
      <c r="CY1229">
        <v>1</v>
      </c>
      <c r="CZ1229">
        <v>0</v>
      </c>
      <c r="DA1229">
        <v>0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580"/>
        <v>05/12/2020 14:42:55.451</v>
      </c>
      <c r="C1230" t="str">
        <f t="shared" si="555"/>
        <v>FFDFD3C0</v>
      </c>
      <c r="D1230" t="s">
        <v>131</v>
      </c>
      <c r="E1230">
        <v>12</v>
      </c>
      <c r="F1230">
        <v>2012</v>
      </c>
      <c r="G1230" t="s">
        <v>137</v>
      </c>
      <c r="J1230" t="s">
        <v>133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581"/>
        <v>14:43:13.258</v>
      </c>
      <c r="T1230" t="str">
        <f t="shared" si="582"/>
        <v>14:43:13.058</v>
      </c>
      <c r="U1230" t="str">
        <f t="shared" si="575"/>
        <v>A9808D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360</v>
      </c>
      <c r="AJ1230">
        <v>28.283379</v>
      </c>
      <c r="AK1230" t="s">
        <v>361</v>
      </c>
      <c r="AL1230">
        <v>-82.384006999999997</v>
      </c>
      <c r="AM1230">
        <v>100</v>
      </c>
      <c r="AN1230">
        <v>1400</v>
      </c>
      <c r="AO1230" t="s">
        <v>118</v>
      </c>
      <c r="AP1230">
        <v>11</v>
      </c>
      <c r="AQ1230">
        <v>98</v>
      </c>
      <c r="AR1230">
        <v>0</v>
      </c>
      <c r="AZ1230">
        <v>1200</v>
      </c>
      <c r="BA1230">
        <v>1</v>
      </c>
      <c r="BB1230" t="str">
        <f t="shared" si="556"/>
        <v xml:space="preserve">N711JA  </v>
      </c>
      <c r="BC1230">
        <v>1</v>
      </c>
      <c r="BE1230">
        <v>0</v>
      </c>
      <c r="BF1230">
        <v>0</v>
      </c>
      <c r="BG1230">
        <v>0</v>
      </c>
      <c r="BH1230">
        <v>1450</v>
      </c>
      <c r="BI1230">
        <v>1</v>
      </c>
      <c r="BJ1230">
        <v>1</v>
      </c>
      <c r="BK1230">
        <v>0</v>
      </c>
      <c r="BL1230">
        <v>0</v>
      </c>
      <c r="BO1230">
        <v>0</v>
      </c>
      <c r="BP1230">
        <v>0</v>
      </c>
      <c r="BW1230" t="str">
        <f t="shared" si="583"/>
        <v>14:43:13.260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343</v>
      </c>
      <c r="CR1230">
        <v>1</v>
      </c>
      <c r="CW1230">
        <v>10645005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580"/>
        <v>05/12/2020 14:42:55.451</v>
      </c>
      <c r="C1231" t="str">
        <f t="shared" si="555"/>
        <v>FFDFD3C0</v>
      </c>
      <c r="D1231" t="s">
        <v>126</v>
      </c>
      <c r="E1231">
        <v>7</v>
      </c>
      <c r="F1231">
        <v>1007</v>
      </c>
      <c r="G1231" t="s">
        <v>127</v>
      </c>
      <c r="J1231" t="s">
        <v>128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581"/>
        <v>14:43:13.258</v>
      </c>
      <c r="T1231" t="str">
        <f t="shared" si="582"/>
        <v>14:43:13.058</v>
      </c>
      <c r="U1231" t="str">
        <f t="shared" si="575"/>
        <v>A9808D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360</v>
      </c>
      <c r="AJ1231">
        <v>28.283379</v>
      </c>
      <c r="AK1231" t="s">
        <v>361</v>
      </c>
      <c r="AL1231">
        <v>-82.384006999999997</v>
      </c>
      <c r="AM1231">
        <v>100</v>
      </c>
      <c r="AN1231">
        <v>1400</v>
      </c>
      <c r="AO1231" t="s">
        <v>118</v>
      </c>
      <c r="AP1231">
        <v>11</v>
      </c>
      <c r="AQ1231">
        <v>98</v>
      </c>
      <c r="AR1231">
        <v>0</v>
      </c>
      <c r="AZ1231">
        <v>1200</v>
      </c>
      <c r="BA1231">
        <v>1</v>
      </c>
      <c r="BB1231" t="str">
        <f t="shared" si="556"/>
        <v xml:space="preserve">N711JA  </v>
      </c>
      <c r="BC1231">
        <v>1</v>
      </c>
      <c r="BE1231">
        <v>0</v>
      </c>
      <c r="BF1231">
        <v>0</v>
      </c>
      <c r="BG1231">
        <v>0</v>
      </c>
      <c r="BH1231">
        <v>1450</v>
      </c>
      <c r="BI1231">
        <v>1</v>
      </c>
      <c r="BJ1231">
        <v>1</v>
      </c>
      <c r="BK1231">
        <v>0</v>
      </c>
      <c r="BL1231">
        <v>0</v>
      </c>
      <c r="BO1231">
        <v>0</v>
      </c>
      <c r="BP1231">
        <v>0</v>
      </c>
      <c r="BW1231" t="str">
        <f t="shared" si="583"/>
        <v>14:43:13.260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343</v>
      </c>
      <c r="CR1231">
        <v>1</v>
      </c>
      <c r="CW1231">
        <v>10645005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580"/>
        <v>05/12/2020 14:42:55.451</v>
      </c>
      <c r="C1232" t="str">
        <f t="shared" si="555"/>
        <v>FFDFD3C0</v>
      </c>
      <c r="D1232" t="s">
        <v>131</v>
      </c>
      <c r="E1232">
        <v>18</v>
      </c>
      <c r="F1232">
        <v>2018</v>
      </c>
      <c r="G1232" t="s">
        <v>161</v>
      </c>
      <c r="J1232" t="s">
        <v>133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581"/>
        <v>14:43:13.258</v>
      </c>
      <c r="T1232" t="str">
        <f t="shared" si="582"/>
        <v>14:43:13.058</v>
      </c>
      <c r="U1232" t="str">
        <f t="shared" si="575"/>
        <v>A9808D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360</v>
      </c>
      <c r="AJ1232">
        <v>28.283379</v>
      </c>
      <c r="AK1232" t="s">
        <v>361</v>
      </c>
      <c r="AL1232">
        <v>-82.384006999999997</v>
      </c>
      <c r="AM1232">
        <v>100</v>
      </c>
      <c r="AN1232">
        <v>1400</v>
      </c>
      <c r="AO1232" t="s">
        <v>118</v>
      </c>
      <c r="AP1232">
        <v>11</v>
      </c>
      <c r="AQ1232">
        <v>98</v>
      </c>
      <c r="AR1232">
        <v>0</v>
      </c>
      <c r="AZ1232">
        <v>1200</v>
      </c>
      <c r="BA1232">
        <v>1</v>
      </c>
      <c r="BB1232" t="str">
        <f t="shared" si="556"/>
        <v xml:space="preserve">N711JA  </v>
      </c>
      <c r="BC1232">
        <v>1</v>
      </c>
      <c r="BE1232">
        <v>0</v>
      </c>
      <c r="BF1232">
        <v>0</v>
      </c>
      <c r="BG1232">
        <v>0</v>
      </c>
      <c r="BH1232">
        <v>1450</v>
      </c>
      <c r="BI1232">
        <v>1</v>
      </c>
      <c r="BJ1232">
        <v>1</v>
      </c>
      <c r="BK1232">
        <v>0</v>
      </c>
      <c r="BL1232">
        <v>0</v>
      </c>
      <c r="BO1232">
        <v>0</v>
      </c>
      <c r="BP1232">
        <v>0</v>
      </c>
      <c r="BW1232" t="str">
        <f t="shared" si="583"/>
        <v>14:43:13.260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343</v>
      </c>
      <c r="CR1232">
        <v>1</v>
      </c>
      <c r="CW1232">
        <v>10645005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si="580"/>
        <v>05/12/2020 14:42:55.451</v>
      </c>
      <c r="C1233" t="str">
        <f t="shared" si="555"/>
        <v>FFDFD3C0</v>
      </c>
      <c r="D1233" t="s">
        <v>138</v>
      </c>
      <c r="E1233">
        <v>2</v>
      </c>
      <c r="H1233">
        <v>8</v>
      </c>
      <c r="I1233" t="s">
        <v>139</v>
      </c>
      <c r="J1233" t="s">
        <v>136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581"/>
        <v>14:43:13.258</v>
      </c>
      <c r="T1233" t="str">
        <f t="shared" si="582"/>
        <v>14:43:13.058</v>
      </c>
      <c r="U1233" t="str">
        <f t="shared" si="575"/>
        <v>A9808D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360</v>
      </c>
      <c r="AJ1233">
        <v>28.283379</v>
      </c>
      <c r="AK1233" t="s">
        <v>361</v>
      </c>
      <c r="AL1233">
        <v>-82.384006999999997</v>
      </c>
      <c r="AM1233">
        <v>100</v>
      </c>
      <c r="AN1233">
        <v>1400</v>
      </c>
      <c r="AO1233" t="s">
        <v>118</v>
      </c>
      <c r="AP1233">
        <v>11</v>
      </c>
      <c r="AQ1233">
        <v>98</v>
      </c>
      <c r="AR1233">
        <v>0</v>
      </c>
      <c r="AZ1233">
        <v>1200</v>
      </c>
      <c r="BA1233">
        <v>1</v>
      </c>
      <c r="BB1233" t="str">
        <f t="shared" si="556"/>
        <v xml:space="preserve">N711JA  </v>
      </c>
      <c r="BC1233">
        <v>1</v>
      </c>
      <c r="BE1233">
        <v>0</v>
      </c>
      <c r="BF1233">
        <v>0</v>
      </c>
      <c r="BG1233">
        <v>0</v>
      </c>
      <c r="BH1233">
        <v>1450</v>
      </c>
      <c r="BI1233">
        <v>1</v>
      </c>
      <c r="BJ1233">
        <v>1</v>
      </c>
      <c r="BK1233">
        <v>0</v>
      </c>
      <c r="BL1233">
        <v>0</v>
      </c>
      <c r="BO1233">
        <v>0</v>
      </c>
      <c r="BP1233">
        <v>0</v>
      </c>
      <c r="BW1233" t="str">
        <f t="shared" si="583"/>
        <v>14:43:13.260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343</v>
      </c>
      <c r="CR1233">
        <v>1</v>
      </c>
      <c r="CW1233">
        <v>10645005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580"/>
        <v>05/12/2020 14:42:55.451</v>
      </c>
      <c r="C1234" t="str">
        <f t="shared" si="555"/>
        <v>FFDFD3C0</v>
      </c>
      <c r="D1234" t="s">
        <v>138</v>
      </c>
      <c r="E1234">
        <v>3</v>
      </c>
      <c r="H1234">
        <v>9</v>
      </c>
      <c r="I1234" t="s">
        <v>140</v>
      </c>
      <c r="J1234" t="s">
        <v>136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581"/>
        <v>14:43:13.258</v>
      </c>
      <c r="T1234" t="str">
        <f t="shared" si="582"/>
        <v>14:43:13.058</v>
      </c>
      <c r="U1234" t="str">
        <f t="shared" si="575"/>
        <v>A9808D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360</v>
      </c>
      <c r="AJ1234">
        <v>28.283379</v>
      </c>
      <c r="AK1234" t="s">
        <v>361</v>
      </c>
      <c r="AL1234">
        <v>-82.384006999999997</v>
      </c>
      <c r="AM1234">
        <v>100</v>
      </c>
      <c r="AN1234">
        <v>1400</v>
      </c>
      <c r="AO1234" t="s">
        <v>118</v>
      </c>
      <c r="AP1234">
        <v>11</v>
      </c>
      <c r="AQ1234">
        <v>98</v>
      </c>
      <c r="AR1234">
        <v>0</v>
      </c>
      <c r="AZ1234">
        <v>1200</v>
      </c>
      <c r="BA1234">
        <v>1</v>
      </c>
      <c r="BB1234" t="str">
        <f t="shared" si="556"/>
        <v xml:space="preserve">N711JA  </v>
      </c>
      <c r="BC1234">
        <v>1</v>
      </c>
      <c r="BE1234">
        <v>0</v>
      </c>
      <c r="BF1234">
        <v>0</v>
      </c>
      <c r="BG1234">
        <v>0</v>
      </c>
      <c r="BH1234">
        <v>1450</v>
      </c>
      <c r="BI1234">
        <v>1</v>
      </c>
      <c r="BJ1234">
        <v>1</v>
      </c>
      <c r="BK1234">
        <v>0</v>
      </c>
      <c r="BL1234">
        <v>0</v>
      </c>
      <c r="BO1234">
        <v>0</v>
      </c>
      <c r="BP1234">
        <v>0</v>
      </c>
      <c r="BW1234" t="str">
        <f t="shared" si="583"/>
        <v>14:43:13.260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343</v>
      </c>
      <c r="CR1234">
        <v>1</v>
      </c>
      <c r="CW1234">
        <v>10645005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si="580"/>
        <v>05/12/2020 14:42:55.451</v>
      </c>
      <c r="C1235" t="str">
        <f t="shared" si="555"/>
        <v>FFDFD3C0</v>
      </c>
      <c r="D1235" t="s">
        <v>126</v>
      </c>
      <c r="E1235">
        <v>6</v>
      </c>
      <c r="F1235">
        <v>1006</v>
      </c>
      <c r="G1235" t="s">
        <v>114</v>
      </c>
      <c r="J1235" t="s">
        <v>128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581"/>
        <v>14:43:13.258</v>
      </c>
      <c r="T1235" t="str">
        <f t="shared" si="582"/>
        <v>14:43:13.058</v>
      </c>
      <c r="U1235" t="str">
        <f t="shared" si="575"/>
        <v>A9808D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360</v>
      </c>
      <c r="AJ1235">
        <v>28.283379</v>
      </c>
      <c r="AK1235" t="s">
        <v>361</v>
      </c>
      <c r="AL1235">
        <v>-82.384006999999997</v>
      </c>
      <c r="AM1235">
        <v>100</v>
      </c>
      <c r="AN1235">
        <v>1400</v>
      </c>
      <c r="AO1235" t="s">
        <v>118</v>
      </c>
      <c r="AP1235">
        <v>11</v>
      </c>
      <c r="AQ1235">
        <v>98</v>
      </c>
      <c r="AR1235">
        <v>0</v>
      </c>
      <c r="AZ1235">
        <v>1200</v>
      </c>
      <c r="BA1235">
        <v>1</v>
      </c>
      <c r="BB1235" t="str">
        <f t="shared" si="556"/>
        <v xml:space="preserve">N711JA  </v>
      </c>
      <c r="BC1235">
        <v>1</v>
      </c>
      <c r="BE1235">
        <v>0</v>
      </c>
      <c r="BF1235">
        <v>0</v>
      </c>
      <c r="BG1235">
        <v>0</v>
      </c>
      <c r="BH1235">
        <v>1450</v>
      </c>
      <c r="BI1235">
        <v>1</v>
      </c>
      <c r="BJ1235">
        <v>1</v>
      </c>
      <c r="BK1235">
        <v>0</v>
      </c>
      <c r="BL1235">
        <v>0</v>
      </c>
      <c r="BO1235">
        <v>0</v>
      </c>
      <c r="BP1235">
        <v>0</v>
      </c>
      <c r="BW1235" t="str">
        <f t="shared" si="583"/>
        <v>14:43:13.260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343</v>
      </c>
      <c r="CR1235">
        <v>1</v>
      </c>
      <c r="CW1235">
        <v>10645005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580"/>
        <v>05/12/2020 14:42:55.451</v>
      </c>
      <c r="C1236" t="str">
        <f t="shared" si="555"/>
        <v>FFDFD3C0</v>
      </c>
      <c r="D1236" t="s">
        <v>134</v>
      </c>
      <c r="E1236">
        <v>12</v>
      </c>
      <c r="H1236">
        <v>64</v>
      </c>
      <c r="I1236" t="s">
        <v>135</v>
      </c>
      <c r="J1236" t="s">
        <v>136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581"/>
        <v>14:43:13.258</v>
      </c>
      <c r="T1236" t="str">
        <f t="shared" si="582"/>
        <v>14:43:13.058</v>
      </c>
      <c r="U1236" t="str">
        <f t="shared" si="575"/>
        <v>A9808D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360</v>
      </c>
      <c r="AJ1236">
        <v>28.283379</v>
      </c>
      <c r="AK1236" t="s">
        <v>361</v>
      </c>
      <c r="AL1236">
        <v>-82.384006999999997</v>
      </c>
      <c r="AM1236">
        <v>100</v>
      </c>
      <c r="AN1236">
        <v>1400</v>
      </c>
      <c r="AO1236" t="s">
        <v>118</v>
      </c>
      <c r="AP1236">
        <v>11</v>
      </c>
      <c r="AQ1236">
        <v>98</v>
      </c>
      <c r="AR1236">
        <v>0</v>
      </c>
      <c r="AZ1236">
        <v>1200</v>
      </c>
      <c r="BA1236">
        <v>1</v>
      </c>
      <c r="BB1236" t="str">
        <f t="shared" si="556"/>
        <v xml:space="preserve">N711JA  </v>
      </c>
      <c r="BC1236">
        <v>1</v>
      </c>
      <c r="BE1236">
        <v>0</v>
      </c>
      <c r="BF1236">
        <v>0</v>
      </c>
      <c r="BG1236">
        <v>0</v>
      </c>
      <c r="BH1236">
        <v>1450</v>
      </c>
      <c r="BI1236">
        <v>1</v>
      </c>
      <c r="BJ1236">
        <v>1</v>
      </c>
      <c r="BK1236">
        <v>0</v>
      </c>
      <c r="BL1236">
        <v>0</v>
      </c>
      <c r="BO1236">
        <v>0</v>
      </c>
      <c r="BP1236">
        <v>0</v>
      </c>
      <c r="BW1236" t="str">
        <f t="shared" si="583"/>
        <v>14:43:13.260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343</v>
      </c>
      <c r="CR1236">
        <v>1</v>
      </c>
      <c r="CW1236">
        <v>10645005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580"/>
        <v>05/12/2020 14:42:55.451</v>
      </c>
      <c r="C1237" t="str">
        <f t="shared" si="555"/>
        <v>FFDFD3C0</v>
      </c>
      <c r="D1237" t="s">
        <v>113</v>
      </c>
      <c r="E1237">
        <v>3</v>
      </c>
      <c r="H1237">
        <v>164</v>
      </c>
      <c r="I1237" t="s">
        <v>114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581"/>
        <v>14:43:13.258</v>
      </c>
      <c r="T1237" t="str">
        <f t="shared" si="582"/>
        <v>14:43:13.058</v>
      </c>
      <c r="U1237" t="str">
        <f t="shared" si="575"/>
        <v>A9808D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360</v>
      </c>
      <c r="AJ1237">
        <v>28.283379</v>
      </c>
      <c r="AK1237" t="s">
        <v>361</v>
      </c>
      <c r="AL1237">
        <v>-82.384006999999997</v>
      </c>
      <c r="AM1237">
        <v>100</v>
      </c>
      <c r="AN1237">
        <v>1400</v>
      </c>
      <c r="AO1237" t="s">
        <v>118</v>
      </c>
      <c r="AP1237">
        <v>11</v>
      </c>
      <c r="AQ1237">
        <v>98</v>
      </c>
      <c r="AR1237">
        <v>0</v>
      </c>
      <c r="AZ1237">
        <v>1200</v>
      </c>
      <c r="BA1237">
        <v>1</v>
      </c>
      <c r="BB1237" t="str">
        <f t="shared" si="556"/>
        <v xml:space="preserve">N711JA  </v>
      </c>
      <c r="BC1237">
        <v>1</v>
      </c>
      <c r="BE1237">
        <v>0</v>
      </c>
      <c r="BF1237">
        <v>0</v>
      </c>
      <c r="BG1237">
        <v>0</v>
      </c>
      <c r="BH1237">
        <v>1450</v>
      </c>
      <c r="BI1237">
        <v>1</v>
      </c>
      <c r="BJ1237">
        <v>1</v>
      </c>
      <c r="BK1237">
        <v>0</v>
      </c>
      <c r="BL1237">
        <v>0</v>
      </c>
      <c r="BO1237">
        <v>0</v>
      </c>
      <c r="BP1237">
        <v>0</v>
      </c>
      <c r="BW1237" t="str">
        <f t="shared" si="583"/>
        <v>14:43:13.260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343</v>
      </c>
      <c r="CR1237">
        <v>1</v>
      </c>
      <c r="CW1237">
        <v>10645005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ref="A1238:A1246" si="584">"05/12/2020 14:42:56.547"</f>
        <v>05/12/2020 14:42:56.547</v>
      </c>
      <c r="C1238" t="str">
        <f t="shared" ref="C1238:C1301" si="585">"FFDFD3C0"</f>
        <v>FFDFD3C0</v>
      </c>
      <c r="D1238" t="s">
        <v>134</v>
      </c>
      <c r="E1238">
        <v>12</v>
      </c>
      <c r="H1238">
        <v>64</v>
      </c>
      <c r="I1238" t="s">
        <v>135</v>
      </c>
      <c r="J1238" t="s">
        <v>136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ref="S1238:S1246" si="586">"14:43:14.383"</f>
        <v>14:43:14.383</v>
      </c>
      <c r="T1238" t="str">
        <f t="shared" ref="T1238:T1246" si="587">"14:43:14.183"</f>
        <v>14:43:14.183</v>
      </c>
      <c r="U1238" t="str">
        <f t="shared" si="575"/>
        <v>A9808D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362</v>
      </c>
      <c r="AJ1238">
        <v>28.283829999999998</v>
      </c>
      <c r="AK1238" t="s">
        <v>363</v>
      </c>
      <c r="AL1238">
        <v>-82.383835000000005</v>
      </c>
      <c r="AM1238">
        <v>100</v>
      </c>
      <c r="AN1238">
        <v>1400</v>
      </c>
      <c r="AO1238" t="s">
        <v>118</v>
      </c>
      <c r="AP1238">
        <v>23</v>
      </c>
      <c r="AQ1238">
        <v>96</v>
      </c>
      <c r="AR1238">
        <v>64</v>
      </c>
      <c r="AZ1238">
        <v>1200</v>
      </c>
      <c r="BA1238">
        <v>1</v>
      </c>
      <c r="BB1238" t="str">
        <f t="shared" ref="BB1238:BB1301" si="588">"N711JA  "</f>
        <v xml:space="preserve">N711JA  </v>
      </c>
      <c r="BC1238">
        <v>1</v>
      </c>
      <c r="BE1238">
        <v>0</v>
      </c>
      <c r="BF1238">
        <v>0</v>
      </c>
      <c r="BG1238">
        <v>0</v>
      </c>
      <c r="BH1238">
        <v>1450</v>
      </c>
      <c r="BI1238">
        <v>1</v>
      </c>
      <c r="BJ1238">
        <v>1</v>
      </c>
      <c r="BK1238">
        <v>0</v>
      </c>
      <c r="BL1238">
        <v>0</v>
      </c>
      <c r="BO1238">
        <v>0</v>
      </c>
      <c r="BP1238">
        <v>0</v>
      </c>
      <c r="BW1238" t="str">
        <f t="shared" ref="BW1238:BW1246" si="589">"14:43:14.384"</f>
        <v>14:43:14.384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343</v>
      </c>
      <c r="CR1238">
        <v>2</v>
      </c>
      <c r="CW1238">
        <v>13035272</v>
      </c>
      <c r="CY1238">
        <v>1</v>
      </c>
      <c r="CZ1238">
        <v>0</v>
      </c>
      <c r="DA1238">
        <v>0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584"/>
        <v>05/12/2020 14:42:56.547</v>
      </c>
      <c r="C1239" t="str">
        <f t="shared" si="585"/>
        <v>FFDFD3C0</v>
      </c>
      <c r="D1239" t="s">
        <v>131</v>
      </c>
      <c r="E1239">
        <v>10</v>
      </c>
      <c r="F1239">
        <v>2010</v>
      </c>
      <c r="G1239" t="s">
        <v>132</v>
      </c>
      <c r="J1239" t="s">
        <v>133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586"/>
        <v>14:43:14.383</v>
      </c>
      <c r="T1239" t="str">
        <f t="shared" si="587"/>
        <v>14:43:14.183</v>
      </c>
      <c r="U1239" t="str">
        <f t="shared" si="575"/>
        <v>A9808D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362</v>
      </c>
      <c r="AJ1239">
        <v>28.283829999999998</v>
      </c>
      <c r="AK1239" t="s">
        <v>363</v>
      </c>
      <c r="AL1239">
        <v>-82.383835000000005</v>
      </c>
      <c r="AM1239">
        <v>100</v>
      </c>
      <c r="AN1239">
        <v>1400</v>
      </c>
      <c r="AO1239" t="s">
        <v>118</v>
      </c>
      <c r="AP1239">
        <v>23</v>
      </c>
      <c r="AQ1239">
        <v>96</v>
      </c>
      <c r="AR1239">
        <v>64</v>
      </c>
      <c r="AZ1239">
        <v>1200</v>
      </c>
      <c r="BA1239">
        <v>1</v>
      </c>
      <c r="BB1239" t="str">
        <f t="shared" si="588"/>
        <v xml:space="preserve">N711JA  </v>
      </c>
      <c r="BC1239">
        <v>1</v>
      </c>
      <c r="BE1239">
        <v>0</v>
      </c>
      <c r="BF1239">
        <v>0</v>
      </c>
      <c r="BG1239">
        <v>0</v>
      </c>
      <c r="BH1239">
        <v>1450</v>
      </c>
      <c r="BI1239">
        <v>1</v>
      </c>
      <c r="BJ1239">
        <v>1</v>
      </c>
      <c r="BK1239">
        <v>0</v>
      </c>
      <c r="BL1239">
        <v>0</v>
      </c>
      <c r="BO1239">
        <v>0</v>
      </c>
      <c r="BP1239">
        <v>0</v>
      </c>
      <c r="BW1239" t="str">
        <f t="shared" si="589"/>
        <v>14:43:14.384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343</v>
      </c>
      <c r="CR1239">
        <v>2</v>
      </c>
      <c r="CW1239">
        <v>13035272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584"/>
        <v>05/12/2020 14:42:56.547</v>
      </c>
      <c r="C1240" t="str">
        <f t="shared" si="585"/>
        <v>FFDFD3C0</v>
      </c>
      <c r="D1240" t="s">
        <v>126</v>
      </c>
      <c r="E1240">
        <v>7</v>
      </c>
      <c r="F1240">
        <v>1007</v>
      </c>
      <c r="G1240" t="s">
        <v>127</v>
      </c>
      <c r="J1240" t="s">
        <v>128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586"/>
        <v>14:43:14.383</v>
      </c>
      <c r="T1240" t="str">
        <f t="shared" si="587"/>
        <v>14:43:14.183</v>
      </c>
      <c r="U1240" t="str">
        <f t="shared" si="575"/>
        <v>A9808D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362</v>
      </c>
      <c r="AJ1240">
        <v>28.283829999999998</v>
      </c>
      <c r="AK1240" t="s">
        <v>363</v>
      </c>
      <c r="AL1240">
        <v>-82.383835000000005</v>
      </c>
      <c r="AM1240">
        <v>100</v>
      </c>
      <c r="AN1240">
        <v>1400</v>
      </c>
      <c r="AO1240" t="s">
        <v>118</v>
      </c>
      <c r="AP1240">
        <v>23</v>
      </c>
      <c r="AQ1240">
        <v>96</v>
      </c>
      <c r="AR1240">
        <v>64</v>
      </c>
      <c r="AZ1240">
        <v>1200</v>
      </c>
      <c r="BA1240">
        <v>1</v>
      </c>
      <c r="BB1240" t="str">
        <f t="shared" si="588"/>
        <v xml:space="preserve">N711JA  </v>
      </c>
      <c r="BC1240">
        <v>1</v>
      </c>
      <c r="BE1240">
        <v>0</v>
      </c>
      <c r="BF1240">
        <v>0</v>
      </c>
      <c r="BG1240">
        <v>0</v>
      </c>
      <c r="BH1240">
        <v>1450</v>
      </c>
      <c r="BI1240">
        <v>1</v>
      </c>
      <c r="BJ1240">
        <v>1</v>
      </c>
      <c r="BK1240">
        <v>0</v>
      </c>
      <c r="BL1240">
        <v>0</v>
      </c>
      <c r="BO1240">
        <v>0</v>
      </c>
      <c r="BP1240">
        <v>0</v>
      </c>
      <c r="BW1240" t="str">
        <f t="shared" si="589"/>
        <v>14:43:14.384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343</v>
      </c>
      <c r="CR1240">
        <v>2</v>
      </c>
      <c r="CW1240">
        <v>13035272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584"/>
        <v>05/12/2020 14:42:56.547</v>
      </c>
      <c r="C1241" t="str">
        <f t="shared" si="585"/>
        <v>FFDFD3C0</v>
      </c>
      <c r="D1241" t="s">
        <v>131</v>
      </c>
      <c r="E1241">
        <v>12</v>
      </c>
      <c r="F1241">
        <v>2012</v>
      </c>
      <c r="G1241" t="s">
        <v>137</v>
      </c>
      <c r="J1241" t="s">
        <v>133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586"/>
        <v>14:43:14.383</v>
      </c>
      <c r="T1241" t="str">
        <f t="shared" si="587"/>
        <v>14:43:14.183</v>
      </c>
      <c r="U1241" t="str">
        <f t="shared" si="575"/>
        <v>A9808D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362</v>
      </c>
      <c r="AJ1241">
        <v>28.283829999999998</v>
      </c>
      <c r="AK1241" t="s">
        <v>363</v>
      </c>
      <c r="AL1241">
        <v>-82.383835000000005</v>
      </c>
      <c r="AM1241">
        <v>100</v>
      </c>
      <c r="AN1241">
        <v>1400</v>
      </c>
      <c r="AO1241" t="s">
        <v>118</v>
      </c>
      <c r="AP1241">
        <v>23</v>
      </c>
      <c r="AQ1241">
        <v>96</v>
      </c>
      <c r="AR1241">
        <v>64</v>
      </c>
      <c r="AZ1241">
        <v>1200</v>
      </c>
      <c r="BA1241">
        <v>1</v>
      </c>
      <c r="BB1241" t="str">
        <f t="shared" si="588"/>
        <v xml:space="preserve">N711JA  </v>
      </c>
      <c r="BC1241">
        <v>1</v>
      </c>
      <c r="BE1241">
        <v>0</v>
      </c>
      <c r="BF1241">
        <v>0</v>
      </c>
      <c r="BG1241">
        <v>0</v>
      </c>
      <c r="BH1241">
        <v>1450</v>
      </c>
      <c r="BI1241">
        <v>1</v>
      </c>
      <c r="BJ1241">
        <v>1</v>
      </c>
      <c r="BK1241">
        <v>0</v>
      </c>
      <c r="BL1241">
        <v>0</v>
      </c>
      <c r="BO1241">
        <v>0</v>
      </c>
      <c r="BP1241">
        <v>0</v>
      </c>
      <c r="BW1241" t="str">
        <f t="shared" si="589"/>
        <v>14:43:14.384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343</v>
      </c>
      <c r="CR1241">
        <v>2</v>
      </c>
      <c r="CW1241">
        <v>13035272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584"/>
        <v>05/12/2020 14:42:56.547</v>
      </c>
      <c r="C1242" t="str">
        <f t="shared" si="585"/>
        <v>FFDFD3C0</v>
      </c>
      <c r="D1242" t="s">
        <v>131</v>
      </c>
      <c r="E1242">
        <v>18</v>
      </c>
      <c r="F1242">
        <v>2018</v>
      </c>
      <c r="G1242" t="s">
        <v>161</v>
      </c>
      <c r="J1242" t="s">
        <v>133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586"/>
        <v>14:43:14.383</v>
      </c>
      <c r="T1242" t="str">
        <f t="shared" si="587"/>
        <v>14:43:14.183</v>
      </c>
      <c r="U1242" t="str">
        <f t="shared" si="575"/>
        <v>A9808D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362</v>
      </c>
      <c r="AJ1242">
        <v>28.283829999999998</v>
      </c>
      <c r="AK1242" t="s">
        <v>363</v>
      </c>
      <c r="AL1242">
        <v>-82.383835000000005</v>
      </c>
      <c r="AM1242">
        <v>100</v>
      </c>
      <c r="AN1242">
        <v>1400</v>
      </c>
      <c r="AO1242" t="s">
        <v>118</v>
      </c>
      <c r="AP1242">
        <v>23</v>
      </c>
      <c r="AQ1242">
        <v>96</v>
      </c>
      <c r="AR1242">
        <v>64</v>
      </c>
      <c r="AZ1242">
        <v>1200</v>
      </c>
      <c r="BA1242">
        <v>1</v>
      </c>
      <c r="BB1242" t="str">
        <f t="shared" si="588"/>
        <v xml:space="preserve">N711JA  </v>
      </c>
      <c r="BC1242">
        <v>1</v>
      </c>
      <c r="BE1242">
        <v>0</v>
      </c>
      <c r="BF1242">
        <v>0</v>
      </c>
      <c r="BG1242">
        <v>0</v>
      </c>
      <c r="BH1242">
        <v>1450</v>
      </c>
      <c r="BI1242">
        <v>1</v>
      </c>
      <c r="BJ1242">
        <v>1</v>
      </c>
      <c r="BK1242">
        <v>0</v>
      </c>
      <c r="BL1242">
        <v>0</v>
      </c>
      <c r="BO1242">
        <v>0</v>
      </c>
      <c r="BP1242">
        <v>0</v>
      </c>
      <c r="BW1242" t="str">
        <f t="shared" si="589"/>
        <v>14:43:14.384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343</v>
      </c>
      <c r="CR1242">
        <v>2</v>
      </c>
      <c r="CW1242">
        <v>13035272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584"/>
        <v>05/12/2020 14:42:56.547</v>
      </c>
      <c r="C1243" t="str">
        <f t="shared" si="585"/>
        <v>FFDFD3C0</v>
      </c>
      <c r="D1243" t="s">
        <v>113</v>
      </c>
      <c r="E1243">
        <v>3</v>
      </c>
      <c r="H1243">
        <v>164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586"/>
        <v>14:43:14.383</v>
      </c>
      <c r="T1243" t="str">
        <f t="shared" si="587"/>
        <v>14:43:14.183</v>
      </c>
      <c r="U1243" t="str">
        <f t="shared" si="575"/>
        <v>A9808D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362</v>
      </c>
      <c r="AJ1243">
        <v>28.283829999999998</v>
      </c>
      <c r="AK1243" t="s">
        <v>363</v>
      </c>
      <c r="AL1243">
        <v>-82.383835000000005</v>
      </c>
      <c r="AM1243">
        <v>100</v>
      </c>
      <c r="AN1243">
        <v>1400</v>
      </c>
      <c r="AO1243" t="s">
        <v>118</v>
      </c>
      <c r="AP1243">
        <v>23</v>
      </c>
      <c r="AQ1243">
        <v>96</v>
      </c>
      <c r="AR1243">
        <v>64</v>
      </c>
      <c r="AZ1243">
        <v>1200</v>
      </c>
      <c r="BA1243">
        <v>1</v>
      </c>
      <c r="BB1243" t="str">
        <f t="shared" si="588"/>
        <v xml:space="preserve">N711JA  </v>
      </c>
      <c r="BC1243">
        <v>1</v>
      </c>
      <c r="BE1243">
        <v>0</v>
      </c>
      <c r="BF1243">
        <v>0</v>
      </c>
      <c r="BG1243">
        <v>0</v>
      </c>
      <c r="BH1243">
        <v>1450</v>
      </c>
      <c r="BI1243">
        <v>1</v>
      </c>
      <c r="BJ1243">
        <v>1</v>
      </c>
      <c r="BK1243">
        <v>0</v>
      </c>
      <c r="BL1243">
        <v>0</v>
      </c>
      <c r="BO1243">
        <v>0</v>
      </c>
      <c r="BP1243">
        <v>0</v>
      </c>
      <c r="BW1243" t="str">
        <f t="shared" si="589"/>
        <v>14:43:14.384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343</v>
      </c>
      <c r="CR1243">
        <v>2</v>
      </c>
      <c r="CW1243">
        <v>13035272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584"/>
        <v>05/12/2020 14:42:56.547</v>
      </c>
      <c r="C1244" t="str">
        <f t="shared" si="585"/>
        <v>FFDFD3C0</v>
      </c>
      <c r="D1244" t="s">
        <v>138</v>
      </c>
      <c r="E1244">
        <v>2</v>
      </c>
      <c r="H1244">
        <v>8</v>
      </c>
      <c r="I1244" t="s">
        <v>139</v>
      </c>
      <c r="J1244" t="s">
        <v>136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586"/>
        <v>14:43:14.383</v>
      </c>
      <c r="T1244" t="str">
        <f t="shared" si="587"/>
        <v>14:43:14.183</v>
      </c>
      <c r="U1244" t="str">
        <f t="shared" si="575"/>
        <v>A9808D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362</v>
      </c>
      <c r="AJ1244">
        <v>28.283829999999998</v>
      </c>
      <c r="AK1244" t="s">
        <v>363</v>
      </c>
      <c r="AL1244">
        <v>-82.383835000000005</v>
      </c>
      <c r="AM1244">
        <v>100</v>
      </c>
      <c r="AN1244">
        <v>1400</v>
      </c>
      <c r="AO1244" t="s">
        <v>118</v>
      </c>
      <c r="AP1244">
        <v>23</v>
      </c>
      <c r="AQ1244">
        <v>96</v>
      </c>
      <c r="AR1244">
        <v>64</v>
      </c>
      <c r="AZ1244">
        <v>1200</v>
      </c>
      <c r="BA1244">
        <v>1</v>
      </c>
      <c r="BB1244" t="str">
        <f t="shared" si="588"/>
        <v xml:space="preserve">N711JA  </v>
      </c>
      <c r="BC1244">
        <v>1</v>
      </c>
      <c r="BE1244">
        <v>0</v>
      </c>
      <c r="BF1244">
        <v>0</v>
      </c>
      <c r="BG1244">
        <v>0</v>
      </c>
      <c r="BH1244">
        <v>1450</v>
      </c>
      <c r="BI1244">
        <v>1</v>
      </c>
      <c r="BJ1244">
        <v>1</v>
      </c>
      <c r="BK1244">
        <v>0</v>
      </c>
      <c r="BL1244">
        <v>0</v>
      </c>
      <c r="BO1244">
        <v>0</v>
      </c>
      <c r="BP1244">
        <v>0</v>
      </c>
      <c r="BW1244" t="str">
        <f t="shared" si="589"/>
        <v>14:43:14.384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343</v>
      </c>
      <c r="CR1244">
        <v>2</v>
      </c>
      <c r="CW1244">
        <v>13035272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584"/>
        <v>05/12/2020 14:42:56.547</v>
      </c>
      <c r="C1245" t="str">
        <f t="shared" si="585"/>
        <v>FFDFD3C0</v>
      </c>
      <c r="D1245" t="s">
        <v>138</v>
      </c>
      <c r="E1245">
        <v>3</v>
      </c>
      <c r="H1245">
        <v>9</v>
      </c>
      <c r="I1245" t="s">
        <v>140</v>
      </c>
      <c r="J1245" t="s">
        <v>136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586"/>
        <v>14:43:14.383</v>
      </c>
      <c r="T1245" t="str">
        <f t="shared" si="587"/>
        <v>14:43:14.183</v>
      </c>
      <c r="U1245" t="str">
        <f t="shared" si="575"/>
        <v>A9808D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362</v>
      </c>
      <c r="AJ1245">
        <v>28.283829999999998</v>
      </c>
      <c r="AK1245" t="s">
        <v>363</v>
      </c>
      <c r="AL1245">
        <v>-82.383835000000005</v>
      </c>
      <c r="AM1245">
        <v>100</v>
      </c>
      <c r="AN1245">
        <v>1400</v>
      </c>
      <c r="AO1245" t="s">
        <v>118</v>
      </c>
      <c r="AP1245">
        <v>23</v>
      </c>
      <c r="AQ1245">
        <v>96</v>
      </c>
      <c r="AR1245">
        <v>64</v>
      </c>
      <c r="AZ1245">
        <v>1200</v>
      </c>
      <c r="BA1245">
        <v>1</v>
      </c>
      <c r="BB1245" t="str">
        <f t="shared" si="588"/>
        <v xml:space="preserve">N711JA  </v>
      </c>
      <c r="BC1245">
        <v>1</v>
      </c>
      <c r="BE1245">
        <v>0</v>
      </c>
      <c r="BF1245">
        <v>0</v>
      </c>
      <c r="BG1245">
        <v>0</v>
      </c>
      <c r="BH1245">
        <v>1450</v>
      </c>
      <c r="BI1245">
        <v>1</v>
      </c>
      <c r="BJ1245">
        <v>1</v>
      </c>
      <c r="BK1245">
        <v>0</v>
      </c>
      <c r="BL1245">
        <v>0</v>
      </c>
      <c r="BO1245">
        <v>0</v>
      </c>
      <c r="BP1245">
        <v>0</v>
      </c>
      <c r="BW1245" t="str">
        <f t="shared" si="589"/>
        <v>14:43:14.384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343</v>
      </c>
      <c r="CR1245">
        <v>2</v>
      </c>
      <c r="CW1245">
        <v>13035272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584"/>
        <v>05/12/2020 14:42:56.547</v>
      </c>
      <c r="C1246" t="str">
        <f t="shared" si="585"/>
        <v>FFDFD3C0</v>
      </c>
      <c r="D1246" t="s">
        <v>126</v>
      </c>
      <c r="E1246">
        <v>6</v>
      </c>
      <c r="F1246">
        <v>1006</v>
      </c>
      <c r="G1246" t="s">
        <v>114</v>
      </c>
      <c r="J1246" t="s">
        <v>128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586"/>
        <v>14:43:14.383</v>
      </c>
      <c r="T1246" t="str">
        <f t="shared" si="587"/>
        <v>14:43:14.183</v>
      </c>
      <c r="U1246" t="str">
        <f t="shared" si="575"/>
        <v>A9808D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362</v>
      </c>
      <c r="AJ1246">
        <v>28.283829999999998</v>
      </c>
      <c r="AK1246" t="s">
        <v>363</v>
      </c>
      <c r="AL1246">
        <v>-82.383835000000005</v>
      </c>
      <c r="AM1246">
        <v>100</v>
      </c>
      <c r="AN1246">
        <v>1400</v>
      </c>
      <c r="AO1246" t="s">
        <v>118</v>
      </c>
      <c r="AP1246">
        <v>23</v>
      </c>
      <c r="AQ1246">
        <v>96</v>
      </c>
      <c r="AR1246">
        <v>64</v>
      </c>
      <c r="AZ1246">
        <v>1200</v>
      </c>
      <c r="BA1246">
        <v>1</v>
      </c>
      <c r="BB1246" t="str">
        <f t="shared" si="588"/>
        <v xml:space="preserve">N711JA  </v>
      </c>
      <c r="BC1246">
        <v>1</v>
      </c>
      <c r="BE1246">
        <v>0</v>
      </c>
      <c r="BF1246">
        <v>0</v>
      </c>
      <c r="BG1246">
        <v>0</v>
      </c>
      <c r="BH1246">
        <v>1450</v>
      </c>
      <c r="BI1246">
        <v>1</v>
      </c>
      <c r="BJ1246">
        <v>1</v>
      </c>
      <c r="BK1246">
        <v>0</v>
      </c>
      <c r="BL1246">
        <v>0</v>
      </c>
      <c r="BO1246">
        <v>0</v>
      </c>
      <c r="BP1246">
        <v>0</v>
      </c>
      <c r="BW1246" t="str">
        <f t="shared" si="589"/>
        <v>14:43:14.384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343</v>
      </c>
      <c r="CR1246">
        <v>2</v>
      </c>
      <c r="CW1246">
        <v>13035272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ref="A1247:A1255" si="590">"05/12/2020 14:42:57.459"</f>
        <v>05/12/2020 14:42:57.459</v>
      </c>
      <c r="C1247" t="str">
        <f t="shared" si="585"/>
        <v>FFDFD3C0</v>
      </c>
      <c r="D1247" t="s">
        <v>134</v>
      </c>
      <c r="E1247">
        <v>12</v>
      </c>
      <c r="H1247">
        <v>64</v>
      </c>
      <c r="I1247" t="s">
        <v>135</v>
      </c>
      <c r="J1247" t="s">
        <v>136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ref="S1247:S1255" si="591">"14:43:15.273"</f>
        <v>14:43:15.273</v>
      </c>
      <c r="T1247" t="str">
        <f t="shared" ref="T1247:T1255" si="592">"14:43:15.173"</f>
        <v>14:43:15.173</v>
      </c>
      <c r="U1247" t="str">
        <f t="shared" si="575"/>
        <v>A9808D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364</v>
      </c>
      <c r="AJ1247">
        <v>28.284258999999999</v>
      </c>
      <c r="AK1247" t="s">
        <v>365</v>
      </c>
      <c r="AL1247">
        <v>-82.383685</v>
      </c>
      <c r="AM1247">
        <v>100</v>
      </c>
      <c r="AN1247">
        <v>1400</v>
      </c>
      <c r="AO1247" t="s">
        <v>118</v>
      </c>
      <c r="AP1247">
        <v>33</v>
      </c>
      <c r="AQ1247">
        <v>92</v>
      </c>
      <c r="AR1247">
        <v>320</v>
      </c>
      <c r="AZ1247">
        <v>1200</v>
      </c>
      <c r="BA1247">
        <v>1</v>
      </c>
      <c r="BB1247" t="str">
        <f t="shared" si="588"/>
        <v xml:space="preserve">N711JA  </v>
      </c>
      <c r="BC1247">
        <v>1</v>
      </c>
      <c r="BE1247">
        <v>0</v>
      </c>
      <c r="BF1247">
        <v>0</v>
      </c>
      <c r="BG1247">
        <v>0</v>
      </c>
      <c r="BH1247">
        <v>1450</v>
      </c>
      <c r="BI1247">
        <v>1</v>
      </c>
      <c r="BJ1247">
        <v>1</v>
      </c>
      <c r="BK1247">
        <v>0</v>
      </c>
      <c r="BL1247">
        <v>0</v>
      </c>
      <c r="BO1247">
        <v>0</v>
      </c>
      <c r="BP1247">
        <v>0</v>
      </c>
      <c r="BW1247" t="str">
        <f t="shared" ref="BW1247:BW1255" si="593">"14:43:15.280"</f>
        <v>14:43:15.280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343</v>
      </c>
      <c r="CR1247">
        <v>1</v>
      </c>
      <c r="CW1247">
        <v>10647056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590"/>
        <v>05/12/2020 14:42:57.459</v>
      </c>
      <c r="C1248" t="str">
        <f t="shared" si="585"/>
        <v>FFDFD3C0</v>
      </c>
      <c r="D1248" t="s">
        <v>131</v>
      </c>
      <c r="E1248">
        <v>10</v>
      </c>
      <c r="F1248">
        <v>2010</v>
      </c>
      <c r="G1248" t="s">
        <v>132</v>
      </c>
      <c r="J1248" t="s">
        <v>133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591"/>
        <v>14:43:15.273</v>
      </c>
      <c r="T1248" t="str">
        <f t="shared" si="592"/>
        <v>14:43:15.173</v>
      </c>
      <c r="U1248" t="str">
        <f t="shared" si="575"/>
        <v>A9808D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364</v>
      </c>
      <c r="AJ1248">
        <v>28.284258999999999</v>
      </c>
      <c r="AK1248" t="s">
        <v>365</v>
      </c>
      <c r="AL1248">
        <v>-82.383685</v>
      </c>
      <c r="AM1248">
        <v>100</v>
      </c>
      <c r="AN1248">
        <v>1400</v>
      </c>
      <c r="AO1248" t="s">
        <v>118</v>
      </c>
      <c r="AP1248">
        <v>33</v>
      </c>
      <c r="AQ1248">
        <v>92</v>
      </c>
      <c r="AR1248">
        <v>320</v>
      </c>
      <c r="AZ1248">
        <v>1200</v>
      </c>
      <c r="BA1248">
        <v>1</v>
      </c>
      <c r="BB1248" t="str">
        <f t="shared" si="588"/>
        <v xml:space="preserve">N711JA  </v>
      </c>
      <c r="BC1248">
        <v>1</v>
      </c>
      <c r="BE1248">
        <v>0</v>
      </c>
      <c r="BF1248">
        <v>0</v>
      </c>
      <c r="BG1248">
        <v>0</v>
      </c>
      <c r="BH1248">
        <v>1450</v>
      </c>
      <c r="BI1248">
        <v>1</v>
      </c>
      <c r="BJ1248">
        <v>1</v>
      </c>
      <c r="BK1248">
        <v>0</v>
      </c>
      <c r="BL1248">
        <v>0</v>
      </c>
      <c r="BO1248">
        <v>0</v>
      </c>
      <c r="BP1248">
        <v>0</v>
      </c>
      <c r="BW1248" t="str">
        <f t="shared" si="593"/>
        <v>14:43:15.280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343</v>
      </c>
      <c r="CR1248">
        <v>1</v>
      </c>
      <c r="CW1248">
        <v>10647056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590"/>
        <v>05/12/2020 14:42:57.459</v>
      </c>
      <c r="C1249" t="str">
        <f t="shared" si="585"/>
        <v>FFDFD3C0</v>
      </c>
      <c r="D1249" t="s">
        <v>131</v>
      </c>
      <c r="E1249">
        <v>12</v>
      </c>
      <c r="F1249">
        <v>2012</v>
      </c>
      <c r="G1249" t="s">
        <v>137</v>
      </c>
      <c r="J1249" t="s">
        <v>133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591"/>
        <v>14:43:15.273</v>
      </c>
      <c r="T1249" t="str">
        <f t="shared" si="592"/>
        <v>14:43:15.173</v>
      </c>
      <c r="U1249" t="str">
        <f t="shared" si="575"/>
        <v>A9808D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364</v>
      </c>
      <c r="AJ1249">
        <v>28.284258999999999</v>
      </c>
      <c r="AK1249" t="s">
        <v>365</v>
      </c>
      <c r="AL1249">
        <v>-82.383685</v>
      </c>
      <c r="AM1249">
        <v>100</v>
      </c>
      <c r="AN1249">
        <v>1400</v>
      </c>
      <c r="AO1249" t="s">
        <v>118</v>
      </c>
      <c r="AP1249">
        <v>33</v>
      </c>
      <c r="AQ1249">
        <v>92</v>
      </c>
      <c r="AR1249">
        <v>320</v>
      </c>
      <c r="AZ1249">
        <v>1200</v>
      </c>
      <c r="BA1249">
        <v>1</v>
      </c>
      <c r="BB1249" t="str">
        <f t="shared" si="588"/>
        <v xml:space="preserve">N711JA  </v>
      </c>
      <c r="BC1249">
        <v>1</v>
      </c>
      <c r="BE1249">
        <v>0</v>
      </c>
      <c r="BF1249">
        <v>0</v>
      </c>
      <c r="BG1249">
        <v>0</v>
      </c>
      <c r="BH1249">
        <v>1450</v>
      </c>
      <c r="BI1249">
        <v>1</v>
      </c>
      <c r="BJ1249">
        <v>1</v>
      </c>
      <c r="BK1249">
        <v>0</v>
      </c>
      <c r="BL1249">
        <v>0</v>
      </c>
      <c r="BO1249">
        <v>0</v>
      </c>
      <c r="BP1249">
        <v>0</v>
      </c>
      <c r="BW1249" t="str">
        <f t="shared" si="593"/>
        <v>14:43:15.280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343</v>
      </c>
      <c r="CR1249">
        <v>1</v>
      </c>
      <c r="CW1249">
        <v>10647056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si="590"/>
        <v>05/12/2020 14:42:57.459</v>
      </c>
      <c r="C1250" t="str">
        <f t="shared" si="585"/>
        <v>FFDFD3C0</v>
      </c>
      <c r="D1250" t="s">
        <v>126</v>
      </c>
      <c r="E1250">
        <v>7</v>
      </c>
      <c r="F1250">
        <v>1007</v>
      </c>
      <c r="G1250" t="s">
        <v>127</v>
      </c>
      <c r="J1250" t="s">
        <v>128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591"/>
        <v>14:43:15.273</v>
      </c>
      <c r="T1250" t="str">
        <f t="shared" si="592"/>
        <v>14:43:15.173</v>
      </c>
      <c r="U1250" t="str">
        <f t="shared" si="575"/>
        <v>A9808D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0</v>
      </c>
      <c r="AI1250" t="s">
        <v>364</v>
      </c>
      <c r="AJ1250">
        <v>28.284258999999999</v>
      </c>
      <c r="AK1250" t="s">
        <v>365</v>
      </c>
      <c r="AL1250">
        <v>-82.383685</v>
      </c>
      <c r="AM1250">
        <v>100</v>
      </c>
      <c r="AN1250">
        <v>1400</v>
      </c>
      <c r="AO1250" t="s">
        <v>118</v>
      </c>
      <c r="AP1250">
        <v>33</v>
      </c>
      <c r="AQ1250">
        <v>92</v>
      </c>
      <c r="AR1250">
        <v>320</v>
      </c>
      <c r="AZ1250">
        <v>1200</v>
      </c>
      <c r="BA1250">
        <v>1</v>
      </c>
      <c r="BB1250" t="str">
        <f t="shared" si="588"/>
        <v xml:space="preserve">N711JA  </v>
      </c>
      <c r="BC1250">
        <v>1</v>
      </c>
      <c r="BE1250">
        <v>0</v>
      </c>
      <c r="BF1250">
        <v>0</v>
      </c>
      <c r="BG1250">
        <v>0</v>
      </c>
      <c r="BH1250">
        <v>1450</v>
      </c>
      <c r="BI1250">
        <v>1</v>
      </c>
      <c r="BJ1250">
        <v>1</v>
      </c>
      <c r="BK1250">
        <v>0</v>
      </c>
      <c r="BL1250">
        <v>0</v>
      </c>
      <c r="BO1250">
        <v>0</v>
      </c>
      <c r="BP1250">
        <v>0</v>
      </c>
      <c r="BW1250" t="str">
        <f t="shared" si="593"/>
        <v>14:43:15.280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343</v>
      </c>
      <c r="CR1250">
        <v>1</v>
      </c>
      <c r="CW1250">
        <v>10647056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590"/>
        <v>05/12/2020 14:42:57.459</v>
      </c>
      <c r="C1251" t="str">
        <f t="shared" si="585"/>
        <v>FFDFD3C0</v>
      </c>
      <c r="D1251" t="s">
        <v>131</v>
      </c>
      <c r="E1251">
        <v>18</v>
      </c>
      <c r="F1251">
        <v>2018</v>
      </c>
      <c r="G1251" t="s">
        <v>161</v>
      </c>
      <c r="J1251" t="s">
        <v>133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591"/>
        <v>14:43:15.273</v>
      </c>
      <c r="T1251" t="str">
        <f t="shared" si="592"/>
        <v>14:43:15.173</v>
      </c>
      <c r="U1251" t="str">
        <f t="shared" si="575"/>
        <v>A9808D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0</v>
      </c>
      <c r="AI1251" t="s">
        <v>364</v>
      </c>
      <c r="AJ1251">
        <v>28.284258999999999</v>
      </c>
      <c r="AK1251" t="s">
        <v>365</v>
      </c>
      <c r="AL1251">
        <v>-82.383685</v>
      </c>
      <c r="AM1251">
        <v>100</v>
      </c>
      <c r="AN1251">
        <v>1400</v>
      </c>
      <c r="AO1251" t="s">
        <v>118</v>
      </c>
      <c r="AP1251">
        <v>33</v>
      </c>
      <c r="AQ1251">
        <v>92</v>
      </c>
      <c r="AR1251">
        <v>320</v>
      </c>
      <c r="AZ1251">
        <v>1200</v>
      </c>
      <c r="BA1251">
        <v>1</v>
      </c>
      <c r="BB1251" t="str">
        <f t="shared" si="588"/>
        <v xml:space="preserve">N711JA  </v>
      </c>
      <c r="BC1251">
        <v>1</v>
      </c>
      <c r="BE1251">
        <v>0</v>
      </c>
      <c r="BF1251">
        <v>0</v>
      </c>
      <c r="BG1251">
        <v>0</v>
      </c>
      <c r="BH1251">
        <v>1450</v>
      </c>
      <c r="BI1251">
        <v>1</v>
      </c>
      <c r="BJ1251">
        <v>1</v>
      </c>
      <c r="BK1251">
        <v>0</v>
      </c>
      <c r="BL1251">
        <v>0</v>
      </c>
      <c r="BO1251">
        <v>0</v>
      </c>
      <c r="BP1251">
        <v>0</v>
      </c>
      <c r="BW1251" t="str">
        <f t="shared" si="593"/>
        <v>14:43:15.280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343</v>
      </c>
      <c r="CR1251">
        <v>1</v>
      </c>
      <c r="CW1251">
        <v>10647056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590"/>
        <v>05/12/2020 14:42:57.459</v>
      </c>
      <c r="C1252" t="str">
        <f t="shared" si="585"/>
        <v>FFDFD3C0</v>
      </c>
      <c r="D1252" t="s">
        <v>113</v>
      </c>
      <c r="E1252">
        <v>3</v>
      </c>
      <c r="H1252">
        <v>164</v>
      </c>
      <c r="I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591"/>
        <v>14:43:15.273</v>
      </c>
      <c r="T1252" t="str">
        <f t="shared" si="592"/>
        <v>14:43:15.173</v>
      </c>
      <c r="U1252" t="str">
        <f t="shared" si="575"/>
        <v>A9808D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0</v>
      </c>
      <c r="AI1252" t="s">
        <v>364</v>
      </c>
      <c r="AJ1252">
        <v>28.284258999999999</v>
      </c>
      <c r="AK1252" t="s">
        <v>365</v>
      </c>
      <c r="AL1252">
        <v>-82.383685</v>
      </c>
      <c r="AM1252">
        <v>100</v>
      </c>
      <c r="AN1252">
        <v>1400</v>
      </c>
      <c r="AO1252" t="s">
        <v>118</v>
      </c>
      <c r="AP1252">
        <v>33</v>
      </c>
      <c r="AQ1252">
        <v>92</v>
      </c>
      <c r="AR1252">
        <v>320</v>
      </c>
      <c r="AZ1252">
        <v>1200</v>
      </c>
      <c r="BA1252">
        <v>1</v>
      </c>
      <c r="BB1252" t="str">
        <f t="shared" si="588"/>
        <v xml:space="preserve">N711JA  </v>
      </c>
      <c r="BC1252">
        <v>1</v>
      </c>
      <c r="BE1252">
        <v>0</v>
      </c>
      <c r="BF1252">
        <v>0</v>
      </c>
      <c r="BG1252">
        <v>0</v>
      </c>
      <c r="BH1252">
        <v>1450</v>
      </c>
      <c r="BI1252">
        <v>1</v>
      </c>
      <c r="BJ1252">
        <v>1</v>
      </c>
      <c r="BK1252">
        <v>0</v>
      </c>
      <c r="BL1252">
        <v>0</v>
      </c>
      <c r="BO1252">
        <v>0</v>
      </c>
      <c r="BP1252">
        <v>0</v>
      </c>
      <c r="BW1252" t="str">
        <f t="shared" si="593"/>
        <v>14:43:15.280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343</v>
      </c>
      <c r="CR1252">
        <v>1</v>
      </c>
      <c r="CW1252">
        <v>10647056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si="590"/>
        <v>05/12/2020 14:42:57.459</v>
      </c>
      <c r="C1253" t="str">
        <f t="shared" si="585"/>
        <v>FFDFD3C0</v>
      </c>
      <c r="D1253" t="s">
        <v>138</v>
      </c>
      <c r="E1253">
        <v>2</v>
      </c>
      <c r="H1253">
        <v>8</v>
      </c>
      <c r="I1253" t="s">
        <v>139</v>
      </c>
      <c r="J1253" t="s">
        <v>136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591"/>
        <v>14:43:15.273</v>
      </c>
      <c r="T1253" t="str">
        <f t="shared" si="592"/>
        <v>14:43:15.173</v>
      </c>
      <c r="U1253" t="str">
        <f t="shared" si="575"/>
        <v>A9808D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0</v>
      </c>
      <c r="AI1253" t="s">
        <v>364</v>
      </c>
      <c r="AJ1253">
        <v>28.284258999999999</v>
      </c>
      <c r="AK1253" t="s">
        <v>365</v>
      </c>
      <c r="AL1253">
        <v>-82.383685</v>
      </c>
      <c r="AM1253">
        <v>100</v>
      </c>
      <c r="AN1253">
        <v>1400</v>
      </c>
      <c r="AO1253" t="s">
        <v>118</v>
      </c>
      <c r="AP1253">
        <v>33</v>
      </c>
      <c r="AQ1253">
        <v>92</v>
      </c>
      <c r="AR1253">
        <v>320</v>
      </c>
      <c r="AZ1253">
        <v>1200</v>
      </c>
      <c r="BA1253">
        <v>1</v>
      </c>
      <c r="BB1253" t="str">
        <f t="shared" si="588"/>
        <v xml:space="preserve">N711JA  </v>
      </c>
      <c r="BC1253">
        <v>1</v>
      </c>
      <c r="BE1253">
        <v>0</v>
      </c>
      <c r="BF1253">
        <v>0</v>
      </c>
      <c r="BG1253">
        <v>0</v>
      </c>
      <c r="BH1253">
        <v>1450</v>
      </c>
      <c r="BI1253">
        <v>1</v>
      </c>
      <c r="BJ1253">
        <v>1</v>
      </c>
      <c r="BK1253">
        <v>0</v>
      </c>
      <c r="BL1253">
        <v>0</v>
      </c>
      <c r="BO1253">
        <v>0</v>
      </c>
      <c r="BP1253">
        <v>0</v>
      </c>
      <c r="BW1253" t="str">
        <f t="shared" si="593"/>
        <v>14:43:15.280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343</v>
      </c>
      <c r="CR1253">
        <v>1</v>
      </c>
      <c r="CW1253">
        <v>10647056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590"/>
        <v>05/12/2020 14:42:57.459</v>
      </c>
      <c r="C1254" t="str">
        <f t="shared" si="585"/>
        <v>FFDFD3C0</v>
      </c>
      <c r="D1254" t="s">
        <v>126</v>
      </c>
      <c r="E1254">
        <v>6</v>
      </c>
      <c r="F1254">
        <v>1006</v>
      </c>
      <c r="G1254" t="s">
        <v>114</v>
      </c>
      <c r="J1254" t="s">
        <v>128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591"/>
        <v>14:43:15.273</v>
      </c>
      <c r="T1254" t="str">
        <f t="shared" si="592"/>
        <v>14:43:15.173</v>
      </c>
      <c r="U1254" t="str">
        <f t="shared" si="575"/>
        <v>A9808D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0</v>
      </c>
      <c r="AI1254" t="s">
        <v>364</v>
      </c>
      <c r="AJ1254">
        <v>28.284258999999999</v>
      </c>
      <c r="AK1254" t="s">
        <v>365</v>
      </c>
      <c r="AL1254">
        <v>-82.383685</v>
      </c>
      <c r="AM1254">
        <v>100</v>
      </c>
      <c r="AN1254">
        <v>1400</v>
      </c>
      <c r="AO1254" t="s">
        <v>118</v>
      </c>
      <c r="AP1254">
        <v>33</v>
      </c>
      <c r="AQ1254">
        <v>92</v>
      </c>
      <c r="AR1254">
        <v>320</v>
      </c>
      <c r="AZ1254">
        <v>1200</v>
      </c>
      <c r="BA1254">
        <v>1</v>
      </c>
      <c r="BB1254" t="str">
        <f t="shared" si="588"/>
        <v xml:space="preserve">N711JA  </v>
      </c>
      <c r="BC1254">
        <v>1</v>
      </c>
      <c r="BE1254">
        <v>0</v>
      </c>
      <c r="BF1254">
        <v>0</v>
      </c>
      <c r="BG1254">
        <v>0</v>
      </c>
      <c r="BH1254">
        <v>1450</v>
      </c>
      <c r="BI1254">
        <v>1</v>
      </c>
      <c r="BJ1254">
        <v>1</v>
      </c>
      <c r="BK1254">
        <v>0</v>
      </c>
      <c r="BL1254">
        <v>0</v>
      </c>
      <c r="BO1254">
        <v>0</v>
      </c>
      <c r="BP1254">
        <v>0</v>
      </c>
      <c r="BW1254" t="str">
        <f t="shared" si="593"/>
        <v>14:43:15.280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343</v>
      </c>
      <c r="CR1254">
        <v>1</v>
      </c>
      <c r="CW1254">
        <v>10647056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590"/>
        <v>05/12/2020 14:42:57.459</v>
      </c>
      <c r="C1255" t="str">
        <f t="shared" si="585"/>
        <v>FFDFD3C0</v>
      </c>
      <c r="D1255" t="s">
        <v>138</v>
      </c>
      <c r="E1255">
        <v>3</v>
      </c>
      <c r="H1255">
        <v>9</v>
      </c>
      <c r="I1255" t="s">
        <v>140</v>
      </c>
      <c r="J1255" t="s">
        <v>136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591"/>
        <v>14:43:15.273</v>
      </c>
      <c r="T1255" t="str">
        <f t="shared" si="592"/>
        <v>14:43:15.173</v>
      </c>
      <c r="U1255" t="str">
        <f t="shared" si="575"/>
        <v>A9808D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0</v>
      </c>
      <c r="AI1255" t="s">
        <v>364</v>
      </c>
      <c r="AJ1255">
        <v>28.284258999999999</v>
      </c>
      <c r="AK1255" t="s">
        <v>365</v>
      </c>
      <c r="AL1255">
        <v>-82.383685</v>
      </c>
      <c r="AM1255">
        <v>100</v>
      </c>
      <c r="AN1255">
        <v>1400</v>
      </c>
      <c r="AO1255" t="s">
        <v>118</v>
      </c>
      <c r="AP1255">
        <v>33</v>
      </c>
      <c r="AQ1255">
        <v>92</v>
      </c>
      <c r="AR1255">
        <v>320</v>
      </c>
      <c r="AZ1255">
        <v>1200</v>
      </c>
      <c r="BA1255">
        <v>1</v>
      </c>
      <c r="BB1255" t="str">
        <f t="shared" si="588"/>
        <v xml:space="preserve">N711JA  </v>
      </c>
      <c r="BC1255">
        <v>1</v>
      </c>
      <c r="BE1255">
        <v>0</v>
      </c>
      <c r="BF1255">
        <v>0</v>
      </c>
      <c r="BG1255">
        <v>0</v>
      </c>
      <c r="BH1255">
        <v>1450</v>
      </c>
      <c r="BI1255">
        <v>1</v>
      </c>
      <c r="BJ1255">
        <v>1</v>
      </c>
      <c r="BK1255">
        <v>0</v>
      </c>
      <c r="BL1255">
        <v>0</v>
      </c>
      <c r="BO1255">
        <v>0</v>
      </c>
      <c r="BP1255">
        <v>0</v>
      </c>
      <c r="BW1255" t="str">
        <f t="shared" si="593"/>
        <v>14:43:15.280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343</v>
      </c>
      <c r="CR1255">
        <v>1</v>
      </c>
      <c r="CW1255">
        <v>10647056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ref="A1256:A1264" si="594">"05/12/2020 14:42:58.471"</f>
        <v>05/12/2020 14:42:58.471</v>
      </c>
      <c r="C1256" t="str">
        <f t="shared" si="585"/>
        <v>FFDFD3C0</v>
      </c>
      <c r="D1256" t="s">
        <v>134</v>
      </c>
      <c r="E1256">
        <v>12</v>
      </c>
      <c r="H1256">
        <v>64</v>
      </c>
      <c r="I1256" t="s">
        <v>135</v>
      </c>
      <c r="J1256" t="s">
        <v>136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ref="S1256:S1264" si="595">"14:43:16.289"</f>
        <v>14:43:16.289</v>
      </c>
      <c r="T1256" t="str">
        <f t="shared" ref="T1256:T1264" si="596">"14:43:16.189"</f>
        <v>14:43:16.189</v>
      </c>
      <c r="U1256" t="str">
        <f t="shared" si="575"/>
        <v>A9808D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0</v>
      </c>
      <c r="AI1256" t="s">
        <v>366</v>
      </c>
      <c r="AJ1256">
        <v>28.284624000000001</v>
      </c>
      <c r="AK1256" t="s">
        <v>349</v>
      </c>
      <c r="AL1256">
        <v>-82.383471</v>
      </c>
      <c r="AM1256">
        <v>100</v>
      </c>
      <c r="AN1256">
        <v>1400</v>
      </c>
      <c r="AO1256" t="s">
        <v>118</v>
      </c>
      <c r="AP1256">
        <v>41</v>
      </c>
      <c r="AQ1256">
        <v>87</v>
      </c>
      <c r="AR1256">
        <v>640</v>
      </c>
      <c r="AZ1256">
        <v>1200</v>
      </c>
      <c r="BA1256">
        <v>1</v>
      </c>
      <c r="BB1256" t="str">
        <f t="shared" si="588"/>
        <v xml:space="preserve">N711JA  </v>
      </c>
      <c r="BC1256">
        <v>1</v>
      </c>
      <c r="BE1256">
        <v>0</v>
      </c>
      <c r="BF1256">
        <v>0</v>
      </c>
      <c r="BG1256">
        <v>0</v>
      </c>
      <c r="BH1256">
        <v>1450</v>
      </c>
      <c r="BI1256">
        <v>1</v>
      </c>
      <c r="BJ1256">
        <v>1</v>
      </c>
      <c r="BK1256">
        <v>0</v>
      </c>
      <c r="BL1256">
        <v>0</v>
      </c>
      <c r="BO1256">
        <v>0</v>
      </c>
      <c r="BP1256">
        <v>0</v>
      </c>
      <c r="BW1256" t="str">
        <f t="shared" ref="BW1256:BW1264" si="597">"14:43:16.296"</f>
        <v>14:43:16.296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343</v>
      </c>
      <c r="CR1256">
        <v>1</v>
      </c>
      <c r="CW1256">
        <v>10648085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594"/>
        <v>05/12/2020 14:42:58.471</v>
      </c>
      <c r="C1257" t="str">
        <f t="shared" si="585"/>
        <v>FFDFD3C0</v>
      </c>
      <c r="D1257" t="s">
        <v>113</v>
      </c>
      <c r="E1257">
        <v>3</v>
      </c>
      <c r="H1257">
        <v>164</v>
      </c>
      <c r="I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595"/>
        <v>14:43:16.289</v>
      </c>
      <c r="T1257" t="str">
        <f t="shared" si="596"/>
        <v>14:43:16.189</v>
      </c>
      <c r="U1257" t="str">
        <f t="shared" si="575"/>
        <v>A9808D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0</v>
      </c>
      <c r="AI1257" t="s">
        <v>366</v>
      </c>
      <c r="AJ1257">
        <v>28.284624000000001</v>
      </c>
      <c r="AK1257" t="s">
        <v>349</v>
      </c>
      <c r="AL1257">
        <v>-82.383471</v>
      </c>
      <c r="AM1257">
        <v>100</v>
      </c>
      <c r="AN1257">
        <v>1400</v>
      </c>
      <c r="AO1257" t="s">
        <v>118</v>
      </c>
      <c r="AP1257">
        <v>41</v>
      </c>
      <c r="AQ1257">
        <v>87</v>
      </c>
      <c r="AR1257">
        <v>640</v>
      </c>
      <c r="AZ1257">
        <v>1200</v>
      </c>
      <c r="BA1257">
        <v>1</v>
      </c>
      <c r="BB1257" t="str">
        <f t="shared" si="588"/>
        <v xml:space="preserve">N711JA  </v>
      </c>
      <c r="BC1257">
        <v>1</v>
      </c>
      <c r="BE1257">
        <v>0</v>
      </c>
      <c r="BF1257">
        <v>0</v>
      </c>
      <c r="BG1257">
        <v>0</v>
      </c>
      <c r="BH1257">
        <v>1450</v>
      </c>
      <c r="BI1257">
        <v>1</v>
      </c>
      <c r="BJ1257">
        <v>1</v>
      </c>
      <c r="BK1257">
        <v>0</v>
      </c>
      <c r="BL1257">
        <v>0</v>
      </c>
      <c r="BO1257">
        <v>0</v>
      </c>
      <c r="BP1257">
        <v>0</v>
      </c>
      <c r="BW1257" t="str">
        <f t="shared" si="597"/>
        <v>14:43:16.296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343</v>
      </c>
      <c r="CR1257">
        <v>1</v>
      </c>
      <c r="CW1257">
        <v>10648085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594"/>
        <v>05/12/2020 14:42:58.471</v>
      </c>
      <c r="C1258" t="str">
        <f t="shared" si="585"/>
        <v>FFDFD3C0</v>
      </c>
      <c r="D1258" t="s">
        <v>138</v>
      </c>
      <c r="E1258">
        <v>2</v>
      </c>
      <c r="H1258">
        <v>8</v>
      </c>
      <c r="I1258" t="s">
        <v>139</v>
      </c>
      <c r="J1258" t="s">
        <v>136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595"/>
        <v>14:43:16.289</v>
      </c>
      <c r="T1258" t="str">
        <f t="shared" si="596"/>
        <v>14:43:16.189</v>
      </c>
      <c r="U1258" t="str">
        <f t="shared" si="575"/>
        <v>A9808D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366</v>
      </c>
      <c r="AJ1258">
        <v>28.284624000000001</v>
      </c>
      <c r="AK1258" t="s">
        <v>349</v>
      </c>
      <c r="AL1258">
        <v>-82.383471</v>
      </c>
      <c r="AM1258">
        <v>100</v>
      </c>
      <c r="AN1258">
        <v>1400</v>
      </c>
      <c r="AO1258" t="s">
        <v>118</v>
      </c>
      <c r="AP1258">
        <v>41</v>
      </c>
      <c r="AQ1258">
        <v>87</v>
      </c>
      <c r="AR1258">
        <v>640</v>
      </c>
      <c r="AZ1258">
        <v>1200</v>
      </c>
      <c r="BA1258">
        <v>1</v>
      </c>
      <c r="BB1258" t="str">
        <f t="shared" si="588"/>
        <v xml:space="preserve">N711JA  </v>
      </c>
      <c r="BC1258">
        <v>1</v>
      </c>
      <c r="BE1258">
        <v>0</v>
      </c>
      <c r="BF1258">
        <v>0</v>
      </c>
      <c r="BG1258">
        <v>0</v>
      </c>
      <c r="BH1258">
        <v>1450</v>
      </c>
      <c r="BI1258">
        <v>1</v>
      </c>
      <c r="BJ1258">
        <v>1</v>
      </c>
      <c r="BK1258">
        <v>0</v>
      </c>
      <c r="BL1258">
        <v>0</v>
      </c>
      <c r="BO1258">
        <v>0</v>
      </c>
      <c r="BP1258">
        <v>0</v>
      </c>
      <c r="BW1258" t="str">
        <f t="shared" si="597"/>
        <v>14:43:16.296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343</v>
      </c>
      <c r="CR1258">
        <v>1</v>
      </c>
      <c r="CW1258">
        <v>10648085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 t="shared" si="594"/>
        <v>05/12/2020 14:42:58.471</v>
      </c>
      <c r="C1259" t="str">
        <f t="shared" si="585"/>
        <v>FFDFD3C0</v>
      </c>
      <c r="D1259" t="s">
        <v>126</v>
      </c>
      <c r="E1259">
        <v>6</v>
      </c>
      <c r="F1259">
        <v>1006</v>
      </c>
      <c r="G1259" t="s">
        <v>114</v>
      </c>
      <c r="J1259" t="s">
        <v>128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595"/>
        <v>14:43:16.289</v>
      </c>
      <c r="T1259" t="str">
        <f t="shared" si="596"/>
        <v>14:43:16.189</v>
      </c>
      <c r="U1259" t="str">
        <f t="shared" si="575"/>
        <v>A9808D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366</v>
      </c>
      <c r="AJ1259">
        <v>28.284624000000001</v>
      </c>
      <c r="AK1259" t="s">
        <v>349</v>
      </c>
      <c r="AL1259">
        <v>-82.383471</v>
      </c>
      <c r="AM1259">
        <v>100</v>
      </c>
      <c r="AN1259">
        <v>1400</v>
      </c>
      <c r="AO1259" t="s">
        <v>118</v>
      </c>
      <c r="AP1259">
        <v>41</v>
      </c>
      <c r="AQ1259">
        <v>87</v>
      </c>
      <c r="AR1259">
        <v>640</v>
      </c>
      <c r="AZ1259">
        <v>1200</v>
      </c>
      <c r="BA1259">
        <v>1</v>
      </c>
      <c r="BB1259" t="str">
        <f t="shared" si="588"/>
        <v xml:space="preserve">N711JA  </v>
      </c>
      <c r="BC1259">
        <v>1</v>
      </c>
      <c r="BE1259">
        <v>0</v>
      </c>
      <c r="BF1259">
        <v>0</v>
      </c>
      <c r="BG1259">
        <v>0</v>
      </c>
      <c r="BH1259">
        <v>1450</v>
      </c>
      <c r="BI1259">
        <v>1</v>
      </c>
      <c r="BJ1259">
        <v>1</v>
      </c>
      <c r="BK1259">
        <v>0</v>
      </c>
      <c r="BL1259">
        <v>0</v>
      </c>
      <c r="BO1259">
        <v>0</v>
      </c>
      <c r="BP1259">
        <v>0</v>
      </c>
      <c r="BW1259" t="str">
        <f t="shared" si="597"/>
        <v>14:43:16.296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343</v>
      </c>
      <c r="CR1259">
        <v>1</v>
      </c>
      <c r="CW1259">
        <v>10648085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 t="shared" si="594"/>
        <v>05/12/2020 14:42:58.471</v>
      </c>
      <c r="C1260" t="str">
        <f t="shared" si="585"/>
        <v>FFDFD3C0</v>
      </c>
      <c r="D1260" t="s">
        <v>138</v>
      </c>
      <c r="E1260">
        <v>3</v>
      </c>
      <c r="H1260">
        <v>9</v>
      </c>
      <c r="I1260" t="s">
        <v>140</v>
      </c>
      <c r="J1260" t="s">
        <v>136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595"/>
        <v>14:43:16.289</v>
      </c>
      <c r="T1260" t="str">
        <f t="shared" si="596"/>
        <v>14:43:16.189</v>
      </c>
      <c r="U1260" t="str">
        <f t="shared" si="575"/>
        <v>A9808D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366</v>
      </c>
      <c r="AJ1260">
        <v>28.284624000000001</v>
      </c>
      <c r="AK1260" t="s">
        <v>349</v>
      </c>
      <c r="AL1260">
        <v>-82.383471</v>
      </c>
      <c r="AM1260">
        <v>100</v>
      </c>
      <c r="AN1260">
        <v>1400</v>
      </c>
      <c r="AO1260" t="s">
        <v>118</v>
      </c>
      <c r="AP1260">
        <v>41</v>
      </c>
      <c r="AQ1260">
        <v>87</v>
      </c>
      <c r="AR1260">
        <v>640</v>
      </c>
      <c r="AZ1260">
        <v>1200</v>
      </c>
      <c r="BA1260">
        <v>1</v>
      </c>
      <c r="BB1260" t="str">
        <f t="shared" si="588"/>
        <v xml:space="preserve">N711JA  </v>
      </c>
      <c r="BC1260">
        <v>1</v>
      </c>
      <c r="BE1260">
        <v>0</v>
      </c>
      <c r="BF1260">
        <v>0</v>
      </c>
      <c r="BG1260">
        <v>0</v>
      </c>
      <c r="BH1260">
        <v>1450</v>
      </c>
      <c r="BI1260">
        <v>1</v>
      </c>
      <c r="BJ1260">
        <v>1</v>
      </c>
      <c r="BK1260">
        <v>0</v>
      </c>
      <c r="BL1260">
        <v>0</v>
      </c>
      <c r="BO1260">
        <v>0</v>
      </c>
      <c r="BP1260">
        <v>0</v>
      </c>
      <c r="BW1260" t="str">
        <f t="shared" si="597"/>
        <v>14:43:16.296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343</v>
      </c>
      <c r="CR1260">
        <v>1</v>
      </c>
      <c r="CW1260">
        <v>10648085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 t="shared" si="594"/>
        <v>05/12/2020 14:42:58.471</v>
      </c>
      <c r="C1261" t="str">
        <f t="shared" si="585"/>
        <v>FFDFD3C0</v>
      </c>
      <c r="D1261" t="s">
        <v>131</v>
      </c>
      <c r="E1261">
        <v>10</v>
      </c>
      <c r="F1261">
        <v>2010</v>
      </c>
      <c r="G1261" t="s">
        <v>132</v>
      </c>
      <c r="J1261" t="s">
        <v>133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595"/>
        <v>14:43:16.289</v>
      </c>
      <c r="T1261" t="str">
        <f t="shared" si="596"/>
        <v>14:43:16.189</v>
      </c>
      <c r="U1261" t="str">
        <f t="shared" si="575"/>
        <v>A9808D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366</v>
      </c>
      <c r="AJ1261">
        <v>28.284624000000001</v>
      </c>
      <c r="AK1261" t="s">
        <v>349</v>
      </c>
      <c r="AL1261">
        <v>-82.383471</v>
      </c>
      <c r="AM1261">
        <v>100</v>
      </c>
      <c r="AN1261">
        <v>1400</v>
      </c>
      <c r="AO1261" t="s">
        <v>118</v>
      </c>
      <c r="AP1261">
        <v>41</v>
      </c>
      <c r="AQ1261">
        <v>87</v>
      </c>
      <c r="AR1261">
        <v>640</v>
      </c>
      <c r="AZ1261">
        <v>1200</v>
      </c>
      <c r="BA1261">
        <v>1</v>
      </c>
      <c r="BB1261" t="str">
        <f t="shared" si="588"/>
        <v xml:space="preserve">N711JA  </v>
      </c>
      <c r="BC1261">
        <v>1</v>
      </c>
      <c r="BE1261">
        <v>0</v>
      </c>
      <c r="BF1261">
        <v>0</v>
      </c>
      <c r="BG1261">
        <v>0</v>
      </c>
      <c r="BH1261">
        <v>1450</v>
      </c>
      <c r="BI1261">
        <v>1</v>
      </c>
      <c r="BJ1261">
        <v>1</v>
      </c>
      <c r="BK1261">
        <v>0</v>
      </c>
      <c r="BL1261">
        <v>0</v>
      </c>
      <c r="BO1261">
        <v>0</v>
      </c>
      <c r="BP1261">
        <v>0</v>
      </c>
      <c r="BW1261" t="str">
        <f t="shared" si="597"/>
        <v>14:43:16.296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343</v>
      </c>
      <c r="CR1261">
        <v>1</v>
      </c>
      <c r="CW1261">
        <v>10648085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 t="shared" si="594"/>
        <v>05/12/2020 14:42:58.471</v>
      </c>
      <c r="C1262" t="str">
        <f t="shared" si="585"/>
        <v>FFDFD3C0</v>
      </c>
      <c r="D1262" t="s">
        <v>126</v>
      </c>
      <c r="E1262">
        <v>7</v>
      </c>
      <c r="F1262">
        <v>1007</v>
      </c>
      <c r="G1262" t="s">
        <v>127</v>
      </c>
      <c r="J1262" t="s">
        <v>128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595"/>
        <v>14:43:16.289</v>
      </c>
      <c r="T1262" t="str">
        <f t="shared" si="596"/>
        <v>14:43:16.189</v>
      </c>
      <c r="U1262" t="str">
        <f t="shared" si="575"/>
        <v>A9808D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366</v>
      </c>
      <c r="AJ1262">
        <v>28.284624000000001</v>
      </c>
      <c r="AK1262" t="s">
        <v>349</v>
      </c>
      <c r="AL1262">
        <v>-82.383471</v>
      </c>
      <c r="AM1262">
        <v>100</v>
      </c>
      <c r="AN1262">
        <v>1400</v>
      </c>
      <c r="AO1262" t="s">
        <v>118</v>
      </c>
      <c r="AP1262">
        <v>41</v>
      </c>
      <c r="AQ1262">
        <v>87</v>
      </c>
      <c r="AR1262">
        <v>640</v>
      </c>
      <c r="AZ1262">
        <v>1200</v>
      </c>
      <c r="BA1262">
        <v>1</v>
      </c>
      <c r="BB1262" t="str">
        <f t="shared" si="588"/>
        <v xml:space="preserve">N711JA  </v>
      </c>
      <c r="BC1262">
        <v>1</v>
      </c>
      <c r="BE1262">
        <v>0</v>
      </c>
      <c r="BF1262">
        <v>0</v>
      </c>
      <c r="BG1262">
        <v>0</v>
      </c>
      <c r="BH1262">
        <v>1450</v>
      </c>
      <c r="BI1262">
        <v>1</v>
      </c>
      <c r="BJ1262">
        <v>1</v>
      </c>
      <c r="BK1262">
        <v>0</v>
      </c>
      <c r="BL1262">
        <v>0</v>
      </c>
      <c r="BO1262">
        <v>0</v>
      </c>
      <c r="BP1262">
        <v>0</v>
      </c>
      <c r="BW1262" t="str">
        <f t="shared" si="597"/>
        <v>14:43:16.296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343</v>
      </c>
      <c r="CR1262">
        <v>1</v>
      </c>
      <c r="CW1262">
        <v>10648085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 t="shared" si="594"/>
        <v>05/12/2020 14:42:58.471</v>
      </c>
      <c r="C1263" t="str">
        <f t="shared" si="585"/>
        <v>FFDFD3C0</v>
      </c>
      <c r="D1263" t="s">
        <v>131</v>
      </c>
      <c r="E1263">
        <v>12</v>
      </c>
      <c r="F1263">
        <v>2012</v>
      </c>
      <c r="G1263" t="s">
        <v>137</v>
      </c>
      <c r="J1263" t="s">
        <v>133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595"/>
        <v>14:43:16.289</v>
      </c>
      <c r="T1263" t="str">
        <f t="shared" si="596"/>
        <v>14:43:16.189</v>
      </c>
      <c r="U1263" t="str">
        <f t="shared" si="575"/>
        <v>A9808D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366</v>
      </c>
      <c r="AJ1263">
        <v>28.284624000000001</v>
      </c>
      <c r="AK1263" t="s">
        <v>349</v>
      </c>
      <c r="AL1263">
        <v>-82.383471</v>
      </c>
      <c r="AM1263">
        <v>100</v>
      </c>
      <c r="AN1263">
        <v>1400</v>
      </c>
      <c r="AO1263" t="s">
        <v>118</v>
      </c>
      <c r="AP1263">
        <v>41</v>
      </c>
      <c r="AQ1263">
        <v>87</v>
      </c>
      <c r="AR1263">
        <v>640</v>
      </c>
      <c r="AZ1263">
        <v>1200</v>
      </c>
      <c r="BA1263">
        <v>1</v>
      </c>
      <c r="BB1263" t="str">
        <f t="shared" si="588"/>
        <v xml:space="preserve">N711JA  </v>
      </c>
      <c r="BC1263">
        <v>1</v>
      </c>
      <c r="BE1263">
        <v>0</v>
      </c>
      <c r="BF1263">
        <v>0</v>
      </c>
      <c r="BG1263">
        <v>0</v>
      </c>
      <c r="BH1263">
        <v>1450</v>
      </c>
      <c r="BI1263">
        <v>1</v>
      </c>
      <c r="BJ1263">
        <v>1</v>
      </c>
      <c r="BK1263">
        <v>0</v>
      </c>
      <c r="BL1263">
        <v>0</v>
      </c>
      <c r="BO1263">
        <v>0</v>
      </c>
      <c r="BP1263">
        <v>0</v>
      </c>
      <c r="BW1263" t="str">
        <f t="shared" si="597"/>
        <v>14:43:16.296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343</v>
      </c>
      <c r="CR1263">
        <v>1</v>
      </c>
      <c r="CW1263">
        <v>10648085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 t="shared" si="594"/>
        <v>05/12/2020 14:42:58.471</v>
      </c>
      <c r="C1264" t="str">
        <f t="shared" si="585"/>
        <v>FFDFD3C0</v>
      </c>
      <c r="D1264" t="s">
        <v>131</v>
      </c>
      <c r="E1264">
        <v>18</v>
      </c>
      <c r="F1264">
        <v>2018</v>
      </c>
      <c r="G1264" t="s">
        <v>161</v>
      </c>
      <c r="J1264" t="s">
        <v>133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595"/>
        <v>14:43:16.289</v>
      </c>
      <c r="T1264" t="str">
        <f t="shared" si="596"/>
        <v>14:43:16.189</v>
      </c>
      <c r="U1264" t="str">
        <f t="shared" si="575"/>
        <v>A9808D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366</v>
      </c>
      <c r="AJ1264">
        <v>28.284624000000001</v>
      </c>
      <c r="AK1264" t="s">
        <v>349</v>
      </c>
      <c r="AL1264">
        <v>-82.383471</v>
      </c>
      <c r="AM1264">
        <v>100</v>
      </c>
      <c r="AN1264">
        <v>1400</v>
      </c>
      <c r="AO1264" t="s">
        <v>118</v>
      </c>
      <c r="AP1264">
        <v>41</v>
      </c>
      <c r="AQ1264">
        <v>87</v>
      </c>
      <c r="AR1264">
        <v>640</v>
      </c>
      <c r="AZ1264">
        <v>1200</v>
      </c>
      <c r="BA1264">
        <v>1</v>
      </c>
      <c r="BB1264" t="str">
        <f t="shared" si="588"/>
        <v xml:space="preserve">N711JA  </v>
      </c>
      <c r="BC1264">
        <v>1</v>
      </c>
      <c r="BE1264">
        <v>0</v>
      </c>
      <c r="BF1264">
        <v>0</v>
      </c>
      <c r="BG1264">
        <v>0</v>
      </c>
      <c r="BH1264">
        <v>1450</v>
      </c>
      <c r="BI1264">
        <v>1</v>
      </c>
      <c r="BJ1264">
        <v>1</v>
      </c>
      <c r="BK1264">
        <v>0</v>
      </c>
      <c r="BL1264">
        <v>0</v>
      </c>
      <c r="BO1264">
        <v>0</v>
      </c>
      <c r="BP1264">
        <v>0</v>
      </c>
      <c r="BW1264" t="str">
        <f t="shared" si="597"/>
        <v>14:43:16.296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343</v>
      </c>
      <c r="CR1264">
        <v>1</v>
      </c>
      <c r="CW1264">
        <v>10648085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 t="shared" ref="A1265:A1273" si="598">"05/12/2020 14:42:59.940"</f>
        <v>05/12/2020 14:42:59.940</v>
      </c>
      <c r="C1265" t="str">
        <f t="shared" si="585"/>
        <v>FFDFD3C0</v>
      </c>
      <c r="D1265" t="s">
        <v>134</v>
      </c>
      <c r="E1265">
        <v>12</v>
      </c>
      <c r="H1265">
        <v>64</v>
      </c>
      <c r="I1265" t="s">
        <v>135</v>
      </c>
      <c r="J1265" t="s">
        <v>136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ref="S1265:S1273" si="599">"14:43:17.734"</f>
        <v>14:43:17.734</v>
      </c>
      <c r="T1265" t="str">
        <f t="shared" ref="T1265:T1273" si="600">"14:43:17.534"</f>
        <v>14:43:17.534</v>
      </c>
      <c r="U1265" t="str">
        <f t="shared" si="575"/>
        <v>A9808D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367</v>
      </c>
      <c r="AJ1265">
        <v>28.285181999999999</v>
      </c>
      <c r="AK1265" t="s">
        <v>368</v>
      </c>
      <c r="AL1265">
        <v>-82.383149000000003</v>
      </c>
      <c r="AM1265">
        <v>100</v>
      </c>
      <c r="AN1265">
        <v>1400</v>
      </c>
      <c r="AO1265" t="s">
        <v>118</v>
      </c>
      <c r="AP1265">
        <v>50</v>
      </c>
      <c r="AQ1265">
        <v>80</v>
      </c>
      <c r="AR1265">
        <v>1152</v>
      </c>
      <c r="AZ1265">
        <v>1200</v>
      </c>
      <c r="BA1265">
        <v>1</v>
      </c>
      <c r="BB1265" t="str">
        <f t="shared" si="588"/>
        <v xml:space="preserve">N711JA  </v>
      </c>
      <c r="BC1265">
        <v>1</v>
      </c>
      <c r="BE1265">
        <v>0</v>
      </c>
      <c r="BF1265">
        <v>0</v>
      </c>
      <c r="BG1265">
        <v>0</v>
      </c>
      <c r="BH1265">
        <v>1475</v>
      </c>
      <c r="BI1265">
        <v>1</v>
      </c>
      <c r="BJ1265">
        <v>1</v>
      </c>
      <c r="BK1265">
        <v>0</v>
      </c>
      <c r="BL1265">
        <v>0</v>
      </c>
      <c r="BO1265">
        <v>0</v>
      </c>
      <c r="BP1265">
        <v>0</v>
      </c>
      <c r="BW1265" t="str">
        <f t="shared" ref="BW1265:BW1273" si="601">"14:43:17.735"</f>
        <v>14:43:17.735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343</v>
      </c>
      <c r="CR1265">
        <v>1</v>
      </c>
      <c r="CW1265">
        <v>10649647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 t="shared" si="598"/>
        <v>05/12/2020 14:42:59.940</v>
      </c>
      <c r="C1266" t="str">
        <f t="shared" si="585"/>
        <v>FFDFD3C0</v>
      </c>
      <c r="D1266" t="s">
        <v>126</v>
      </c>
      <c r="E1266">
        <v>6</v>
      </c>
      <c r="F1266">
        <v>1006</v>
      </c>
      <c r="G1266" t="s">
        <v>114</v>
      </c>
      <c r="J1266" t="s">
        <v>128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599"/>
        <v>14:43:17.734</v>
      </c>
      <c r="T1266" t="str">
        <f t="shared" si="600"/>
        <v>14:43:17.534</v>
      </c>
      <c r="U1266" t="str">
        <f t="shared" si="575"/>
        <v>A9808D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0</v>
      </c>
      <c r="AI1266" t="s">
        <v>367</v>
      </c>
      <c r="AJ1266">
        <v>28.285181999999999</v>
      </c>
      <c r="AK1266" t="s">
        <v>368</v>
      </c>
      <c r="AL1266">
        <v>-82.383149000000003</v>
      </c>
      <c r="AM1266">
        <v>100</v>
      </c>
      <c r="AN1266">
        <v>1400</v>
      </c>
      <c r="AO1266" t="s">
        <v>118</v>
      </c>
      <c r="AP1266">
        <v>50</v>
      </c>
      <c r="AQ1266">
        <v>80</v>
      </c>
      <c r="AR1266">
        <v>1152</v>
      </c>
      <c r="AZ1266">
        <v>1200</v>
      </c>
      <c r="BA1266">
        <v>1</v>
      </c>
      <c r="BB1266" t="str">
        <f t="shared" si="588"/>
        <v xml:space="preserve">N711JA  </v>
      </c>
      <c r="BC1266">
        <v>1</v>
      </c>
      <c r="BE1266">
        <v>0</v>
      </c>
      <c r="BF1266">
        <v>0</v>
      </c>
      <c r="BG1266">
        <v>0</v>
      </c>
      <c r="BH1266">
        <v>1475</v>
      </c>
      <c r="BI1266">
        <v>1</v>
      </c>
      <c r="BJ1266">
        <v>1</v>
      </c>
      <c r="BK1266">
        <v>0</v>
      </c>
      <c r="BL1266">
        <v>0</v>
      </c>
      <c r="BO1266">
        <v>0</v>
      </c>
      <c r="BP1266">
        <v>0</v>
      </c>
      <c r="BW1266" t="str">
        <f t="shared" si="601"/>
        <v>14:43:17.735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343</v>
      </c>
      <c r="CR1266">
        <v>1</v>
      </c>
      <c r="CW1266">
        <v>10649647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 t="shared" si="598"/>
        <v>05/12/2020 14:42:59.940</v>
      </c>
      <c r="C1267" t="str">
        <f t="shared" si="585"/>
        <v>FFDFD3C0</v>
      </c>
      <c r="D1267" t="s">
        <v>113</v>
      </c>
      <c r="E1267">
        <v>3</v>
      </c>
      <c r="H1267">
        <v>164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599"/>
        <v>14:43:17.734</v>
      </c>
      <c r="T1267" t="str">
        <f t="shared" si="600"/>
        <v>14:43:17.534</v>
      </c>
      <c r="U1267" t="str">
        <f t="shared" si="575"/>
        <v>A9808D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0</v>
      </c>
      <c r="AI1267" t="s">
        <v>367</v>
      </c>
      <c r="AJ1267">
        <v>28.285181999999999</v>
      </c>
      <c r="AK1267" t="s">
        <v>368</v>
      </c>
      <c r="AL1267">
        <v>-82.383149000000003</v>
      </c>
      <c r="AM1267">
        <v>100</v>
      </c>
      <c r="AN1267">
        <v>1400</v>
      </c>
      <c r="AO1267" t="s">
        <v>118</v>
      </c>
      <c r="AP1267">
        <v>50</v>
      </c>
      <c r="AQ1267">
        <v>80</v>
      </c>
      <c r="AR1267">
        <v>1152</v>
      </c>
      <c r="AZ1267">
        <v>1200</v>
      </c>
      <c r="BA1267">
        <v>1</v>
      </c>
      <c r="BB1267" t="str">
        <f t="shared" si="588"/>
        <v xml:space="preserve">N711JA  </v>
      </c>
      <c r="BC1267">
        <v>1</v>
      </c>
      <c r="BE1267">
        <v>0</v>
      </c>
      <c r="BF1267">
        <v>0</v>
      </c>
      <c r="BG1267">
        <v>0</v>
      </c>
      <c r="BH1267">
        <v>1475</v>
      </c>
      <c r="BI1267">
        <v>1</v>
      </c>
      <c r="BJ1267">
        <v>1</v>
      </c>
      <c r="BK1267">
        <v>0</v>
      </c>
      <c r="BL1267">
        <v>0</v>
      </c>
      <c r="BO1267">
        <v>0</v>
      </c>
      <c r="BP1267">
        <v>0</v>
      </c>
      <c r="BW1267" t="str">
        <f t="shared" si="601"/>
        <v>14:43:17.735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343</v>
      </c>
      <c r="CR1267">
        <v>1</v>
      </c>
      <c r="CW1267">
        <v>10649647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 t="shared" si="598"/>
        <v>05/12/2020 14:42:59.940</v>
      </c>
      <c r="C1268" t="str">
        <f t="shared" si="585"/>
        <v>FFDFD3C0</v>
      </c>
      <c r="D1268" t="s">
        <v>138</v>
      </c>
      <c r="E1268">
        <v>2</v>
      </c>
      <c r="H1268">
        <v>8</v>
      </c>
      <c r="I1268" t="s">
        <v>139</v>
      </c>
      <c r="J1268" t="s">
        <v>136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599"/>
        <v>14:43:17.734</v>
      </c>
      <c r="T1268" t="str">
        <f t="shared" si="600"/>
        <v>14:43:17.534</v>
      </c>
      <c r="U1268" t="str">
        <f t="shared" si="575"/>
        <v>A9808D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0</v>
      </c>
      <c r="AI1268" t="s">
        <v>367</v>
      </c>
      <c r="AJ1268">
        <v>28.285181999999999</v>
      </c>
      <c r="AK1268" t="s">
        <v>368</v>
      </c>
      <c r="AL1268">
        <v>-82.383149000000003</v>
      </c>
      <c r="AM1268">
        <v>100</v>
      </c>
      <c r="AN1268">
        <v>1400</v>
      </c>
      <c r="AO1268" t="s">
        <v>118</v>
      </c>
      <c r="AP1268">
        <v>50</v>
      </c>
      <c r="AQ1268">
        <v>80</v>
      </c>
      <c r="AR1268">
        <v>1152</v>
      </c>
      <c r="AZ1268">
        <v>1200</v>
      </c>
      <c r="BA1268">
        <v>1</v>
      </c>
      <c r="BB1268" t="str">
        <f t="shared" si="588"/>
        <v xml:space="preserve">N711JA  </v>
      </c>
      <c r="BC1268">
        <v>1</v>
      </c>
      <c r="BE1268">
        <v>0</v>
      </c>
      <c r="BF1268">
        <v>0</v>
      </c>
      <c r="BG1268">
        <v>0</v>
      </c>
      <c r="BH1268">
        <v>1475</v>
      </c>
      <c r="BI1268">
        <v>1</v>
      </c>
      <c r="BJ1268">
        <v>1</v>
      </c>
      <c r="BK1268">
        <v>0</v>
      </c>
      <c r="BL1268">
        <v>0</v>
      </c>
      <c r="BO1268">
        <v>0</v>
      </c>
      <c r="BP1268">
        <v>0</v>
      </c>
      <c r="BW1268" t="str">
        <f t="shared" si="601"/>
        <v>14:43:17.735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343</v>
      </c>
      <c r="CR1268">
        <v>1</v>
      </c>
      <c r="CW1268">
        <v>10649647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 t="shared" si="598"/>
        <v>05/12/2020 14:42:59.940</v>
      </c>
      <c r="C1269" t="str">
        <f t="shared" si="585"/>
        <v>FFDFD3C0</v>
      </c>
      <c r="D1269" t="s">
        <v>138</v>
      </c>
      <c r="E1269">
        <v>3</v>
      </c>
      <c r="H1269">
        <v>9</v>
      </c>
      <c r="I1269" t="s">
        <v>140</v>
      </c>
      <c r="J1269" t="s">
        <v>136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599"/>
        <v>14:43:17.734</v>
      </c>
      <c r="T1269" t="str">
        <f t="shared" si="600"/>
        <v>14:43:17.534</v>
      </c>
      <c r="U1269" t="str">
        <f t="shared" si="575"/>
        <v>A9808D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0</v>
      </c>
      <c r="AI1269" t="s">
        <v>367</v>
      </c>
      <c r="AJ1269">
        <v>28.285181999999999</v>
      </c>
      <c r="AK1269" t="s">
        <v>368</v>
      </c>
      <c r="AL1269">
        <v>-82.383149000000003</v>
      </c>
      <c r="AM1269">
        <v>100</v>
      </c>
      <c r="AN1269">
        <v>1400</v>
      </c>
      <c r="AO1269" t="s">
        <v>118</v>
      </c>
      <c r="AP1269">
        <v>50</v>
      </c>
      <c r="AQ1269">
        <v>80</v>
      </c>
      <c r="AR1269">
        <v>1152</v>
      </c>
      <c r="AZ1269">
        <v>1200</v>
      </c>
      <c r="BA1269">
        <v>1</v>
      </c>
      <c r="BB1269" t="str">
        <f t="shared" si="588"/>
        <v xml:space="preserve">N711JA  </v>
      </c>
      <c r="BC1269">
        <v>1</v>
      </c>
      <c r="BE1269">
        <v>0</v>
      </c>
      <c r="BF1269">
        <v>0</v>
      </c>
      <c r="BG1269">
        <v>0</v>
      </c>
      <c r="BH1269">
        <v>1475</v>
      </c>
      <c r="BI1269">
        <v>1</v>
      </c>
      <c r="BJ1269">
        <v>1</v>
      </c>
      <c r="BK1269">
        <v>0</v>
      </c>
      <c r="BL1269">
        <v>0</v>
      </c>
      <c r="BO1269">
        <v>0</v>
      </c>
      <c r="BP1269">
        <v>0</v>
      </c>
      <c r="BW1269" t="str">
        <f t="shared" si="601"/>
        <v>14:43:17.735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343</v>
      </c>
      <c r="CR1269">
        <v>1</v>
      </c>
      <c r="CW1269">
        <v>10649647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 t="shared" si="598"/>
        <v>05/12/2020 14:42:59.940</v>
      </c>
      <c r="C1270" t="str">
        <f t="shared" si="585"/>
        <v>FFDFD3C0</v>
      </c>
      <c r="D1270" t="s">
        <v>131</v>
      </c>
      <c r="E1270">
        <v>10</v>
      </c>
      <c r="F1270">
        <v>2010</v>
      </c>
      <c r="G1270" t="s">
        <v>132</v>
      </c>
      <c r="J1270" t="s">
        <v>133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599"/>
        <v>14:43:17.734</v>
      </c>
      <c r="T1270" t="str">
        <f t="shared" si="600"/>
        <v>14:43:17.534</v>
      </c>
      <c r="U1270" t="str">
        <f t="shared" si="575"/>
        <v>A9808D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0</v>
      </c>
      <c r="AI1270" t="s">
        <v>367</v>
      </c>
      <c r="AJ1270">
        <v>28.285181999999999</v>
      </c>
      <c r="AK1270" t="s">
        <v>368</v>
      </c>
      <c r="AL1270">
        <v>-82.383149000000003</v>
      </c>
      <c r="AM1270">
        <v>100</v>
      </c>
      <c r="AN1270">
        <v>1400</v>
      </c>
      <c r="AO1270" t="s">
        <v>118</v>
      </c>
      <c r="AP1270">
        <v>50</v>
      </c>
      <c r="AQ1270">
        <v>80</v>
      </c>
      <c r="AR1270">
        <v>1152</v>
      </c>
      <c r="AZ1270">
        <v>1200</v>
      </c>
      <c r="BA1270">
        <v>1</v>
      </c>
      <c r="BB1270" t="str">
        <f t="shared" si="588"/>
        <v xml:space="preserve">N711JA  </v>
      </c>
      <c r="BC1270">
        <v>1</v>
      </c>
      <c r="BE1270">
        <v>0</v>
      </c>
      <c r="BF1270">
        <v>0</v>
      </c>
      <c r="BG1270">
        <v>0</v>
      </c>
      <c r="BH1270">
        <v>1475</v>
      </c>
      <c r="BI1270">
        <v>1</v>
      </c>
      <c r="BJ1270">
        <v>1</v>
      </c>
      <c r="BK1270">
        <v>0</v>
      </c>
      <c r="BL1270">
        <v>0</v>
      </c>
      <c r="BO1270">
        <v>0</v>
      </c>
      <c r="BP1270">
        <v>0</v>
      </c>
      <c r="BW1270" t="str">
        <f t="shared" si="601"/>
        <v>14:43:17.735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343</v>
      </c>
      <c r="CR1270">
        <v>1</v>
      </c>
      <c r="CW1270">
        <v>10649647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si="598"/>
        <v>05/12/2020 14:42:59.940</v>
      </c>
      <c r="C1271" t="str">
        <f t="shared" si="585"/>
        <v>FFDFD3C0</v>
      </c>
      <c r="D1271" t="s">
        <v>126</v>
      </c>
      <c r="E1271">
        <v>7</v>
      </c>
      <c r="F1271">
        <v>1007</v>
      </c>
      <c r="G1271" t="s">
        <v>127</v>
      </c>
      <c r="J1271" t="s">
        <v>128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599"/>
        <v>14:43:17.734</v>
      </c>
      <c r="T1271" t="str">
        <f t="shared" si="600"/>
        <v>14:43:17.534</v>
      </c>
      <c r="U1271" t="str">
        <f t="shared" si="575"/>
        <v>A9808D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0</v>
      </c>
      <c r="AI1271" t="s">
        <v>367</v>
      </c>
      <c r="AJ1271">
        <v>28.285181999999999</v>
      </c>
      <c r="AK1271" t="s">
        <v>368</v>
      </c>
      <c r="AL1271">
        <v>-82.383149000000003</v>
      </c>
      <c r="AM1271">
        <v>100</v>
      </c>
      <c r="AN1271">
        <v>1400</v>
      </c>
      <c r="AO1271" t="s">
        <v>118</v>
      </c>
      <c r="AP1271">
        <v>50</v>
      </c>
      <c r="AQ1271">
        <v>80</v>
      </c>
      <c r="AR1271">
        <v>1152</v>
      </c>
      <c r="AZ1271">
        <v>1200</v>
      </c>
      <c r="BA1271">
        <v>1</v>
      </c>
      <c r="BB1271" t="str">
        <f t="shared" si="588"/>
        <v xml:space="preserve">N711JA  </v>
      </c>
      <c r="BC1271">
        <v>1</v>
      </c>
      <c r="BE1271">
        <v>0</v>
      </c>
      <c r="BF1271">
        <v>0</v>
      </c>
      <c r="BG1271">
        <v>0</v>
      </c>
      <c r="BH1271">
        <v>1475</v>
      </c>
      <c r="BI1271">
        <v>1</v>
      </c>
      <c r="BJ1271">
        <v>1</v>
      </c>
      <c r="BK1271">
        <v>0</v>
      </c>
      <c r="BL1271">
        <v>0</v>
      </c>
      <c r="BO1271">
        <v>0</v>
      </c>
      <c r="BP1271">
        <v>0</v>
      </c>
      <c r="BW1271" t="str">
        <f t="shared" si="601"/>
        <v>14:43:17.735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343</v>
      </c>
      <c r="CR1271">
        <v>1</v>
      </c>
      <c r="CW1271">
        <v>10649647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598"/>
        <v>05/12/2020 14:42:59.940</v>
      </c>
      <c r="C1272" t="str">
        <f t="shared" si="585"/>
        <v>FFDFD3C0</v>
      </c>
      <c r="D1272" t="s">
        <v>131</v>
      </c>
      <c r="E1272">
        <v>12</v>
      </c>
      <c r="F1272">
        <v>2012</v>
      </c>
      <c r="G1272" t="s">
        <v>137</v>
      </c>
      <c r="J1272" t="s">
        <v>133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599"/>
        <v>14:43:17.734</v>
      </c>
      <c r="T1272" t="str">
        <f t="shared" si="600"/>
        <v>14:43:17.534</v>
      </c>
      <c r="U1272" t="str">
        <f t="shared" si="575"/>
        <v>A9808D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0</v>
      </c>
      <c r="AI1272" t="s">
        <v>367</v>
      </c>
      <c r="AJ1272">
        <v>28.285181999999999</v>
      </c>
      <c r="AK1272" t="s">
        <v>368</v>
      </c>
      <c r="AL1272">
        <v>-82.383149000000003</v>
      </c>
      <c r="AM1272">
        <v>100</v>
      </c>
      <c r="AN1272">
        <v>1400</v>
      </c>
      <c r="AO1272" t="s">
        <v>118</v>
      </c>
      <c r="AP1272">
        <v>50</v>
      </c>
      <c r="AQ1272">
        <v>80</v>
      </c>
      <c r="AR1272">
        <v>1152</v>
      </c>
      <c r="AZ1272">
        <v>1200</v>
      </c>
      <c r="BA1272">
        <v>1</v>
      </c>
      <c r="BB1272" t="str">
        <f t="shared" si="588"/>
        <v xml:space="preserve">N711JA  </v>
      </c>
      <c r="BC1272">
        <v>1</v>
      </c>
      <c r="BE1272">
        <v>0</v>
      </c>
      <c r="BF1272">
        <v>0</v>
      </c>
      <c r="BG1272">
        <v>0</v>
      </c>
      <c r="BH1272">
        <v>1475</v>
      </c>
      <c r="BI1272">
        <v>1</v>
      </c>
      <c r="BJ1272">
        <v>1</v>
      </c>
      <c r="BK1272">
        <v>0</v>
      </c>
      <c r="BL1272">
        <v>0</v>
      </c>
      <c r="BO1272">
        <v>0</v>
      </c>
      <c r="BP1272">
        <v>0</v>
      </c>
      <c r="BW1272" t="str">
        <f t="shared" si="601"/>
        <v>14:43:17.735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343</v>
      </c>
      <c r="CR1272">
        <v>1</v>
      </c>
      <c r="CW1272">
        <v>10649647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598"/>
        <v>05/12/2020 14:42:59.940</v>
      </c>
      <c r="C1273" t="str">
        <f t="shared" si="585"/>
        <v>FFDFD3C0</v>
      </c>
      <c r="D1273" t="s">
        <v>131</v>
      </c>
      <c r="E1273">
        <v>18</v>
      </c>
      <c r="F1273">
        <v>2018</v>
      </c>
      <c r="G1273" t="s">
        <v>161</v>
      </c>
      <c r="J1273" t="s">
        <v>133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599"/>
        <v>14:43:17.734</v>
      </c>
      <c r="T1273" t="str">
        <f t="shared" si="600"/>
        <v>14:43:17.534</v>
      </c>
      <c r="U1273" t="str">
        <f t="shared" si="575"/>
        <v>A9808D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0</v>
      </c>
      <c r="AI1273" t="s">
        <v>367</v>
      </c>
      <c r="AJ1273">
        <v>28.285181999999999</v>
      </c>
      <c r="AK1273" t="s">
        <v>368</v>
      </c>
      <c r="AL1273">
        <v>-82.383149000000003</v>
      </c>
      <c r="AM1273">
        <v>100</v>
      </c>
      <c r="AN1273">
        <v>1400</v>
      </c>
      <c r="AO1273" t="s">
        <v>118</v>
      </c>
      <c r="AP1273">
        <v>50</v>
      </c>
      <c r="AQ1273">
        <v>80</v>
      </c>
      <c r="AR1273">
        <v>1152</v>
      </c>
      <c r="AZ1273">
        <v>1200</v>
      </c>
      <c r="BA1273">
        <v>1</v>
      </c>
      <c r="BB1273" t="str">
        <f t="shared" si="588"/>
        <v xml:space="preserve">N711JA  </v>
      </c>
      <c r="BC1273">
        <v>1</v>
      </c>
      <c r="BE1273">
        <v>0</v>
      </c>
      <c r="BF1273">
        <v>0</v>
      </c>
      <c r="BG1273">
        <v>0</v>
      </c>
      <c r="BH1273">
        <v>1475</v>
      </c>
      <c r="BI1273">
        <v>1</v>
      </c>
      <c r="BJ1273">
        <v>1</v>
      </c>
      <c r="BK1273">
        <v>0</v>
      </c>
      <c r="BL1273">
        <v>0</v>
      </c>
      <c r="BO1273">
        <v>0</v>
      </c>
      <c r="BP1273">
        <v>0</v>
      </c>
      <c r="BW1273" t="str">
        <f t="shared" si="601"/>
        <v>14:43:17.735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343</v>
      </c>
      <c r="CR1273">
        <v>1</v>
      </c>
      <c r="CW1273">
        <v>10649647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ref="A1274:A1282" si="602">"05/12/2020 14:43:01.072"</f>
        <v>05/12/2020 14:43:01.072</v>
      </c>
      <c r="C1274" t="str">
        <f t="shared" si="585"/>
        <v>FFDFD3C0</v>
      </c>
      <c r="D1274" t="s">
        <v>113</v>
      </c>
      <c r="E1274">
        <v>3</v>
      </c>
      <c r="H1274">
        <v>164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ref="S1274:S1282" si="603">"14:43:18.906"</f>
        <v>14:43:18.906</v>
      </c>
      <c r="T1274" t="str">
        <f t="shared" ref="T1274:T1282" si="604">"14:43:18.606"</f>
        <v>14:43:18.606</v>
      </c>
      <c r="U1274" t="str">
        <f t="shared" si="575"/>
        <v>A9808D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0</v>
      </c>
      <c r="AI1274" t="s">
        <v>369</v>
      </c>
      <c r="AJ1274">
        <v>28.285589000000002</v>
      </c>
      <c r="AK1274" t="s">
        <v>211</v>
      </c>
      <c r="AL1274">
        <v>-82.382784000000001</v>
      </c>
      <c r="AM1274">
        <v>100</v>
      </c>
      <c r="AN1274">
        <v>1400</v>
      </c>
      <c r="AO1274" t="s">
        <v>118</v>
      </c>
      <c r="AP1274">
        <v>55</v>
      </c>
      <c r="AQ1274">
        <v>74</v>
      </c>
      <c r="AR1274">
        <v>1216</v>
      </c>
      <c r="AZ1274">
        <v>1200</v>
      </c>
      <c r="BA1274">
        <v>1</v>
      </c>
      <c r="BB1274" t="str">
        <f t="shared" si="588"/>
        <v xml:space="preserve">N711JA  </v>
      </c>
      <c r="BC1274">
        <v>1</v>
      </c>
      <c r="BE1274">
        <v>0</v>
      </c>
      <c r="BF1274">
        <v>0</v>
      </c>
      <c r="BG1274">
        <v>0</v>
      </c>
      <c r="BH1274">
        <v>1500</v>
      </c>
      <c r="BI1274">
        <v>1</v>
      </c>
      <c r="BJ1274">
        <v>1</v>
      </c>
      <c r="BK1274">
        <v>0</v>
      </c>
      <c r="BL1274">
        <v>0</v>
      </c>
      <c r="BO1274">
        <v>0</v>
      </c>
      <c r="BP1274">
        <v>0</v>
      </c>
      <c r="BW1274" t="str">
        <f t="shared" ref="BW1274:BW1282" si="605">"14:43:18.907"</f>
        <v>14:43:18.907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343</v>
      </c>
      <c r="CR1274">
        <v>1</v>
      </c>
      <c r="CW1274">
        <v>10650879</v>
      </c>
      <c r="CY1274">
        <v>1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 t="shared" si="602"/>
        <v>05/12/2020 14:43:01.072</v>
      </c>
      <c r="C1275" t="str">
        <f t="shared" si="585"/>
        <v>FFDFD3C0</v>
      </c>
      <c r="D1275" t="s">
        <v>138</v>
      </c>
      <c r="E1275">
        <v>2</v>
      </c>
      <c r="H1275">
        <v>8</v>
      </c>
      <c r="I1275" t="s">
        <v>139</v>
      </c>
      <c r="J1275" t="s">
        <v>136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603"/>
        <v>14:43:18.906</v>
      </c>
      <c r="T1275" t="str">
        <f t="shared" si="604"/>
        <v>14:43:18.606</v>
      </c>
      <c r="U1275" t="str">
        <f t="shared" si="575"/>
        <v>A9808D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0</v>
      </c>
      <c r="AI1275" t="s">
        <v>369</v>
      </c>
      <c r="AJ1275">
        <v>28.285589000000002</v>
      </c>
      <c r="AK1275" t="s">
        <v>211</v>
      </c>
      <c r="AL1275">
        <v>-82.382784000000001</v>
      </c>
      <c r="AM1275">
        <v>100</v>
      </c>
      <c r="AN1275">
        <v>1400</v>
      </c>
      <c r="AO1275" t="s">
        <v>118</v>
      </c>
      <c r="AP1275">
        <v>55</v>
      </c>
      <c r="AQ1275">
        <v>74</v>
      </c>
      <c r="AR1275">
        <v>1216</v>
      </c>
      <c r="AZ1275">
        <v>1200</v>
      </c>
      <c r="BA1275">
        <v>1</v>
      </c>
      <c r="BB1275" t="str">
        <f t="shared" si="588"/>
        <v xml:space="preserve">N711JA  </v>
      </c>
      <c r="BC1275">
        <v>1</v>
      </c>
      <c r="BE1275">
        <v>0</v>
      </c>
      <c r="BF1275">
        <v>0</v>
      </c>
      <c r="BG1275">
        <v>0</v>
      </c>
      <c r="BH1275">
        <v>1500</v>
      </c>
      <c r="BI1275">
        <v>1</v>
      </c>
      <c r="BJ1275">
        <v>1</v>
      </c>
      <c r="BK1275">
        <v>0</v>
      </c>
      <c r="BL1275">
        <v>0</v>
      </c>
      <c r="BO1275">
        <v>0</v>
      </c>
      <c r="BP1275">
        <v>0</v>
      </c>
      <c r="BW1275" t="str">
        <f t="shared" si="605"/>
        <v>14:43:18.907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343</v>
      </c>
      <c r="CR1275">
        <v>1</v>
      </c>
      <c r="CW1275">
        <v>10650879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si="602"/>
        <v>05/12/2020 14:43:01.072</v>
      </c>
      <c r="C1276" t="str">
        <f t="shared" si="585"/>
        <v>FFDFD3C0</v>
      </c>
      <c r="D1276" t="s">
        <v>131</v>
      </c>
      <c r="E1276">
        <v>12</v>
      </c>
      <c r="F1276">
        <v>2012</v>
      </c>
      <c r="G1276" t="s">
        <v>137</v>
      </c>
      <c r="J1276" t="s">
        <v>133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603"/>
        <v>14:43:18.906</v>
      </c>
      <c r="T1276" t="str">
        <f t="shared" si="604"/>
        <v>14:43:18.606</v>
      </c>
      <c r="U1276" t="str">
        <f t="shared" si="575"/>
        <v>A9808D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369</v>
      </c>
      <c r="AJ1276">
        <v>28.285589000000002</v>
      </c>
      <c r="AK1276" t="s">
        <v>211</v>
      </c>
      <c r="AL1276">
        <v>-82.382784000000001</v>
      </c>
      <c r="AM1276">
        <v>100</v>
      </c>
      <c r="AN1276">
        <v>1400</v>
      </c>
      <c r="AO1276" t="s">
        <v>118</v>
      </c>
      <c r="AP1276">
        <v>55</v>
      </c>
      <c r="AQ1276">
        <v>74</v>
      </c>
      <c r="AR1276">
        <v>1216</v>
      </c>
      <c r="AZ1276">
        <v>1200</v>
      </c>
      <c r="BA1276">
        <v>1</v>
      </c>
      <c r="BB1276" t="str">
        <f t="shared" si="588"/>
        <v xml:space="preserve">N711JA  </v>
      </c>
      <c r="BC1276">
        <v>1</v>
      </c>
      <c r="BE1276">
        <v>0</v>
      </c>
      <c r="BF1276">
        <v>0</v>
      </c>
      <c r="BG1276">
        <v>0</v>
      </c>
      <c r="BH1276">
        <v>1500</v>
      </c>
      <c r="BI1276">
        <v>1</v>
      </c>
      <c r="BJ1276">
        <v>1</v>
      </c>
      <c r="BK1276">
        <v>0</v>
      </c>
      <c r="BL1276">
        <v>0</v>
      </c>
      <c r="BO1276">
        <v>0</v>
      </c>
      <c r="BP1276">
        <v>0</v>
      </c>
      <c r="BW1276" t="str">
        <f t="shared" si="605"/>
        <v>14:43:18.907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343</v>
      </c>
      <c r="CR1276">
        <v>1</v>
      </c>
      <c r="CW1276">
        <v>10650879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 t="shared" si="602"/>
        <v>05/12/2020 14:43:01.072</v>
      </c>
      <c r="C1277" t="str">
        <f t="shared" si="585"/>
        <v>FFDFD3C0</v>
      </c>
      <c r="D1277" t="s">
        <v>131</v>
      </c>
      <c r="E1277">
        <v>18</v>
      </c>
      <c r="F1277">
        <v>2018</v>
      </c>
      <c r="G1277" t="s">
        <v>161</v>
      </c>
      <c r="J1277" t="s">
        <v>133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603"/>
        <v>14:43:18.906</v>
      </c>
      <c r="T1277" t="str">
        <f t="shared" si="604"/>
        <v>14:43:18.606</v>
      </c>
      <c r="U1277" t="str">
        <f t="shared" si="575"/>
        <v>A9808D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369</v>
      </c>
      <c r="AJ1277">
        <v>28.285589000000002</v>
      </c>
      <c r="AK1277" t="s">
        <v>211</v>
      </c>
      <c r="AL1277">
        <v>-82.382784000000001</v>
      </c>
      <c r="AM1277">
        <v>100</v>
      </c>
      <c r="AN1277">
        <v>1400</v>
      </c>
      <c r="AO1277" t="s">
        <v>118</v>
      </c>
      <c r="AP1277">
        <v>55</v>
      </c>
      <c r="AQ1277">
        <v>74</v>
      </c>
      <c r="AR1277">
        <v>1216</v>
      </c>
      <c r="AZ1277">
        <v>1200</v>
      </c>
      <c r="BA1277">
        <v>1</v>
      </c>
      <c r="BB1277" t="str">
        <f t="shared" si="588"/>
        <v xml:space="preserve">N711JA  </v>
      </c>
      <c r="BC1277">
        <v>1</v>
      </c>
      <c r="BE1277">
        <v>0</v>
      </c>
      <c r="BF1277">
        <v>0</v>
      </c>
      <c r="BG1277">
        <v>0</v>
      </c>
      <c r="BH1277">
        <v>1500</v>
      </c>
      <c r="BI1277">
        <v>1</v>
      </c>
      <c r="BJ1277">
        <v>1</v>
      </c>
      <c r="BK1277">
        <v>0</v>
      </c>
      <c r="BL1277">
        <v>0</v>
      </c>
      <c r="BO1277">
        <v>0</v>
      </c>
      <c r="BP1277">
        <v>0</v>
      </c>
      <c r="BW1277" t="str">
        <f t="shared" si="605"/>
        <v>14:43:18.907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343</v>
      </c>
      <c r="CR1277">
        <v>1</v>
      </c>
      <c r="CW1277">
        <v>10650879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 t="shared" si="602"/>
        <v>05/12/2020 14:43:01.072</v>
      </c>
      <c r="C1278" t="str">
        <f t="shared" si="585"/>
        <v>FFDFD3C0</v>
      </c>
      <c r="D1278" t="s">
        <v>131</v>
      </c>
      <c r="E1278">
        <v>10</v>
      </c>
      <c r="F1278">
        <v>2010</v>
      </c>
      <c r="G1278" t="s">
        <v>132</v>
      </c>
      <c r="J1278" t="s">
        <v>133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603"/>
        <v>14:43:18.906</v>
      </c>
      <c r="T1278" t="str">
        <f t="shared" si="604"/>
        <v>14:43:18.606</v>
      </c>
      <c r="U1278" t="str">
        <f t="shared" si="575"/>
        <v>A9808D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369</v>
      </c>
      <c r="AJ1278">
        <v>28.285589000000002</v>
      </c>
      <c r="AK1278" t="s">
        <v>211</v>
      </c>
      <c r="AL1278">
        <v>-82.382784000000001</v>
      </c>
      <c r="AM1278">
        <v>100</v>
      </c>
      <c r="AN1278">
        <v>1400</v>
      </c>
      <c r="AO1278" t="s">
        <v>118</v>
      </c>
      <c r="AP1278">
        <v>55</v>
      </c>
      <c r="AQ1278">
        <v>74</v>
      </c>
      <c r="AR1278">
        <v>1216</v>
      </c>
      <c r="AZ1278">
        <v>1200</v>
      </c>
      <c r="BA1278">
        <v>1</v>
      </c>
      <c r="BB1278" t="str">
        <f t="shared" si="588"/>
        <v xml:space="preserve">N711JA  </v>
      </c>
      <c r="BC1278">
        <v>1</v>
      </c>
      <c r="BE1278">
        <v>0</v>
      </c>
      <c r="BF1278">
        <v>0</v>
      </c>
      <c r="BG1278">
        <v>0</v>
      </c>
      <c r="BH1278">
        <v>1500</v>
      </c>
      <c r="BI1278">
        <v>1</v>
      </c>
      <c r="BJ1278">
        <v>1</v>
      </c>
      <c r="BK1278">
        <v>0</v>
      </c>
      <c r="BL1278">
        <v>0</v>
      </c>
      <c r="BO1278">
        <v>0</v>
      </c>
      <c r="BP1278">
        <v>0</v>
      </c>
      <c r="BW1278" t="str">
        <f t="shared" si="605"/>
        <v>14:43:18.907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343</v>
      </c>
      <c r="CR1278">
        <v>1</v>
      </c>
      <c r="CW1278">
        <v>10650879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 t="shared" si="602"/>
        <v>05/12/2020 14:43:01.072</v>
      </c>
      <c r="C1279" t="str">
        <f t="shared" si="585"/>
        <v>FFDFD3C0</v>
      </c>
      <c r="D1279" t="s">
        <v>126</v>
      </c>
      <c r="E1279">
        <v>7</v>
      </c>
      <c r="F1279">
        <v>1007</v>
      </c>
      <c r="G1279" t="s">
        <v>127</v>
      </c>
      <c r="J1279" t="s">
        <v>128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03"/>
        <v>14:43:18.906</v>
      </c>
      <c r="T1279" t="str">
        <f t="shared" si="604"/>
        <v>14:43:18.606</v>
      </c>
      <c r="U1279" t="str">
        <f t="shared" si="575"/>
        <v>A9808D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369</v>
      </c>
      <c r="AJ1279">
        <v>28.285589000000002</v>
      </c>
      <c r="AK1279" t="s">
        <v>211</v>
      </c>
      <c r="AL1279">
        <v>-82.382784000000001</v>
      </c>
      <c r="AM1279">
        <v>100</v>
      </c>
      <c r="AN1279">
        <v>1400</v>
      </c>
      <c r="AO1279" t="s">
        <v>118</v>
      </c>
      <c r="AP1279">
        <v>55</v>
      </c>
      <c r="AQ1279">
        <v>74</v>
      </c>
      <c r="AR1279">
        <v>1216</v>
      </c>
      <c r="AZ1279">
        <v>1200</v>
      </c>
      <c r="BA1279">
        <v>1</v>
      </c>
      <c r="BB1279" t="str">
        <f t="shared" si="588"/>
        <v xml:space="preserve">N711JA  </v>
      </c>
      <c r="BC1279">
        <v>1</v>
      </c>
      <c r="BE1279">
        <v>0</v>
      </c>
      <c r="BF1279">
        <v>0</v>
      </c>
      <c r="BG1279">
        <v>0</v>
      </c>
      <c r="BH1279">
        <v>1500</v>
      </c>
      <c r="BI1279">
        <v>1</v>
      </c>
      <c r="BJ1279">
        <v>1</v>
      </c>
      <c r="BK1279">
        <v>0</v>
      </c>
      <c r="BL1279">
        <v>0</v>
      </c>
      <c r="BO1279">
        <v>0</v>
      </c>
      <c r="BP1279">
        <v>0</v>
      </c>
      <c r="BW1279" t="str">
        <f t="shared" si="605"/>
        <v>14:43:18.907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343</v>
      </c>
      <c r="CR1279">
        <v>1</v>
      </c>
      <c r="CW1279">
        <v>10650879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 t="shared" si="602"/>
        <v>05/12/2020 14:43:01.072</v>
      </c>
      <c r="C1280" t="str">
        <f t="shared" si="585"/>
        <v>FFDFD3C0</v>
      </c>
      <c r="D1280" t="s">
        <v>138</v>
      </c>
      <c r="E1280">
        <v>3</v>
      </c>
      <c r="H1280">
        <v>9</v>
      </c>
      <c r="I1280" t="s">
        <v>140</v>
      </c>
      <c r="J1280" t="s">
        <v>136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03"/>
        <v>14:43:18.906</v>
      </c>
      <c r="T1280" t="str">
        <f t="shared" si="604"/>
        <v>14:43:18.606</v>
      </c>
      <c r="U1280" t="str">
        <f t="shared" si="575"/>
        <v>A9808D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369</v>
      </c>
      <c r="AJ1280">
        <v>28.285589000000002</v>
      </c>
      <c r="AK1280" t="s">
        <v>211</v>
      </c>
      <c r="AL1280">
        <v>-82.382784000000001</v>
      </c>
      <c r="AM1280">
        <v>100</v>
      </c>
      <c r="AN1280">
        <v>1400</v>
      </c>
      <c r="AO1280" t="s">
        <v>118</v>
      </c>
      <c r="AP1280">
        <v>55</v>
      </c>
      <c r="AQ1280">
        <v>74</v>
      </c>
      <c r="AR1280">
        <v>1216</v>
      </c>
      <c r="AZ1280">
        <v>1200</v>
      </c>
      <c r="BA1280">
        <v>1</v>
      </c>
      <c r="BB1280" t="str">
        <f t="shared" si="588"/>
        <v xml:space="preserve">N711JA  </v>
      </c>
      <c r="BC1280">
        <v>1</v>
      </c>
      <c r="BE1280">
        <v>0</v>
      </c>
      <c r="BF1280">
        <v>0</v>
      </c>
      <c r="BG1280">
        <v>0</v>
      </c>
      <c r="BH1280">
        <v>1500</v>
      </c>
      <c r="BI1280">
        <v>1</v>
      </c>
      <c r="BJ1280">
        <v>1</v>
      </c>
      <c r="BK1280">
        <v>0</v>
      </c>
      <c r="BL1280">
        <v>0</v>
      </c>
      <c r="BO1280">
        <v>0</v>
      </c>
      <c r="BP1280">
        <v>0</v>
      </c>
      <c r="BW1280" t="str">
        <f t="shared" si="605"/>
        <v>14:43:18.907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343</v>
      </c>
      <c r="CR1280">
        <v>1</v>
      </c>
      <c r="CW1280">
        <v>10650879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 t="shared" si="602"/>
        <v>05/12/2020 14:43:01.072</v>
      </c>
      <c r="C1281" t="str">
        <f t="shared" si="585"/>
        <v>FFDFD3C0</v>
      </c>
      <c r="D1281" t="s">
        <v>134</v>
      </c>
      <c r="E1281">
        <v>12</v>
      </c>
      <c r="H1281">
        <v>64</v>
      </c>
      <c r="I1281" t="s">
        <v>135</v>
      </c>
      <c r="J1281" t="s">
        <v>136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03"/>
        <v>14:43:18.906</v>
      </c>
      <c r="T1281" t="str">
        <f t="shared" si="604"/>
        <v>14:43:18.606</v>
      </c>
      <c r="U1281" t="str">
        <f t="shared" si="575"/>
        <v>A9808D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369</v>
      </c>
      <c r="AJ1281">
        <v>28.285589000000002</v>
      </c>
      <c r="AK1281" t="s">
        <v>211</v>
      </c>
      <c r="AL1281">
        <v>-82.382784000000001</v>
      </c>
      <c r="AM1281">
        <v>100</v>
      </c>
      <c r="AN1281">
        <v>1400</v>
      </c>
      <c r="AO1281" t="s">
        <v>118</v>
      </c>
      <c r="AP1281">
        <v>55</v>
      </c>
      <c r="AQ1281">
        <v>74</v>
      </c>
      <c r="AR1281">
        <v>1216</v>
      </c>
      <c r="AZ1281">
        <v>1200</v>
      </c>
      <c r="BA1281">
        <v>1</v>
      </c>
      <c r="BB1281" t="str">
        <f t="shared" si="588"/>
        <v xml:space="preserve">N711JA  </v>
      </c>
      <c r="BC1281">
        <v>1</v>
      </c>
      <c r="BE1281">
        <v>0</v>
      </c>
      <c r="BF1281">
        <v>0</v>
      </c>
      <c r="BG1281">
        <v>0</v>
      </c>
      <c r="BH1281">
        <v>1500</v>
      </c>
      <c r="BI1281">
        <v>1</v>
      </c>
      <c r="BJ1281">
        <v>1</v>
      </c>
      <c r="BK1281">
        <v>0</v>
      </c>
      <c r="BL1281">
        <v>0</v>
      </c>
      <c r="BO1281">
        <v>0</v>
      </c>
      <c r="BP1281">
        <v>0</v>
      </c>
      <c r="BW1281" t="str">
        <f t="shared" si="605"/>
        <v>14:43:18.907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343</v>
      </c>
      <c r="CR1281">
        <v>1</v>
      </c>
      <c r="CW1281">
        <v>10650879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 t="shared" si="602"/>
        <v>05/12/2020 14:43:01.072</v>
      </c>
      <c r="C1282" t="str">
        <f t="shared" si="585"/>
        <v>FFDFD3C0</v>
      </c>
      <c r="D1282" t="s">
        <v>126</v>
      </c>
      <c r="E1282">
        <v>6</v>
      </c>
      <c r="F1282">
        <v>1006</v>
      </c>
      <c r="G1282" t="s">
        <v>114</v>
      </c>
      <c r="J1282" t="s">
        <v>128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603"/>
        <v>14:43:18.906</v>
      </c>
      <c r="T1282" t="str">
        <f t="shared" si="604"/>
        <v>14:43:18.606</v>
      </c>
      <c r="U1282" t="str">
        <f t="shared" ref="U1282:U1345" si="606">"A9808D"</f>
        <v>A9808D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369</v>
      </c>
      <c r="AJ1282">
        <v>28.285589000000002</v>
      </c>
      <c r="AK1282" t="s">
        <v>211</v>
      </c>
      <c r="AL1282">
        <v>-82.382784000000001</v>
      </c>
      <c r="AM1282">
        <v>100</v>
      </c>
      <c r="AN1282">
        <v>1400</v>
      </c>
      <c r="AO1282" t="s">
        <v>118</v>
      </c>
      <c r="AP1282">
        <v>55</v>
      </c>
      <c r="AQ1282">
        <v>74</v>
      </c>
      <c r="AR1282">
        <v>1216</v>
      </c>
      <c r="AZ1282">
        <v>1200</v>
      </c>
      <c r="BA1282">
        <v>1</v>
      </c>
      <c r="BB1282" t="str">
        <f t="shared" si="588"/>
        <v xml:space="preserve">N711JA  </v>
      </c>
      <c r="BC1282">
        <v>1</v>
      </c>
      <c r="BE1282">
        <v>0</v>
      </c>
      <c r="BF1282">
        <v>0</v>
      </c>
      <c r="BG1282">
        <v>0</v>
      </c>
      <c r="BH1282">
        <v>1500</v>
      </c>
      <c r="BI1282">
        <v>1</v>
      </c>
      <c r="BJ1282">
        <v>1</v>
      </c>
      <c r="BK1282">
        <v>0</v>
      </c>
      <c r="BL1282">
        <v>0</v>
      </c>
      <c r="BO1282">
        <v>0</v>
      </c>
      <c r="BP1282">
        <v>0</v>
      </c>
      <c r="BW1282" t="str">
        <f t="shared" si="605"/>
        <v>14:43:18.907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343</v>
      </c>
      <c r="CR1282">
        <v>1</v>
      </c>
      <c r="CW1282">
        <v>10650879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 t="shared" ref="A1283:A1291" si="607">"05/12/2020 14:43:02.067"</f>
        <v>05/12/2020 14:43:02.067</v>
      </c>
      <c r="C1283" t="str">
        <f t="shared" si="585"/>
        <v>FFDFD3C0</v>
      </c>
      <c r="D1283" t="s">
        <v>126</v>
      </c>
      <c r="E1283">
        <v>6</v>
      </c>
      <c r="F1283">
        <v>1006</v>
      </c>
      <c r="G1283" t="s">
        <v>114</v>
      </c>
      <c r="J1283" t="s">
        <v>128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S1291" si="608">"14:43:19.898"</f>
        <v>14:43:19.898</v>
      </c>
      <c r="T1283" t="str">
        <f t="shared" ref="T1283:T1291" si="609">"14:43:19.498"</f>
        <v>14:43:19.498</v>
      </c>
      <c r="U1283" t="str">
        <f t="shared" si="606"/>
        <v>A9808D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370</v>
      </c>
      <c r="AJ1283">
        <v>28.285910999999999</v>
      </c>
      <c r="AK1283" t="s">
        <v>223</v>
      </c>
      <c r="AL1283">
        <v>-82.382462000000004</v>
      </c>
      <c r="AM1283">
        <v>100</v>
      </c>
      <c r="AN1283">
        <v>1400</v>
      </c>
      <c r="AO1283" t="s">
        <v>118</v>
      </c>
      <c r="AP1283">
        <v>60</v>
      </c>
      <c r="AQ1283">
        <v>68</v>
      </c>
      <c r="AR1283">
        <v>1152</v>
      </c>
      <c r="AZ1283">
        <v>1200</v>
      </c>
      <c r="BA1283">
        <v>1</v>
      </c>
      <c r="BB1283" t="str">
        <f t="shared" si="588"/>
        <v xml:space="preserve">N711JA  </v>
      </c>
      <c r="BC1283">
        <v>1</v>
      </c>
      <c r="BE1283">
        <v>0</v>
      </c>
      <c r="BF1283">
        <v>0</v>
      </c>
      <c r="BG1283">
        <v>0</v>
      </c>
      <c r="BH1283">
        <v>1525</v>
      </c>
      <c r="BI1283">
        <v>1</v>
      </c>
      <c r="BJ1283">
        <v>1</v>
      </c>
      <c r="BK1283">
        <v>0</v>
      </c>
      <c r="BL1283">
        <v>0</v>
      </c>
      <c r="BO1283">
        <v>0</v>
      </c>
      <c r="BP1283">
        <v>0</v>
      </c>
      <c r="BW1283" t="str">
        <f t="shared" ref="BW1283:BW1291" si="610">"14:43:19.901"</f>
        <v>14:43:19.901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343</v>
      </c>
      <c r="CR1283">
        <v>1</v>
      </c>
      <c r="CW1283">
        <v>10651906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 t="shared" si="607"/>
        <v>05/12/2020 14:43:02.067</v>
      </c>
      <c r="C1284" t="str">
        <f t="shared" si="585"/>
        <v>FFDFD3C0</v>
      </c>
      <c r="D1284" t="s">
        <v>134</v>
      </c>
      <c r="E1284">
        <v>12</v>
      </c>
      <c r="H1284">
        <v>64</v>
      </c>
      <c r="I1284" t="s">
        <v>135</v>
      </c>
      <c r="J1284" t="s">
        <v>136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608"/>
        <v>14:43:19.898</v>
      </c>
      <c r="T1284" t="str">
        <f t="shared" si="609"/>
        <v>14:43:19.498</v>
      </c>
      <c r="U1284" t="str">
        <f t="shared" si="606"/>
        <v>A9808D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370</v>
      </c>
      <c r="AJ1284">
        <v>28.285910999999999</v>
      </c>
      <c r="AK1284" t="s">
        <v>223</v>
      </c>
      <c r="AL1284">
        <v>-82.382462000000004</v>
      </c>
      <c r="AM1284">
        <v>100</v>
      </c>
      <c r="AN1284">
        <v>1400</v>
      </c>
      <c r="AO1284" t="s">
        <v>118</v>
      </c>
      <c r="AP1284">
        <v>60</v>
      </c>
      <c r="AQ1284">
        <v>68</v>
      </c>
      <c r="AR1284">
        <v>1152</v>
      </c>
      <c r="AZ1284">
        <v>1200</v>
      </c>
      <c r="BA1284">
        <v>1</v>
      </c>
      <c r="BB1284" t="str">
        <f t="shared" si="588"/>
        <v xml:space="preserve">N711JA  </v>
      </c>
      <c r="BC1284">
        <v>1</v>
      </c>
      <c r="BE1284">
        <v>0</v>
      </c>
      <c r="BF1284">
        <v>0</v>
      </c>
      <c r="BG1284">
        <v>0</v>
      </c>
      <c r="BH1284">
        <v>1525</v>
      </c>
      <c r="BI1284">
        <v>1</v>
      </c>
      <c r="BJ1284">
        <v>1</v>
      </c>
      <c r="BK1284">
        <v>0</v>
      </c>
      <c r="BL1284">
        <v>0</v>
      </c>
      <c r="BO1284">
        <v>0</v>
      </c>
      <c r="BP1284">
        <v>0</v>
      </c>
      <c r="BW1284" t="str">
        <f t="shared" si="610"/>
        <v>14:43:19.901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343</v>
      </c>
      <c r="CR1284">
        <v>1</v>
      </c>
      <c r="CW1284">
        <v>10651906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 t="shared" si="607"/>
        <v>05/12/2020 14:43:02.067</v>
      </c>
      <c r="C1285" t="str">
        <f t="shared" si="585"/>
        <v>FFDFD3C0</v>
      </c>
      <c r="D1285" t="s">
        <v>113</v>
      </c>
      <c r="E1285">
        <v>3</v>
      </c>
      <c r="H1285">
        <v>164</v>
      </c>
      <c r="I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608"/>
        <v>14:43:19.898</v>
      </c>
      <c r="T1285" t="str">
        <f t="shared" si="609"/>
        <v>14:43:19.498</v>
      </c>
      <c r="U1285" t="str">
        <f t="shared" si="606"/>
        <v>A9808D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370</v>
      </c>
      <c r="AJ1285">
        <v>28.285910999999999</v>
      </c>
      <c r="AK1285" t="s">
        <v>223</v>
      </c>
      <c r="AL1285">
        <v>-82.382462000000004</v>
      </c>
      <c r="AM1285">
        <v>100</v>
      </c>
      <c r="AN1285">
        <v>1400</v>
      </c>
      <c r="AO1285" t="s">
        <v>118</v>
      </c>
      <c r="AP1285">
        <v>60</v>
      </c>
      <c r="AQ1285">
        <v>68</v>
      </c>
      <c r="AR1285">
        <v>1152</v>
      </c>
      <c r="AZ1285">
        <v>1200</v>
      </c>
      <c r="BA1285">
        <v>1</v>
      </c>
      <c r="BB1285" t="str">
        <f t="shared" si="588"/>
        <v xml:space="preserve">N711JA  </v>
      </c>
      <c r="BC1285">
        <v>1</v>
      </c>
      <c r="BE1285">
        <v>0</v>
      </c>
      <c r="BF1285">
        <v>0</v>
      </c>
      <c r="BG1285">
        <v>0</v>
      </c>
      <c r="BH1285">
        <v>1525</v>
      </c>
      <c r="BI1285">
        <v>1</v>
      </c>
      <c r="BJ1285">
        <v>1</v>
      </c>
      <c r="BK1285">
        <v>0</v>
      </c>
      <c r="BL1285">
        <v>0</v>
      </c>
      <c r="BO1285">
        <v>0</v>
      </c>
      <c r="BP1285">
        <v>0</v>
      </c>
      <c r="BW1285" t="str">
        <f t="shared" si="610"/>
        <v>14:43:19.901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343</v>
      </c>
      <c r="CR1285">
        <v>1</v>
      </c>
      <c r="CW1285">
        <v>10651906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 t="shared" si="607"/>
        <v>05/12/2020 14:43:02.067</v>
      </c>
      <c r="C1286" t="str">
        <f t="shared" si="585"/>
        <v>FFDFD3C0</v>
      </c>
      <c r="D1286" t="s">
        <v>138</v>
      </c>
      <c r="E1286">
        <v>2</v>
      </c>
      <c r="H1286">
        <v>8</v>
      </c>
      <c r="I1286" t="s">
        <v>139</v>
      </c>
      <c r="J1286" t="s">
        <v>136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608"/>
        <v>14:43:19.898</v>
      </c>
      <c r="T1286" t="str">
        <f t="shared" si="609"/>
        <v>14:43:19.498</v>
      </c>
      <c r="U1286" t="str">
        <f t="shared" si="606"/>
        <v>A9808D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370</v>
      </c>
      <c r="AJ1286">
        <v>28.285910999999999</v>
      </c>
      <c r="AK1286" t="s">
        <v>223</v>
      </c>
      <c r="AL1286">
        <v>-82.382462000000004</v>
      </c>
      <c r="AM1286">
        <v>100</v>
      </c>
      <c r="AN1286">
        <v>1400</v>
      </c>
      <c r="AO1286" t="s">
        <v>118</v>
      </c>
      <c r="AP1286">
        <v>60</v>
      </c>
      <c r="AQ1286">
        <v>68</v>
      </c>
      <c r="AR1286">
        <v>1152</v>
      </c>
      <c r="AZ1286">
        <v>1200</v>
      </c>
      <c r="BA1286">
        <v>1</v>
      </c>
      <c r="BB1286" t="str">
        <f t="shared" si="588"/>
        <v xml:space="preserve">N711JA  </v>
      </c>
      <c r="BC1286">
        <v>1</v>
      </c>
      <c r="BE1286">
        <v>0</v>
      </c>
      <c r="BF1286">
        <v>0</v>
      </c>
      <c r="BG1286">
        <v>0</v>
      </c>
      <c r="BH1286">
        <v>1525</v>
      </c>
      <c r="BI1286">
        <v>1</v>
      </c>
      <c r="BJ1286">
        <v>1</v>
      </c>
      <c r="BK1286">
        <v>0</v>
      </c>
      <c r="BL1286">
        <v>0</v>
      </c>
      <c r="BO1286">
        <v>0</v>
      </c>
      <c r="BP1286">
        <v>0</v>
      </c>
      <c r="BW1286" t="str">
        <f t="shared" si="610"/>
        <v>14:43:19.901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343</v>
      </c>
      <c r="CR1286">
        <v>1</v>
      </c>
      <c r="CW1286">
        <v>10651906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 t="shared" si="607"/>
        <v>05/12/2020 14:43:02.067</v>
      </c>
      <c r="C1287" t="str">
        <f t="shared" si="585"/>
        <v>FFDFD3C0</v>
      </c>
      <c r="D1287" t="s">
        <v>131</v>
      </c>
      <c r="E1287">
        <v>10</v>
      </c>
      <c r="F1287">
        <v>2010</v>
      </c>
      <c r="G1287" t="s">
        <v>132</v>
      </c>
      <c r="J1287" t="s">
        <v>133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608"/>
        <v>14:43:19.898</v>
      </c>
      <c r="T1287" t="str">
        <f t="shared" si="609"/>
        <v>14:43:19.498</v>
      </c>
      <c r="U1287" t="str">
        <f t="shared" si="606"/>
        <v>A9808D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370</v>
      </c>
      <c r="AJ1287">
        <v>28.285910999999999</v>
      </c>
      <c r="AK1287" t="s">
        <v>223</v>
      </c>
      <c r="AL1287">
        <v>-82.382462000000004</v>
      </c>
      <c r="AM1287">
        <v>100</v>
      </c>
      <c r="AN1287">
        <v>1400</v>
      </c>
      <c r="AO1287" t="s">
        <v>118</v>
      </c>
      <c r="AP1287">
        <v>60</v>
      </c>
      <c r="AQ1287">
        <v>68</v>
      </c>
      <c r="AR1287">
        <v>1152</v>
      </c>
      <c r="AZ1287">
        <v>1200</v>
      </c>
      <c r="BA1287">
        <v>1</v>
      </c>
      <c r="BB1287" t="str">
        <f t="shared" si="588"/>
        <v xml:space="preserve">N711JA  </v>
      </c>
      <c r="BC1287">
        <v>1</v>
      </c>
      <c r="BE1287">
        <v>0</v>
      </c>
      <c r="BF1287">
        <v>0</v>
      </c>
      <c r="BG1287">
        <v>0</v>
      </c>
      <c r="BH1287">
        <v>1525</v>
      </c>
      <c r="BI1287">
        <v>1</v>
      </c>
      <c r="BJ1287">
        <v>1</v>
      </c>
      <c r="BK1287">
        <v>0</v>
      </c>
      <c r="BL1287">
        <v>0</v>
      </c>
      <c r="BO1287">
        <v>0</v>
      </c>
      <c r="BP1287">
        <v>0</v>
      </c>
      <c r="BW1287" t="str">
        <f t="shared" si="610"/>
        <v>14:43:19.901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343</v>
      </c>
      <c r="CR1287">
        <v>1</v>
      </c>
      <c r="CW1287">
        <v>10651906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 t="shared" si="607"/>
        <v>05/12/2020 14:43:02.067</v>
      </c>
      <c r="C1288" t="str">
        <f t="shared" si="585"/>
        <v>FFDFD3C0</v>
      </c>
      <c r="D1288" t="s">
        <v>131</v>
      </c>
      <c r="E1288">
        <v>12</v>
      </c>
      <c r="F1288">
        <v>2012</v>
      </c>
      <c r="G1288" t="s">
        <v>137</v>
      </c>
      <c r="J1288" t="s">
        <v>133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608"/>
        <v>14:43:19.898</v>
      </c>
      <c r="T1288" t="str">
        <f t="shared" si="609"/>
        <v>14:43:19.498</v>
      </c>
      <c r="U1288" t="str">
        <f t="shared" si="606"/>
        <v>A9808D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370</v>
      </c>
      <c r="AJ1288">
        <v>28.285910999999999</v>
      </c>
      <c r="AK1288" t="s">
        <v>223</v>
      </c>
      <c r="AL1288">
        <v>-82.382462000000004</v>
      </c>
      <c r="AM1288">
        <v>100</v>
      </c>
      <c r="AN1288">
        <v>1400</v>
      </c>
      <c r="AO1288" t="s">
        <v>118</v>
      </c>
      <c r="AP1288">
        <v>60</v>
      </c>
      <c r="AQ1288">
        <v>68</v>
      </c>
      <c r="AR1288">
        <v>1152</v>
      </c>
      <c r="AZ1288">
        <v>1200</v>
      </c>
      <c r="BA1288">
        <v>1</v>
      </c>
      <c r="BB1288" t="str">
        <f t="shared" si="588"/>
        <v xml:space="preserve">N711JA  </v>
      </c>
      <c r="BC1288">
        <v>1</v>
      </c>
      <c r="BE1288">
        <v>0</v>
      </c>
      <c r="BF1288">
        <v>0</v>
      </c>
      <c r="BG1288">
        <v>0</v>
      </c>
      <c r="BH1288">
        <v>1525</v>
      </c>
      <c r="BI1288">
        <v>1</v>
      </c>
      <c r="BJ1288">
        <v>1</v>
      </c>
      <c r="BK1288">
        <v>0</v>
      </c>
      <c r="BL1288">
        <v>0</v>
      </c>
      <c r="BO1288">
        <v>0</v>
      </c>
      <c r="BP1288">
        <v>0</v>
      </c>
      <c r="BW1288" t="str">
        <f t="shared" si="610"/>
        <v>14:43:19.901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343</v>
      </c>
      <c r="CR1288">
        <v>1</v>
      </c>
      <c r="CW1288">
        <v>10651906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si="607"/>
        <v>05/12/2020 14:43:02.067</v>
      </c>
      <c r="C1289" t="str">
        <f t="shared" si="585"/>
        <v>FFDFD3C0</v>
      </c>
      <c r="D1289" t="s">
        <v>126</v>
      </c>
      <c r="E1289">
        <v>7</v>
      </c>
      <c r="F1289">
        <v>1007</v>
      </c>
      <c r="G1289" t="s">
        <v>127</v>
      </c>
      <c r="J1289" t="s">
        <v>128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608"/>
        <v>14:43:19.898</v>
      </c>
      <c r="T1289" t="str">
        <f t="shared" si="609"/>
        <v>14:43:19.498</v>
      </c>
      <c r="U1289" t="str">
        <f t="shared" si="606"/>
        <v>A9808D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370</v>
      </c>
      <c r="AJ1289">
        <v>28.285910999999999</v>
      </c>
      <c r="AK1289" t="s">
        <v>223</v>
      </c>
      <c r="AL1289">
        <v>-82.382462000000004</v>
      </c>
      <c r="AM1289">
        <v>100</v>
      </c>
      <c r="AN1289">
        <v>1400</v>
      </c>
      <c r="AO1289" t="s">
        <v>118</v>
      </c>
      <c r="AP1289">
        <v>60</v>
      </c>
      <c r="AQ1289">
        <v>68</v>
      </c>
      <c r="AR1289">
        <v>1152</v>
      </c>
      <c r="AZ1289">
        <v>1200</v>
      </c>
      <c r="BA1289">
        <v>1</v>
      </c>
      <c r="BB1289" t="str">
        <f t="shared" si="588"/>
        <v xml:space="preserve">N711JA  </v>
      </c>
      <c r="BC1289">
        <v>1</v>
      </c>
      <c r="BE1289">
        <v>0</v>
      </c>
      <c r="BF1289">
        <v>0</v>
      </c>
      <c r="BG1289">
        <v>0</v>
      </c>
      <c r="BH1289">
        <v>1525</v>
      </c>
      <c r="BI1289">
        <v>1</v>
      </c>
      <c r="BJ1289">
        <v>1</v>
      </c>
      <c r="BK1289">
        <v>0</v>
      </c>
      <c r="BL1289">
        <v>0</v>
      </c>
      <c r="BO1289">
        <v>0</v>
      </c>
      <c r="BP1289">
        <v>0</v>
      </c>
      <c r="BW1289" t="str">
        <f t="shared" si="610"/>
        <v>14:43:19.901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343</v>
      </c>
      <c r="CR1289">
        <v>1</v>
      </c>
      <c r="CW1289">
        <v>10651906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607"/>
        <v>05/12/2020 14:43:02.067</v>
      </c>
      <c r="C1290" t="str">
        <f t="shared" si="585"/>
        <v>FFDFD3C0</v>
      </c>
      <c r="D1290" t="s">
        <v>131</v>
      </c>
      <c r="E1290">
        <v>18</v>
      </c>
      <c r="F1290">
        <v>2018</v>
      </c>
      <c r="G1290" t="s">
        <v>161</v>
      </c>
      <c r="J1290" t="s">
        <v>133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608"/>
        <v>14:43:19.898</v>
      </c>
      <c r="T1290" t="str">
        <f t="shared" si="609"/>
        <v>14:43:19.498</v>
      </c>
      <c r="U1290" t="str">
        <f t="shared" si="606"/>
        <v>A9808D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370</v>
      </c>
      <c r="AJ1290">
        <v>28.285910999999999</v>
      </c>
      <c r="AK1290" t="s">
        <v>223</v>
      </c>
      <c r="AL1290">
        <v>-82.382462000000004</v>
      </c>
      <c r="AM1290">
        <v>100</v>
      </c>
      <c r="AN1290">
        <v>1400</v>
      </c>
      <c r="AO1290" t="s">
        <v>118</v>
      </c>
      <c r="AP1290">
        <v>60</v>
      </c>
      <c r="AQ1290">
        <v>68</v>
      </c>
      <c r="AR1290">
        <v>1152</v>
      </c>
      <c r="AZ1290">
        <v>1200</v>
      </c>
      <c r="BA1290">
        <v>1</v>
      </c>
      <c r="BB1290" t="str">
        <f t="shared" si="588"/>
        <v xml:space="preserve">N711JA  </v>
      </c>
      <c r="BC1290">
        <v>1</v>
      </c>
      <c r="BE1290">
        <v>0</v>
      </c>
      <c r="BF1290">
        <v>0</v>
      </c>
      <c r="BG1290">
        <v>0</v>
      </c>
      <c r="BH1290">
        <v>1525</v>
      </c>
      <c r="BI1290">
        <v>1</v>
      </c>
      <c r="BJ1290">
        <v>1</v>
      </c>
      <c r="BK1290">
        <v>0</v>
      </c>
      <c r="BL1290">
        <v>0</v>
      </c>
      <c r="BO1290">
        <v>0</v>
      </c>
      <c r="BP1290">
        <v>0</v>
      </c>
      <c r="BW1290" t="str">
        <f t="shared" si="610"/>
        <v>14:43:19.901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343</v>
      </c>
      <c r="CR1290">
        <v>1</v>
      </c>
      <c r="CW1290">
        <v>10651906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 t="shared" si="607"/>
        <v>05/12/2020 14:43:02.067</v>
      </c>
      <c r="C1291" t="str">
        <f t="shared" si="585"/>
        <v>FFDFD3C0</v>
      </c>
      <c r="D1291" t="s">
        <v>138</v>
      </c>
      <c r="E1291">
        <v>3</v>
      </c>
      <c r="H1291">
        <v>9</v>
      </c>
      <c r="I1291" t="s">
        <v>140</v>
      </c>
      <c r="J1291" t="s">
        <v>136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608"/>
        <v>14:43:19.898</v>
      </c>
      <c r="T1291" t="str">
        <f t="shared" si="609"/>
        <v>14:43:19.498</v>
      </c>
      <c r="U1291" t="str">
        <f t="shared" si="606"/>
        <v>A9808D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370</v>
      </c>
      <c r="AJ1291">
        <v>28.285910999999999</v>
      </c>
      <c r="AK1291" t="s">
        <v>223</v>
      </c>
      <c r="AL1291">
        <v>-82.382462000000004</v>
      </c>
      <c r="AM1291">
        <v>100</v>
      </c>
      <c r="AN1291">
        <v>1400</v>
      </c>
      <c r="AO1291" t="s">
        <v>118</v>
      </c>
      <c r="AP1291">
        <v>60</v>
      </c>
      <c r="AQ1291">
        <v>68</v>
      </c>
      <c r="AR1291">
        <v>1152</v>
      </c>
      <c r="AZ1291">
        <v>1200</v>
      </c>
      <c r="BA1291">
        <v>1</v>
      </c>
      <c r="BB1291" t="str">
        <f t="shared" si="588"/>
        <v xml:space="preserve">N711JA  </v>
      </c>
      <c r="BC1291">
        <v>1</v>
      </c>
      <c r="BE1291">
        <v>0</v>
      </c>
      <c r="BF1291">
        <v>0</v>
      </c>
      <c r="BG1291">
        <v>0</v>
      </c>
      <c r="BH1291">
        <v>1525</v>
      </c>
      <c r="BI1291">
        <v>1</v>
      </c>
      <c r="BJ1291">
        <v>1</v>
      </c>
      <c r="BK1291">
        <v>0</v>
      </c>
      <c r="BL1291">
        <v>0</v>
      </c>
      <c r="BO1291">
        <v>0</v>
      </c>
      <c r="BP1291">
        <v>0</v>
      </c>
      <c r="BW1291" t="str">
        <f t="shared" si="610"/>
        <v>14:43:19.901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343</v>
      </c>
      <c r="CR1291">
        <v>1</v>
      </c>
      <c r="CW1291">
        <v>10651906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 t="shared" ref="A1292:A1300" si="611">"05/12/2020 14:43:03.010"</f>
        <v>05/12/2020 14:43:03.010</v>
      </c>
      <c r="C1292" t="str">
        <f t="shared" si="585"/>
        <v>FFDFD3C0</v>
      </c>
      <c r="D1292" t="s">
        <v>138</v>
      </c>
      <c r="E1292">
        <v>3</v>
      </c>
      <c r="H1292">
        <v>9</v>
      </c>
      <c r="I1292" t="s">
        <v>140</v>
      </c>
      <c r="J1292" t="s">
        <v>136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ref="S1292:S1300" si="612">"14:43:20.844"</f>
        <v>14:43:20.844</v>
      </c>
      <c r="T1292" t="str">
        <f t="shared" ref="T1292:T1300" si="613">"14:43:20.544"</f>
        <v>14:43:20.544</v>
      </c>
      <c r="U1292" t="str">
        <f t="shared" si="606"/>
        <v>A9808D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371</v>
      </c>
      <c r="AJ1292">
        <v>28.286169000000001</v>
      </c>
      <c r="AK1292" t="s">
        <v>158</v>
      </c>
      <c r="AL1292">
        <v>-82.382119000000003</v>
      </c>
      <c r="AM1292">
        <v>100</v>
      </c>
      <c r="AN1292">
        <v>1400</v>
      </c>
      <c r="AO1292" t="s">
        <v>118</v>
      </c>
      <c r="AP1292">
        <v>65</v>
      </c>
      <c r="AQ1292">
        <v>61</v>
      </c>
      <c r="AR1292">
        <v>960</v>
      </c>
      <c r="AZ1292">
        <v>1200</v>
      </c>
      <c r="BA1292">
        <v>1</v>
      </c>
      <c r="BB1292" t="str">
        <f t="shared" si="588"/>
        <v xml:space="preserve">N711JA  </v>
      </c>
      <c r="BC1292">
        <v>1</v>
      </c>
      <c r="BE1292">
        <v>0</v>
      </c>
      <c r="BF1292">
        <v>0</v>
      </c>
      <c r="BG1292">
        <v>0</v>
      </c>
      <c r="BH1292">
        <v>1525</v>
      </c>
      <c r="BI1292">
        <v>1</v>
      </c>
      <c r="BJ1292">
        <v>1</v>
      </c>
      <c r="BK1292">
        <v>0</v>
      </c>
      <c r="BL1292">
        <v>0</v>
      </c>
      <c r="BO1292">
        <v>0</v>
      </c>
      <c r="BP1292">
        <v>0</v>
      </c>
      <c r="BW1292" t="str">
        <f t="shared" ref="BW1292:BW1300" si="614">"14:43:20.845"</f>
        <v>14:43:20.845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343</v>
      </c>
      <c r="CR1292">
        <v>1</v>
      </c>
      <c r="CW1292">
        <v>10652851</v>
      </c>
      <c r="CY1292">
        <v>1</v>
      </c>
      <c r="CZ1292">
        <v>0</v>
      </c>
      <c r="DA1292">
        <v>0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 t="shared" si="611"/>
        <v>05/12/2020 14:43:03.010</v>
      </c>
      <c r="C1293" t="str">
        <f t="shared" si="585"/>
        <v>FFDFD3C0</v>
      </c>
      <c r="D1293" t="s">
        <v>126</v>
      </c>
      <c r="E1293">
        <v>6</v>
      </c>
      <c r="F1293">
        <v>1006</v>
      </c>
      <c r="G1293" t="s">
        <v>114</v>
      </c>
      <c r="J1293" t="s">
        <v>128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612"/>
        <v>14:43:20.844</v>
      </c>
      <c r="T1293" t="str">
        <f t="shared" si="613"/>
        <v>14:43:20.544</v>
      </c>
      <c r="U1293" t="str">
        <f t="shared" si="606"/>
        <v>A9808D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371</v>
      </c>
      <c r="AJ1293">
        <v>28.286169000000001</v>
      </c>
      <c r="AK1293" t="s">
        <v>158</v>
      </c>
      <c r="AL1293">
        <v>-82.382119000000003</v>
      </c>
      <c r="AM1293">
        <v>100</v>
      </c>
      <c r="AN1293">
        <v>1400</v>
      </c>
      <c r="AO1293" t="s">
        <v>118</v>
      </c>
      <c r="AP1293">
        <v>65</v>
      </c>
      <c r="AQ1293">
        <v>61</v>
      </c>
      <c r="AR1293">
        <v>960</v>
      </c>
      <c r="AZ1293">
        <v>1200</v>
      </c>
      <c r="BA1293">
        <v>1</v>
      </c>
      <c r="BB1293" t="str">
        <f t="shared" si="588"/>
        <v xml:space="preserve">N711JA  </v>
      </c>
      <c r="BC1293">
        <v>1</v>
      </c>
      <c r="BE1293">
        <v>0</v>
      </c>
      <c r="BF1293">
        <v>0</v>
      </c>
      <c r="BG1293">
        <v>0</v>
      </c>
      <c r="BH1293">
        <v>1525</v>
      </c>
      <c r="BI1293">
        <v>1</v>
      </c>
      <c r="BJ1293">
        <v>1</v>
      </c>
      <c r="BK1293">
        <v>0</v>
      </c>
      <c r="BL1293">
        <v>0</v>
      </c>
      <c r="BO1293">
        <v>0</v>
      </c>
      <c r="BP1293">
        <v>0</v>
      </c>
      <c r="BW1293" t="str">
        <f t="shared" si="614"/>
        <v>14:43:20.845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343</v>
      </c>
      <c r="CR1293">
        <v>1</v>
      </c>
      <c r="CW1293">
        <v>10652851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 t="shared" si="611"/>
        <v>05/12/2020 14:43:03.010</v>
      </c>
      <c r="C1294" t="str">
        <f t="shared" si="585"/>
        <v>FFDFD3C0</v>
      </c>
      <c r="D1294" t="s">
        <v>134</v>
      </c>
      <c r="E1294">
        <v>12</v>
      </c>
      <c r="H1294">
        <v>64</v>
      </c>
      <c r="I1294" t="s">
        <v>135</v>
      </c>
      <c r="J1294" t="s">
        <v>136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612"/>
        <v>14:43:20.844</v>
      </c>
      <c r="T1294" t="str">
        <f t="shared" si="613"/>
        <v>14:43:20.544</v>
      </c>
      <c r="U1294" t="str">
        <f t="shared" si="606"/>
        <v>A9808D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371</v>
      </c>
      <c r="AJ1294">
        <v>28.286169000000001</v>
      </c>
      <c r="AK1294" t="s">
        <v>158</v>
      </c>
      <c r="AL1294">
        <v>-82.382119000000003</v>
      </c>
      <c r="AM1294">
        <v>100</v>
      </c>
      <c r="AN1294">
        <v>1400</v>
      </c>
      <c r="AO1294" t="s">
        <v>118</v>
      </c>
      <c r="AP1294">
        <v>65</v>
      </c>
      <c r="AQ1294">
        <v>61</v>
      </c>
      <c r="AR1294">
        <v>960</v>
      </c>
      <c r="AZ1294">
        <v>1200</v>
      </c>
      <c r="BA1294">
        <v>1</v>
      </c>
      <c r="BB1294" t="str">
        <f t="shared" si="588"/>
        <v xml:space="preserve">N711JA  </v>
      </c>
      <c r="BC1294">
        <v>1</v>
      </c>
      <c r="BE1294">
        <v>0</v>
      </c>
      <c r="BF1294">
        <v>0</v>
      </c>
      <c r="BG1294">
        <v>0</v>
      </c>
      <c r="BH1294">
        <v>1525</v>
      </c>
      <c r="BI1294">
        <v>1</v>
      </c>
      <c r="BJ1294">
        <v>1</v>
      </c>
      <c r="BK1294">
        <v>0</v>
      </c>
      <c r="BL1294">
        <v>0</v>
      </c>
      <c r="BO1294">
        <v>0</v>
      </c>
      <c r="BP1294">
        <v>0</v>
      </c>
      <c r="BW1294" t="str">
        <f t="shared" si="614"/>
        <v>14:43:20.845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343</v>
      </c>
      <c r="CR1294">
        <v>1</v>
      </c>
      <c r="CW1294">
        <v>10652851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 t="shared" si="611"/>
        <v>05/12/2020 14:43:03.010</v>
      </c>
      <c r="C1295" t="str">
        <f t="shared" si="585"/>
        <v>FFDFD3C0</v>
      </c>
      <c r="D1295" t="s">
        <v>126</v>
      </c>
      <c r="E1295">
        <v>7</v>
      </c>
      <c r="F1295">
        <v>1007</v>
      </c>
      <c r="G1295" t="s">
        <v>127</v>
      </c>
      <c r="J1295" t="s">
        <v>128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612"/>
        <v>14:43:20.844</v>
      </c>
      <c r="T1295" t="str">
        <f t="shared" si="613"/>
        <v>14:43:20.544</v>
      </c>
      <c r="U1295" t="str">
        <f t="shared" si="606"/>
        <v>A9808D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371</v>
      </c>
      <c r="AJ1295">
        <v>28.286169000000001</v>
      </c>
      <c r="AK1295" t="s">
        <v>158</v>
      </c>
      <c r="AL1295">
        <v>-82.382119000000003</v>
      </c>
      <c r="AM1295">
        <v>100</v>
      </c>
      <c r="AN1295">
        <v>1400</v>
      </c>
      <c r="AO1295" t="s">
        <v>118</v>
      </c>
      <c r="AP1295">
        <v>65</v>
      </c>
      <c r="AQ1295">
        <v>61</v>
      </c>
      <c r="AR1295">
        <v>960</v>
      </c>
      <c r="AZ1295">
        <v>1200</v>
      </c>
      <c r="BA1295">
        <v>1</v>
      </c>
      <c r="BB1295" t="str">
        <f t="shared" si="588"/>
        <v xml:space="preserve">N711JA  </v>
      </c>
      <c r="BC1295">
        <v>1</v>
      </c>
      <c r="BE1295">
        <v>0</v>
      </c>
      <c r="BF1295">
        <v>0</v>
      </c>
      <c r="BG1295">
        <v>0</v>
      </c>
      <c r="BH1295">
        <v>1525</v>
      </c>
      <c r="BI1295">
        <v>1</v>
      </c>
      <c r="BJ1295">
        <v>1</v>
      </c>
      <c r="BK1295">
        <v>0</v>
      </c>
      <c r="BL1295">
        <v>0</v>
      </c>
      <c r="BO1295">
        <v>0</v>
      </c>
      <c r="BP1295">
        <v>0</v>
      </c>
      <c r="BW1295" t="str">
        <f t="shared" si="614"/>
        <v>14:43:20.845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343</v>
      </c>
      <c r="CR1295">
        <v>1</v>
      </c>
      <c r="CW1295">
        <v>10652851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 t="shared" si="611"/>
        <v>05/12/2020 14:43:03.010</v>
      </c>
      <c r="C1296" t="str">
        <f t="shared" si="585"/>
        <v>FFDFD3C0</v>
      </c>
      <c r="D1296" t="s">
        <v>131</v>
      </c>
      <c r="E1296">
        <v>10</v>
      </c>
      <c r="F1296">
        <v>2010</v>
      </c>
      <c r="G1296" t="s">
        <v>132</v>
      </c>
      <c r="J1296" t="s">
        <v>133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612"/>
        <v>14:43:20.844</v>
      </c>
      <c r="T1296" t="str">
        <f t="shared" si="613"/>
        <v>14:43:20.544</v>
      </c>
      <c r="U1296" t="str">
        <f t="shared" si="606"/>
        <v>A9808D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371</v>
      </c>
      <c r="AJ1296">
        <v>28.286169000000001</v>
      </c>
      <c r="AK1296" t="s">
        <v>158</v>
      </c>
      <c r="AL1296">
        <v>-82.382119000000003</v>
      </c>
      <c r="AM1296">
        <v>100</v>
      </c>
      <c r="AN1296">
        <v>1400</v>
      </c>
      <c r="AO1296" t="s">
        <v>118</v>
      </c>
      <c r="AP1296">
        <v>65</v>
      </c>
      <c r="AQ1296">
        <v>61</v>
      </c>
      <c r="AR1296">
        <v>960</v>
      </c>
      <c r="AZ1296">
        <v>1200</v>
      </c>
      <c r="BA1296">
        <v>1</v>
      </c>
      <c r="BB1296" t="str">
        <f t="shared" si="588"/>
        <v xml:space="preserve">N711JA  </v>
      </c>
      <c r="BC1296">
        <v>1</v>
      </c>
      <c r="BE1296">
        <v>0</v>
      </c>
      <c r="BF1296">
        <v>0</v>
      </c>
      <c r="BG1296">
        <v>0</v>
      </c>
      <c r="BH1296">
        <v>1525</v>
      </c>
      <c r="BI1296">
        <v>1</v>
      </c>
      <c r="BJ1296">
        <v>1</v>
      </c>
      <c r="BK1296">
        <v>0</v>
      </c>
      <c r="BL1296">
        <v>0</v>
      </c>
      <c r="BO1296">
        <v>0</v>
      </c>
      <c r="BP1296">
        <v>0</v>
      </c>
      <c r="BW1296" t="str">
        <f t="shared" si="614"/>
        <v>14:43:20.845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343</v>
      </c>
      <c r="CR1296">
        <v>1</v>
      </c>
      <c r="CW1296">
        <v>10652851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 t="shared" si="611"/>
        <v>05/12/2020 14:43:03.010</v>
      </c>
      <c r="C1297" t="str">
        <f t="shared" si="585"/>
        <v>FFDFD3C0</v>
      </c>
      <c r="D1297" t="s">
        <v>131</v>
      </c>
      <c r="E1297">
        <v>12</v>
      </c>
      <c r="F1297">
        <v>2012</v>
      </c>
      <c r="G1297" t="s">
        <v>137</v>
      </c>
      <c r="J1297" t="s">
        <v>133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612"/>
        <v>14:43:20.844</v>
      </c>
      <c r="T1297" t="str">
        <f t="shared" si="613"/>
        <v>14:43:20.544</v>
      </c>
      <c r="U1297" t="str">
        <f t="shared" si="606"/>
        <v>A9808D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371</v>
      </c>
      <c r="AJ1297">
        <v>28.286169000000001</v>
      </c>
      <c r="AK1297" t="s">
        <v>158</v>
      </c>
      <c r="AL1297">
        <v>-82.382119000000003</v>
      </c>
      <c r="AM1297">
        <v>100</v>
      </c>
      <c r="AN1297">
        <v>1400</v>
      </c>
      <c r="AO1297" t="s">
        <v>118</v>
      </c>
      <c r="AP1297">
        <v>65</v>
      </c>
      <c r="AQ1297">
        <v>61</v>
      </c>
      <c r="AR1297">
        <v>960</v>
      </c>
      <c r="AZ1297">
        <v>1200</v>
      </c>
      <c r="BA1297">
        <v>1</v>
      </c>
      <c r="BB1297" t="str">
        <f t="shared" si="588"/>
        <v xml:space="preserve">N711JA  </v>
      </c>
      <c r="BC1297">
        <v>1</v>
      </c>
      <c r="BE1297">
        <v>0</v>
      </c>
      <c r="BF1297">
        <v>0</v>
      </c>
      <c r="BG1297">
        <v>0</v>
      </c>
      <c r="BH1297">
        <v>1525</v>
      </c>
      <c r="BI1297">
        <v>1</v>
      </c>
      <c r="BJ1297">
        <v>1</v>
      </c>
      <c r="BK1297">
        <v>0</v>
      </c>
      <c r="BL1297">
        <v>0</v>
      </c>
      <c r="BO1297">
        <v>0</v>
      </c>
      <c r="BP1297">
        <v>0</v>
      </c>
      <c r="BW1297" t="str">
        <f t="shared" si="614"/>
        <v>14:43:20.845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343</v>
      </c>
      <c r="CR1297">
        <v>1</v>
      </c>
      <c r="CW1297">
        <v>10652851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 t="shared" si="611"/>
        <v>05/12/2020 14:43:03.010</v>
      </c>
      <c r="C1298" t="str">
        <f t="shared" si="585"/>
        <v>FFDFD3C0</v>
      </c>
      <c r="D1298" t="s">
        <v>131</v>
      </c>
      <c r="E1298">
        <v>18</v>
      </c>
      <c r="F1298">
        <v>2018</v>
      </c>
      <c r="G1298" t="s">
        <v>161</v>
      </c>
      <c r="J1298" t="s">
        <v>133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612"/>
        <v>14:43:20.844</v>
      </c>
      <c r="T1298" t="str">
        <f t="shared" si="613"/>
        <v>14:43:20.544</v>
      </c>
      <c r="U1298" t="str">
        <f t="shared" si="606"/>
        <v>A9808D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371</v>
      </c>
      <c r="AJ1298">
        <v>28.286169000000001</v>
      </c>
      <c r="AK1298" t="s">
        <v>158</v>
      </c>
      <c r="AL1298">
        <v>-82.382119000000003</v>
      </c>
      <c r="AM1298">
        <v>100</v>
      </c>
      <c r="AN1298">
        <v>1400</v>
      </c>
      <c r="AO1298" t="s">
        <v>118</v>
      </c>
      <c r="AP1298">
        <v>65</v>
      </c>
      <c r="AQ1298">
        <v>61</v>
      </c>
      <c r="AR1298">
        <v>960</v>
      </c>
      <c r="AZ1298">
        <v>1200</v>
      </c>
      <c r="BA1298">
        <v>1</v>
      </c>
      <c r="BB1298" t="str">
        <f t="shared" si="588"/>
        <v xml:space="preserve">N711JA  </v>
      </c>
      <c r="BC1298">
        <v>1</v>
      </c>
      <c r="BE1298">
        <v>0</v>
      </c>
      <c r="BF1298">
        <v>0</v>
      </c>
      <c r="BG1298">
        <v>0</v>
      </c>
      <c r="BH1298">
        <v>1525</v>
      </c>
      <c r="BI1298">
        <v>1</v>
      </c>
      <c r="BJ1298">
        <v>1</v>
      </c>
      <c r="BK1298">
        <v>0</v>
      </c>
      <c r="BL1298">
        <v>0</v>
      </c>
      <c r="BO1298">
        <v>0</v>
      </c>
      <c r="BP1298">
        <v>0</v>
      </c>
      <c r="BW1298" t="str">
        <f t="shared" si="614"/>
        <v>14:43:20.845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343</v>
      </c>
      <c r="CR1298">
        <v>1</v>
      </c>
      <c r="CW1298">
        <v>10652851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 t="shared" si="611"/>
        <v>05/12/2020 14:43:03.010</v>
      </c>
      <c r="C1299" t="str">
        <f t="shared" si="585"/>
        <v>FFDFD3C0</v>
      </c>
      <c r="D1299" t="s">
        <v>113</v>
      </c>
      <c r="E1299">
        <v>3</v>
      </c>
      <c r="H1299">
        <v>164</v>
      </c>
      <c r="I1299" t="s">
        <v>114</v>
      </c>
      <c r="J1299" t="s">
        <v>115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612"/>
        <v>14:43:20.844</v>
      </c>
      <c r="T1299" t="str">
        <f t="shared" si="613"/>
        <v>14:43:20.544</v>
      </c>
      <c r="U1299" t="str">
        <f t="shared" si="606"/>
        <v>A9808D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371</v>
      </c>
      <c r="AJ1299">
        <v>28.286169000000001</v>
      </c>
      <c r="AK1299" t="s">
        <v>158</v>
      </c>
      <c r="AL1299">
        <v>-82.382119000000003</v>
      </c>
      <c r="AM1299">
        <v>100</v>
      </c>
      <c r="AN1299">
        <v>1400</v>
      </c>
      <c r="AO1299" t="s">
        <v>118</v>
      </c>
      <c r="AP1299">
        <v>65</v>
      </c>
      <c r="AQ1299">
        <v>61</v>
      </c>
      <c r="AR1299">
        <v>960</v>
      </c>
      <c r="AZ1299">
        <v>1200</v>
      </c>
      <c r="BA1299">
        <v>1</v>
      </c>
      <c r="BB1299" t="str">
        <f t="shared" si="588"/>
        <v xml:space="preserve">N711JA  </v>
      </c>
      <c r="BC1299">
        <v>1</v>
      </c>
      <c r="BE1299">
        <v>0</v>
      </c>
      <c r="BF1299">
        <v>0</v>
      </c>
      <c r="BG1299">
        <v>0</v>
      </c>
      <c r="BH1299">
        <v>1525</v>
      </c>
      <c r="BI1299">
        <v>1</v>
      </c>
      <c r="BJ1299">
        <v>1</v>
      </c>
      <c r="BK1299">
        <v>0</v>
      </c>
      <c r="BL1299">
        <v>0</v>
      </c>
      <c r="BO1299">
        <v>0</v>
      </c>
      <c r="BP1299">
        <v>0</v>
      </c>
      <c r="BW1299" t="str">
        <f t="shared" si="614"/>
        <v>14:43:20.845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343</v>
      </c>
      <c r="CR1299">
        <v>1</v>
      </c>
      <c r="CW1299">
        <v>10652851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 t="shared" si="611"/>
        <v>05/12/2020 14:43:03.010</v>
      </c>
      <c r="C1300" t="str">
        <f t="shared" si="585"/>
        <v>FFDFD3C0</v>
      </c>
      <c r="D1300" t="s">
        <v>138</v>
      </c>
      <c r="E1300">
        <v>2</v>
      </c>
      <c r="H1300">
        <v>8</v>
      </c>
      <c r="I1300" t="s">
        <v>139</v>
      </c>
      <c r="J1300" t="s">
        <v>136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612"/>
        <v>14:43:20.844</v>
      </c>
      <c r="T1300" t="str">
        <f t="shared" si="613"/>
        <v>14:43:20.544</v>
      </c>
      <c r="U1300" t="str">
        <f t="shared" si="606"/>
        <v>A9808D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371</v>
      </c>
      <c r="AJ1300">
        <v>28.286169000000001</v>
      </c>
      <c r="AK1300" t="s">
        <v>158</v>
      </c>
      <c r="AL1300">
        <v>-82.382119000000003</v>
      </c>
      <c r="AM1300">
        <v>100</v>
      </c>
      <c r="AN1300">
        <v>1400</v>
      </c>
      <c r="AO1300" t="s">
        <v>118</v>
      </c>
      <c r="AP1300">
        <v>65</v>
      </c>
      <c r="AQ1300">
        <v>61</v>
      </c>
      <c r="AR1300">
        <v>960</v>
      </c>
      <c r="AZ1300">
        <v>1200</v>
      </c>
      <c r="BA1300">
        <v>1</v>
      </c>
      <c r="BB1300" t="str">
        <f t="shared" si="588"/>
        <v xml:space="preserve">N711JA  </v>
      </c>
      <c r="BC1300">
        <v>1</v>
      </c>
      <c r="BE1300">
        <v>0</v>
      </c>
      <c r="BF1300">
        <v>0</v>
      </c>
      <c r="BG1300">
        <v>0</v>
      </c>
      <c r="BH1300">
        <v>1525</v>
      </c>
      <c r="BI1300">
        <v>1</v>
      </c>
      <c r="BJ1300">
        <v>1</v>
      </c>
      <c r="BK1300">
        <v>0</v>
      </c>
      <c r="BL1300">
        <v>0</v>
      </c>
      <c r="BO1300">
        <v>0</v>
      </c>
      <c r="BP1300">
        <v>0</v>
      </c>
      <c r="BW1300" t="str">
        <f t="shared" si="614"/>
        <v>14:43:20.845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343</v>
      </c>
      <c r="CR1300">
        <v>1</v>
      </c>
      <c r="CW1300">
        <v>10652851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 t="shared" ref="A1301:A1309" si="615">"05/12/2020 14:43:03.977"</f>
        <v>05/12/2020 14:43:03.977</v>
      </c>
      <c r="C1301" t="str">
        <f t="shared" si="585"/>
        <v>FFDFD3C0</v>
      </c>
      <c r="D1301" t="s">
        <v>126</v>
      </c>
      <c r="E1301">
        <v>6</v>
      </c>
      <c r="F1301">
        <v>1006</v>
      </c>
      <c r="G1301" t="s">
        <v>114</v>
      </c>
      <c r="J1301" t="s">
        <v>128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9" si="616">"14:43:21.797"</f>
        <v>14:43:21.797</v>
      </c>
      <c r="T1301" t="str">
        <f t="shared" ref="T1301:T1309" si="617">"14:43:21.597"</f>
        <v>14:43:21.597</v>
      </c>
      <c r="U1301" t="str">
        <f t="shared" si="606"/>
        <v>A9808D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372</v>
      </c>
      <c r="AJ1301">
        <v>28.286404999999998</v>
      </c>
      <c r="AK1301" t="s">
        <v>373</v>
      </c>
      <c r="AL1301">
        <v>-82.381797000000006</v>
      </c>
      <c r="AM1301">
        <v>100</v>
      </c>
      <c r="AN1301">
        <v>1500</v>
      </c>
      <c r="AO1301" t="s">
        <v>118</v>
      </c>
      <c r="AP1301">
        <v>70</v>
      </c>
      <c r="AQ1301">
        <v>54</v>
      </c>
      <c r="AR1301">
        <v>768</v>
      </c>
      <c r="AZ1301">
        <v>1200</v>
      </c>
      <c r="BA1301">
        <v>1</v>
      </c>
      <c r="BB1301" t="str">
        <f t="shared" si="588"/>
        <v xml:space="preserve">N711JA  </v>
      </c>
      <c r="BC1301">
        <v>1</v>
      </c>
      <c r="BE1301">
        <v>0</v>
      </c>
      <c r="BF1301">
        <v>0</v>
      </c>
      <c r="BG1301">
        <v>0</v>
      </c>
      <c r="BH1301">
        <v>1550</v>
      </c>
      <c r="BI1301">
        <v>1</v>
      </c>
      <c r="BJ1301">
        <v>1</v>
      </c>
      <c r="BK1301">
        <v>0</v>
      </c>
      <c r="BL1301">
        <v>0</v>
      </c>
      <c r="BO1301">
        <v>0</v>
      </c>
      <c r="BP1301">
        <v>0</v>
      </c>
      <c r="BW1301" t="str">
        <f t="shared" ref="BW1301:BW1309" si="618">"14:43:21.804"</f>
        <v>14:43:21.804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343</v>
      </c>
      <c r="CR1301">
        <v>1</v>
      </c>
      <c r="CW1301">
        <v>10653922</v>
      </c>
      <c r="CY1301">
        <v>1</v>
      </c>
      <c r="CZ1301">
        <v>0</v>
      </c>
      <c r="DA1301">
        <v>0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 t="shared" si="615"/>
        <v>05/12/2020 14:43:03.977</v>
      </c>
      <c r="C1302" t="str">
        <f t="shared" ref="C1302:C1365" si="619">"FFDFD3C0"</f>
        <v>FFDFD3C0</v>
      </c>
      <c r="D1302" t="s">
        <v>134</v>
      </c>
      <c r="E1302">
        <v>12</v>
      </c>
      <c r="H1302">
        <v>64</v>
      </c>
      <c r="I1302" t="s">
        <v>135</v>
      </c>
      <c r="J1302" t="s">
        <v>136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616"/>
        <v>14:43:21.797</v>
      </c>
      <c r="T1302" t="str">
        <f t="shared" si="617"/>
        <v>14:43:21.597</v>
      </c>
      <c r="U1302" t="str">
        <f t="shared" si="606"/>
        <v>A9808D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372</v>
      </c>
      <c r="AJ1302">
        <v>28.286404999999998</v>
      </c>
      <c r="AK1302" t="s">
        <v>373</v>
      </c>
      <c r="AL1302">
        <v>-82.381797000000006</v>
      </c>
      <c r="AM1302">
        <v>100</v>
      </c>
      <c r="AN1302">
        <v>1500</v>
      </c>
      <c r="AO1302" t="s">
        <v>118</v>
      </c>
      <c r="AP1302">
        <v>70</v>
      </c>
      <c r="AQ1302">
        <v>54</v>
      </c>
      <c r="AR1302">
        <v>768</v>
      </c>
      <c r="AZ1302">
        <v>1200</v>
      </c>
      <c r="BA1302">
        <v>1</v>
      </c>
      <c r="BB1302" t="str">
        <f t="shared" ref="BB1302:BB1365" si="620">"N711JA  "</f>
        <v xml:space="preserve">N711JA  </v>
      </c>
      <c r="BC1302">
        <v>1</v>
      </c>
      <c r="BE1302">
        <v>0</v>
      </c>
      <c r="BF1302">
        <v>0</v>
      </c>
      <c r="BG1302">
        <v>0</v>
      </c>
      <c r="BH1302">
        <v>1550</v>
      </c>
      <c r="BI1302">
        <v>1</v>
      </c>
      <c r="BJ1302">
        <v>1</v>
      </c>
      <c r="BK1302">
        <v>0</v>
      </c>
      <c r="BL1302">
        <v>0</v>
      </c>
      <c r="BO1302">
        <v>0</v>
      </c>
      <c r="BP1302">
        <v>0</v>
      </c>
      <c r="BW1302" t="str">
        <f t="shared" si="618"/>
        <v>14:43:21.804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343</v>
      </c>
      <c r="CR1302">
        <v>1</v>
      </c>
      <c r="CW1302">
        <v>10653922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 t="shared" si="615"/>
        <v>05/12/2020 14:43:03.977</v>
      </c>
      <c r="C1303" t="str">
        <f t="shared" si="619"/>
        <v>FFDFD3C0</v>
      </c>
      <c r="D1303" t="s">
        <v>131</v>
      </c>
      <c r="E1303">
        <v>10</v>
      </c>
      <c r="F1303">
        <v>2010</v>
      </c>
      <c r="G1303" t="s">
        <v>132</v>
      </c>
      <c r="J1303" t="s">
        <v>133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616"/>
        <v>14:43:21.797</v>
      </c>
      <c r="T1303" t="str">
        <f t="shared" si="617"/>
        <v>14:43:21.597</v>
      </c>
      <c r="U1303" t="str">
        <f t="shared" si="606"/>
        <v>A9808D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372</v>
      </c>
      <c r="AJ1303">
        <v>28.286404999999998</v>
      </c>
      <c r="AK1303" t="s">
        <v>373</v>
      </c>
      <c r="AL1303">
        <v>-82.381797000000006</v>
      </c>
      <c r="AM1303">
        <v>100</v>
      </c>
      <c r="AN1303">
        <v>1500</v>
      </c>
      <c r="AO1303" t="s">
        <v>118</v>
      </c>
      <c r="AP1303">
        <v>70</v>
      </c>
      <c r="AQ1303">
        <v>54</v>
      </c>
      <c r="AR1303">
        <v>768</v>
      </c>
      <c r="AZ1303">
        <v>1200</v>
      </c>
      <c r="BA1303">
        <v>1</v>
      </c>
      <c r="BB1303" t="str">
        <f t="shared" si="620"/>
        <v xml:space="preserve">N711JA  </v>
      </c>
      <c r="BC1303">
        <v>1</v>
      </c>
      <c r="BE1303">
        <v>0</v>
      </c>
      <c r="BF1303">
        <v>0</v>
      </c>
      <c r="BG1303">
        <v>0</v>
      </c>
      <c r="BH1303">
        <v>1550</v>
      </c>
      <c r="BI1303">
        <v>1</v>
      </c>
      <c r="BJ1303">
        <v>1</v>
      </c>
      <c r="BK1303">
        <v>0</v>
      </c>
      <c r="BL1303">
        <v>0</v>
      </c>
      <c r="BO1303">
        <v>0</v>
      </c>
      <c r="BP1303">
        <v>0</v>
      </c>
      <c r="BW1303" t="str">
        <f t="shared" si="618"/>
        <v>14:43:21.804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343</v>
      </c>
      <c r="CR1303">
        <v>1</v>
      </c>
      <c r="CW1303">
        <v>10653922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 t="shared" si="615"/>
        <v>05/12/2020 14:43:03.977</v>
      </c>
      <c r="C1304" t="str">
        <f t="shared" si="619"/>
        <v>FFDFD3C0</v>
      </c>
      <c r="D1304" t="s">
        <v>126</v>
      </c>
      <c r="E1304">
        <v>7</v>
      </c>
      <c r="F1304">
        <v>1007</v>
      </c>
      <c r="G1304" t="s">
        <v>127</v>
      </c>
      <c r="J1304" t="s">
        <v>128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616"/>
        <v>14:43:21.797</v>
      </c>
      <c r="T1304" t="str">
        <f t="shared" si="617"/>
        <v>14:43:21.597</v>
      </c>
      <c r="U1304" t="str">
        <f t="shared" si="606"/>
        <v>A9808D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372</v>
      </c>
      <c r="AJ1304">
        <v>28.286404999999998</v>
      </c>
      <c r="AK1304" t="s">
        <v>373</v>
      </c>
      <c r="AL1304">
        <v>-82.381797000000006</v>
      </c>
      <c r="AM1304">
        <v>100</v>
      </c>
      <c r="AN1304">
        <v>1500</v>
      </c>
      <c r="AO1304" t="s">
        <v>118</v>
      </c>
      <c r="AP1304">
        <v>70</v>
      </c>
      <c r="AQ1304">
        <v>54</v>
      </c>
      <c r="AR1304">
        <v>768</v>
      </c>
      <c r="AZ1304">
        <v>1200</v>
      </c>
      <c r="BA1304">
        <v>1</v>
      </c>
      <c r="BB1304" t="str">
        <f t="shared" si="620"/>
        <v xml:space="preserve">N711JA  </v>
      </c>
      <c r="BC1304">
        <v>1</v>
      </c>
      <c r="BE1304">
        <v>0</v>
      </c>
      <c r="BF1304">
        <v>0</v>
      </c>
      <c r="BG1304">
        <v>0</v>
      </c>
      <c r="BH1304">
        <v>1550</v>
      </c>
      <c r="BI1304">
        <v>1</v>
      </c>
      <c r="BJ1304">
        <v>1</v>
      </c>
      <c r="BK1304">
        <v>0</v>
      </c>
      <c r="BL1304">
        <v>0</v>
      </c>
      <c r="BO1304">
        <v>0</v>
      </c>
      <c r="BP1304">
        <v>0</v>
      </c>
      <c r="BW1304" t="str">
        <f t="shared" si="618"/>
        <v>14:43:21.804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343</v>
      </c>
      <c r="CR1304">
        <v>1</v>
      </c>
      <c r="CW1304">
        <v>10653922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 t="shared" si="615"/>
        <v>05/12/2020 14:43:03.977</v>
      </c>
      <c r="C1305" t="str">
        <f t="shared" si="619"/>
        <v>FFDFD3C0</v>
      </c>
      <c r="D1305" t="s">
        <v>131</v>
      </c>
      <c r="E1305">
        <v>12</v>
      </c>
      <c r="F1305">
        <v>2012</v>
      </c>
      <c r="G1305" t="s">
        <v>137</v>
      </c>
      <c r="J1305" t="s">
        <v>133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616"/>
        <v>14:43:21.797</v>
      </c>
      <c r="T1305" t="str">
        <f t="shared" si="617"/>
        <v>14:43:21.597</v>
      </c>
      <c r="U1305" t="str">
        <f t="shared" si="606"/>
        <v>A9808D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372</v>
      </c>
      <c r="AJ1305">
        <v>28.286404999999998</v>
      </c>
      <c r="AK1305" t="s">
        <v>373</v>
      </c>
      <c r="AL1305">
        <v>-82.381797000000006</v>
      </c>
      <c r="AM1305">
        <v>100</v>
      </c>
      <c r="AN1305">
        <v>1500</v>
      </c>
      <c r="AO1305" t="s">
        <v>118</v>
      </c>
      <c r="AP1305">
        <v>70</v>
      </c>
      <c r="AQ1305">
        <v>54</v>
      </c>
      <c r="AR1305">
        <v>768</v>
      </c>
      <c r="AZ1305">
        <v>1200</v>
      </c>
      <c r="BA1305">
        <v>1</v>
      </c>
      <c r="BB1305" t="str">
        <f t="shared" si="620"/>
        <v xml:space="preserve">N711JA  </v>
      </c>
      <c r="BC1305">
        <v>1</v>
      </c>
      <c r="BE1305">
        <v>0</v>
      </c>
      <c r="BF1305">
        <v>0</v>
      </c>
      <c r="BG1305">
        <v>0</v>
      </c>
      <c r="BH1305">
        <v>1550</v>
      </c>
      <c r="BI1305">
        <v>1</v>
      </c>
      <c r="BJ1305">
        <v>1</v>
      </c>
      <c r="BK1305">
        <v>0</v>
      </c>
      <c r="BL1305">
        <v>0</v>
      </c>
      <c r="BO1305">
        <v>0</v>
      </c>
      <c r="BP1305">
        <v>0</v>
      </c>
      <c r="BW1305" t="str">
        <f t="shared" si="618"/>
        <v>14:43:21.804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343</v>
      </c>
      <c r="CR1305">
        <v>1</v>
      </c>
      <c r="CW1305">
        <v>10653922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 t="shared" si="615"/>
        <v>05/12/2020 14:43:03.977</v>
      </c>
      <c r="C1306" t="str">
        <f t="shared" si="619"/>
        <v>FFDFD3C0</v>
      </c>
      <c r="D1306" t="s">
        <v>131</v>
      </c>
      <c r="E1306">
        <v>18</v>
      </c>
      <c r="F1306">
        <v>2018</v>
      </c>
      <c r="G1306" t="s">
        <v>161</v>
      </c>
      <c r="J1306" t="s">
        <v>133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616"/>
        <v>14:43:21.797</v>
      </c>
      <c r="T1306" t="str">
        <f t="shared" si="617"/>
        <v>14:43:21.597</v>
      </c>
      <c r="U1306" t="str">
        <f t="shared" si="606"/>
        <v>A9808D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372</v>
      </c>
      <c r="AJ1306">
        <v>28.286404999999998</v>
      </c>
      <c r="AK1306" t="s">
        <v>373</v>
      </c>
      <c r="AL1306">
        <v>-82.381797000000006</v>
      </c>
      <c r="AM1306">
        <v>100</v>
      </c>
      <c r="AN1306">
        <v>1500</v>
      </c>
      <c r="AO1306" t="s">
        <v>118</v>
      </c>
      <c r="AP1306">
        <v>70</v>
      </c>
      <c r="AQ1306">
        <v>54</v>
      </c>
      <c r="AR1306">
        <v>768</v>
      </c>
      <c r="AZ1306">
        <v>1200</v>
      </c>
      <c r="BA1306">
        <v>1</v>
      </c>
      <c r="BB1306" t="str">
        <f t="shared" si="620"/>
        <v xml:space="preserve">N711JA  </v>
      </c>
      <c r="BC1306">
        <v>1</v>
      </c>
      <c r="BE1306">
        <v>0</v>
      </c>
      <c r="BF1306">
        <v>0</v>
      </c>
      <c r="BG1306">
        <v>0</v>
      </c>
      <c r="BH1306">
        <v>1550</v>
      </c>
      <c r="BI1306">
        <v>1</v>
      </c>
      <c r="BJ1306">
        <v>1</v>
      </c>
      <c r="BK1306">
        <v>0</v>
      </c>
      <c r="BL1306">
        <v>0</v>
      </c>
      <c r="BO1306">
        <v>0</v>
      </c>
      <c r="BP1306">
        <v>0</v>
      </c>
      <c r="BW1306" t="str">
        <f t="shared" si="618"/>
        <v>14:43:21.804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343</v>
      </c>
      <c r="CR1306">
        <v>1</v>
      </c>
      <c r="CW1306">
        <v>10653922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 t="shared" si="615"/>
        <v>05/12/2020 14:43:03.977</v>
      </c>
      <c r="C1307" t="str">
        <f t="shared" si="619"/>
        <v>FFDFD3C0</v>
      </c>
      <c r="D1307" t="s">
        <v>113</v>
      </c>
      <c r="E1307">
        <v>3</v>
      </c>
      <c r="H1307">
        <v>164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616"/>
        <v>14:43:21.797</v>
      </c>
      <c r="T1307" t="str">
        <f t="shared" si="617"/>
        <v>14:43:21.597</v>
      </c>
      <c r="U1307" t="str">
        <f t="shared" si="606"/>
        <v>A9808D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372</v>
      </c>
      <c r="AJ1307">
        <v>28.286404999999998</v>
      </c>
      <c r="AK1307" t="s">
        <v>373</v>
      </c>
      <c r="AL1307">
        <v>-82.381797000000006</v>
      </c>
      <c r="AM1307">
        <v>100</v>
      </c>
      <c r="AN1307">
        <v>1500</v>
      </c>
      <c r="AO1307" t="s">
        <v>118</v>
      </c>
      <c r="AP1307">
        <v>70</v>
      </c>
      <c r="AQ1307">
        <v>54</v>
      </c>
      <c r="AR1307">
        <v>768</v>
      </c>
      <c r="AZ1307">
        <v>1200</v>
      </c>
      <c r="BA1307">
        <v>1</v>
      </c>
      <c r="BB1307" t="str">
        <f t="shared" si="620"/>
        <v xml:space="preserve">N711JA  </v>
      </c>
      <c r="BC1307">
        <v>1</v>
      </c>
      <c r="BE1307">
        <v>0</v>
      </c>
      <c r="BF1307">
        <v>0</v>
      </c>
      <c r="BG1307">
        <v>0</v>
      </c>
      <c r="BH1307">
        <v>1550</v>
      </c>
      <c r="BI1307">
        <v>1</v>
      </c>
      <c r="BJ1307">
        <v>1</v>
      </c>
      <c r="BK1307">
        <v>0</v>
      </c>
      <c r="BL1307">
        <v>0</v>
      </c>
      <c r="BO1307">
        <v>0</v>
      </c>
      <c r="BP1307">
        <v>0</v>
      </c>
      <c r="BW1307" t="str">
        <f t="shared" si="618"/>
        <v>14:43:21.804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343</v>
      </c>
      <c r="CR1307">
        <v>1</v>
      </c>
      <c r="CW1307">
        <v>10653922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 t="shared" si="615"/>
        <v>05/12/2020 14:43:03.977</v>
      </c>
      <c r="C1308" t="str">
        <f t="shared" si="619"/>
        <v>FFDFD3C0</v>
      </c>
      <c r="D1308" t="s">
        <v>138</v>
      </c>
      <c r="E1308">
        <v>2</v>
      </c>
      <c r="H1308">
        <v>8</v>
      </c>
      <c r="I1308" t="s">
        <v>139</v>
      </c>
      <c r="J1308" t="s">
        <v>136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616"/>
        <v>14:43:21.797</v>
      </c>
      <c r="T1308" t="str">
        <f t="shared" si="617"/>
        <v>14:43:21.597</v>
      </c>
      <c r="U1308" t="str">
        <f t="shared" si="606"/>
        <v>A9808D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372</v>
      </c>
      <c r="AJ1308">
        <v>28.286404999999998</v>
      </c>
      <c r="AK1308" t="s">
        <v>373</v>
      </c>
      <c r="AL1308">
        <v>-82.381797000000006</v>
      </c>
      <c r="AM1308">
        <v>100</v>
      </c>
      <c r="AN1308">
        <v>1500</v>
      </c>
      <c r="AO1308" t="s">
        <v>118</v>
      </c>
      <c r="AP1308">
        <v>70</v>
      </c>
      <c r="AQ1308">
        <v>54</v>
      </c>
      <c r="AR1308">
        <v>768</v>
      </c>
      <c r="AZ1308">
        <v>1200</v>
      </c>
      <c r="BA1308">
        <v>1</v>
      </c>
      <c r="BB1308" t="str">
        <f t="shared" si="620"/>
        <v xml:space="preserve">N711JA  </v>
      </c>
      <c r="BC1308">
        <v>1</v>
      </c>
      <c r="BE1308">
        <v>0</v>
      </c>
      <c r="BF1308">
        <v>0</v>
      </c>
      <c r="BG1308">
        <v>0</v>
      </c>
      <c r="BH1308">
        <v>1550</v>
      </c>
      <c r="BI1308">
        <v>1</v>
      </c>
      <c r="BJ1308">
        <v>1</v>
      </c>
      <c r="BK1308">
        <v>0</v>
      </c>
      <c r="BL1308">
        <v>0</v>
      </c>
      <c r="BO1308">
        <v>0</v>
      </c>
      <c r="BP1308">
        <v>0</v>
      </c>
      <c r="BW1308" t="str">
        <f t="shared" si="618"/>
        <v>14:43:21.804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343</v>
      </c>
      <c r="CR1308">
        <v>1</v>
      </c>
      <c r="CW1308">
        <v>10653922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si="615"/>
        <v>05/12/2020 14:43:03.977</v>
      </c>
      <c r="C1309" t="str">
        <f t="shared" si="619"/>
        <v>FFDFD3C0</v>
      </c>
      <c r="D1309" t="s">
        <v>138</v>
      </c>
      <c r="E1309">
        <v>3</v>
      </c>
      <c r="H1309">
        <v>9</v>
      </c>
      <c r="I1309" t="s">
        <v>140</v>
      </c>
      <c r="J1309" t="s">
        <v>136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616"/>
        <v>14:43:21.797</v>
      </c>
      <c r="T1309" t="str">
        <f t="shared" si="617"/>
        <v>14:43:21.597</v>
      </c>
      <c r="U1309" t="str">
        <f t="shared" si="606"/>
        <v>A9808D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372</v>
      </c>
      <c r="AJ1309">
        <v>28.286404999999998</v>
      </c>
      <c r="AK1309" t="s">
        <v>373</v>
      </c>
      <c r="AL1309">
        <v>-82.381797000000006</v>
      </c>
      <c r="AM1309">
        <v>100</v>
      </c>
      <c r="AN1309">
        <v>1500</v>
      </c>
      <c r="AO1309" t="s">
        <v>118</v>
      </c>
      <c r="AP1309">
        <v>70</v>
      </c>
      <c r="AQ1309">
        <v>54</v>
      </c>
      <c r="AR1309">
        <v>768</v>
      </c>
      <c r="AZ1309">
        <v>1200</v>
      </c>
      <c r="BA1309">
        <v>1</v>
      </c>
      <c r="BB1309" t="str">
        <f t="shared" si="620"/>
        <v xml:space="preserve">N711JA  </v>
      </c>
      <c r="BC1309">
        <v>1</v>
      </c>
      <c r="BE1309">
        <v>0</v>
      </c>
      <c r="BF1309">
        <v>0</v>
      </c>
      <c r="BG1309">
        <v>0</v>
      </c>
      <c r="BH1309">
        <v>1550</v>
      </c>
      <c r="BI1309">
        <v>1</v>
      </c>
      <c r="BJ1309">
        <v>1</v>
      </c>
      <c r="BK1309">
        <v>0</v>
      </c>
      <c r="BL1309">
        <v>0</v>
      </c>
      <c r="BO1309">
        <v>0</v>
      </c>
      <c r="BP1309">
        <v>0</v>
      </c>
      <c r="BW1309" t="str">
        <f t="shared" si="618"/>
        <v>14:43:21.804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343</v>
      </c>
      <c r="CR1309">
        <v>1</v>
      </c>
      <c r="CW1309">
        <v>10653922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ref="A1310:A1318" si="621">"05/12/2020 14:43:05.007"</f>
        <v>05/12/2020 14:43:05.007</v>
      </c>
      <c r="C1310" t="str">
        <f t="shared" si="619"/>
        <v>FFDFD3C0</v>
      </c>
      <c r="D1310" t="s">
        <v>131</v>
      </c>
      <c r="E1310">
        <v>18</v>
      </c>
      <c r="F1310">
        <v>2018</v>
      </c>
      <c r="G1310" t="s">
        <v>161</v>
      </c>
      <c r="J1310" t="s">
        <v>133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ref="S1310:S1318" si="622">"14:43:22.805"</f>
        <v>14:43:22.805</v>
      </c>
      <c r="T1310" t="str">
        <f>"14:43:22.105"</f>
        <v>14:43:22.105</v>
      </c>
      <c r="U1310" t="str">
        <f t="shared" si="606"/>
        <v>A9808D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374</v>
      </c>
      <c r="AJ1310">
        <v>28.286576</v>
      </c>
      <c r="AK1310" t="s">
        <v>375</v>
      </c>
      <c r="AL1310">
        <v>-82.381367999999995</v>
      </c>
      <c r="AM1310">
        <v>100</v>
      </c>
      <c r="AN1310">
        <v>1500</v>
      </c>
      <c r="AO1310" t="s">
        <v>118</v>
      </c>
      <c r="AP1310">
        <v>73</v>
      </c>
      <c r="AQ1310">
        <v>49</v>
      </c>
      <c r="AR1310">
        <v>704</v>
      </c>
      <c r="AZ1310">
        <v>1200</v>
      </c>
      <c r="BA1310">
        <v>1</v>
      </c>
      <c r="BB1310" t="str">
        <f t="shared" si="620"/>
        <v xml:space="preserve">N711JA  </v>
      </c>
      <c r="BC1310">
        <v>1</v>
      </c>
      <c r="BE1310">
        <v>0</v>
      </c>
      <c r="BF1310">
        <v>0</v>
      </c>
      <c r="BG1310">
        <v>0</v>
      </c>
      <c r="BH1310">
        <v>1550</v>
      </c>
      <c r="BI1310">
        <v>1</v>
      </c>
      <c r="BJ1310">
        <v>1</v>
      </c>
      <c r="BK1310">
        <v>0</v>
      </c>
      <c r="BL1310">
        <v>0</v>
      </c>
      <c r="BO1310">
        <v>0</v>
      </c>
      <c r="BP1310">
        <v>0</v>
      </c>
      <c r="BW1310" t="str">
        <f t="shared" ref="BW1310:BW1318" si="623">"14:43:22.810"</f>
        <v>14:43:22.810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343</v>
      </c>
      <c r="CR1310">
        <v>1</v>
      </c>
      <c r="CW1310">
        <v>10655001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621"/>
        <v>05/12/2020 14:43:05.007</v>
      </c>
      <c r="C1311" t="str">
        <f t="shared" si="619"/>
        <v>FFDFD3C0</v>
      </c>
      <c r="D1311" t="s">
        <v>138</v>
      </c>
      <c r="E1311">
        <v>3</v>
      </c>
      <c r="H1311">
        <v>9</v>
      </c>
      <c r="I1311" t="s">
        <v>140</v>
      </c>
      <c r="J1311" t="s">
        <v>136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622"/>
        <v>14:43:22.805</v>
      </c>
      <c r="T1311" t="str">
        <f t="shared" ref="T1311:T1318" si="624">"14:43:22.705"</f>
        <v>14:43:22.705</v>
      </c>
      <c r="U1311" t="str">
        <f t="shared" si="606"/>
        <v>A9808D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374</v>
      </c>
      <c r="AJ1311">
        <v>28.286576</v>
      </c>
      <c r="AK1311" t="s">
        <v>375</v>
      </c>
      <c r="AL1311">
        <v>-82.381367999999995</v>
      </c>
      <c r="AM1311">
        <v>100</v>
      </c>
      <c r="AN1311">
        <v>1500</v>
      </c>
      <c r="AO1311" t="s">
        <v>118</v>
      </c>
      <c r="AP1311">
        <v>76</v>
      </c>
      <c r="AQ1311">
        <v>45</v>
      </c>
      <c r="AR1311">
        <v>576</v>
      </c>
      <c r="AZ1311">
        <v>1200</v>
      </c>
      <c r="BA1311">
        <v>1</v>
      </c>
      <c r="BB1311" t="str">
        <f t="shared" si="620"/>
        <v xml:space="preserve">N711JA  </v>
      </c>
      <c r="BC1311">
        <v>1</v>
      </c>
      <c r="BE1311">
        <v>0</v>
      </c>
      <c r="BF1311">
        <v>0</v>
      </c>
      <c r="BG1311">
        <v>0</v>
      </c>
      <c r="BH1311">
        <v>1575</v>
      </c>
      <c r="BI1311">
        <v>1</v>
      </c>
      <c r="BJ1311">
        <v>1</v>
      </c>
      <c r="BK1311">
        <v>0</v>
      </c>
      <c r="BL1311">
        <v>0</v>
      </c>
      <c r="BO1311">
        <v>0</v>
      </c>
      <c r="BP1311">
        <v>0</v>
      </c>
      <c r="BW1311" t="str">
        <f t="shared" si="623"/>
        <v>14:43:22.810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2</v>
      </c>
      <c r="CP1311" t="s">
        <v>119</v>
      </c>
      <c r="CQ1311">
        <v>8</v>
      </c>
      <c r="CR1311">
        <v>3</v>
      </c>
      <c r="CW1311">
        <v>8778392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621"/>
        <v>05/12/2020 14:43:05.007</v>
      </c>
      <c r="C1312" t="str">
        <f t="shared" si="619"/>
        <v>FFDFD3C0</v>
      </c>
      <c r="D1312" t="s">
        <v>134</v>
      </c>
      <c r="E1312">
        <v>12</v>
      </c>
      <c r="H1312">
        <v>64</v>
      </c>
      <c r="I1312" t="s">
        <v>135</v>
      </c>
      <c r="J1312" t="s">
        <v>136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622"/>
        <v>14:43:22.805</v>
      </c>
      <c r="T1312" t="str">
        <f t="shared" si="624"/>
        <v>14:43:22.705</v>
      </c>
      <c r="U1312" t="str">
        <f t="shared" si="606"/>
        <v>A9808D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374</v>
      </c>
      <c r="AJ1312">
        <v>28.286576</v>
      </c>
      <c r="AK1312" t="s">
        <v>375</v>
      </c>
      <c r="AL1312">
        <v>-82.381367999999995</v>
      </c>
      <c r="AM1312">
        <v>100</v>
      </c>
      <c r="AN1312">
        <v>1500</v>
      </c>
      <c r="AO1312" t="s">
        <v>118</v>
      </c>
      <c r="AP1312">
        <v>76</v>
      </c>
      <c r="AQ1312">
        <v>45</v>
      </c>
      <c r="AR1312">
        <v>576</v>
      </c>
      <c r="AZ1312">
        <v>1200</v>
      </c>
      <c r="BA1312">
        <v>1</v>
      </c>
      <c r="BB1312" t="str">
        <f t="shared" si="620"/>
        <v xml:space="preserve">N711JA  </v>
      </c>
      <c r="BC1312">
        <v>1</v>
      </c>
      <c r="BE1312">
        <v>0</v>
      </c>
      <c r="BF1312">
        <v>0</v>
      </c>
      <c r="BG1312">
        <v>0</v>
      </c>
      <c r="BH1312">
        <v>1575</v>
      </c>
      <c r="BI1312">
        <v>1</v>
      </c>
      <c r="BJ1312">
        <v>1</v>
      </c>
      <c r="BK1312">
        <v>0</v>
      </c>
      <c r="BL1312">
        <v>0</v>
      </c>
      <c r="BO1312">
        <v>0</v>
      </c>
      <c r="BP1312">
        <v>0</v>
      </c>
      <c r="BW1312" t="str">
        <f t="shared" si="623"/>
        <v>14:43:22.810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2</v>
      </c>
      <c r="CP1312" t="s">
        <v>119</v>
      </c>
      <c r="CQ1312">
        <v>8</v>
      </c>
      <c r="CR1312">
        <v>3</v>
      </c>
      <c r="CW1312">
        <v>8778392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si="621"/>
        <v>05/12/2020 14:43:05.007</v>
      </c>
      <c r="C1313" t="str">
        <f t="shared" si="619"/>
        <v>FFDFD3C0</v>
      </c>
      <c r="D1313" t="s">
        <v>126</v>
      </c>
      <c r="E1313">
        <v>7</v>
      </c>
      <c r="F1313">
        <v>1007</v>
      </c>
      <c r="G1313" t="s">
        <v>127</v>
      </c>
      <c r="J1313" t="s">
        <v>128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622"/>
        <v>14:43:22.805</v>
      </c>
      <c r="T1313" t="str">
        <f t="shared" si="624"/>
        <v>14:43:22.705</v>
      </c>
      <c r="U1313" t="str">
        <f t="shared" si="606"/>
        <v>A9808D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374</v>
      </c>
      <c r="AJ1313">
        <v>28.286576</v>
      </c>
      <c r="AK1313" t="s">
        <v>375</v>
      </c>
      <c r="AL1313">
        <v>-82.381367999999995</v>
      </c>
      <c r="AM1313">
        <v>100</v>
      </c>
      <c r="AN1313">
        <v>1500</v>
      </c>
      <c r="AO1313" t="s">
        <v>118</v>
      </c>
      <c r="AP1313">
        <v>76</v>
      </c>
      <c r="AQ1313">
        <v>45</v>
      </c>
      <c r="AR1313">
        <v>576</v>
      </c>
      <c r="AZ1313">
        <v>1200</v>
      </c>
      <c r="BA1313">
        <v>1</v>
      </c>
      <c r="BB1313" t="str">
        <f t="shared" si="620"/>
        <v xml:space="preserve">N711JA  </v>
      </c>
      <c r="BC1313">
        <v>1</v>
      </c>
      <c r="BE1313">
        <v>0</v>
      </c>
      <c r="BF1313">
        <v>0</v>
      </c>
      <c r="BG1313">
        <v>0</v>
      </c>
      <c r="BH1313">
        <v>1575</v>
      </c>
      <c r="BI1313">
        <v>1</v>
      </c>
      <c r="BJ1313">
        <v>1</v>
      </c>
      <c r="BK1313">
        <v>0</v>
      </c>
      <c r="BL1313">
        <v>0</v>
      </c>
      <c r="BO1313">
        <v>0</v>
      </c>
      <c r="BP1313">
        <v>0</v>
      </c>
      <c r="BW1313" t="str">
        <f t="shared" si="623"/>
        <v>14:43:22.810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2</v>
      </c>
      <c r="CP1313" t="s">
        <v>119</v>
      </c>
      <c r="CQ1313">
        <v>8</v>
      </c>
      <c r="CR1313">
        <v>3</v>
      </c>
      <c r="CW1313">
        <v>8778392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621"/>
        <v>05/12/2020 14:43:05.007</v>
      </c>
      <c r="C1314" t="str">
        <f t="shared" si="619"/>
        <v>FFDFD3C0</v>
      </c>
      <c r="D1314" t="s">
        <v>131</v>
      </c>
      <c r="E1314">
        <v>10</v>
      </c>
      <c r="F1314">
        <v>2010</v>
      </c>
      <c r="G1314" t="s">
        <v>132</v>
      </c>
      <c r="J1314" t="s">
        <v>133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622"/>
        <v>14:43:22.805</v>
      </c>
      <c r="T1314" t="str">
        <f t="shared" si="624"/>
        <v>14:43:22.705</v>
      </c>
      <c r="U1314" t="str">
        <f t="shared" si="606"/>
        <v>A9808D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374</v>
      </c>
      <c r="AJ1314">
        <v>28.286576</v>
      </c>
      <c r="AK1314" t="s">
        <v>375</v>
      </c>
      <c r="AL1314">
        <v>-82.381367999999995</v>
      </c>
      <c r="AM1314">
        <v>100</v>
      </c>
      <c r="AN1314">
        <v>1500</v>
      </c>
      <c r="AO1314" t="s">
        <v>118</v>
      </c>
      <c r="AP1314">
        <v>76</v>
      </c>
      <c r="AQ1314">
        <v>45</v>
      </c>
      <c r="AR1314">
        <v>576</v>
      </c>
      <c r="AZ1314">
        <v>1200</v>
      </c>
      <c r="BA1314">
        <v>1</v>
      </c>
      <c r="BB1314" t="str">
        <f t="shared" si="620"/>
        <v xml:space="preserve">N711JA  </v>
      </c>
      <c r="BC1314">
        <v>1</v>
      </c>
      <c r="BE1314">
        <v>0</v>
      </c>
      <c r="BF1314">
        <v>0</v>
      </c>
      <c r="BG1314">
        <v>0</v>
      </c>
      <c r="BH1314">
        <v>1575</v>
      </c>
      <c r="BI1314">
        <v>1</v>
      </c>
      <c r="BJ1314">
        <v>1</v>
      </c>
      <c r="BK1314">
        <v>0</v>
      </c>
      <c r="BL1314">
        <v>0</v>
      </c>
      <c r="BO1314">
        <v>0</v>
      </c>
      <c r="BP1314">
        <v>0</v>
      </c>
      <c r="BW1314" t="str">
        <f t="shared" si="623"/>
        <v>14:43:22.810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2</v>
      </c>
      <c r="CP1314" t="s">
        <v>119</v>
      </c>
      <c r="CQ1314">
        <v>8</v>
      </c>
      <c r="CR1314">
        <v>3</v>
      </c>
      <c r="CW1314">
        <v>8778392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621"/>
        <v>05/12/2020 14:43:05.007</v>
      </c>
      <c r="C1315" t="str">
        <f t="shared" si="619"/>
        <v>FFDFD3C0</v>
      </c>
      <c r="D1315" t="s">
        <v>131</v>
      </c>
      <c r="E1315">
        <v>12</v>
      </c>
      <c r="F1315">
        <v>2012</v>
      </c>
      <c r="G1315" t="s">
        <v>137</v>
      </c>
      <c r="J1315" t="s">
        <v>133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622"/>
        <v>14:43:22.805</v>
      </c>
      <c r="T1315" t="str">
        <f t="shared" si="624"/>
        <v>14:43:22.705</v>
      </c>
      <c r="U1315" t="str">
        <f t="shared" si="606"/>
        <v>A9808D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374</v>
      </c>
      <c r="AJ1315">
        <v>28.286576</v>
      </c>
      <c r="AK1315" t="s">
        <v>375</v>
      </c>
      <c r="AL1315">
        <v>-82.381367999999995</v>
      </c>
      <c r="AM1315">
        <v>100</v>
      </c>
      <c r="AN1315">
        <v>1500</v>
      </c>
      <c r="AO1315" t="s">
        <v>118</v>
      </c>
      <c r="AP1315">
        <v>76</v>
      </c>
      <c r="AQ1315">
        <v>45</v>
      </c>
      <c r="AR1315">
        <v>576</v>
      </c>
      <c r="AZ1315">
        <v>1200</v>
      </c>
      <c r="BA1315">
        <v>1</v>
      </c>
      <c r="BB1315" t="str">
        <f t="shared" si="620"/>
        <v xml:space="preserve">N711JA  </v>
      </c>
      <c r="BC1315">
        <v>1</v>
      </c>
      <c r="BE1315">
        <v>0</v>
      </c>
      <c r="BF1315">
        <v>0</v>
      </c>
      <c r="BG1315">
        <v>0</v>
      </c>
      <c r="BH1315">
        <v>1575</v>
      </c>
      <c r="BI1315">
        <v>1</v>
      </c>
      <c r="BJ1315">
        <v>1</v>
      </c>
      <c r="BK1315">
        <v>0</v>
      </c>
      <c r="BL1315">
        <v>0</v>
      </c>
      <c r="BO1315">
        <v>0</v>
      </c>
      <c r="BP1315">
        <v>0</v>
      </c>
      <c r="BW1315" t="str">
        <f t="shared" si="623"/>
        <v>14:43:22.810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2</v>
      </c>
      <c r="CP1315" t="s">
        <v>119</v>
      </c>
      <c r="CQ1315">
        <v>8</v>
      </c>
      <c r="CR1315">
        <v>3</v>
      </c>
      <c r="CW1315">
        <v>8778392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si="621"/>
        <v>05/12/2020 14:43:05.007</v>
      </c>
      <c r="C1316" t="str">
        <f t="shared" si="619"/>
        <v>FFDFD3C0</v>
      </c>
      <c r="D1316" t="s">
        <v>126</v>
      </c>
      <c r="E1316">
        <v>6</v>
      </c>
      <c r="F1316">
        <v>1006</v>
      </c>
      <c r="G1316" t="s">
        <v>114</v>
      </c>
      <c r="J1316" t="s">
        <v>128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622"/>
        <v>14:43:22.805</v>
      </c>
      <c r="T1316" t="str">
        <f t="shared" si="624"/>
        <v>14:43:22.705</v>
      </c>
      <c r="U1316" t="str">
        <f t="shared" si="606"/>
        <v>A9808D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374</v>
      </c>
      <c r="AJ1316">
        <v>28.286576</v>
      </c>
      <c r="AK1316" t="s">
        <v>375</v>
      </c>
      <c r="AL1316">
        <v>-82.381367999999995</v>
      </c>
      <c r="AM1316">
        <v>100</v>
      </c>
      <c r="AN1316">
        <v>1500</v>
      </c>
      <c r="AO1316" t="s">
        <v>118</v>
      </c>
      <c r="AP1316">
        <v>76</v>
      </c>
      <c r="AQ1316">
        <v>45</v>
      </c>
      <c r="AR1316">
        <v>576</v>
      </c>
      <c r="AZ1316">
        <v>1200</v>
      </c>
      <c r="BA1316">
        <v>1</v>
      </c>
      <c r="BB1316" t="str">
        <f t="shared" si="620"/>
        <v xml:space="preserve">N711JA  </v>
      </c>
      <c r="BC1316">
        <v>1</v>
      </c>
      <c r="BE1316">
        <v>0</v>
      </c>
      <c r="BF1316">
        <v>0</v>
      </c>
      <c r="BG1316">
        <v>0</v>
      </c>
      <c r="BH1316">
        <v>1575</v>
      </c>
      <c r="BI1316">
        <v>1</v>
      </c>
      <c r="BJ1316">
        <v>1</v>
      </c>
      <c r="BK1316">
        <v>0</v>
      </c>
      <c r="BL1316">
        <v>0</v>
      </c>
      <c r="BO1316">
        <v>0</v>
      </c>
      <c r="BP1316">
        <v>0</v>
      </c>
      <c r="BW1316" t="str">
        <f t="shared" si="623"/>
        <v>14:43:22.810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2</v>
      </c>
      <c r="CP1316" t="s">
        <v>119</v>
      </c>
      <c r="CQ1316">
        <v>8</v>
      </c>
      <c r="CR1316">
        <v>3</v>
      </c>
      <c r="CW1316">
        <v>8778392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si="621"/>
        <v>05/12/2020 14:43:05.007</v>
      </c>
      <c r="C1317" t="str">
        <f t="shared" si="619"/>
        <v>FFDFD3C0</v>
      </c>
      <c r="D1317" t="s">
        <v>113</v>
      </c>
      <c r="E1317">
        <v>3</v>
      </c>
      <c r="H1317">
        <v>164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622"/>
        <v>14:43:22.805</v>
      </c>
      <c r="T1317" t="str">
        <f t="shared" si="624"/>
        <v>14:43:22.705</v>
      </c>
      <c r="U1317" t="str">
        <f t="shared" si="606"/>
        <v>A9808D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374</v>
      </c>
      <c r="AJ1317">
        <v>28.286576</v>
      </c>
      <c r="AK1317" t="s">
        <v>375</v>
      </c>
      <c r="AL1317">
        <v>-82.381367999999995</v>
      </c>
      <c r="AM1317">
        <v>100</v>
      </c>
      <c r="AN1317">
        <v>1500</v>
      </c>
      <c r="AO1317" t="s">
        <v>118</v>
      </c>
      <c r="AP1317">
        <v>76</v>
      </c>
      <c r="AQ1317">
        <v>45</v>
      </c>
      <c r="AR1317">
        <v>576</v>
      </c>
      <c r="AZ1317">
        <v>1200</v>
      </c>
      <c r="BA1317">
        <v>1</v>
      </c>
      <c r="BB1317" t="str">
        <f t="shared" si="620"/>
        <v xml:space="preserve">N711JA  </v>
      </c>
      <c r="BC1317">
        <v>1</v>
      </c>
      <c r="BE1317">
        <v>0</v>
      </c>
      <c r="BF1317">
        <v>0</v>
      </c>
      <c r="BG1317">
        <v>0</v>
      </c>
      <c r="BH1317">
        <v>1575</v>
      </c>
      <c r="BI1317">
        <v>1</v>
      </c>
      <c r="BJ1317">
        <v>1</v>
      </c>
      <c r="BK1317">
        <v>0</v>
      </c>
      <c r="BL1317">
        <v>0</v>
      </c>
      <c r="BO1317">
        <v>0</v>
      </c>
      <c r="BP1317">
        <v>0</v>
      </c>
      <c r="BW1317" t="str">
        <f t="shared" si="623"/>
        <v>14:43:22.810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2</v>
      </c>
      <c r="CP1317" t="s">
        <v>119</v>
      </c>
      <c r="CQ1317">
        <v>8</v>
      </c>
      <c r="CR1317">
        <v>3</v>
      </c>
      <c r="CW1317">
        <v>8778392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621"/>
        <v>05/12/2020 14:43:05.007</v>
      </c>
      <c r="C1318" t="str">
        <f t="shared" si="619"/>
        <v>FFDFD3C0</v>
      </c>
      <c r="D1318" t="s">
        <v>138</v>
      </c>
      <c r="E1318">
        <v>2</v>
      </c>
      <c r="H1318">
        <v>8</v>
      </c>
      <c r="I1318" t="s">
        <v>139</v>
      </c>
      <c r="J1318" t="s">
        <v>136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622"/>
        <v>14:43:22.805</v>
      </c>
      <c r="T1318" t="str">
        <f t="shared" si="624"/>
        <v>14:43:22.705</v>
      </c>
      <c r="U1318" t="str">
        <f t="shared" si="606"/>
        <v>A9808D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374</v>
      </c>
      <c r="AJ1318">
        <v>28.286576</v>
      </c>
      <c r="AK1318" t="s">
        <v>375</v>
      </c>
      <c r="AL1318">
        <v>-82.381367999999995</v>
      </c>
      <c r="AM1318">
        <v>100</v>
      </c>
      <c r="AN1318">
        <v>1500</v>
      </c>
      <c r="AO1318" t="s">
        <v>118</v>
      </c>
      <c r="AP1318">
        <v>76</v>
      </c>
      <c r="AQ1318">
        <v>45</v>
      </c>
      <c r="AR1318">
        <v>576</v>
      </c>
      <c r="AZ1318">
        <v>1200</v>
      </c>
      <c r="BA1318">
        <v>1</v>
      </c>
      <c r="BB1318" t="str">
        <f t="shared" si="620"/>
        <v xml:space="preserve">N711JA  </v>
      </c>
      <c r="BC1318">
        <v>1</v>
      </c>
      <c r="BE1318">
        <v>0</v>
      </c>
      <c r="BF1318">
        <v>0</v>
      </c>
      <c r="BG1318">
        <v>0</v>
      </c>
      <c r="BH1318">
        <v>1575</v>
      </c>
      <c r="BI1318">
        <v>1</v>
      </c>
      <c r="BJ1318">
        <v>1</v>
      </c>
      <c r="BK1318">
        <v>0</v>
      </c>
      <c r="BL1318">
        <v>0</v>
      </c>
      <c r="BO1318">
        <v>0</v>
      </c>
      <c r="BP1318">
        <v>0</v>
      </c>
      <c r="BW1318" t="str">
        <f t="shared" si="623"/>
        <v>14:43:22.810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2</v>
      </c>
      <c r="CP1318" t="s">
        <v>119</v>
      </c>
      <c r="CQ1318">
        <v>8</v>
      </c>
      <c r="CR1318">
        <v>3</v>
      </c>
      <c r="CW1318">
        <v>8778392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 t="shared" ref="A1319:A1327" si="625">"05/12/2020 14:43:06.071"</f>
        <v>05/12/2020 14:43:06.071</v>
      </c>
      <c r="C1319" t="str">
        <f t="shared" si="619"/>
        <v>FFDFD3C0</v>
      </c>
      <c r="D1319" t="s">
        <v>134</v>
      </c>
      <c r="E1319">
        <v>12</v>
      </c>
      <c r="H1319">
        <v>64</v>
      </c>
      <c r="I1319" t="s">
        <v>135</v>
      </c>
      <c r="J1319" t="s">
        <v>136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ref="S1319:S1327" si="626">"14:43:23.867"</f>
        <v>14:43:23.867</v>
      </c>
      <c r="T1319" t="str">
        <f t="shared" ref="T1319:T1327" si="627">"14:43:23.767"</f>
        <v>14:43:23.767</v>
      </c>
      <c r="U1319" t="str">
        <f t="shared" si="606"/>
        <v>A9808D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376</v>
      </c>
      <c r="AJ1319">
        <v>28.286769</v>
      </c>
      <c r="AK1319" t="s">
        <v>266</v>
      </c>
      <c r="AL1319">
        <v>-82.380938999999998</v>
      </c>
      <c r="AM1319">
        <v>100</v>
      </c>
      <c r="AN1319">
        <v>1500</v>
      </c>
      <c r="AO1319" t="s">
        <v>118</v>
      </c>
      <c r="AP1319">
        <v>80</v>
      </c>
      <c r="AQ1319">
        <v>37</v>
      </c>
      <c r="AR1319">
        <v>192</v>
      </c>
      <c r="AZ1319">
        <v>1200</v>
      </c>
      <c r="BA1319">
        <v>1</v>
      </c>
      <c r="BB1319" t="str">
        <f t="shared" si="620"/>
        <v xml:space="preserve">N711JA  </v>
      </c>
      <c r="BC1319">
        <v>1</v>
      </c>
      <c r="BE1319">
        <v>0</v>
      </c>
      <c r="BF1319">
        <v>0</v>
      </c>
      <c r="BG1319">
        <v>0</v>
      </c>
      <c r="BH1319">
        <v>1575</v>
      </c>
      <c r="BI1319">
        <v>1</v>
      </c>
      <c r="BJ1319">
        <v>1</v>
      </c>
      <c r="BK1319">
        <v>0</v>
      </c>
      <c r="BL1319">
        <v>0</v>
      </c>
      <c r="BO1319">
        <v>0</v>
      </c>
      <c r="BP1319">
        <v>0</v>
      </c>
      <c r="BW1319" t="str">
        <f t="shared" ref="BW1319:BW1327" si="628">"14:43:23.868"</f>
        <v>14:43:23.868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343</v>
      </c>
      <c r="CR1319">
        <v>1</v>
      </c>
      <c r="CW1319">
        <v>10656121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 t="shared" si="625"/>
        <v>05/12/2020 14:43:06.071</v>
      </c>
      <c r="C1320" t="str">
        <f t="shared" si="619"/>
        <v>FFDFD3C0</v>
      </c>
      <c r="D1320" t="s">
        <v>126</v>
      </c>
      <c r="E1320">
        <v>6</v>
      </c>
      <c r="F1320">
        <v>1006</v>
      </c>
      <c r="G1320" t="s">
        <v>114</v>
      </c>
      <c r="J1320" t="s">
        <v>128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626"/>
        <v>14:43:23.867</v>
      </c>
      <c r="T1320" t="str">
        <f t="shared" si="627"/>
        <v>14:43:23.767</v>
      </c>
      <c r="U1320" t="str">
        <f t="shared" si="606"/>
        <v>A9808D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376</v>
      </c>
      <c r="AJ1320">
        <v>28.286769</v>
      </c>
      <c r="AK1320" t="s">
        <v>266</v>
      </c>
      <c r="AL1320">
        <v>-82.380938999999998</v>
      </c>
      <c r="AM1320">
        <v>100</v>
      </c>
      <c r="AN1320">
        <v>1500</v>
      </c>
      <c r="AO1320" t="s">
        <v>118</v>
      </c>
      <c r="AP1320">
        <v>80</v>
      </c>
      <c r="AQ1320">
        <v>37</v>
      </c>
      <c r="AR1320">
        <v>192</v>
      </c>
      <c r="AZ1320">
        <v>1200</v>
      </c>
      <c r="BA1320">
        <v>1</v>
      </c>
      <c r="BB1320" t="str">
        <f t="shared" si="620"/>
        <v xml:space="preserve">N711JA  </v>
      </c>
      <c r="BC1320">
        <v>1</v>
      </c>
      <c r="BE1320">
        <v>0</v>
      </c>
      <c r="BF1320">
        <v>0</v>
      </c>
      <c r="BG1320">
        <v>0</v>
      </c>
      <c r="BH1320">
        <v>1575</v>
      </c>
      <c r="BI1320">
        <v>1</v>
      </c>
      <c r="BJ1320">
        <v>1</v>
      </c>
      <c r="BK1320">
        <v>0</v>
      </c>
      <c r="BL1320">
        <v>0</v>
      </c>
      <c r="BO1320">
        <v>0</v>
      </c>
      <c r="BP1320">
        <v>0</v>
      </c>
      <c r="BW1320" t="str">
        <f t="shared" si="628"/>
        <v>14:43:23.868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343</v>
      </c>
      <c r="CR1320">
        <v>1</v>
      </c>
      <c r="CW1320">
        <v>10656121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 t="shared" si="625"/>
        <v>05/12/2020 14:43:06.071</v>
      </c>
      <c r="C1321" t="str">
        <f t="shared" si="619"/>
        <v>FFDFD3C0</v>
      </c>
      <c r="D1321" t="s">
        <v>113</v>
      </c>
      <c r="E1321">
        <v>3</v>
      </c>
      <c r="H1321">
        <v>164</v>
      </c>
      <c r="I1321" t="s">
        <v>114</v>
      </c>
      <c r="J1321" t="s">
        <v>115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626"/>
        <v>14:43:23.867</v>
      </c>
      <c r="T1321" t="str">
        <f t="shared" si="627"/>
        <v>14:43:23.767</v>
      </c>
      <c r="U1321" t="str">
        <f t="shared" si="606"/>
        <v>A9808D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376</v>
      </c>
      <c r="AJ1321">
        <v>28.286769</v>
      </c>
      <c r="AK1321" t="s">
        <v>266</v>
      </c>
      <c r="AL1321">
        <v>-82.380938999999998</v>
      </c>
      <c r="AM1321">
        <v>100</v>
      </c>
      <c r="AN1321">
        <v>1500</v>
      </c>
      <c r="AO1321" t="s">
        <v>118</v>
      </c>
      <c r="AP1321">
        <v>80</v>
      </c>
      <c r="AQ1321">
        <v>37</v>
      </c>
      <c r="AR1321">
        <v>192</v>
      </c>
      <c r="AZ1321">
        <v>1200</v>
      </c>
      <c r="BA1321">
        <v>1</v>
      </c>
      <c r="BB1321" t="str">
        <f t="shared" si="620"/>
        <v xml:space="preserve">N711JA  </v>
      </c>
      <c r="BC1321">
        <v>1</v>
      </c>
      <c r="BE1321">
        <v>0</v>
      </c>
      <c r="BF1321">
        <v>0</v>
      </c>
      <c r="BG1321">
        <v>0</v>
      </c>
      <c r="BH1321">
        <v>1575</v>
      </c>
      <c r="BI1321">
        <v>1</v>
      </c>
      <c r="BJ1321">
        <v>1</v>
      </c>
      <c r="BK1321">
        <v>0</v>
      </c>
      <c r="BL1321">
        <v>0</v>
      </c>
      <c r="BO1321">
        <v>0</v>
      </c>
      <c r="BP1321">
        <v>0</v>
      </c>
      <c r="BW1321" t="str">
        <f t="shared" si="628"/>
        <v>14:43:23.868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343</v>
      </c>
      <c r="CR1321">
        <v>1</v>
      </c>
      <c r="CW1321">
        <v>10656121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 t="shared" si="625"/>
        <v>05/12/2020 14:43:06.071</v>
      </c>
      <c r="C1322" t="str">
        <f t="shared" si="619"/>
        <v>FFDFD3C0</v>
      </c>
      <c r="D1322" t="s">
        <v>138</v>
      </c>
      <c r="E1322">
        <v>2</v>
      </c>
      <c r="H1322">
        <v>8</v>
      </c>
      <c r="I1322" t="s">
        <v>139</v>
      </c>
      <c r="J1322" t="s">
        <v>136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626"/>
        <v>14:43:23.867</v>
      </c>
      <c r="T1322" t="str">
        <f t="shared" si="627"/>
        <v>14:43:23.767</v>
      </c>
      <c r="U1322" t="str">
        <f t="shared" si="606"/>
        <v>A9808D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376</v>
      </c>
      <c r="AJ1322">
        <v>28.286769</v>
      </c>
      <c r="AK1322" t="s">
        <v>266</v>
      </c>
      <c r="AL1322">
        <v>-82.380938999999998</v>
      </c>
      <c r="AM1322">
        <v>100</v>
      </c>
      <c r="AN1322">
        <v>1500</v>
      </c>
      <c r="AO1322" t="s">
        <v>118</v>
      </c>
      <c r="AP1322">
        <v>80</v>
      </c>
      <c r="AQ1322">
        <v>37</v>
      </c>
      <c r="AR1322">
        <v>192</v>
      </c>
      <c r="AZ1322">
        <v>1200</v>
      </c>
      <c r="BA1322">
        <v>1</v>
      </c>
      <c r="BB1322" t="str">
        <f t="shared" si="620"/>
        <v xml:space="preserve">N711JA  </v>
      </c>
      <c r="BC1322">
        <v>1</v>
      </c>
      <c r="BE1322">
        <v>0</v>
      </c>
      <c r="BF1322">
        <v>0</v>
      </c>
      <c r="BG1322">
        <v>0</v>
      </c>
      <c r="BH1322">
        <v>1575</v>
      </c>
      <c r="BI1322">
        <v>1</v>
      </c>
      <c r="BJ1322">
        <v>1</v>
      </c>
      <c r="BK1322">
        <v>0</v>
      </c>
      <c r="BL1322">
        <v>0</v>
      </c>
      <c r="BO1322">
        <v>0</v>
      </c>
      <c r="BP1322">
        <v>0</v>
      </c>
      <c r="BW1322" t="str">
        <f t="shared" si="628"/>
        <v>14:43:23.868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343</v>
      </c>
      <c r="CR1322">
        <v>1</v>
      </c>
      <c r="CW1322">
        <v>10656121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 t="shared" si="625"/>
        <v>05/12/2020 14:43:06.071</v>
      </c>
      <c r="C1323" t="str">
        <f t="shared" si="619"/>
        <v>FFDFD3C0</v>
      </c>
      <c r="D1323" t="s">
        <v>138</v>
      </c>
      <c r="E1323">
        <v>3</v>
      </c>
      <c r="H1323">
        <v>9</v>
      </c>
      <c r="I1323" t="s">
        <v>140</v>
      </c>
      <c r="J1323" t="s">
        <v>136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626"/>
        <v>14:43:23.867</v>
      </c>
      <c r="T1323" t="str">
        <f t="shared" si="627"/>
        <v>14:43:23.767</v>
      </c>
      <c r="U1323" t="str">
        <f t="shared" si="606"/>
        <v>A9808D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376</v>
      </c>
      <c r="AJ1323">
        <v>28.286769</v>
      </c>
      <c r="AK1323" t="s">
        <v>266</v>
      </c>
      <c r="AL1323">
        <v>-82.380938999999998</v>
      </c>
      <c r="AM1323">
        <v>100</v>
      </c>
      <c r="AN1323">
        <v>1500</v>
      </c>
      <c r="AO1323" t="s">
        <v>118</v>
      </c>
      <c r="AP1323">
        <v>80</v>
      </c>
      <c r="AQ1323">
        <v>37</v>
      </c>
      <c r="AR1323">
        <v>192</v>
      </c>
      <c r="AZ1323">
        <v>1200</v>
      </c>
      <c r="BA1323">
        <v>1</v>
      </c>
      <c r="BB1323" t="str">
        <f t="shared" si="620"/>
        <v xml:space="preserve">N711JA  </v>
      </c>
      <c r="BC1323">
        <v>1</v>
      </c>
      <c r="BE1323">
        <v>0</v>
      </c>
      <c r="BF1323">
        <v>0</v>
      </c>
      <c r="BG1323">
        <v>0</v>
      </c>
      <c r="BH1323">
        <v>1575</v>
      </c>
      <c r="BI1323">
        <v>1</v>
      </c>
      <c r="BJ1323">
        <v>1</v>
      </c>
      <c r="BK1323">
        <v>0</v>
      </c>
      <c r="BL1323">
        <v>0</v>
      </c>
      <c r="BO1323">
        <v>0</v>
      </c>
      <c r="BP1323">
        <v>0</v>
      </c>
      <c r="BW1323" t="str">
        <f t="shared" si="628"/>
        <v>14:43:23.868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343</v>
      </c>
      <c r="CR1323">
        <v>1</v>
      </c>
      <c r="CW1323">
        <v>10656121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 t="shared" si="625"/>
        <v>05/12/2020 14:43:06.071</v>
      </c>
      <c r="C1324" t="str">
        <f t="shared" si="619"/>
        <v>FFDFD3C0</v>
      </c>
      <c r="D1324" t="s">
        <v>126</v>
      </c>
      <c r="E1324">
        <v>7</v>
      </c>
      <c r="F1324">
        <v>1007</v>
      </c>
      <c r="G1324" t="s">
        <v>127</v>
      </c>
      <c r="J1324" t="s">
        <v>128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626"/>
        <v>14:43:23.867</v>
      </c>
      <c r="T1324" t="str">
        <f t="shared" si="627"/>
        <v>14:43:23.767</v>
      </c>
      <c r="U1324" t="str">
        <f t="shared" si="606"/>
        <v>A9808D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376</v>
      </c>
      <c r="AJ1324">
        <v>28.286769</v>
      </c>
      <c r="AK1324" t="s">
        <v>266</v>
      </c>
      <c r="AL1324">
        <v>-82.380938999999998</v>
      </c>
      <c r="AM1324">
        <v>100</v>
      </c>
      <c r="AN1324">
        <v>1500</v>
      </c>
      <c r="AO1324" t="s">
        <v>118</v>
      </c>
      <c r="AP1324">
        <v>80</v>
      </c>
      <c r="AQ1324">
        <v>37</v>
      </c>
      <c r="AR1324">
        <v>192</v>
      </c>
      <c r="AZ1324">
        <v>1200</v>
      </c>
      <c r="BA1324">
        <v>1</v>
      </c>
      <c r="BB1324" t="str">
        <f t="shared" si="620"/>
        <v xml:space="preserve">N711JA  </v>
      </c>
      <c r="BC1324">
        <v>1</v>
      </c>
      <c r="BE1324">
        <v>0</v>
      </c>
      <c r="BF1324">
        <v>0</v>
      </c>
      <c r="BG1324">
        <v>0</v>
      </c>
      <c r="BH1324">
        <v>1575</v>
      </c>
      <c r="BI1324">
        <v>1</v>
      </c>
      <c r="BJ1324">
        <v>1</v>
      </c>
      <c r="BK1324">
        <v>0</v>
      </c>
      <c r="BL1324">
        <v>0</v>
      </c>
      <c r="BO1324">
        <v>0</v>
      </c>
      <c r="BP1324">
        <v>0</v>
      </c>
      <c r="BW1324" t="str">
        <f t="shared" si="628"/>
        <v>14:43:23.868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343</v>
      </c>
      <c r="CR1324">
        <v>1</v>
      </c>
      <c r="CW1324">
        <v>10656121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si="625"/>
        <v>05/12/2020 14:43:06.071</v>
      </c>
      <c r="C1325" t="str">
        <f t="shared" si="619"/>
        <v>FFDFD3C0</v>
      </c>
      <c r="D1325" t="s">
        <v>131</v>
      </c>
      <c r="E1325">
        <v>10</v>
      </c>
      <c r="F1325">
        <v>2010</v>
      </c>
      <c r="G1325" t="s">
        <v>132</v>
      </c>
      <c r="J1325" t="s">
        <v>133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626"/>
        <v>14:43:23.867</v>
      </c>
      <c r="T1325" t="str">
        <f t="shared" si="627"/>
        <v>14:43:23.767</v>
      </c>
      <c r="U1325" t="str">
        <f t="shared" si="606"/>
        <v>A9808D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376</v>
      </c>
      <c r="AJ1325">
        <v>28.286769</v>
      </c>
      <c r="AK1325" t="s">
        <v>266</v>
      </c>
      <c r="AL1325">
        <v>-82.380938999999998</v>
      </c>
      <c r="AM1325">
        <v>100</v>
      </c>
      <c r="AN1325">
        <v>1500</v>
      </c>
      <c r="AO1325" t="s">
        <v>118</v>
      </c>
      <c r="AP1325">
        <v>80</v>
      </c>
      <c r="AQ1325">
        <v>37</v>
      </c>
      <c r="AR1325">
        <v>192</v>
      </c>
      <c r="AZ1325">
        <v>1200</v>
      </c>
      <c r="BA1325">
        <v>1</v>
      </c>
      <c r="BB1325" t="str">
        <f t="shared" si="620"/>
        <v xml:space="preserve">N711JA  </v>
      </c>
      <c r="BC1325">
        <v>1</v>
      </c>
      <c r="BE1325">
        <v>0</v>
      </c>
      <c r="BF1325">
        <v>0</v>
      </c>
      <c r="BG1325">
        <v>0</v>
      </c>
      <c r="BH1325">
        <v>1575</v>
      </c>
      <c r="BI1325">
        <v>1</v>
      </c>
      <c r="BJ1325">
        <v>1</v>
      </c>
      <c r="BK1325">
        <v>0</v>
      </c>
      <c r="BL1325">
        <v>0</v>
      </c>
      <c r="BO1325">
        <v>0</v>
      </c>
      <c r="BP1325">
        <v>0</v>
      </c>
      <c r="BW1325" t="str">
        <f t="shared" si="628"/>
        <v>14:43:23.868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343</v>
      </c>
      <c r="CR1325">
        <v>1</v>
      </c>
      <c r="CW1325">
        <v>10656121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625"/>
        <v>05/12/2020 14:43:06.071</v>
      </c>
      <c r="C1326" t="str">
        <f t="shared" si="619"/>
        <v>FFDFD3C0</v>
      </c>
      <c r="D1326" t="s">
        <v>131</v>
      </c>
      <c r="E1326">
        <v>12</v>
      </c>
      <c r="F1326">
        <v>2012</v>
      </c>
      <c r="G1326" t="s">
        <v>137</v>
      </c>
      <c r="J1326" t="s">
        <v>133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626"/>
        <v>14:43:23.867</v>
      </c>
      <c r="T1326" t="str">
        <f t="shared" si="627"/>
        <v>14:43:23.767</v>
      </c>
      <c r="U1326" t="str">
        <f t="shared" si="606"/>
        <v>A9808D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376</v>
      </c>
      <c r="AJ1326">
        <v>28.286769</v>
      </c>
      <c r="AK1326" t="s">
        <v>266</v>
      </c>
      <c r="AL1326">
        <v>-82.380938999999998</v>
      </c>
      <c r="AM1326">
        <v>100</v>
      </c>
      <c r="AN1326">
        <v>1500</v>
      </c>
      <c r="AO1326" t="s">
        <v>118</v>
      </c>
      <c r="AP1326">
        <v>80</v>
      </c>
      <c r="AQ1326">
        <v>37</v>
      </c>
      <c r="AR1326">
        <v>192</v>
      </c>
      <c r="AZ1326">
        <v>1200</v>
      </c>
      <c r="BA1326">
        <v>1</v>
      </c>
      <c r="BB1326" t="str">
        <f t="shared" si="620"/>
        <v xml:space="preserve">N711JA  </v>
      </c>
      <c r="BC1326">
        <v>1</v>
      </c>
      <c r="BE1326">
        <v>0</v>
      </c>
      <c r="BF1326">
        <v>0</v>
      </c>
      <c r="BG1326">
        <v>0</v>
      </c>
      <c r="BH1326">
        <v>1575</v>
      </c>
      <c r="BI1326">
        <v>1</v>
      </c>
      <c r="BJ1326">
        <v>1</v>
      </c>
      <c r="BK1326">
        <v>0</v>
      </c>
      <c r="BL1326">
        <v>0</v>
      </c>
      <c r="BO1326">
        <v>0</v>
      </c>
      <c r="BP1326">
        <v>0</v>
      </c>
      <c r="BW1326" t="str">
        <f t="shared" si="628"/>
        <v>14:43:23.868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343</v>
      </c>
      <c r="CR1326">
        <v>1</v>
      </c>
      <c r="CW1326">
        <v>10656121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si="625"/>
        <v>05/12/2020 14:43:06.071</v>
      </c>
      <c r="C1327" t="str">
        <f t="shared" si="619"/>
        <v>FFDFD3C0</v>
      </c>
      <c r="D1327" t="s">
        <v>131</v>
      </c>
      <c r="E1327">
        <v>18</v>
      </c>
      <c r="F1327">
        <v>2018</v>
      </c>
      <c r="G1327" t="s">
        <v>161</v>
      </c>
      <c r="J1327" t="s">
        <v>133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626"/>
        <v>14:43:23.867</v>
      </c>
      <c r="T1327" t="str">
        <f t="shared" si="627"/>
        <v>14:43:23.767</v>
      </c>
      <c r="U1327" t="str">
        <f t="shared" si="606"/>
        <v>A9808D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376</v>
      </c>
      <c r="AJ1327">
        <v>28.286769</v>
      </c>
      <c r="AK1327" t="s">
        <v>266</v>
      </c>
      <c r="AL1327">
        <v>-82.380938999999998</v>
      </c>
      <c r="AM1327">
        <v>100</v>
      </c>
      <c r="AN1327">
        <v>1500</v>
      </c>
      <c r="AO1327" t="s">
        <v>118</v>
      </c>
      <c r="AP1327">
        <v>80</v>
      </c>
      <c r="AQ1327">
        <v>37</v>
      </c>
      <c r="AR1327">
        <v>192</v>
      </c>
      <c r="AZ1327">
        <v>1200</v>
      </c>
      <c r="BA1327">
        <v>1</v>
      </c>
      <c r="BB1327" t="str">
        <f t="shared" si="620"/>
        <v xml:space="preserve">N711JA  </v>
      </c>
      <c r="BC1327">
        <v>1</v>
      </c>
      <c r="BE1327">
        <v>0</v>
      </c>
      <c r="BF1327">
        <v>0</v>
      </c>
      <c r="BG1327">
        <v>0</v>
      </c>
      <c r="BH1327">
        <v>1575</v>
      </c>
      <c r="BI1327">
        <v>1</v>
      </c>
      <c r="BJ1327">
        <v>1</v>
      </c>
      <c r="BK1327">
        <v>0</v>
      </c>
      <c r="BL1327">
        <v>0</v>
      </c>
      <c r="BO1327">
        <v>0</v>
      </c>
      <c r="BP1327">
        <v>0</v>
      </c>
      <c r="BW1327" t="str">
        <f t="shared" si="628"/>
        <v>14:43:23.868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343</v>
      </c>
      <c r="CR1327">
        <v>1</v>
      </c>
      <c r="CW1327">
        <v>10656121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ref="A1328:A1336" si="629">"05/12/2020 14:43:07.044"</f>
        <v>05/12/2020 14:43:07.044</v>
      </c>
      <c r="C1328" t="str">
        <f t="shared" si="619"/>
        <v>FFDFD3C0</v>
      </c>
      <c r="D1328" t="s">
        <v>126</v>
      </c>
      <c r="E1328">
        <v>6</v>
      </c>
      <c r="F1328">
        <v>1006</v>
      </c>
      <c r="G1328" t="s">
        <v>114</v>
      </c>
      <c r="J1328" t="s">
        <v>128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ref="S1328:S1336" si="630">"14:43:24.891"</f>
        <v>14:43:24.891</v>
      </c>
      <c r="T1328" t="str">
        <f t="shared" ref="T1328:T1336" si="631">"14:43:24.791"</f>
        <v>14:43:24.791</v>
      </c>
      <c r="U1328" t="str">
        <f t="shared" si="606"/>
        <v>A9808D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377</v>
      </c>
      <c r="AJ1328">
        <v>28.286919999999999</v>
      </c>
      <c r="AK1328" t="s">
        <v>286</v>
      </c>
      <c r="AL1328">
        <v>-82.380509000000004</v>
      </c>
      <c r="AM1328">
        <v>100</v>
      </c>
      <c r="AN1328">
        <v>1500</v>
      </c>
      <c r="AO1328" t="s">
        <v>118</v>
      </c>
      <c r="AP1328">
        <v>84</v>
      </c>
      <c r="AQ1328">
        <v>29</v>
      </c>
      <c r="AR1328">
        <v>-64</v>
      </c>
      <c r="AZ1328">
        <v>1200</v>
      </c>
      <c r="BA1328">
        <v>1</v>
      </c>
      <c r="BB1328" t="str">
        <f t="shared" si="620"/>
        <v xml:space="preserve">N711JA  </v>
      </c>
      <c r="BC1328">
        <v>1</v>
      </c>
      <c r="BE1328">
        <v>0</v>
      </c>
      <c r="BF1328">
        <v>0</v>
      </c>
      <c r="BG1328">
        <v>0</v>
      </c>
      <c r="BH1328">
        <v>1575</v>
      </c>
      <c r="BI1328">
        <v>1</v>
      </c>
      <c r="BJ1328">
        <v>1</v>
      </c>
      <c r="BK1328">
        <v>0</v>
      </c>
      <c r="BL1328">
        <v>0</v>
      </c>
      <c r="BO1328">
        <v>0</v>
      </c>
      <c r="BP1328">
        <v>0</v>
      </c>
      <c r="BW1328" t="str">
        <f t="shared" ref="BW1328:BW1336" si="632">"14:43:24.892"</f>
        <v>14:43:24.892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343</v>
      </c>
      <c r="CR1328">
        <v>1</v>
      </c>
      <c r="CW1328">
        <v>10657211</v>
      </c>
      <c r="CY1328">
        <v>1</v>
      </c>
      <c r="CZ1328">
        <v>0</v>
      </c>
      <c r="DA1328">
        <v>0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629"/>
        <v>05/12/2020 14:43:07.044</v>
      </c>
      <c r="C1329" t="str">
        <f t="shared" si="619"/>
        <v>FFDFD3C0</v>
      </c>
      <c r="D1329" t="s">
        <v>113</v>
      </c>
      <c r="E1329">
        <v>3</v>
      </c>
      <c r="H1329">
        <v>164</v>
      </c>
      <c r="I1329" t="s">
        <v>114</v>
      </c>
      <c r="J1329" t="s">
        <v>115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630"/>
        <v>14:43:24.891</v>
      </c>
      <c r="T1329" t="str">
        <f t="shared" si="631"/>
        <v>14:43:24.791</v>
      </c>
      <c r="U1329" t="str">
        <f t="shared" si="606"/>
        <v>A9808D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377</v>
      </c>
      <c r="AJ1329">
        <v>28.286919999999999</v>
      </c>
      <c r="AK1329" t="s">
        <v>286</v>
      </c>
      <c r="AL1329">
        <v>-82.380509000000004</v>
      </c>
      <c r="AM1329">
        <v>100</v>
      </c>
      <c r="AN1329">
        <v>1500</v>
      </c>
      <c r="AO1329" t="s">
        <v>118</v>
      </c>
      <c r="AP1329">
        <v>84</v>
      </c>
      <c r="AQ1329">
        <v>29</v>
      </c>
      <c r="AR1329">
        <v>-64</v>
      </c>
      <c r="AZ1329">
        <v>1200</v>
      </c>
      <c r="BA1329">
        <v>1</v>
      </c>
      <c r="BB1329" t="str">
        <f t="shared" si="620"/>
        <v xml:space="preserve">N711JA  </v>
      </c>
      <c r="BC1329">
        <v>1</v>
      </c>
      <c r="BE1329">
        <v>0</v>
      </c>
      <c r="BF1329">
        <v>0</v>
      </c>
      <c r="BG1329">
        <v>0</v>
      </c>
      <c r="BH1329">
        <v>1575</v>
      </c>
      <c r="BI1329">
        <v>1</v>
      </c>
      <c r="BJ1329">
        <v>1</v>
      </c>
      <c r="BK1329">
        <v>0</v>
      </c>
      <c r="BL1329">
        <v>0</v>
      </c>
      <c r="BO1329">
        <v>0</v>
      </c>
      <c r="BP1329">
        <v>0</v>
      </c>
      <c r="BW1329" t="str">
        <f t="shared" si="632"/>
        <v>14:43:24.892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343</v>
      </c>
      <c r="CR1329">
        <v>1</v>
      </c>
      <c r="CW1329">
        <v>10657211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629"/>
        <v>05/12/2020 14:43:07.044</v>
      </c>
      <c r="C1330" t="str">
        <f t="shared" si="619"/>
        <v>FFDFD3C0</v>
      </c>
      <c r="D1330" t="s">
        <v>138</v>
      </c>
      <c r="E1330">
        <v>2</v>
      </c>
      <c r="H1330">
        <v>8</v>
      </c>
      <c r="I1330" t="s">
        <v>139</v>
      </c>
      <c r="J1330" t="s">
        <v>136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630"/>
        <v>14:43:24.891</v>
      </c>
      <c r="T1330" t="str">
        <f t="shared" si="631"/>
        <v>14:43:24.791</v>
      </c>
      <c r="U1330" t="str">
        <f t="shared" si="606"/>
        <v>A9808D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377</v>
      </c>
      <c r="AJ1330">
        <v>28.286919999999999</v>
      </c>
      <c r="AK1330" t="s">
        <v>286</v>
      </c>
      <c r="AL1330">
        <v>-82.380509000000004</v>
      </c>
      <c r="AM1330">
        <v>100</v>
      </c>
      <c r="AN1330">
        <v>1500</v>
      </c>
      <c r="AO1330" t="s">
        <v>118</v>
      </c>
      <c r="AP1330">
        <v>84</v>
      </c>
      <c r="AQ1330">
        <v>29</v>
      </c>
      <c r="AR1330">
        <v>-64</v>
      </c>
      <c r="AZ1330">
        <v>1200</v>
      </c>
      <c r="BA1330">
        <v>1</v>
      </c>
      <c r="BB1330" t="str">
        <f t="shared" si="620"/>
        <v xml:space="preserve">N711JA  </v>
      </c>
      <c r="BC1330">
        <v>1</v>
      </c>
      <c r="BE1330">
        <v>0</v>
      </c>
      <c r="BF1330">
        <v>0</v>
      </c>
      <c r="BG1330">
        <v>0</v>
      </c>
      <c r="BH1330">
        <v>1575</v>
      </c>
      <c r="BI1330">
        <v>1</v>
      </c>
      <c r="BJ1330">
        <v>1</v>
      </c>
      <c r="BK1330">
        <v>0</v>
      </c>
      <c r="BL1330">
        <v>0</v>
      </c>
      <c r="BO1330">
        <v>0</v>
      </c>
      <c r="BP1330">
        <v>0</v>
      </c>
      <c r="BW1330" t="str">
        <f t="shared" si="632"/>
        <v>14:43:24.892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343</v>
      </c>
      <c r="CR1330">
        <v>1</v>
      </c>
      <c r="CW1330">
        <v>10657211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 t="shared" si="629"/>
        <v>05/12/2020 14:43:07.044</v>
      </c>
      <c r="C1331" t="str">
        <f t="shared" si="619"/>
        <v>FFDFD3C0</v>
      </c>
      <c r="D1331" t="s">
        <v>138</v>
      </c>
      <c r="E1331">
        <v>3</v>
      </c>
      <c r="H1331">
        <v>9</v>
      </c>
      <c r="I1331" t="s">
        <v>140</v>
      </c>
      <c r="J1331" t="s">
        <v>136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630"/>
        <v>14:43:24.891</v>
      </c>
      <c r="T1331" t="str">
        <f t="shared" si="631"/>
        <v>14:43:24.791</v>
      </c>
      <c r="U1331" t="str">
        <f t="shared" si="606"/>
        <v>A9808D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377</v>
      </c>
      <c r="AJ1331">
        <v>28.286919999999999</v>
      </c>
      <c r="AK1331" t="s">
        <v>286</v>
      </c>
      <c r="AL1331">
        <v>-82.380509000000004</v>
      </c>
      <c r="AM1331">
        <v>100</v>
      </c>
      <c r="AN1331">
        <v>1500</v>
      </c>
      <c r="AO1331" t="s">
        <v>118</v>
      </c>
      <c r="AP1331">
        <v>84</v>
      </c>
      <c r="AQ1331">
        <v>29</v>
      </c>
      <c r="AR1331">
        <v>-64</v>
      </c>
      <c r="AZ1331">
        <v>1200</v>
      </c>
      <c r="BA1331">
        <v>1</v>
      </c>
      <c r="BB1331" t="str">
        <f t="shared" si="620"/>
        <v xml:space="preserve">N711JA  </v>
      </c>
      <c r="BC1331">
        <v>1</v>
      </c>
      <c r="BE1331">
        <v>0</v>
      </c>
      <c r="BF1331">
        <v>0</v>
      </c>
      <c r="BG1331">
        <v>0</v>
      </c>
      <c r="BH1331">
        <v>1575</v>
      </c>
      <c r="BI1331">
        <v>1</v>
      </c>
      <c r="BJ1331">
        <v>1</v>
      </c>
      <c r="BK1331">
        <v>0</v>
      </c>
      <c r="BL1331">
        <v>0</v>
      </c>
      <c r="BO1331">
        <v>0</v>
      </c>
      <c r="BP1331">
        <v>0</v>
      </c>
      <c r="BW1331" t="str">
        <f t="shared" si="632"/>
        <v>14:43:24.892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343</v>
      </c>
      <c r="CR1331">
        <v>1</v>
      </c>
      <c r="CW1331">
        <v>10657211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si="629"/>
        <v>05/12/2020 14:43:07.044</v>
      </c>
      <c r="C1332" t="str">
        <f t="shared" si="619"/>
        <v>FFDFD3C0</v>
      </c>
      <c r="D1332" t="s">
        <v>131</v>
      </c>
      <c r="E1332">
        <v>12</v>
      </c>
      <c r="F1332">
        <v>2012</v>
      </c>
      <c r="G1332" t="s">
        <v>137</v>
      </c>
      <c r="J1332" t="s">
        <v>133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630"/>
        <v>14:43:24.891</v>
      </c>
      <c r="T1332" t="str">
        <f t="shared" si="631"/>
        <v>14:43:24.791</v>
      </c>
      <c r="U1332" t="str">
        <f t="shared" si="606"/>
        <v>A9808D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377</v>
      </c>
      <c r="AJ1332">
        <v>28.286919999999999</v>
      </c>
      <c r="AK1332" t="s">
        <v>286</v>
      </c>
      <c r="AL1332">
        <v>-82.380509000000004</v>
      </c>
      <c r="AM1332">
        <v>100</v>
      </c>
      <c r="AN1332">
        <v>1500</v>
      </c>
      <c r="AO1332" t="s">
        <v>118</v>
      </c>
      <c r="AP1332">
        <v>84</v>
      </c>
      <c r="AQ1332">
        <v>29</v>
      </c>
      <c r="AR1332">
        <v>-64</v>
      </c>
      <c r="AZ1332">
        <v>1200</v>
      </c>
      <c r="BA1332">
        <v>1</v>
      </c>
      <c r="BB1332" t="str">
        <f t="shared" si="620"/>
        <v xml:space="preserve">N711JA  </v>
      </c>
      <c r="BC1332">
        <v>1</v>
      </c>
      <c r="BE1332">
        <v>0</v>
      </c>
      <c r="BF1332">
        <v>0</v>
      </c>
      <c r="BG1332">
        <v>0</v>
      </c>
      <c r="BH1332">
        <v>1575</v>
      </c>
      <c r="BI1332">
        <v>1</v>
      </c>
      <c r="BJ1332">
        <v>1</v>
      </c>
      <c r="BK1332">
        <v>0</v>
      </c>
      <c r="BL1332">
        <v>0</v>
      </c>
      <c r="BO1332">
        <v>0</v>
      </c>
      <c r="BP1332">
        <v>0</v>
      </c>
      <c r="BW1332" t="str">
        <f t="shared" si="632"/>
        <v>14:43:24.892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343</v>
      </c>
      <c r="CR1332">
        <v>1</v>
      </c>
      <c r="CW1332">
        <v>10657211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si="629"/>
        <v>05/12/2020 14:43:07.044</v>
      </c>
      <c r="C1333" t="str">
        <f t="shared" si="619"/>
        <v>FFDFD3C0</v>
      </c>
      <c r="D1333" t="s">
        <v>131</v>
      </c>
      <c r="E1333">
        <v>10</v>
      </c>
      <c r="F1333">
        <v>2010</v>
      </c>
      <c r="G1333" t="s">
        <v>132</v>
      </c>
      <c r="J1333" t="s">
        <v>133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630"/>
        <v>14:43:24.891</v>
      </c>
      <c r="T1333" t="str">
        <f t="shared" si="631"/>
        <v>14:43:24.791</v>
      </c>
      <c r="U1333" t="str">
        <f t="shared" si="606"/>
        <v>A9808D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377</v>
      </c>
      <c r="AJ1333">
        <v>28.286919999999999</v>
      </c>
      <c r="AK1333" t="s">
        <v>286</v>
      </c>
      <c r="AL1333">
        <v>-82.380509000000004</v>
      </c>
      <c r="AM1333">
        <v>100</v>
      </c>
      <c r="AN1333">
        <v>1500</v>
      </c>
      <c r="AO1333" t="s">
        <v>118</v>
      </c>
      <c r="AP1333">
        <v>84</v>
      </c>
      <c r="AQ1333">
        <v>29</v>
      </c>
      <c r="AR1333">
        <v>-64</v>
      </c>
      <c r="AZ1333">
        <v>1200</v>
      </c>
      <c r="BA1333">
        <v>1</v>
      </c>
      <c r="BB1333" t="str">
        <f t="shared" si="620"/>
        <v xml:space="preserve">N711JA  </v>
      </c>
      <c r="BC1333">
        <v>1</v>
      </c>
      <c r="BE1333">
        <v>0</v>
      </c>
      <c r="BF1333">
        <v>0</v>
      </c>
      <c r="BG1333">
        <v>0</v>
      </c>
      <c r="BH1333">
        <v>1575</v>
      </c>
      <c r="BI1333">
        <v>1</v>
      </c>
      <c r="BJ1333">
        <v>1</v>
      </c>
      <c r="BK1333">
        <v>0</v>
      </c>
      <c r="BL1333">
        <v>0</v>
      </c>
      <c r="BO1333">
        <v>0</v>
      </c>
      <c r="BP1333">
        <v>0</v>
      </c>
      <c r="BW1333" t="str">
        <f t="shared" si="632"/>
        <v>14:43:24.892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343</v>
      </c>
      <c r="CR1333">
        <v>1</v>
      </c>
      <c r="CW1333">
        <v>10657211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si="629"/>
        <v>05/12/2020 14:43:07.044</v>
      </c>
      <c r="C1334" t="str">
        <f t="shared" si="619"/>
        <v>FFDFD3C0</v>
      </c>
      <c r="D1334" t="s">
        <v>126</v>
      </c>
      <c r="E1334">
        <v>7</v>
      </c>
      <c r="F1334">
        <v>1007</v>
      </c>
      <c r="G1334" t="s">
        <v>127</v>
      </c>
      <c r="J1334" t="s">
        <v>128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630"/>
        <v>14:43:24.891</v>
      </c>
      <c r="T1334" t="str">
        <f t="shared" si="631"/>
        <v>14:43:24.791</v>
      </c>
      <c r="U1334" t="str">
        <f t="shared" si="606"/>
        <v>A9808D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377</v>
      </c>
      <c r="AJ1334">
        <v>28.286919999999999</v>
      </c>
      <c r="AK1334" t="s">
        <v>286</v>
      </c>
      <c r="AL1334">
        <v>-82.380509000000004</v>
      </c>
      <c r="AM1334">
        <v>100</v>
      </c>
      <c r="AN1334">
        <v>1500</v>
      </c>
      <c r="AO1334" t="s">
        <v>118</v>
      </c>
      <c r="AP1334">
        <v>84</v>
      </c>
      <c r="AQ1334">
        <v>29</v>
      </c>
      <c r="AR1334">
        <v>-64</v>
      </c>
      <c r="AZ1334">
        <v>1200</v>
      </c>
      <c r="BA1334">
        <v>1</v>
      </c>
      <c r="BB1334" t="str">
        <f t="shared" si="620"/>
        <v xml:space="preserve">N711JA  </v>
      </c>
      <c r="BC1334">
        <v>1</v>
      </c>
      <c r="BE1334">
        <v>0</v>
      </c>
      <c r="BF1334">
        <v>0</v>
      </c>
      <c r="BG1334">
        <v>0</v>
      </c>
      <c r="BH1334">
        <v>1575</v>
      </c>
      <c r="BI1334">
        <v>1</v>
      </c>
      <c r="BJ1334">
        <v>1</v>
      </c>
      <c r="BK1334">
        <v>0</v>
      </c>
      <c r="BL1334">
        <v>0</v>
      </c>
      <c r="BO1334">
        <v>0</v>
      </c>
      <c r="BP1334">
        <v>0</v>
      </c>
      <c r="BW1334" t="str">
        <f t="shared" si="632"/>
        <v>14:43:24.892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343</v>
      </c>
      <c r="CR1334">
        <v>1</v>
      </c>
      <c r="CW1334">
        <v>10657211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629"/>
        <v>05/12/2020 14:43:07.044</v>
      </c>
      <c r="C1335" t="str">
        <f t="shared" si="619"/>
        <v>FFDFD3C0</v>
      </c>
      <c r="D1335" t="s">
        <v>131</v>
      </c>
      <c r="E1335">
        <v>18</v>
      </c>
      <c r="F1335">
        <v>2018</v>
      </c>
      <c r="G1335" t="s">
        <v>161</v>
      </c>
      <c r="J1335" t="s">
        <v>133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630"/>
        <v>14:43:24.891</v>
      </c>
      <c r="T1335" t="str">
        <f t="shared" si="631"/>
        <v>14:43:24.791</v>
      </c>
      <c r="U1335" t="str">
        <f t="shared" si="606"/>
        <v>A9808D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377</v>
      </c>
      <c r="AJ1335">
        <v>28.286919999999999</v>
      </c>
      <c r="AK1335" t="s">
        <v>286</v>
      </c>
      <c r="AL1335">
        <v>-82.380509000000004</v>
      </c>
      <c r="AM1335">
        <v>100</v>
      </c>
      <c r="AN1335">
        <v>1500</v>
      </c>
      <c r="AO1335" t="s">
        <v>118</v>
      </c>
      <c r="AP1335">
        <v>84</v>
      </c>
      <c r="AQ1335">
        <v>29</v>
      </c>
      <c r="AR1335">
        <v>-64</v>
      </c>
      <c r="AZ1335">
        <v>1200</v>
      </c>
      <c r="BA1335">
        <v>1</v>
      </c>
      <c r="BB1335" t="str">
        <f t="shared" si="620"/>
        <v xml:space="preserve">N711JA  </v>
      </c>
      <c r="BC1335">
        <v>1</v>
      </c>
      <c r="BE1335">
        <v>0</v>
      </c>
      <c r="BF1335">
        <v>0</v>
      </c>
      <c r="BG1335">
        <v>0</v>
      </c>
      <c r="BH1335">
        <v>1575</v>
      </c>
      <c r="BI1335">
        <v>1</v>
      </c>
      <c r="BJ1335">
        <v>1</v>
      </c>
      <c r="BK1335">
        <v>0</v>
      </c>
      <c r="BL1335">
        <v>0</v>
      </c>
      <c r="BO1335">
        <v>0</v>
      </c>
      <c r="BP1335">
        <v>0</v>
      </c>
      <c r="BW1335" t="str">
        <f t="shared" si="632"/>
        <v>14:43:24.892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343</v>
      </c>
      <c r="CR1335">
        <v>1</v>
      </c>
      <c r="CW1335">
        <v>10657211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629"/>
        <v>05/12/2020 14:43:07.044</v>
      </c>
      <c r="C1336" t="str">
        <f t="shared" si="619"/>
        <v>FFDFD3C0</v>
      </c>
      <c r="D1336" t="s">
        <v>134</v>
      </c>
      <c r="E1336">
        <v>12</v>
      </c>
      <c r="H1336">
        <v>64</v>
      </c>
      <c r="I1336" t="s">
        <v>135</v>
      </c>
      <c r="J1336" t="s">
        <v>136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630"/>
        <v>14:43:24.891</v>
      </c>
      <c r="T1336" t="str">
        <f t="shared" si="631"/>
        <v>14:43:24.791</v>
      </c>
      <c r="U1336" t="str">
        <f t="shared" si="606"/>
        <v>A9808D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377</v>
      </c>
      <c r="AJ1336">
        <v>28.286919999999999</v>
      </c>
      <c r="AK1336" t="s">
        <v>286</v>
      </c>
      <c r="AL1336">
        <v>-82.380509000000004</v>
      </c>
      <c r="AM1336">
        <v>100</v>
      </c>
      <c r="AN1336">
        <v>1500</v>
      </c>
      <c r="AO1336" t="s">
        <v>118</v>
      </c>
      <c r="AP1336">
        <v>84</v>
      </c>
      <c r="AQ1336">
        <v>29</v>
      </c>
      <c r="AR1336">
        <v>-64</v>
      </c>
      <c r="AZ1336">
        <v>1200</v>
      </c>
      <c r="BA1336">
        <v>1</v>
      </c>
      <c r="BB1336" t="str">
        <f t="shared" si="620"/>
        <v xml:space="preserve">N711JA  </v>
      </c>
      <c r="BC1336">
        <v>1</v>
      </c>
      <c r="BE1336">
        <v>0</v>
      </c>
      <c r="BF1336">
        <v>0</v>
      </c>
      <c r="BG1336">
        <v>0</v>
      </c>
      <c r="BH1336">
        <v>1575</v>
      </c>
      <c r="BI1336">
        <v>1</v>
      </c>
      <c r="BJ1336">
        <v>1</v>
      </c>
      <c r="BK1336">
        <v>0</v>
      </c>
      <c r="BL1336">
        <v>0</v>
      </c>
      <c r="BO1336">
        <v>0</v>
      </c>
      <c r="BP1336">
        <v>0</v>
      </c>
      <c r="BW1336" t="str">
        <f t="shared" si="632"/>
        <v>14:43:24.892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343</v>
      </c>
      <c r="CR1336">
        <v>1</v>
      </c>
      <c r="CW1336">
        <v>10657211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ref="A1337:A1345" si="633">"05/12/2020 14:43:08.145"</f>
        <v>05/12/2020 14:43:08.145</v>
      </c>
      <c r="C1337" t="str">
        <f t="shared" si="619"/>
        <v>FFDFD3C0</v>
      </c>
      <c r="D1337" t="s">
        <v>134</v>
      </c>
      <c r="E1337">
        <v>12</v>
      </c>
      <c r="H1337">
        <v>64</v>
      </c>
      <c r="I1337" t="s">
        <v>135</v>
      </c>
      <c r="J1337" t="s">
        <v>136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ref="S1337:S1345" si="634">"14:43:25.977"</f>
        <v>14:43:25.977</v>
      </c>
      <c r="T1337" t="str">
        <f t="shared" ref="T1337:T1345" si="635">"14:43:25.777"</f>
        <v>14:43:25.777</v>
      </c>
      <c r="U1337" t="str">
        <f t="shared" si="606"/>
        <v>A9808D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378</v>
      </c>
      <c r="AJ1337">
        <v>28.287005000000001</v>
      </c>
      <c r="AK1337" t="s">
        <v>379</v>
      </c>
      <c r="AL1337">
        <v>-82.379951000000005</v>
      </c>
      <c r="AM1337">
        <v>100</v>
      </c>
      <c r="AN1337">
        <v>1500</v>
      </c>
      <c r="AO1337" t="s">
        <v>118</v>
      </c>
      <c r="AP1337">
        <v>88</v>
      </c>
      <c r="AQ1337">
        <v>20</v>
      </c>
      <c r="AR1337">
        <v>-320</v>
      </c>
      <c r="AZ1337">
        <v>1200</v>
      </c>
      <c r="BA1337">
        <v>1</v>
      </c>
      <c r="BB1337" t="str">
        <f t="shared" si="620"/>
        <v xml:space="preserve">N711JA  </v>
      </c>
      <c r="BC1337">
        <v>1</v>
      </c>
      <c r="BE1337">
        <v>0</v>
      </c>
      <c r="BF1337">
        <v>0</v>
      </c>
      <c r="BG1337">
        <v>0</v>
      </c>
      <c r="BH1337">
        <v>1575</v>
      </c>
      <c r="BI1337">
        <v>1</v>
      </c>
      <c r="BJ1337">
        <v>1</v>
      </c>
      <c r="BK1337">
        <v>0</v>
      </c>
      <c r="BL1337">
        <v>0</v>
      </c>
      <c r="BO1337">
        <v>0</v>
      </c>
      <c r="BP1337">
        <v>0</v>
      </c>
      <c r="BW1337" t="str">
        <f t="shared" ref="BW1337:BW1345" si="636">"14:43:25.977"</f>
        <v>14:43:25.977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343</v>
      </c>
      <c r="CR1337">
        <v>1</v>
      </c>
      <c r="CW1337">
        <v>10658357</v>
      </c>
      <c r="CY1337">
        <v>1</v>
      </c>
      <c r="CZ1337">
        <v>0</v>
      </c>
      <c r="DA1337">
        <v>0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 t="shared" si="633"/>
        <v>05/12/2020 14:43:08.145</v>
      </c>
      <c r="C1338" t="str">
        <f t="shared" si="619"/>
        <v>FFDFD3C0</v>
      </c>
      <c r="D1338" t="s">
        <v>126</v>
      </c>
      <c r="E1338">
        <v>6</v>
      </c>
      <c r="F1338">
        <v>1006</v>
      </c>
      <c r="G1338" t="s">
        <v>114</v>
      </c>
      <c r="J1338" t="s">
        <v>128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634"/>
        <v>14:43:25.977</v>
      </c>
      <c r="T1338" t="str">
        <f t="shared" si="635"/>
        <v>14:43:25.777</v>
      </c>
      <c r="U1338" t="str">
        <f t="shared" si="606"/>
        <v>A9808D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378</v>
      </c>
      <c r="AJ1338">
        <v>28.287005000000001</v>
      </c>
      <c r="AK1338" t="s">
        <v>379</v>
      </c>
      <c r="AL1338">
        <v>-82.379951000000005</v>
      </c>
      <c r="AM1338">
        <v>100</v>
      </c>
      <c r="AN1338">
        <v>1500</v>
      </c>
      <c r="AO1338" t="s">
        <v>118</v>
      </c>
      <c r="AP1338">
        <v>88</v>
      </c>
      <c r="AQ1338">
        <v>20</v>
      </c>
      <c r="AR1338">
        <v>-320</v>
      </c>
      <c r="AZ1338">
        <v>1200</v>
      </c>
      <c r="BA1338">
        <v>1</v>
      </c>
      <c r="BB1338" t="str">
        <f t="shared" si="620"/>
        <v xml:space="preserve">N711JA  </v>
      </c>
      <c r="BC1338">
        <v>1</v>
      </c>
      <c r="BE1338">
        <v>0</v>
      </c>
      <c r="BF1338">
        <v>0</v>
      </c>
      <c r="BG1338">
        <v>0</v>
      </c>
      <c r="BH1338">
        <v>1575</v>
      </c>
      <c r="BI1338">
        <v>1</v>
      </c>
      <c r="BJ1338">
        <v>1</v>
      </c>
      <c r="BK1338">
        <v>0</v>
      </c>
      <c r="BL1338">
        <v>0</v>
      </c>
      <c r="BO1338">
        <v>0</v>
      </c>
      <c r="BP1338">
        <v>0</v>
      </c>
      <c r="BW1338" t="str">
        <f t="shared" si="636"/>
        <v>14:43:25.977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343</v>
      </c>
      <c r="CR1338">
        <v>1</v>
      </c>
      <c r="CW1338">
        <v>10658357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 t="shared" si="633"/>
        <v>05/12/2020 14:43:08.145</v>
      </c>
      <c r="C1339" t="str">
        <f t="shared" si="619"/>
        <v>FFDFD3C0</v>
      </c>
      <c r="D1339" t="s">
        <v>113</v>
      </c>
      <c r="E1339">
        <v>3</v>
      </c>
      <c r="H1339">
        <v>164</v>
      </c>
      <c r="I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634"/>
        <v>14:43:25.977</v>
      </c>
      <c r="T1339" t="str">
        <f t="shared" si="635"/>
        <v>14:43:25.777</v>
      </c>
      <c r="U1339" t="str">
        <f t="shared" si="606"/>
        <v>A9808D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378</v>
      </c>
      <c r="AJ1339">
        <v>28.287005000000001</v>
      </c>
      <c r="AK1339" t="s">
        <v>379</v>
      </c>
      <c r="AL1339">
        <v>-82.379951000000005</v>
      </c>
      <c r="AM1339">
        <v>100</v>
      </c>
      <c r="AN1339">
        <v>1500</v>
      </c>
      <c r="AO1339" t="s">
        <v>118</v>
      </c>
      <c r="AP1339">
        <v>88</v>
      </c>
      <c r="AQ1339">
        <v>20</v>
      </c>
      <c r="AR1339">
        <v>-320</v>
      </c>
      <c r="AZ1339">
        <v>1200</v>
      </c>
      <c r="BA1339">
        <v>1</v>
      </c>
      <c r="BB1339" t="str">
        <f t="shared" si="620"/>
        <v xml:space="preserve">N711JA  </v>
      </c>
      <c r="BC1339">
        <v>1</v>
      </c>
      <c r="BE1339">
        <v>0</v>
      </c>
      <c r="BF1339">
        <v>0</v>
      </c>
      <c r="BG1339">
        <v>0</v>
      </c>
      <c r="BH1339">
        <v>1575</v>
      </c>
      <c r="BI1339">
        <v>1</v>
      </c>
      <c r="BJ1339">
        <v>1</v>
      </c>
      <c r="BK1339">
        <v>0</v>
      </c>
      <c r="BL1339">
        <v>0</v>
      </c>
      <c r="BO1339">
        <v>0</v>
      </c>
      <c r="BP1339">
        <v>0</v>
      </c>
      <c r="BW1339" t="str">
        <f t="shared" si="636"/>
        <v>14:43:25.977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343</v>
      </c>
      <c r="CR1339">
        <v>1</v>
      </c>
      <c r="CW1339">
        <v>10658357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 t="shared" si="633"/>
        <v>05/12/2020 14:43:08.145</v>
      </c>
      <c r="C1340" t="str">
        <f t="shared" si="619"/>
        <v>FFDFD3C0</v>
      </c>
      <c r="D1340" t="s">
        <v>138</v>
      </c>
      <c r="E1340">
        <v>2</v>
      </c>
      <c r="H1340">
        <v>8</v>
      </c>
      <c r="I1340" t="s">
        <v>139</v>
      </c>
      <c r="J1340" t="s">
        <v>136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34"/>
        <v>14:43:25.977</v>
      </c>
      <c r="T1340" t="str">
        <f t="shared" si="635"/>
        <v>14:43:25.777</v>
      </c>
      <c r="U1340" t="str">
        <f t="shared" si="606"/>
        <v>A9808D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378</v>
      </c>
      <c r="AJ1340">
        <v>28.287005000000001</v>
      </c>
      <c r="AK1340" t="s">
        <v>379</v>
      </c>
      <c r="AL1340">
        <v>-82.379951000000005</v>
      </c>
      <c r="AM1340">
        <v>100</v>
      </c>
      <c r="AN1340">
        <v>1500</v>
      </c>
      <c r="AO1340" t="s">
        <v>118</v>
      </c>
      <c r="AP1340">
        <v>88</v>
      </c>
      <c r="AQ1340">
        <v>20</v>
      </c>
      <c r="AR1340">
        <v>-320</v>
      </c>
      <c r="AZ1340">
        <v>1200</v>
      </c>
      <c r="BA1340">
        <v>1</v>
      </c>
      <c r="BB1340" t="str">
        <f t="shared" si="620"/>
        <v xml:space="preserve">N711JA  </v>
      </c>
      <c r="BC1340">
        <v>1</v>
      </c>
      <c r="BE1340">
        <v>0</v>
      </c>
      <c r="BF1340">
        <v>0</v>
      </c>
      <c r="BG1340">
        <v>0</v>
      </c>
      <c r="BH1340">
        <v>1575</v>
      </c>
      <c r="BI1340">
        <v>1</v>
      </c>
      <c r="BJ1340">
        <v>1</v>
      </c>
      <c r="BK1340">
        <v>0</v>
      </c>
      <c r="BL1340">
        <v>0</v>
      </c>
      <c r="BO1340">
        <v>0</v>
      </c>
      <c r="BP1340">
        <v>0</v>
      </c>
      <c r="BW1340" t="str">
        <f t="shared" si="636"/>
        <v>14:43:25.977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343</v>
      </c>
      <c r="CR1340">
        <v>1</v>
      </c>
      <c r="CW1340">
        <v>10658357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 t="shared" si="633"/>
        <v>05/12/2020 14:43:08.145</v>
      </c>
      <c r="C1341" t="str">
        <f t="shared" si="619"/>
        <v>FFDFD3C0</v>
      </c>
      <c r="D1341" t="s">
        <v>138</v>
      </c>
      <c r="E1341">
        <v>3</v>
      </c>
      <c r="H1341">
        <v>9</v>
      </c>
      <c r="I1341" t="s">
        <v>140</v>
      </c>
      <c r="J1341" t="s">
        <v>136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34"/>
        <v>14:43:25.977</v>
      </c>
      <c r="T1341" t="str">
        <f t="shared" si="635"/>
        <v>14:43:25.777</v>
      </c>
      <c r="U1341" t="str">
        <f t="shared" si="606"/>
        <v>A9808D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378</v>
      </c>
      <c r="AJ1341">
        <v>28.287005000000001</v>
      </c>
      <c r="AK1341" t="s">
        <v>379</v>
      </c>
      <c r="AL1341">
        <v>-82.379951000000005</v>
      </c>
      <c r="AM1341">
        <v>100</v>
      </c>
      <c r="AN1341">
        <v>1500</v>
      </c>
      <c r="AO1341" t="s">
        <v>118</v>
      </c>
      <c r="AP1341">
        <v>88</v>
      </c>
      <c r="AQ1341">
        <v>20</v>
      </c>
      <c r="AR1341">
        <v>-320</v>
      </c>
      <c r="AZ1341">
        <v>1200</v>
      </c>
      <c r="BA1341">
        <v>1</v>
      </c>
      <c r="BB1341" t="str">
        <f t="shared" si="620"/>
        <v xml:space="preserve">N711JA  </v>
      </c>
      <c r="BC1341">
        <v>1</v>
      </c>
      <c r="BE1341">
        <v>0</v>
      </c>
      <c r="BF1341">
        <v>0</v>
      </c>
      <c r="BG1341">
        <v>0</v>
      </c>
      <c r="BH1341">
        <v>1575</v>
      </c>
      <c r="BI1341">
        <v>1</v>
      </c>
      <c r="BJ1341">
        <v>1</v>
      </c>
      <c r="BK1341">
        <v>0</v>
      </c>
      <c r="BL1341">
        <v>0</v>
      </c>
      <c r="BO1341">
        <v>0</v>
      </c>
      <c r="BP1341">
        <v>0</v>
      </c>
      <c r="BW1341" t="str">
        <f t="shared" si="636"/>
        <v>14:43:25.977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343</v>
      </c>
      <c r="CR1341">
        <v>1</v>
      </c>
      <c r="CW1341">
        <v>10658357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 t="shared" si="633"/>
        <v>05/12/2020 14:43:08.145</v>
      </c>
      <c r="C1342" t="str">
        <f t="shared" si="619"/>
        <v>FFDFD3C0</v>
      </c>
      <c r="D1342" t="s">
        <v>131</v>
      </c>
      <c r="E1342">
        <v>12</v>
      </c>
      <c r="F1342">
        <v>2012</v>
      </c>
      <c r="G1342" t="s">
        <v>137</v>
      </c>
      <c r="J1342" t="s">
        <v>133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34"/>
        <v>14:43:25.977</v>
      </c>
      <c r="T1342" t="str">
        <f t="shared" si="635"/>
        <v>14:43:25.777</v>
      </c>
      <c r="U1342" t="str">
        <f t="shared" si="606"/>
        <v>A9808D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378</v>
      </c>
      <c r="AJ1342">
        <v>28.287005000000001</v>
      </c>
      <c r="AK1342" t="s">
        <v>379</v>
      </c>
      <c r="AL1342">
        <v>-82.379951000000005</v>
      </c>
      <c r="AM1342">
        <v>100</v>
      </c>
      <c r="AN1342">
        <v>1500</v>
      </c>
      <c r="AO1342" t="s">
        <v>118</v>
      </c>
      <c r="AP1342">
        <v>88</v>
      </c>
      <c r="AQ1342">
        <v>20</v>
      </c>
      <c r="AR1342">
        <v>-320</v>
      </c>
      <c r="AZ1342">
        <v>1200</v>
      </c>
      <c r="BA1342">
        <v>1</v>
      </c>
      <c r="BB1342" t="str">
        <f t="shared" si="620"/>
        <v xml:space="preserve">N711JA  </v>
      </c>
      <c r="BC1342">
        <v>1</v>
      </c>
      <c r="BE1342">
        <v>0</v>
      </c>
      <c r="BF1342">
        <v>0</v>
      </c>
      <c r="BG1342">
        <v>0</v>
      </c>
      <c r="BH1342">
        <v>1575</v>
      </c>
      <c r="BI1342">
        <v>1</v>
      </c>
      <c r="BJ1342">
        <v>1</v>
      </c>
      <c r="BK1342">
        <v>0</v>
      </c>
      <c r="BL1342">
        <v>0</v>
      </c>
      <c r="BO1342">
        <v>0</v>
      </c>
      <c r="BP1342">
        <v>0</v>
      </c>
      <c r="BW1342" t="str">
        <f t="shared" si="636"/>
        <v>14:43:25.977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343</v>
      </c>
      <c r="CR1342">
        <v>1</v>
      </c>
      <c r="CW1342">
        <v>10658357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 t="shared" si="633"/>
        <v>05/12/2020 14:43:08.145</v>
      </c>
      <c r="C1343" t="str">
        <f t="shared" si="619"/>
        <v>FFDFD3C0</v>
      </c>
      <c r="D1343" t="s">
        <v>126</v>
      </c>
      <c r="E1343">
        <v>7</v>
      </c>
      <c r="F1343">
        <v>1007</v>
      </c>
      <c r="G1343" t="s">
        <v>127</v>
      </c>
      <c r="J1343" t="s">
        <v>128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634"/>
        <v>14:43:25.977</v>
      </c>
      <c r="T1343" t="str">
        <f t="shared" si="635"/>
        <v>14:43:25.777</v>
      </c>
      <c r="U1343" t="str">
        <f t="shared" si="606"/>
        <v>A9808D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378</v>
      </c>
      <c r="AJ1343">
        <v>28.287005000000001</v>
      </c>
      <c r="AK1343" t="s">
        <v>379</v>
      </c>
      <c r="AL1343">
        <v>-82.379951000000005</v>
      </c>
      <c r="AM1343">
        <v>100</v>
      </c>
      <c r="AN1343">
        <v>1500</v>
      </c>
      <c r="AO1343" t="s">
        <v>118</v>
      </c>
      <c r="AP1343">
        <v>88</v>
      </c>
      <c r="AQ1343">
        <v>20</v>
      </c>
      <c r="AR1343">
        <v>-320</v>
      </c>
      <c r="AZ1343">
        <v>1200</v>
      </c>
      <c r="BA1343">
        <v>1</v>
      </c>
      <c r="BB1343" t="str">
        <f t="shared" si="620"/>
        <v xml:space="preserve">N711JA  </v>
      </c>
      <c r="BC1343">
        <v>1</v>
      </c>
      <c r="BE1343">
        <v>0</v>
      </c>
      <c r="BF1343">
        <v>0</v>
      </c>
      <c r="BG1343">
        <v>0</v>
      </c>
      <c r="BH1343">
        <v>1575</v>
      </c>
      <c r="BI1343">
        <v>1</v>
      </c>
      <c r="BJ1343">
        <v>1</v>
      </c>
      <c r="BK1343">
        <v>0</v>
      </c>
      <c r="BL1343">
        <v>0</v>
      </c>
      <c r="BO1343">
        <v>0</v>
      </c>
      <c r="BP1343">
        <v>0</v>
      </c>
      <c r="BW1343" t="str">
        <f t="shared" si="636"/>
        <v>14:43:25.977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343</v>
      </c>
      <c r="CR1343">
        <v>1</v>
      </c>
      <c r="CW1343">
        <v>10658357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 t="shared" si="633"/>
        <v>05/12/2020 14:43:08.145</v>
      </c>
      <c r="C1344" t="str">
        <f t="shared" si="619"/>
        <v>FFDFD3C0</v>
      </c>
      <c r="D1344" t="s">
        <v>131</v>
      </c>
      <c r="E1344">
        <v>10</v>
      </c>
      <c r="F1344">
        <v>2010</v>
      </c>
      <c r="G1344" t="s">
        <v>132</v>
      </c>
      <c r="J1344" t="s">
        <v>133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634"/>
        <v>14:43:25.977</v>
      </c>
      <c r="T1344" t="str">
        <f t="shared" si="635"/>
        <v>14:43:25.777</v>
      </c>
      <c r="U1344" t="str">
        <f t="shared" si="606"/>
        <v>A9808D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378</v>
      </c>
      <c r="AJ1344">
        <v>28.287005000000001</v>
      </c>
      <c r="AK1344" t="s">
        <v>379</v>
      </c>
      <c r="AL1344">
        <v>-82.379951000000005</v>
      </c>
      <c r="AM1344">
        <v>100</v>
      </c>
      <c r="AN1344">
        <v>1500</v>
      </c>
      <c r="AO1344" t="s">
        <v>118</v>
      </c>
      <c r="AP1344">
        <v>88</v>
      </c>
      <c r="AQ1344">
        <v>20</v>
      </c>
      <c r="AR1344">
        <v>-320</v>
      </c>
      <c r="AZ1344">
        <v>1200</v>
      </c>
      <c r="BA1344">
        <v>1</v>
      </c>
      <c r="BB1344" t="str">
        <f t="shared" si="620"/>
        <v xml:space="preserve">N711JA  </v>
      </c>
      <c r="BC1344">
        <v>1</v>
      </c>
      <c r="BE1344">
        <v>0</v>
      </c>
      <c r="BF1344">
        <v>0</v>
      </c>
      <c r="BG1344">
        <v>0</v>
      </c>
      <c r="BH1344">
        <v>1575</v>
      </c>
      <c r="BI1344">
        <v>1</v>
      </c>
      <c r="BJ1344">
        <v>1</v>
      </c>
      <c r="BK1344">
        <v>0</v>
      </c>
      <c r="BL1344">
        <v>0</v>
      </c>
      <c r="BO1344">
        <v>0</v>
      </c>
      <c r="BP1344">
        <v>0</v>
      </c>
      <c r="BW1344" t="str">
        <f t="shared" si="636"/>
        <v>14:43:25.977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343</v>
      </c>
      <c r="CR1344">
        <v>1</v>
      </c>
      <c r="CW1344">
        <v>10658357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 t="shared" si="633"/>
        <v>05/12/2020 14:43:08.145</v>
      </c>
      <c r="C1345" t="str">
        <f t="shared" si="619"/>
        <v>FFDFD3C0</v>
      </c>
      <c r="D1345" t="s">
        <v>131</v>
      </c>
      <c r="E1345">
        <v>18</v>
      </c>
      <c r="F1345">
        <v>2018</v>
      </c>
      <c r="G1345" t="s">
        <v>161</v>
      </c>
      <c r="J1345" t="s">
        <v>133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634"/>
        <v>14:43:25.977</v>
      </c>
      <c r="T1345" t="str">
        <f t="shared" si="635"/>
        <v>14:43:25.777</v>
      </c>
      <c r="U1345" t="str">
        <f t="shared" si="606"/>
        <v>A9808D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378</v>
      </c>
      <c r="AJ1345">
        <v>28.287005000000001</v>
      </c>
      <c r="AK1345" t="s">
        <v>379</v>
      </c>
      <c r="AL1345">
        <v>-82.379951000000005</v>
      </c>
      <c r="AM1345">
        <v>100</v>
      </c>
      <c r="AN1345">
        <v>1500</v>
      </c>
      <c r="AO1345" t="s">
        <v>118</v>
      </c>
      <c r="AP1345">
        <v>88</v>
      </c>
      <c r="AQ1345">
        <v>20</v>
      </c>
      <c r="AR1345">
        <v>-320</v>
      </c>
      <c r="AZ1345">
        <v>1200</v>
      </c>
      <c r="BA1345">
        <v>1</v>
      </c>
      <c r="BB1345" t="str">
        <f t="shared" si="620"/>
        <v xml:space="preserve">N711JA  </v>
      </c>
      <c r="BC1345">
        <v>1</v>
      </c>
      <c r="BE1345">
        <v>0</v>
      </c>
      <c r="BF1345">
        <v>0</v>
      </c>
      <c r="BG1345">
        <v>0</v>
      </c>
      <c r="BH1345">
        <v>1575</v>
      </c>
      <c r="BI1345">
        <v>1</v>
      </c>
      <c r="BJ1345">
        <v>1</v>
      </c>
      <c r="BK1345">
        <v>0</v>
      </c>
      <c r="BL1345">
        <v>0</v>
      </c>
      <c r="BO1345">
        <v>0</v>
      </c>
      <c r="BP1345">
        <v>0</v>
      </c>
      <c r="BW1345" t="str">
        <f t="shared" si="636"/>
        <v>14:43:25.977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343</v>
      </c>
      <c r="CR1345">
        <v>1</v>
      </c>
      <c r="CW1345">
        <v>10658357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 t="shared" ref="A1346:A1354" si="637">"05/12/2020 14:43:09.176"</f>
        <v>05/12/2020 14:43:09.176</v>
      </c>
      <c r="C1346" t="str">
        <f t="shared" si="619"/>
        <v>FFDFD3C0</v>
      </c>
      <c r="D1346" t="s">
        <v>113</v>
      </c>
      <c r="E1346">
        <v>3</v>
      </c>
      <c r="H1346">
        <v>164</v>
      </c>
      <c r="I1346" t="s">
        <v>114</v>
      </c>
      <c r="J1346" t="s">
        <v>115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ref="S1346:S1354" si="638">"14:43:26.992"</f>
        <v>14:43:26.992</v>
      </c>
      <c r="T1346" t="str">
        <f t="shared" ref="T1346:T1354" si="639">"14:43:26.792"</f>
        <v>14:43:26.792</v>
      </c>
      <c r="U1346" t="str">
        <f t="shared" ref="U1346:U1409" si="640">"A9808D"</f>
        <v>A9808D</v>
      </c>
      <c r="V1346">
        <v>0</v>
      </c>
      <c r="W1346">
        <v>0</v>
      </c>
      <c r="X1346">
        <v>1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380</v>
      </c>
      <c r="AJ1346">
        <v>28.287047999999999</v>
      </c>
      <c r="AK1346" t="s">
        <v>381</v>
      </c>
      <c r="AL1346">
        <v>-82.379479000000003</v>
      </c>
      <c r="AM1346">
        <v>100</v>
      </c>
      <c r="AN1346">
        <v>1500</v>
      </c>
      <c r="AO1346" t="s">
        <v>118</v>
      </c>
      <c r="AP1346">
        <v>91</v>
      </c>
      <c r="AQ1346">
        <v>9</v>
      </c>
      <c r="AR1346">
        <v>-320</v>
      </c>
      <c r="AZ1346">
        <v>1200</v>
      </c>
      <c r="BA1346">
        <v>1</v>
      </c>
      <c r="BB1346" t="str">
        <f t="shared" si="620"/>
        <v xml:space="preserve">N711JA  </v>
      </c>
      <c r="BC1346">
        <v>1</v>
      </c>
      <c r="BE1346">
        <v>0</v>
      </c>
      <c r="BF1346">
        <v>0</v>
      </c>
      <c r="BG1346">
        <v>0</v>
      </c>
      <c r="BH1346">
        <v>1575</v>
      </c>
      <c r="BI1346">
        <v>1</v>
      </c>
      <c r="BJ1346">
        <v>1</v>
      </c>
      <c r="BK1346">
        <v>0</v>
      </c>
      <c r="BL1346">
        <v>0</v>
      </c>
      <c r="BO1346">
        <v>0</v>
      </c>
      <c r="BP1346">
        <v>0</v>
      </c>
      <c r="BW1346" t="str">
        <f t="shared" ref="BW1346:BW1354" si="641">"14:43:26.995"</f>
        <v>14:43:26.995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343</v>
      </c>
      <c r="CR1346">
        <v>1</v>
      </c>
      <c r="CW1346">
        <v>10659388</v>
      </c>
      <c r="CY1346">
        <v>1</v>
      </c>
      <c r="CZ1346">
        <v>0</v>
      </c>
      <c r="DA1346">
        <v>0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 t="shared" si="637"/>
        <v>05/12/2020 14:43:09.176</v>
      </c>
      <c r="C1347" t="str">
        <f t="shared" si="619"/>
        <v>FFDFD3C0</v>
      </c>
      <c r="D1347" t="s">
        <v>138</v>
      </c>
      <c r="E1347">
        <v>2</v>
      </c>
      <c r="H1347">
        <v>8</v>
      </c>
      <c r="I1347" t="s">
        <v>139</v>
      </c>
      <c r="J1347" t="s">
        <v>136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38"/>
        <v>14:43:26.992</v>
      </c>
      <c r="T1347" t="str">
        <f t="shared" si="639"/>
        <v>14:43:26.792</v>
      </c>
      <c r="U1347" t="str">
        <f t="shared" si="640"/>
        <v>A9808D</v>
      </c>
      <c r="V1347">
        <v>0</v>
      </c>
      <c r="W1347">
        <v>0</v>
      </c>
      <c r="X1347">
        <v>1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380</v>
      </c>
      <c r="AJ1347">
        <v>28.287047999999999</v>
      </c>
      <c r="AK1347" t="s">
        <v>381</v>
      </c>
      <c r="AL1347">
        <v>-82.379479000000003</v>
      </c>
      <c r="AM1347">
        <v>100</v>
      </c>
      <c r="AN1347">
        <v>1500</v>
      </c>
      <c r="AO1347" t="s">
        <v>118</v>
      </c>
      <c r="AP1347">
        <v>91</v>
      </c>
      <c r="AQ1347">
        <v>9</v>
      </c>
      <c r="AR1347">
        <v>-320</v>
      </c>
      <c r="AZ1347">
        <v>1200</v>
      </c>
      <c r="BA1347">
        <v>1</v>
      </c>
      <c r="BB1347" t="str">
        <f t="shared" si="620"/>
        <v xml:space="preserve">N711JA  </v>
      </c>
      <c r="BC1347">
        <v>1</v>
      </c>
      <c r="BE1347">
        <v>0</v>
      </c>
      <c r="BF1347">
        <v>0</v>
      </c>
      <c r="BG1347">
        <v>0</v>
      </c>
      <c r="BH1347">
        <v>1575</v>
      </c>
      <c r="BI1347">
        <v>1</v>
      </c>
      <c r="BJ1347">
        <v>1</v>
      </c>
      <c r="BK1347">
        <v>0</v>
      </c>
      <c r="BL1347">
        <v>0</v>
      </c>
      <c r="BO1347">
        <v>0</v>
      </c>
      <c r="BP1347">
        <v>0</v>
      </c>
      <c r="BW1347" t="str">
        <f t="shared" si="641"/>
        <v>14:43:26.995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343</v>
      </c>
      <c r="CR1347">
        <v>1</v>
      </c>
      <c r="CW1347">
        <v>10659388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 t="shared" si="637"/>
        <v>05/12/2020 14:43:09.176</v>
      </c>
      <c r="C1348" t="str">
        <f t="shared" si="619"/>
        <v>FFDFD3C0</v>
      </c>
      <c r="D1348" t="s">
        <v>131</v>
      </c>
      <c r="E1348">
        <v>10</v>
      </c>
      <c r="F1348">
        <v>2010</v>
      </c>
      <c r="G1348" t="s">
        <v>132</v>
      </c>
      <c r="J1348" t="s">
        <v>133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38"/>
        <v>14:43:26.992</v>
      </c>
      <c r="T1348" t="str">
        <f t="shared" si="639"/>
        <v>14:43:26.792</v>
      </c>
      <c r="U1348" t="str">
        <f t="shared" si="640"/>
        <v>A9808D</v>
      </c>
      <c r="V1348">
        <v>0</v>
      </c>
      <c r="W1348">
        <v>0</v>
      </c>
      <c r="X1348">
        <v>1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380</v>
      </c>
      <c r="AJ1348">
        <v>28.287047999999999</v>
      </c>
      <c r="AK1348" t="s">
        <v>381</v>
      </c>
      <c r="AL1348">
        <v>-82.379479000000003</v>
      </c>
      <c r="AM1348">
        <v>100</v>
      </c>
      <c r="AN1348">
        <v>1500</v>
      </c>
      <c r="AO1348" t="s">
        <v>118</v>
      </c>
      <c r="AP1348">
        <v>91</v>
      </c>
      <c r="AQ1348">
        <v>9</v>
      </c>
      <c r="AR1348">
        <v>-320</v>
      </c>
      <c r="AZ1348">
        <v>1200</v>
      </c>
      <c r="BA1348">
        <v>1</v>
      </c>
      <c r="BB1348" t="str">
        <f t="shared" si="620"/>
        <v xml:space="preserve">N711JA  </v>
      </c>
      <c r="BC1348">
        <v>1</v>
      </c>
      <c r="BE1348">
        <v>0</v>
      </c>
      <c r="BF1348">
        <v>0</v>
      </c>
      <c r="BG1348">
        <v>0</v>
      </c>
      <c r="BH1348">
        <v>1575</v>
      </c>
      <c r="BI1348">
        <v>1</v>
      </c>
      <c r="BJ1348">
        <v>1</v>
      </c>
      <c r="BK1348">
        <v>0</v>
      </c>
      <c r="BL1348">
        <v>0</v>
      </c>
      <c r="BO1348">
        <v>0</v>
      </c>
      <c r="BP1348">
        <v>0</v>
      </c>
      <c r="BW1348" t="str">
        <f t="shared" si="641"/>
        <v>14:43:26.995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343</v>
      </c>
      <c r="CR1348">
        <v>1</v>
      </c>
      <c r="CW1348">
        <v>10659388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 t="shared" si="637"/>
        <v>05/12/2020 14:43:09.176</v>
      </c>
      <c r="C1349" t="str">
        <f t="shared" si="619"/>
        <v>FFDFD3C0</v>
      </c>
      <c r="D1349" t="s">
        <v>126</v>
      </c>
      <c r="E1349">
        <v>7</v>
      </c>
      <c r="F1349">
        <v>1007</v>
      </c>
      <c r="G1349" t="s">
        <v>127</v>
      </c>
      <c r="J1349" t="s">
        <v>128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38"/>
        <v>14:43:26.992</v>
      </c>
      <c r="T1349" t="str">
        <f t="shared" si="639"/>
        <v>14:43:26.792</v>
      </c>
      <c r="U1349" t="str">
        <f t="shared" si="640"/>
        <v>A9808D</v>
      </c>
      <c r="V1349">
        <v>0</v>
      </c>
      <c r="W1349">
        <v>0</v>
      </c>
      <c r="X1349">
        <v>1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380</v>
      </c>
      <c r="AJ1349">
        <v>28.287047999999999</v>
      </c>
      <c r="AK1349" t="s">
        <v>381</v>
      </c>
      <c r="AL1349">
        <v>-82.379479000000003</v>
      </c>
      <c r="AM1349">
        <v>100</v>
      </c>
      <c r="AN1349">
        <v>1500</v>
      </c>
      <c r="AO1349" t="s">
        <v>118</v>
      </c>
      <c r="AP1349">
        <v>91</v>
      </c>
      <c r="AQ1349">
        <v>9</v>
      </c>
      <c r="AR1349">
        <v>-320</v>
      </c>
      <c r="AZ1349">
        <v>1200</v>
      </c>
      <c r="BA1349">
        <v>1</v>
      </c>
      <c r="BB1349" t="str">
        <f t="shared" si="620"/>
        <v xml:space="preserve">N711JA  </v>
      </c>
      <c r="BC1349">
        <v>1</v>
      </c>
      <c r="BE1349">
        <v>0</v>
      </c>
      <c r="BF1349">
        <v>0</v>
      </c>
      <c r="BG1349">
        <v>0</v>
      </c>
      <c r="BH1349">
        <v>1575</v>
      </c>
      <c r="BI1349">
        <v>1</v>
      </c>
      <c r="BJ1349">
        <v>1</v>
      </c>
      <c r="BK1349">
        <v>0</v>
      </c>
      <c r="BL1349">
        <v>0</v>
      </c>
      <c r="BO1349">
        <v>0</v>
      </c>
      <c r="BP1349">
        <v>0</v>
      </c>
      <c r="BW1349" t="str">
        <f t="shared" si="641"/>
        <v>14:43:26.995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343</v>
      </c>
      <c r="CR1349">
        <v>1</v>
      </c>
      <c r="CW1349">
        <v>10659388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 t="shared" si="637"/>
        <v>05/12/2020 14:43:09.176</v>
      </c>
      <c r="C1350" t="str">
        <f t="shared" si="619"/>
        <v>FFDFD3C0</v>
      </c>
      <c r="D1350" t="s">
        <v>131</v>
      </c>
      <c r="E1350">
        <v>18</v>
      </c>
      <c r="F1350">
        <v>2018</v>
      </c>
      <c r="G1350" t="s">
        <v>161</v>
      </c>
      <c r="J1350" t="s">
        <v>133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638"/>
        <v>14:43:26.992</v>
      </c>
      <c r="T1350" t="str">
        <f t="shared" si="639"/>
        <v>14:43:26.792</v>
      </c>
      <c r="U1350" t="str">
        <f t="shared" si="640"/>
        <v>A9808D</v>
      </c>
      <c r="V1350">
        <v>0</v>
      </c>
      <c r="W1350">
        <v>0</v>
      </c>
      <c r="X1350">
        <v>1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380</v>
      </c>
      <c r="AJ1350">
        <v>28.287047999999999</v>
      </c>
      <c r="AK1350" t="s">
        <v>381</v>
      </c>
      <c r="AL1350">
        <v>-82.379479000000003</v>
      </c>
      <c r="AM1350">
        <v>100</v>
      </c>
      <c r="AN1350">
        <v>1500</v>
      </c>
      <c r="AO1350" t="s">
        <v>118</v>
      </c>
      <c r="AP1350">
        <v>91</v>
      </c>
      <c r="AQ1350">
        <v>9</v>
      </c>
      <c r="AR1350">
        <v>-320</v>
      </c>
      <c r="AZ1350">
        <v>1200</v>
      </c>
      <c r="BA1350">
        <v>1</v>
      </c>
      <c r="BB1350" t="str">
        <f t="shared" si="620"/>
        <v xml:space="preserve">N711JA  </v>
      </c>
      <c r="BC1350">
        <v>1</v>
      </c>
      <c r="BE1350">
        <v>0</v>
      </c>
      <c r="BF1350">
        <v>0</v>
      </c>
      <c r="BG1350">
        <v>0</v>
      </c>
      <c r="BH1350">
        <v>1575</v>
      </c>
      <c r="BI1350">
        <v>1</v>
      </c>
      <c r="BJ1350">
        <v>1</v>
      </c>
      <c r="BK1350">
        <v>0</v>
      </c>
      <c r="BL1350">
        <v>0</v>
      </c>
      <c r="BO1350">
        <v>0</v>
      </c>
      <c r="BP1350">
        <v>0</v>
      </c>
      <c r="BW1350" t="str">
        <f t="shared" si="641"/>
        <v>14:43:26.995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343</v>
      </c>
      <c r="CR1350">
        <v>1</v>
      </c>
      <c r="CW1350">
        <v>10659388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 t="shared" si="637"/>
        <v>05/12/2020 14:43:09.176</v>
      </c>
      <c r="C1351" t="str">
        <f t="shared" si="619"/>
        <v>FFDFD3C0</v>
      </c>
      <c r="D1351" t="s">
        <v>131</v>
      </c>
      <c r="E1351">
        <v>12</v>
      </c>
      <c r="F1351">
        <v>2012</v>
      </c>
      <c r="G1351" t="s">
        <v>137</v>
      </c>
      <c r="J1351" t="s">
        <v>133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38"/>
        <v>14:43:26.992</v>
      </c>
      <c r="T1351" t="str">
        <f t="shared" si="639"/>
        <v>14:43:26.792</v>
      </c>
      <c r="U1351" t="str">
        <f t="shared" si="640"/>
        <v>A9808D</v>
      </c>
      <c r="V1351">
        <v>0</v>
      </c>
      <c r="W1351">
        <v>0</v>
      </c>
      <c r="X1351">
        <v>1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380</v>
      </c>
      <c r="AJ1351">
        <v>28.287047999999999</v>
      </c>
      <c r="AK1351" t="s">
        <v>381</v>
      </c>
      <c r="AL1351">
        <v>-82.379479000000003</v>
      </c>
      <c r="AM1351">
        <v>100</v>
      </c>
      <c r="AN1351">
        <v>1500</v>
      </c>
      <c r="AO1351" t="s">
        <v>118</v>
      </c>
      <c r="AP1351">
        <v>91</v>
      </c>
      <c r="AQ1351">
        <v>9</v>
      </c>
      <c r="AR1351">
        <v>-320</v>
      </c>
      <c r="AZ1351">
        <v>1200</v>
      </c>
      <c r="BA1351">
        <v>1</v>
      </c>
      <c r="BB1351" t="str">
        <f t="shared" si="620"/>
        <v xml:space="preserve">N711JA  </v>
      </c>
      <c r="BC1351">
        <v>1</v>
      </c>
      <c r="BE1351">
        <v>0</v>
      </c>
      <c r="BF1351">
        <v>0</v>
      </c>
      <c r="BG1351">
        <v>0</v>
      </c>
      <c r="BH1351">
        <v>1575</v>
      </c>
      <c r="BI1351">
        <v>1</v>
      </c>
      <c r="BJ1351">
        <v>1</v>
      </c>
      <c r="BK1351">
        <v>0</v>
      </c>
      <c r="BL1351">
        <v>0</v>
      </c>
      <c r="BO1351">
        <v>0</v>
      </c>
      <c r="BP1351">
        <v>0</v>
      </c>
      <c r="BW1351" t="str">
        <f t="shared" si="641"/>
        <v>14:43:26.995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343</v>
      </c>
      <c r="CR1351">
        <v>1</v>
      </c>
      <c r="CW1351">
        <v>10659388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 t="shared" si="637"/>
        <v>05/12/2020 14:43:09.176</v>
      </c>
      <c r="C1352" t="str">
        <f t="shared" si="619"/>
        <v>FFDFD3C0</v>
      </c>
      <c r="D1352" t="s">
        <v>138</v>
      </c>
      <c r="E1352">
        <v>3</v>
      </c>
      <c r="H1352">
        <v>9</v>
      </c>
      <c r="I1352" t="s">
        <v>140</v>
      </c>
      <c r="J1352" t="s">
        <v>136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638"/>
        <v>14:43:26.992</v>
      </c>
      <c r="T1352" t="str">
        <f t="shared" si="639"/>
        <v>14:43:26.792</v>
      </c>
      <c r="U1352" t="str">
        <f t="shared" si="640"/>
        <v>A9808D</v>
      </c>
      <c r="V1352">
        <v>0</v>
      </c>
      <c r="W1352">
        <v>0</v>
      </c>
      <c r="X1352">
        <v>1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380</v>
      </c>
      <c r="AJ1352">
        <v>28.287047999999999</v>
      </c>
      <c r="AK1352" t="s">
        <v>381</v>
      </c>
      <c r="AL1352">
        <v>-82.379479000000003</v>
      </c>
      <c r="AM1352">
        <v>100</v>
      </c>
      <c r="AN1352">
        <v>1500</v>
      </c>
      <c r="AO1352" t="s">
        <v>118</v>
      </c>
      <c r="AP1352">
        <v>91</v>
      </c>
      <c r="AQ1352">
        <v>9</v>
      </c>
      <c r="AR1352">
        <v>-320</v>
      </c>
      <c r="AZ1352">
        <v>1200</v>
      </c>
      <c r="BA1352">
        <v>1</v>
      </c>
      <c r="BB1352" t="str">
        <f t="shared" si="620"/>
        <v xml:space="preserve">N711JA  </v>
      </c>
      <c r="BC1352">
        <v>1</v>
      </c>
      <c r="BE1352">
        <v>0</v>
      </c>
      <c r="BF1352">
        <v>0</v>
      </c>
      <c r="BG1352">
        <v>0</v>
      </c>
      <c r="BH1352">
        <v>1575</v>
      </c>
      <c r="BI1352">
        <v>1</v>
      </c>
      <c r="BJ1352">
        <v>1</v>
      </c>
      <c r="BK1352">
        <v>0</v>
      </c>
      <c r="BL1352">
        <v>0</v>
      </c>
      <c r="BO1352">
        <v>0</v>
      </c>
      <c r="BP1352">
        <v>0</v>
      </c>
      <c r="BW1352" t="str">
        <f t="shared" si="641"/>
        <v>14:43:26.995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343</v>
      </c>
      <c r="CR1352">
        <v>1</v>
      </c>
      <c r="CW1352">
        <v>10659388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 t="shared" si="637"/>
        <v>05/12/2020 14:43:09.176</v>
      </c>
      <c r="C1353" t="str">
        <f t="shared" si="619"/>
        <v>FFDFD3C0</v>
      </c>
      <c r="D1353" t="s">
        <v>126</v>
      </c>
      <c r="E1353">
        <v>6</v>
      </c>
      <c r="F1353">
        <v>1006</v>
      </c>
      <c r="G1353" t="s">
        <v>114</v>
      </c>
      <c r="J1353" t="s">
        <v>128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638"/>
        <v>14:43:26.992</v>
      </c>
      <c r="T1353" t="str">
        <f t="shared" si="639"/>
        <v>14:43:26.792</v>
      </c>
      <c r="U1353" t="str">
        <f t="shared" si="640"/>
        <v>A9808D</v>
      </c>
      <c r="V1353">
        <v>0</v>
      </c>
      <c r="W1353">
        <v>0</v>
      </c>
      <c r="X1353">
        <v>1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380</v>
      </c>
      <c r="AJ1353">
        <v>28.287047999999999</v>
      </c>
      <c r="AK1353" t="s">
        <v>381</v>
      </c>
      <c r="AL1353">
        <v>-82.379479000000003</v>
      </c>
      <c r="AM1353">
        <v>100</v>
      </c>
      <c r="AN1353">
        <v>1500</v>
      </c>
      <c r="AO1353" t="s">
        <v>118</v>
      </c>
      <c r="AP1353">
        <v>91</v>
      </c>
      <c r="AQ1353">
        <v>9</v>
      </c>
      <c r="AR1353">
        <v>-320</v>
      </c>
      <c r="AZ1353">
        <v>1200</v>
      </c>
      <c r="BA1353">
        <v>1</v>
      </c>
      <c r="BB1353" t="str">
        <f t="shared" si="620"/>
        <v xml:space="preserve">N711JA  </v>
      </c>
      <c r="BC1353">
        <v>1</v>
      </c>
      <c r="BE1353">
        <v>0</v>
      </c>
      <c r="BF1353">
        <v>0</v>
      </c>
      <c r="BG1353">
        <v>0</v>
      </c>
      <c r="BH1353">
        <v>1575</v>
      </c>
      <c r="BI1353">
        <v>1</v>
      </c>
      <c r="BJ1353">
        <v>1</v>
      </c>
      <c r="BK1353">
        <v>0</v>
      </c>
      <c r="BL1353">
        <v>0</v>
      </c>
      <c r="BO1353">
        <v>0</v>
      </c>
      <c r="BP1353">
        <v>0</v>
      </c>
      <c r="BW1353" t="str">
        <f t="shared" si="641"/>
        <v>14:43:26.995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343</v>
      </c>
      <c r="CR1353">
        <v>1</v>
      </c>
      <c r="CW1353">
        <v>10659388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 t="shared" si="637"/>
        <v>05/12/2020 14:43:09.176</v>
      </c>
      <c r="C1354" t="str">
        <f t="shared" si="619"/>
        <v>FFDFD3C0</v>
      </c>
      <c r="D1354" t="s">
        <v>134</v>
      </c>
      <c r="E1354">
        <v>12</v>
      </c>
      <c r="H1354">
        <v>64</v>
      </c>
      <c r="I1354" t="s">
        <v>135</v>
      </c>
      <c r="J1354" t="s">
        <v>136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638"/>
        <v>14:43:26.992</v>
      </c>
      <c r="T1354" t="str">
        <f t="shared" si="639"/>
        <v>14:43:26.792</v>
      </c>
      <c r="U1354" t="str">
        <f t="shared" si="640"/>
        <v>A9808D</v>
      </c>
      <c r="V1354">
        <v>0</v>
      </c>
      <c r="W1354">
        <v>0</v>
      </c>
      <c r="X1354">
        <v>1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380</v>
      </c>
      <c r="AJ1354">
        <v>28.287047999999999</v>
      </c>
      <c r="AK1354" t="s">
        <v>381</v>
      </c>
      <c r="AL1354">
        <v>-82.379479000000003</v>
      </c>
      <c r="AM1354">
        <v>100</v>
      </c>
      <c r="AN1354">
        <v>1500</v>
      </c>
      <c r="AO1354" t="s">
        <v>118</v>
      </c>
      <c r="AP1354">
        <v>91</v>
      </c>
      <c r="AQ1354">
        <v>9</v>
      </c>
      <c r="AR1354">
        <v>-320</v>
      </c>
      <c r="AZ1354">
        <v>1200</v>
      </c>
      <c r="BA1354">
        <v>1</v>
      </c>
      <c r="BB1354" t="str">
        <f t="shared" si="620"/>
        <v xml:space="preserve">N711JA  </v>
      </c>
      <c r="BC1354">
        <v>1</v>
      </c>
      <c r="BE1354">
        <v>0</v>
      </c>
      <c r="BF1354">
        <v>0</v>
      </c>
      <c r="BG1354">
        <v>0</v>
      </c>
      <c r="BH1354">
        <v>1575</v>
      </c>
      <c r="BI1354">
        <v>1</v>
      </c>
      <c r="BJ1354">
        <v>1</v>
      </c>
      <c r="BK1354">
        <v>0</v>
      </c>
      <c r="BL1354">
        <v>0</v>
      </c>
      <c r="BO1354">
        <v>0</v>
      </c>
      <c r="BP1354">
        <v>0</v>
      </c>
      <c r="BW1354" t="str">
        <f t="shared" si="641"/>
        <v>14:43:26.995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343</v>
      </c>
      <c r="CR1354">
        <v>1</v>
      </c>
      <c r="CW1354">
        <v>10659388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 t="shared" ref="A1355:A1363" si="642">"05/12/2020 14:43:10.270"</f>
        <v>05/12/2020 14:43:10.270</v>
      </c>
      <c r="C1355" t="str">
        <f t="shared" si="619"/>
        <v>FFDFD3C0</v>
      </c>
      <c r="D1355" t="s">
        <v>134</v>
      </c>
      <c r="E1355">
        <v>12</v>
      </c>
      <c r="H1355">
        <v>64</v>
      </c>
      <c r="I1355" t="s">
        <v>135</v>
      </c>
      <c r="J1355" t="s">
        <v>136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ref="S1355:S1363" si="643">"14:43:28.102"</f>
        <v>14:43:28.102</v>
      </c>
      <c r="T1355" t="str">
        <f t="shared" ref="T1355:T1363" si="644">"14:43:27.902"</f>
        <v>14:43:27.902</v>
      </c>
      <c r="U1355" t="str">
        <f t="shared" si="640"/>
        <v>A9808D</v>
      </c>
      <c r="V1355">
        <v>0</v>
      </c>
      <c r="W1355">
        <v>0</v>
      </c>
      <c r="X1355">
        <v>1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380</v>
      </c>
      <c r="AJ1355">
        <v>28.287047999999999</v>
      </c>
      <c r="AK1355" t="s">
        <v>123</v>
      </c>
      <c r="AL1355">
        <v>-82.378963999999996</v>
      </c>
      <c r="AM1355">
        <v>100</v>
      </c>
      <c r="AN1355">
        <v>1500</v>
      </c>
      <c r="AO1355" t="s">
        <v>118</v>
      </c>
      <c r="AP1355">
        <v>93</v>
      </c>
      <c r="AQ1355">
        <v>-2</v>
      </c>
      <c r="AR1355">
        <v>-128</v>
      </c>
      <c r="AZ1355">
        <v>1200</v>
      </c>
      <c r="BA1355">
        <v>1</v>
      </c>
      <c r="BB1355" t="str">
        <f t="shared" si="620"/>
        <v xml:space="preserve">N711JA  </v>
      </c>
      <c r="BC1355">
        <v>1</v>
      </c>
      <c r="BE1355">
        <v>0</v>
      </c>
      <c r="BF1355">
        <v>0</v>
      </c>
      <c r="BG1355">
        <v>0</v>
      </c>
      <c r="BH1355">
        <v>1550</v>
      </c>
      <c r="BI1355">
        <v>1</v>
      </c>
      <c r="BJ1355">
        <v>1</v>
      </c>
      <c r="BK1355">
        <v>0</v>
      </c>
      <c r="BL1355">
        <v>0</v>
      </c>
      <c r="BO1355">
        <v>0</v>
      </c>
      <c r="BP1355">
        <v>0</v>
      </c>
      <c r="BW1355" t="str">
        <f t="shared" ref="BW1355:BW1363" si="645">"14:43:28.109"</f>
        <v>14:43:28.109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343</v>
      </c>
      <c r="CR1355">
        <v>2</v>
      </c>
      <c r="CW1355">
        <v>13045411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 t="shared" si="642"/>
        <v>05/12/2020 14:43:10.270</v>
      </c>
      <c r="C1356" t="str">
        <f t="shared" si="619"/>
        <v>FFDFD3C0</v>
      </c>
      <c r="D1356" t="s">
        <v>126</v>
      </c>
      <c r="E1356">
        <v>6</v>
      </c>
      <c r="F1356">
        <v>1006</v>
      </c>
      <c r="G1356" t="s">
        <v>114</v>
      </c>
      <c r="J1356" t="s">
        <v>128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643"/>
        <v>14:43:28.102</v>
      </c>
      <c r="T1356" t="str">
        <f t="shared" si="644"/>
        <v>14:43:27.902</v>
      </c>
      <c r="U1356" t="str">
        <f t="shared" si="640"/>
        <v>A9808D</v>
      </c>
      <c r="V1356">
        <v>0</v>
      </c>
      <c r="W1356">
        <v>0</v>
      </c>
      <c r="X1356">
        <v>1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380</v>
      </c>
      <c r="AJ1356">
        <v>28.287047999999999</v>
      </c>
      <c r="AK1356" t="s">
        <v>123</v>
      </c>
      <c r="AL1356">
        <v>-82.378963999999996</v>
      </c>
      <c r="AM1356">
        <v>100</v>
      </c>
      <c r="AN1356">
        <v>1500</v>
      </c>
      <c r="AO1356" t="s">
        <v>118</v>
      </c>
      <c r="AP1356">
        <v>93</v>
      </c>
      <c r="AQ1356">
        <v>-2</v>
      </c>
      <c r="AR1356">
        <v>-128</v>
      </c>
      <c r="AZ1356">
        <v>1200</v>
      </c>
      <c r="BA1356">
        <v>1</v>
      </c>
      <c r="BB1356" t="str">
        <f t="shared" si="620"/>
        <v xml:space="preserve">N711JA  </v>
      </c>
      <c r="BC1356">
        <v>1</v>
      </c>
      <c r="BE1356">
        <v>0</v>
      </c>
      <c r="BF1356">
        <v>0</v>
      </c>
      <c r="BG1356">
        <v>0</v>
      </c>
      <c r="BH1356">
        <v>1550</v>
      </c>
      <c r="BI1356">
        <v>1</v>
      </c>
      <c r="BJ1356">
        <v>1</v>
      </c>
      <c r="BK1356">
        <v>0</v>
      </c>
      <c r="BL1356">
        <v>0</v>
      </c>
      <c r="BO1356">
        <v>0</v>
      </c>
      <c r="BP1356">
        <v>0</v>
      </c>
      <c r="BW1356" t="str">
        <f t="shared" si="645"/>
        <v>14:43:28.109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343</v>
      </c>
      <c r="CR1356">
        <v>2</v>
      </c>
      <c r="CW1356">
        <v>13045411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 t="shared" si="642"/>
        <v>05/12/2020 14:43:10.270</v>
      </c>
      <c r="C1357" t="str">
        <f t="shared" si="619"/>
        <v>FFDFD3C0</v>
      </c>
      <c r="D1357" t="s">
        <v>126</v>
      </c>
      <c r="E1357">
        <v>7</v>
      </c>
      <c r="F1357">
        <v>1007</v>
      </c>
      <c r="G1357" t="s">
        <v>127</v>
      </c>
      <c r="J1357" t="s">
        <v>128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643"/>
        <v>14:43:28.102</v>
      </c>
      <c r="T1357" t="str">
        <f t="shared" si="644"/>
        <v>14:43:27.902</v>
      </c>
      <c r="U1357" t="str">
        <f t="shared" si="640"/>
        <v>A9808D</v>
      </c>
      <c r="V1357">
        <v>0</v>
      </c>
      <c r="W1357">
        <v>0</v>
      </c>
      <c r="X1357">
        <v>1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380</v>
      </c>
      <c r="AJ1357">
        <v>28.287047999999999</v>
      </c>
      <c r="AK1357" t="s">
        <v>123</v>
      </c>
      <c r="AL1357">
        <v>-82.378963999999996</v>
      </c>
      <c r="AM1357">
        <v>100</v>
      </c>
      <c r="AN1357">
        <v>1500</v>
      </c>
      <c r="AO1357" t="s">
        <v>118</v>
      </c>
      <c r="AP1357">
        <v>93</v>
      </c>
      <c r="AQ1357">
        <v>-2</v>
      </c>
      <c r="AR1357">
        <v>-128</v>
      </c>
      <c r="AZ1357">
        <v>1200</v>
      </c>
      <c r="BA1357">
        <v>1</v>
      </c>
      <c r="BB1357" t="str">
        <f t="shared" si="620"/>
        <v xml:space="preserve">N711JA  </v>
      </c>
      <c r="BC1357">
        <v>1</v>
      </c>
      <c r="BE1357">
        <v>0</v>
      </c>
      <c r="BF1357">
        <v>0</v>
      </c>
      <c r="BG1357">
        <v>0</v>
      </c>
      <c r="BH1357">
        <v>1550</v>
      </c>
      <c r="BI1357">
        <v>1</v>
      </c>
      <c r="BJ1357">
        <v>1</v>
      </c>
      <c r="BK1357">
        <v>0</v>
      </c>
      <c r="BL1357">
        <v>0</v>
      </c>
      <c r="BO1357">
        <v>0</v>
      </c>
      <c r="BP1357">
        <v>0</v>
      </c>
      <c r="BW1357" t="str">
        <f t="shared" si="645"/>
        <v>14:43:28.109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343</v>
      </c>
      <c r="CR1357">
        <v>2</v>
      </c>
      <c r="CW1357">
        <v>13045411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 t="shared" si="642"/>
        <v>05/12/2020 14:43:10.270</v>
      </c>
      <c r="C1358" t="str">
        <f t="shared" si="619"/>
        <v>FFDFD3C0</v>
      </c>
      <c r="D1358" t="s">
        <v>131</v>
      </c>
      <c r="E1358">
        <v>12</v>
      </c>
      <c r="F1358">
        <v>2012</v>
      </c>
      <c r="G1358" t="s">
        <v>137</v>
      </c>
      <c r="J1358" t="s">
        <v>133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643"/>
        <v>14:43:28.102</v>
      </c>
      <c r="T1358" t="str">
        <f t="shared" si="644"/>
        <v>14:43:27.902</v>
      </c>
      <c r="U1358" t="str">
        <f t="shared" si="640"/>
        <v>A9808D</v>
      </c>
      <c r="V1358">
        <v>0</v>
      </c>
      <c r="W1358">
        <v>0</v>
      </c>
      <c r="X1358">
        <v>1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380</v>
      </c>
      <c r="AJ1358">
        <v>28.287047999999999</v>
      </c>
      <c r="AK1358" t="s">
        <v>123</v>
      </c>
      <c r="AL1358">
        <v>-82.378963999999996</v>
      </c>
      <c r="AM1358">
        <v>100</v>
      </c>
      <c r="AN1358">
        <v>1500</v>
      </c>
      <c r="AO1358" t="s">
        <v>118</v>
      </c>
      <c r="AP1358">
        <v>93</v>
      </c>
      <c r="AQ1358">
        <v>-2</v>
      </c>
      <c r="AR1358">
        <v>-128</v>
      </c>
      <c r="AZ1358">
        <v>1200</v>
      </c>
      <c r="BA1358">
        <v>1</v>
      </c>
      <c r="BB1358" t="str">
        <f t="shared" si="620"/>
        <v xml:space="preserve">N711JA  </v>
      </c>
      <c r="BC1358">
        <v>1</v>
      </c>
      <c r="BE1358">
        <v>0</v>
      </c>
      <c r="BF1358">
        <v>0</v>
      </c>
      <c r="BG1358">
        <v>0</v>
      </c>
      <c r="BH1358">
        <v>1550</v>
      </c>
      <c r="BI1358">
        <v>1</v>
      </c>
      <c r="BJ1358">
        <v>1</v>
      </c>
      <c r="BK1358">
        <v>0</v>
      </c>
      <c r="BL1358">
        <v>0</v>
      </c>
      <c r="BO1358">
        <v>0</v>
      </c>
      <c r="BP1358">
        <v>0</v>
      </c>
      <c r="BW1358" t="str">
        <f t="shared" si="645"/>
        <v>14:43:28.109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343</v>
      </c>
      <c r="CR1358">
        <v>2</v>
      </c>
      <c r="CW1358">
        <v>13045411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 t="shared" si="642"/>
        <v>05/12/2020 14:43:10.270</v>
      </c>
      <c r="C1359" t="str">
        <f t="shared" si="619"/>
        <v>FFDFD3C0</v>
      </c>
      <c r="D1359" t="s">
        <v>131</v>
      </c>
      <c r="E1359">
        <v>10</v>
      </c>
      <c r="F1359">
        <v>2010</v>
      </c>
      <c r="G1359" t="s">
        <v>132</v>
      </c>
      <c r="J1359" t="s">
        <v>133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643"/>
        <v>14:43:28.102</v>
      </c>
      <c r="T1359" t="str">
        <f t="shared" si="644"/>
        <v>14:43:27.902</v>
      </c>
      <c r="U1359" t="str">
        <f t="shared" si="640"/>
        <v>A9808D</v>
      </c>
      <c r="V1359">
        <v>0</v>
      </c>
      <c r="W1359">
        <v>0</v>
      </c>
      <c r="X1359">
        <v>1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380</v>
      </c>
      <c r="AJ1359">
        <v>28.287047999999999</v>
      </c>
      <c r="AK1359" t="s">
        <v>123</v>
      </c>
      <c r="AL1359">
        <v>-82.378963999999996</v>
      </c>
      <c r="AM1359">
        <v>100</v>
      </c>
      <c r="AN1359">
        <v>1500</v>
      </c>
      <c r="AO1359" t="s">
        <v>118</v>
      </c>
      <c r="AP1359">
        <v>93</v>
      </c>
      <c r="AQ1359">
        <v>-2</v>
      </c>
      <c r="AR1359">
        <v>-128</v>
      </c>
      <c r="AZ1359">
        <v>1200</v>
      </c>
      <c r="BA1359">
        <v>1</v>
      </c>
      <c r="BB1359" t="str">
        <f t="shared" si="620"/>
        <v xml:space="preserve">N711JA  </v>
      </c>
      <c r="BC1359">
        <v>1</v>
      </c>
      <c r="BE1359">
        <v>0</v>
      </c>
      <c r="BF1359">
        <v>0</v>
      </c>
      <c r="BG1359">
        <v>0</v>
      </c>
      <c r="BH1359">
        <v>1550</v>
      </c>
      <c r="BI1359">
        <v>1</v>
      </c>
      <c r="BJ1359">
        <v>1</v>
      </c>
      <c r="BK1359">
        <v>0</v>
      </c>
      <c r="BL1359">
        <v>0</v>
      </c>
      <c r="BO1359">
        <v>0</v>
      </c>
      <c r="BP1359">
        <v>0</v>
      </c>
      <c r="BW1359" t="str">
        <f t="shared" si="645"/>
        <v>14:43:28.109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343</v>
      </c>
      <c r="CR1359">
        <v>2</v>
      </c>
      <c r="CW1359">
        <v>13045411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 t="shared" si="642"/>
        <v>05/12/2020 14:43:10.270</v>
      </c>
      <c r="C1360" t="str">
        <f t="shared" si="619"/>
        <v>FFDFD3C0</v>
      </c>
      <c r="D1360" t="s">
        <v>131</v>
      </c>
      <c r="E1360">
        <v>18</v>
      </c>
      <c r="F1360">
        <v>2018</v>
      </c>
      <c r="G1360" t="s">
        <v>161</v>
      </c>
      <c r="J1360" t="s">
        <v>133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643"/>
        <v>14:43:28.102</v>
      </c>
      <c r="T1360" t="str">
        <f t="shared" si="644"/>
        <v>14:43:27.902</v>
      </c>
      <c r="U1360" t="str">
        <f t="shared" si="640"/>
        <v>A9808D</v>
      </c>
      <c r="V1360">
        <v>0</v>
      </c>
      <c r="W1360">
        <v>0</v>
      </c>
      <c r="X1360">
        <v>1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380</v>
      </c>
      <c r="AJ1360">
        <v>28.287047999999999</v>
      </c>
      <c r="AK1360" t="s">
        <v>123</v>
      </c>
      <c r="AL1360">
        <v>-82.378963999999996</v>
      </c>
      <c r="AM1360">
        <v>100</v>
      </c>
      <c r="AN1360">
        <v>1500</v>
      </c>
      <c r="AO1360" t="s">
        <v>118</v>
      </c>
      <c r="AP1360">
        <v>93</v>
      </c>
      <c r="AQ1360">
        <v>-2</v>
      </c>
      <c r="AR1360">
        <v>-128</v>
      </c>
      <c r="AZ1360">
        <v>1200</v>
      </c>
      <c r="BA1360">
        <v>1</v>
      </c>
      <c r="BB1360" t="str">
        <f t="shared" si="620"/>
        <v xml:space="preserve">N711JA  </v>
      </c>
      <c r="BC1360">
        <v>1</v>
      </c>
      <c r="BE1360">
        <v>0</v>
      </c>
      <c r="BF1360">
        <v>0</v>
      </c>
      <c r="BG1360">
        <v>0</v>
      </c>
      <c r="BH1360">
        <v>1550</v>
      </c>
      <c r="BI1360">
        <v>1</v>
      </c>
      <c r="BJ1360">
        <v>1</v>
      </c>
      <c r="BK1360">
        <v>0</v>
      </c>
      <c r="BL1360">
        <v>0</v>
      </c>
      <c r="BO1360">
        <v>0</v>
      </c>
      <c r="BP1360">
        <v>0</v>
      </c>
      <c r="BW1360" t="str">
        <f t="shared" si="645"/>
        <v>14:43:28.109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343</v>
      </c>
      <c r="CR1360">
        <v>2</v>
      </c>
      <c r="CW1360">
        <v>13045411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 t="shared" si="642"/>
        <v>05/12/2020 14:43:10.270</v>
      </c>
      <c r="C1361" t="str">
        <f t="shared" si="619"/>
        <v>FFDFD3C0</v>
      </c>
      <c r="D1361" t="s">
        <v>138</v>
      </c>
      <c r="E1361">
        <v>2</v>
      </c>
      <c r="H1361">
        <v>8</v>
      </c>
      <c r="I1361" t="s">
        <v>139</v>
      </c>
      <c r="J1361" t="s">
        <v>136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643"/>
        <v>14:43:28.102</v>
      </c>
      <c r="T1361" t="str">
        <f t="shared" si="644"/>
        <v>14:43:27.902</v>
      </c>
      <c r="U1361" t="str">
        <f t="shared" si="640"/>
        <v>A9808D</v>
      </c>
      <c r="V1361">
        <v>0</v>
      </c>
      <c r="W1361">
        <v>0</v>
      </c>
      <c r="X1361">
        <v>1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380</v>
      </c>
      <c r="AJ1361">
        <v>28.287047999999999</v>
      </c>
      <c r="AK1361" t="s">
        <v>123</v>
      </c>
      <c r="AL1361">
        <v>-82.378963999999996</v>
      </c>
      <c r="AM1361">
        <v>100</v>
      </c>
      <c r="AN1361">
        <v>1500</v>
      </c>
      <c r="AO1361" t="s">
        <v>118</v>
      </c>
      <c r="AP1361">
        <v>93</v>
      </c>
      <c r="AQ1361">
        <v>-2</v>
      </c>
      <c r="AR1361">
        <v>-128</v>
      </c>
      <c r="AZ1361">
        <v>1200</v>
      </c>
      <c r="BA1361">
        <v>1</v>
      </c>
      <c r="BB1361" t="str">
        <f t="shared" si="620"/>
        <v xml:space="preserve">N711JA  </v>
      </c>
      <c r="BC1361">
        <v>1</v>
      </c>
      <c r="BE1361">
        <v>0</v>
      </c>
      <c r="BF1361">
        <v>0</v>
      </c>
      <c r="BG1361">
        <v>0</v>
      </c>
      <c r="BH1361">
        <v>1550</v>
      </c>
      <c r="BI1361">
        <v>1</v>
      </c>
      <c r="BJ1361">
        <v>1</v>
      </c>
      <c r="BK1361">
        <v>0</v>
      </c>
      <c r="BL1361">
        <v>0</v>
      </c>
      <c r="BO1361">
        <v>0</v>
      </c>
      <c r="BP1361">
        <v>0</v>
      </c>
      <c r="BW1361" t="str">
        <f t="shared" si="645"/>
        <v>14:43:28.109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343</v>
      </c>
      <c r="CR1361">
        <v>2</v>
      </c>
      <c r="CW1361">
        <v>13045411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 t="shared" si="642"/>
        <v>05/12/2020 14:43:10.270</v>
      </c>
      <c r="C1362" t="str">
        <f t="shared" si="619"/>
        <v>FFDFD3C0</v>
      </c>
      <c r="D1362" t="s">
        <v>113</v>
      </c>
      <c r="E1362">
        <v>3</v>
      </c>
      <c r="H1362">
        <v>164</v>
      </c>
      <c r="I1362" t="s">
        <v>114</v>
      </c>
      <c r="J1362" t="s">
        <v>115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643"/>
        <v>14:43:28.102</v>
      </c>
      <c r="T1362" t="str">
        <f t="shared" si="644"/>
        <v>14:43:27.902</v>
      </c>
      <c r="U1362" t="str">
        <f t="shared" si="640"/>
        <v>A9808D</v>
      </c>
      <c r="V1362">
        <v>0</v>
      </c>
      <c r="W1362">
        <v>0</v>
      </c>
      <c r="X1362">
        <v>1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380</v>
      </c>
      <c r="AJ1362">
        <v>28.287047999999999</v>
      </c>
      <c r="AK1362" t="s">
        <v>123</v>
      </c>
      <c r="AL1362">
        <v>-82.378963999999996</v>
      </c>
      <c r="AM1362">
        <v>100</v>
      </c>
      <c r="AN1362">
        <v>1500</v>
      </c>
      <c r="AO1362" t="s">
        <v>118</v>
      </c>
      <c r="AP1362">
        <v>93</v>
      </c>
      <c r="AQ1362">
        <v>-2</v>
      </c>
      <c r="AR1362">
        <v>-128</v>
      </c>
      <c r="AZ1362">
        <v>1200</v>
      </c>
      <c r="BA1362">
        <v>1</v>
      </c>
      <c r="BB1362" t="str">
        <f t="shared" si="620"/>
        <v xml:space="preserve">N711JA  </v>
      </c>
      <c r="BC1362">
        <v>1</v>
      </c>
      <c r="BE1362">
        <v>0</v>
      </c>
      <c r="BF1362">
        <v>0</v>
      </c>
      <c r="BG1362">
        <v>0</v>
      </c>
      <c r="BH1362">
        <v>1550</v>
      </c>
      <c r="BI1362">
        <v>1</v>
      </c>
      <c r="BJ1362">
        <v>1</v>
      </c>
      <c r="BK1362">
        <v>0</v>
      </c>
      <c r="BL1362">
        <v>0</v>
      </c>
      <c r="BO1362">
        <v>0</v>
      </c>
      <c r="BP1362">
        <v>0</v>
      </c>
      <c r="BW1362" t="str">
        <f t="shared" si="645"/>
        <v>14:43:28.109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343</v>
      </c>
      <c r="CR1362">
        <v>2</v>
      </c>
      <c r="CW1362">
        <v>13045411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 t="shared" si="642"/>
        <v>05/12/2020 14:43:10.270</v>
      </c>
      <c r="C1363" t="str">
        <f t="shared" si="619"/>
        <v>FFDFD3C0</v>
      </c>
      <c r="D1363" t="s">
        <v>138</v>
      </c>
      <c r="E1363">
        <v>3</v>
      </c>
      <c r="H1363">
        <v>9</v>
      </c>
      <c r="I1363" t="s">
        <v>140</v>
      </c>
      <c r="J1363" t="s">
        <v>136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643"/>
        <v>14:43:28.102</v>
      </c>
      <c r="T1363" t="str">
        <f t="shared" si="644"/>
        <v>14:43:27.902</v>
      </c>
      <c r="U1363" t="str">
        <f t="shared" si="640"/>
        <v>A9808D</v>
      </c>
      <c r="V1363">
        <v>0</v>
      </c>
      <c r="W1363">
        <v>0</v>
      </c>
      <c r="X1363">
        <v>1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380</v>
      </c>
      <c r="AJ1363">
        <v>28.287047999999999</v>
      </c>
      <c r="AK1363" t="s">
        <v>123</v>
      </c>
      <c r="AL1363">
        <v>-82.378963999999996</v>
      </c>
      <c r="AM1363">
        <v>100</v>
      </c>
      <c r="AN1363">
        <v>1500</v>
      </c>
      <c r="AO1363" t="s">
        <v>118</v>
      </c>
      <c r="AP1363">
        <v>93</v>
      </c>
      <c r="AQ1363">
        <v>-2</v>
      </c>
      <c r="AR1363">
        <v>-128</v>
      </c>
      <c r="AZ1363">
        <v>1200</v>
      </c>
      <c r="BA1363">
        <v>1</v>
      </c>
      <c r="BB1363" t="str">
        <f t="shared" si="620"/>
        <v xml:space="preserve">N711JA  </v>
      </c>
      <c r="BC1363">
        <v>1</v>
      </c>
      <c r="BE1363">
        <v>0</v>
      </c>
      <c r="BF1363">
        <v>0</v>
      </c>
      <c r="BG1363">
        <v>0</v>
      </c>
      <c r="BH1363">
        <v>1550</v>
      </c>
      <c r="BI1363">
        <v>1</v>
      </c>
      <c r="BJ1363">
        <v>1</v>
      </c>
      <c r="BK1363">
        <v>0</v>
      </c>
      <c r="BL1363">
        <v>0</v>
      </c>
      <c r="BO1363">
        <v>0</v>
      </c>
      <c r="BP1363">
        <v>0</v>
      </c>
      <c r="BW1363" t="str">
        <f t="shared" si="645"/>
        <v>14:43:28.109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343</v>
      </c>
      <c r="CR1363">
        <v>2</v>
      </c>
      <c r="CW1363">
        <v>13045411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 t="shared" ref="A1364:A1372" si="646">"05/12/2020 14:43:11.334"</f>
        <v>05/12/2020 14:43:11.334</v>
      </c>
      <c r="C1364" t="str">
        <f t="shared" si="619"/>
        <v>FFDFD3C0</v>
      </c>
      <c r="D1364" t="s">
        <v>134</v>
      </c>
      <c r="E1364">
        <v>12</v>
      </c>
      <c r="H1364">
        <v>64</v>
      </c>
      <c r="I1364" t="s">
        <v>135</v>
      </c>
      <c r="J1364" t="s">
        <v>136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ref="S1364:T1372" si="647">"14:43:29.156"</f>
        <v>14:43:29.156</v>
      </c>
      <c r="T1364" t="str">
        <f t="shared" si="647"/>
        <v>14:43:29.156</v>
      </c>
      <c r="U1364" t="str">
        <f t="shared" si="640"/>
        <v>A9808D</v>
      </c>
      <c r="V1364">
        <v>0</v>
      </c>
      <c r="W1364">
        <v>0</v>
      </c>
      <c r="X1364">
        <v>1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382</v>
      </c>
      <c r="AJ1364">
        <v>28.286963</v>
      </c>
      <c r="AK1364" t="s">
        <v>383</v>
      </c>
      <c r="AL1364">
        <v>-82.378449000000003</v>
      </c>
      <c r="AM1364">
        <v>100</v>
      </c>
      <c r="AN1364">
        <v>1500</v>
      </c>
      <c r="AO1364" t="s">
        <v>118</v>
      </c>
      <c r="AP1364">
        <v>93</v>
      </c>
      <c r="AQ1364">
        <v>-16</v>
      </c>
      <c r="AR1364">
        <v>0</v>
      </c>
      <c r="AZ1364">
        <v>1200</v>
      </c>
      <c r="BA1364">
        <v>1</v>
      </c>
      <c r="BB1364" t="str">
        <f t="shared" si="620"/>
        <v xml:space="preserve">N711JA  </v>
      </c>
      <c r="BC1364">
        <v>1</v>
      </c>
      <c r="BE1364">
        <v>0</v>
      </c>
      <c r="BF1364">
        <v>0</v>
      </c>
      <c r="BG1364">
        <v>0</v>
      </c>
      <c r="BH1364">
        <v>1550</v>
      </c>
      <c r="BI1364">
        <v>1</v>
      </c>
      <c r="BJ1364">
        <v>1</v>
      </c>
      <c r="BK1364">
        <v>0</v>
      </c>
      <c r="BL1364">
        <v>0</v>
      </c>
      <c r="BO1364">
        <v>0</v>
      </c>
      <c r="BP1364">
        <v>0</v>
      </c>
      <c r="BW1364" t="str">
        <f t="shared" ref="BW1364:BW1372" si="648">"14:43:29.157"</f>
        <v>14:43:29.157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343</v>
      </c>
      <c r="CR1364">
        <v>1</v>
      </c>
      <c r="CW1364">
        <v>10661631</v>
      </c>
      <c r="CY1364">
        <v>1</v>
      </c>
      <c r="CZ1364">
        <v>0</v>
      </c>
      <c r="DA1364">
        <v>0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 t="shared" si="646"/>
        <v>05/12/2020 14:43:11.334</v>
      </c>
      <c r="C1365" t="str">
        <f t="shared" si="619"/>
        <v>FFDFD3C0</v>
      </c>
      <c r="D1365" t="s">
        <v>131</v>
      </c>
      <c r="E1365">
        <v>10</v>
      </c>
      <c r="F1365">
        <v>2010</v>
      </c>
      <c r="G1365" t="s">
        <v>132</v>
      </c>
      <c r="J1365" t="s">
        <v>133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647"/>
        <v>14:43:29.156</v>
      </c>
      <c r="T1365" t="str">
        <f t="shared" si="647"/>
        <v>14:43:29.156</v>
      </c>
      <c r="U1365" t="str">
        <f t="shared" si="640"/>
        <v>A9808D</v>
      </c>
      <c r="V1365">
        <v>0</v>
      </c>
      <c r="W1365">
        <v>0</v>
      </c>
      <c r="X1365">
        <v>1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382</v>
      </c>
      <c r="AJ1365">
        <v>28.286963</v>
      </c>
      <c r="AK1365" t="s">
        <v>383</v>
      </c>
      <c r="AL1365">
        <v>-82.378449000000003</v>
      </c>
      <c r="AM1365">
        <v>100</v>
      </c>
      <c r="AN1365">
        <v>1500</v>
      </c>
      <c r="AO1365" t="s">
        <v>118</v>
      </c>
      <c r="AP1365">
        <v>93</v>
      </c>
      <c r="AQ1365">
        <v>-16</v>
      </c>
      <c r="AR1365">
        <v>0</v>
      </c>
      <c r="AZ1365">
        <v>1200</v>
      </c>
      <c r="BA1365">
        <v>1</v>
      </c>
      <c r="BB1365" t="str">
        <f t="shared" si="620"/>
        <v xml:space="preserve">N711JA  </v>
      </c>
      <c r="BC1365">
        <v>1</v>
      </c>
      <c r="BE1365">
        <v>0</v>
      </c>
      <c r="BF1365">
        <v>0</v>
      </c>
      <c r="BG1365">
        <v>0</v>
      </c>
      <c r="BH1365">
        <v>1550</v>
      </c>
      <c r="BI1365">
        <v>1</v>
      </c>
      <c r="BJ1365">
        <v>1</v>
      </c>
      <c r="BK1365">
        <v>0</v>
      </c>
      <c r="BL1365">
        <v>0</v>
      </c>
      <c r="BO1365">
        <v>0</v>
      </c>
      <c r="BP1365">
        <v>0</v>
      </c>
      <c r="BW1365" t="str">
        <f t="shared" si="648"/>
        <v>14:43:29.157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343</v>
      </c>
      <c r="CR1365">
        <v>1</v>
      </c>
      <c r="CW1365">
        <v>10661631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 t="shared" si="646"/>
        <v>05/12/2020 14:43:11.334</v>
      </c>
      <c r="C1366" t="str">
        <f t="shared" ref="C1366:C1429" si="649">"FFDFD3C0"</f>
        <v>FFDFD3C0</v>
      </c>
      <c r="D1366" t="s">
        <v>126</v>
      </c>
      <c r="E1366">
        <v>7</v>
      </c>
      <c r="F1366">
        <v>1007</v>
      </c>
      <c r="G1366" t="s">
        <v>127</v>
      </c>
      <c r="J1366" t="s">
        <v>128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647"/>
        <v>14:43:29.156</v>
      </c>
      <c r="T1366" t="str">
        <f t="shared" si="647"/>
        <v>14:43:29.156</v>
      </c>
      <c r="U1366" t="str">
        <f t="shared" si="640"/>
        <v>A9808D</v>
      </c>
      <c r="V1366">
        <v>0</v>
      </c>
      <c r="W1366">
        <v>0</v>
      </c>
      <c r="X1366">
        <v>1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382</v>
      </c>
      <c r="AJ1366">
        <v>28.286963</v>
      </c>
      <c r="AK1366" t="s">
        <v>383</v>
      </c>
      <c r="AL1366">
        <v>-82.378449000000003</v>
      </c>
      <c r="AM1366">
        <v>100</v>
      </c>
      <c r="AN1366">
        <v>1500</v>
      </c>
      <c r="AO1366" t="s">
        <v>118</v>
      </c>
      <c r="AP1366">
        <v>93</v>
      </c>
      <c r="AQ1366">
        <v>-16</v>
      </c>
      <c r="AR1366">
        <v>0</v>
      </c>
      <c r="AZ1366">
        <v>1200</v>
      </c>
      <c r="BA1366">
        <v>1</v>
      </c>
      <c r="BB1366" t="str">
        <f t="shared" ref="BB1366:BB1429" si="650">"N711JA  "</f>
        <v xml:space="preserve">N711JA  </v>
      </c>
      <c r="BC1366">
        <v>1</v>
      </c>
      <c r="BE1366">
        <v>0</v>
      </c>
      <c r="BF1366">
        <v>0</v>
      </c>
      <c r="BG1366">
        <v>0</v>
      </c>
      <c r="BH1366">
        <v>1550</v>
      </c>
      <c r="BI1366">
        <v>1</v>
      </c>
      <c r="BJ1366">
        <v>1</v>
      </c>
      <c r="BK1366">
        <v>0</v>
      </c>
      <c r="BL1366">
        <v>0</v>
      </c>
      <c r="BO1366">
        <v>0</v>
      </c>
      <c r="BP1366">
        <v>0</v>
      </c>
      <c r="BW1366" t="str">
        <f t="shared" si="648"/>
        <v>14:43:29.157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343</v>
      </c>
      <c r="CR1366">
        <v>1</v>
      </c>
      <c r="CW1366">
        <v>10661631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 t="shared" si="646"/>
        <v>05/12/2020 14:43:11.334</v>
      </c>
      <c r="C1367" t="str">
        <f t="shared" si="649"/>
        <v>FFDFD3C0</v>
      </c>
      <c r="D1367" t="s">
        <v>131</v>
      </c>
      <c r="E1367">
        <v>12</v>
      </c>
      <c r="F1367">
        <v>2012</v>
      </c>
      <c r="G1367" t="s">
        <v>137</v>
      </c>
      <c r="J1367" t="s">
        <v>133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si="647"/>
        <v>14:43:29.156</v>
      </c>
      <c r="T1367" t="str">
        <f t="shared" si="647"/>
        <v>14:43:29.156</v>
      </c>
      <c r="U1367" t="str">
        <f t="shared" si="640"/>
        <v>A9808D</v>
      </c>
      <c r="V1367">
        <v>0</v>
      </c>
      <c r="W1367">
        <v>0</v>
      </c>
      <c r="X1367">
        <v>1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382</v>
      </c>
      <c r="AJ1367">
        <v>28.286963</v>
      </c>
      <c r="AK1367" t="s">
        <v>383</v>
      </c>
      <c r="AL1367">
        <v>-82.378449000000003</v>
      </c>
      <c r="AM1367">
        <v>100</v>
      </c>
      <c r="AN1367">
        <v>1500</v>
      </c>
      <c r="AO1367" t="s">
        <v>118</v>
      </c>
      <c r="AP1367">
        <v>93</v>
      </c>
      <c r="AQ1367">
        <v>-16</v>
      </c>
      <c r="AR1367">
        <v>0</v>
      </c>
      <c r="AZ1367">
        <v>1200</v>
      </c>
      <c r="BA1367">
        <v>1</v>
      </c>
      <c r="BB1367" t="str">
        <f t="shared" si="650"/>
        <v xml:space="preserve">N711JA  </v>
      </c>
      <c r="BC1367">
        <v>1</v>
      </c>
      <c r="BE1367">
        <v>0</v>
      </c>
      <c r="BF1367">
        <v>0</v>
      </c>
      <c r="BG1367">
        <v>0</v>
      </c>
      <c r="BH1367">
        <v>1550</v>
      </c>
      <c r="BI1367">
        <v>1</v>
      </c>
      <c r="BJ1367">
        <v>1</v>
      </c>
      <c r="BK1367">
        <v>0</v>
      </c>
      <c r="BL1367">
        <v>0</v>
      </c>
      <c r="BO1367">
        <v>0</v>
      </c>
      <c r="BP1367">
        <v>0</v>
      </c>
      <c r="BW1367" t="str">
        <f t="shared" si="648"/>
        <v>14:43:29.157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343</v>
      </c>
      <c r="CR1367">
        <v>1</v>
      </c>
      <c r="CW1367">
        <v>10661631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 t="shared" si="646"/>
        <v>05/12/2020 14:43:11.334</v>
      </c>
      <c r="C1368" t="str">
        <f t="shared" si="649"/>
        <v>FFDFD3C0</v>
      </c>
      <c r="D1368" t="s">
        <v>131</v>
      </c>
      <c r="E1368">
        <v>18</v>
      </c>
      <c r="F1368">
        <v>2018</v>
      </c>
      <c r="G1368" t="s">
        <v>161</v>
      </c>
      <c r="J1368" t="s">
        <v>133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647"/>
        <v>14:43:29.156</v>
      </c>
      <c r="T1368" t="str">
        <f t="shared" si="647"/>
        <v>14:43:29.156</v>
      </c>
      <c r="U1368" t="str">
        <f t="shared" si="640"/>
        <v>A9808D</v>
      </c>
      <c r="V1368">
        <v>0</v>
      </c>
      <c r="W1368">
        <v>0</v>
      </c>
      <c r="X1368">
        <v>1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382</v>
      </c>
      <c r="AJ1368">
        <v>28.286963</v>
      </c>
      <c r="AK1368" t="s">
        <v>383</v>
      </c>
      <c r="AL1368">
        <v>-82.378449000000003</v>
      </c>
      <c r="AM1368">
        <v>100</v>
      </c>
      <c r="AN1368">
        <v>1500</v>
      </c>
      <c r="AO1368" t="s">
        <v>118</v>
      </c>
      <c r="AP1368">
        <v>93</v>
      </c>
      <c r="AQ1368">
        <v>-16</v>
      </c>
      <c r="AR1368">
        <v>0</v>
      </c>
      <c r="AZ1368">
        <v>1200</v>
      </c>
      <c r="BA1368">
        <v>1</v>
      </c>
      <c r="BB1368" t="str">
        <f t="shared" si="650"/>
        <v xml:space="preserve">N711JA  </v>
      </c>
      <c r="BC1368">
        <v>1</v>
      </c>
      <c r="BE1368">
        <v>0</v>
      </c>
      <c r="BF1368">
        <v>0</v>
      </c>
      <c r="BG1368">
        <v>0</v>
      </c>
      <c r="BH1368">
        <v>1550</v>
      </c>
      <c r="BI1368">
        <v>1</v>
      </c>
      <c r="BJ1368">
        <v>1</v>
      </c>
      <c r="BK1368">
        <v>0</v>
      </c>
      <c r="BL1368">
        <v>0</v>
      </c>
      <c r="BO1368">
        <v>0</v>
      </c>
      <c r="BP1368">
        <v>0</v>
      </c>
      <c r="BW1368" t="str">
        <f t="shared" si="648"/>
        <v>14:43:29.157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343</v>
      </c>
      <c r="CR1368">
        <v>1</v>
      </c>
      <c r="CW1368">
        <v>10661631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 t="shared" si="646"/>
        <v>05/12/2020 14:43:11.334</v>
      </c>
      <c r="C1369" t="str">
        <f t="shared" si="649"/>
        <v>FFDFD3C0</v>
      </c>
      <c r="D1369" t="s">
        <v>113</v>
      </c>
      <c r="E1369">
        <v>3</v>
      </c>
      <c r="H1369">
        <v>164</v>
      </c>
      <c r="I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647"/>
        <v>14:43:29.156</v>
      </c>
      <c r="T1369" t="str">
        <f t="shared" si="647"/>
        <v>14:43:29.156</v>
      </c>
      <c r="U1369" t="str">
        <f t="shared" si="640"/>
        <v>A9808D</v>
      </c>
      <c r="V1369">
        <v>0</v>
      </c>
      <c r="W1369">
        <v>0</v>
      </c>
      <c r="X1369">
        <v>1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382</v>
      </c>
      <c r="AJ1369">
        <v>28.286963</v>
      </c>
      <c r="AK1369" t="s">
        <v>383</v>
      </c>
      <c r="AL1369">
        <v>-82.378449000000003</v>
      </c>
      <c r="AM1369">
        <v>100</v>
      </c>
      <c r="AN1369">
        <v>1500</v>
      </c>
      <c r="AO1369" t="s">
        <v>118</v>
      </c>
      <c r="AP1369">
        <v>93</v>
      </c>
      <c r="AQ1369">
        <v>-16</v>
      </c>
      <c r="AR1369">
        <v>0</v>
      </c>
      <c r="AZ1369">
        <v>1200</v>
      </c>
      <c r="BA1369">
        <v>1</v>
      </c>
      <c r="BB1369" t="str">
        <f t="shared" si="650"/>
        <v xml:space="preserve">N711JA  </v>
      </c>
      <c r="BC1369">
        <v>1</v>
      </c>
      <c r="BE1369">
        <v>0</v>
      </c>
      <c r="BF1369">
        <v>0</v>
      </c>
      <c r="BG1369">
        <v>0</v>
      </c>
      <c r="BH1369">
        <v>1550</v>
      </c>
      <c r="BI1369">
        <v>1</v>
      </c>
      <c r="BJ1369">
        <v>1</v>
      </c>
      <c r="BK1369">
        <v>0</v>
      </c>
      <c r="BL1369">
        <v>0</v>
      </c>
      <c r="BO1369">
        <v>0</v>
      </c>
      <c r="BP1369">
        <v>0</v>
      </c>
      <c r="BW1369" t="str">
        <f t="shared" si="648"/>
        <v>14:43:29.157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343</v>
      </c>
      <c r="CR1369">
        <v>1</v>
      </c>
      <c r="CW1369">
        <v>10661631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 t="shared" si="646"/>
        <v>05/12/2020 14:43:11.334</v>
      </c>
      <c r="C1370" t="str">
        <f t="shared" si="649"/>
        <v>FFDFD3C0</v>
      </c>
      <c r="D1370" t="s">
        <v>138</v>
      </c>
      <c r="E1370">
        <v>2</v>
      </c>
      <c r="H1370">
        <v>8</v>
      </c>
      <c r="I1370" t="s">
        <v>139</v>
      </c>
      <c r="J1370" t="s">
        <v>136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647"/>
        <v>14:43:29.156</v>
      </c>
      <c r="T1370" t="str">
        <f t="shared" si="647"/>
        <v>14:43:29.156</v>
      </c>
      <c r="U1370" t="str">
        <f t="shared" si="640"/>
        <v>A9808D</v>
      </c>
      <c r="V1370">
        <v>0</v>
      </c>
      <c r="W1370">
        <v>0</v>
      </c>
      <c r="X1370">
        <v>1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382</v>
      </c>
      <c r="AJ1370">
        <v>28.286963</v>
      </c>
      <c r="AK1370" t="s">
        <v>383</v>
      </c>
      <c r="AL1370">
        <v>-82.378449000000003</v>
      </c>
      <c r="AM1370">
        <v>100</v>
      </c>
      <c r="AN1370">
        <v>1500</v>
      </c>
      <c r="AO1370" t="s">
        <v>118</v>
      </c>
      <c r="AP1370">
        <v>93</v>
      </c>
      <c r="AQ1370">
        <v>-16</v>
      </c>
      <c r="AR1370">
        <v>0</v>
      </c>
      <c r="AZ1370">
        <v>1200</v>
      </c>
      <c r="BA1370">
        <v>1</v>
      </c>
      <c r="BB1370" t="str">
        <f t="shared" si="650"/>
        <v xml:space="preserve">N711JA  </v>
      </c>
      <c r="BC1370">
        <v>1</v>
      </c>
      <c r="BE1370">
        <v>0</v>
      </c>
      <c r="BF1370">
        <v>0</v>
      </c>
      <c r="BG1370">
        <v>0</v>
      </c>
      <c r="BH1370">
        <v>1550</v>
      </c>
      <c r="BI1370">
        <v>1</v>
      </c>
      <c r="BJ1370">
        <v>1</v>
      </c>
      <c r="BK1370">
        <v>0</v>
      </c>
      <c r="BL1370">
        <v>0</v>
      </c>
      <c r="BO1370">
        <v>0</v>
      </c>
      <c r="BP1370">
        <v>0</v>
      </c>
      <c r="BW1370" t="str">
        <f t="shared" si="648"/>
        <v>14:43:29.157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343</v>
      </c>
      <c r="CR1370">
        <v>1</v>
      </c>
      <c r="CW1370">
        <v>10661631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 t="shared" si="646"/>
        <v>05/12/2020 14:43:11.334</v>
      </c>
      <c r="C1371" t="str">
        <f t="shared" si="649"/>
        <v>FFDFD3C0</v>
      </c>
      <c r="D1371" t="s">
        <v>138</v>
      </c>
      <c r="E1371">
        <v>3</v>
      </c>
      <c r="H1371">
        <v>9</v>
      </c>
      <c r="I1371" t="s">
        <v>140</v>
      </c>
      <c r="J1371" t="s">
        <v>136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647"/>
        <v>14:43:29.156</v>
      </c>
      <c r="T1371" t="str">
        <f t="shared" si="647"/>
        <v>14:43:29.156</v>
      </c>
      <c r="U1371" t="str">
        <f t="shared" si="640"/>
        <v>A9808D</v>
      </c>
      <c r="V1371">
        <v>0</v>
      </c>
      <c r="W1371">
        <v>0</v>
      </c>
      <c r="X1371">
        <v>1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382</v>
      </c>
      <c r="AJ1371">
        <v>28.286963</v>
      </c>
      <c r="AK1371" t="s">
        <v>383</v>
      </c>
      <c r="AL1371">
        <v>-82.378449000000003</v>
      </c>
      <c r="AM1371">
        <v>100</v>
      </c>
      <c r="AN1371">
        <v>1500</v>
      </c>
      <c r="AO1371" t="s">
        <v>118</v>
      </c>
      <c r="AP1371">
        <v>93</v>
      </c>
      <c r="AQ1371">
        <v>-16</v>
      </c>
      <c r="AR1371">
        <v>0</v>
      </c>
      <c r="AZ1371">
        <v>1200</v>
      </c>
      <c r="BA1371">
        <v>1</v>
      </c>
      <c r="BB1371" t="str">
        <f t="shared" si="650"/>
        <v xml:space="preserve">N711JA  </v>
      </c>
      <c r="BC1371">
        <v>1</v>
      </c>
      <c r="BE1371">
        <v>0</v>
      </c>
      <c r="BF1371">
        <v>0</v>
      </c>
      <c r="BG1371">
        <v>0</v>
      </c>
      <c r="BH1371">
        <v>1550</v>
      </c>
      <c r="BI1371">
        <v>1</v>
      </c>
      <c r="BJ1371">
        <v>1</v>
      </c>
      <c r="BK1371">
        <v>0</v>
      </c>
      <c r="BL1371">
        <v>0</v>
      </c>
      <c r="BO1371">
        <v>0</v>
      </c>
      <c r="BP1371">
        <v>0</v>
      </c>
      <c r="BW1371" t="str">
        <f t="shared" si="648"/>
        <v>14:43:29.157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343</v>
      </c>
      <c r="CR1371">
        <v>1</v>
      </c>
      <c r="CW1371">
        <v>10661631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 t="shared" si="646"/>
        <v>05/12/2020 14:43:11.334</v>
      </c>
      <c r="C1372" t="str">
        <f t="shared" si="649"/>
        <v>FFDFD3C0</v>
      </c>
      <c r="D1372" t="s">
        <v>126</v>
      </c>
      <c r="E1372">
        <v>6</v>
      </c>
      <c r="F1372">
        <v>1006</v>
      </c>
      <c r="G1372" t="s">
        <v>114</v>
      </c>
      <c r="J1372" t="s">
        <v>128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647"/>
        <v>14:43:29.156</v>
      </c>
      <c r="T1372" t="str">
        <f t="shared" si="647"/>
        <v>14:43:29.156</v>
      </c>
      <c r="U1372" t="str">
        <f t="shared" si="640"/>
        <v>A9808D</v>
      </c>
      <c r="V1372">
        <v>0</v>
      </c>
      <c r="W1372">
        <v>0</v>
      </c>
      <c r="X1372">
        <v>1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382</v>
      </c>
      <c r="AJ1372">
        <v>28.286963</v>
      </c>
      <c r="AK1372" t="s">
        <v>383</v>
      </c>
      <c r="AL1372">
        <v>-82.378449000000003</v>
      </c>
      <c r="AM1372">
        <v>100</v>
      </c>
      <c r="AN1372">
        <v>1500</v>
      </c>
      <c r="AO1372" t="s">
        <v>118</v>
      </c>
      <c r="AP1372">
        <v>93</v>
      </c>
      <c r="AQ1372">
        <v>-16</v>
      </c>
      <c r="AR1372">
        <v>0</v>
      </c>
      <c r="AZ1372">
        <v>1200</v>
      </c>
      <c r="BA1372">
        <v>1</v>
      </c>
      <c r="BB1372" t="str">
        <f t="shared" si="650"/>
        <v xml:space="preserve">N711JA  </v>
      </c>
      <c r="BC1372">
        <v>1</v>
      </c>
      <c r="BE1372">
        <v>0</v>
      </c>
      <c r="BF1372">
        <v>0</v>
      </c>
      <c r="BG1372">
        <v>0</v>
      </c>
      <c r="BH1372">
        <v>1550</v>
      </c>
      <c r="BI1372">
        <v>1</v>
      </c>
      <c r="BJ1372">
        <v>1</v>
      </c>
      <c r="BK1372">
        <v>0</v>
      </c>
      <c r="BL1372">
        <v>0</v>
      </c>
      <c r="BO1372">
        <v>0</v>
      </c>
      <c r="BP1372">
        <v>0</v>
      </c>
      <c r="BW1372" t="str">
        <f t="shared" si="648"/>
        <v>14:43:29.157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343</v>
      </c>
      <c r="CR1372">
        <v>1</v>
      </c>
      <c r="CW1372">
        <v>10661631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 t="shared" ref="A1373:A1381" si="651">"05/12/2020 14:43:12.316"</f>
        <v>05/12/2020 14:43:12.316</v>
      </c>
      <c r="C1373" t="str">
        <f t="shared" si="649"/>
        <v>FFDFD3C0</v>
      </c>
      <c r="D1373" t="s">
        <v>113</v>
      </c>
      <c r="E1373">
        <v>3</v>
      </c>
      <c r="H1373">
        <v>164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S1381" si="652">"14:43:30.117"</f>
        <v>14:43:30.117</v>
      </c>
      <c r="T1373" t="str">
        <f t="shared" ref="T1373:T1381" si="653">"14:43:30.017"</f>
        <v>14:43:30.017</v>
      </c>
      <c r="U1373" t="str">
        <f t="shared" si="640"/>
        <v>A9808D</v>
      </c>
      <c r="V1373">
        <v>0</v>
      </c>
      <c r="W1373">
        <v>0</v>
      </c>
      <c r="X1373">
        <v>1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384</v>
      </c>
      <c r="AJ1373">
        <v>28.286854999999999</v>
      </c>
      <c r="AK1373" t="s">
        <v>385</v>
      </c>
      <c r="AL1373">
        <v>-82.377977000000001</v>
      </c>
      <c r="AM1373">
        <v>100</v>
      </c>
      <c r="AN1373">
        <v>1500</v>
      </c>
      <c r="AO1373" t="s">
        <v>118</v>
      </c>
      <c r="AP1373">
        <v>92</v>
      </c>
      <c r="AQ1373">
        <v>-23</v>
      </c>
      <c r="AR1373">
        <v>-64</v>
      </c>
      <c r="AZ1373">
        <v>1200</v>
      </c>
      <c r="BA1373">
        <v>1</v>
      </c>
      <c r="BB1373" t="str">
        <f t="shared" si="650"/>
        <v xml:space="preserve">N711JA  </v>
      </c>
      <c r="BC1373">
        <v>1</v>
      </c>
      <c r="BE1373">
        <v>0</v>
      </c>
      <c r="BF1373">
        <v>0</v>
      </c>
      <c r="BG1373">
        <v>0</v>
      </c>
      <c r="BH1373">
        <v>1550</v>
      </c>
      <c r="BI1373">
        <v>1</v>
      </c>
      <c r="BJ1373">
        <v>1</v>
      </c>
      <c r="BK1373">
        <v>0</v>
      </c>
      <c r="BL1373">
        <v>0</v>
      </c>
      <c r="BO1373">
        <v>0</v>
      </c>
      <c r="BP1373">
        <v>0</v>
      </c>
      <c r="BW1373" t="str">
        <f t="shared" ref="BW1373:BW1381" si="654">"14:43:30.118"</f>
        <v>14:43:30.118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343</v>
      </c>
      <c r="CR1373">
        <v>2</v>
      </c>
      <c r="CW1373">
        <v>13047034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 t="shared" si="651"/>
        <v>05/12/2020 14:43:12.316</v>
      </c>
      <c r="C1374" t="str">
        <f t="shared" si="649"/>
        <v>FFDFD3C0</v>
      </c>
      <c r="D1374" t="s">
        <v>138</v>
      </c>
      <c r="E1374">
        <v>2</v>
      </c>
      <c r="H1374">
        <v>8</v>
      </c>
      <c r="I1374" t="s">
        <v>139</v>
      </c>
      <c r="J1374" t="s">
        <v>136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652"/>
        <v>14:43:30.117</v>
      </c>
      <c r="T1374" t="str">
        <f t="shared" si="653"/>
        <v>14:43:30.017</v>
      </c>
      <c r="U1374" t="str">
        <f t="shared" si="640"/>
        <v>A9808D</v>
      </c>
      <c r="V1374">
        <v>0</v>
      </c>
      <c r="W1374">
        <v>0</v>
      </c>
      <c r="X1374">
        <v>1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384</v>
      </c>
      <c r="AJ1374">
        <v>28.286854999999999</v>
      </c>
      <c r="AK1374" t="s">
        <v>385</v>
      </c>
      <c r="AL1374">
        <v>-82.377977000000001</v>
      </c>
      <c r="AM1374">
        <v>100</v>
      </c>
      <c r="AN1374">
        <v>1500</v>
      </c>
      <c r="AO1374" t="s">
        <v>118</v>
      </c>
      <c r="AP1374">
        <v>92</v>
      </c>
      <c r="AQ1374">
        <v>-23</v>
      </c>
      <c r="AR1374">
        <v>-64</v>
      </c>
      <c r="AZ1374">
        <v>1200</v>
      </c>
      <c r="BA1374">
        <v>1</v>
      </c>
      <c r="BB1374" t="str">
        <f t="shared" si="650"/>
        <v xml:space="preserve">N711JA  </v>
      </c>
      <c r="BC1374">
        <v>1</v>
      </c>
      <c r="BE1374">
        <v>0</v>
      </c>
      <c r="BF1374">
        <v>0</v>
      </c>
      <c r="BG1374">
        <v>0</v>
      </c>
      <c r="BH1374">
        <v>1550</v>
      </c>
      <c r="BI1374">
        <v>1</v>
      </c>
      <c r="BJ1374">
        <v>1</v>
      </c>
      <c r="BK1374">
        <v>0</v>
      </c>
      <c r="BL1374">
        <v>0</v>
      </c>
      <c r="BO1374">
        <v>0</v>
      </c>
      <c r="BP1374">
        <v>0</v>
      </c>
      <c r="BW1374" t="str">
        <f t="shared" si="654"/>
        <v>14:43:30.118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343</v>
      </c>
      <c r="CR1374">
        <v>2</v>
      </c>
      <c r="CW1374">
        <v>13047034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 t="shared" si="651"/>
        <v>05/12/2020 14:43:12.316</v>
      </c>
      <c r="C1375" t="str">
        <f t="shared" si="649"/>
        <v>FFDFD3C0</v>
      </c>
      <c r="D1375" t="s">
        <v>138</v>
      </c>
      <c r="E1375">
        <v>3</v>
      </c>
      <c r="H1375">
        <v>9</v>
      </c>
      <c r="I1375" t="s">
        <v>140</v>
      </c>
      <c r="J1375" t="s">
        <v>136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652"/>
        <v>14:43:30.117</v>
      </c>
      <c r="T1375" t="str">
        <f t="shared" si="653"/>
        <v>14:43:30.017</v>
      </c>
      <c r="U1375" t="str">
        <f t="shared" si="640"/>
        <v>A9808D</v>
      </c>
      <c r="V1375">
        <v>0</v>
      </c>
      <c r="W1375">
        <v>0</v>
      </c>
      <c r="X1375">
        <v>1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384</v>
      </c>
      <c r="AJ1375">
        <v>28.286854999999999</v>
      </c>
      <c r="AK1375" t="s">
        <v>385</v>
      </c>
      <c r="AL1375">
        <v>-82.377977000000001</v>
      </c>
      <c r="AM1375">
        <v>100</v>
      </c>
      <c r="AN1375">
        <v>1500</v>
      </c>
      <c r="AO1375" t="s">
        <v>118</v>
      </c>
      <c r="AP1375">
        <v>92</v>
      </c>
      <c r="AQ1375">
        <v>-23</v>
      </c>
      <c r="AR1375">
        <v>-64</v>
      </c>
      <c r="AZ1375">
        <v>1200</v>
      </c>
      <c r="BA1375">
        <v>1</v>
      </c>
      <c r="BB1375" t="str">
        <f t="shared" si="650"/>
        <v xml:space="preserve">N711JA  </v>
      </c>
      <c r="BC1375">
        <v>1</v>
      </c>
      <c r="BE1375">
        <v>0</v>
      </c>
      <c r="BF1375">
        <v>0</v>
      </c>
      <c r="BG1375">
        <v>0</v>
      </c>
      <c r="BH1375">
        <v>1550</v>
      </c>
      <c r="BI1375">
        <v>1</v>
      </c>
      <c r="BJ1375">
        <v>1</v>
      </c>
      <c r="BK1375">
        <v>0</v>
      </c>
      <c r="BL1375">
        <v>0</v>
      </c>
      <c r="BO1375">
        <v>0</v>
      </c>
      <c r="BP1375">
        <v>0</v>
      </c>
      <c r="BW1375" t="str">
        <f t="shared" si="654"/>
        <v>14:43:30.118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343</v>
      </c>
      <c r="CR1375">
        <v>2</v>
      </c>
      <c r="CW1375">
        <v>13047034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 t="shared" si="651"/>
        <v>05/12/2020 14:43:12.316</v>
      </c>
      <c r="C1376" t="str">
        <f t="shared" si="649"/>
        <v>FFDFD3C0</v>
      </c>
      <c r="D1376" t="s">
        <v>126</v>
      </c>
      <c r="E1376">
        <v>6</v>
      </c>
      <c r="F1376">
        <v>1006</v>
      </c>
      <c r="G1376" t="s">
        <v>114</v>
      </c>
      <c r="J1376" t="s">
        <v>128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652"/>
        <v>14:43:30.117</v>
      </c>
      <c r="T1376" t="str">
        <f t="shared" si="653"/>
        <v>14:43:30.017</v>
      </c>
      <c r="U1376" t="str">
        <f t="shared" si="640"/>
        <v>A9808D</v>
      </c>
      <c r="V1376">
        <v>0</v>
      </c>
      <c r="W1376">
        <v>0</v>
      </c>
      <c r="X1376">
        <v>1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384</v>
      </c>
      <c r="AJ1376">
        <v>28.286854999999999</v>
      </c>
      <c r="AK1376" t="s">
        <v>385</v>
      </c>
      <c r="AL1376">
        <v>-82.377977000000001</v>
      </c>
      <c r="AM1376">
        <v>100</v>
      </c>
      <c r="AN1376">
        <v>1500</v>
      </c>
      <c r="AO1376" t="s">
        <v>118</v>
      </c>
      <c r="AP1376">
        <v>92</v>
      </c>
      <c r="AQ1376">
        <v>-23</v>
      </c>
      <c r="AR1376">
        <v>-64</v>
      </c>
      <c r="AZ1376">
        <v>1200</v>
      </c>
      <c r="BA1376">
        <v>1</v>
      </c>
      <c r="BB1376" t="str">
        <f t="shared" si="650"/>
        <v xml:space="preserve">N711JA  </v>
      </c>
      <c r="BC1376">
        <v>1</v>
      </c>
      <c r="BE1376">
        <v>0</v>
      </c>
      <c r="BF1376">
        <v>0</v>
      </c>
      <c r="BG1376">
        <v>0</v>
      </c>
      <c r="BH1376">
        <v>1550</v>
      </c>
      <c r="BI1376">
        <v>1</v>
      </c>
      <c r="BJ1376">
        <v>1</v>
      </c>
      <c r="BK1376">
        <v>0</v>
      </c>
      <c r="BL1376">
        <v>0</v>
      </c>
      <c r="BO1376">
        <v>0</v>
      </c>
      <c r="BP1376">
        <v>0</v>
      </c>
      <c r="BW1376" t="str">
        <f t="shared" si="654"/>
        <v>14:43:30.118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343</v>
      </c>
      <c r="CR1376">
        <v>2</v>
      </c>
      <c r="CW1376">
        <v>13047034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 t="shared" si="651"/>
        <v>05/12/2020 14:43:12.316</v>
      </c>
      <c r="C1377" t="str">
        <f t="shared" si="649"/>
        <v>FFDFD3C0</v>
      </c>
      <c r="D1377" t="s">
        <v>134</v>
      </c>
      <c r="E1377">
        <v>12</v>
      </c>
      <c r="H1377">
        <v>64</v>
      </c>
      <c r="I1377" t="s">
        <v>135</v>
      </c>
      <c r="J1377" t="s">
        <v>136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652"/>
        <v>14:43:30.117</v>
      </c>
      <c r="T1377" t="str">
        <f t="shared" si="653"/>
        <v>14:43:30.017</v>
      </c>
      <c r="U1377" t="str">
        <f t="shared" si="640"/>
        <v>A9808D</v>
      </c>
      <c r="V1377">
        <v>0</v>
      </c>
      <c r="W1377">
        <v>0</v>
      </c>
      <c r="X1377">
        <v>1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384</v>
      </c>
      <c r="AJ1377">
        <v>28.286854999999999</v>
      </c>
      <c r="AK1377" t="s">
        <v>385</v>
      </c>
      <c r="AL1377">
        <v>-82.377977000000001</v>
      </c>
      <c r="AM1377">
        <v>100</v>
      </c>
      <c r="AN1377">
        <v>1500</v>
      </c>
      <c r="AO1377" t="s">
        <v>118</v>
      </c>
      <c r="AP1377">
        <v>92</v>
      </c>
      <c r="AQ1377">
        <v>-23</v>
      </c>
      <c r="AR1377">
        <v>-64</v>
      </c>
      <c r="AZ1377">
        <v>1200</v>
      </c>
      <c r="BA1377">
        <v>1</v>
      </c>
      <c r="BB1377" t="str">
        <f t="shared" si="650"/>
        <v xml:space="preserve">N711JA  </v>
      </c>
      <c r="BC1377">
        <v>1</v>
      </c>
      <c r="BE1377">
        <v>0</v>
      </c>
      <c r="BF1377">
        <v>0</v>
      </c>
      <c r="BG1377">
        <v>0</v>
      </c>
      <c r="BH1377">
        <v>1550</v>
      </c>
      <c r="BI1377">
        <v>1</v>
      </c>
      <c r="BJ1377">
        <v>1</v>
      </c>
      <c r="BK1377">
        <v>0</v>
      </c>
      <c r="BL1377">
        <v>0</v>
      </c>
      <c r="BO1377">
        <v>0</v>
      </c>
      <c r="BP1377">
        <v>0</v>
      </c>
      <c r="BW1377" t="str">
        <f t="shared" si="654"/>
        <v>14:43:30.118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343</v>
      </c>
      <c r="CR1377">
        <v>2</v>
      </c>
      <c r="CW1377">
        <v>13047034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 t="shared" si="651"/>
        <v>05/12/2020 14:43:12.316</v>
      </c>
      <c r="C1378" t="str">
        <f t="shared" si="649"/>
        <v>FFDFD3C0</v>
      </c>
      <c r="D1378" t="s">
        <v>131</v>
      </c>
      <c r="E1378">
        <v>10</v>
      </c>
      <c r="F1378">
        <v>2010</v>
      </c>
      <c r="G1378" t="s">
        <v>132</v>
      </c>
      <c r="J1378" t="s">
        <v>133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652"/>
        <v>14:43:30.117</v>
      </c>
      <c r="T1378" t="str">
        <f t="shared" si="653"/>
        <v>14:43:30.017</v>
      </c>
      <c r="U1378" t="str">
        <f t="shared" si="640"/>
        <v>A9808D</v>
      </c>
      <c r="V1378">
        <v>0</v>
      </c>
      <c r="W1378">
        <v>0</v>
      </c>
      <c r="X1378">
        <v>1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384</v>
      </c>
      <c r="AJ1378">
        <v>28.286854999999999</v>
      </c>
      <c r="AK1378" t="s">
        <v>385</v>
      </c>
      <c r="AL1378">
        <v>-82.377977000000001</v>
      </c>
      <c r="AM1378">
        <v>100</v>
      </c>
      <c r="AN1378">
        <v>1500</v>
      </c>
      <c r="AO1378" t="s">
        <v>118</v>
      </c>
      <c r="AP1378">
        <v>92</v>
      </c>
      <c r="AQ1378">
        <v>-23</v>
      </c>
      <c r="AR1378">
        <v>-64</v>
      </c>
      <c r="AZ1378">
        <v>1200</v>
      </c>
      <c r="BA1378">
        <v>1</v>
      </c>
      <c r="BB1378" t="str">
        <f t="shared" si="650"/>
        <v xml:space="preserve">N711JA  </v>
      </c>
      <c r="BC1378">
        <v>1</v>
      </c>
      <c r="BE1378">
        <v>0</v>
      </c>
      <c r="BF1378">
        <v>0</v>
      </c>
      <c r="BG1378">
        <v>0</v>
      </c>
      <c r="BH1378">
        <v>1550</v>
      </c>
      <c r="BI1378">
        <v>1</v>
      </c>
      <c r="BJ1378">
        <v>1</v>
      </c>
      <c r="BK1378">
        <v>0</v>
      </c>
      <c r="BL1378">
        <v>0</v>
      </c>
      <c r="BO1378">
        <v>0</v>
      </c>
      <c r="BP1378">
        <v>0</v>
      </c>
      <c r="BW1378" t="str">
        <f t="shared" si="654"/>
        <v>14:43:30.118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343</v>
      </c>
      <c r="CR1378">
        <v>2</v>
      </c>
      <c r="CW1378">
        <v>13047034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 t="shared" si="651"/>
        <v>05/12/2020 14:43:12.316</v>
      </c>
      <c r="C1379" t="str">
        <f t="shared" si="649"/>
        <v>FFDFD3C0</v>
      </c>
      <c r="D1379" t="s">
        <v>131</v>
      </c>
      <c r="E1379">
        <v>12</v>
      </c>
      <c r="F1379">
        <v>2012</v>
      </c>
      <c r="G1379" t="s">
        <v>137</v>
      </c>
      <c r="J1379" t="s">
        <v>133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652"/>
        <v>14:43:30.117</v>
      </c>
      <c r="T1379" t="str">
        <f t="shared" si="653"/>
        <v>14:43:30.017</v>
      </c>
      <c r="U1379" t="str">
        <f t="shared" si="640"/>
        <v>A9808D</v>
      </c>
      <c r="V1379">
        <v>0</v>
      </c>
      <c r="W1379">
        <v>0</v>
      </c>
      <c r="X1379">
        <v>1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384</v>
      </c>
      <c r="AJ1379">
        <v>28.286854999999999</v>
      </c>
      <c r="AK1379" t="s">
        <v>385</v>
      </c>
      <c r="AL1379">
        <v>-82.377977000000001</v>
      </c>
      <c r="AM1379">
        <v>100</v>
      </c>
      <c r="AN1379">
        <v>1500</v>
      </c>
      <c r="AO1379" t="s">
        <v>118</v>
      </c>
      <c r="AP1379">
        <v>92</v>
      </c>
      <c r="AQ1379">
        <v>-23</v>
      </c>
      <c r="AR1379">
        <v>-64</v>
      </c>
      <c r="AZ1379">
        <v>1200</v>
      </c>
      <c r="BA1379">
        <v>1</v>
      </c>
      <c r="BB1379" t="str">
        <f t="shared" si="650"/>
        <v xml:space="preserve">N711JA  </v>
      </c>
      <c r="BC1379">
        <v>1</v>
      </c>
      <c r="BE1379">
        <v>0</v>
      </c>
      <c r="BF1379">
        <v>0</v>
      </c>
      <c r="BG1379">
        <v>0</v>
      </c>
      <c r="BH1379">
        <v>1550</v>
      </c>
      <c r="BI1379">
        <v>1</v>
      </c>
      <c r="BJ1379">
        <v>1</v>
      </c>
      <c r="BK1379">
        <v>0</v>
      </c>
      <c r="BL1379">
        <v>0</v>
      </c>
      <c r="BO1379">
        <v>0</v>
      </c>
      <c r="BP1379">
        <v>0</v>
      </c>
      <c r="BW1379" t="str">
        <f t="shared" si="654"/>
        <v>14:43:30.118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343</v>
      </c>
      <c r="CR1379">
        <v>2</v>
      </c>
      <c r="CW1379">
        <v>13047034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 t="shared" si="651"/>
        <v>05/12/2020 14:43:12.316</v>
      </c>
      <c r="C1380" t="str">
        <f t="shared" si="649"/>
        <v>FFDFD3C0</v>
      </c>
      <c r="D1380" t="s">
        <v>126</v>
      </c>
      <c r="E1380">
        <v>7</v>
      </c>
      <c r="F1380">
        <v>1007</v>
      </c>
      <c r="G1380" t="s">
        <v>127</v>
      </c>
      <c r="J1380" t="s">
        <v>128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652"/>
        <v>14:43:30.117</v>
      </c>
      <c r="T1380" t="str">
        <f t="shared" si="653"/>
        <v>14:43:30.017</v>
      </c>
      <c r="U1380" t="str">
        <f t="shared" si="640"/>
        <v>A9808D</v>
      </c>
      <c r="V1380">
        <v>0</v>
      </c>
      <c r="W1380">
        <v>0</v>
      </c>
      <c r="X1380">
        <v>1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384</v>
      </c>
      <c r="AJ1380">
        <v>28.286854999999999</v>
      </c>
      <c r="AK1380" t="s">
        <v>385</v>
      </c>
      <c r="AL1380">
        <v>-82.377977000000001</v>
      </c>
      <c r="AM1380">
        <v>100</v>
      </c>
      <c r="AN1380">
        <v>1500</v>
      </c>
      <c r="AO1380" t="s">
        <v>118</v>
      </c>
      <c r="AP1380">
        <v>92</v>
      </c>
      <c r="AQ1380">
        <v>-23</v>
      </c>
      <c r="AR1380">
        <v>-64</v>
      </c>
      <c r="AZ1380">
        <v>1200</v>
      </c>
      <c r="BA1380">
        <v>1</v>
      </c>
      <c r="BB1380" t="str">
        <f t="shared" si="650"/>
        <v xml:space="preserve">N711JA  </v>
      </c>
      <c r="BC1380">
        <v>1</v>
      </c>
      <c r="BE1380">
        <v>0</v>
      </c>
      <c r="BF1380">
        <v>0</v>
      </c>
      <c r="BG1380">
        <v>0</v>
      </c>
      <c r="BH1380">
        <v>1550</v>
      </c>
      <c r="BI1380">
        <v>1</v>
      </c>
      <c r="BJ1380">
        <v>1</v>
      </c>
      <c r="BK1380">
        <v>0</v>
      </c>
      <c r="BL1380">
        <v>0</v>
      </c>
      <c r="BO1380">
        <v>0</v>
      </c>
      <c r="BP1380">
        <v>0</v>
      </c>
      <c r="BW1380" t="str">
        <f t="shared" si="654"/>
        <v>14:43:30.118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343</v>
      </c>
      <c r="CR1380">
        <v>2</v>
      </c>
      <c r="CW1380">
        <v>13047034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 t="shared" si="651"/>
        <v>05/12/2020 14:43:12.316</v>
      </c>
      <c r="C1381" t="str">
        <f t="shared" si="649"/>
        <v>FFDFD3C0</v>
      </c>
      <c r="D1381" t="s">
        <v>131</v>
      </c>
      <c r="E1381">
        <v>18</v>
      </c>
      <c r="F1381">
        <v>2018</v>
      </c>
      <c r="G1381" t="s">
        <v>161</v>
      </c>
      <c r="J1381" t="s">
        <v>133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652"/>
        <v>14:43:30.117</v>
      </c>
      <c r="T1381" t="str">
        <f t="shared" si="653"/>
        <v>14:43:30.017</v>
      </c>
      <c r="U1381" t="str">
        <f t="shared" si="640"/>
        <v>A9808D</v>
      </c>
      <c r="V1381">
        <v>0</v>
      </c>
      <c r="W1381">
        <v>0</v>
      </c>
      <c r="X1381">
        <v>1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384</v>
      </c>
      <c r="AJ1381">
        <v>28.286854999999999</v>
      </c>
      <c r="AK1381" t="s">
        <v>385</v>
      </c>
      <c r="AL1381">
        <v>-82.377977000000001</v>
      </c>
      <c r="AM1381">
        <v>100</v>
      </c>
      <c r="AN1381">
        <v>1500</v>
      </c>
      <c r="AO1381" t="s">
        <v>118</v>
      </c>
      <c r="AP1381">
        <v>92</v>
      </c>
      <c r="AQ1381">
        <v>-23</v>
      </c>
      <c r="AR1381">
        <v>-64</v>
      </c>
      <c r="AZ1381">
        <v>1200</v>
      </c>
      <c r="BA1381">
        <v>1</v>
      </c>
      <c r="BB1381" t="str">
        <f t="shared" si="650"/>
        <v xml:space="preserve">N711JA  </v>
      </c>
      <c r="BC1381">
        <v>1</v>
      </c>
      <c r="BE1381">
        <v>0</v>
      </c>
      <c r="BF1381">
        <v>0</v>
      </c>
      <c r="BG1381">
        <v>0</v>
      </c>
      <c r="BH1381">
        <v>1550</v>
      </c>
      <c r="BI1381">
        <v>1</v>
      </c>
      <c r="BJ1381">
        <v>1</v>
      </c>
      <c r="BK1381">
        <v>0</v>
      </c>
      <c r="BL1381">
        <v>0</v>
      </c>
      <c r="BO1381">
        <v>0</v>
      </c>
      <c r="BP1381">
        <v>0</v>
      </c>
      <c r="BW1381" t="str">
        <f t="shared" si="654"/>
        <v>14:43:30.118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343</v>
      </c>
      <c r="CR1381">
        <v>2</v>
      </c>
      <c r="CW1381">
        <v>13047034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 t="shared" ref="A1382:A1390" si="655">"05/12/2020 14:43:13.276"</f>
        <v>05/12/2020 14:43:13.276</v>
      </c>
      <c r="C1382" t="str">
        <f t="shared" si="649"/>
        <v>FFDFD3C0</v>
      </c>
      <c r="D1382" t="s">
        <v>138</v>
      </c>
      <c r="E1382">
        <v>2</v>
      </c>
      <c r="H1382">
        <v>8</v>
      </c>
      <c r="I1382" t="s">
        <v>139</v>
      </c>
      <c r="J1382" t="s">
        <v>136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ref="S1382:T1390" si="656">"14:43:31.109"</f>
        <v>14:43:31.109</v>
      </c>
      <c r="T1382" t="str">
        <f t="shared" si="656"/>
        <v>14:43:31.109</v>
      </c>
      <c r="U1382" t="str">
        <f t="shared" si="640"/>
        <v>A9808D</v>
      </c>
      <c r="V1382">
        <v>0</v>
      </c>
      <c r="W1382">
        <v>0</v>
      </c>
      <c r="X1382">
        <v>1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386</v>
      </c>
      <c r="AJ1382">
        <v>28.286726000000002</v>
      </c>
      <c r="AK1382" t="s">
        <v>387</v>
      </c>
      <c r="AL1382">
        <v>-82.377504999999999</v>
      </c>
      <c r="AM1382">
        <v>100</v>
      </c>
      <c r="AN1382">
        <v>1500</v>
      </c>
      <c r="AO1382" t="s">
        <v>118</v>
      </c>
      <c r="AP1382">
        <v>91</v>
      </c>
      <c r="AQ1382">
        <v>-32</v>
      </c>
      <c r="AR1382">
        <v>128</v>
      </c>
      <c r="AZ1382">
        <v>1200</v>
      </c>
      <c r="BA1382">
        <v>1</v>
      </c>
      <c r="BB1382" t="str">
        <f t="shared" si="650"/>
        <v xml:space="preserve">N711JA  </v>
      </c>
      <c r="BC1382">
        <v>1</v>
      </c>
      <c r="BE1382">
        <v>0</v>
      </c>
      <c r="BF1382">
        <v>0</v>
      </c>
      <c r="BG1382">
        <v>0</v>
      </c>
      <c r="BH1382">
        <v>1550</v>
      </c>
      <c r="BI1382">
        <v>1</v>
      </c>
      <c r="BJ1382">
        <v>1</v>
      </c>
      <c r="BK1382">
        <v>0</v>
      </c>
      <c r="BL1382">
        <v>0</v>
      </c>
      <c r="BO1382">
        <v>0</v>
      </c>
      <c r="BP1382">
        <v>0</v>
      </c>
      <c r="BW1382" t="str">
        <f t="shared" ref="BW1382:BW1390" si="657">"14:43:31.110"</f>
        <v>14:43:31.110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343</v>
      </c>
      <c r="CR1382">
        <v>2</v>
      </c>
      <c r="CW1382">
        <v>13047732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 t="shared" si="655"/>
        <v>05/12/2020 14:43:13.276</v>
      </c>
      <c r="C1383" t="str">
        <f t="shared" si="649"/>
        <v>FFDFD3C0</v>
      </c>
      <c r="D1383" t="s">
        <v>113</v>
      </c>
      <c r="E1383">
        <v>3</v>
      </c>
      <c r="H1383">
        <v>164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656"/>
        <v>14:43:31.109</v>
      </c>
      <c r="T1383" t="str">
        <f t="shared" si="656"/>
        <v>14:43:31.109</v>
      </c>
      <c r="U1383" t="str">
        <f t="shared" si="640"/>
        <v>A9808D</v>
      </c>
      <c r="V1383">
        <v>0</v>
      </c>
      <c r="W1383">
        <v>0</v>
      </c>
      <c r="X1383">
        <v>1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386</v>
      </c>
      <c r="AJ1383">
        <v>28.286726000000002</v>
      </c>
      <c r="AK1383" t="s">
        <v>387</v>
      </c>
      <c r="AL1383">
        <v>-82.377504999999999</v>
      </c>
      <c r="AM1383">
        <v>100</v>
      </c>
      <c r="AN1383">
        <v>1500</v>
      </c>
      <c r="AO1383" t="s">
        <v>118</v>
      </c>
      <c r="AP1383">
        <v>91</v>
      </c>
      <c r="AQ1383">
        <v>-32</v>
      </c>
      <c r="AR1383">
        <v>128</v>
      </c>
      <c r="AZ1383">
        <v>1200</v>
      </c>
      <c r="BA1383">
        <v>1</v>
      </c>
      <c r="BB1383" t="str">
        <f t="shared" si="650"/>
        <v xml:space="preserve">N711JA  </v>
      </c>
      <c r="BC1383">
        <v>1</v>
      </c>
      <c r="BE1383">
        <v>0</v>
      </c>
      <c r="BF1383">
        <v>0</v>
      </c>
      <c r="BG1383">
        <v>0</v>
      </c>
      <c r="BH1383">
        <v>1550</v>
      </c>
      <c r="BI1383">
        <v>1</v>
      </c>
      <c r="BJ1383">
        <v>1</v>
      </c>
      <c r="BK1383">
        <v>0</v>
      </c>
      <c r="BL1383">
        <v>0</v>
      </c>
      <c r="BO1383">
        <v>0</v>
      </c>
      <c r="BP1383">
        <v>0</v>
      </c>
      <c r="BW1383" t="str">
        <f t="shared" si="657"/>
        <v>14:43:31.110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343</v>
      </c>
      <c r="CR1383">
        <v>2</v>
      </c>
      <c r="CW1383">
        <v>13047732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 t="shared" si="655"/>
        <v>05/12/2020 14:43:13.276</v>
      </c>
      <c r="C1384" t="str">
        <f t="shared" si="649"/>
        <v>FFDFD3C0</v>
      </c>
      <c r="D1384" t="s">
        <v>138</v>
      </c>
      <c r="E1384">
        <v>3</v>
      </c>
      <c r="H1384">
        <v>9</v>
      </c>
      <c r="I1384" t="s">
        <v>140</v>
      </c>
      <c r="J1384" t="s">
        <v>136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656"/>
        <v>14:43:31.109</v>
      </c>
      <c r="T1384" t="str">
        <f t="shared" si="656"/>
        <v>14:43:31.109</v>
      </c>
      <c r="U1384" t="str">
        <f t="shared" si="640"/>
        <v>A9808D</v>
      </c>
      <c r="V1384">
        <v>0</v>
      </c>
      <c r="W1384">
        <v>0</v>
      </c>
      <c r="X1384">
        <v>1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386</v>
      </c>
      <c r="AJ1384">
        <v>28.286726000000002</v>
      </c>
      <c r="AK1384" t="s">
        <v>387</v>
      </c>
      <c r="AL1384">
        <v>-82.377504999999999</v>
      </c>
      <c r="AM1384">
        <v>100</v>
      </c>
      <c r="AN1384">
        <v>1500</v>
      </c>
      <c r="AO1384" t="s">
        <v>118</v>
      </c>
      <c r="AP1384">
        <v>91</v>
      </c>
      <c r="AQ1384">
        <v>-32</v>
      </c>
      <c r="AR1384">
        <v>128</v>
      </c>
      <c r="AZ1384">
        <v>1200</v>
      </c>
      <c r="BA1384">
        <v>1</v>
      </c>
      <c r="BB1384" t="str">
        <f t="shared" si="650"/>
        <v xml:space="preserve">N711JA  </v>
      </c>
      <c r="BC1384">
        <v>1</v>
      </c>
      <c r="BE1384">
        <v>0</v>
      </c>
      <c r="BF1384">
        <v>0</v>
      </c>
      <c r="BG1384">
        <v>0</v>
      </c>
      <c r="BH1384">
        <v>1550</v>
      </c>
      <c r="BI1384">
        <v>1</v>
      </c>
      <c r="BJ1384">
        <v>1</v>
      </c>
      <c r="BK1384">
        <v>0</v>
      </c>
      <c r="BL1384">
        <v>0</v>
      </c>
      <c r="BO1384">
        <v>0</v>
      </c>
      <c r="BP1384">
        <v>0</v>
      </c>
      <c r="BW1384" t="str">
        <f t="shared" si="657"/>
        <v>14:43:31.110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343</v>
      </c>
      <c r="CR1384">
        <v>2</v>
      </c>
      <c r="CW1384">
        <v>13047732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 t="shared" si="655"/>
        <v>05/12/2020 14:43:13.276</v>
      </c>
      <c r="C1385" t="str">
        <f t="shared" si="649"/>
        <v>FFDFD3C0</v>
      </c>
      <c r="D1385" t="s">
        <v>126</v>
      </c>
      <c r="E1385">
        <v>6</v>
      </c>
      <c r="F1385">
        <v>1006</v>
      </c>
      <c r="G1385" t="s">
        <v>114</v>
      </c>
      <c r="J1385" t="s">
        <v>128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656"/>
        <v>14:43:31.109</v>
      </c>
      <c r="T1385" t="str">
        <f t="shared" si="656"/>
        <v>14:43:31.109</v>
      </c>
      <c r="U1385" t="str">
        <f t="shared" si="640"/>
        <v>A9808D</v>
      </c>
      <c r="V1385">
        <v>0</v>
      </c>
      <c r="W1385">
        <v>0</v>
      </c>
      <c r="X1385">
        <v>1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386</v>
      </c>
      <c r="AJ1385">
        <v>28.286726000000002</v>
      </c>
      <c r="AK1385" t="s">
        <v>387</v>
      </c>
      <c r="AL1385">
        <v>-82.377504999999999</v>
      </c>
      <c r="AM1385">
        <v>100</v>
      </c>
      <c r="AN1385">
        <v>1500</v>
      </c>
      <c r="AO1385" t="s">
        <v>118</v>
      </c>
      <c r="AP1385">
        <v>91</v>
      </c>
      <c r="AQ1385">
        <v>-32</v>
      </c>
      <c r="AR1385">
        <v>128</v>
      </c>
      <c r="AZ1385">
        <v>1200</v>
      </c>
      <c r="BA1385">
        <v>1</v>
      </c>
      <c r="BB1385" t="str">
        <f t="shared" si="650"/>
        <v xml:space="preserve">N711JA  </v>
      </c>
      <c r="BC1385">
        <v>1</v>
      </c>
      <c r="BE1385">
        <v>0</v>
      </c>
      <c r="BF1385">
        <v>0</v>
      </c>
      <c r="BG1385">
        <v>0</v>
      </c>
      <c r="BH1385">
        <v>1550</v>
      </c>
      <c r="BI1385">
        <v>1</v>
      </c>
      <c r="BJ1385">
        <v>1</v>
      </c>
      <c r="BK1385">
        <v>0</v>
      </c>
      <c r="BL1385">
        <v>0</v>
      </c>
      <c r="BO1385">
        <v>0</v>
      </c>
      <c r="BP1385">
        <v>0</v>
      </c>
      <c r="BW1385" t="str">
        <f t="shared" si="657"/>
        <v>14:43:31.110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343</v>
      </c>
      <c r="CR1385">
        <v>2</v>
      </c>
      <c r="CW1385">
        <v>13047732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 t="shared" si="655"/>
        <v>05/12/2020 14:43:13.276</v>
      </c>
      <c r="C1386" t="str">
        <f t="shared" si="649"/>
        <v>FFDFD3C0</v>
      </c>
      <c r="D1386" t="s">
        <v>131</v>
      </c>
      <c r="E1386">
        <v>10</v>
      </c>
      <c r="F1386">
        <v>2010</v>
      </c>
      <c r="G1386" t="s">
        <v>132</v>
      </c>
      <c r="J1386" t="s">
        <v>133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656"/>
        <v>14:43:31.109</v>
      </c>
      <c r="T1386" t="str">
        <f t="shared" si="656"/>
        <v>14:43:31.109</v>
      </c>
      <c r="U1386" t="str">
        <f t="shared" si="640"/>
        <v>A9808D</v>
      </c>
      <c r="V1386">
        <v>0</v>
      </c>
      <c r="W1386">
        <v>0</v>
      </c>
      <c r="X1386">
        <v>1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386</v>
      </c>
      <c r="AJ1386">
        <v>28.286726000000002</v>
      </c>
      <c r="AK1386" t="s">
        <v>387</v>
      </c>
      <c r="AL1386">
        <v>-82.377504999999999</v>
      </c>
      <c r="AM1386">
        <v>100</v>
      </c>
      <c r="AN1386">
        <v>1500</v>
      </c>
      <c r="AO1386" t="s">
        <v>118</v>
      </c>
      <c r="AP1386">
        <v>91</v>
      </c>
      <c r="AQ1386">
        <v>-32</v>
      </c>
      <c r="AR1386">
        <v>128</v>
      </c>
      <c r="AZ1386">
        <v>1200</v>
      </c>
      <c r="BA1386">
        <v>1</v>
      </c>
      <c r="BB1386" t="str">
        <f t="shared" si="650"/>
        <v xml:space="preserve">N711JA  </v>
      </c>
      <c r="BC1386">
        <v>1</v>
      </c>
      <c r="BE1386">
        <v>0</v>
      </c>
      <c r="BF1386">
        <v>0</v>
      </c>
      <c r="BG1386">
        <v>0</v>
      </c>
      <c r="BH1386">
        <v>1550</v>
      </c>
      <c r="BI1386">
        <v>1</v>
      </c>
      <c r="BJ1386">
        <v>1</v>
      </c>
      <c r="BK1386">
        <v>0</v>
      </c>
      <c r="BL1386">
        <v>0</v>
      </c>
      <c r="BO1386">
        <v>0</v>
      </c>
      <c r="BP1386">
        <v>0</v>
      </c>
      <c r="BW1386" t="str">
        <f t="shared" si="657"/>
        <v>14:43:31.110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343</v>
      </c>
      <c r="CR1386">
        <v>2</v>
      </c>
      <c r="CW1386">
        <v>13047732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 t="shared" si="655"/>
        <v>05/12/2020 14:43:13.276</v>
      </c>
      <c r="C1387" t="str">
        <f t="shared" si="649"/>
        <v>FFDFD3C0</v>
      </c>
      <c r="D1387" t="s">
        <v>131</v>
      </c>
      <c r="E1387">
        <v>12</v>
      </c>
      <c r="F1387">
        <v>2012</v>
      </c>
      <c r="G1387" t="s">
        <v>137</v>
      </c>
      <c r="J1387" t="s">
        <v>133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656"/>
        <v>14:43:31.109</v>
      </c>
      <c r="T1387" t="str">
        <f t="shared" si="656"/>
        <v>14:43:31.109</v>
      </c>
      <c r="U1387" t="str">
        <f t="shared" si="640"/>
        <v>A9808D</v>
      </c>
      <c r="V1387">
        <v>0</v>
      </c>
      <c r="W1387">
        <v>0</v>
      </c>
      <c r="X1387">
        <v>1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386</v>
      </c>
      <c r="AJ1387">
        <v>28.286726000000002</v>
      </c>
      <c r="AK1387" t="s">
        <v>387</v>
      </c>
      <c r="AL1387">
        <v>-82.377504999999999</v>
      </c>
      <c r="AM1387">
        <v>100</v>
      </c>
      <c r="AN1387">
        <v>1500</v>
      </c>
      <c r="AO1387" t="s">
        <v>118</v>
      </c>
      <c r="AP1387">
        <v>91</v>
      </c>
      <c r="AQ1387">
        <v>-32</v>
      </c>
      <c r="AR1387">
        <v>128</v>
      </c>
      <c r="AZ1387">
        <v>1200</v>
      </c>
      <c r="BA1387">
        <v>1</v>
      </c>
      <c r="BB1387" t="str">
        <f t="shared" si="650"/>
        <v xml:space="preserve">N711JA  </v>
      </c>
      <c r="BC1387">
        <v>1</v>
      </c>
      <c r="BE1387">
        <v>0</v>
      </c>
      <c r="BF1387">
        <v>0</v>
      </c>
      <c r="BG1387">
        <v>0</v>
      </c>
      <c r="BH1387">
        <v>1550</v>
      </c>
      <c r="BI1387">
        <v>1</v>
      </c>
      <c r="BJ1387">
        <v>1</v>
      </c>
      <c r="BK1387">
        <v>0</v>
      </c>
      <c r="BL1387">
        <v>0</v>
      </c>
      <c r="BO1387">
        <v>0</v>
      </c>
      <c r="BP1387">
        <v>0</v>
      </c>
      <c r="BW1387" t="str">
        <f t="shared" si="657"/>
        <v>14:43:31.110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343</v>
      </c>
      <c r="CR1387">
        <v>2</v>
      </c>
      <c r="CW1387">
        <v>13047732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 t="shared" si="655"/>
        <v>05/12/2020 14:43:13.276</v>
      </c>
      <c r="C1388" t="str">
        <f t="shared" si="649"/>
        <v>FFDFD3C0</v>
      </c>
      <c r="D1388" t="s">
        <v>126</v>
      </c>
      <c r="E1388">
        <v>7</v>
      </c>
      <c r="F1388">
        <v>1007</v>
      </c>
      <c r="G1388" t="s">
        <v>127</v>
      </c>
      <c r="J1388" t="s">
        <v>128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656"/>
        <v>14:43:31.109</v>
      </c>
      <c r="T1388" t="str">
        <f t="shared" si="656"/>
        <v>14:43:31.109</v>
      </c>
      <c r="U1388" t="str">
        <f t="shared" si="640"/>
        <v>A9808D</v>
      </c>
      <c r="V1388">
        <v>0</v>
      </c>
      <c r="W1388">
        <v>0</v>
      </c>
      <c r="X1388">
        <v>1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386</v>
      </c>
      <c r="AJ1388">
        <v>28.286726000000002</v>
      </c>
      <c r="AK1388" t="s">
        <v>387</v>
      </c>
      <c r="AL1388">
        <v>-82.377504999999999</v>
      </c>
      <c r="AM1388">
        <v>100</v>
      </c>
      <c r="AN1388">
        <v>1500</v>
      </c>
      <c r="AO1388" t="s">
        <v>118</v>
      </c>
      <c r="AP1388">
        <v>91</v>
      </c>
      <c r="AQ1388">
        <v>-32</v>
      </c>
      <c r="AR1388">
        <v>128</v>
      </c>
      <c r="AZ1388">
        <v>1200</v>
      </c>
      <c r="BA1388">
        <v>1</v>
      </c>
      <c r="BB1388" t="str">
        <f t="shared" si="650"/>
        <v xml:space="preserve">N711JA  </v>
      </c>
      <c r="BC1388">
        <v>1</v>
      </c>
      <c r="BE1388">
        <v>0</v>
      </c>
      <c r="BF1388">
        <v>0</v>
      </c>
      <c r="BG1388">
        <v>0</v>
      </c>
      <c r="BH1388">
        <v>1550</v>
      </c>
      <c r="BI1388">
        <v>1</v>
      </c>
      <c r="BJ1388">
        <v>1</v>
      </c>
      <c r="BK1388">
        <v>0</v>
      </c>
      <c r="BL1388">
        <v>0</v>
      </c>
      <c r="BO1388">
        <v>0</v>
      </c>
      <c r="BP1388">
        <v>0</v>
      </c>
      <c r="BW1388" t="str">
        <f t="shared" si="657"/>
        <v>14:43:31.110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343</v>
      </c>
      <c r="CR1388">
        <v>2</v>
      </c>
      <c r="CW1388">
        <v>13047732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 t="shared" si="655"/>
        <v>05/12/2020 14:43:13.276</v>
      </c>
      <c r="C1389" t="str">
        <f t="shared" si="649"/>
        <v>FFDFD3C0</v>
      </c>
      <c r="D1389" t="s">
        <v>131</v>
      </c>
      <c r="E1389">
        <v>18</v>
      </c>
      <c r="F1389">
        <v>2018</v>
      </c>
      <c r="G1389" t="s">
        <v>161</v>
      </c>
      <c r="J1389" t="s">
        <v>133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656"/>
        <v>14:43:31.109</v>
      </c>
      <c r="T1389" t="str">
        <f t="shared" si="656"/>
        <v>14:43:31.109</v>
      </c>
      <c r="U1389" t="str">
        <f t="shared" si="640"/>
        <v>A9808D</v>
      </c>
      <c r="V1389">
        <v>0</v>
      </c>
      <c r="W1389">
        <v>0</v>
      </c>
      <c r="X1389">
        <v>1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386</v>
      </c>
      <c r="AJ1389">
        <v>28.286726000000002</v>
      </c>
      <c r="AK1389" t="s">
        <v>387</v>
      </c>
      <c r="AL1389">
        <v>-82.377504999999999</v>
      </c>
      <c r="AM1389">
        <v>100</v>
      </c>
      <c r="AN1389">
        <v>1500</v>
      </c>
      <c r="AO1389" t="s">
        <v>118</v>
      </c>
      <c r="AP1389">
        <v>91</v>
      </c>
      <c r="AQ1389">
        <v>-32</v>
      </c>
      <c r="AR1389">
        <v>128</v>
      </c>
      <c r="AZ1389">
        <v>1200</v>
      </c>
      <c r="BA1389">
        <v>1</v>
      </c>
      <c r="BB1389" t="str">
        <f t="shared" si="650"/>
        <v xml:space="preserve">N711JA  </v>
      </c>
      <c r="BC1389">
        <v>1</v>
      </c>
      <c r="BE1389">
        <v>0</v>
      </c>
      <c r="BF1389">
        <v>0</v>
      </c>
      <c r="BG1389">
        <v>0</v>
      </c>
      <c r="BH1389">
        <v>1550</v>
      </c>
      <c r="BI1389">
        <v>1</v>
      </c>
      <c r="BJ1389">
        <v>1</v>
      </c>
      <c r="BK1389">
        <v>0</v>
      </c>
      <c r="BL1389">
        <v>0</v>
      </c>
      <c r="BO1389">
        <v>0</v>
      </c>
      <c r="BP1389">
        <v>0</v>
      </c>
      <c r="BW1389" t="str">
        <f t="shared" si="657"/>
        <v>14:43:31.110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343</v>
      </c>
      <c r="CR1389">
        <v>2</v>
      </c>
      <c r="CW1389">
        <v>13047732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 t="shared" si="655"/>
        <v>05/12/2020 14:43:13.276</v>
      </c>
      <c r="C1390" t="str">
        <f t="shared" si="649"/>
        <v>FFDFD3C0</v>
      </c>
      <c r="D1390" t="s">
        <v>134</v>
      </c>
      <c r="E1390">
        <v>12</v>
      </c>
      <c r="H1390">
        <v>64</v>
      </c>
      <c r="I1390" t="s">
        <v>135</v>
      </c>
      <c r="J1390" t="s">
        <v>136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656"/>
        <v>14:43:31.109</v>
      </c>
      <c r="T1390" t="str">
        <f t="shared" si="656"/>
        <v>14:43:31.109</v>
      </c>
      <c r="U1390" t="str">
        <f t="shared" si="640"/>
        <v>A9808D</v>
      </c>
      <c r="V1390">
        <v>0</v>
      </c>
      <c r="W1390">
        <v>0</v>
      </c>
      <c r="X1390">
        <v>1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386</v>
      </c>
      <c r="AJ1390">
        <v>28.286726000000002</v>
      </c>
      <c r="AK1390" t="s">
        <v>387</v>
      </c>
      <c r="AL1390">
        <v>-82.377504999999999</v>
      </c>
      <c r="AM1390">
        <v>100</v>
      </c>
      <c r="AN1390">
        <v>1500</v>
      </c>
      <c r="AO1390" t="s">
        <v>118</v>
      </c>
      <c r="AP1390">
        <v>91</v>
      </c>
      <c r="AQ1390">
        <v>-32</v>
      </c>
      <c r="AR1390">
        <v>128</v>
      </c>
      <c r="AZ1390">
        <v>1200</v>
      </c>
      <c r="BA1390">
        <v>1</v>
      </c>
      <c r="BB1390" t="str">
        <f t="shared" si="650"/>
        <v xml:space="preserve">N711JA  </v>
      </c>
      <c r="BC1390">
        <v>1</v>
      </c>
      <c r="BE1390">
        <v>0</v>
      </c>
      <c r="BF1390">
        <v>0</v>
      </c>
      <c r="BG1390">
        <v>0</v>
      </c>
      <c r="BH1390">
        <v>1550</v>
      </c>
      <c r="BI1390">
        <v>1</v>
      </c>
      <c r="BJ1390">
        <v>1</v>
      </c>
      <c r="BK1390">
        <v>0</v>
      </c>
      <c r="BL1390">
        <v>0</v>
      </c>
      <c r="BO1390">
        <v>0</v>
      </c>
      <c r="BP1390">
        <v>0</v>
      </c>
      <c r="BW1390" t="str">
        <f t="shared" si="657"/>
        <v>14:43:31.110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343</v>
      </c>
      <c r="CR1390">
        <v>2</v>
      </c>
      <c r="CW1390">
        <v>13047732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 t="shared" ref="A1391:A1399" si="658">"05/12/2020 14:43:14.289"</f>
        <v>05/12/2020 14:43:14.289</v>
      </c>
      <c r="C1391" t="str">
        <f t="shared" si="649"/>
        <v>FFDFD3C0</v>
      </c>
      <c r="D1391" t="s">
        <v>138</v>
      </c>
      <c r="E1391">
        <v>2</v>
      </c>
      <c r="H1391">
        <v>8</v>
      </c>
      <c r="I1391" t="s">
        <v>139</v>
      </c>
      <c r="J1391" t="s">
        <v>136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ref="S1391:S1399" si="659">"14:43:32.117"</f>
        <v>14:43:32.117</v>
      </c>
      <c r="T1391" t="str">
        <f t="shared" ref="T1391:T1399" si="660">"14:43:31.717"</f>
        <v>14:43:31.717</v>
      </c>
      <c r="U1391" t="str">
        <f t="shared" si="640"/>
        <v>A9808D</v>
      </c>
      <c r="V1391">
        <v>0</v>
      </c>
      <c r="W1391">
        <v>0</v>
      </c>
      <c r="X1391">
        <v>1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388</v>
      </c>
      <c r="AJ1391">
        <v>28.286555</v>
      </c>
      <c r="AK1391" t="s">
        <v>389</v>
      </c>
      <c r="AL1391">
        <v>-82.377011999999993</v>
      </c>
      <c r="AM1391">
        <v>100</v>
      </c>
      <c r="AN1391">
        <v>1500</v>
      </c>
      <c r="AO1391" t="s">
        <v>118</v>
      </c>
      <c r="AP1391">
        <v>90</v>
      </c>
      <c r="AQ1391">
        <v>-35</v>
      </c>
      <c r="AR1391">
        <v>192</v>
      </c>
      <c r="AZ1391">
        <v>1200</v>
      </c>
      <c r="BA1391">
        <v>1</v>
      </c>
      <c r="BB1391" t="str">
        <f t="shared" si="650"/>
        <v xml:space="preserve">N711JA  </v>
      </c>
      <c r="BC1391">
        <v>1</v>
      </c>
      <c r="BE1391">
        <v>0</v>
      </c>
      <c r="BF1391">
        <v>0</v>
      </c>
      <c r="BG1391">
        <v>0</v>
      </c>
      <c r="BH1391">
        <v>1550</v>
      </c>
      <c r="BI1391">
        <v>1</v>
      </c>
      <c r="BJ1391">
        <v>1</v>
      </c>
      <c r="BK1391">
        <v>0</v>
      </c>
      <c r="BL1391">
        <v>0</v>
      </c>
      <c r="BO1391">
        <v>0</v>
      </c>
      <c r="BP1391">
        <v>0</v>
      </c>
      <c r="BW1391" t="str">
        <f t="shared" ref="BW1391:BW1399" si="661">"14:43:32.122"</f>
        <v>14:43:32.122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343</v>
      </c>
      <c r="CR1391">
        <v>1</v>
      </c>
      <c r="CW1391">
        <v>10664664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 t="shared" si="658"/>
        <v>05/12/2020 14:43:14.289</v>
      </c>
      <c r="C1392" t="str">
        <f t="shared" si="649"/>
        <v>FFDFD3C0</v>
      </c>
      <c r="D1392" t="s">
        <v>113</v>
      </c>
      <c r="E1392">
        <v>3</v>
      </c>
      <c r="H1392">
        <v>164</v>
      </c>
      <c r="I1392" t="s">
        <v>114</v>
      </c>
      <c r="J1392" t="s">
        <v>115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659"/>
        <v>14:43:32.117</v>
      </c>
      <c r="T1392" t="str">
        <f t="shared" si="660"/>
        <v>14:43:31.717</v>
      </c>
      <c r="U1392" t="str">
        <f t="shared" si="640"/>
        <v>A9808D</v>
      </c>
      <c r="V1392">
        <v>0</v>
      </c>
      <c r="W1392">
        <v>0</v>
      </c>
      <c r="X1392">
        <v>1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388</v>
      </c>
      <c r="AJ1392">
        <v>28.286555</v>
      </c>
      <c r="AK1392" t="s">
        <v>389</v>
      </c>
      <c r="AL1392">
        <v>-82.377011999999993</v>
      </c>
      <c r="AM1392">
        <v>100</v>
      </c>
      <c r="AN1392">
        <v>1500</v>
      </c>
      <c r="AO1392" t="s">
        <v>118</v>
      </c>
      <c r="AP1392">
        <v>90</v>
      </c>
      <c r="AQ1392">
        <v>-35</v>
      </c>
      <c r="AR1392">
        <v>192</v>
      </c>
      <c r="AZ1392">
        <v>1200</v>
      </c>
      <c r="BA1392">
        <v>1</v>
      </c>
      <c r="BB1392" t="str">
        <f t="shared" si="650"/>
        <v xml:space="preserve">N711JA  </v>
      </c>
      <c r="BC1392">
        <v>1</v>
      </c>
      <c r="BE1392">
        <v>0</v>
      </c>
      <c r="BF1392">
        <v>0</v>
      </c>
      <c r="BG1392">
        <v>0</v>
      </c>
      <c r="BH1392">
        <v>1550</v>
      </c>
      <c r="BI1392">
        <v>1</v>
      </c>
      <c r="BJ1392">
        <v>1</v>
      </c>
      <c r="BK1392">
        <v>0</v>
      </c>
      <c r="BL1392">
        <v>0</v>
      </c>
      <c r="BO1392">
        <v>0</v>
      </c>
      <c r="BP1392">
        <v>0</v>
      </c>
      <c r="BW1392" t="str">
        <f t="shared" si="661"/>
        <v>14:43:32.122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343</v>
      </c>
      <c r="CR1392">
        <v>1</v>
      </c>
      <c r="CW1392">
        <v>10664664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 t="shared" si="658"/>
        <v>05/12/2020 14:43:14.289</v>
      </c>
      <c r="C1393" t="str">
        <f t="shared" si="649"/>
        <v>FFDFD3C0</v>
      </c>
      <c r="D1393" t="s">
        <v>138</v>
      </c>
      <c r="E1393">
        <v>3</v>
      </c>
      <c r="H1393">
        <v>9</v>
      </c>
      <c r="I1393" t="s">
        <v>140</v>
      </c>
      <c r="J1393" t="s">
        <v>136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659"/>
        <v>14:43:32.117</v>
      </c>
      <c r="T1393" t="str">
        <f t="shared" si="660"/>
        <v>14:43:31.717</v>
      </c>
      <c r="U1393" t="str">
        <f t="shared" si="640"/>
        <v>A9808D</v>
      </c>
      <c r="V1393">
        <v>0</v>
      </c>
      <c r="W1393">
        <v>0</v>
      </c>
      <c r="X1393">
        <v>1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388</v>
      </c>
      <c r="AJ1393">
        <v>28.286555</v>
      </c>
      <c r="AK1393" t="s">
        <v>389</v>
      </c>
      <c r="AL1393">
        <v>-82.377011999999993</v>
      </c>
      <c r="AM1393">
        <v>100</v>
      </c>
      <c r="AN1393">
        <v>1500</v>
      </c>
      <c r="AO1393" t="s">
        <v>118</v>
      </c>
      <c r="AP1393">
        <v>90</v>
      </c>
      <c r="AQ1393">
        <v>-35</v>
      </c>
      <c r="AR1393">
        <v>192</v>
      </c>
      <c r="AZ1393">
        <v>1200</v>
      </c>
      <c r="BA1393">
        <v>1</v>
      </c>
      <c r="BB1393" t="str">
        <f t="shared" si="650"/>
        <v xml:space="preserve">N711JA  </v>
      </c>
      <c r="BC1393">
        <v>1</v>
      </c>
      <c r="BE1393">
        <v>0</v>
      </c>
      <c r="BF1393">
        <v>0</v>
      </c>
      <c r="BG1393">
        <v>0</v>
      </c>
      <c r="BH1393">
        <v>1550</v>
      </c>
      <c r="BI1393">
        <v>1</v>
      </c>
      <c r="BJ1393">
        <v>1</v>
      </c>
      <c r="BK1393">
        <v>0</v>
      </c>
      <c r="BL1393">
        <v>0</v>
      </c>
      <c r="BO1393">
        <v>0</v>
      </c>
      <c r="BP1393">
        <v>0</v>
      </c>
      <c r="BW1393" t="str">
        <f t="shared" si="661"/>
        <v>14:43:32.122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343</v>
      </c>
      <c r="CR1393">
        <v>1</v>
      </c>
      <c r="CW1393">
        <v>10664664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 t="shared" si="658"/>
        <v>05/12/2020 14:43:14.289</v>
      </c>
      <c r="C1394" t="str">
        <f t="shared" si="649"/>
        <v>FFDFD3C0</v>
      </c>
      <c r="D1394" t="s">
        <v>126</v>
      </c>
      <c r="E1394">
        <v>6</v>
      </c>
      <c r="F1394">
        <v>1006</v>
      </c>
      <c r="G1394" t="s">
        <v>114</v>
      </c>
      <c r="J1394" t="s">
        <v>128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659"/>
        <v>14:43:32.117</v>
      </c>
      <c r="T1394" t="str">
        <f t="shared" si="660"/>
        <v>14:43:31.717</v>
      </c>
      <c r="U1394" t="str">
        <f t="shared" si="640"/>
        <v>A9808D</v>
      </c>
      <c r="V1394">
        <v>0</v>
      </c>
      <c r="W1394">
        <v>0</v>
      </c>
      <c r="X1394">
        <v>1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388</v>
      </c>
      <c r="AJ1394">
        <v>28.286555</v>
      </c>
      <c r="AK1394" t="s">
        <v>389</v>
      </c>
      <c r="AL1394">
        <v>-82.377011999999993</v>
      </c>
      <c r="AM1394">
        <v>100</v>
      </c>
      <c r="AN1394">
        <v>1500</v>
      </c>
      <c r="AO1394" t="s">
        <v>118</v>
      </c>
      <c r="AP1394">
        <v>90</v>
      </c>
      <c r="AQ1394">
        <v>-35</v>
      </c>
      <c r="AR1394">
        <v>192</v>
      </c>
      <c r="AZ1394">
        <v>1200</v>
      </c>
      <c r="BA1394">
        <v>1</v>
      </c>
      <c r="BB1394" t="str">
        <f t="shared" si="650"/>
        <v xml:space="preserve">N711JA  </v>
      </c>
      <c r="BC1394">
        <v>1</v>
      </c>
      <c r="BE1394">
        <v>0</v>
      </c>
      <c r="BF1394">
        <v>0</v>
      </c>
      <c r="BG1394">
        <v>0</v>
      </c>
      <c r="BH1394">
        <v>1550</v>
      </c>
      <c r="BI1394">
        <v>1</v>
      </c>
      <c r="BJ1394">
        <v>1</v>
      </c>
      <c r="BK1394">
        <v>0</v>
      </c>
      <c r="BL1394">
        <v>0</v>
      </c>
      <c r="BO1394">
        <v>0</v>
      </c>
      <c r="BP1394">
        <v>0</v>
      </c>
      <c r="BW1394" t="str">
        <f t="shared" si="661"/>
        <v>14:43:32.122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343</v>
      </c>
      <c r="CR1394">
        <v>1</v>
      </c>
      <c r="CW1394">
        <v>10664664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 t="shared" si="658"/>
        <v>05/12/2020 14:43:14.289</v>
      </c>
      <c r="C1395" t="str">
        <f t="shared" si="649"/>
        <v>FFDFD3C0</v>
      </c>
      <c r="D1395" t="s">
        <v>126</v>
      </c>
      <c r="E1395">
        <v>7</v>
      </c>
      <c r="F1395">
        <v>1007</v>
      </c>
      <c r="G1395" t="s">
        <v>127</v>
      </c>
      <c r="J1395" t="s">
        <v>128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659"/>
        <v>14:43:32.117</v>
      </c>
      <c r="T1395" t="str">
        <f t="shared" si="660"/>
        <v>14:43:31.717</v>
      </c>
      <c r="U1395" t="str">
        <f t="shared" si="640"/>
        <v>A9808D</v>
      </c>
      <c r="V1395">
        <v>0</v>
      </c>
      <c r="W1395">
        <v>0</v>
      </c>
      <c r="X1395">
        <v>1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388</v>
      </c>
      <c r="AJ1395">
        <v>28.286555</v>
      </c>
      <c r="AK1395" t="s">
        <v>389</v>
      </c>
      <c r="AL1395">
        <v>-82.377011999999993</v>
      </c>
      <c r="AM1395">
        <v>100</v>
      </c>
      <c r="AN1395">
        <v>1500</v>
      </c>
      <c r="AO1395" t="s">
        <v>118</v>
      </c>
      <c r="AP1395">
        <v>90</v>
      </c>
      <c r="AQ1395">
        <v>-35</v>
      </c>
      <c r="AR1395">
        <v>192</v>
      </c>
      <c r="AZ1395">
        <v>1200</v>
      </c>
      <c r="BA1395">
        <v>1</v>
      </c>
      <c r="BB1395" t="str">
        <f t="shared" si="650"/>
        <v xml:space="preserve">N711JA  </v>
      </c>
      <c r="BC1395">
        <v>1</v>
      </c>
      <c r="BE1395">
        <v>0</v>
      </c>
      <c r="BF1395">
        <v>0</v>
      </c>
      <c r="BG1395">
        <v>0</v>
      </c>
      <c r="BH1395">
        <v>1550</v>
      </c>
      <c r="BI1395">
        <v>1</v>
      </c>
      <c r="BJ1395">
        <v>1</v>
      </c>
      <c r="BK1395">
        <v>0</v>
      </c>
      <c r="BL1395">
        <v>0</v>
      </c>
      <c r="BO1395">
        <v>0</v>
      </c>
      <c r="BP1395">
        <v>0</v>
      </c>
      <c r="BW1395" t="str">
        <f t="shared" si="661"/>
        <v>14:43:32.122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343</v>
      </c>
      <c r="CR1395">
        <v>1</v>
      </c>
      <c r="CW1395">
        <v>10664664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 t="shared" si="658"/>
        <v>05/12/2020 14:43:14.289</v>
      </c>
      <c r="C1396" t="str">
        <f t="shared" si="649"/>
        <v>FFDFD3C0</v>
      </c>
      <c r="D1396" t="s">
        <v>131</v>
      </c>
      <c r="E1396">
        <v>10</v>
      </c>
      <c r="F1396">
        <v>2010</v>
      </c>
      <c r="G1396" t="s">
        <v>132</v>
      </c>
      <c r="J1396" t="s">
        <v>133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659"/>
        <v>14:43:32.117</v>
      </c>
      <c r="T1396" t="str">
        <f t="shared" si="660"/>
        <v>14:43:31.717</v>
      </c>
      <c r="U1396" t="str">
        <f t="shared" si="640"/>
        <v>A9808D</v>
      </c>
      <c r="V1396">
        <v>0</v>
      </c>
      <c r="W1396">
        <v>0</v>
      </c>
      <c r="X1396">
        <v>1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388</v>
      </c>
      <c r="AJ1396">
        <v>28.286555</v>
      </c>
      <c r="AK1396" t="s">
        <v>389</v>
      </c>
      <c r="AL1396">
        <v>-82.377011999999993</v>
      </c>
      <c r="AM1396">
        <v>100</v>
      </c>
      <c r="AN1396">
        <v>1500</v>
      </c>
      <c r="AO1396" t="s">
        <v>118</v>
      </c>
      <c r="AP1396">
        <v>90</v>
      </c>
      <c r="AQ1396">
        <v>-35</v>
      </c>
      <c r="AR1396">
        <v>192</v>
      </c>
      <c r="AZ1396">
        <v>1200</v>
      </c>
      <c r="BA1396">
        <v>1</v>
      </c>
      <c r="BB1396" t="str">
        <f t="shared" si="650"/>
        <v xml:space="preserve">N711JA  </v>
      </c>
      <c r="BC1396">
        <v>1</v>
      </c>
      <c r="BE1396">
        <v>0</v>
      </c>
      <c r="BF1396">
        <v>0</v>
      </c>
      <c r="BG1396">
        <v>0</v>
      </c>
      <c r="BH1396">
        <v>1550</v>
      </c>
      <c r="BI1396">
        <v>1</v>
      </c>
      <c r="BJ1396">
        <v>1</v>
      </c>
      <c r="BK1396">
        <v>0</v>
      </c>
      <c r="BL1396">
        <v>0</v>
      </c>
      <c r="BO1396">
        <v>0</v>
      </c>
      <c r="BP1396">
        <v>0</v>
      </c>
      <c r="BW1396" t="str">
        <f t="shared" si="661"/>
        <v>14:43:32.122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343</v>
      </c>
      <c r="CR1396">
        <v>1</v>
      </c>
      <c r="CW1396">
        <v>10664664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 t="shared" si="658"/>
        <v>05/12/2020 14:43:14.289</v>
      </c>
      <c r="C1397" t="str">
        <f t="shared" si="649"/>
        <v>FFDFD3C0</v>
      </c>
      <c r="D1397" t="s">
        <v>131</v>
      </c>
      <c r="E1397">
        <v>12</v>
      </c>
      <c r="F1397">
        <v>2012</v>
      </c>
      <c r="G1397" t="s">
        <v>137</v>
      </c>
      <c r="J1397" t="s">
        <v>133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659"/>
        <v>14:43:32.117</v>
      </c>
      <c r="T1397" t="str">
        <f t="shared" si="660"/>
        <v>14:43:31.717</v>
      </c>
      <c r="U1397" t="str">
        <f t="shared" si="640"/>
        <v>A9808D</v>
      </c>
      <c r="V1397">
        <v>0</v>
      </c>
      <c r="W1397">
        <v>0</v>
      </c>
      <c r="X1397">
        <v>1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388</v>
      </c>
      <c r="AJ1397">
        <v>28.286555</v>
      </c>
      <c r="AK1397" t="s">
        <v>389</v>
      </c>
      <c r="AL1397">
        <v>-82.377011999999993</v>
      </c>
      <c r="AM1397">
        <v>100</v>
      </c>
      <c r="AN1397">
        <v>1500</v>
      </c>
      <c r="AO1397" t="s">
        <v>118</v>
      </c>
      <c r="AP1397">
        <v>90</v>
      </c>
      <c r="AQ1397">
        <v>-35</v>
      </c>
      <c r="AR1397">
        <v>192</v>
      </c>
      <c r="AZ1397">
        <v>1200</v>
      </c>
      <c r="BA1397">
        <v>1</v>
      </c>
      <c r="BB1397" t="str">
        <f t="shared" si="650"/>
        <v xml:space="preserve">N711JA  </v>
      </c>
      <c r="BC1397">
        <v>1</v>
      </c>
      <c r="BE1397">
        <v>0</v>
      </c>
      <c r="BF1397">
        <v>0</v>
      </c>
      <c r="BG1397">
        <v>0</v>
      </c>
      <c r="BH1397">
        <v>1550</v>
      </c>
      <c r="BI1397">
        <v>1</v>
      </c>
      <c r="BJ1397">
        <v>1</v>
      </c>
      <c r="BK1397">
        <v>0</v>
      </c>
      <c r="BL1397">
        <v>0</v>
      </c>
      <c r="BO1397">
        <v>0</v>
      </c>
      <c r="BP1397">
        <v>0</v>
      </c>
      <c r="BW1397" t="str">
        <f t="shared" si="661"/>
        <v>14:43:32.122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343</v>
      </c>
      <c r="CR1397">
        <v>1</v>
      </c>
      <c r="CW1397">
        <v>10664664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 t="shared" si="658"/>
        <v>05/12/2020 14:43:14.289</v>
      </c>
      <c r="C1398" t="str">
        <f t="shared" si="649"/>
        <v>FFDFD3C0</v>
      </c>
      <c r="D1398" t="s">
        <v>131</v>
      </c>
      <c r="E1398">
        <v>18</v>
      </c>
      <c r="F1398">
        <v>2018</v>
      </c>
      <c r="G1398" t="s">
        <v>161</v>
      </c>
      <c r="J1398" t="s">
        <v>133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659"/>
        <v>14:43:32.117</v>
      </c>
      <c r="T1398" t="str">
        <f t="shared" si="660"/>
        <v>14:43:31.717</v>
      </c>
      <c r="U1398" t="str">
        <f t="shared" si="640"/>
        <v>A9808D</v>
      </c>
      <c r="V1398">
        <v>0</v>
      </c>
      <c r="W1398">
        <v>0</v>
      </c>
      <c r="X1398">
        <v>1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388</v>
      </c>
      <c r="AJ1398">
        <v>28.286555</v>
      </c>
      <c r="AK1398" t="s">
        <v>389</v>
      </c>
      <c r="AL1398">
        <v>-82.377011999999993</v>
      </c>
      <c r="AM1398">
        <v>100</v>
      </c>
      <c r="AN1398">
        <v>1500</v>
      </c>
      <c r="AO1398" t="s">
        <v>118</v>
      </c>
      <c r="AP1398">
        <v>90</v>
      </c>
      <c r="AQ1398">
        <v>-35</v>
      </c>
      <c r="AR1398">
        <v>192</v>
      </c>
      <c r="AZ1398">
        <v>1200</v>
      </c>
      <c r="BA1398">
        <v>1</v>
      </c>
      <c r="BB1398" t="str">
        <f t="shared" si="650"/>
        <v xml:space="preserve">N711JA  </v>
      </c>
      <c r="BC1398">
        <v>1</v>
      </c>
      <c r="BE1398">
        <v>0</v>
      </c>
      <c r="BF1398">
        <v>0</v>
      </c>
      <c r="BG1398">
        <v>0</v>
      </c>
      <c r="BH1398">
        <v>1550</v>
      </c>
      <c r="BI1398">
        <v>1</v>
      </c>
      <c r="BJ1398">
        <v>1</v>
      </c>
      <c r="BK1398">
        <v>0</v>
      </c>
      <c r="BL1398">
        <v>0</v>
      </c>
      <c r="BO1398">
        <v>0</v>
      </c>
      <c r="BP1398">
        <v>0</v>
      </c>
      <c r="BW1398" t="str">
        <f t="shared" si="661"/>
        <v>14:43:32.122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343</v>
      </c>
      <c r="CR1398">
        <v>1</v>
      </c>
      <c r="CW1398">
        <v>10664664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 t="shared" si="658"/>
        <v>05/12/2020 14:43:14.289</v>
      </c>
      <c r="C1399" t="str">
        <f t="shared" si="649"/>
        <v>FFDFD3C0</v>
      </c>
      <c r="D1399" t="s">
        <v>134</v>
      </c>
      <c r="E1399">
        <v>12</v>
      </c>
      <c r="H1399">
        <v>64</v>
      </c>
      <c r="I1399" t="s">
        <v>135</v>
      </c>
      <c r="J1399" t="s">
        <v>136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659"/>
        <v>14:43:32.117</v>
      </c>
      <c r="T1399" t="str">
        <f t="shared" si="660"/>
        <v>14:43:31.717</v>
      </c>
      <c r="U1399" t="str">
        <f t="shared" si="640"/>
        <v>A9808D</v>
      </c>
      <c r="V1399">
        <v>0</v>
      </c>
      <c r="W1399">
        <v>0</v>
      </c>
      <c r="X1399">
        <v>1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388</v>
      </c>
      <c r="AJ1399">
        <v>28.286555</v>
      </c>
      <c r="AK1399" t="s">
        <v>389</v>
      </c>
      <c r="AL1399">
        <v>-82.377011999999993</v>
      </c>
      <c r="AM1399">
        <v>100</v>
      </c>
      <c r="AN1399">
        <v>1500</v>
      </c>
      <c r="AO1399" t="s">
        <v>118</v>
      </c>
      <c r="AP1399">
        <v>90</v>
      </c>
      <c r="AQ1399">
        <v>-35</v>
      </c>
      <c r="AR1399">
        <v>192</v>
      </c>
      <c r="AZ1399">
        <v>1200</v>
      </c>
      <c r="BA1399">
        <v>1</v>
      </c>
      <c r="BB1399" t="str">
        <f t="shared" si="650"/>
        <v xml:space="preserve">N711JA  </v>
      </c>
      <c r="BC1399">
        <v>1</v>
      </c>
      <c r="BE1399">
        <v>0</v>
      </c>
      <c r="BF1399">
        <v>0</v>
      </c>
      <c r="BG1399">
        <v>0</v>
      </c>
      <c r="BH1399">
        <v>1550</v>
      </c>
      <c r="BI1399">
        <v>1</v>
      </c>
      <c r="BJ1399">
        <v>1</v>
      </c>
      <c r="BK1399">
        <v>0</v>
      </c>
      <c r="BL1399">
        <v>0</v>
      </c>
      <c r="BO1399">
        <v>0</v>
      </c>
      <c r="BP1399">
        <v>0</v>
      </c>
      <c r="BW1399" t="str">
        <f t="shared" si="661"/>
        <v>14:43:32.122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343</v>
      </c>
      <c r="CR1399">
        <v>1</v>
      </c>
      <c r="CW1399">
        <v>10664664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 t="shared" ref="A1400:A1408" si="662">"05/12/2020 14:43:15.315"</f>
        <v>05/12/2020 14:43:15.315</v>
      </c>
      <c r="C1400" t="str">
        <f t="shared" si="649"/>
        <v>FFDFD3C0</v>
      </c>
      <c r="D1400" t="s">
        <v>131</v>
      </c>
      <c r="E1400">
        <v>10</v>
      </c>
      <c r="F1400">
        <v>2010</v>
      </c>
      <c r="G1400" t="s">
        <v>132</v>
      </c>
      <c r="J1400" t="s">
        <v>133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ref="S1400:S1408" si="663">"14:43:33.125"</f>
        <v>14:43:33.125</v>
      </c>
      <c r="T1400" t="str">
        <f t="shared" ref="T1400:T1408" si="664">"14:43:32.725"</f>
        <v>14:43:32.725</v>
      </c>
      <c r="U1400" t="str">
        <f t="shared" si="640"/>
        <v>A9808D</v>
      </c>
      <c r="V1400">
        <v>0</v>
      </c>
      <c r="W1400">
        <v>0</v>
      </c>
      <c r="X1400">
        <v>1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390</v>
      </c>
      <c r="AJ1400">
        <v>28.286362</v>
      </c>
      <c r="AK1400" t="s">
        <v>391</v>
      </c>
      <c r="AL1400">
        <v>-82.376604</v>
      </c>
      <c r="AM1400">
        <v>100</v>
      </c>
      <c r="AN1400">
        <v>1500</v>
      </c>
      <c r="AO1400" t="s">
        <v>118</v>
      </c>
      <c r="AP1400">
        <v>89</v>
      </c>
      <c r="AQ1400">
        <v>-39</v>
      </c>
      <c r="AR1400">
        <v>384</v>
      </c>
      <c r="AZ1400">
        <v>1200</v>
      </c>
      <c r="BA1400">
        <v>1</v>
      </c>
      <c r="BB1400" t="str">
        <f t="shared" si="650"/>
        <v xml:space="preserve">N711JA  </v>
      </c>
      <c r="BC1400">
        <v>1</v>
      </c>
      <c r="BE1400">
        <v>0</v>
      </c>
      <c r="BF1400">
        <v>0</v>
      </c>
      <c r="BG1400">
        <v>0</v>
      </c>
      <c r="BH1400">
        <v>1575</v>
      </c>
      <c r="BI1400">
        <v>1</v>
      </c>
      <c r="BJ1400">
        <v>1</v>
      </c>
      <c r="BK1400">
        <v>0</v>
      </c>
      <c r="BL1400">
        <v>0</v>
      </c>
      <c r="BO1400">
        <v>0</v>
      </c>
      <c r="BP1400">
        <v>0</v>
      </c>
      <c r="BW1400" t="str">
        <f t="shared" ref="BW1400:BW1408" si="665">"14:43:33.132"</f>
        <v>14:43:33.132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343</v>
      </c>
      <c r="CR1400">
        <v>1</v>
      </c>
      <c r="CW1400">
        <v>10665735</v>
      </c>
      <c r="CY1400">
        <v>1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 t="shared" si="662"/>
        <v>05/12/2020 14:43:15.315</v>
      </c>
      <c r="C1401" t="str">
        <f t="shared" si="649"/>
        <v>FFDFD3C0</v>
      </c>
      <c r="D1401" t="s">
        <v>126</v>
      </c>
      <c r="E1401">
        <v>7</v>
      </c>
      <c r="F1401">
        <v>1007</v>
      </c>
      <c r="G1401" t="s">
        <v>127</v>
      </c>
      <c r="J1401" t="s">
        <v>128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663"/>
        <v>14:43:33.125</v>
      </c>
      <c r="T1401" t="str">
        <f t="shared" si="664"/>
        <v>14:43:32.725</v>
      </c>
      <c r="U1401" t="str">
        <f t="shared" si="640"/>
        <v>A9808D</v>
      </c>
      <c r="V1401">
        <v>0</v>
      </c>
      <c r="W1401">
        <v>0</v>
      </c>
      <c r="X1401">
        <v>1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390</v>
      </c>
      <c r="AJ1401">
        <v>28.286362</v>
      </c>
      <c r="AK1401" t="s">
        <v>391</v>
      </c>
      <c r="AL1401">
        <v>-82.376604</v>
      </c>
      <c r="AM1401">
        <v>100</v>
      </c>
      <c r="AN1401">
        <v>1500</v>
      </c>
      <c r="AO1401" t="s">
        <v>118</v>
      </c>
      <c r="AP1401">
        <v>89</v>
      </c>
      <c r="AQ1401">
        <v>-39</v>
      </c>
      <c r="AR1401">
        <v>384</v>
      </c>
      <c r="AZ1401">
        <v>1200</v>
      </c>
      <c r="BA1401">
        <v>1</v>
      </c>
      <c r="BB1401" t="str">
        <f t="shared" si="650"/>
        <v xml:space="preserve">N711JA  </v>
      </c>
      <c r="BC1401">
        <v>1</v>
      </c>
      <c r="BE1401">
        <v>0</v>
      </c>
      <c r="BF1401">
        <v>0</v>
      </c>
      <c r="BG1401">
        <v>0</v>
      </c>
      <c r="BH1401">
        <v>1575</v>
      </c>
      <c r="BI1401">
        <v>1</v>
      </c>
      <c r="BJ1401">
        <v>1</v>
      </c>
      <c r="BK1401">
        <v>0</v>
      </c>
      <c r="BL1401">
        <v>0</v>
      </c>
      <c r="BO1401">
        <v>0</v>
      </c>
      <c r="BP1401">
        <v>0</v>
      </c>
      <c r="BW1401" t="str">
        <f t="shared" si="665"/>
        <v>14:43:33.132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343</v>
      </c>
      <c r="CR1401">
        <v>1</v>
      </c>
      <c r="CW1401">
        <v>10665735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 t="shared" si="662"/>
        <v>05/12/2020 14:43:15.315</v>
      </c>
      <c r="C1402" t="str">
        <f t="shared" si="649"/>
        <v>FFDFD3C0</v>
      </c>
      <c r="D1402" t="s">
        <v>131</v>
      </c>
      <c r="E1402">
        <v>12</v>
      </c>
      <c r="F1402">
        <v>2012</v>
      </c>
      <c r="G1402" t="s">
        <v>137</v>
      </c>
      <c r="J1402" t="s">
        <v>133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663"/>
        <v>14:43:33.125</v>
      </c>
      <c r="T1402" t="str">
        <f t="shared" si="664"/>
        <v>14:43:32.725</v>
      </c>
      <c r="U1402" t="str">
        <f t="shared" si="640"/>
        <v>A9808D</v>
      </c>
      <c r="V1402">
        <v>0</v>
      </c>
      <c r="W1402">
        <v>0</v>
      </c>
      <c r="X1402">
        <v>1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390</v>
      </c>
      <c r="AJ1402">
        <v>28.286362</v>
      </c>
      <c r="AK1402" t="s">
        <v>391</v>
      </c>
      <c r="AL1402">
        <v>-82.376604</v>
      </c>
      <c r="AM1402">
        <v>100</v>
      </c>
      <c r="AN1402">
        <v>1500</v>
      </c>
      <c r="AO1402" t="s">
        <v>118</v>
      </c>
      <c r="AP1402">
        <v>89</v>
      </c>
      <c r="AQ1402">
        <v>-39</v>
      </c>
      <c r="AR1402">
        <v>384</v>
      </c>
      <c r="AZ1402">
        <v>1200</v>
      </c>
      <c r="BA1402">
        <v>1</v>
      </c>
      <c r="BB1402" t="str">
        <f t="shared" si="650"/>
        <v xml:space="preserve">N711JA  </v>
      </c>
      <c r="BC1402">
        <v>1</v>
      </c>
      <c r="BE1402">
        <v>0</v>
      </c>
      <c r="BF1402">
        <v>0</v>
      </c>
      <c r="BG1402">
        <v>0</v>
      </c>
      <c r="BH1402">
        <v>1575</v>
      </c>
      <c r="BI1402">
        <v>1</v>
      </c>
      <c r="BJ1402">
        <v>1</v>
      </c>
      <c r="BK1402">
        <v>0</v>
      </c>
      <c r="BL1402">
        <v>0</v>
      </c>
      <c r="BO1402">
        <v>0</v>
      </c>
      <c r="BP1402">
        <v>0</v>
      </c>
      <c r="BW1402" t="str">
        <f t="shared" si="665"/>
        <v>14:43:33.132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343</v>
      </c>
      <c r="CR1402">
        <v>1</v>
      </c>
      <c r="CW1402">
        <v>10665735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 t="shared" si="662"/>
        <v>05/12/2020 14:43:15.315</v>
      </c>
      <c r="C1403" t="str">
        <f t="shared" si="649"/>
        <v>FFDFD3C0</v>
      </c>
      <c r="D1403" t="s">
        <v>131</v>
      </c>
      <c r="E1403">
        <v>18</v>
      </c>
      <c r="F1403">
        <v>2018</v>
      </c>
      <c r="G1403" t="s">
        <v>161</v>
      </c>
      <c r="J1403" t="s">
        <v>133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663"/>
        <v>14:43:33.125</v>
      </c>
      <c r="T1403" t="str">
        <f t="shared" si="664"/>
        <v>14:43:32.725</v>
      </c>
      <c r="U1403" t="str">
        <f t="shared" si="640"/>
        <v>A9808D</v>
      </c>
      <c r="V1403">
        <v>0</v>
      </c>
      <c r="W1403">
        <v>0</v>
      </c>
      <c r="X1403">
        <v>1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390</v>
      </c>
      <c r="AJ1403">
        <v>28.286362</v>
      </c>
      <c r="AK1403" t="s">
        <v>391</v>
      </c>
      <c r="AL1403">
        <v>-82.376604</v>
      </c>
      <c r="AM1403">
        <v>100</v>
      </c>
      <c r="AN1403">
        <v>1500</v>
      </c>
      <c r="AO1403" t="s">
        <v>118</v>
      </c>
      <c r="AP1403">
        <v>89</v>
      </c>
      <c r="AQ1403">
        <v>-39</v>
      </c>
      <c r="AR1403">
        <v>384</v>
      </c>
      <c r="AZ1403">
        <v>1200</v>
      </c>
      <c r="BA1403">
        <v>1</v>
      </c>
      <c r="BB1403" t="str">
        <f t="shared" si="650"/>
        <v xml:space="preserve">N711JA  </v>
      </c>
      <c r="BC1403">
        <v>1</v>
      </c>
      <c r="BE1403">
        <v>0</v>
      </c>
      <c r="BF1403">
        <v>0</v>
      </c>
      <c r="BG1403">
        <v>0</v>
      </c>
      <c r="BH1403">
        <v>1575</v>
      </c>
      <c r="BI1403">
        <v>1</v>
      </c>
      <c r="BJ1403">
        <v>1</v>
      </c>
      <c r="BK1403">
        <v>0</v>
      </c>
      <c r="BL1403">
        <v>0</v>
      </c>
      <c r="BO1403">
        <v>0</v>
      </c>
      <c r="BP1403">
        <v>0</v>
      </c>
      <c r="BW1403" t="str">
        <f t="shared" si="665"/>
        <v>14:43:33.132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343</v>
      </c>
      <c r="CR1403">
        <v>1</v>
      </c>
      <c r="CW1403">
        <v>10665735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 t="shared" si="662"/>
        <v>05/12/2020 14:43:15.315</v>
      </c>
      <c r="C1404" t="str">
        <f t="shared" si="649"/>
        <v>FFDFD3C0</v>
      </c>
      <c r="D1404" t="s">
        <v>134</v>
      </c>
      <c r="E1404">
        <v>12</v>
      </c>
      <c r="H1404">
        <v>64</v>
      </c>
      <c r="I1404" t="s">
        <v>135</v>
      </c>
      <c r="J1404" t="s">
        <v>136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663"/>
        <v>14:43:33.125</v>
      </c>
      <c r="T1404" t="str">
        <f t="shared" si="664"/>
        <v>14:43:32.725</v>
      </c>
      <c r="U1404" t="str">
        <f t="shared" si="640"/>
        <v>A9808D</v>
      </c>
      <c r="V1404">
        <v>0</v>
      </c>
      <c r="W1404">
        <v>0</v>
      </c>
      <c r="X1404">
        <v>1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390</v>
      </c>
      <c r="AJ1404">
        <v>28.286362</v>
      </c>
      <c r="AK1404" t="s">
        <v>391</v>
      </c>
      <c r="AL1404">
        <v>-82.376604</v>
      </c>
      <c r="AM1404">
        <v>100</v>
      </c>
      <c r="AN1404">
        <v>1500</v>
      </c>
      <c r="AO1404" t="s">
        <v>118</v>
      </c>
      <c r="AP1404">
        <v>89</v>
      </c>
      <c r="AQ1404">
        <v>-39</v>
      </c>
      <c r="AR1404">
        <v>384</v>
      </c>
      <c r="AZ1404">
        <v>1200</v>
      </c>
      <c r="BA1404">
        <v>1</v>
      </c>
      <c r="BB1404" t="str">
        <f t="shared" si="650"/>
        <v xml:space="preserve">N711JA  </v>
      </c>
      <c r="BC1404">
        <v>1</v>
      </c>
      <c r="BE1404">
        <v>0</v>
      </c>
      <c r="BF1404">
        <v>0</v>
      </c>
      <c r="BG1404">
        <v>0</v>
      </c>
      <c r="BH1404">
        <v>1575</v>
      </c>
      <c r="BI1404">
        <v>1</v>
      </c>
      <c r="BJ1404">
        <v>1</v>
      </c>
      <c r="BK1404">
        <v>0</v>
      </c>
      <c r="BL1404">
        <v>0</v>
      </c>
      <c r="BO1404">
        <v>0</v>
      </c>
      <c r="BP1404">
        <v>0</v>
      </c>
      <c r="BW1404" t="str">
        <f t="shared" si="665"/>
        <v>14:43:33.132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343</v>
      </c>
      <c r="CR1404">
        <v>1</v>
      </c>
      <c r="CW1404">
        <v>10665735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 t="shared" si="662"/>
        <v>05/12/2020 14:43:15.315</v>
      </c>
      <c r="C1405" t="str">
        <f t="shared" si="649"/>
        <v>FFDFD3C0</v>
      </c>
      <c r="D1405" t="s">
        <v>126</v>
      </c>
      <c r="E1405">
        <v>6</v>
      </c>
      <c r="F1405">
        <v>1006</v>
      </c>
      <c r="G1405" t="s">
        <v>114</v>
      </c>
      <c r="J1405" t="s">
        <v>128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663"/>
        <v>14:43:33.125</v>
      </c>
      <c r="T1405" t="str">
        <f t="shared" si="664"/>
        <v>14:43:32.725</v>
      </c>
      <c r="U1405" t="str">
        <f t="shared" si="640"/>
        <v>A9808D</v>
      </c>
      <c r="V1405">
        <v>0</v>
      </c>
      <c r="W1405">
        <v>0</v>
      </c>
      <c r="X1405">
        <v>1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390</v>
      </c>
      <c r="AJ1405">
        <v>28.286362</v>
      </c>
      <c r="AK1405" t="s">
        <v>391</v>
      </c>
      <c r="AL1405">
        <v>-82.376604</v>
      </c>
      <c r="AM1405">
        <v>100</v>
      </c>
      <c r="AN1405">
        <v>1500</v>
      </c>
      <c r="AO1405" t="s">
        <v>118</v>
      </c>
      <c r="AP1405">
        <v>89</v>
      </c>
      <c r="AQ1405">
        <v>-39</v>
      </c>
      <c r="AR1405">
        <v>384</v>
      </c>
      <c r="AZ1405">
        <v>1200</v>
      </c>
      <c r="BA1405">
        <v>1</v>
      </c>
      <c r="BB1405" t="str">
        <f t="shared" si="650"/>
        <v xml:space="preserve">N711JA  </v>
      </c>
      <c r="BC1405">
        <v>1</v>
      </c>
      <c r="BE1405">
        <v>0</v>
      </c>
      <c r="BF1405">
        <v>0</v>
      </c>
      <c r="BG1405">
        <v>0</v>
      </c>
      <c r="BH1405">
        <v>1575</v>
      </c>
      <c r="BI1405">
        <v>1</v>
      </c>
      <c r="BJ1405">
        <v>1</v>
      </c>
      <c r="BK1405">
        <v>0</v>
      </c>
      <c r="BL1405">
        <v>0</v>
      </c>
      <c r="BO1405">
        <v>0</v>
      </c>
      <c r="BP1405">
        <v>0</v>
      </c>
      <c r="BW1405" t="str">
        <f t="shared" si="665"/>
        <v>14:43:33.132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343</v>
      </c>
      <c r="CR1405">
        <v>1</v>
      </c>
      <c r="CW1405">
        <v>10665735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 t="shared" si="662"/>
        <v>05/12/2020 14:43:15.315</v>
      </c>
      <c r="C1406" t="str">
        <f t="shared" si="649"/>
        <v>FFDFD3C0</v>
      </c>
      <c r="D1406" t="s">
        <v>138</v>
      </c>
      <c r="E1406">
        <v>2</v>
      </c>
      <c r="H1406">
        <v>8</v>
      </c>
      <c r="I1406" t="s">
        <v>139</v>
      </c>
      <c r="J1406" t="s">
        <v>136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663"/>
        <v>14:43:33.125</v>
      </c>
      <c r="T1406" t="str">
        <f t="shared" si="664"/>
        <v>14:43:32.725</v>
      </c>
      <c r="U1406" t="str">
        <f t="shared" si="640"/>
        <v>A9808D</v>
      </c>
      <c r="V1406">
        <v>0</v>
      </c>
      <c r="W1406">
        <v>0</v>
      </c>
      <c r="X1406">
        <v>1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390</v>
      </c>
      <c r="AJ1406">
        <v>28.286362</v>
      </c>
      <c r="AK1406" t="s">
        <v>391</v>
      </c>
      <c r="AL1406">
        <v>-82.376604</v>
      </c>
      <c r="AM1406">
        <v>100</v>
      </c>
      <c r="AN1406">
        <v>1500</v>
      </c>
      <c r="AO1406" t="s">
        <v>118</v>
      </c>
      <c r="AP1406">
        <v>89</v>
      </c>
      <c r="AQ1406">
        <v>-39</v>
      </c>
      <c r="AR1406">
        <v>384</v>
      </c>
      <c r="AZ1406">
        <v>1200</v>
      </c>
      <c r="BA1406">
        <v>1</v>
      </c>
      <c r="BB1406" t="str">
        <f t="shared" si="650"/>
        <v xml:space="preserve">N711JA  </v>
      </c>
      <c r="BC1406">
        <v>1</v>
      </c>
      <c r="BE1406">
        <v>0</v>
      </c>
      <c r="BF1406">
        <v>0</v>
      </c>
      <c r="BG1406">
        <v>0</v>
      </c>
      <c r="BH1406">
        <v>1575</v>
      </c>
      <c r="BI1406">
        <v>1</v>
      </c>
      <c r="BJ1406">
        <v>1</v>
      </c>
      <c r="BK1406">
        <v>0</v>
      </c>
      <c r="BL1406">
        <v>0</v>
      </c>
      <c r="BO1406">
        <v>0</v>
      </c>
      <c r="BP1406">
        <v>0</v>
      </c>
      <c r="BW1406" t="str">
        <f t="shared" si="665"/>
        <v>14:43:33.132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343</v>
      </c>
      <c r="CR1406">
        <v>1</v>
      </c>
      <c r="CW1406">
        <v>10665735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 t="shared" si="662"/>
        <v>05/12/2020 14:43:15.315</v>
      </c>
      <c r="C1407" t="str">
        <f t="shared" si="649"/>
        <v>FFDFD3C0</v>
      </c>
      <c r="D1407" t="s">
        <v>113</v>
      </c>
      <c r="E1407">
        <v>3</v>
      </c>
      <c r="H1407">
        <v>164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663"/>
        <v>14:43:33.125</v>
      </c>
      <c r="T1407" t="str">
        <f t="shared" si="664"/>
        <v>14:43:32.725</v>
      </c>
      <c r="U1407" t="str">
        <f t="shared" si="640"/>
        <v>A9808D</v>
      </c>
      <c r="V1407">
        <v>0</v>
      </c>
      <c r="W1407">
        <v>0</v>
      </c>
      <c r="X1407">
        <v>1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390</v>
      </c>
      <c r="AJ1407">
        <v>28.286362</v>
      </c>
      <c r="AK1407" t="s">
        <v>391</v>
      </c>
      <c r="AL1407">
        <v>-82.376604</v>
      </c>
      <c r="AM1407">
        <v>100</v>
      </c>
      <c r="AN1407">
        <v>1500</v>
      </c>
      <c r="AO1407" t="s">
        <v>118</v>
      </c>
      <c r="AP1407">
        <v>89</v>
      </c>
      <c r="AQ1407">
        <v>-39</v>
      </c>
      <c r="AR1407">
        <v>384</v>
      </c>
      <c r="AZ1407">
        <v>1200</v>
      </c>
      <c r="BA1407">
        <v>1</v>
      </c>
      <c r="BB1407" t="str">
        <f t="shared" si="650"/>
        <v xml:space="preserve">N711JA  </v>
      </c>
      <c r="BC1407">
        <v>1</v>
      </c>
      <c r="BE1407">
        <v>0</v>
      </c>
      <c r="BF1407">
        <v>0</v>
      </c>
      <c r="BG1407">
        <v>0</v>
      </c>
      <c r="BH1407">
        <v>1575</v>
      </c>
      <c r="BI1407">
        <v>1</v>
      </c>
      <c r="BJ1407">
        <v>1</v>
      </c>
      <c r="BK1407">
        <v>0</v>
      </c>
      <c r="BL1407">
        <v>0</v>
      </c>
      <c r="BO1407">
        <v>0</v>
      </c>
      <c r="BP1407">
        <v>0</v>
      </c>
      <c r="BW1407" t="str">
        <f t="shared" si="665"/>
        <v>14:43:33.132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343</v>
      </c>
      <c r="CR1407">
        <v>1</v>
      </c>
      <c r="CW1407">
        <v>10665735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 t="shared" si="662"/>
        <v>05/12/2020 14:43:15.315</v>
      </c>
      <c r="C1408" t="str">
        <f t="shared" si="649"/>
        <v>FFDFD3C0</v>
      </c>
      <c r="D1408" t="s">
        <v>138</v>
      </c>
      <c r="E1408">
        <v>3</v>
      </c>
      <c r="H1408">
        <v>9</v>
      </c>
      <c r="I1408" t="s">
        <v>140</v>
      </c>
      <c r="J1408" t="s">
        <v>136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663"/>
        <v>14:43:33.125</v>
      </c>
      <c r="T1408" t="str">
        <f t="shared" si="664"/>
        <v>14:43:32.725</v>
      </c>
      <c r="U1408" t="str">
        <f t="shared" si="640"/>
        <v>A9808D</v>
      </c>
      <c r="V1408">
        <v>0</v>
      </c>
      <c r="W1408">
        <v>0</v>
      </c>
      <c r="X1408">
        <v>1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390</v>
      </c>
      <c r="AJ1408">
        <v>28.286362</v>
      </c>
      <c r="AK1408" t="s">
        <v>391</v>
      </c>
      <c r="AL1408">
        <v>-82.376604</v>
      </c>
      <c r="AM1408">
        <v>100</v>
      </c>
      <c r="AN1408">
        <v>1500</v>
      </c>
      <c r="AO1408" t="s">
        <v>118</v>
      </c>
      <c r="AP1408">
        <v>89</v>
      </c>
      <c r="AQ1408">
        <v>-39</v>
      </c>
      <c r="AR1408">
        <v>384</v>
      </c>
      <c r="AZ1408">
        <v>1200</v>
      </c>
      <c r="BA1408">
        <v>1</v>
      </c>
      <c r="BB1408" t="str">
        <f t="shared" si="650"/>
        <v xml:space="preserve">N711JA  </v>
      </c>
      <c r="BC1408">
        <v>1</v>
      </c>
      <c r="BE1408">
        <v>0</v>
      </c>
      <c r="BF1408">
        <v>0</v>
      </c>
      <c r="BG1408">
        <v>0</v>
      </c>
      <c r="BH1408">
        <v>1575</v>
      </c>
      <c r="BI1408">
        <v>1</v>
      </c>
      <c r="BJ1408">
        <v>1</v>
      </c>
      <c r="BK1408">
        <v>0</v>
      </c>
      <c r="BL1408">
        <v>0</v>
      </c>
      <c r="BO1408">
        <v>0</v>
      </c>
      <c r="BP1408">
        <v>0</v>
      </c>
      <c r="BW1408" t="str">
        <f t="shared" si="665"/>
        <v>14:43:33.132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343</v>
      </c>
      <c r="CR1408">
        <v>1</v>
      </c>
      <c r="CW1408">
        <v>10665735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 t="shared" ref="A1409:A1417" si="666">"05/12/2020 14:43:16.312"</f>
        <v>05/12/2020 14:43:16.312</v>
      </c>
      <c r="C1409" t="str">
        <f t="shared" si="649"/>
        <v>FFDFD3C0</v>
      </c>
      <c r="D1409" t="s">
        <v>138</v>
      </c>
      <c r="E1409">
        <v>2</v>
      </c>
      <c r="H1409">
        <v>8</v>
      </c>
      <c r="I1409" t="s">
        <v>139</v>
      </c>
      <c r="J1409" t="s">
        <v>136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T1417" si="667">"14:43:34.148"</f>
        <v>14:43:34.148</v>
      </c>
      <c r="T1409" t="str">
        <f t="shared" si="667"/>
        <v>14:43:34.148</v>
      </c>
      <c r="U1409" t="str">
        <f t="shared" si="640"/>
        <v>A9808D</v>
      </c>
      <c r="V1409">
        <v>0</v>
      </c>
      <c r="W1409">
        <v>0</v>
      </c>
      <c r="X1409">
        <v>1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392</v>
      </c>
      <c r="AJ1409">
        <v>28.286125999999999</v>
      </c>
      <c r="AK1409" t="s">
        <v>393</v>
      </c>
      <c r="AL1409">
        <v>-82.376068000000004</v>
      </c>
      <c r="AM1409">
        <v>100</v>
      </c>
      <c r="AN1409">
        <v>1500</v>
      </c>
      <c r="AO1409" t="s">
        <v>118</v>
      </c>
      <c r="AP1409">
        <v>86</v>
      </c>
      <c r="AQ1409">
        <v>-44</v>
      </c>
      <c r="AR1409">
        <v>768</v>
      </c>
      <c r="AZ1409">
        <v>1200</v>
      </c>
      <c r="BA1409">
        <v>1</v>
      </c>
      <c r="BB1409" t="str">
        <f t="shared" si="650"/>
        <v xml:space="preserve">N711JA  </v>
      </c>
      <c r="BC1409">
        <v>1</v>
      </c>
      <c r="BE1409">
        <v>0</v>
      </c>
      <c r="BF1409">
        <v>0</v>
      </c>
      <c r="BG1409">
        <v>0</v>
      </c>
      <c r="BH1409">
        <v>1575</v>
      </c>
      <c r="BI1409">
        <v>1</v>
      </c>
      <c r="BJ1409">
        <v>1</v>
      </c>
      <c r="BK1409">
        <v>0</v>
      </c>
      <c r="BL1409">
        <v>0</v>
      </c>
      <c r="BO1409">
        <v>0</v>
      </c>
      <c r="BP1409">
        <v>0</v>
      </c>
      <c r="BW1409" t="str">
        <f t="shared" ref="BW1409:BW1417" si="668">"14:43:34.149"</f>
        <v>14:43:34.149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343</v>
      </c>
      <c r="CR1409">
        <v>1</v>
      </c>
      <c r="CW1409">
        <v>10666798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 t="shared" si="666"/>
        <v>05/12/2020 14:43:16.312</v>
      </c>
      <c r="C1410" t="str">
        <f t="shared" si="649"/>
        <v>FFDFD3C0</v>
      </c>
      <c r="D1410" t="s">
        <v>113</v>
      </c>
      <c r="E1410">
        <v>3</v>
      </c>
      <c r="H1410">
        <v>164</v>
      </c>
      <c r="I1410" t="s">
        <v>114</v>
      </c>
      <c r="J1410" t="s">
        <v>115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667"/>
        <v>14:43:34.148</v>
      </c>
      <c r="T1410" t="str">
        <f t="shared" si="667"/>
        <v>14:43:34.148</v>
      </c>
      <c r="U1410" t="str">
        <f t="shared" ref="U1410:U1473" si="669">"A9808D"</f>
        <v>A9808D</v>
      </c>
      <c r="V1410">
        <v>0</v>
      </c>
      <c r="W1410">
        <v>0</v>
      </c>
      <c r="X1410">
        <v>1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392</v>
      </c>
      <c r="AJ1410">
        <v>28.286125999999999</v>
      </c>
      <c r="AK1410" t="s">
        <v>393</v>
      </c>
      <c r="AL1410">
        <v>-82.376068000000004</v>
      </c>
      <c r="AM1410">
        <v>100</v>
      </c>
      <c r="AN1410">
        <v>1500</v>
      </c>
      <c r="AO1410" t="s">
        <v>118</v>
      </c>
      <c r="AP1410">
        <v>86</v>
      </c>
      <c r="AQ1410">
        <v>-44</v>
      </c>
      <c r="AR1410">
        <v>768</v>
      </c>
      <c r="AZ1410">
        <v>1200</v>
      </c>
      <c r="BA1410">
        <v>1</v>
      </c>
      <c r="BB1410" t="str">
        <f t="shared" si="650"/>
        <v xml:space="preserve">N711JA  </v>
      </c>
      <c r="BC1410">
        <v>1</v>
      </c>
      <c r="BE1410">
        <v>0</v>
      </c>
      <c r="BF1410">
        <v>0</v>
      </c>
      <c r="BG1410">
        <v>0</v>
      </c>
      <c r="BH1410">
        <v>1575</v>
      </c>
      <c r="BI1410">
        <v>1</v>
      </c>
      <c r="BJ1410">
        <v>1</v>
      </c>
      <c r="BK1410">
        <v>0</v>
      </c>
      <c r="BL1410">
        <v>0</v>
      </c>
      <c r="BO1410">
        <v>0</v>
      </c>
      <c r="BP1410">
        <v>0</v>
      </c>
      <c r="BW1410" t="str">
        <f t="shared" si="668"/>
        <v>14:43:34.149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343</v>
      </c>
      <c r="CR1410">
        <v>1</v>
      </c>
      <c r="CW1410">
        <v>10666798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 t="shared" si="666"/>
        <v>05/12/2020 14:43:16.312</v>
      </c>
      <c r="C1411" t="str">
        <f t="shared" si="649"/>
        <v>FFDFD3C0</v>
      </c>
      <c r="D1411" t="s">
        <v>138</v>
      </c>
      <c r="E1411">
        <v>3</v>
      </c>
      <c r="H1411">
        <v>9</v>
      </c>
      <c r="I1411" t="s">
        <v>140</v>
      </c>
      <c r="J1411" t="s">
        <v>136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667"/>
        <v>14:43:34.148</v>
      </c>
      <c r="T1411" t="str">
        <f t="shared" si="667"/>
        <v>14:43:34.148</v>
      </c>
      <c r="U1411" t="str">
        <f t="shared" si="669"/>
        <v>A9808D</v>
      </c>
      <c r="V1411">
        <v>0</v>
      </c>
      <c r="W1411">
        <v>0</v>
      </c>
      <c r="X1411">
        <v>1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392</v>
      </c>
      <c r="AJ1411">
        <v>28.286125999999999</v>
      </c>
      <c r="AK1411" t="s">
        <v>393</v>
      </c>
      <c r="AL1411">
        <v>-82.376068000000004</v>
      </c>
      <c r="AM1411">
        <v>100</v>
      </c>
      <c r="AN1411">
        <v>1500</v>
      </c>
      <c r="AO1411" t="s">
        <v>118</v>
      </c>
      <c r="AP1411">
        <v>86</v>
      </c>
      <c r="AQ1411">
        <v>-44</v>
      </c>
      <c r="AR1411">
        <v>768</v>
      </c>
      <c r="AZ1411">
        <v>1200</v>
      </c>
      <c r="BA1411">
        <v>1</v>
      </c>
      <c r="BB1411" t="str">
        <f t="shared" si="650"/>
        <v xml:space="preserve">N711JA  </v>
      </c>
      <c r="BC1411">
        <v>1</v>
      </c>
      <c r="BE1411">
        <v>0</v>
      </c>
      <c r="BF1411">
        <v>0</v>
      </c>
      <c r="BG1411">
        <v>0</v>
      </c>
      <c r="BH1411">
        <v>1575</v>
      </c>
      <c r="BI1411">
        <v>1</v>
      </c>
      <c r="BJ1411">
        <v>1</v>
      </c>
      <c r="BK1411">
        <v>0</v>
      </c>
      <c r="BL1411">
        <v>0</v>
      </c>
      <c r="BO1411">
        <v>0</v>
      </c>
      <c r="BP1411">
        <v>0</v>
      </c>
      <c r="BW1411" t="str">
        <f t="shared" si="668"/>
        <v>14:43:34.149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343</v>
      </c>
      <c r="CR1411">
        <v>1</v>
      </c>
      <c r="CW1411">
        <v>10666798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 t="shared" si="666"/>
        <v>05/12/2020 14:43:16.312</v>
      </c>
      <c r="C1412" t="str">
        <f t="shared" si="649"/>
        <v>FFDFD3C0</v>
      </c>
      <c r="D1412" t="s">
        <v>131</v>
      </c>
      <c r="E1412">
        <v>10</v>
      </c>
      <c r="F1412">
        <v>2010</v>
      </c>
      <c r="G1412" t="s">
        <v>132</v>
      </c>
      <c r="J1412" t="s">
        <v>133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667"/>
        <v>14:43:34.148</v>
      </c>
      <c r="T1412" t="str">
        <f t="shared" si="667"/>
        <v>14:43:34.148</v>
      </c>
      <c r="U1412" t="str">
        <f t="shared" si="669"/>
        <v>A9808D</v>
      </c>
      <c r="V1412">
        <v>0</v>
      </c>
      <c r="W1412">
        <v>0</v>
      </c>
      <c r="X1412">
        <v>1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392</v>
      </c>
      <c r="AJ1412">
        <v>28.286125999999999</v>
      </c>
      <c r="AK1412" t="s">
        <v>393</v>
      </c>
      <c r="AL1412">
        <v>-82.376068000000004</v>
      </c>
      <c r="AM1412">
        <v>100</v>
      </c>
      <c r="AN1412">
        <v>1500</v>
      </c>
      <c r="AO1412" t="s">
        <v>118</v>
      </c>
      <c r="AP1412">
        <v>86</v>
      </c>
      <c r="AQ1412">
        <v>-44</v>
      </c>
      <c r="AR1412">
        <v>768</v>
      </c>
      <c r="AZ1412">
        <v>1200</v>
      </c>
      <c r="BA1412">
        <v>1</v>
      </c>
      <c r="BB1412" t="str">
        <f t="shared" si="650"/>
        <v xml:space="preserve">N711JA  </v>
      </c>
      <c r="BC1412">
        <v>1</v>
      </c>
      <c r="BE1412">
        <v>0</v>
      </c>
      <c r="BF1412">
        <v>0</v>
      </c>
      <c r="BG1412">
        <v>0</v>
      </c>
      <c r="BH1412">
        <v>1575</v>
      </c>
      <c r="BI1412">
        <v>1</v>
      </c>
      <c r="BJ1412">
        <v>1</v>
      </c>
      <c r="BK1412">
        <v>0</v>
      </c>
      <c r="BL1412">
        <v>0</v>
      </c>
      <c r="BO1412">
        <v>0</v>
      </c>
      <c r="BP1412">
        <v>0</v>
      </c>
      <c r="BW1412" t="str">
        <f t="shared" si="668"/>
        <v>14:43:34.149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343</v>
      </c>
      <c r="CR1412">
        <v>1</v>
      </c>
      <c r="CW1412">
        <v>10666798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 t="shared" si="666"/>
        <v>05/12/2020 14:43:16.312</v>
      </c>
      <c r="C1413" t="str">
        <f t="shared" si="649"/>
        <v>FFDFD3C0</v>
      </c>
      <c r="D1413" t="s">
        <v>126</v>
      </c>
      <c r="E1413">
        <v>7</v>
      </c>
      <c r="F1413">
        <v>1007</v>
      </c>
      <c r="G1413" t="s">
        <v>127</v>
      </c>
      <c r="J1413" t="s">
        <v>128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667"/>
        <v>14:43:34.148</v>
      </c>
      <c r="T1413" t="str">
        <f t="shared" si="667"/>
        <v>14:43:34.148</v>
      </c>
      <c r="U1413" t="str">
        <f t="shared" si="669"/>
        <v>A9808D</v>
      </c>
      <c r="V1413">
        <v>0</v>
      </c>
      <c r="W1413">
        <v>0</v>
      </c>
      <c r="X1413">
        <v>1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392</v>
      </c>
      <c r="AJ1413">
        <v>28.286125999999999</v>
      </c>
      <c r="AK1413" t="s">
        <v>393</v>
      </c>
      <c r="AL1413">
        <v>-82.376068000000004</v>
      </c>
      <c r="AM1413">
        <v>100</v>
      </c>
      <c r="AN1413">
        <v>1500</v>
      </c>
      <c r="AO1413" t="s">
        <v>118</v>
      </c>
      <c r="AP1413">
        <v>86</v>
      </c>
      <c r="AQ1413">
        <v>-44</v>
      </c>
      <c r="AR1413">
        <v>768</v>
      </c>
      <c r="AZ1413">
        <v>1200</v>
      </c>
      <c r="BA1413">
        <v>1</v>
      </c>
      <c r="BB1413" t="str">
        <f t="shared" si="650"/>
        <v xml:space="preserve">N711JA  </v>
      </c>
      <c r="BC1413">
        <v>1</v>
      </c>
      <c r="BE1413">
        <v>0</v>
      </c>
      <c r="BF1413">
        <v>0</v>
      </c>
      <c r="BG1413">
        <v>0</v>
      </c>
      <c r="BH1413">
        <v>1575</v>
      </c>
      <c r="BI1413">
        <v>1</v>
      </c>
      <c r="BJ1413">
        <v>1</v>
      </c>
      <c r="BK1413">
        <v>0</v>
      </c>
      <c r="BL1413">
        <v>0</v>
      </c>
      <c r="BO1413">
        <v>0</v>
      </c>
      <c r="BP1413">
        <v>0</v>
      </c>
      <c r="BW1413" t="str">
        <f t="shared" si="668"/>
        <v>14:43:34.149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343</v>
      </c>
      <c r="CR1413">
        <v>1</v>
      </c>
      <c r="CW1413">
        <v>10666798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 t="shared" si="666"/>
        <v>05/12/2020 14:43:16.312</v>
      </c>
      <c r="C1414" t="str">
        <f t="shared" si="649"/>
        <v>FFDFD3C0</v>
      </c>
      <c r="D1414" t="s">
        <v>131</v>
      </c>
      <c r="E1414">
        <v>18</v>
      </c>
      <c r="F1414">
        <v>2018</v>
      </c>
      <c r="G1414" t="s">
        <v>161</v>
      </c>
      <c r="J1414" t="s">
        <v>133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667"/>
        <v>14:43:34.148</v>
      </c>
      <c r="T1414" t="str">
        <f t="shared" si="667"/>
        <v>14:43:34.148</v>
      </c>
      <c r="U1414" t="str">
        <f t="shared" si="669"/>
        <v>A9808D</v>
      </c>
      <c r="V1414">
        <v>0</v>
      </c>
      <c r="W1414">
        <v>0</v>
      </c>
      <c r="X1414">
        <v>1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392</v>
      </c>
      <c r="AJ1414">
        <v>28.286125999999999</v>
      </c>
      <c r="AK1414" t="s">
        <v>393</v>
      </c>
      <c r="AL1414">
        <v>-82.376068000000004</v>
      </c>
      <c r="AM1414">
        <v>100</v>
      </c>
      <c r="AN1414">
        <v>1500</v>
      </c>
      <c r="AO1414" t="s">
        <v>118</v>
      </c>
      <c r="AP1414">
        <v>86</v>
      </c>
      <c r="AQ1414">
        <v>-44</v>
      </c>
      <c r="AR1414">
        <v>768</v>
      </c>
      <c r="AZ1414">
        <v>1200</v>
      </c>
      <c r="BA1414">
        <v>1</v>
      </c>
      <c r="BB1414" t="str">
        <f t="shared" si="650"/>
        <v xml:space="preserve">N711JA  </v>
      </c>
      <c r="BC1414">
        <v>1</v>
      </c>
      <c r="BE1414">
        <v>0</v>
      </c>
      <c r="BF1414">
        <v>0</v>
      </c>
      <c r="BG1414">
        <v>0</v>
      </c>
      <c r="BH1414">
        <v>1575</v>
      </c>
      <c r="BI1414">
        <v>1</v>
      </c>
      <c r="BJ1414">
        <v>1</v>
      </c>
      <c r="BK1414">
        <v>0</v>
      </c>
      <c r="BL1414">
        <v>0</v>
      </c>
      <c r="BO1414">
        <v>0</v>
      </c>
      <c r="BP1414">
        <v>0</v>
      </c>
      <c r="BW1414" t="str">
        <f t="shared" si="668"/>
        <v>14:43:34.149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343</v>
      </c>
      <c r="CR1414">
        <v>1</v>
      </c>
      <c r="CW1414">
        <v>10666798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 t="shared" si="666"/>
        <v>05/12/2020 14:43:16.312</v>
      </c>
      <c r="C1415" t="str">
        <f t="shared" si="649"/>
        <v>FFDFD3C0</v>
      </c>
      <c r="D1415" t="s">
        <v>131</v>
      </c>
      <c r="E1415">
        <v>12</v>
      </c>
      <c r="F1415">
        <v>2012</v>
      </c>
      <c r="G1415" t="s">
        <v>137</v>
      </c>
      <c r="J1415" t="s">
        <v>133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667"/>
        <v>14:43:34.148</v>
      </c>
      <c r="T1415" t="str">
        <f t="shared" si="667"/>
        <v>14:43:34.148</v>
      </c>
      <c r="U1415" t="str">
        <f t="shared" si="669"/>
        <v>A9808D</v>
      </c>
      <c r="V1415">
        <v>0</v>
      </c>
      <c r="W1415">
        <v>0</v>
      </c>
      <c r="X1415">
        <v>1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392</v>
      </c>
      <c r="AJ1415">
        <v>28.286125999999999</v>
      </c>
      <c r="AK1415" t="s">
        <v>393</v>
      </c>
      <c r="AL1415">
        <v>-82.376068000000004</v>
      </c>
      <c r="AM1415">
        <v>100</v>
      </c>
      <c r="AN1415">
        <v>1500</v>
      </c>
      <c r="AO1415" t="s">
        <v>118</v>
      </c>
      <c r="AP1415">
        <v>86</v>
      </c>
      <c r="AQ1415">
        <v>-44</v>
      </c>
      <c r="AR1415">
        <v>768</v>
      </c>
      <c r="AZ1415">
        <v>1200</v>
      </c>
      <c r="BA1415">
        <v>1</v>
      </c>
      <c r="BB1415" t="str">
        <f t="shared" si="650"/>
        <v xml:space="preserve">N711JA  </v>
      </c>
      <c r="BC1415">
        <v>1</v>
      </c>
      <c r="BE1415">
        <v>0</v>
      </c>
      <c r="BF1415">
        <v>0</v>
      </c>
      <c r="BG1415">
        <v>0</v>
      </c>
      <c r="BH1415">
        <v>1575</v>
      </c>
      <c r="BI1415">
        <v>1</v>
      </c>
      <c r="BJ1415">
        <v>1</v>
      </c>
      <c r="BK1415">
        <v>0</v>
      </c>
      <c r="BL1415">
        <v>0</v>
      </c>
      <c r="BO1415">
        <v>0</v>
      </c>
      <c r="BP1415">
        <v>0</v>
      </c>
      <c r="BW1415" t="str">
        <f t="shared" si="668"/>
        <v>14:43:34.149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343</v>
      </c>
      <c r="CR1415">
        <v>1</v>
      </c>
      <c r="CW1415">
        <v>10666798</v>
      </c>
      <c r="CY1415">
        <v>1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 t="shared" si="666"/>
        <v>05/12/2020 14:43:16.312</v>
      </c>
      <c r="C1416" t="str">
        <f t="shared" si="649"/>
        <v>FFDFD3C0</v>
      </c>
      <c r="D1416" t="s">
        <v>134</v>
      </c>
      <c r="E1416">
        <v>12</v>
      </c>
      <c r="H1416">
        <v>64</v>
      </c>
      <c r="I1416" t="s">
        <v>135</v>
      </c>
      <c r="J1416" t="s">
        <v>136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667"/>
        <v>14:43:34.148</v>
      </c>
      <c r="T1416" t="str">
        <f t="shared" si="667"/>
        <v>14:43:34.148</v>
      </c>
      <c r="U1416" t="str">
        <f t="shared" si="669"/>
        <v>A9808D</v>
      </c>
      <c r="V1416">
        <v>0</v>
      </c>
      <c r="W1416">
        <v>0</v>
      </c>
      <c r="X1416">
        <v>1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392</v>
      </c>
      <c r="AJ1416">
        <v>28.286125999999999</v>
      </c>
      <c r="AK1416" t="s">
        <v>393</v>
      </c>
      <c r="AL1416">
        <v>-82.376068000000004</v>
      </c>
      <c r="AM1416">
        <v>100</v>
      </c>
      <c r="AN1416">
        <v>1500</v>
      </c>
      <c r="AO1416" t="s">
        <v>118</v>
      </c>
      <c r="AP1416">
        <v>86</v>
      </c>
      <c r="AQ1416">
        <v>-44</v>
      </c>
      <c r="AR1416">
        <v>768</v>
      </c>
      <c r="AZ1416">
        <v>1200</v>
      </c>
      <c r="BA1416">
        <v>1</v>
      </c>
      <c r="BB1416" t="str">
        <f t="shared" si="650"/>
        <v xml:space="preserve">N711JA  </v>
      </c>
      <c r="BC1416">
        <v>1</v>
      </c>
      <c r="BE1416">
        <v>0</v>
      </c>
      <c r="BF1416">
        <v>0</v>
      </c>
      <c r="BG1416">
        <v>0</v>
      </c>
      <c r="BH1416">
        <v>1575</v>
      </c>
      <c r="BI1416">
        <v>1</v>
      </c>
      <c r="BJ1416">
        <v>1</v>
      </c>
      <c r="BK1416">
        <v>0</v>
      </c>
      <c r="BL1416">
        <v>0</v>
      </c>
      <c r="BO1416">
        <v>0</v>
      </c>
      <c r="BP1416">
        <v>0</v>
      </c>
      <c r="BW1416" t="str">
        <f t="shared" si="668"/>
        <v>14:43:34.149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343</v>
      </c>
      <c r="CR1416">
        <v>1</v>
      </c>
      <c r="CW1416">
        <v>10666798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 t="shared" si="666"/>
        <v>05/12/2020 14:43:16.312</v>
      </c>
      <c r="C1417" t="str">
        <f t="shared" si="649"/>
        <v>FFDFD3C0</v>
      </c>
      <c r="D1417" t="s">
        <v>126</v>
      </c>
      <c r="E1417">
        <v>6</v>
      </c>
      <c r="F1417">
        <v>1006</v>
      </c>
      <c r="G1417" t="s">
        <v>114</v>
      </c>
      <c r="J1417" t="s">
        <v>128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667"/>
        <v>14:43:34.148</v>
      </c>
      <c r="T1417" t="str">
        <f t="shared" si="667"/>
        <v>14:43:34.148</v>
      </c>
      <c r="U1417" t="str">
        <f t="shared" si="669"/>
        <v>A9808D</v>
      </c>
      <c r="V1417">
        <v>0</v>
      </c>
      <c r="W1417">
        <v>0</v>
      </c>
      <c r="X1417">
        <v>1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392</v>
      </c>
      <c r="AJ1417">
        <v>28.286125999999999</v>
      </c>
      <c r="AK1417" t="s">
        <v>393</v>
      </c>
      <c r="AL1417">
        <v>-82.376068000000004</v>
      </c>
      <c r="AM1417">
        <v>100</v>
      </c>
      <c r="AN1417">
        <v>1500</v>
      </c>
      <c r="AO1417" t="s">
        <v>118</v>
      </c>
      <c r="AP1417">
        <v>86</v>
      </c>
      <c r="AQ1417">
        <v>-44</v>
      </c>
      <c r="AR1417">
        <v>768</v>
      </c>
      <c r="AZ1417">
        <v>1200</v>
      </c>
      <c r="BA1417">
        <v>1</v>
      </c>
      <c r="BB1417" t="str">
        <f t="shared" si="650"/>
        <v xml:space="preserve">N711JA  </v>
      </c>
      <c r="BC1417">
        <v>1</v>
      </c>
      <c r="BE1417">
        <v>0</v>
      </c>
      <c r="BF1417">
        <v>0</v>
      </c>
      <c r="BG1417">
        <v>0</v>
      </c>
      <c r="BH1417">
        <v>1575</v>
      </c>
      <c r="BI1417">
        <v>1</v>
      </c>
      <c r="BJ1417">
        <v>1</v>
      </c>
      <c r="BK1417">
        <v>0</v>
      </c>
      <c r="BL1417">
        <v>0</v>
      </c>
      <c r="BO1417">
        <v>0</v>
      </c>
      <c r="BP1417">
        <v>0</v>
      </c>
      <c r="BW1417" t="str">
        <f t="shared" si="668"/>
        <v>14:43:34.149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343</v>
      </c>
      <c r="CR1417">
        <v>1</v>
      </c>
      <c r="CW1417">
        <v>10666798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 t="shared" ref="A1418:A1426" si="670">"05/12/2020 14:43:17.308"</f>
        <v>05/12/2020 14:43:17.308</v>
      </c>
      <c r="C1418" t="str">
        <f t="shared" si="649"/>
        <v>FFDFD3C0</v>
      </c>
      <c r="D1418" t="s">
        <v>134</v>
      </c>
      <c r="E1418">
        <v>12</v>
      </c>
      <c r="H1418">
        <v>64</v>
      </c>
      <c r="I1418" t="s">
        <v>135</v>
      </c>
      <c r="J1418" t="s">
        <v>136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ref="S1418:S1426" si="671">"14:43:35.133"</f>
        <v>14:43:35.133</v>
      </c>
      <c r="T1418" t="str">
        <f t="shared" ref="T1418:T1426" si="672">"14:43:34.733"</f>
        <v>14:43:34.733</v>
      </c>
      <c r="U1418" t="str">
        <f t="shared" si="669"/>
        <v>A9808D</v>
      </c>
      <c r="V1418">
        <v>0</v>
      </c>
      <c r="W1418">
        <v>0</v>
      </c>
      <c r="X1418">
        <v>1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394</v>
      </c>
      <c r="AJ1418">
        <v>28.285954</v>
      </c>
      <c r="AK1418" t="s">
        <v>395</v>
      </c>
      <c r="AL1418">
        <v>-82.375637999999995</v>
      </c>
      <c r="AM1418">
        <v>100</v>
      </c>
      <c r="AN1418">
        <v>1500</v>
      </c>
      <c r="AO1418" t="s">
        <v>118</v>
      </c>
      <c r="AP1418">
        <v>85</v>
      </c>
      <c r="AQ1418">
        <v>-45</v>
      </c>
      <c r="AR1418">
        <v>832</v>
      </c>
      <c r="AZ1418">
        <v>1200</v>
      </c>
      <c r="BA1418">
        <v>1</v>
      </c>
      <c r="BB1418" t="str">
        <f t="shared" si="650"/>
        <v xml:space="preserve">N711JA  </v>
      </c>
      <c r="BC1418">
        <v>1</v>
      </c>
      <c r="BE1418">
        <v>0</v>
      </c>
      <c r="BF1418">
        <v>0</v>
      </c>
      <c r="BG1418">
        <v>0</v>
      </c>
      <c r="BH1418">
        <v>1600</v>
      </c>
      <c r="BI1418">
        <v>1</v>
      </c>
      <c r="BJ1418">
        <v>1</v>
      </c>
      <c r="BK1418">
        <v>0</v>
      </c>
      <c r="BL1418">
        <v>0</v>
      </c>
      <c r="BO1418">
        <v>0</v>
      </c>
      <c r="BP1418">
        <v>0</v>
      </c>
      <c r="BW1418" t="str">
        <f t="shared" ref="BW1418:BW1426" si="673">"14:43:35.139"</f>
        <v>14:43:35.139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343</v>
      </c>
      <c r="CR1418">
        <v>1</v>
      </c>
      <c r="CW1418">
        <v>10667878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 t="shared" si="670"/>
        <v>05/12/2020 14:43:17.308</v>
      </c>
      <c r="C1419" t="str">
        <f t="shared" si="649"/>
        <v>FFDFD3C0</v>
      </c>
      <c r="D1419" t="s">
        <v>126</v>
      </c>
      <c r="E1419">
        <v>6</v>
      </c>
      <c r="F1419">
        <v>1006</v>
      </c>
      <c r="G1419" t="s">
        <v>114</v>
      </c>
      <c r="J1419" t="s">
        <v>128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671"/>
        <v>14:43:35.133</v>
      </c>
      <c r="T1419" t="str">
        <f t="shared" si="672"/>
        <v>14:43:34.733</v>
      </c>
      <c r="U1419" t="str">
        <f t="shared" si="669"/>
        <v>A9808D</v>
      </c>
      <c r="V1419">
        <v>0</v>
      </c>
      <c r="W1419">
        <v>0</v>
      </c>
      <c r="X1419">
        <v>1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394</v>
      </c>
      <c r="AJ1419">
        <v>28.285954</v>
      </c>
      <c r="AK1419" t="s">
        <v>395</v>
      </c>
      <c r="AL1419">
        <v>-82.375637999999995</v>
      </c>
      <c r="AM1419">
        <v>100</v>
      </c>
      <c r="AN1419">
        <v>1500</v>
      </c>
      <c r="AO1419" t="s">
        <v>118</v>
      </c>
      <c r="AP1419">
        <v>85</v>
      </c>
      <c r="AQ1419">
        <v>-45</v>
      </c>
      <c r="AR1419">
        <v>832</v>
      </c>
      <c r="AZ1419">
        <v>1200</v>
      </c>
      <c r="BA1419">
        <v>1</v>
      </c>
      <c r="BB1419" t="str">
        <f t="shared" si="650"/>
        <v xml:space="preserve">N711JA  </v>
      </c>
      <c r="BC1419">
        <v>1</v>
      </c>
      <c r="BE1419">
        <v>0</v>
      </c>
      <c r="BF1419">
        <v>0</v>
      </c>
      <c r="BG1419">
        <v>0</v>
      </c>
      <c r="BH1419">
        <v>1600</v>
      </c>
      <c r="BI1419">
        <v>1</v>
      </c>
      <c r="BJ1419">
        <v>1</v>
      </c>
      <c r="BK1419">
        <v>0</v>
      </c>
      <c r="BL1419">
        <v>0</v>
      </c>
      <c r="BO1419">
        <v>0</v>
      </c>
      <c r="BP1419">
        <v>0</v>
      </c>
      <c r="BW1419" t="str">
        <f t="shared" si="673"/>
        <v>14:43:35.139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343</v>
      </c>
      <c r="CR1419">
        <v>1</v>
      </c>
      <c r="CW1419">
        <v>10667878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 t="shared" si="670"/>
        <v>05/12/2020 14:43:17.308</v>
      </c>
      <c r="C1420" t="str">
        <f t="shared" si="649"/>
        <v>FFDFD3C0</v>
      </c>
      <c r="D1420" t="s">
        <v>126</v>
      </c>
      <c r="E1420">
        <v>7</v>
      </c>
      <c r="F1420">
        <v>1007</v>
      </c>
      <c r="G1420" t="s">
        <v>127</v>
      </c>
      <c r="J1420" t="s">
        <v>128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671"/>
        <v>14:43:35.133</v>
      </c>
      <c r="T1420" t="str">
        <f t="shared" si="672"/>
        <v>14:43:34.733</v>
      </c>
      <c r="U1420" t="str">
        <f t="shared" si="669"/>
        <v>A9808D</v>
      </c>
      <c r="V1420">
        <v>0</v>
      </c>
      <c r="W1420">
        <v>0</v>
      </c>
      <c r="X1420">
        <v>1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394</v>
      </c>
      <c r="AJ1420">
        <v>28.285954</v>
      </c>
      <c r="AK1420" t="s">
        <v>395</v>
      </c>
      <c r="AL1420">
        <v>-82.375637999999995</v>
      </c>
      <c r="AM1420">
        <v>100</v>
      </c>
      <c r="AN1420">
        <v>1500</v>
      </c>
      <c r="AO1420" t="s">
        <v>118</v>
      </c>
      <c r="AP1420">
        <v>85</v>
      </c>
      <c r="AQ1420">
        <v>-45</v>
      </c>
      <c r="AR1420">
        <v>832</v>
      </c>
      <c r="AZ1420">
        <v>1200</v>
      </c>
      <c r="BA1420">
        <v>1</v>
      </c>
      <c r="BB1420" t="str">
        <f t="shared" si="650"/>
        <v xml:space="preserve">N711JA  </v>
      </c>
      <c r="BC1420">
        <v>1</v>
      </c>
      <c r="BE1420">
        <v>0</v>
      </c>
      <c r="BF1420">
        <v>0</v>
      </c>
      <c r="BG1420">
        <v>0</v>
      </c>
      <c r="BH1420">
        <v>1600</v>
      </c>
      <c r="BI1420">
        <v>1</v>
      </c>
      <c r="BJ1420">
        <v>1</v>
      </c>
      <c r="BK1420">
        <v>0</v>
      </c>
      <c r="BL1420">
        <v>0</v>
      </c>
      <c r="BO1420">
        <v>0</v>
      </c>
      <c r="BP1420">
        <v>0</v>
      </c>
      <c r="BW1420" t="str">
        <f t="shared" si="673"/>
        <v>14:43:35.139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343</v>
      </c>
      <c r="CR1420">
        <v>1</v>
      </c>
      <c r="CW1420">
        <v>10667878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 t="shared" si="670"/>
        <v>05/12/2020 14:43:17.308</v>
      </c>
      <c r="C1421" t="str">
        <f t="shared" si="649"/>
        <v>FFDFD3C0</v>
      </c>
      <c r="D1421" t="s">
        <v>131</v>
      </c>
      <c r="E1421">
        <v>10</v>
      </c>
      <c r="F1421">
        <v>2010</v>
      </c>
      <c r="G1421" t="s">
        <v>132</v>
      </c>
      <c r="J1421" t="s">
        <v>133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671"/>
        <v>14:43:35.133</v>
      </c>
      <c r="T1421" t="str">
        <f t="shared" si="672"/>
        <v>14:43:34.733</v>
      </c>
      <c r="U1421" t="str">
        <f t="shared" si="669"/>
        <v>A9808D</v>
      </c>
      <c r="V1421">
        <v>0</v>
      </c>
      <c r="W1421">
        <v>0</v>
      </c>
      <c r="X1421">
        <v>1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394</v>
      </c>
      <c r="AJ1421">
        <v>28.285954</v>
      </c>
      <c r="AK1421" t="s">
        <v>395</v>
      </c>
      <c r="AL1421">
        <v>-82.375637999999995</v>
      </c>
      <c r="AM1421">
        <v>100</v>
      </c>
      <c r="AN1421">
        <v>1500</v>
      </c>
      <c r="AO1421" t="s">
        <v>118</v>
      </c>
      <c r="AP1421">
        <v>85</v>
      </c>
      <c r="AQ1421">
        <v>-45</v>
      </c>
      <c r="AR1421">
        <v>832</v>
      </c>
      <c r="AZ1421">
        <v>1200</v>
      </c>
      <c r="BA1421">
        <v>1</v>
      </c>
      <c r="BB1421" t="str">
        <f t="shared" si="650"/>
        <v xml:space="preserve">N711JA  </v>
      </c>
      <c r="BC1421">
        <v>1</v>
      </c>
      <c r="BE1421">
        <v>0</v>
      </c>
      <c r="BF1421">
        <v>0</v>
      </c>
      <c r="BG1421">
        <v>0</v>
      </c>
      <c r="BH1421">
        <v>1600</v>
      </c>
      <c r="BI1421">
        <v>1</v>
      </c>
      <c r="BJ1421">
        <v>1</v>
      </c>
      <c r="BK1421">
        <v>0</v>
      </c>
      <c r="BL1421">
        <v>0</v>
      </c>
      <c r="BO1421">
        <v>0</v>
      </c>
      <c r="BP1421">
        <v>0</v>
      </c>
      <c r="BW1421" t="str">
        <f t="shared" si="673"/>
        <v>14:43:35.139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343</v>
      </c>
      <c r="CR1421">
        <v>1</v>
      </c>
      <c r="CW1421">
        <v>10667878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 t="shared" si="670"/>
        <v>05/12/2020 14:43:17.308</v>
      </c>
      <c r="C1422" t="str">
        <f t="shared" si="649"/>
        <v>FFDFD3C0</v>
      </c>
      <c r="D1422" t="s">
        <v>138</v>
      </c>
      <c r="E1422">
        <v>2</v>
      </c>
      <c r="H1422">
        <v>8</v>
      </c>
      <c r="I1422" t="s">
        <v>139</v>
      </c>
      <c r="J1422" t="s">
        <v>136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671"/>
        <v>14:43:35.133</v>
      </c>
      <c r="T1422" t="str">
        <f t="shared" si="672"/>
        <v>14:43:34.733</v>
      </c>
      <c r="U1422" t="str">
        <f t="shared" si="669"/>
        <v>A9808D</v>
      </c>
      <c r="V1422">
        <v>0</v>
      </c>
      <c r="W1422">
        <v>0</v>
      </c>
      <c r="X1422">
        <v>1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394</v>
      </c>
      <c r="AJ1422">
        <v>28.285954</v>
      </c>
      <c r="AK1422" t="s">
        <v>395</v>
      </c>
      <c r="AL1422">
        <v>-82.375637999999995</v>
      </c>
      <c r="AM1422">
        <v>100</v>
      </c>
      <c r="AN1422">
        <v>1500</v>
      </c>
      <c r="AO1422" t="s">
        <v>118</v>
      </c>
      <c r="AP1422">
        <v>85</v>
      </c>
      <c r="AQ1422">
        <v>-45</v>
      </c>
      <c r="AR1422">
        <v>832</v>
      </c>
      <c r="AZ1422">
        <v>1200</v>
      </c>
      <c r="BA1422">
        <v>1</v>
      </c>
      <c r="BB1422" t="str">
        <f t="shared" si="650"/>
        <v xml:space="preserve">N711JA  </v>
      </c>
      <c r="BC1422">
        <v>1</v>
      </c>
      <c r="BE1422">
        <v>0</v>
      </c>
      <c r="BF1422">
        <v>0</v>
      </c>
      <c r="BG1422">
        <v>0</v>
      </c>
      <c r="BH1422">
        <v>1600</v>
      </c>
      <c r="BI1422">
        <v>1</v>
      </c>
      <c r="BJ1422">
        <v>1</v>
      </c>
      <c r="BK1422">
        <v>0</v>
      </c>
      <c r="BL1422">
        <v>0</v>
      </c>
      <c r="BO1422">
        <v>0</v>
      </c>
      <c r="BP1422">
        <v>0</v>
      </c>
      <c r="BW1422" t="str">
        <f t="shared" si="673"/>
        <v>14:43:35.139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343</v>
      </c>
      <c r="CR1422">
        <v>1</v>
      </c>
      <c r="CW1422">
        <v>10667878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 t="shared" si="670"/>
        <v>05/12/2020 14:43:17.308</v>
      </c>
      <c r="C1423" t="str">
        <f t="shared" si="649"/>
        <v>FFDFD3C0</v>
      </c>
      <c r="D1423" t="s">
        <v>131</v>
      </c>
      <c r="E1423">
        <v>12</v>
      </c>
      <c r="F1423">
        <v>2012</v>
      </c>
      <c r="G1423" t="s">
        <v>137</v>
      </c>
      <c r="J1423" t="s">
        <v>133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671"/>
        <v>14:43:35.133</v>
      </c>
      <c r="T1423" t="str">
        <f t="shared" si="672"/>
        <v>14:43:34.733</v>
      </c>
      <c r="U1423" t="str">
        <f t="shared" si="669"/>
        <v>A9808D</v>
      </c>
      <c r="V1423">
        <v>0</v>
      </c>
      <c r="W1423">
        <v>0</v>
      </c>
      <c r="X1423">
        <v>1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394</v>
      </c>
      <c r="AJ1423">
        <v>28.285954</v>
      </c>
      <c r="AK1423" t="s">
        <v>395</v>
      </c>
      <c r="AL1423">
        <v>-82.375637999999995</v>
      </c>
      <c r="AM1423">
        <v>100</v>
      </c>
      <c r="AN1423">
        <v>1500</v>
      </c>
      <c r="AO1423" t="s">
        <v>118</v>
      </c>
      <c r="AP1423">
        <v>85</v>
      </c>
      <c r="AQ1423">
        <v>-45</v>
      </c>
      <c r="AR1423">
        <v>832</v>
      </c>
      <c r="AZ1423">
        <v>1200</v>
      </c>
      <c r="BA1423">
        <v>1</v>
      </c>
      <c r="BB1423" t="str">
        <f t="shared" si="650"/>
        <v xml:space="preserve">N711JA  </v>
      </c>
      <c r="BC1423">
        <v>1</v>
      </c>
      <c r="BE1423">
        <v>0</v>
      </c>
      <c r="BF1423">
        <v>0</v>
      </c>
      <c r="BG1423">
        <v>0</v>
      </c>
      <c r="BH1423">
        <v>1600</v>
      </c>
      <c r="BI1423">
        <v>1</v>
      </c>
      <c r="BJ1423">
        <v>1</v>
      </c>
      <c r="BK1423">
        <v>0</v>
      </c>
      <c r="BL1423">
        <v>0</v>
      </c>
      <c r="BO1423">
        <v>0</v>
      </c>
      <c r="BP1423">
        <v>0</v>
      </c>
      <c r="BW1423" t="str">
        <f t="shared" si="673"/>
        <v>14:43:35.139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343</v>
      </c>
      <c r="CR1423">
        <v>1</v>
      </c>
      <c r="CW1423">
        <v>10667878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 t="shared" si="670"/>
        <v>05/12/2020 14:43:17.308</v>
      </c>
      <c r="C1424" t="str">
        <f t="shared" si="649"/>
        <v>FFDFD3C0</v>
      </c>
      <c r="D1424" t="s">
        <v>131</v>
      </c>
      <c r="E1424">
        <v>18</v>
      </c>
      <c r="F1424">
        <v>2018</v>
      </c>
      <c r="G1424" t="s">
        <v>161</v>
      </c>
      <c r="J1424" t="s">
        <v>133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671"/>
        <v>14:43:35.133</v>
      </c>
      <c r="T1424" t="str">
        <f t="shared" si="672"/>
        <v>14:43:34.733</v>
      </c>
      <c r="U1424" t="str">
        <f t="shared" si="669"/>
        <v>A9808D</v>
      </c>
      <c r="V1424">
        <v>0</v>
      </c>
      <c r="W1424">
        <v>0</v>
      </c>
      <c r="X1424">
        <v>1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394</v>
      </c>
      <c r="AJ1424">
        <v>28.285954</v>
      </c>
      <c r="AK1424" t="s">
        <v>395</v>
      </c>
      <c r="AL1424">
        <v>-82.375637999999995</v>
      </c>
      <c r="AM1424">
        <v>100</v>
      </c>
      <c r="AN1424">
        <v>1500</v>
      </c>
      <c r="AO1424" t="s">
        <v>118</v>
      </c>
      <c r="AP1424">
        <v>85</v>
      </c>
      <c r="AQ1424">
        <v>-45</v>
      </c>
      <c r="AR1424">
        <v>832</v>
      </c>
      <c r="AZ1424">
        <v>1200</v>
      </c>
      <c r="BA1424">
        <v>1</v>
      </c>
      <c r="BB1424" t="str">
        <f t="shared" si="650"/>
        <v xml:space="preserve">N711JA  </v>
      </c>
      <c r="BC1424">
        <v>1</v>
      </c>
      <c r="BE1424">
        <v>0</v>
      </c>
      <c r="BF1424">
        <v>0</v>
      </c>
      <c r="BG1424">
        <v>0</v>
      </c>
      <c r="BH1424">
        <v>1600</v>
      </c>
      <c r="BI1424">
        <v>1</v>
      </c>
      <c r="BJ1424">
        <v>1</v>
      </c>
      <c r="BK1424">
        <v>0</v>
      </c>
      <c r="BL1424">
        <v>0</v>
      </c>
      <c r="BO1424">
        <v>0</v>
      </c>
      <c r="BP1424">
        <v>0</v>
      </c>
      <c r="BW1424" t="str">
        <f t="shared" si="673"/>
        <v>14:43:35.139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343</v>
      </c>
      <c r="CR1424">
        <v>1</v>
      </c>
      <c r="CW1424">
        <v>10667878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 t="shared" si="670"/>
        <v>05/12/2020 14:43:17.308</v>
      </c>
      <c r="C1425" t="str">
        <f t="shared" si="649"/>
        <v>FFDFD3C0</v>
      </c>
      <c r="D1425" t="s">
        <v>113</v>
      </c>
      <c r="E1425">
        <v>3</v>
      </c>
      <c r="H1425">
        <v>164</v>
      </c>
      <c r="I1425" t="s">
        <v>114</v>
      </c>
      <c r="J1425" t="s">
        <v>115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671"/>
        <v>14:43:35.133</v>
      </c>
      <c r="T1425" t="str">
        <f t="shared" si="672"/>
        <v>14:43:34.733</v>
      </c>
      <c r="U1425" t="str">
        <f t="shared" si="669"/>
        <v>A9808D</v>
      </c>
      <c r="V1425">
        <v>0</v>
      </c>
      <c r="W1425">
        <v>0</v>
      </c>
      <c r="X1425">
        <v>1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394</v>
      </c>
      <c r="AJ1425">
        <v>28.285954</v>
      </c>
      <c r="AK1425" t="s">
        <v>395</v>
      </c>
      <c r="AL1425">
        <v>-82.375637999999995</v>
      </c>
      <c r="AM1425">
        <v>100</v>
      </c>
      <c r="AN1425">
        <v>1500</v>
      </c>
      <c r="AO1425" t="s">
        <v>118</v>
      </c>
      <c r="AP1425">
        <v>85</v>
      </c>
      <c r="AQ1425">
        <v>-45</v>
      </c>
      <c r="AR1425">
        <v>832</v>
      </c>
      <c r="AZ1425">
        <v>1200</v>
      </c>
      <c r="BA1425">
        <v>1</v>
      </c>
      <c r="BB1425" t="str">
        <f t="shared" si="650"/>
        <v xml:space="preserve">N711JA  </v>
      </c>
      <c r="BC1425">
        <v>1</v>
      </c>
      <c r="BE1425">
        <v>0</v>
      </c>
      <c r="BF1425">
        <v>0</v>
      </c>
      <c r="BG1425">
        <v>0</v>
      </c>
      <c r="BH1425">
        <v>1600</v>
      </c>
      <c r="BI1425">
        <v>1</v>
      </c>
      <c r="BJ1425">
        <v>1</v>
      </c>
      <c r="BK1425">
        <v>0</v>
      </c>
      <c r="BL1425">
        <v>0</v>
      </c>
      <c r="BO1425">
        <v>0</v>
      </c>
      <c r="BP1425">
        <v>0</v>
      </c>
      <c r="BW1425" t="str">
        <f t="shared" si="673"/>
        <v>14:43:35.139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343</v>
      </c>
      <c r="CR1425">
        <v>1</v>
      </c>
      <c r="CW1425">
        <v>10667878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 t="shared" si="670"/>
        <v>05/12/2020 14:43:17.308</v>
      </c>
      <c r="C1426" t="str">
        <f t="shared" si="649"/>
        <v>FFDFD3C0</v>
      </c>
      <c r="D1426" t="s">
        <v>138</v>
      </c>
      <c r="E1426">
        <v>3</v>
      </c>
      <c r="H1426">
        <v>9</v>
      </c>
      <c r="I1426" t="s">
        <v>140</v>
      </c>
      <c r="J1426" t="s">
        <v>136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671"/>
        <v>14:43:35.133</v>
      </c>
      <c r="T1426" t="str">
        <f t="shared" si="672"/>
        <v>14:43:34.733</v>
      </c>
      <c r="U1426" t="str">
        <f t="shared" si="669"/>
        <v>A9808D</v>
      </c>
      <c r="V1426">
        <v>0</v>
      </c>
      <c r="W1426">
        <v>0</v>
      </c>
      <c r="X1426">
        <v>1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394</v>
      </c>
      <c r="AJ1426">
        <v>28.285954</v>
      </c>
      <c r="AK1426" t="s">
        <v>395</v>
      </c>
      <c r="AL1426">
        <v>-82.375637999999995</v>
      </c>
      <c r="AM1426">
        <v>100</v>
      </c>
      <c r="AN1426">
        <v>1500</v>
      </c>
      <c r="AO1426" t="s">
        <v>118</v>
      </c>
      <c r="AP1426">
        <v>85</v>
      </c>
      <c r="AQ1426">
        <v>-45</v>
      </c>
      <c r="AR1426">
        <v>832</v>
      </c>
      <c r="AZ1426">
        <v>1200</v>
      </c>
      <c r="BA1426">
        <v>1</v>
      </c>
      <c r="BB1426" t="str">
        <f t="shared" si="650"/>
        <v xml:space="preserve">N711JA  </v>
      </c>
      <c r="BC1426">
        <v>1</v>
      </c>
      <c r="BE1426">
        <v>0</v>
      </c>
      <c r="BF1426">
        <v>0</v>
      </c>
      <c r="BG1426">
        <v>0</v>
      </c>
      <c r="BH1426">
        <v>1600</v>
      </c>
      <c r="BI1426">
        <v>1</v>
      </c>
      <c r="BJ1426">
        <v>1</v>
      </c>
      <c r="BK1426">
        <v>0</v>
      </c>
      <c r="BL1426">
        <v>0</v>
      </c>
      <c r="BO1426">
        <v>0</v>
      </c>
      <c r="BP1426">
        <v>0</v>
      </c>
      <c r="BW1426" t="str">
        <f t="shared" si="673"/>
        <v>14:43:35.139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343</v>
      </c>
      <c r="CR1426">
        <v>1</v>
      </c>
      <c r="CW1426">
        <v>10667878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 t="shared" ref="A1427:A1435" si="674">"05/12/2020 14:43:18.434"</f>
        <v>05/12/2020 14:43:18.434</v>
      </c>
      <c r="C1427" t="str">
        <f t="shared" si="649"/>
        <v>FFDFD3C0</v>
      </c>
      <c r="D1427" t="s">
        <v>131</v>
      </c>
      <c r="E1427">
        <v>18</v>
      </c>
      <c r="F1427">
        <v>2018</v>
      </c>
      <c r="G1427" t="s">
        <v>161</v>
      </c>
      <c r="J1427" t="s">
        <v>133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ref="S1427:T1435" si="675">"14:43:36.258"</f>
        <v>14:43:36.258</v>
      </c>
      <c r="T1427" t="str">
        <f t="shared" si="675"/>
        <v>14:43:36.258</v>
      </c>
      <c r="U1427" t="str">
        <f t="shared" si="669"/>
        <v>A9808D</v>
      </c>
      <c r="V1427">
        <v>0</v>
      </c>
      <c r="W1427">
        <v>0</v>
      </c>
      <c r="X1427">
        <v>1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396</v>
      </c>
      <c r="AJ1427">
        <v>28.285675000000001</v>
      </c>
      <c r="AK1427" t="s">
        <v>397</v>
      </c>
      <c r="AL1427">
        <v>-82.375165999999993</v>
      </c>
      <c r="AM1427">
        <v>100</v>
      </c>
      <c r="AN1427">
        <v>1500</v>
      </c>
      <c r="AO1427" t="s">
        <v>118</v>
      </c>
      <c r="AP1427">
        <v>84</v>
      </c>
      <c r="AQ1427">
        <v>-46</v>
      </c>
      <c r="AR1427">
        <v>832</v>
      </c>
      <c r="AZ1427">
        <v>1200</v>
      </c>
      <c r="BA1427">
        <v>1</v>
      </c>
      <c r="BB1427" t="str">
        <f t="shared" si="650"/>
        <v xml:space="preserve">N711JA  </v>
      </c>
      <c r="BC1427">
        <v>1</v>
      </c>
      <c r="BE1427">
        <v>0</v>
      </c>
      <c r="BF1427">
        <v>0</v>
      </c>
      <c r="BG1427">
        <v>0</v>
      </c>
      <c r="BH1427">
        <v>1600</v>
      </c>
      <c r="BI1427">
        <v>1</v>
      </c>
      <c r="BJ1427">
        <v>1</v>
      </c>
      <c r="BK1427">
        <v>0</v>
      </c>
      <c r="BL1427">
        <v>0</v>
      </c>
      <c r="BO1427">
        <v>0</v>
      </c>
      <c r="BP1427">
        <v>0</v>
      </c>
      <c r="BW1427" t="str">
        <f t="shared" ref="BW1427:BW1435" si="676">"14:43:36.263"</f>
        <v>14:43:36.263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343</v>
      </c>
      <c r="CR1427">
        <v>2</v>
      </c>
      <c r="CW1427">
        <v>13051514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 t="shared" si="674"/>
        <v>05/12/2020 14:43:18.434</v>
      </c>
      <c r="C1428" t="str">
        <f t="shared" si="649"/>
        <v>FFDFD3C0</v>
      </c>
      <c r="D1428" t="s">
        <v>113</v>
      </c>
      <c r="E1428">
        <v>3</v>
      </c>
      <c r="H1428">
        <v>164</v>
      </c>
      <c r="I1428" t="s">
        <v>114</v>
      </c>
      <c r="J1428" t="s">
        <v>115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675"/>
        <v>14:43:36.258</v>
      </c>
      <c r="T1428" t="str">
        <f t="shared" si="675"/>
        <v>14:43:36.258</v>
      </c>
      <c r="U1428" t="str">
        <f t="shared" si="669"/>
        <v>A9808D</v>
      </c>
      <c r="V1428">
        <v>0</v>
      </c>
      <c r="W1428">
        <v>0</v>
      </c>
      <c r="X1428">
        <v>1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396</v>
      </c>
      <c r="AJ1428">
        <v>28.285675000000001</v>
      </c>
      <c r="AK1428" t="s">
        <v>397</v>
      </c>
      <c r="AL1428">
        <v>-82.375165999999993</v>
      </c>
      <c r="AM1428">
        <v>100</v>
      </c>
      <c r="AN1428">
        <v>1500</v>
      </c>
      <c r="AO1428" t="s">
        <v>118</v>
      </c>
      <c r="AP1428">
        <v>84</v>
      </c>
      <c r="AQ1428">
        <v>-46</v>
      </c>
      <c r="AR1428">
        <v>832</v>
      </c>
      <c r="AZ1428">
        <v>1200</v>
      </c>
      <c r="BA1428">
        <v>1</v>
      </c>
      <c r="BB1428" t="str">
        <f t="shared" si="650"/>
        <v xml:space="preserve">N711JA  </v>
      </c>
      <c r="BC1428">
        <v>1</v>
      </c>
      <c r="BE1428">
        <v>0</v>
      </c>
      <c r="BF1428">
        <v>0</v>
      </c>
      <c r="BG1428">
        <v>0</v>
      </c>
      <c r="BH1428">
        <v>1600</v>
      </c>
      <c r="BI1428">
        <v>1</v>
      </c>
      <c r="BJ1428">
        <v>1</v>
      </c>
      <c r="BK1428">
        <v>0</v>
      </c>
      <c r="BL1428">
        <v>0</v>
      </c>
      <c r="BO1428">
        <v>0</v>
      </c>
      <c r="BP1428">
        <v>0</v>
      </c>
      <c r="BW1428" t="str">
        <f t="shared" si="676"/>
        <v>14:43:36.263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343</v>
      </c>
      <c r="CR1428">
        <v>2</v>
      </c>
      <c r="CW1428">
        <v>13051514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 t="shared" si="674"/>
        <v>05/12/2020 14:43:18.434</v>
      </c>
      <c r="C1429" t="str">
        <f t="shared" si="649"/>
        <v>FFDFD3C0</v>
      </c>
      <c r="D1429" t="s">
        <v>138</v>
      </c>
      <c r="E1429">
        <v>2</v>
      </c>
      <c r="H1429">
        <v>8</v>
      </c>
      <c r="I1429" t="s">
        <v>139</v>
      </c>
      <c r="J1429" t="s">
        <v>136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675"/>
        <v>14:43:36.258</v>
      </c>
      <c r="T1429" t="str">
        <f t="shared" si="675"/>
        <v>14:43:36.258</v>
      </c>
      <c r="U1429" t="str">
        <f t="shared" si="669"/>
        <v>A9808D</v>
      </c>
      <c r="V1429">
        <v>0</v>
      </c>
      <c r="W1429">
        <v>0</v>
      </c>
      <c r="X1429">
        <v>1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396</v>
      </c>
      <c r="AJ1429">
        <v>28.285675000000001</v>
      </c>
      <c r="AK1429" t="s">
        <v>397</v>
      </c>
      <c r="AL1429">
        <v>-82.375165999999993</v>
      </c>
      <c r="AM1429">
        <v>100</v>
      </c>
      <c r="AN1429">
        <v>1500</v>
      </c>
      <c r="AO1429" t="s">
        <v>118</v>
      </c>
      <c r="AP1429">
        <v>84</v>
      </c>
      <c r="AQ1429">
        <v>-46</v>
      </c>
      <c r="AR1429">
        <v>832</v>
      </c>
      <c r="AZ1429">
        <v>1200</v>
      </c>
      <c r="BA1429">
        <v>1</v>
      </c>
      <c r="BB1429" t="str">
        <f t="shared" si="650"/>
        <v xml:space="preserve">N711JA  </v>
      </c>
      <c r="BC1429">
        <v>1</v>
      </c>
      <c r="BE1429">
        <v>0</v>
      </c>
      <c r="BF1429">
        <v>0</v>
      </c>
      <c r="BG1429">
        <v>0</v>
      </c>
      <c r="BH1429">
        <v>1600</v>
      </c>
      <c r="BI1429">
        <v>1</v>
      </c>
      <c r="BJ1429">
        <v>1</v>
      </c>
      <c r="BK1429">
        <v>0</v>
      </c>
      <c r="BL1429">
        <v>0</v>
      </c>
      <c r="BO1429">
        <v>0</v>
      </c>
      <c r="BP1429">
        <v>0</v>
      </c>
      <c r="BW1429" t="str">
        <f t="shared" si="676"/>
        <v>14:43:36.263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343</v>
      </c>
      <c r="CR1429">
        <v>2</v>
      </c>
      <c r="CW1429">
        <v>13051514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 t="shared" si="674"/>
        <v>05/12/2020 14:43:18.434</v>
      </c>
      <c r="C1430" t="str">
        <f t="shared" ref="C1430:C1493" si="677">"FFDFD3C0"</f>
        <v>FFDFD3C0</v>
      </c>
      <c r="D1430" t="s">
        <v>138</v>
      </c>
      <c r="E1430">
        <v>3</v>
      </c>
      <c r="H1430">
        <v>9</v>
      </c>
      <c r="I1430" t="s">
        <v>140</v>
      </c>
      <c r="J1430" t="s">
        <v>136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675"/>
        <v>14:43:36.258</v>
      </c>
      <c r="T1430" t="str">
        <f t="shared" si="675"/>
        <v>14:43:36.258</v>
      </c>
      <c r="U1430" t="str">
        <f t="shared" si="669"/>
        <v>A9808D</v>
      </c>
      <c r="V1430">
        <v>0</v>
      </c>
      <c r="W1430">
        <v>0</v>
      </c>
      <c r="X1430">
        <v>1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396</v>
      </c>
      <c r="AJ1430">
        <v>28.285675000000001</v>
      </c>
      <c r="AK1430" t="s">
        <v>397</v>
      </c>
      <c r="AL1430">
        <v>-82.375165999999993</v>
      </c>
      <c r="AM1430">
        <v>100</v>
      </c>
      <c r="AN1430">
        <v>1500</v>
      </c>
      <c r="AO1430" t="s">
        <v>118</v>
      </c>
      <c r="AP1430">
        <v>84</v>
      </c>
      <c r="AQ1430">
        <v>-46</v>
      </c>
      <c r="AR1430">
        <v>832</v>
      </c>
      <c r="AZ1430">
        <v>1200</v>
      </c>
      <c r="BA1430">
        <v>1</v>
      </c>
      <c r="BB1430" t="str">
        <f t="shared" ref="BB1430:BB1493" si="678">"N711JA  "</f>
        <v xml:space="preserve">N711JA  </v>
      </c>
      <c r="BC1430">
        <v>1</v>
      </c>
      <c r="BE1430">
        <v>0</v>
      </c>
      <c r="BF1430">
        <v>0</v>
      </c>
      <c r="BG1430">
        <v>0</v>
      </c>
      <c r="BH1430">
        <v>1600</v>
      </c>
      <c r="BI1430">
        <v>1</v>
      </c>
      <c r="BJ1430">
        <v>1</v>
      </c>
      <c r="BK1430">
        <v>0</v>
      </c>
      <c r="BL1430">
        <v>0</v>
      </c>
      <c r="BO1430">
        <v>0</v>
      </c>
      <c r="BP1430">
        <v>0</v>
      </c>
      <c r="BW1430" t="str">
        <f t="shared" si="676"/>
        <v>14:43:36.263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343</v>
      </c>
      <c r="CR1430">
        <v>2</v>
      </c>
      <c r="CW1430">
        <v>13051514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 t="shared" si="674"/>
        <v>05/12/2020 14:43:18.434</v>
      </c>
      <c r="C1431" t="str">
        <f t="shared" si="677"/>
        <v>FFDFD3C0</v>
      </c>
      <c r="D1431" t="s">
        <v>126</v>
      </c>
      <c r="E1431">
        <v>6</v>
      </c>
      <c r="F1431">
        <v>1006</v>
      </c>
      <c r="G1431" t="s">
        <v>114</v>
      </c>
      <c r="J1431" t="s">
        <v>128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675"/>
        <v>14:43:36.258</v>
      </c>
      <c r="T1431" t="str">
        <f t="shared" si="675"/>
        <v>14:43:36.258</v>
      </c>
      <c r="U1431" t="str">
        <f t="shared" si="669"/>
        <v>A9808D</v>
      </c>
      <c r="V1431">
        <v>0</v>
      </c>
      <c r="W1431">
        <v>0</v>
      </c>
      <c r="X1431">
        <v>1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396</v>
      </c>
      <c r="AJ1431">
        <v>28.285675000000001</v>
      </c>
      <c r="AK1431" t="s">
        <v>397</v>
      </c>
      <c r="AL1431">
        <v>-82.375165999999993</v>
      </c>
      <c r="AM1431">
        <v>100</v>
      </c>
      <c r="AN1431">
        <v>1500</v>
      </c>
      <c r="AO1431" t="s">
        <v>118</v>
      </c>
      <c r="AP1431">
        <v>84</v>
      </c>
      <c r="AQ1431">
        <v>-46</v>
      </c>
      <c r="AR1431">
        <v>832</v>
      </c>
      <c r="AZ1431">
        <v>1200</v>
      </c>
      <c r="BA1431">
        <v>1</v>
      </c>
      <c r="BB1431" t="str">
        <f t="shared" si="678"/>
        <v xml:space="preserve">N711JA  </v>
      </c>
      <c r="BC1431">
        <v>1</v>
      </c>
      <c r="BE1431">
        <v>0</v>
      </c>
      <c r="BF1431">
        <v>0</v>
      </c>
      <c r="BG1431">
        <v>0</v>
      </c>
      <c r="BH1431">
        <v>1600</v>
      </c>
      <c r="BI1431">
        <v>1</v>
      </c>
      <c r="BJ1431">
        <v>1</v>
      </c>
      <c r="BK1431">
        <v>0</v>
      </c>
      <c r="BL1431">
        <v>0</v>
      </c>
      <c r="BO1431">
        <v>0</v>
      </c>
      <c r="BP1431">
        <v>0</v>
      </c>
      <c r="BW1431" t="str">
        <f t="shared" si="676"/>
        <v>14:43:36.263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343</v>
      </c>
      <c r="CR1431">
        <v>2</v>
      </c>
      <c r="CW1431">
        <v>13051514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 t="shared" si="674"/>
        <v>05/12/2020 14:43:18.434</v>
      </c>
      <c r="C1432" t="str">
        <f t="shared" si="677"/>
        <v>FFDFD3C0</v>
      </c>
      <c r="D1432" t="s">
        <v>134</v>
      </c>
      <c r="E1432">
        <v>12</v>
      </c>
      <c r="H1432">
        <v>64</v>
      </c>
      <c r="I1432" t="s">
        <v>135</v>
      </c>
      <c r="J1432" t="s">
        <v>136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675"/>
        <v>14:43:36.258</v>
      </c>
      <c r="T1432" t="str">
        <f t="shared" si="675"/>
        <v>14:43:36.258</v>
      </c>
      <c r="U1432" t="str">
        <f t="shared" si="669"/>
        <v>A9808D</v>
      </c>
      <c r="V1432">
        <v>0</v>
      </c>
      <c r="W1432">
        <v>0</v>
      </c>
      <c r="X1432">
        <v>1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396</v>
      </c>
      <c r="AJ1432">
        <v>28.285675000000001</v>
      </c>
      <c r="AK1432" t="s">
        <v>397</v>
      </c>
      <c r="AL1432">
        <v>-82.375165999999993</v>
      </c>
      <c r="AM1432">
        <v>100</v>
      </c>
      <c r="AN1432">
        <v>1500</v>
      </c>
      <c r="AO1432" t="s">
        <v>118</v>
      </c>
      <c r="AP1432">
        <v>84</v>
      </c>
      <c r="AQ1432">
        <v>-46</v>
      </c>
      <c r="AR1432">
        <v>832</v>
      </c>
      <c r="AZ1432">
        <v>1200</v>
      </c>
      <c r="BA1432">
        <v>1</v>
      </c>
      <c r="BB1432" t="str">
        <f t="shared" si="678"/>
        <v xml:space="preserve">N711JA  </v>
      </c>
      <c r="BC1432">
        <v>1</v>
      </c>
      <c r="BE1432">
        <v>0</v>
      </c>
      <c r="BF1432">
        <v>0</v>
      </c>
      <c r="BG1432">
        <v>0</v>
      </c>
      <c r="BH1432">
        <v>1600</v>
      </c>
      <c r="BI1432">
        <v>1</v>
      </c>
      <c r="BJ1432">
        <v>1</v>
      </c>
      <c r="BK1432">
        <v>0</v>
      </c>
      <c r="BL1432">
        <v>0</v>
      </c>
      <c r="BO1432">
        <v>0</v>
      </c>
      <c r="BP1432">
        <v>0</v>
      </c>
      <c r="BW1432" t="str">
        <f t="shared" si="676"/>
        <v>14:43:36.263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343</v>
      </c>
      <c r="CR1432">
        <v>2</v>
      </c>
      <c r="CW1432">
        <v>13051514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 t="shared" si="674"/>
        <v>05/12/2020 14:43:18.434</v>
      </c>
      <c r="C1433" t="str">
        <f t="shared" si="677"/>
        <v>FFDFD3C0</v>
      </c>
      <c r="D1433" t="s">
        <v>126</v>
      </c>
      <c r="E1433">
        <v>7</v>
      </c>
      <c r="F1433">
        <v>1007</v>
      </c>
      <c r="G1433" t="s">
        <v>127</v>
      </c>
      <c r="J1433" t="s">
        <v>128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675"/>
        <v>14:43:36.258</v>
      </c>
      <c r="T1433" t="str">
        <f t="shared" si="675"/>
        <v>14:43:36.258</v>
      </c>
      <c r="U1433" t="str">
        <f t="shared" si="669"/>
        <v>A9808D</v>
      </c>
      <c r="V1433">
        <v>0</v>
      </c>
      <c r="W1433">
        <v>0</v>
      </c>
      <c r="X1433">
        <v>1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396</v>
      </c>
      <c r="AJ1433">
        <v>28.285675000000001</v>
      </c>
      <c r="AK1433" t="s">
        <v>397</v>
      </c>
      <c r="AL1433">
        <v>-82.375165999999993</v>
      </c>
      <c r="AM1433">
        <v>100</v>
      </c>
      <c r="AN1433">
        <v>1500</v>
      </c>
      <c r="AO1433" t="s">
        <v>118</v>
      </c>
      <c r="AP1433">
        <v>84</v>
      </c>
      <c r="AQ1433">
        <v>-46</v>
      </c>
      <c r="AR1433">
        <v>832</v>
      </c>
      <c r="AZ1433">
        <v>1200</v>
      </c>
      <c r="BA1433">
        <v>1</v>
      </c>
      <c r="BB1433" t="str">
        <f t="shared" si="678"/>
        <v xml:space="preserve">N711JA  </v>
      </c>
      <c r="BC1433">
        <v>1</v>
      </c>
      <c r="BE1433">
        <v>0</v>
      </c>
      <c r="BF1433">
        <v>0</v>
      </c>
      <c r="BG1433">
        <v>0</v>
      </c>
      <c r="BH1433">
        <v>1600</v>
      </c>
      <c r="BI1433">
        <v>1</v>
      </c>
      <c r="BJ1433">
        <v>1</v>
      </c>
      <c r="BK1433">
        <v>0</v>
      </c>
      <c r="BL1433">
        <v>0</v>
      </c>
      <c r="BO1433">
        <v>0</v>
      </c>
      <c r="BP1433">
        <v>0</v>
      </c>
      <c r="BW1433" t="str">
        <f t="shared" si="676"/>
        <v>14:43:36.263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343</v>
      </c>
      <c r="CR1433">
        <v>2</v>
      </c>
      <c r="CW1433">
        <v>13051514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 t="shared" si="674"/>
        <v>05/12/2020 14:43:18.434</v>
      </c>
      <c r="C1434" t="str">
        <f t="shared" si="677"/>
        <v>FFDFD3C0</v>
      </c>
      <c r="D1434" t="s">
        <v>131</v>
      </c>
      <c r="E1434">
        <v>10</v>
      </c>
      <c r="F1434">
        <v>2010</v>
      </c>
      <c r="G1434" t="s">
        <v>132</v>
      </c>
      <c r="J1434" t="s">
        <v>133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675"/>
        <v>14:43:36.258</v>
      </c>
      <c r="T1434" t="str">
        <f t="shared" si="675"/>
        <v>14:43:36.258</v>
      </c>
      <c r="U1434" t="str">
        <f t="shared" si="669"/>
        <v>A9808D</v>
      </c>
      <c r="V1434">
        <v>0</v>
      </c>
      <c r="W1434">
        <v>0</v>
      </c>
      <c r="X1434">
        <v>1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396</v>
      </c>
      <c r="AJ1434">
        <v>28.285675000000001</v>
      </c>
      <c r="AK1434" t="s">
        <v>397</v>
      </c>
      <c r="AL1434">
        <v>-82.375165999999993</v>
      </c>
      <c r="AM1434">
        <v>100</v>
      </c>
      <c r="AN1434">
        <v>1500</v>
      </c>
      <c r="AO1434" t="s">
        <v>118</v>
      </c>
      <c r="AP1434">
        <v>84</v>
      </c>
      <c r="AQ1434">
        <v>-46</v>
      </c>
      <c r="AR1434">
        <v>832</v>
      </c>
      <c r="AZ1434">
        <v>1200</v>
      </c>
      <c r="BA1434">
        <v>1</v>
      </c>
      <c r="BB1434" t="str">
        <f t="shared" si="678"/>
        <v xml:space="preserve">N711JA  </v>
      </c>
      <c r="BC1434">
        <v>1</v>
      </c>
      <c r="BE1434">
        <v>0</v>
      </c>
      <c r="BF1434">
        <v>0</v>
      </c>
      <c r="BG1434">
        <v>0</v>
      </c>
      <c r="BH1434">
        <v>1600</v>
      </c>
      <c r="BI1434">
        <v>1</v>
      </c>
      <c r="BJ1434">
        <v>1</v>
      </c>
      <c r="BK1434">
        <v>0</v>
      </c>
      <c r="BL1434">
        <v>0</v>
      </c>
      <c r="BO1434">
        <v>0</v>
      </c>
      <c r="BP1434">
        <v>0</v>
      </c>
      <c r="BW1434" t="str">
        <f t="shared" si="676"/>
        <v>14:43:36.263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343</v>
      </c>
      <c r="CR1434">
        <v>2</v>
      </c>
      <c r="CW1434">
        <v>13051514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 t="shared" si="674"/>
        <v>05/12/2020 14:43:18.434</v>
      </c>
      <c r="C1435" t="str">
        <f t="shared" si="677"/>
        <v>FFDFD3C0</v>
      </c>
      <c r="D1435" t="s">
        <v>131</v>
      </c>
      <c r="E1435">
        <v>12</v>
      </c>
      <c r="F1435">
        <v>2012</v>
      </c>
      <c r="G1435" t="s">
        <v>137</v>
      </c>
      <c r="J1435" t="s">
        <v>133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675"/>
        <v>14:43:36.258</v>
      </c>
      <c r="T1435" t="str">
        <f t="shared" si="675"/>
        <v>14:43:36.258</v>
      </c>
      <c r="U1435" t="str">
        <f t="shared" si="669"/>
        <v>A9808D</v>
      </c>
      <c r="V1435">
        <v>0</v>
      </c>
      <c r="W1435">
        <v>0</v>
      </c>
      <c r="X1435">
        <v>1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396</v>
      </c>
      <c r="AJ1435">
        <v>28.285675000000001</v>
      </c>
      <c r="AK1435" t="s">
        <v>397</v>
      </c>
      <c r="AL1435">
        <v>-82.375165999999993</v>
      </c>
      <c r="AM1435">
        <v>100</v>
      </c>
      <c r="AN1435">
        <v>1500</v>
      </c>
      <c r="AO1435" t="s">
        <v>118</v>
      </c>
      <c r="AP1435">
        <v>84</v>
      </c>
      <c r="AQ1435">
        <v>-46</v>
      </c>
      <c r="AR1435">
        <v>832</v>
      </c>
      <c r="AZ1435">
        <v>1200</v>
      </c>
      <c r="BA1435">
        <v>1</v>
      </c>
      <c r="BB1435" t="str">
        <f t="shared" si="678"/>
        <v xml:space="preserve">N711JA  </v>
      </c>
      <c r="BC1435">
        <v>1</v>
      </c>
      <c r="BE1435">
        <v>0</v>
      </c>
      <c r="BF1435">
        <v>0</v>
      </c>
      <c r="BG1435">
        <v>0</v>
      </c>
      <c r="BH1435">
        <v>1600</v>
      </c>
      <c r="BI1435">
        <v>1</v>
      </c>
      <c r="BJ1435">
        <v>1</v>
      </c>
      <c r="BK1435">
        <v>0</v>
      </c>
      <c r="BL1435">
        <v>0</v>
      </c>
      <c r="BO1435">
        <v>0</v>
      </c>
      <c r="BP1435">
        <v>0</v>
      </c>
      <c r="BW1435" t="str">
        <f t="shared" si="676"/>
        <v>14:43:36.263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343</v>
      </c>
      <c r="CR1435">
        <v>2</v>
      </c>
      <c r="CW1435">
        <v>13051514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 t="shared" ref="A1436:A1444" si="679">"05/12/2020 14:43:19.536"</f>
        <v>05/12/2020 14:43:19.536</v>
      </c>
      <c r="C1436" t="str">
        <f t="shared" si="677"/>
        <v>FFDFD3C0</v>
      </c>
      <c r="D1436" t="s">
        <v>134</v>
      </c>
      <c r="E1436">
        <v>12</v>
      </c>
      <c r="H1436">
        <v>64</v>
      </c>
      <c r="I1436" t="s">
        <v>135</v>
      </c>
      <c r="J1436" t="s">
        <v>136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ref="S1436:S1444" si="680">"14:43:37.367"</f>
        <v>14:43:37.367</v>
      </c>
      <c r="T1436" t="str">
        <f t="shared" ref="T1436:T1444" si="681">"14:43:37.167"</f>
        <v>14:43:37.167</v>
      </c>
      <c r="U1436" t="str">
        <f t="shared" si="669"/>
        <v>A9808D</v>
      </c>
      <c r="V1436">
        <v>0</v>
      </c>
      <c r="W1436">
        <v>0</v>
      </c>
      <c r="X1436">
        <v>1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398</v>
      </c>
      <c r="AJ1436">
        <v>28.28546</v>
      </c>
      <c r="AK1436" t="s">
        <v>399</v>
      </c>
      <c r="AL1436">
        <v>-82.374673000000001</v>
      </c>
      <c r="AM1436">
        <v>100</v>
      </c>
      <c r="AN1436">
        <v>1500</v>
      </c>
      <c r="AO1436" t="s">
        <v>118</v>
      </c>
      <c r="AP1436">
        <v>84</v>
      </c>
      <c r="AQ1436">
        <v>-45</v>
      </c>
      <c r="AR1436">
        <v>640</v>
      </c>
      <c r="AZ1436">
        <v>1200</v>
      </c>
      <c r="BA1436">
        <v>1</v>
      </c>
      <c r="BB1436" t="str">
        <f t="shared" si="678"/>
        <v xml:space="preserve">N711JA  </v>
      </c>
      <c r="BC1436">
        <v>1</v>
      </c>
      <c r="BE1436">
        <v>0</v>
      </c>
      <c r="BF1436">
        <v>0</v>
      </c>
      <c r="BG1436">
        <v>0</v>
      </c>
      <c r="BH1436">
        <v>1625</v>
      </c>
      <c r="BI1436">
        <v>1</v>
      </c>
      <c r="BJ1436">
        <v>1</v>
      </c>
      <c r="BK1436">
        <v>0</v>
      </c>
      <c r="BL1436">
        <v>0</v>
      </c>
      <c r="BO1436">
        <v>0</v>
      </c>
      <c r="BP1436">
        <v>0</v>
      </c>
      <c r="BW1436" t="str">
        <f t="shared" ref="BW1436:BW1444" si="682">"14:43:37.373"</f>
        <v>14:43:37.373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343</v>
      </c>
      <c r="CR1436">
        <v>1</v>
      </c>
      <c r="CW1436">
        <v>10670238</v>
      </c>
      <c r="CY1436">
        <v>1</v>
      </c>
      <c r="CZ1436">
        <v>0</v>
      </c>
      <c r="DA1436">
        <v>0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 t="shared" si="679"/>
        <v>05/12/2020 14:43:19.536</v>
      </c>
      <c r="C1437" t="str">
        <f t="shared" si="677"/>
        <v>FFDFD3C0</v>
      </c>
      <c r="D1437" t="s">
        <v>126</v>
      </c>
      <c r="E1437">
        <v>7</v>
      </c>
      <c r="F1437">
        <v>1007</v>
      </c>
      <c r="G1437" t="s">
        <v>127</v>
      </c>
      <c r="J1437" t="s">
        <v>128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680"/>
        <v>14:43:37.367</v>
      </c>
      <c r="T1437" t="str">
        <f t="shared" si="681"/>
        <v>14:43:37.167</v>
      </c>
      <c r="U1437" t="str">
        <f t="shared" si="669"/>
        <v>A9808D</v>
      </c>
      <c r="V1437">
        <v>0</v>
      </c>
      <c r="W1437">
        <v>0</v>
      </c>
      <c r="X1437">
        <v>1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398</v>
      </c>
      <c r="AJ1437">
        <v>28.28546</v>
      </c>
      <c r="AK1437" t="s">
        <v>399</v>
      </c>
      <c r="AL1437">
        <v>-82.374673000000001</v>
      </c>
      <c r="AM1437">
        <v>100</v>
      </c>
      <c r="AN1437">
        <v>1500</v>
      </c>
      <c r="AO1437" t="s">
        <v>118</v>
      </c>
      <c r="AP1437">
        <v>84</v>
      </c>
      <c r="AQ1437">
        <v>-45</v>
      </c>
      <c r="AR1437">
        <v>640</v>
      </c>
      <c r="AZ1437">
        <v>1200</v>
      </c>
      <c r="BA1437">
        <v>1</v>
      </c>
      <c r="BB1437" t="str">
        <f t="shared" si="678"/>
        <v xml:space="preserve">N711JA  </v>
      </c>
      <c r="BC1437">
        <v>1</v>
      </c>
      <c r="BE1437">
        <v>0</v>
      </c>
      <c r="BF1437">
        <v>0</v>
      </c>
      <c r="BG1437">
        <v>0</v>
      </c>
      <c r="BH1437">
        <v>1625</v>
      </c>
      <c r="BI1437">
        <v>1</v>
      </c>
      <c r="BJ1437">
        <v>1</v>
      </c>
      <c r="BK1437">
        <v>0</v>
      </c>
      <c r="BL1437">
        <v>0</v>
      </c>
      <c r="BO1437">
        <v>0</v>
      </c>
      <c r="BP1437">
        <v>0</v>
      </c>
      <c r="BW1437" t="str">
        <f t="shared" si="682"/>
        <v>14:43:37.373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343</v>
      </c>
      <c r="CR1437">
        <v>1</v>
      </c>
      <c r="CW1437">
        <v>10670238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si="679"/>
        <v>05/12/2020 14:43:19.536</v>
      </c>
      <c r="C1438" t="str">
        <f t="shared" si="677"/>
        <v>FFDFD3C0</v>
      </c>
      <c r="D1438" t="s">
        <v>131</v>
      </c>
      <c r="E1438">
        <v>10</v>
      </c>
      <c r="F1438">
        <v>2010</v>
      </c>
      <c r="G1438" t="s">
        <v>132</v>
      </c>
      <c r="J1438" t="s">
        <v>133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680"/>
        <v>14:43:37.367</v>
      </c>
      <c r="T1438" t="str">
        <f t="shared" si="681"/>
        <v>14:43:37.167</v>
      </c>
      <c r="U1438" t="str">
        <f t="shared" si="669"/>
        <v>A9808D</v>
      </c>
      <c r="V1438">
        <v>0</v>
      </c>
      <c r="W1438">
        <v>0</v>
      </c>
      <c r="X1438">
        <v>1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398</v>
      </c>
      <c r="AJ1438">
        <v>28.28546</v>
      </c>
      <c r="AK1438" t="s">
        <v>399</v>
      </c>
      <c r="AL1438">
        <v>-82.374673000000001</v>
      </c>
      <c r="AM1438">
        <v>100</v>
      </c>
      <c r="AN1438">
        <v>1500</v>
      </c>
      <c r="AO1438" t="s">
        <v>118</v>
      </c>
      <c r="AP1438">
        <v>84</v>
      </c>
      <c r="AQ1438">
        <v>-45</v>
      </c>
      <c r="AR1438">
        <v>640</v>
      </c>
      <c r="AZ1438">
        <v>1200</v>
      </c>
      <c r="BA1438">
        <v>1</v>
      </c>
      <c r="BB1438" t="str">
        <f t="shared" si="678"/>
        <v xml:space="preserve">N711JA  </v>
      </c>
      <c r="BC1438">
        <v>1</v>
      </c>
      <c r="BE1438">
        <v>0</v>
      </c>
      <c r="BF1438">
        <v>0</v>
      </c>
      <c r="BG1438">
        <v>0</v>
      </c>
      <c r="BH1438">
        <v>1625</v>
      </c>
      <c r="BI1438">
        <v>1</v>
      </c>
      <c r="BJ1438">
        <v>1</v>
      </c>
      <c r="BK1438">
        <v>0</v>
      </c>
      <c r="BL1438">
        <v>0</v>
      </c>
      <c r="BO1438">
        <v>0</v>
      </c>
      <c r="BP1438">
        <v>0</v>
      </c>
      <c r="BW1438" t="str">
        <f t="shared" si="682"/>
        <v>14:43:37.373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343</v>
      </c>
      <c r="CR1438">
        <v>1</v>
      </c>
      <c r="CW1438">
        <v>10670238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 t="shared" si="679"/>
        <v>05/12/2020 14:43:19.536</v>
      </c>
      <c r="C1439" t="str">
        <f t="shared" si="677"/>
        <v>FFDFD3C0</v>
      </c>
      <c r="D1439" t="s">
        <v>131</v>
      </c>
      <c r="E1439">
        <v>12</v>
      </c>
      <c r="F1439">
        <v>2012</v>
      </c>
      <c r="G1439" t="s">
        <v>137</v>
      </c>
      <c r="J1439" t="s">
        <v>133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680"/>
        <v>14:43:37.367</v>
      </c>
      <c r="T1439" t="str">
        <f t="shared" si="681"/>
        <v>14:43:37.167</v>
      </c>
      <c r="U1439" t="str">
        <f t="shared" si="669"/>
        <v>A9808D</v>
      </c>
      <c r="V1439">
        <v>0</v>
      </c>
      <c r="W1439">
        <v>0</v>
      </c>
      <c r="X1439">
        <v>1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398</v>
      </c>
      <c r="AJ1439">
        <v>28.28546</v>
      </c>
      <c r="AK1439" t="s">
        <v>399</v>
      </c>
      <c r="AL1439">
        <v>-82.374673000000001</v>
      </c>
      <c r="AM1439">
        <v>100</v>
      </c>
      <c r="AN1439">
        <v>1500</v>
      </c>
      <c r="AO1439" t="s">
        <v>118</v>
      </c>
      <c r="AP1439">
        <v>84</v>
      </c>
      <c r="AQ1439">
        <v>-45</v>
      </c>
      <c r="AR1439">
        <v>640</v>
      </c>
      <c r="AZ1439">
        <v>1200</v>
      </c>
      <c r="BA1439">
        <v>1</v>
      </c>
      <c r="BB1439" t="str">
        <f t="shared" si="678"/>
        <v xml:space="preserve">N711JA  </v>
      </c>
      <c r="BC1439">
        <v>1</v>
      </c>
      <c r="BE1439">
        <v>0</v>
      </c>
      <c r="BF1439">
        <v>0</v>
      </c>
      <c r="BG1439">
        <v>0</v>
      </c>
      <c r="BH1439">
        <v>1625</v>
      </c>
      <c r="BI1439">
        <v>1</v>
      </c>
      <c r="BJ1439">
        <v>1</v>
      </c>
      <c r="BK1439">
        <v>0</v>
      </c>
      <c r="BL1439">
        <v>0</v>
      </c>
      <c r="BO1439">
        <v>0</v>
      </c>
      <c r="BP1439">
        <v>0</v>
      </c>
      <c r="BW1439" t="str">
        <f t="shared" si="682"/>
        <v>14:43:37.373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343</v>
      </c>
      <c r="CR1439">
        <v>1</v>
      </c>
      <c r="CW1439">
        <v>10670238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 t="shared" si="679"/>
        <v>05/12/2020 14:43:19.536</v>
      </c>
      <c r="C1440" t="str">
        <f t="shared" si="677"/>
        <v>FFDFD3C0</v>
      </c>
      <c r="D1440" t="s">
        <v>131</v>
      </c>
      <c r="E1440">
        <v>18</v>
      </c>
      <c r="F1440">
        <v>2018</v>
      </c>
      <c r="G1440" t="s">
        <v>161</v>
      </c>
      <c r="J1440" t="s">
        <v>133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680"/>
        <v>14:43:37.367</v>
      </c>
      <c r="T1440" t="str">
        <f t="shared" si="681"/>
        <v>14:43:37.167</v>
      </c>
      <c r="U1440" t="str">
        <f t="shared" si="669"/>
        <v>A9808D</v>
      </c>
      <c r="V1440">
        <v>0</v>
      </c>
      <c r="W1440">
        <v>0</v>
      </c>
      <c r="X1440">
        <v>1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398</v>
      </c>
      <c r="AJ1440">
        <v>28.28546</v>
      </c>
      <c r="AK1440" t="s">
        <v>399</v>
      </c>
      <c r="AL1440">
        <v>-82.374673000000001</v>
      </c>
      <c r="AM1440">
        <v>100</v>
      </c>
      <c r="AN1440">
        <v>1500</v>
      </c>
      <c r="AO1440" t="s">
        <v>118</v>
      </c>
      <c r="AP1440">
        <v>84</v>
      </c>
      <c r="AQ1440">
        <v>-45</v>
      </c>
      <c r="AR1440">
        <v>640</v>
      </c>
      <c r="AZ1440">
        <v>1200</v>
      </c>
      <c r="BA1440">
        <v>1</v>
      </c>
      <c r="BB1440" t="str">
        <f t="shared" si="678"/>
        <v xml:space="preserve">N711JA  </v>
      </c>
      <c r="BC1440">
        <v>1</v>
      </c>
      <c r="BE1440">
        <v>0</v>
      </c>
      <c r="BF1440">
        <v>0</v>
      </c>
      <c r="BG1440">
        <v>0</v>
      </c>
      <c r="BH1440">
        <v>1625</v>
      </c>
      <c r="BI1440">
        <v>1</v>
      </c>
      <c r="BJ1440">
        <v>1</v>
      </c>
      <c r="BK1440">
        <v>0</v>
      </c>
      <c r="BL1440">
        <v>0</v>
      </c>
      <c r="BO1440">
        <v>0</v>
      </c>
      <c r="BP1440">
        <v>0</v>
      </c>
      <c r="BW1440" t="str">
        <f t="shared" si="682"/>
        <v>14:43:37.373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343</v>
      </c>
      <c r="CR1440">
        <v>1</v>
      </c>
      <c r="CW1440">
        <v>10670238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 t="shared" si="679"/>
        <v>05/12/2020 14:43:19.536</v>
      </c>
      <c r="C1441" t="str">
        <f t="shared" si="677"/>
        <v>FFDFD3C0</v>
      </c>
      <c r="D1441" t="s">
        <v>138</v>
      </c>
      <c r="E1441">
        <v>2</v>
      </c>
      <c r="H1441">
        <v>8</v>
      </c>
      <c r="I1441" t="s">
        <v>139</v>
      </c>
      <c r="J1441" t="s">
        <v>136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680"/>
        <v>14:43:37.367</v>
      </c>
      <c r="T1441" t="str">
        <f t="shared" si="681"/>
        <v>14:43:37.167</v>
      </c>
      <c r="U1441" t="str">
        <f t="shared" si="669"/>
        <v>A9808D</v>
      </c>
      <c r="V1441">
        <v>0</v>
      </c>
      <c r="W1441">
        <v>0</v>
      </c>
      <c r="X1441">
        <v>1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398</v>
      </c>
      <c r="AJ1441">
        <v>28.28546</v>
      </c>
      <c r="AK1441" t="s">
        <v>399</v>
      </c>
      <c r="AL1441">
        <v>-82.374673000000001</v>
      </c>
      <c r="AM1441">
        <v>100</v>
      </c>
      <c r="AN1441">
        <v>1500</v>
      </c>
      <c r="AO1441" t="s">
        <v>118</v>
      </c>
      <c r="AP1441">
        <v>84</v>
      </c>
      <c r="AQ1441">
        <v>-45</v>
      </c>
      <c r="AR1441">
        <v>640</v>
      </c>
      <c r="AZ1441">
        <v>1200</v>
      </c>
      <c r="BA1441">
        <v>1</v>
      </c>
      <c r="BB1441" t="str">
        <f t="shared" si="678"/>
        <v xml:space="preserve">N711JA  </v>
      </c>
      <c r="BC1441">
        <v>1</v>
      </c>
      <c r="BE1441">
        <v>0</v>
      </c>
      <c r="BF1441">
        <v>0</v>
      </c>
      <c r="BG1441">
        <v>0</v>
      </c>
      <c r="BH1441">
        <v>1625</v>
      </c>
      <c r="BI1441">
        <v>1</v>
      </c>
      <c r="BJ1441">
        <v>1</v>
      </c>
      <c r="BK1441">
        <v>0</v>
      </c>
      <c r="BL1441">
        <v>0</v>
      </c>
      <c r="BO1441">
        <v>0</v>
      </c>
      <c r="BP1441">
        <v>0</v>
      </c>
      <c r="BW1441" t="str">
        <f t="shared" si="682"/>
        <v>14:43:37.373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343</v>
      </c>
      <c r="CR1441">
        <v>1</v>
      </c>
      <c r="CW1441">
        <v>10670238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 t="shared" si="679"/>
        <v>05/12/2020 14:43:19.536</v>
      </c>
      <c r="C1442" t="str">
        <f t="shared" si="677"/>
        <v>FFDFD3C0</v>
      </c>
      <c r="D1442" t="s">
        <v>113</v>
      </c>
      <c r="E1442">
        <v>3</v>
      </c>
      <c r="H1442">
        <v>164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680"/>
        <v>14:43:37.367</v>
      </c>
      <c r="T1442" t="str">
        <f t="shared" si="681"/>
        <v>14:43:37.167</v>
      </c>
      <c r="U1442" t="str">
        <f t="shared" si="669"/>
        <v>A9808D</v>
      </c>
      <c r="V1442">
        <v>0</v>
      </c>
      <c r="W1442">
        <v>0</v>
      </c>
      <c r="X1442">
        <v>1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398</v>
      </c>
      <c r="AJ1442">
        <v>28.28546</v>
      </c>
      <c r="AK1442" t="s">
        <v>399</v>
      </c>
      <c r="AL1442">
        <v>-82.374673000000001</v>
      </c>
      <c r="AM1442">
        <v>100</v>
      </c>
      <c r="AN1442">
        <v>1500</v>
      </c>
      <c r="AO1442" t="s">
        <v>118</v>
      </c>
      <c r="AP1442">
        <v>84</v>
      </c>
      <c r="AQ1442">
        <v>-45</v>
      </c>
      <c r="AR1442">
        <v>640</v>
      </c>
      <c r="AZ1442">
        <v>1200</v>
      </c>
      <c r="BA1442">
        <v>1</v>
      </c>
      <c r="BB1442" t="str">
        <f t="shared" si="678"/>
        <v xml:space="preserve">N711JA  </v>
      </c>
      <c r="BC1442">
        <v>1</v>
      </c>
      <c r="BE1442">
        <v>0</v>
      </c>
      <c r="BF1442">
        <v>0</v>
      </c>
      <c r="BG1442">
        <v>0</v>
      </c>
      <c r="BH1442">
        <v>1625</v>
      </c>
      <c r="BI1442">
        <v>1</v>
      </c>
      <c r="BJ1442">
        <v>1</v>
      </c>
      <c r="BK1442">
        <v>0</v>
      </c>
      <c r="BL1442">
        <v>0</v>
      </c>
      <c r="BO1442">
        <v>0</v>
      </c>
      <c r="BP1442">
        <v>0</v>
      </c>
      <c r="BW1442" t="str">
        <f t="shared" si="682"/>
        <v>14:43:37.373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343</v>
      </c>
      <c r="CR1442">
        <v>1</v>
      </c>
      <c r="CW1442">
        <v>10670238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 t="shared" si="679"/>
        <v>05/12/2020 14:43:19.536</v>
      </c>
      <c r="C1443" t="str">
        <f t="shared" si="677"/>
        <v>FFDFD3C0</v>
      </c>
      <c r="D1443" t="s">
        <v>138</v>
      </c>
      <c r="E1443">
        <v>3</v>
      </c>
      <c r="H1443">
        <v>9</v>
      </c>
      <c r="I1443" t="s">
        <v>140</v>
      </c>
      <c r="J1443" t="s">
        <v>136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680"/>
        <v>14:43:37.367</v>
      </c>
      <c r="T1443" t="str">
        <f t="shared" si="681"/>
        <v>14:43:37.167</v>
      </c>
      <c r="U1443" t="str">
        <f t="shared" si="669"/>
        <v>A9808D</v>
      </c>
      <c r="V1443">
        <v>0</v>
      </c>
      <c r="W1443">
        <v>0</v>
      </c>
      <c r="X1443">
        <v>1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398</v>
      </c>
      <c r="AJ1443">
        <v>28.28546</v>
      </c>
      <c r="AK1443" t="s">
        <v>399</v>
      </c>
      <c r="AL1443">
        <v>-82.374673000000001</v>
      </c>
      <c r="AM1443">
        <v>100</v>
      </c>
      <c r="AN1443">
        <v>1500</v>
      </c>
      <c r="AO1443" t="s">
        <v>118</v>
      </c>
      <c r="AP1443">
        <v>84</v>
      </c>
      <c r="AQ1443">
        <v>-45</v>
      </c>
      <c r="AR1443">
        <v>640</v>
      </c>
      <c r="AZ1443">
        <v>1200</v>
      </c>
      <c r="BA1443">
        <v>1</v>
      </c>
      <c r="BB1443" t="str">
        <f t="shared" si="678"/>
        <v xml:space="preserve">N711JA  </v>
      </c>
      <c r="BC1443">
        <v>1</v>
      </c>
      <c r="BE1443">
        <v>0</v>
      </c>
      <c r="BF1443">
        <v>0</v>
      </c>
      <c r="BG1443">
        <v>0</v>
      </c>
      <c r="BH1443">
        <v>1625</v>
      </c>
      <c r="BI1443">
        <v>1</v>
      </c>
      <c r="BJ1443">
        <v>1</v>
      </c>
      <c r="BK1443">
        <v>0</v>
      </c>
      <c r="BL1443">
        <v>0</v>
      </c>
      <c r="BO1443">
        <v>0</v>
      </c>
      <c r="BP1443">
        <v>0</v>
      </c>
      <c r="BW1443" t="str">
        <f t="shared" si="682"/>
        <v>14:43:37.373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343</v>
      </c>
      <c r="CR1443">
        <v>1</v>
      </c>
      <c r="CW1443">
        <v>10670238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 t="shared" si="679"/>
        <v>05/12/2020 14:43:19.536</v>
      </c>
      <c r="C1444" t="str">
        <f t="shared" si="677"/>
        <v>FFDFD3C0</v>
      </c>
      <c r="D1444" t="s">
        <v>126</v>
      </c>
      <c r="E1444">
        <v>6</v>
      </c>
      <c r="F1444">
        <v>1006</v>
      </c>
      <c r="G1444" t="s">
        <v>114</v>
      </c>
      <c r="J1444" t="s">
        <v>128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680"/>
        <v>14:43:37.367</v>
      </c>
      <c r="T1444" t="str">
        <f t="shared" si="681"/>
        <v>14:43:37.167</v>
      </c>
      <c r="U1444" t="str">
        <f t="shared" si="669"/>
        <v>A9808D</v>
      </c>
      <c r="V1444">
        <v>0</v>
      </c>
      <c r="W1444">
        <v>0</v>
      </c>
      <c r="X1444">
        <v>1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398</v>
      </c>
      <c r="AJ1444">
        <v>28.28546</v>
      </c>
      <c r="AK1444" t="s">
        <v>399</v>
      </c>
      <c r="AL1444">
        <v>-82.374673000000001</v>
      </c>
      <c r="AM1444">
        <v>100</v>
      </c>
      <c r="AN1444">
        <v>1500</v>
      </c>
      <c r="AO1444" t="s">
        <v>118</v>
      </c>
      <c r="AP1444">
        <v>84</v>
      </c>
      <c r="AQ1444">
        <v>-45</v>
      </c>
      <c r="AR1444">
        <v>640</v>
      </c>
      <c r="AZ1444">
        <v>1200</v>
      </c>
      <c r="BA1444">
        <v>1</v>
      </c>
      <c r="BB1444" t="str">
        <f t="shared" si="678"/>
        <v xml:space="preserve">N711JA  </v>
      </c>
      <c r="BC1444">
        <v>1</v>
      </c>
      <c r="BE1444">
        <v>0</v>
      </c>
      <c r="BF1444">
        <v>0</v>
      </c>
      <c r="BG1444">
        <v>0</v>
      </c>
      <c r="BH1444">
        <v>1625</v>
      </c>
      <c r="BI1444">
        <v>1</v>
      </c>
      <c r="BJ1444">
        <v>1</v>
      </c>
      <c r="BK1444">
        <v>0</v>
      </c>
      <c r="BL1444">
        <v>0</v>
      </c>
      <c r="BO1444">
        <v>0</v>
      </c>
      <c r="BP1444">
        <v>0</v>
      </c>
      <c r="BW1444" t="str">
        <f t="shared" si="682"/>
        <v>14:43:37.373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343</v>
      </c>
      <c r="CR1444">
        <v>1</v>
      </c>
      <c r="CW1444">
        <v>10670238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 t="shared" ref="A1445:A1453" si="683">"05/12/2020 14:43:20.513"</f>
        <v>05/12/2020 14:43:20.513</v>
      </c>
      <c r="C1445" t="str">
        <f t="shared" si="677"/>
        <v>FFDFD3C0</v>
      </c>
      <c r="D1445" t="s">
        <v>138</v>
      </c>
      <c r="E1445">
        <v>2</v>
      </c>
      <c r="H1445">
        <v>8</v>
      </c>
      <c r="I1445" t="s">
        <v>139</v>
      </c>
      <c r="J1445" t="s">
        <v>136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ref="S1445:S1453" si="684">"14:43:38.336"</f>
        <v>14:43:38.336</v>
      </c>
      <c r="T1445" t="str">
        <f t="shared" ref="T1445:T1453" si="685">"14:43:38.136"</f>
        <v>14:43:38.136</v>
      </c>
      <c r="U1445" t="str">
        <f t="shared" si="669"/>
        <v>A9808D</v>
      </c>
      <c r="V1445">
        <v>0</v>
      </c>
      <c r="W1445">
        <v>0</v>
      </c>
      <c r="X1445">
        <v>1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400</v>
      </c>
      <c r="AJ1445">
        <v>28.285267000000001</v>
      </c>
      <c r="AK1445" t="s">
        <v>401</v>
      </c>
      <c r="AL1445">
        <v>-82.374222000000003</v>
      </c>
      <c r="AM1445">
        <v>100</v>
      </c>
      <c r="AN1445">
        <v>1500</v>
      </c>
      <c r="AO1445" t="s">
        <v>118</v>
      </c>
      <c r="AP1445">
        <v>84</v>
      </c>
      <c r="AQ1445">
        <v>-45</v>
      </c>
      <c r="AR1445">
        <v>512</v>
      </c>
      <c r="AZ1445">
        <v>1200</v>
      </c>
      <c r="BA1445">
        <v>1</v>
      </c>
      <c r="BB1445" t="str">
        <f t="shared" si="678"/>
        <v xml:space="preserve">N711JA  </v>
      </c>
      <c r="BC1445">
        <v>1</v>
      </c>
      <c r="BE1445">
        <v>0</v>
      </c>
      <c r="BF1445">
        <v>0</v>
      </c>
      <c r="BG1445">
        <v>0</v>
      </c>
      <c r="BH1445">
        <v>1625</v>
      </c>
      <c r="BI1445">
        <v>1</v>
      </c>
      <c r="BJ1445">
        <v>1</v>
      </c>
      <c r="BK1445">
        <v>0</v>
      </c>
      <c r="BL1445">
        <v>0</v>
      </c>
      <c r="BO1445">
        <v>0</v>
      </c>
      <c r="BP1445">
        <v>0</v>
      </c>
      <c r="BW1445" t="str">
        <f t="shared" ref="BW1445:BW1453" si="686">"14:43:38.340"</f>
        <v>14:43:38.340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343</v>
      </c>
      <c r="CR1445">
        <v>2</v>
      </c>
      <c r="CW1445">
        <v>13053125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 t="shared" si="683"/>
        <v>05/12/2020 14:43:20.513</v>
      </c>
      <c r="C1446" t="str">
        <f t="shared" si="677"/>
        <v>FFDFD3C0</v>
      </c>
      <c r="D1446" t="s">
        <v>113</v>
      </c>
      <c r="E1446">
        <v>3</v>
      </c>
      <c r="H1446">
        <v>164</v>
      </c>
      <c r="I1446" t="s">
        <v>114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684"/>
        <v>14:43:38.336</v>
      </c>
      <c r="T1446" t="str">
        <f t="shared" si="685"/>
        <v>14:43:38.136</v>
      </c>
      <c r="U1446" t="str">
        <f t="shared" si="669"/>
        <v>A9808D</v>
      </c>
      <c r="V1446">
        <v>0</v>
      </c>
      <c r="W1446">
        <v>0</v>
      </c>
      <c r="X1446">
        <v>1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400</v>
      </c>
      <c r="AJ1446">
        <v>28.285267000000001</v>
      </c>
      <c r="AK1446" t="s">
        <v>401</v>
      </c>
      <c r="AL1446">
        <v>-82.374222000000003</v>
      </c>
      <c r="AM1446">
        <v>100</v>
      </c>
      <c r="AN1446">
        <v>1500</v>
      </c>
      <c r="AO1446" t="s">
        <v>118</v>
      </c>
      <c r="AP1446">
        <v>84</v>
      </c>
      <c r="AQ1446">
        <v>-45</v>
      </c>
      <c r="AR1446">
        <v>512</v>
      </c>
      <c r="AZ1446">
        <v>1200</v>
      </c>
      <c r="BA1446">
        <v>1</v>
      </c>
      <c r="BB1446" t="str">
        <f t="shared" si="678"/>
        <v xml:space="preserve">N711JA  </v>
      </c>
      <c r="BC1446">
        <v>1</v>
      </c>
      <c r="BE1446">
        <v>0</v>
      </c>
      <c r="BF1446">
        <v>0</v>
      </c>
      <c r="BG1446">
        <v>0</v>
      </c>
      <c r="BH1446">
        <v>1625</v>
      </c>
      <c r="BI1446">
        <v>1</v>
      </c>
      <c r="BJ1446">
        <v>1</v>
      </c>
      <c r="BK1446">
        <v>0</v>
      </c>
      <c r="BL1446">
        <v>0</v>
      </c>
      <c r="BO1446">
        <v>0</v>
      </c>
      <c r="BP1446">
        <v>0</v>
      </c>
      <c r="BW1446" t="str">
        <f t="shared" si="686"/>
        <v>14:43:38.340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343</v>
      </c>
      <c r="CR1446">
        <v>2</v>
      </c>
      <c r="CW1446">
        <v>13053125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 t="shared" si="683"/>
        <v>05/12/2020 14:43:20.513</v>
      </c>
      <c r="C1447" t="str">
        <f t="shared" si="677"/>
        <v>FFDFD3C0</v>
      </c>
      <c r="D1447" t="s">
        <v>138</v>
      </c>
      <c r="E1447">
        <v>3</v>
      </c>
      <c r="H1447">
        <v>9</v>
      </c>
      <c r="I1447" t="s">
        <v>140</v>
      </c>
      <c r="J1447" t="s">
        <v>136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684"/>
        <v>14:43:38.336</v>
      </c>
      <c r="T1447" t="str">
        <f t="shared" si="685"/>
        <v>14:43:38.136</v>
      </c>
      <c r="U1447" t="str">
        <f t="shared" si="669"/>
        <v>A9808D</v>
      </c>
      <c r="V1447">
        <v>0</v>
      </c>
      <c r="W1447">
        <v>0</v>
      </c>
      <c r="X1447">
        <v>1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400</v>
      </c>
      <c r="AJ1447">
        <v>28.285267000000001</v>
      </c>
      <c r="AK1447" t="s">
        <v>401</v>
      </c>
      <c r="AL1447">
        <v>-82.374222000000003</v>
      </c>
      <c r="AM1447">
        <v>100</v>
      </c>
      <c r="AN1447">
        <v>1500</v>
      </c>
      <c r="AO1447" t="s">
        <v>118</v>
      </c>
      <c r="AP1447">
        <v>84</v>
      </c>
      <c r="AQ1447">
        <v>-45</v>
      </c>
      <c r="AR1447">
        <v>512</v>
      </c>
      <c r="AZ1447">
        <v>1200</v>
      </c>
      <c r="BA1447">
        <v>1</v>
      </c>
      <c r="BB1447" t="str">
        <f t="shared" si="678"/>
        <v xml:space="preserve">N711JA  </v>
      </c>
      <c r="BC1447">
        <v>1</v>
      </c>
      <c r="BE1447">
        <v>0</v>
      </c>
      <c r="BF1447">
        <v>0</v>
      </c>
      <c r="BG1447">
        <v>0</v>
      </c>
      <c r="BH1447">
        <v>1625</v>
      </c>
      <c r="BI1447">
        <v>1</v>
      </c>
      <c r="BJ1447">
        <v>1</v>
      </c>
      <c r="BK1447">
        <v>0</v>
      </c>
      <c r="BL1447">
        <v>0</v>
      </c>
      <c r="BO1447">
        <v>0</v>
      </c>
      <c r="BP1447">
        <v>0</v>
      </c>
      <c r="BW1447" t="str">
        <f t="shared" si="686"/>
        <v>14:43:38.340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343</v>
      </c>
      <c r="CR1447">
        <v>2</v>
      </c>
      <c r="CW1447">
        <v>13053125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 t="shared" si="683"/>
        <v>05/12/2020 14:43:20.513</v>
      </c>
      <c r="C1448" t="str">
        <f t="shared" si="677"/>
        <v>FFDFD3C0</v>
      </c>
      <c r="D1448" t="s">
        <v>126</v>
      </c>
      <c r="E1448">
        <v>6</v>
      </c>
      <c r="F1448">
        <v>1006</v>
      </c>
      <c r="G1448" t="s">
        <v>114</v>
      </c>
      <c r="J1448" t="s">
        <v>128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684"/>
        <v>14:43:38.336</v>
      </c>
      <c r="T1448" t="str">
        <f t="shared" si="685"/>
        <v>14:43:38.136</v>
      </c>
      <c r="U1448" t="str">
        <f t="shared" si="669"/>
        <v>A9808D</v>
      </c>
      <c r="V1448">
        <v>0</v>
      </c>
      <c r="W1448">
        <v>0</v>
      </c>
      <c r="X1448">
        <v>1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400</v>
      </c>
      <c r="AJ1448">
        <v>28.285267000000001</v>
      </c>
      <c r="AK1448" t="s">
        <v>401</v>
      </c>
      <c r="AL1448">
        <v>-82.374222000000003</v>
      </c>
      <c r="AM1448">
        <v>100</v>
      </c>
      <c r="AN1448">
        <v>1500</v>
      </c>
      <c r="AO1448" t="s">
        <v>118</v>
      </c>
      <c r="AP1448">
        <v>84</v>
      </c>
      <c r="AQ1448">
        <v>-45</v>
      </c>
      <c r="AR1448">
        <v>512</v>
      </c>
      <c r="AZ1448">
        <v>1200</v>
      </c>
      <c r="BA1448">
        <v>1</v>
      </c>
      <c r="BB1448" t="str">
        <f t="shared" si="678"/>
        <v xml:space="preserve">N711JA  </v>
      </c>
      <c r="BC1448">
        <v>1</v>
      </c>
      <c r="BE1448">
        <v>0</v>
      </c>
      <c r="BF1448">
        <v>0</v>
      </c>
      <c r="BG1448">
        <v>0</v>
      </c>
      <c r="BH1448">
        <v>1625</v>
      </c>
      <c r="BI1448">
        <v>1</v>
      </c>
      <c r="BJ1448">
        <v>1</v>
      </c>
      <c r="BK1448">
        <v>0</v>
      </c>
      <c r="BL1448">
        <v>0</v>
      </c>
      <c r="BO1448">
        <v>0</v>
      </c>
      <c r="BP1448">
        <v>0</v>
      </c>
      <c r="BW1448" t="str">
        <f t="shared" si="686"/>
        <v>14:43:38.340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343</v>
      </c>
      <c r="CR1448">
        <v>2</v>
      </c>
      <c r="CW1448">
        <v>13053125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 t="shared" si="683"/>
        <v>05/12/2020 14:43:20.513</v>
      </c>
      <c r="C1449" t="str">
        <f t="shared" si="677"/>
        <v>FFDFD3C0</v>
      </c>
      <c r="D1449" t="s">
        <v>126</v>
      </c>
      <c r="E1449">
        <v>7</v>
      </c>
      <c r="F1449">
        <v>1007</v>
      </c>
      <c r="G1449" t="s">
        <v>127</v>
      </c>
      <c r="J1449" t="s">
        <v>128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684"/>
        <v>14:43:38.336</v>
      </c>
      <c r="T1449" t="str">
        <f t="shared" si="685"/>
        <v>14:43:38.136</v>
      </c>
      <c r="U1449" t="str">
        <f t="shared" si="669"/>
        <v>A9808D</v>
      </c>
      <c r="V1449">
        <v>0</v>
      </c>
      <c r="W1449">
        <v>0</v>
      </c>
      <c r="X1449">
        <v>1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400</v>
      </c>
      <c r="AJ1449">
        <v>28.285267000000001</v>
      </c>
      <c r="AK1449" t="s">
        <v>401</v>
      </c>
      <c r="AL1449">
        <v>-82.374222000000003</v>
      </c>
      <c r="AM1449">
        <v>100</v>
      </c>
      <c r="AN1449">
        <v>1500</v>
      </c>
      <c r="AO1449" t="s">
        <v>118</v>
      </c>
      <c r="AP1449">
        <v>84</v>
      </c>
      <c r="AQ1449">
        <v>-45</v>
      </c>
      <c r="AR1449">
        <v>512</v>
      </c>
      <c r="AZ1449">
        <v>1200</v>
      </c>
      <c r="BA1449">
        <v>1</v>
      </c>
      <c r="BB1449" t="str">
        <f t="shared" si="678"/>
        <v xml:space="preserve">N711JA  </v>
      </c>
      <c r="BC1449">
        <v>1</v>
      </c>
      <c r="BE1449">
        <v>0</v>
      </c>
      <c r="BF1449">
        <v>0</v>
      </c>
      <c r="BG1449">
        <v>0</v>
      </c>
      <c r="BH1449">
        <v>1625</v>
      </c>
      <c r="BI1449">
        <v>1</v>
      </c>
      <c r="BJ1449">
        <v>1</v>
      </c>
      <c r="BK1449">
        <v>0</v>
      </c>
      <c r="BL1449">
        <v>0</v>
      </c>
      <c r="BO1449">
        <v>0</v>
      </c>
      <c r="BP1449">
        <v>0</v>
      </c>
      <c r="BW1449" t="str">
        <f t="shared" si="686"/>
        <v>14:43:38.340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343</v>
      </c>
      <c r="CR1449">
        <v>2</v>
      </c>
      <c r="CW1449">
        <v>13053125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 t="shared" si="683"/>
        <v>05/12/2020 14:43:20.513</v>
      </c>
      <c r="C1450" t="str">
        <f t="shared" si="677"/>
        <v>FFDFD3C0</v>
      </c>
      <c r="D1450" t="s">
        <v>131</v>
      </c>
      <c r="E1450">
        <v>10</v>
      </c>
      <c r="F1450">
        <v>2010</v>
      </c>
      <c r="G1450" t="s">
        <v>132</v>
      </c>
      <c r="J1450" t="s">
        <v>133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684"/>
        <v>14:43:38.336</v>
      </c>
      <c r="T1450" t="str">
        <f t="shared" si="685"/>
        <v>14:43:38.136</v>
      </c>
      <c r="U1450" t="str">
        <f t="shared" si="669"/>
        <v>A9808D</v>
      </c>
      <c r="V1450">
        <v>0</v>
      </c>
      <c r="W1450">
        <v>0</v>
      </c>
      <c r="X1450">
        <v>1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400</v>
      </c>
      <c r="AJ1450">
        <v>28.285267000000001</v>
      </c>
      <c r="AK1450" t="s">
        <v>401</v>
      </c>
      <c r="AL1450">
        <v>-82.374222000000003</v>
      </c>
      <c r="AM1450">
        <v>100</v>
      </c>
      <c r="AN1450">
        <v>1500</v>
      </c>
      <c r="AO1450" t="s">
        <v>118</v>
      </c>
      <c r="AP1450">
        <v>84</v>
      </c>
      <c r="AQ1450">
        <v>-45</v>
      </c>
      <c r="AR1450">
        <v>512</v>
      </c>
      <c r="AZ1450">
        <v>1200</v>
      </c>
      <c r="BA1450">
        <v>1</v>
      </c>
      <c r="BB1450" t="str">
        <f t="shared" si="678"/>
        <v xml:space="preserve">N711JA  </v>
      </c>
      <c r="BC1450">
        <v>1</v>
      </c>
      <c r="BE1450">
        <v>0</v>
      </c>
      <c r="BF1450">
        <v>0</v>
      </c>
      <c r="BG1450">
        <v>0</v>
      </c>
      <c r="BH1450">
        <v>1625</v>
      </c>
      <c r="BI1450">
        <v>1</v>
      </c>
      <c r="BJ1450">
        <v>1</v>
      </c>
      <c r="BK1450">
        <v>0</v>
      </c>
      <c r="BL1450">
        <v>0</v>
      </c>
      <c r="BO1450">
        <v>0</v>
      </c>
      <c r="BP1450">
        <v>0</v>
      </c>
      <c r="BW1450" t="str">
        <f t="shared" si="686"/>
        <v>14:43:38.340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343</v>
      </c>
      <c r="CR1450">
        <v>2</v>
      </c>
      <c r="CW1450">
        <v>13053125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 t="shared" si="683"/>
        <v>05/12/2020 14:43:20.513</v>
      </c>
      <c r="C1451" t="str">
        <f t="shared" si="677"/>
        <v>FFDFD3C0</v>
      </c>
      <c r="D1451" t="s">
        <v>131</v>
      </c>
      <c r="E1451">
        <v>12</v>
      </c>
      <c r="F1451">
        <v>2012</v>
      </c>
      <c r="G1451" t="s">
        <v>137</v>
      </c>
      <c r="J1451" t="s">
        <v>133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684"/>
        <v>14:43:38.336</v>
      </c>
      <c r="T1451" t="str">
        <f t="shared" si="685"/>
        <v>14:43:38.136</v>
      </c>
      <c r="U1451" t="str">
        <f t="shared" si="669"/>
        <v>A9808D</v>
      </c>
      <c r="V1451">
        <v>0</v>
      </c>
      <c r="W1451">
        <v>0</v>
      </c>
      <c r="X1451">
        <v>1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400</v>
      </c>
      <c r="AJ1451">
        <v>28.285267000000001</v>
      </c>
      <c r="AK1451" t="s">
        <v>401</v>
      </c>
      <c r="AL1451">
        <v>-82.374222000000003</v>
      </c>
      <c r="AM1451">
        <v>100</v>
      </c>
      <c r="AN1451">
        <v>1500</v>
      </c>
      <c r="AO1451" t="s">
        <v>118</v>
      </c>
      <c r="AP1451">
        <v>84</v>
      </c>
      <c r="AQ1451">
        <v>-45</v>
      </c>
      <c r="AR1451">
        <v>512</v>
      </c>
      <c r="AZ1451">
        <v>1200</v>
      </c>
      <c r="BA1451">
        <v>1</v>
      </c>
      <c r="BB1451" t="str">
        <f t="shared" si="678"/>
        <v xml:space="preserve">N711JA  </v>
      </c>
      <c r="BC1451">
        <v>1</v>
      </c>
      <c r="BE1451">
        <v>0</v>
      </c>
      <c r="BF1451">
        <v>0</v>
      </c>
      <c r="BG1451">
        <v>0</v>
      </c>
      <c r="BH1451">
        <v>1625</v>
      </c>
      <c r="BI1451">
        <v>1</v>
      </c>
      <c r="BJ1451">
        <v>1</v>
      </c>
      <c r="BK1451">
        <v>0</v>
      </c>
      <c r="BL1451">
        <v>0</v>
      </c>
      <c r="BO1451">
        <v>0</v>
      </c>
      <c r="BP1451">
        <v>0</v>
      </c>
      <c r="BW1451" t="str">
        <f t="shared" si="686"/>
        <v>14:43:38.340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343</v>
      </c>
      <c r="CR1451">
        <v>2</v>
      </c>
      <c r="CW1451">
        <v>13053125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 t="shared" si="683"/>
        <v>05/12/2020 14:43:20.513</v>
      </c>
      <c r="C1452" t="str">
        <f t="shared" si="677"/>
        <v>FFDFD3C0</v>
      </c>
      <c r="D1452" t="s">
        <v>131</v>
      </c>
      <c r="E1452">
        <v>18</v>
      </c>
      <c r="F1452">
        <v>2018</v>
      </c>
      <c r="G1452" t="s">
        <v>161</v>
      </c>
      <c r="J1452" t="s">
        <v>133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684"/>
        <v>14:43:38.336</v>
      </c>
      <c r="T1452" t="str">
        <f t="shared" si="685"/>
        <v>14:43:38.136</v>
      </c>
      <c r="U1452" t="str">
        <f t="shared" si="669"/>
        <v>A9808D</v>
      </c>
      <c r="V1452">
        <v>0</v>
      </c>
      <c r="W1452">
        <v>0</v>
      </c>
      <c r="X1452">
        <v>1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400</v>
      </c>
      <c r="AJ1452">
        <v>28.285267000000001</v>
      </c>
      <c r="AK1452" t="s">
        <v>401</v>
      </c>
      <c r="AL1452">
        <v>-82.374222000000003</v>
      </c>
      <c r="AM1452">
        <v>100</v>
      </c>
      <c r="AN1452">
        <v>1500</v>
      </c>
      <c r="AO1452" t="s">
        <v>118</v>
      </c>
      <c r="AP1452">
        <v>84</v>
      </c>
      <c r="AQ1452">
        <v>-45</v>
      </c>
      <c r="AR1452">
        <v>512</v>
      </c>
      <c r="AZ1452">
        <v>1200</v>
      </c>
      <c r="BA1452">
        <v>1</v>
      </c>
      <c r="BB1452" t="str">
        <f t="shared" si="678"/>
        <v xml:space="preserve">N711JA  </v>
      </c>
      <c r="BC1452">
        <v>1</v>
      </c>
      <c r="BE1452">
        <v>0</v>
      </c>
      <c r="BF1452">
        <v>0</v>
      </c>
      <c r="BG1452">
        <v>0</v>
      </c>
      <c r="BH1452">
        <v>1625</v>
      </c>
      <c r="BI1452">
        <v>1</v>
      </c>
      <c r="BJ1452">
        <v>1</v>
      </c>
      <c r="BK1452">
        <v>0</v>
      </c>
      <c r="BL1452">
        <v>0</v>
      </c>
      <c r="BO1452">
        <v>0</v>
      </c>
      <c r="BP1452">
        <v>0</v>
      </c>
      <c r="BW1452" t="str">
        <f t="shared" si="686"/>
        <v>14:43:38.340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343</v>
      </c>
      <c r="CR1452">
        <v>2</v>
      </c>
      <c r="CW1452">
        <v>13053125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 t="shared" si="683"/>
        <v>05/12/2020 14:43:20.513</v>
      </c>
      <c r="C1453" t="str">
        <f t="shared" si="677"/>
        <v>FFDFD3C0</v>
      </c>
      <c r="D1453" t="s">
        <v>134</v>
      </c>
      <c r="E1453">
        <v>12</v>
      </c>
      <c r="H1453">
        <v>64</v>
      </c>
      <c r="I1453" t="s">
        <v>135</v>
      </c>
      <c r="J1453" t="s">
        <v>136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684"/>
        <v>14:43:38.336</v>
      </c>
      <c r="T1453" t="str">
        <f t="shared" si="685"/>
        <v>14:43:38.136</v>
      </c>
      <c r="U1453" t="str">
        <f t="shared" si="669"/>
        <v>A9808D</v>
      </c>
      <c r="V1453">
        <v>0</v>
      </c>
      <c r="W1453">
        <v>0</v>
      </c>
      <c r="X1453">
        <v>1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400</v>
      </c>
      <c r="AJ1453">
        <v>28.285267000000001</v>
      </c>
      <c r="AK1453" t="s">
        <v>401</v>
      </c>
      <c r="AL1453">
        <v>-82.374222000000003</v>
      </c>
      <c r="AM1453">
        <v>100</v>
      </c>
      <c r="AN1453">
        <v>1500</v>
      </c>
      <c r="AO1453" t="s">
        <v>118</v>
      </c>
      <c r="AP1453">
        <v>84</v>
      </c>
      <c r="AQ1453">
        <v>-45</v>
      </c>
      <c r="AR1453">
        <v>512</v>
      </c>
      <c r="AZ1453">
        <v>1200</v>
      </c>
      <c r="BA1453">
        <v>1</v>
      </c>
      <c r="BB1453" t="str">
        <f t="shared" si="678"/>
        <v xml:space="preserve">N711JA  </v>
      </c>
      <c r="BC1453">
        <v>1</v>
      </c>
      <c r="BE1453">
        <v>0</v>
      </c>
      <c r="BF1453">
        <v>0</v>
      </c>
      <c r="BG1453">
        <v>0</v>
      </c>
      <c r="BH1453">
        <v>1625</v>
      </c>
      <c r="BI1453">
        <v>1</v>
      </c>
      <c r="BJ1453">
        <v>1</v>
      </c>
      <c r="BK1453">
        <v>0</v>
      </c>
      <c r="BL1453">
        <v>0</v>
      </c>
      <c r="BO1453">
        <v>0</v>
      </c>
      <c r="BP1453">
        <v>0</v>
      </c>
      <c r="BW1453" t="str">
        <f t="shared" si="686"/>
        <v>14:43:38.340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343</v>
      </c>
      <c r="CR1453">
        <v>2</v>
      </c>
      <c r="CW1453">
        <v>13053125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 t="shared" ref="A1454:A1462" si="687">"05/12/2020 14:43:21.612"</f>
        <v>05/12/2020 14:43:21.612</v>
      </c>
      <c r="C1454" t="str">
        <f t="shared" si="677"/>
        <v>FFDFD3C0</v>
      </c>
      <c r="D1454" t="s">
        <v>134</v>
      </c>
      <c r="E1454">
        <v>12</v>
      </c>
      <c r="H1454">
        <v>64</v>
      </c>
      <c r="I1454" t="s">
        <v>135</v>
      </c>
      <c r="J1454" t="s">
        <v>136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ref="S1454:S1462" si="688">"14:43:39.438"</f>
        <v>14:43:39.438</v>
      </c>
      <c r="T1454" t="str">
        <f t="shared" ref="T1454:T1462" si="689">"14:43:39.238"</f>
        <v>14:43:39.238</v>
      </c>
      <c r="U1454" t="str">
        <f t="shared" si="669"/>
        <v>A9808D</v>
      </c>
      <c r="V1454">
        <v>0</v>
      </c>
      <c r="W1454">
        <v>0</v>
      </c>
      <c r="X1454">
        <v>1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402</v>
      </c>
      <c r="AJ1454">
        <v>28.285053000000001</v>
      </c>
      <c r="AK1454" t="s">
        <v>403</v>
      </c>
      <c r="AL1454">
        <v>-82.373772000000002</v>
      </c>
      <c r="AM1454">
        <v>100</v>
      </c>
      <c r="AN1454">
        <v>1600</v>
      </c>
      <c r="AO1454" t="s">
        <v>118</v>
      </c>
      <c r="AP1454">
        <v>84</v>
      </c>
      <c r="AQ1454">
        <v>-44</v>
      </c>
      <c r="AR1454">
        <v>512</v>
      </c>
      <c r="AZ1454">
        <v>1200</v>
      </c>
      <c r="BA1454">
        <v>1</v>
      </c>
      <c r="BB1454" t="str">
        <f t="shared" si="678"/>
        <v xml:space="preserve">N711JA  </v>
      </c>
      <c r="BC1454">
        <v>1</v>
      </c>
      <c r="BE1454">
        <v>0</v>
      </c>
      <c r="BF1454">
        <v>0</v>
      </c>
      <c r="BG1454">
        <v>0</v>
      </c>
      <c r="BH1454">
        <v>1650</v>
      </c>
      <c r="BI1454">
        <v>1</v>
      </c>
      <c r="BJ1454">
        <v>1</v>
      </c>
      <c r="BK1454">
        <v>0</v>
      </c>
      <c r="BL1454">
        <v>0</v>
      </c>
      <c r="BO1454">
        <v>0</v>
      </c>
      <c r="BP1454">
        <v>0</v>
      </c>
      <c r="BW1454" t="str">
        <f t="shared" ref="BW1454:BW1462" si="690">"14:43:39.438"</f>
        <v>14:43:39.438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343</v>
      </c>
      <c r="CR1454">
        <v>2</v>
      </c>
      <c r="CW1454">
        <v>13053976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 t="shared" si="687"/>
        <v>05/12/2020 14:43:21.612</v>
      </c>
      <c r="C1455" t="str">
        <f t="shared" si="677"/>
        <v>FFDFD3C0</v>
      </c>
      <c r="D1455" t="s">
        <v>138</v>
      </c>
      <c r="E1455">
        <v>2</v>
      </c>
      <c r="H1455">
        <v>8</v>
      </c>
      <c r="I1455" t="s">
        <v>139</v>
      </c>
      <c r="J1455" t="s">
        <v>136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688"/>
        <v>14:43:39.438</v>
      </c>
      <c r="T1455" t="str">
        <f t="shared" si="689"/>
        <v>14:43:39.238</v>
      </c>
      <c r="U1455" t="str">
        <f t="shared" si="669"/>
        <v>A9808D</v>
      </c>
      <c r="V1455">
        <v>0</v>
      </c>
      <c r="W1455">
        <v>0</v>
      </c>
      <c r="X1455">
        <v>1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402</v>
      </c>
      <c r="AJ1455">
        <v>28.285053000000001</v>
      </c>
      <c r="AK1455" t="s">
        <v>403</v>
      </c>
      <c r="AL1455">
        <v>-82.373772000000002</v>
      </c>
      <c r="AM1455">
        <v>100</v>
      </c>
      <c r="AN1455">
        <v>1600</v>
      </c>
      <c r="AO1455" t="s">
        <v>118</v>
      </c>
      <c r="AP1455">
        <v>84</v>
      </c>
      <c r="AQ1455">
        <v>-44</v>
      </c>
      <c r="AR1455">
        <v>512</v>
      </c>
      <c r="AZ1455">
        <v>1200</v>
      </c>
      <c r="BA1455">
        <v>1</v>
      </c>
      <c r="BB1455" t="str">
        <f t="shared" si="678"/>
        <v xml:space="preserve">N711JA  </v>
      </c>
      <c r="BC1455">
        <v>1</v>
      </c>
      <c r="BE1455">
        <v>0</v>
      </c>
      <c r="BF1455">
        <v>0</v>
      </c>
      <c r="BG1455">
        <v>0</v>
      </c>
      <c r="BH1455">
        <v>1650</v>
      </c>
      <c r="BI1455">
        <v>1</v>
      </c>
      <c r="BJ1455">
        <v>1</v>
      </c>
      <c r="BK1455">
        <v>0</v>
      </c>
      <c r="BL1455">
        <v>0</v>
      </c>
      <c r="BO1455">
        <v>0</v>
      </c>
      <c r="BP1455">
        <v>0</v>
      </c>
      <c r="BW1455" t="str">
        <f t="shared" si="690"/>
        <v>14:43:39.438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343</v>
      </c>
      <c r="CR1455">
        <v>2</v>
      </c>
      <c r="CW1455">
        <v>13053976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 t="shared" si="687"/>
        <v>05/12/2020 14:43:21.612</v>
      </c>
      <c r="C1456" t="str">
        <f t="shared" si="677"/>
        <v>FFDFD3C0</v>
      </c>
      <c r="D1456" t="s">
        <v>113</v>
      </c>
      <c r="E1456">
        <v>3</v>
      </c>
      <c r="H1456">
        <v>164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688"/>
        <v>14:43:39.438</v>
      </c>
      <c r="T1456" t="str">
        <f t="shared" si="689"/>
        <v>14:43:39.238</v>
      </c>
      <c r="U1456" t="str">
        <f t="shared" si="669"/>
        <v>A9808D</v>
      </c>
      <c r="V1456">
        <v>0</v>
      </c>
      <c r="W1456">
        <v>0</v>
      </c>
      <c r="X1456">
        <v>1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402</v>
      </c>
      <c r="AJ1456">
        <v>28.285053000000001</v>
      </c>
      <c r="AK1456" t="s">
        <v>403</v>
      </c>
      <c r="AL1456">
        <v>-82.373772000000002</v>
      </c>
      <c r="AM1456">
        <v>100</v>
      </c>
      <c r="AN1456">
        <v>1600</v>
      </c>
      <c r="AO1456" t="s">
        <v>118</v>
      </c>
      <c r="AP1456">
        <v>84</v>
      </c>
      <c r="AQ1456">
        <v>-44</v>
      </c>
      <c r="AR1456">
        <v>512</v>
      </c>
      <c r="AZ1456">
        <v>1200</v>
      </c>
      <c r="BA1456">
        <v>1</v>
      </c>
      <c r="BB1456" t="str">
        <f t="shared" si="678"/>
        <v xml:space="preserve">N711JA  </v>
      </c>
      <c r="BC1456">
        <v>1</v>
      </c>
      <c r="BE1456">
        <v>0</v>
      </c>
      <c r="BF1456">
        <v>0</v>
      </c>
      <c r="BG1456">
        <v>0</v>
      </c>
      <c r="BH1456">
        <v>1650</v>
      </c>
      <c r="BI1456">
        <v>1</v>
      </c>
      <c r="BJ1456">
        <v>1</v>
      </c>
      <c r="BK1456">
        <v>0</v>
      </c>
      <c r="BL1456">
        <v>0</v>
      </c>
      <c r="BO1456">
        <v>0</v>
      </c>
      <c r="BP1456">
        <v>0</v>
      </c>
      <c r="BW1456" t="str">
        <f t="shared" si="690"/>
        <v>14:43:39.438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343</v>
      </c>
      <c r="CR1456">
        <v>2</v>
      </c>
      <c r="CW1456">
        <v>13053976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 t="shared" si="687"/>
        <v>05/12/2020 14:43:21.612</v>
      </c>
      <c r="C1457" t="str">
        <f t="shared" si="677"/>
        <v>FFDFD3C0</v>
      </c>
      <c r="D1457" t="s">
        <v>138</v>
      </c>
      <c r="E1457">
        <v>3</v>
      </c>
      <c r="H1457">
        <v>9</v>
      </c>
      <c r="I1457" t="s">
        <v>140</v>
      </c>
      <c r="J1457" t="s">
        <v>136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688"/>
        <v>14:43:39.438</v>
      </c>
      <c r="T1457" t="str">
        <f t="shared" si="689"/>
        <v>14:43:39.238</v>
      </c>
      <c r="U1457" t="str">
        <f t="shared" si="669"/>
        <v>A9808D</v>
      </c>
      <c r="V1457">
        <v>0</v>
      </c>
      <c r="W1457">
        <v>0</v>
      </c>
      <c r="X1457">
        <v>1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402</v>
      </c>
      <c r="AJ1457">
        <v>28.285053000000001</v>
      </c>
      <c r="AK1457" t="s">
        <v>403</v>
      </c>
      <c r="AL1457">
        <v>-82.373772000000002</v>
      </c>
      <c r="AM1457">
        <v>100</v>
      </c>
      <c r="AN1457">
        <v>1600</v>
      </c>
      <c r="AO1457" t="s">
        <v>118</v>
      </c>
      <c r="AP1457">
        <v>84</v>
      </c>
      <c r="AQ1457">
        <v>-44</v>
      </c>
      <c r="AR1457">
        <v>512</v>
      </c>
      <c r="AZ1457">
        <v>1200</v>
      </c>
      <c r="BA1457">
        <v>1</v>
      </c>
      <c r="BB1457" t="str">
        <f t="shared" si="678"/>
        <v xml:space="preserve">N711JA  </v>
      </c>
      <c r="BC1457">
        <v>1</v>
      </c>
      <c r="BE1457">
        <v>0</v>
      </c>
      <c r="BF1457">
        <v>0</v>
      </c>
      <c r="BG1457">
        <v>0</v>
      </c>
      <c r="BH1457">
        <v>1650</v>
      </c>
      <c r="BI1457">
        <v>1</v>
      </c>
      <c r="BJ1457">
        <v>1</v>
      </c>
      <c r="BK1457">
        <v>0</v>
      </c>
      <c r="BL1457">
        <v>0</v>
      </c>
      <c r="BO1457">
        <v>0</v>
      </c>
      <c r="BP1457">
        <v>0</v>
      </c>
      <c r="BW1457" t="str">
        <f t="shared" si="690"/>
        <v>14:43:39.438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343</v>
      </c>
      <c r="CR1457">
        <v>2</v>
      </c>
      <c r="CW1457">
        <v>13053976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 t="shared" si="687"/>
        <v>05/12/2020 14:43:21.612</v>
      </c>
      <c r="C1458" t="str">
        <f t="shared" si="677"/>
        <v>FFDFD3C0</v>
      </c>
      <c r="D1458" t="s">
        <v>126</v>
      </c>
      <c r="E1458">
        <v>6</v>
      </c>
      <c r="F1458">
        <v>1006</v>
      </c>
      <c r="G1458" t="s">
        <v>114</v>
      </c>
      <c r="J1458" t="s">
        <v>128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688"/>
        <v>14:43:39.438</v>
      </c>
      <c r="T1458" t="str">
        <f t="shared" si="689"/>
        <v>14:43:39.238</v>
      </c>
      <c r="U1458" t="str">
        <f t="shared" si="669"/>
        <v>A9808D</v>
      </c>
      <c r="V1458">
        <v>0</v>
      </c>
      <c r="W1458">
        <v>0</v>
      </c>
      <c r="X1458">
        <v>1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402</v>
      </c>
      <c r="AJ1458">
        <v>28.285053000000001</v>
      </c>
      <c r="AK1458" t="s">
        <v>403</v>
      </c>
      <c r="AL1458">
        <v>-82.373772000000002</v>
      </c>
      <c r="AM1458">
        <v>100</v>
      </c>
      <c r="AN1458">
        <v>1600</v>
      </c>
      <c r="AO1458" t="s">
        <v>118</v>
      </c>
      <c r="AP1458">
        <v>84</v>
      </c>
      <c r="AQ1458">
        <v>-44</v>
      </c>
      <c r="AR1458">
        <v>512</v>
      </c>
      <c r="AZ1458">
        <v>1200</v>
      </c>
      <c r="BA1458">
        <v>1</v>
      </c>
      <c r="BB1458" t="str">
        <f t="shared" si="678"/>
        <v xml:space="preserve">N711JA  </v>
      </c>
      <c r="BC1458">
        <v>1</v>
      </c>
      <c r="BE1458">
        <v>0</v>
      </c>
      <c r="BF1458">
        <v>0</v>
      </c>
      <c r="BG1458">
        <v>0</v>
      </c>
      <c r="BH1458">
        <v>1650</v>
      </c>
      <c r="BI1458">
        <v>1</v>
      </c>
      <c r="BJ1458">
        <v>1</v>
      </c>
      <c r="BK1458">
        <v>0</v>
      </c>
      <c r="BL1458">
        <v>0</v>
      </c>
      <c r="BO1458">
        <v>0</v>
      </c>
      <c r="BP1458">
        <v>0</v>
      </c>
      <c r="BW1458" t="str">
        <f t="shared" si="690"/>
        <v>14:43:39.438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343</v>
      </c>
      <c r="CR1458">
        <v>2</v>
      </c>
      <c r="CW1458">
        <v>13053976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 t="shared" si="687"/>
        <v>05/12/2020 14:43:21.612</v>
      </c>
      <c r="C1459" t="str">
        <f t="shared" si="677"/>
        <v>FFDFD3C0</v>
      </c>
      <c r="D1459" t="s">
        <v>126</v>
      </c>
      <c r="E1459">
        <v>7</v>
      </c>
      <c r="F1459">
        <v>1007</v>
      </c>
      <c r="G1459" t="s">
        <v>127</v>
      </c>
      <c r="J1459" t="s">
        <v>128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688"/>
        <v>14:43:39.438</v>
      </c>
      <c r="T1459" t="str">
        <f t="shared" si="689"/>
        <v>14:43:39.238</v>
      </c>
      <c r="U1459" t="str">
        <f t="shared" si="669"/>
        <v>A9808D</v>
      </c>
      <c r="V1459">
        <v>0</v>
      </c>
      <c r="W1459">
        <v>0</v>
      </c>
      <c r="X1459">
        <v>1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402</v>
      </c>
      <c r="AJ1459">
        <v>28.285053000000001</v>
      </c>
      <c r="AK1459" t="s">
        <v>403</v>
      </c>
      <c r="AL1459">
        <v>-82.373772000000002</v>
      </c>
      <c r="AM1459">
        <v>100</v>
      </c>
      <c r="AN1459">
        <v>1600</v>
      </c>
      <c r="AO1459" t="s">
        <v>118</v>
      </c>
      <c r="AP1459">
        <v>84</v>
      </c>
      <c r="AQ1459">
        <v>-44</v>
      </c>
      <c r="AR1459">
        <v>512</v>
      </c>
      <c r="AZ1459">
        <v>1200</v>
      </c>
      <c r="BA1459">
        <v>1</v>
      </c>
      <c r="BB1459" t="str">
        <f t="shared" si="678"/>
        <v xml:space="preserve">N711JA  </v>
      </c>
      <c r="BC1459">
        <v>1</v>
      </c>
      <c r="BE1459">
        <v>0</v>
      </c>
      <c r="BF1459">
        <v>0</v>
      </c>
      <c r="BG1459">
        <v>0</v>
      </c>
      <c r="BH1459">
        <v>1650</v>
      </c>
      <c r="BI1459">
        <v>1</v>
      </c>
      <c r="BJ1459">
        <v>1</v>
      </c>
      <c r="BK1459">
        <v>0</v>
      </c>
      <c r="BL1459">
        <v>0</v>
      </c>
      <c r="BO1459">
        <v>0</v>
      </c>
      <c r="BP1459">
        <v>0</v>
      </c>
      <c r="BW1459" t="str">
        <f t="shared" si="690"/>
        <v>14:43:39.438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343</v>
      </c>
      <c r="CR1459">
        <v>2</v>
      </c>
      <c r="CW1459">
        <v>13053976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 t="shared" si="687"/>
        <v>05/12/2020 14:43:21.612</v>
      </c>
      <c r="C1460" t="str">
        <f t="shared" si="677"/>
        <v>FFDFD3C0</v>
      </c>
      <c r="D1460" t="s">
        <v>131</v>
      </c>
      <c r="E1460">
        <v>10</v>
      </c>
      <c r="F1460">
        <v>2010</v>
      </c>
      <c r="G1460" t="s">
        <v>132</v>
      </c>
      <c r="J1460" t="s">
        <v>133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688"/>
        <v>14:43:39.438</v>
      </c>
      <c r="T1460" t="str">
        <f t="shared" si="689"/>
        <v>14:43:39.238</v>
      </c>
      <c r="U1460" t="str">
        <f t="shared" si="669"/>
        <v>A9808D</v>
      </c>
      <c r="V1460">
        <v>0</v>
      </c>
      <c r="W1460">
        <v>0</v>
      </c>
      <c r="X1460">
        <v>1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402</v>
      </c>
      <c r="AJ1460">
        <v>28.285053000000001</v>
      </c>
      <c r="AK1460" t="s">
        <v>403</v>
      </c>
      <c r="AL1460">
        <v>-82.373772000000002</v>
      </c>
      <c r="AM1460">
        <v>100</v>
      </c>
      <c r="AN1460">
        <v>1600</v>
      </c>
      <c r="AO1460" t="s">
        <v>118</v>
      </c>
      <c r="AP1460">
        <v>84</v>
      </c>
      <c r="AQ1460">
        <v>-44</v>
      </c>
      <c r="AR1460">
        <v>512</v>
      </c>
      <c r="AZ1460">
        <v>1200</v>
      </c>
      <c r="BA1460">
        <v>1</v>
      </c>
      <c r="BB1460" t="str">
        <f t="shared" si="678"/>
        <v xml:space="preserve">N711JA  </v>
      </c>
      <c r="BC1460">
        <v>1</v>
      </c>
      <c r="BE1460">
        <v>0</v>
      </c>
      <c r="BF1460">
        <v>0</v>
      </c>
      <c r="BG1460">
        <v>0</v>
      </c>
      <c r="BH1460">
        <v>1650</v>
      </c>
      <c r="BI1460">
        <v>1</v>
      </c>
      <c r="BJ1460">
        <v>1</v>
      </c>
      <c r="BK1460">
        <v>0</v>
      </c>
      <c r="BL1460">
        <v>0</v>
      </c>
      <c r="BO1460">
        <v>0</v>
      </c>
      <c r="BP1460">
        <v>0</v>
      </c>
      <c r="BW1460" t="str">
        <f t="shared" si="690"/>
        <v>14:43:39.438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343</v>
      </c>
      <c r="CR1460">
        <v>2</v>
      </c>
      <c r="CW1460">
        <v>13053976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 t="shared" si="687"/>
        <v>05/12/2020 14:43:21.612</v>
      </c>
      <c r="C1461" t="str">
        <f t="shared" si="677"/>
        <v>FFDFD3C0</v>
      </c>
      <c r="D1461" t="s">
        <v>131</v>
      </c>
      <c r="E1461">
        <v>12</v>
      </c>
      <c r="F1461">
        <v>2012</v>
      </c>
      <c r="G1461" t="s">
        <v>137</v>
      </c>
      <c r="J1461" t="s">
        <v>133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688"/>
        <v>14:43:39.438</v>
      </c>
      <c r="T1461" t="str">
        <f t="shared" si="689"/>
        <v>14:43:39.238</v>
      </c>
      <c r="U1461" t="str">
        <f t="shared" si="669"/>
        <v>A9808D</v>
      </c>
      <c r="V1461">
        <v>0</v>
      </c>
      <c r="W1461">
        <v>0</v>
      </c>
      <c r="X1461">
        <v>1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402</v>
      </c>
      <c r="AJ1461">
        <v>28.285053000000001</v>
      </c>
      <c r="AK1461" t="s">
        <v>403</v>
      </c>
      <c r="AL1461">
        <v>-82.373772000000002</v>
      </c>
      <c r="AM1461">
        <v>100</v>
      </c>
      <c r="AN1461">
        <v>1600</v>
      </c>
      <c r="AO1461" t="s">
        <v>118</v>
      </c>
      <c r="AP1461">
        <v>84</v>
      </c>
      <c r="AQ1461">
        <v>-44</v>
      </c>
      <c r="AR1461">
        <v>512</v>
      </c>
      <c r="AZ1461">
        <v>1200</v>
      </c>
      <c r="BA1461">
        <v>1</v>
      </c>
      <c r="BB1461" t="str">
        <f t="shared" si="678"/>
        <v xml:space="preserve">N711JA  </v>
      </c>
      <c r="BC1461">
        <v>1</v>
      </c>
      <c r="BE1461">
        <v>0</v>
      </c>
      <c r="BF1461">
        <v>0</v>
      </c>
      <c r="BG1461">
        <v>0</v>
      </c>
      <c r="BH1461">
        <v>1650</v>
      </c>
      <c r="BI1461">
        <v>1</v>
      </c>
      <c r="BJ1461">
        <v>1</v>
      </c>
      <c r="BK1461">
        <v>0</v>
      </c>
      <c r="BL1461">
        <v>0</v>
      </c>
      <c r="BO1461">
        <v>0</v>
      </c>
      <c r="BP1461">
        <v>0</v>
      </c>
      <c r="BW1461" t="str">
        <f t="shared" si="690"/>
        <v>14:43:39.438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343</v>
      </c>
      <c r="CR1461">
        <v>2</v>
      </c>
      <c r="CW1461">
        <v>13053976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 t="shared" si="687"/>
        <v>05/12/2020 14:43:21.612</v>
      </c>
      <c r="C1462" t="str">
        <f t="shared" si="677"/>
        <v>FFDFD3C0</v>
      </c>
      <c r="D1462" t="s">
        <v>131</v>
      </c>
      <c r="E1462">
        <v>18</v>
      </c>
      <c r="F1462">
        <v>2018</v>
      </c>
      <c r="G1462" t="s">
        <v>161</v>
      </c>
      <c r="J1462" t="s">
        <v>133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688"/>
        <v>14:43:39.438</v>
      </c>
      <c r="T1462" t="str">
        <f t="shared" si="689"/>
        <v>14:43:39.238</v>
      </c>
      <c r="U1462" t="str">
        <f t="shared" si="669"/>
        <v>A9808D</v>
      </c>
      <c r="V1462">
        <v>0</v>
      </c>
      <c r="W1462">
        <v>0</v>
      </c>
      <c r="X1462">
        <v>1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402</v>
      </c>
      <c r="AJ1462">
        <v>28.285053000000001</v>
      </c>
      <c r="AK1462" t="s">
        <v>403</v>
      </c>
      <c r="AL1462">
        <v>-82.373772000000002</v>
      </c>
      <c r="AM1462">
        <v>100</v>
      </c>
      <c r="AN1462">
        <v>1600</v>
      </c>
      <c r="AO1462" t="s">
        <v>118</v>
      </c>
      <c r="AP1462">
        <v>84</v>
      </c>
      <c r="AQ1462">
        <v>-44</v>
      </c>
      <c r="AR1462">
        <v>512</v>
      </c>
      <c r="AZ1462">
        <v>1200</v>
      </c>
      <c r="BA1462">
        <v>1</v>
      </c>
      <c r="BB1462" t="str">
        <f t="shared" si="678"/>
        <v xml:space="preserve">N711JA  </v>
      </c>
      <c r="BC1462">
        <v>1</v>
      </c>
      <c r="BE1462">
        <v>0</v>
      </c>
      <c r="BF1462">
        <v>0</v>
      </c>
      <c r="BG1462">
        <v>0</v>
      </c>
      <c r="BH1462">
        <v>1650</v>
      </c>
      <c r="BI1462">
        <v>1</v>
      </c>
      <c r="BJ1462">
        <v>1</v>
      </c>
      <c r="BK1462">
        <v>0</v>
      </c>
      <c r="BL1462">
        <v>0</v>
      </c>
      <c r="BO1462">
        <v>0</v>
      </c>
      <c r="BP1462">
        <v>0</v>
      </c>
      <c r="BW1462" t="str">
        <f t="shared" si="690"/>
        <v>14:43:39.438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343</v>
      </c>
      <c r="CR1462">
        <v>2</v>
      </c>
      <c r="CW1462">
        <v>13053976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 t="shared" ref="A1463:A1471" si="691">"05/12/2020 14:43:22.639"</f>
        <v>05/12/2020 14:43:22.639</v>
      </c>
      <c r="C1463" t="str">
        <f t="shared" si="677"/>
        <v>FFDFD3C0</v>
      </c>
      <c r="D1463" t="s">
        <v>138</v>
      </c>
      <c r="E1463">
        <v>2</v>
      </c>
      <c r="H1463">
        <v>8</v>
      </c>
      <c r="I1463" t="s">
        <v>139</v>
      </c>
      <c r="J1463" t="s">
        <v>136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ref="S1463:S1471" si="692">"14:43:40.445"</f>
        <v>14:43:40.445</v>
      </c>
      <c r="T1463" t="str">
        <f t="shared" ref="T1463:T1471" si="693">"14:43:40.345"</f>
        <v>14:43:40.345</v>
      </c>
      <c r="U1463" t="str">
        <f t="shared" si="669"/>
        <v>A9808D</v>
      </c>
      <c r="V1463">
        <v>0</v>
      </c>
      <c r="W1463">
        <v>0</v>
      </c>
      <c r="X1463">
        <v>1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404</v>
      </c>
      <c r="AJ1463">
        <v>28.284817</v>
      </c>
      <c r="AK1463" t="s">
        <v>405</v>
      </c>
      <c r="AL1463">
        <v>-82.373277999999999</v>
      </c>
      <c r="AM1463">
        <v>100</v>
      </c>
      <c r="AN1463">
        <v>1600</v>
      </c>
      <c r="AO1463" t="s">
        <v>118</v>
      </c>
      <c r="AP1463">
        <v>85</v>
      </c>
      <c r="AQ1463">
        <v>-44</v>
      </c>
      <c r="AR1463">
        <v>448</v>
      </c>
      <c r="AZ1463">
        <v>1200</v>
      </c>
      <c r="BA1463">
        <v>1</v>
      </c>
      <c r="BB1463" t="str">
        <f t="shared" si="678"/>
        <v xml:space="preserve">N711JA  </v>
      </c>
      <c r="BC1463">
        <v>1</v>
      </c>
      <c r="BE1463">
        <v>0</v>
      </c>
      <c r="BF1463">
        <v>0</v>
      </c>
      <c r="BG1463">
        <v>0</v>
      </c>
      <c r="BH1463">
        <v>1650</v>
      </c>
      <c r="BI1463">
        <v>1</v>
      </c>
      <c r="BJ1463">
        <v>1</v>
      </c>
      <c r="BK1463">
        <v>0</v>
      </c>
      <c r="BL1463">
        <v>0</v>
      </c>
      <c r="BO1463">
        <v>0</v>
      </c>
      <c r="BP1463">
        <v>0</v>
      </c>
      <c r="BW1463" t="str">
        <f t="shared" ref="BW1463:BW1471" si="694">"14:43:40.452"</f>
        <v>14:43:40.452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343</v>
      </c>
      <c r="CR1463">
        <v>2</v>
      </c>
      <c r="CW1463">
        <v>13054670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 t="shared" si="691"/>
        <v>05/12/2020 14:43:22.639</v>
      </c>
      <c r="C1464" t="str">
        <f t="shared" si="677"/>
        <v>FFDFD3C0</v>
      </c>
      <c r="D1464" t="s">
        <v>113</v>
      </c>
      <c r="E1464">
        <v>3</v>
      </c>
      <c r="H1464">
        <v>164</v>
      </c>
      <c r="I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692"/>
        <v>14:43:40.445</v>
      </c>
      <c r="T1464" t="str">
        <f t="shared" si="693"/>
        <v>14:43:40.345</v>
      </c>
      <c r="U1464" t="str">
        <f t="shared" si="669"/>
        <v>A9808D</v>
      </c>
      <c r="V1464">
        <v>0</v>
      </c>
      <c r="W1464">
        <v>0</v>
      </c>
      <c r="X1464">
        <v>1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404</v>
      </c>
      <c r="AJ1464">
        <v>28.284817</v>
      </c>
      <c r="AK1464" t="s">
        <v>405</v>
      </c>
      <c r="AL1464">
        <v>-82.373277999999999</v>
      </c>
      <c r="AM1464">
        <v>100</v>
      </c>
      <c r="AN1464">
        <v>1600</v>
      </c>
      <c r="AO1464" t="s">
        <v>118</v>
      </c>
      <c r="AP1464">
        <v>85</v>
      </c>
      <c r="AQ1464">
        <v>-44</v>
      </c>
      <c r="AR1464">
        <v>448</v>
      </c>
      <c r="AZ1464">
        <v>1200</v>
      </c>
      <c r="BA1464">
        <v>1</v>
      </c>
      <c r="BB1464" t="str">
        <f t="shared" si="678"/>
        <v xml:space="preserve">N711JA  </v>
      </c>
      <c r="BC1464">
        <v>1</v>
      </c>
      <c r="BE1464">
        <v>0</v>
      </c>
      <c r="BF1464">
        <v>0</v>
      </c>
      <c r="BG1464">
        <v>0</v>
      </c>
      <c r="BH1464">
        <v>1650</v>
      </c>
      <c r="BI1464">
        <v>1</v>
      </c>
      <c r="BJ1464">
        <v>1</v>
      </c>
      <c r="BK1464">
        <v>0</v>
      </c>
      <c r="BL1464">
        <v>0</v>
      </c>
      <c r="BO1464">
        <v>0</v>
      </c>
      <c r="BP1464">
        <v>0</v>
      </c>
      <c r="BW1464" t="str">
        <f t="shared" si="694"/>
        <v>14:43:40.452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343</v>
      </c>
      <c r="CR1464">
        <v>2</v>
      </c>
      <c r="CW1464">
        <v>13054670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 t="shared" si="691"/>
        <v>05/12/2020 14:43:22.639</v>
      </c>
      <c r="C1465" t="str">
        <f t="shared" si="677"/>
        <v>FFDFD3C0</v>
      </c>
      <c r="D1465" t="s">
        <v>138</v>
      </c>
      <c r="E1465">
        <v>3</v>
      </c>
      <c r="H1465">
        <v>9</v>
      </c>
      <c r="I1465" t="s">
        <v>140</v>
      </c>
      <c r="J1465" t="s">
        <v>136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692"/>
        <v>14:43:40.445</v>
      </c>
      <c r="T1465" t="str">
        <f t="shared" si="693"/>
        <v>14:43:40.345</v>
      </c>
      <c r="U1465" t="str">
        <f t="shared" si="669"/>
        <v>A9808D</v>
      </c>
      <c r="V1465">
        <v>0</v>
      </c>
      <c r="W1465">
        <v>0</v>
      </c>
      <c r="X1465">
        <v>1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404</v>
      </c>
      <c r="AJ1465">
        <v>28.284817</v>
      </c>
      <c r="AK1465" t="s">
        <v>405</v>
      </c>
      <c r="AL1465">
        <v>-82.373277999999999</v>
      </c>
      <c r="AM1465">
        <v>100</v>
      </c>
      <c r="AN1465">
        <v>1600</v>
      </c>
      <c r="AO1465" t="s">
        <v>118</v>
      </c>
      <c r="AP1465">
        <v>85</v>
      </c>
      <c r="AQ1465">
        <v>-44</v>
      </c>
      <c r="AR1465">
        <v>448</v>
      </c>
      <c r="AZ1465">
        <v>1200</v>
      </c>
      <c r="BA1465">
        <v>1</v>
      </c>
      <c r="BB1465" t="str">
        <f t="shared" si="678"/>
        <v xml:space="preserve">N711JA  </v>
      </c>
      <c r="BC1465">
        <v>1</v>
      </c>
      <c r="BE1465">
        <v>0</v>
      </c>
      <c r="BF1465">
        <v>0</v>
      </c>
      <c r="BG1465">
        <v>0</v>
      </c>
      <c r="BH1465">
        <v>1650</v>
      </c>
      <c r="BI1465">
        <v>1</v>
      </c>
      <c r="BJ1465">
        <v>1</v>
      </c>
      <c r="BK1465">
        <v>0</v>
      </c>
      <c r="BL1465">
        <v>0</v>
      </c>
      <c r="BO1465">
        <v>0</v>
      </c>
      <c r="BP1465">
        <v>0</v>
      </c>
      <c r="BW1465" t="str">
        <f t="shared" si="694"/>
        <v>14:43:40.452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343</v>
      </c>
      <c r="CR1465">
        <v>2</v>
      </c>
      <c r="CW1465">
        <v>13054670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 t="shared" si="691"/>
        <v>05/12/2020 14:43:22.639</v>
      </c>
      <c r="C1466" t="str">
        <f t="shared" si="677"/>
        <v>FFDFD3C0</v>
      </c>
      <c r="D1466" t="s">
        <v>126</v>
      </c>
      <c r="E1466">
        <v>6</v>
      </c>
      <c r="F1466">
        <v>1006</v>
      </c>
      <c r="G1466" t="s">
        <v>114</v>
      </c>
      <c r="J1466" t="s">
        <v>128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692"/>
        <v>14:43:40.445</v>
      </c>
      <c r="T1466" t="str">
        <f t="shared" si="693"/>
        <v>14:43:40.345</v>
      </c>
      <c r="U1466" t="str">
        <f t="shared" si="669"/>
        <v>A9808D</v>
      </c>
      <c r="V1466">
        <v>0</v>
      </c>
      <c r="W1466">
        <v>0</v>
      </c>
      <c r="X1466">
        <v>1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404</v>
      </c>
      <c r="AJ1466">
        <v>28.284817</v>
      </c>
      <c r="AK1466" t="s">
        <v>405</v>
      </c>
      <c r="AL1466">
        <v>-82.373277999999999</v>
      </c>
      <c r="AM1466">
        <v>100</v>
      </c>
      <c r="AN1466">
        <v>1600</v>
      </c>
      <c r="AO1466" t="s">
        <v>118</v>
      </c>
      <c r="AP1466">
        <v>85</v>
      </c>
      <c r="AQ1466">
        <v>-44</v>
      </c>
      <c r="AR1466">
        <v>448</v>
      </c>
      <c r="AZ1466">
        <v>1200</v>
      </c>
      <c r="BA1466">
        <v>1</v>
      </c>
      <c r="BB1466" t="str">
        <f t="shared" si="678"/>
        <v xml:space="preserve">N711JA  </v>
      </c>
      <c r="BC1466">
        <v>1</v>
      </c>
      <c r="BE1466">
        <v>0</v>
      </c>
      <c r="BF1466">
        <v>0</v>
      </c>
      <c r="BG1466">
        <v>0</v>
      </c>
      <c r="BH1466">
        <v>1650</v>
      </c>
      <c r="BI1466">
        <v>1</v>
      </c>
      <c r="BJ1466">
        <v>1</v>
      </c>
      <c r="BK1466">
        <v>0</v>
      </c>
      <c r="BL1466">
        <v>0</v>
      </c>
      <c r="BO1466">
        <v>0</v>
      </c>
      <c r="BP1466">
        <v>0</v>
      </c>
      <c r="BW1466" t="str">
        <f t="shared" si="694"/>
        <v>14:43:40.452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343</v>
      </c>
      <c r="CR1466">
        <v>2</v>
      </c>
      <c r="CW1466">
        <v>13054670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 t="shared" si="691"/>
        <v>05/12/2020 14:43:22.639</v>
      </c>
      <c r="C1467" t="str">
        <f t="shared" si="677"/>
        <v>FFDFD3C0</v>
      </c>
      <c r="D1467" t="s">
        <v>126</v>
      </c>
      <c r="E1467">
        <v>7</v>
      </c>
      <c r="F1467">
        <v>1007</v>
      </c>
      <c r="G1467" t="s">
        <v>127</v>
      </c>
      <c r="J1467" t="s">
        <v>128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692"/>
        <v>14:43:40.445</v>
      </c>
      <c r="T1467" t="str">
        <f t="shared" si="693"/>
        <v>14:43:40.345</v>
      </c>
      <c r="U1467" t="str">
        <f t="shared" si="669"/>
        <v>A9808D</v>
      </c>
      <c r="V1467">
        <v>0</v>
      </c>
      <c r="W1467">
        <v>0</v>
      </c>
      <c r="X1467">
        <v>1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404</v>
      </c>
      <c r="AJ1467">
        <v>28.284817</v>
      </c>
      <c r="AK1467" t="s">
        <v>405</v>
      </c>
      <c r="AL1467">
        <v>-82.373277999999999</v>
      </c>
      <c r="AM1467">
        <v>100</v>
      </c>
      <c r="AN1467">
        <v>1600</v>
      </c>
      <c r="AO1467" t="s">
        <v>118</v>
      </c>
      <c r="AP1467">
        <v>85</v>
      </c>
      <c r="AQ1467">
        <v>-44</v>
      </c>
      <c r="AR1467">
        <v>448</v>
      </c>
      <c r="AZ1467">
        <v>1200</v>
      </c>
      <c r="BA1467">
        <v>1</v>
      </c>
      <c r="BB1467" t="str">
        <f t="shared" si="678"/>
        <v xml:space="preserve">N711JA  </v>
      </c>
      <c r="BC1467">
        <v>1</v>
      </c>
      <c r="BE1467">
        <v>0</v>
      </c>
      <c r="BF1467">
        <v>0</v>
      </c>
      <c r="BG1467">
        <v>0</v>
      </c>
      <c r="BH1467">
        <v>1650</v>
      </c>
      <c r="BI1467">
        <v>1</v>
      </c>
      <c r="BJ1467">
        <v>1</v>
      </c>
      <c r="BK1467">
        <v>0</v>
      </c>
      <c r="BL1467">
        <v>0</v>
      </c>
      <c r="BO1467">
        <v>0</v>
      </c>
      <c r="BP1467">
        <v>0</v>
      </c>
      <c r="BW1467" t="str">
        <f t="shared" si="694"/>
        <v>14:43:40.452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343</v>
      </c>
      <c r="CR1467">
        <v>2</v>
      </c>
      <c r="CW1467">
        <v>13054670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 t="shared" si="691"/>
        <v>05/12/2020 14:43:22.639</v>
      </c>
      <c r="C1468" t="str">
        <f t="shared" si="677"/>
        <v>FFDFD3C0</v>
      </c>
      <c r="D1468" t="s">
        <v>131</v>
      </c>
      <c r="E1468">
        <v>10</v>
      </c>
      <c r="F1468">
        <v>2010</v>
      </c>
      <c r="G1468" t="s">
        <v>132</v>
      </c>
      <c r="J1468" t="s">
        <v>133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692"/>
        <v>14:43:40.445</v>
      </c>
      <c r="T1468" t="str">
        <f t="shared" si="693"/>
        <v>14:43:40.345</v>
      </c>
      <c r="U1468" t="str">
        <f t="shared" si="669"/>
        <v>A9808D</v>
      </c>
      <c r="V1468">
        <v>0</v>
      </c>
      <c r="W1468">
        <v>0</v>
      </c>
      <c r="X1468">
        <v>1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404</v>
      </c>
      <c r="AJ1468">
        <v>28.284817</v>
      </c>
      <c r="AK1468" t="s">
        <v>405</v>
      </c>
      <c r="AL1468">
        <v>-82.373277999999999</v>
      </c>
      <c r="AM1468">
        <v>100</v>
      </c>
      <c r="AN1468">
        <v>1600</v>
      </c>
      <c r="AO1468" t="s">
        <v>118</v>
      </c>
      <c r="AP1468">
        <v>85</v>
      </c>
      <c r="AQ1468">
        <v>-44</v>
      </c>
      <c r="AR1468">
        <v>448</v>
      </c>
      <c r="AZ1468">
        <v>1200</v>
      </c>
      <c r="BA1468">
        <v>1</v>
      </c>
      <c r="BB1468" t="str">
        <f t="shared" si="678"/>
        <v xml:space="preserve">N711JA  </v>
      </c>
      <c r="BC1468">
        <v>1</v>
      </c>
      <c r="BE1468">
        <v>0</v>
      </c>
      <c r="BF1468">
        <v>0</v>
      </c>
      <c r="BG1468">
        <v>0</v>
      </c>
      <c r="BH1468">
        <v>1650</v>
      </c>
      <c r="BI1468">
        <v>1</v>
      </c>
      <c r="BJ1468">
        <v>1</v>
      </c>
      <c r="BK1468">
        <v>0</v>
      </c>
      <c r="BL1468">
        <v>0</v>
      </c>
      <c r="BO1468">
        <v>0</v>
      </c>
      <c r="BP1468">
        <v>0</v>
      </c>
      <c r="BW1468" t="str">
        <f t="shared" si="694"/>
        <v>14:43:40.452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343</v>
      </c>
      <c r="CR1468">
        <v>2</v>
      </c>
      <c r="CW1468">
        <v>13054670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si="691"/>
        <v>05/12/2020 14:43:22.639</v>
      </c>
      <c r="C1469" t="str">
        <f t="shared" si="677"/>
        <v>FFDFD3C0</v>
      </c>
      <c r="D1469" t="s">
        <v>131</v>
      </c>
      <c r="E1469">
        <v>12</v>
      </c>
      <c r="F1469">
        <v>2012</v>
      </c>
      <c r="G1469" t="s">
        <v>137</v>
      </c>
      <c r="J1469" t="s">
        <v>133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si="692"/>
        <v>14:43:40.445</v>
      </c>
      <c r="T1469" t="str">
        <f t="shared" si="693"/>
        <v>14:43:40.345</v>
      </c>
      <c r="U1469" t="str">
        <f t="shared" si="669"/>
        <v>A9808D</v>
      </c>
      <c r="V1469">
        <v>0</v>
      </c>
      <c r="W1469">
        <v>0</v>
      </c>
      <c r="X1469">
        <v>1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404</v>
      </c>
      <c r="AJ1469">
        <v>28.284817</v>
      </c>
      <c r="AK1469" t="s">
        <v>405</v>
      </c>
      <c r="AL1469">
        <v>-82.373277999999999</v>
      </c>
      <c r="AM1469">
        <v>100</v>
      </c>
      <c r="AN1469">
        <v>1600</v>
      </c>
      <c r="AO1469" t="s">
        <v>118</v>
      </c>
      <c r="AP1469">
        <v>85</v>
      </c>
      <c r="AQ1469">
        <v>-44</v>
      </c>
      <c r="AR1469">
        <v>448</v>
      </c>
      <c r="AZ1469">
        <v>1200</v>
      </c>
      <c r="BA1469">
        <v>1</v>
      </c>
      <c r="BB1469" t="str">
        <f t="shared" si="678"/>
        <v xml:space="preserve">N711JA  </v>
      </c>
      <c r="BC1469">
        <v>1</v>
      </c>
      <c r="BE1469">
        <v>0</v>
      </c>
      <c r="BF1469">
        <v>0</v>
      </c>
      <c r="BG1469">
        <v>0</v>
      </c>
      <c r="BH1469">
        <v>1650</v>
      </c>
      <c r="BI1469">
        <v>1</v>
      </c>
      <c r="BJ1469">
        <v>1</v>
      </c>
      <c r="BK1469">
        <v>0</v>
      </c>
      <c r="BL1469">
        <v>0</v>
      </c>
      <c r="BO1469">
        <v>0</v>
      </c>
      <c r="BP1469">
        <v>0</v>
      </c>
      <c r="BW1469" t="str">
        <f t="shared" si="694"/>
        <v>14:43:40.452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343</v>
      </c>
      <c r="CR1469">
        <v>2</v>
      </c>
      <c r="CW1469">
        <v>13054670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691"/>
        <v>05/12/2020 14:43:22.639</v>
      </c>
      <c r="C1470" t="str">
        <f t="shared" si="677"/>
        <v>FFDFD3C0</v>
      </c>
      <c r="D1470" t="s">
        <v>131</v>
      </c>
      <c r="E1470">
        <v>18</v>
      </c>
      <c r="F1470">
        <v>2018</v>
      </c>
      <c r="G1470" t="s">
        <v>161</v>
      </c>
      <c r="J1470" t="s">
        <v>133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692"/>
        <v>14:43:40.445</v>
      </c>
      <c r="T1470" t="str">
        <f t="shared" si="693"/>
        <v>14:43:40.345</v>
      </c>
      <c r="U1470" t="str">
        <f t="shared" si="669"/>
        <v>A9808D</v>
      </c>
      <c r="V1470">
        <v>0</v>
      </c>
      <c r="W1470">
        <v>0</v>
      </c>
      <c r="X1470">
        <v>1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404</v>
      </c>
      <c r="AJ1470">
        <v>28.284817</v>
      </c>
      <c r="AK1470" t="s">
        <v>405</v>
      </c>
      <c r="AL1470">
        <v>-82.373277999999999</v>
      </c>
      <c r="AM1470">
        <v>100</v>
      </c>
      <c r="AN1470">
        <v>1600</v>
      </c>
      <c r="AO1470" t="s">
        <v>118</v>
      </c>
      <c r="AP1470">
        <v>85</v>
      </c>
      <c r="AQ1470">
        <v>-44</v>
      </c>
      <c r="AR1470">
        <v>448</v>
      </c>
      <c r="AZ1470">
        <v>1200</v>
      </c>
      <c r="BA1470">
        <v>1</v>
      </c>
      <c r="BB1470" t="str">
        <f t="shared" si="678"/>
        <v xml:space="preserve">N711JA  </v>
      </c>
      <c r="BC1470">
        <v>1</v>
      </c>
      <c r="BE1470">
        <v>0</v>
      </c>
      <c r="BF1470">
        <v>0</v>
      </c>
      <c r="BG1470">
        <v>0</v>
      </c>
      <c r="BH1470">
        <v>1650</v>
      </c>
      <c r="BI1470">
        <v>1</v>
      </c>
      <c r="BJ1470">
        <v>1</v>
      </c>
      <c r="BK1470">
        <v>0</v>
      </c>
      <c r="BL1470">
        <v>0</v>
      </c>
      <c r="BO1470">
        <v>0</v>
      </c>
      <c r="BP1470">
        <v>0</v>
      </c>
      <c r="BW1470" t="str">
        <f t="shared" si="694"/>
        <v>14:43:40.452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343</v>
      </c>
      <c r="CR1470">
        <v>2</v>
      </c>
      <c r="CW1470">
        <v>13054670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si="691"/>
        <v>05/12/2020 14:43:22.639</v>
      </c>
      <c r="C1471" t="str">
        <f t="shared" si="677"/>
        <v>FFDFD3C0</v>
      </c>
      <c r="D1471" t="s">
        <v>134</v>
      </c>
      <c r="E1471">
        <v>12</v>
      </c>
      <c r="H1471">
        <v>64</v>
      </c>
      <c r="I1471" t="s">
        <v>135</v>
      </c>
      <c r="J1471" t="s">
        <v>136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692"/>
        <v>14:43:40.445</v>
      </c>
      <c r="T1471" t="str">
        <f t="shared" si="693"/>
        <v>14:43:40.345</v>
      </c>
      <c r="U1471" t="str">
        <f t="shared" si="669"/>
        <v>A9808D</v>
      </c>
      <c r="V1471">
        <v>0</v>
      </c>
      <c r="W1471">
        <v>0</v>
      </c>
      <c r="X1471">
        <v>1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404</v>
      </c>
      <c r="AJ1471">
        <v>28.284817</v>
      </c>
      <c r="AK1471" t="s">
        <v>405</v>
      </c>
      <c r="AL1471">
        <v>-82.373277999999999</v>
      </c>
      <c r="AM1471">
        <v>100</v>
      </c>
      <c r="AN1471">
        <v>1600</v>
      </c>
      <c r="AO1471" t="s">
        <v>118</v>
      </c>
      <c r="AP1471">
        <v>85</v>
      </c>
      <c r="AQ1471">
        <v>-44</v>
      </c>
      <c r="AR1471">
        <v>448</v>
      </c>
      <c r="AZ1471">
        <v>1200</v>
      </c>
      <c r="BA1471">
        <v>1</v>
      </c>
      <c r="BB1471" t="str">
        <f t="shared" si="678"/>
        <v xml:space="preserve">N711JA  </v>
      </c>
      <c r="BC1471">
        <v>1</v>
      </c>
      <c r="BE1471">
        <v>0</v>
      </c>
      <c r="BF1471">
        <v>0</v>
      </c>
      <c r="BG1471">
        <v>0</v>
      </c>
      <c r="BH1471">
        <v>1650</v>
      </c>
      <c r="BI1471">
        <v>1</v>
      </c>
      <c r="BJ1471">
        <v>1</v>
      </c>
      <c r="BK1471">
        <v>0</v>
      </c>
      <c r="BL1471">
        <v>0</v>
      </c>
      <c r="BO1471">
        <v>0</v>
      </c>
      <c r="BP1471">
        <v>0</v>
      </c>
      <c r="BW1471" t="str">
        <f t="shared" si="694"/>
        <v>14:43:40.452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343</v>
      </c>
      <c r="CR1471">
        <v>2</v>
      </c>
      <c r="CW1471">
        <v>13054670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ref="A1472:A1480" si="695">"05/12/2020 14:43:23.702"</f>
        <v>05/12/2020 14:43:23.702</v>
      </c>
      <c r="C1472" t="str">
        <f t="shared" si="677"/>
        <v>FFDFD3C0</v>
      </c>
      <c r="D1472" t="s">
        <v>113</v>
      </c>
      <c r="E1472">
        <v>3</v>
      </c>
      <c r="H1472">
        <v>164</v>
      </c>
      <c r="I1472" t="s">
        <v>114</v>
      </c>
      <c r="J1472" t="s">
        <v>115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ref="S1472:S1480" si="696">"14:43:41.531"</f>
        <v>14:43:41.531</v>
      </c>
      <c r="T1472" t="str">
        <f t="shared" ref="T1472:T1480" si="697">"14:43:41.331"</f>
        <v>14:43:41.331</v>
      </c>
      <c r="U1472" t="str">
        <f t="shared" si="669"/>
        <v>A9808D</v>
      </c>
      <c r="V1472">
        <v>0</v>
      </c>
      <c r="W1472">
        <v>0</v>
      </c>
      <c r="X1472">
        <v>1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366</v>
      </c>
      <c r="AJ1472">
        <v>28.284624000000001</v>
      </c>
      <c r="AK1472" t="s">
        <v>406</v>
      </c>
      <c r="AL1472">
        <v>-82.372849000000002</v>
      </c>
      <c r="AM1472">
        <v>100</v>
      </c>
      <c r="AN1472">
        <v>1600</v>
      </c>
      <c r="AO1472" t="s">
        <v>118</v>
      </c>
      <c r="AP1472">
        <v>85</v>
      </c>
      <c r="AQ1472">
        <v>-44</v>
      </c>
      <c r="AR1472">
        <v>512</v>
      </c>
      <c r="AZ1472">
        <v>1200</v>
      </c>
      <c r="BA1472">
        <v>1</v>
      </c>
      <c r="BB1472" t="str">
        <f t="shared" si="678"/>
        <v xml:space="preserve">N711JA  </v>
      </c>
      <c r="BC1472">
        <v>1</v>
      </c>
      <c r="BE1472">
        <v>0</v>
      </c>
      <c r="BF1472">
        <v>0</v>
      </c>
      <c r="BG1472">
        <v>0</v>
      </c>
      <c r="BH1472">
        <v>1650</v>
      </c>
      <c r="BI1472">
        <v>1</v>
      </c>
      <c r="BJ1472">
        <v>1</v>
      </c>
      <c r="BK1472">
        <v>0</v>
      </c>
      <c r="BL1472">
        <v>0</v>
      </c>
      <c r="BO1472">
        <v>0</v>
      </c>
      <c r="BP1472">
        <v>0</v>
      </c>
      <c r="BW1472" t="str">
        <f t="shared" ref="BW1472:BW1480" si="698">"14:43:41.536"</f>
        <v>14:43:41.536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343</v>
      </c>
      <c r="CR1472">
        <v>1</v>
      </c>
      <c r="CW1472">
        <v>10674553</v>
      </c>
      <c r="CY1472">
        <v>1</v>
      </c>
      <c r="CZ1472">
        <v>0</v>
      </c>
      <c r="DA1472">
        <v>0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695"/>
        <v>05/12/2020 14:43:23.702</v>
      </c>
      <c r="C1473" t="str">
        <f t="shared" si="677"/>
        <v>FFDFD3C0</v>
      </c>
      <c r="D1473" t="s">
        <v>138</v>
      </c>
      <c r="E1473">
        <v>2</v>
      </c>
      <c r="H1473">
        <v>8</v>
      </c>
      <c r="I1473" t="s">
        <v>139</v>
      </c>
      <c r="J1473" t="s">
        <v>136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696"/>
        <v>14:43:41.531</v>
      </c>
      <c r="T1473" t="str">
        <f t="shared" si="697"/>
        <v>14:43:41.331</v>
      </c>
      <c r="U1473" t="str">
        <f t="shared" si="669"/>
        <v>A9808D</v>
      </c>
      <c r="V1473">
        <v>0</v>
      </c>
      <c r="W1473">
        <v>0</v>
      </c>
      <c r="X1473">
        <v>1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366</v>
      </c>
      <c r="AJ1473">
        <v>28.284624000000001</v>
      </c>
      <c r="AK1473" t="s">
        <v>406</v>
      </c>
      <c r="AL1473">
        <v>-82.372849000000002</v>
      </c>
      <c r="AM1473">
        <v>100</v>
      </c>
      <c r="AN1473">
        <v>1600</v>
      </c>
      <c r="AO1473" t="s">
        <v>118</v>
      </c>
      <c r="AP1473">
        <v>85</v>
      </c>
      <c r="AQ1473">
        <v>-44</v>
      </c>
      <c r="AR1473">
        <v>512</v>
      </c>
      <c r="AZ1473">
        <v>1200</v>
      </c>
      <c r="BA1473">
        <v>1</v>
      </c>
      <c r="BB1473" t="str">
        <f t="shared" si="678"/>
        <v xml:space="preserve">N711JA  </v>
      </c>
      <c r="BC1473">
        <v>1</v>
      </c>
      <c r="BE1473">
        <v>0</v>
      </c>
      <c r="BF1473">
        <v>0</v>
      </c>
      <c r="BG1473">
        <v>0</v>
      </c>
      <c r="BH1473">
        <v>1650</v>
      </c>
      <c r="BI1473">
        <v>1</v>
      </c>
      <c r="BJ1473">
        <v>1</v>
      </c>
      <c r="BK1473">
        <v>0</v>
      </c>
      <c r="BL1473">
        <v>0</v>
      </c>
      <c r="BO1473">
        <v>0</v>
      </c>
      <c r="BP1473">
        <v>0</v>
      </c>
      <c r="BW1473" t="str">
        <f t="shared" si="698"/>
        <v>14:43:41.536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343</v>
      </c>
      <c r="CR1473">
        <v>1</v>
      </c>
      <c r="CW1473">
        <v>10674553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695"/>
        <v>05/12/2020 14:43:23.702</v>
      </c>
      <c r="C1474" t="str">
        <f t="shared" si="677"/>
        <v>FFDFD3C0</v>
      </c>
      <c r="D1474" t="s">
        <v>126</v>
      </c>
      <c r="E1474">
        <v>6</v>
      </c>
      <c r="F1474">
        <v>1006</v>
      </c>
      <c r="G1474" t="s">
        <v>114</v>
      </c>
      <c r="J1474" t="s">
        <v>128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696"/>
        <v>14:43:41.531</v>
      </c>
      <c r="T1474" t="str">
        <f t="shared" si="697"/>
        <v>14:43:41.331</v>
      </c>
      <c r="U1474" t="str">
        <f t="shared" ref="U1474:U1537" si="699">"A9808D"</f>
        <v>A9808D</v>
      </c>
      <c r="V1474">
        <v>0</v>
      </c>
      <c r="W1474">
        <v>0</v>
      </c>
      <c r="X1474">
        <v>1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366</v>
      </c>
      <c r="AJ1474">
        <v>28.284624000000001</v>
      </c>
      <c r="AK1474" t="s">
        <v>406</v>
      </c>
      <c r="AL1474">
        <v>-82.372849000000002</v>
      </c>
      <c r="AM1474">
        <v>100</v>
      </c>
      <c r="AN1474">
        <v>1600</v>
      </c>
      <c r="AO1474" t="s">
        <v>118</v>
      </c>
      <c r="AP1474">
        <v>85</v>
      </c>
      <c r="AQ1474">
        <v>-44</v>
      </c>
      <c r="AR1474">
        <v>512</v>
      </c>
      <c r="AZ1474">
        <v>1200</v>
      </c>
      <c r="BA1474">
        <v>1</v>
      </c>
      <c r="BB1474" t="str">
        <f t="shared" si="678"/>
        <v xml:space="preserve">N711JA  </v>
      </c>
      <c r="BC1474">
        <v>1</v>
      </c>
      <c r="BE1474">
        <v>0</v>
      </c>
      <c r="BF1474">
        <v>0</v>
      </c>
      <c r="BG1474">
        <v>0</v>
      </c>
      <c r="BH1474">
        <v>1650</v>
      </c>
      <c r="BI1474">
        <v>1</v>
      </c>
      <c r="BJ1474">
        <v>1</v>
      </c>
      <c r="BK1474">
        <v>0</v>
      </c>
      <c r="BL1474">
        <v>0</v>
      </c>
      <c r="BO1474">
        <v>0</v>
      </c>
      <c r="BP1474">
        <v>0</v>
      </c>
      <c r="BW1474" t="str">
        <f t="shared" si="698"/>
        <v>14:43:41.536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343</v>
      </c>
      <c r="CR1474">
        <v>1</v>
      </c>
      <c r="CW1474">
        <v>10674553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 t="shared" si="695"/>
        <v>05/12/2020 14:43:23.702</v>
      </c>
      <c r="C1475" t="str">
        <f t="shared" si="677"/>
        <v>FFDFD3C0</v>
      </c>
      <c r="D1475" t="s">
        <v>126</v>
      </c>
      <c r="E1475">
        <v>7</v>
      </c>
      <c r="F1475">
        <v>1007</v>
      </c>
      <c r="G1475" t="s">
        <v>127</v>
      </c>
      <c r="J1475" t="s">
        <v>128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696"/>
        <v>14:43:41.531</v>
      </c>
      <c r="T1475" t="str">
        <f t="shared" si="697"/>
        <v>14:43:41.331</v>
      </c>
      <c r="U1475" t="str">
        <f t="shared" si="699"/>
        <v>A9808D</v>
      </c>
      <c r="V1475">
        <v>0</v>
      </c>
      <c r="W1475">
        <v>0</v>
      </c>
      <c r="X1475">
        <v>1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366</v>
      </c>
      <c r="AJ1475">
        <v>28.284624000000001</v>
      </c>
      <c r="AK1475" t="s">
        <v>406</v>
      </c>
      <c r="AL1475">
        <v>-82.372849000000002</v>
      </c>
      <c r="AM1475">
        <v>100</v>
      </c>
      <c r="AN1475">
        <v>1600</v>
      </c>
      <c r="AO1475" t="s">
        <v>118</v>
      </c>
      <c r="AP1475">
        <v>85</v>
      </c>
      <c r="AQ1475">
        <v>-44</v>
      </c>
      <c r="AR1475">
        <v>512</v>
      </c>
      <c r="AZ1475">
        <v>1200</v>
      </c>
      <c r="BA1475">
        <v>1</v>
      </c>
      <c r="BB1475" t="str">
        <f t="shared" si="678"/>
        <v xml:space="preserve">N711JA  </v>
      </c>
      <c r="BC1475">
        <v>1</v>
      </c>
      <c r="BE1475">
        <v>0</v>
      </c>
      <c r="BF1475">
        <v>0</v>
      </c>
      <c r="BG1475">
        <v>0</v>
      </c>
      <c r="BH1475">
        <v>1650</v>
      </c>
      <c r="BI1475">
        <v>1</v>
      </c>
      <c r="BJ1475">
        <v>1</v>
      </c>
      <c r="BK1475">
        <v>0</v>
      </c>
      <c r="BL1475">
        <v>0</v>
      </c>
      <c r="BO1475">
        <v>0</v>
      </c>
      <c r="BP1475">
        <v>0</v>
      </c>
      <c r="BW1475" t="str">
        <f t="shared" si="698"/>
        <v>14:43:41.536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343</v>
      </c>
      <c r="CR1475">
        <v>1</v>
      </c>
      <c r="CW1475">
        <v>10674553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 t="shared" si="695"/>
        <v>05/12/2020 14:43:23.702</v>
      </c>
      <c r="C1476" t="str">
        <f t="shared" si="677"/>
        <v>FFDFD3C0</v>
      </c>
      <c r="D1476" t="s">
        <v>138</v>
      </c>
      <c r="E1476">
        <v>3</v>
      </c>
      <c r="H1476">
        <v>9</v>
      </c>
      <c r="I1476" t="s">
        <v>140</v>
      </c>
      <c r="J1476" t="s">
        <v>136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696"/>
        <v>14:43:41.531</v>
      </c>
      <c r="T1476" t="str">
        <f t="shared" si="697"/>
        <v>14:43:41.331</v>
      </c>
      <c r="U1476" t="str">
        <f t="shared" si="699"/>
        <v>A9808D</v>
      </c>
      <c r="V1476">
        <v>0</v>
      </c>
      <c r="W1476">
        <v>0</v>
      </c>
      <c r="X1476">
        <v>1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366</v>
      </c>
      <c r="AJ1476">
        <v>28.284624000000001</v>
      </c>
      <c r="AK1476" t="s">
        <v>406</v>
      </c>
      <c r="AL1476">
        <v>-82.372849000000002</v>
      </c>
      <c r="AM1476">
        <v>100</v>
      </c>
      <c r="AN1476">
        <v>1600</v>
      </c>
      <c r="AO1476" t="s">
        <v>118</v>
      </c>
      <c r="AP1476">
        <v>85</v>
      </c>
      <c r="AQ1476">
        <v>-44</v>
      </c>
      <c r="AR1476">
        <v>512</v>
      </c>
      <c r="AZ1476">
        <v>1200</v>
      </c>
      <c r="BA1476">
        <v>1</v>
      </c>
      <c r="BB1476" t="str">
        <f t="shared" si="678"/>
        <v xml:space="preserve">N711JA  </v>
      </c>
      <c r="BC1476">
        <v>1</v>
      </c>
      <c r="BE1476">
        <v>0</v>
      </c>
      <c r="BF1476">
        <v>0</v>
      </c>
      <c r="BG1476">
        <v>0</v>
      </c>
      <c r="BH1476">
        <v>1650</v>
      </c>
      <c r="BI1476">
        <v>1</v>
      </c>
      <c r="BJ1476">
        <v>1</v>
      </c>
      <c r="BK1476">
        <v>0</v>
      </c>
      <c r="BL1476">
        <v>0</v>
      </c>
      <c r="BO1476">
        <v>0</v>
      </c>
      <c r="BP1476">
        <v>0</v>
      </c>
      <c r="BW1476" t="str">
        <f t="shared" si="698"/>
        <v>14:43:41.536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343</v>
      </c>
      <c r="CR1476">
        <v>1</v>
      </c>
      <c r="CW1476">
        <v>10674553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 t="shared" si="695"/>
        <v>05/12/2020 14:43:23.702</v>
      </c>
      <c r="C1477" t="str">
        <f t="shared" si="677"/>
        <v>FFDFD3C0</v>
      </c>
      <c r="D1477" t="s">
        <v>131</v>
      </c>
      <c r="E1477">
        <v>10</v>
      </c>
      <c r="F1477">
        <v>2010</v>
      </c>
      <c r="G1477" t="s">
        <v>132</v>
      </c>
      <c r="J1477" t="s">
        <v>133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696"/>
        <v>14:43:41.531</v>
      </c>
      <c r="T1477" t="str">
        <f t="shared" si="697"/>
        <v>14:43:41.331</v>
      </c>
      <c r="U1477" t="str">
        <f t="shared" si="699"/>
        <v>A9808D</v>
      </c>
      <c r="V1477">
        <v>0</v>
      </c>
      <c r="W1477">
        <v>0</v>
      </c>
      <c r="X1477">
        <v>1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366</v>
      </c>
      <c r="AJ1477">
        <v>28.284624000000001</v>
      </c>
      <c r="AK1477" t="s">
        <v>406</v>
      </c>
      <c r="AL1477">
        <v>-82.372849000000002</v>
      </c>
      <c r="AM1477">
        <v>100</v>
      </c>
      <c r="AN1477">
        <v>1600</v>
      </c>
      <c r="AO1477" t="s">
        <v>118</v>
      </c>
      <c r="AP1477">
        <v>85</v>
      </c>
      <c r="AQ1477">
        <v>-44</v>
      </c>
      <c r="AR1477">
        <v>512</v>
      </c>
      <c r="AZ1477">
        <v>1200</v>
      </c>
      <c r="BA1477">
        <v>1</v>
      </c>
      <c r="BB1477" t="str">
        <f t="shared" si="678"/>
        <v xml:space="preserve">N711JA  </v>
      </c>
      <c r="BC1477">
        <v>1</v>
      </c>
      <c r="BE1477">
        <v>0</v>
      </c>
      <c r="BF1477">
        <v>0</v>
      </c>
      <c r="BG1477">
        <v>0</v>
      </c>
      <c r="BH1477">
        <v>1650</v>
      </c>
      <c r="BI1477">
        <v>1</v>
      </c>
      <c r="BJ1477">
        <v>1</v>
      </c>
      <c r="BK1477">
        <v>0</v>
      </c>
      <c r="BL1477">
        <v>0</v>
      </c>
      <c r="BO1477">
        <v>0</v>
      </c>
      <c r="BP1477">
        <v>0</v>
      </c>
      <c r="BW1477" t="str">
        <f t="shared" si="698"/>
        <v>14:43:41.536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343</v>
      </c>
      <c r="CR1477">
        <v>1</v>
      </c>
      <c r="CW1477">
        <v>10674553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 t="shared" si="695"/>
        <v>05/12/2020 14:43:23.702</v>
      </c>
      <c r="C1478" t="str">
        <f t="shared" si="677"/>
        <v>FFDFD3C0</v>
      </c>
      <c r="D1478" t="s">
        <v>131</v>
      </c>
      <c r="E1478">
        <v>18</v>
      </c>
      <c r="F1478">
        <v>2018</v>
      </c>
      <c r="G1478" t="s">
        <v>161</v>
      </c>
      <c r="J1478" t="s">
        <v>133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696"/>
        <v>14:43:41.531</v>
      </c>
      <c r="T1478" t="str">
        <f t="shared" si="697"/>
        <v>14:43:41.331</v>
      </c>
      <c r="U1478" t="str">
        <f t="shared" si="699"/>
        <v>A9808D</v>
      </c>
      <c r="V1478">
        <v>0</v>
      </c>
      <c r="W1478">
        <v>0</v>
      </c>
      <c r="X1478">
        <v>1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366</v>
      </c>
      <c r="AJ1478">
        <v>28.284624000000001</v>
      </c>
      <c r="AK1478" t="s">
        <v>406</v>
      </c>
      <c r="AL1478">
        <v>-82.372849000000002</v>
      </c>
      <c r="AM1478">
        <v>100</v>
      </c>
      <c r="AN1478">
        <v>1600</v>
      </c>
      <c r="AO1478" t="s">
        <v>118</v>
      </c>
      <c r="AP1478">
        <v>85</v>
      </c>
      <c r="AQ1478">
        <v>-44</v>
      </c>
      <c r="AR1478">
        <v>512</v>
      </c>
      <c r="AZ1478">
        <v>1200</v>
      </c>
      <c r="BA1478">
        <v>1</v>
      </c>
      <c r="BB1478" t="str">
        <f t="shared" si="678"/>
        <v xml:space="preserve">N711JA  </v>
      </c>
      <c r="BC1478">
        <v>1</v>
      </c>
      <c r="BE1478">
        <v>0</v>
      </c>
      <c r="BF1478">
        <v>0</v>
      </c>
      <c r="BG1478">
        <v>0</v>
      </c>
      <c r="BH1478">
        <v>1650</v>
      </c>
      <c r="BI1478">
        <v>1</v>
      </c>
      <c r="BJ1478">
        <v>1</v>
      </c>
      <c r="BK1478">
        <v>0</v>
      </c>
      <c r="BL1478">
        <v>0</v>
      </c>
      <c r="BO1478">
        <v>0</v>
      </c>
      <c r="BP1478">
        <v>0</v>
      </c>
      <c r="BW1478" t="str">
        <f t="shared" si="698"/>
        <v>14:43:41.536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343</v>
      </c>
      <c r="CR1478">
        <v>1</v>
      </c>
      <c r="CW1478">
        <v>10674553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 t="shared" si="695"/>
        <v>05/12/2020 14:43:23.702</v>
      </c>
      <c r="C1479" t="str">
        <f t="shared" si="677"/>
        <v>FFDFD3C0</v>
      </c>
      <c r="D1479" t="s">
        <v>131</v>
      </c>
      <c r="E1479">
        <v>12</v>
      </c>
      <c r="F1479">
        <v>2012</v>
      </c>
      <c r="G1479" t="s">
        <v>137</v>
      </c>
      <c r="J1479" t="s">
        <v>133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696"/>
        <v>14:43:41.531</v>
      </c>
      <c r="T1479" t="str">
        <f t="shared" si="697"/>
        <v>14:43:41.331</v>
      </c>
      <c r="U1479" t="str">
        <f t="shared" si="699"/>
        <v>A9808D</v>
      </c>
      <c r="V1479">
        <v>0</v>
      </c>
      <c r="W1479">
        <v>0</v>
      </c>
      <c r="X1479">
        <v>1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366</v>
      </c>
      <c r="AJ1479">
        <v>28.284624000000001</v>
      </c>
      <c r="AK1479" t="s">
        <v>406</v>
      </c>
      <c r="AL1479">
        <v>-82.372849000000002</v>
      </c>
      <c r="AM1479">
        <v>100</v>
      </c>
      <c r="AN1479">
        <v>1600</v>
      </c>
      <c r="AO1479" t="s">
        <v>118</v>
      </c>
      <c r="AP1479">
        <v>85</v>
      </c>
      <c r="AQ1479">
        <v>-44</v>
      </c>
      <c r="AR1479">
        <v>512</v>
      </c>
      <c r="AZ1479">
        <v>1200</v>
      </c>
      <c r="BA1479">
        <v>1</v>
      </c>
      <c r="BB1479" t="str">
        <f t="shared" si="678"/>
        <v xml:space="preserve">N711JA  </v>
      </c>
      <c r="BC1479">
        <v>1</v>
      </c>
      <c r="BE1479">
        <v>0</v>
      </c>
      <c r="BF1479">
        <v>0</v>
      </c>
      <c r="BG1479">
        <v>0</v>
      </c>
      <c r="BH1479">
        <v>1650</v>
      </c>
      <c r="BI1479">
        <v>1</v>
      </c>
      <c r="BJ1479">
        <v>1</v>
      </c>
      <c r="BK1479">
        <v>0</v>
      </c>
      <c r="BL1479">
        <v>0</v>
      </c>
      <c r="BO1479">
        <v>0</v>
      </c>
      <c r="BP1479">
        <v>0</v>
      </c>
      <c r="BW1479" t="str">
        <f t="shared" si="698"/>
        <v>14:43:41.536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343</v>
      </c>
      <c r="CR1479">
        <v>1</v>
      </c>
      <c r="CW1479">
        <v>10674553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 t="shared" si="695"/>
        <v>05/12/2020 14:43:23.702</v>
      </c>
      <c r="C1480" t="str">
        <f t="shared" si="677"/>
        <v>FFDFD3C0</v>
      </c>
      <c r="D1480" t="s">
        <v>134</v>
      </c>
      <c r="E1480">
        <v>12</v>
      </c>
      <c r="H1480">
        <v>64</v>
      </c>
      <c r="I1480" t="s">
        <v>135</v>
      </c>
      <c r="J1480" t="s">
        <v>136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696"/>
        <v>14:43:41.531</v>
      </c>
      <c r="T1480" t="str">
        <f t="shared" si="697"/>
        <v>14:43:41.331</v>
      </c>
      <c r="U1480" t="str">
        <f t="shared" si="699"/>
        <v>A9808D</v>
      </c>
      <c r="V1480">
        <v>0</v>
      </c>
      <c r="W1480">
        <v>0</v>
      </c>
      <c r="X1480">
        <v>1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366</v>
      </c>
      <c r="AJ1480">
        <v>28.284624000000001</v>
      </c>
      <c r="AK1480" t="s">
        <v>406</v>
      </c>
      <c r="AL1480">
        <v>-82.372849000000002</v>
      </c>
      <c r="AM1480">
        <v>100</v>
      </c>
      <c r="AN1480">
        <v>1600</v>
      </c>
      <c r="AO1480" t="s">
        <v>118</v>
      </c>
      <c r="AP1480">
        <v>85</v>
      </c>
      <c r="AQ1480">
        <v>-44</v>
      </c>
      <c r="AR1480">
        <v>512</v>
      </c>
      <c r="AZ1480">
        <v>1200</v>
      </c>
      <c r="BA1480">
        <v>1</v>
      </c>
      <c r="BB1480" t="str">
        <f t="shared" si="678"/>
        <v xml:space="preserve">N711JA  </v>
      </c>
      <c r="BC1480">
        <v>1</v>
      </c>
      <c r="BE1480">
        <v>0</v>
      </c>
      <c r="BF1480">
        <v>0</v>
      </c>
      <c r="BG1480">
        <v>0</v>
      </c>
      <c r="BH1480">
        <v>1650</v>
      </c>
      <c r="BI1480">
        <v>1</v>
      </c>
      <c r="BJ1480">
        <v>1</v>
      </c>
      <c r="BK1480">
        <v>0</v>
      </c>
      <c r="BL1480">
        <v>0</v>
      </c>
      <c r="BO1480">
        <v>0</v>
      </c>
      <c r="BP1480">
        <v>0</v>
      </c>
      <c r="BW1480" t="str">
        <f t="shared" si="698"/>
        <v>14:43:41.536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343</v>
      </c>
      <c r="CR1480">
        <v>1</v>
      </c>
      <c r="CW1480">
        <v>10674553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 t="shared" ref="A1481:A1489" si="700">"05/12/2020 14:43:24.712"</f>
        <v>05/12/2020 14:43:24.712</v>
      </c>
      <c r="C1481" t="str">
        <f t="shared" si="677"/>
        <v>FFDFD3C0</v>
      </c>
      <c r="D1481" t="s">
        <v>126</v>
      </c>
      <c r="E1481">
        <v>7</v>
      </c>
      <c r="F1481">
        <v>1007</v>
      </c>
      <c r="G1481" t="s">
        <v>127</v>
      </c>
      <c r="J1481" t="s">
        <v>128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S1489" si="701">"14:43:42.531"</f>
        <v>14:43:42.531</v>
      </c>
      <c r="T1481" t="str">
        <f t="shared" ref="T1481:T1489" si="702">"14:43:42.331"</f>
        <v>14:43:42.331</v>
      </c>
      <c r="U1481" t="str">
        <f t="shared" si="699"/>
        <v>A9808D</v>
      </c>
      <c r="V1481">
        <v>0</v>
      </c>
      <c r="W1481">
        <v>0</v>
      </c>
      <c r="X1481">
        <v>1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407</v>
      </c>
      <c r="AJ1481">
        <v>28.284431000000001</v>
      </c>
      <c r="AK1481" t="s">
        <v>408</v>
      </c>
      <c r="AL1481">
        <v>-82.372420000000005</v>
      </c>
      <c r="AM1481">
        <v>100</v>
      </c>
      <c r="AN1481">
        <v>1600</v>
      </c>
      <c r="AO1481" t="s">
        <v>118</v>
      </c>
      <c r="AP1481">
        <v>85</v>
      </c>
      <c r="AQ1481">
        <v>-44</v>
      </c>
      <c r="AR1481">
        <v>448</v>
      </c>
      <c r="AZ1481">
        <v>1200</v>
      </c>
      <c r="BA1481">
        <v>1</v>
      </c>
      <c r="BB1481" t="str">
        <f t="shared" si="678"/>
        <v xml:space="preserve">N711JA  </v>
      </c>
      <c r="BC1481">
        <v>1</v>
      </c>
      <c r="BE1481">
        <v>0</v>
      </c>
      <c r="BF1481">
        <v>0</v>
      </c>
      <c r="BG1481">
        <v>0</v>
      </c>
      <c r="BH1481">
        <v>1675</v>
      </c>
      <c r="BI1481">
        <v>1</v>
      </c>
      <c r="BJ1481">
        <v>1</v>
      </c>
      <c r="BK1481">
        <v>0</v>
      </c>
      <c r="BL1481">
        <v>0</v>
      </c>
      <c r="BO1481">
        <v>0</v>
      </c>
      <c r="BP1481">
        <v>0</v>
      </c>
      <c r="BW1481" t="str">
        <f t="shared" ref="BW1481:BW1489" si="703">"14:43:42.535"</f>
        <v>14:43:42.535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343</v>
      </c>
      <c r="CR1481">
        <v>2</v>
      </c>
      <c r="CW1481">
        <v>13056204</v>
      </c>
      <c r="CY1481">
        <v>1</v>
      </c>
      <c r="CZ1481">
        <v>0</v>
      </c>
      <c r="DA1481">
        <v>0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 t="shared" si="700"/>
        <v>05/12/2020 14:43:24.712</v>
      </c>
      <c r="C1482" t="str">
        <f t="shared" si="677"/>
        <v>FFDFD3C0</v>
      </c>
      <c r="D1482" t="s">
        <v>126</v>
      </c>
      <c r="E1482">
        <v>6</v>
      </c>
      <c r="F1482">
        <v>1006</v>
      </c>
      <c r="G1482" t="s">
        <v>114</v>
      </c>
      <c r="J1482" t="s">
        <v>128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701"/>
        <v>14:43:42.531</v>
      </c>
      <c r="T1482" t="str">
        <f t="shared" si="702"/>
        <v>14:43:42.331</v>
      </c>
      <c r="U1482" t="str">
        <f t="shared" si="699"/>
        <v>A9808D</v>
      </c>
      <c r="V1482">
        <v>0</v>
      </c>
      <c r="W1482">
        <v>0</v>
      </c>
      <c r="X1482">
        <v>1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407</v>
      </c>
      <c r="AJ1482">
        <v>28.284431000000001</v>
      </c>
      <c r="AK1482" t="s">
        <v>408</v>
      </c>
      <c r="AL1482">
        <v>-82.372420000000005</v>
      </c>
      <c r="AM1482">
        <v>100</v>
      </c>
      <c r="AN1482">
        <v>1600</v>
      </c>
      <c r="AO1482" t="s">
        <v>118</v>
      </c>
      <c r="AP1482">
        <v>85</v>
      </c>
      <c r="AQ1482">
        <v>-44</v>
      </c>
      <c r="AR1482">
        <v>448</v>
      </c>
      <c r="AZ1482">
        <v>1200</v>
      </c>
      <c r="BA1482">
        <v>1</v>
      </c>
      <c r="BB1482" t="str">
        <f t="shared" si="678"/>
        <v xml:space="preserve">N711JA  </v>
      </c>
      <c r="BC1482">
        <v>1</v>
      </c>
      <c r="BE1482">
        <v>0</v>
      </c>
      <c r="BF1482">
        <v>0</v>
      </c>
      <c r="BG1482">
        <v>0</v>
      </c>
      <c r="BH1482">
        <v>1675</v>
      </c>
      <c r="BI1482">
        <v>1</v>
      </c>
      <c r="BJ1482">
        <v>1</v>
      </c>
      <c r="BK1482">
        <v>0</v>
      </c>
      <c r="BL1482">
        <v>0</v>
      </c>
      <c r="BO1482">
        <v>0</v>
      </c>
      <c r="BP1482">
        <v>0</v>
      </c>
      <c r="BW1482" t="str">
        <f t="shared" si="703"/>
        <v>14:43:42.535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343</v>
      </c>
      <c r="CR1482">
        <v>2</v>
      </c>
      <c r="CW1482">
        <v>13056204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 t="shared" si="700"/>
        <v>05/12/2020 14:43:24.712</v>
      </c>
      <c r="C1483" t="str">
        <f t="shared" si="677"/>
        <v>FFDFD3C0</v>
      </c>
      <c r="D1483" t="s">
        <v>113</v>
      </c>
      <c r="E1483">
        <v>3</v>
      </c>
      <c r="H1483">
        <v>164</v>
      </c>
      <c r="I1483" t="s">
        <v>114</v>
      </c>
      <c r="J1483" t="s">
        <v>115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701"/>
        <v>14:43:42.531</v>
      </c>
      <c r="T1483" t="str">
        <f t="shared" si="702"/>
        <v>14:43:42.331</v>
      </c>
      <c r="U1483" t="str">
        <f t="shared" si="699"/>
        <v>A9808D</v>
      </c>
      <c r="V1483">
        <v>0</v>
      </c>
      <c r="W1483">
        <v>0</v>
      </c>
      <c r="X1483">
        <v>1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407</v>
      </c>
      <c r="AJ1483">
        <v>28.284431000000001</v>
      </c>
      <c r="AK1483" t="s">
        <v>408</v>
      </c>
      <c r="AL1483">
        <v>-82.372420000000005</v>
      </c>
      <c r="AM1483">
        <v>100</v>
      </c>
      <c r="AN1483">
        <v>1600</v>
      </c>
      <c r="AO1483" t="s">
        <v>118</v>
      </c>
      <c r="AP1483">
        <v>85</v>
      </c>
      <c r="AQ1483">
        <v>-44</v>
      </c>
      <c r="AR1483">
        <v>448</v>
      </c>
      <c r="AZ1483">
        <v>1200</v>
      </c>
      <c r="BA1483">
        <v>1</v>
      </c>
      <c r="BB1483" t="str">
        <f t="shared" si="678"/>
        <v xml:space="preserve">N711JA  </v>
      </c>
      <c r="BC1483">
        <v>1</v>
      </c>
      <c r="BE1483">
        <v>0</v>
      </c>
      <c r="BF1483">
        <v>0</v>
      </c>
      <c r="BG1483">
        <v>0</v>
      </c>
      <c r="BH1483">
        <v>1675</v>
      </c>
      <c r="BI1483">
        <v>1</v>
      </c>
      <c r="BJ1483">
        <v>1</v>
      </c>
      <c r="BK1483">
        <v>0</v>
      </c>
      <c r="BL1483">
        <v>0</v>
      </c>
      <c r="BO1483">
        <v>0</v>
      </c>
      <c r="BP1483">
        <v>0</v>
      </c>
      <c r="BW1483" t="str">
        <f t="shared" si="703"/>
        <v>14:43:42.535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343</v>
      </c>
      <c r="CR1483">
        <v>2</v>
      </c>
      <c r="CW1483">
        <v>13056204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 t="shared" si="700"/>
        <v>05/12/2020 14:43:24.712</v>
      </c>
      <c r="C1484" t="str">
        <f t="shared" si="677"/>
        <v>FFDFD3C0</v>
      </c>
      <c r="D1484" t="s">
        <v>138</v>
      </c>
      <c r="E1484">
        <v>2</v>
      </c>
      <c r="H1484">
        <v>8</v>
      </c>
      <c r="I1484" t="s">
        <v>139</v>
      </c>
      <c r="J1484" t="s">
        <v>136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701"/>
        <v>14:43:42.531</v>
      </c>
      <c r="T1484" t="str">
        <f t="shared" si="702"/>
        <v>14:43:42.331</v>
      </c>
      <c r="U1484" t="str">
        <f t="shared" si="699"/>
        <v>A9808D</v>
      </c>
      <c r="V1484">
        <v>0</v>
      </c>
      <c r="W1484">
        <v>0</v>
      </c>
      <c r="X1484">
        <v>1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407</v>
      </c>
      <c r="AJ1484">
        <v>28.284431000000001</v>
      </c>
      <c r="AK1484" t="s">
        <v>408</v>
      </c>
      <c r="AL1484">
        <v>-82.372420000000005</v>
      </c>
      <c r="AM1484">
        <v>100</v>
      </c>
      <c r="AN1484">
        <v>1600</v>
      </c>
      <c r="AO1484" t="s">
        <v>118</v>
      </c>
      <c r="AP1484">
        <v>85</v>
      </c>
      <c r="AQ1484">
        <v>-44</v>
      </c>
      <c r="AR1484">
        <v>448</v>
      </c>
      <c r="AZ1484">
        <v>1200</v>
      </c>
      <c r="BA1484">
        <v>1</v>
      </c>
      <c r="BB1484" t="str">
        <f t="shared" si="678"/>
        <v xml:space="preserve">N711JA  </v>
      </c>
      <c r="BC1484">
        <v>1</v>
      </c>
      <c r="BE1484">
        <v>0</v>
      </c>
      <c r="BF1484">
        <v>0</v>
      </c>
      <c r="BG1484">
        <v>0</v>
      </c>
      <c r="BH1484">
        <v>1675</v>
      </c>
      <c r="BI1484">
        <v>1</v>
      </c>
      <c r="BJ1484">
        <v>1</v>
      </c>
      <c r="BK1484">
        <v>0</v>
      </c>
      <c r="BL1484">
        <v>0</v>
      </c>
      <c r="BO1484">
        <v>0</v>
      </c>
      <c r="BP1484">
        <v>0</v>
      </c>
      <c r="BW1484" t="str">
        <f t="shared" si="703"/>
        <v>14:43:42.535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343</v>
      </c>
      <c r="CR1484">
        <v>2</v>
      </c>
      <c r="CW1484">
        <v>13056204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 t="shared" si="700"/>
        <v>05/12/2020 14:43:24.712</v>
      </c>
      <c r="C1485" t="str">
        <f t="shared" si="677"/>
        <v>FFDFD3C0</v>
      </c>
      <c r="D1485" t="s">
        <v>131</v>
      </c>
      <c r="E1485">
        <v>10</v>
      </c>
      <c r="F1485">
        <v>2010</v>
      </c>
      <c r="G1485" t="s">
        <v>132</v>
      </c>
      <c r="J1485" t="s">
        <v>133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701"/>
        <v>14:43:42.531</v>
      </c>
      <c r="T1485" t="str">
        <f t="shared" si="702"/>
        <v>14:43:42.331</v>
      </c>
      <c r="U1485" t="str">
        <f t="shared" si="699"/>
        <v>A9808D</v>
      </c>
      <c r="V1485">
        <v>0</v>
      </c>
      <c r="W1485">
        <v>0</v>
      </c>
      <c r="X1485">
        <v>1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407</v>
      </c>
      <c r="AJ1485">
        <v>28.284431000000001</v>
      </c>
      <c r="AK1485" t="s">
        <v>408</v>
      </c>
      <c r="AL1485">
        <v>-82.372420000000005</v>
      </c>
      <c r="AM1485">
        <v>100</v>
      </c>
      <c r="AN1485">
        <v>1600</v>
      </c>
      <c r="AO1485" t="s">
        <v>118</v>
      </c>
      <c r="AP1485">
        <v>85</v>
      </c>
      <c r="AQ1485">
        <v>-44</v>
      </c>
      <c r="AR1485">
        <v>448</v>
      </c>
      <c r="AZ1485">
        <v>1200</v>
      </c>
      <c r="BA1485">
        <v>1</v>
      </c>
      <c r="BB1485" t="str">
        <f t="shared" si="678"/>
        <v xml:space="preserve">N711JA  </v>
      </c>
      <c r="BC1485">
        <v>1</v>
      </c>
      <c r="BE1485">
        <v>0</v>
      </c>
      <c r="BF1485">
        <v>0</v>
      </c>
      <c r="BG1485">
        <v>0</v>
      </c>
      <c r="BH1485">
        <v>1675</v>
      </c>
      <c r="BI1485">
        <v>1</v>
      </c>
      <c r="BJ1485">
        <v>1</v>
      </c>
      <c r="BK1485">
        <v>0</v>
      </c>
      <c r="BL1485">
        <v>0</v>
      </c>
      <c r="BO1485">
        <v>0</v>
      </c>
      <c r="BP1485">
        <v>0</v>
      </c>
      <c r="BW1485" t="str">
        <f t="shared" si="703"/>
        <v>14:43:42.535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343</v>
      </c>
      <c r="CR1485">
        <v>2</v>
      </c>
      <c r="CW1485">
        <v>13056204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 t="shared" si="700"/>
        <v>05/12/2020 14:43:24.712</v>
      </c>
      <c r="C1486" t="str">
        <f t="shared" si="677"/>
        <v>FFDFD3C0</v>
      </c>
      <c r="D1486" t="s">
        <v>131</v>
      </c>
      <c r="E1486">
        <v>12</v>
      </c>
      <c r="F1486">
        <v>2012</v>
      </c>
      <c r="G1486" t="s">
        <v>137</v>
      </c>
      <c r="J1486" t="s">
        <v>133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701"/>
        <v>14:43:42.531</v>
      </c>
      <c r="T1486" t="str">
        <f t="shared" si="702"/>
        <v>14:43:42.331</v>
      </c>
      <c r="U1486" t="str">
        <f t="shared" si="699"/>
        <v>A9808D</v>
      </c>
      <c r="V1486">
        <v>0</v>
      </c>
      <c r="W1486">
        <v>0</v>
      </c>
      <c r="X1486">
        <v>1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407</v>
      </c>
      <c r="AJ1486">
        <v>28.284431000000001</v>
      </c>
      <c r="AK1486" t="s">
        <v>408</v>
      </c>
      <c r="AL1486">
        <v>-82.372420000000005</v>
      </c>
      <c r="AM1486">
        <v>100</v>
      </c>
      <c r="AN1486">
        <v>1600</v>
      </c>
      <c r="AO1486" t="s">
        <v>118</v>
      </c>
      <c r="AP1486">
        <v>85</v>
      </c>
      <c r="AQ1486">
        <v>-44</v>
      </c>
      <c r="AR1486">
        <v>448</v>
      </c>
      <c r="AZ1486">
        <v>1200</v>
      </c>
      <c r="BA1486">
        <v>1</v>
      </c>
      <c r="BB1486" t="str">
        <f t="shared" si="678"/>
        <v xml:space="preserve">N711JA  </v>
      </c>
      <c r="BC1486">
        <v>1</v>
      </c>
      <c r="BE1486">
        <v>0</v>
      </c>
      <c r="BF1486">
        <v>0</v>
      </c>
      <c r="BG1486">
        <v>0</v>
      </c>
      <c r="BH1486">
        <v>1675</v>
      </c>
      <c r="BI1486">
        <v>1</v>
      </c>
      <c r="BJ1486">
        <v>1</v>
      </c>
      <c r="BK1486">
        <v>0</v>
      </c>
      <c r="BL1486">
        <v>0</v>
      </c>
      <c r="BO1486">
        <v>0</v>
      </c>
      <c r="BP1486">
        <v>0</v>
      </c>
      <c r="BW1486" t="str">
        <f t="shared" si="703"/>
        <v>14:43:42.535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343</v>
      </c>
      <c r="CR1486">
        <v>2</v>
      </c>
      <c r="CW1486">
        <v>13056204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 t="shared" si="700"/>
        <v>05/12/2020 14:43:24.712</v>
      </c>
      <c r="C1487" t="str">
        <f t="shared" si="677"/>
        <v>FFDFD3C0</v>
      </c>
      <c r="D1487" t="s">
        <v>131</v>
      </c>
      <c r="E1487">
        <v>18</v>
      </c>
      <c r="F1487">
        <v>2018</v>
      </c>
      <c r="G1487" t="s">
        <v>161</v>
      </c>
      <c r="J1487" t="s">
        <v>133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701"/>
        <v>14:43:42.531</v>
      </c>
      <c r="T1487" t="str">
        <f t="shared" si="702"/>
        <v>14:43:42.331</v>
      </c>
      <c r="U1487" t="str">
        <f t="shared" si="699"/>
        <v>A9808D</v>
      </c>
      <c r="V1487">
        <v>0</v>
      </c>
      <c r="W1487">
        <v>0</v>
      </c>
      <c r="X1487">
        <v>1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407</v>
      </c>
      <c r="AJ1487">
        <v>28.284431000000001</v>
      </c>
      <c r="AK1487" t="s">
        <v>408</v>
      </c>
      <c r="AL1487">
        <v>-82.372420000000005</v>
      </c>
      <c r="AM1487">
        <v>100</v>
      </c>
      <c r="AN1487">
        <v>1600</v>
      </c>
      <c r="AO1487" t="s">
        <v>118</v>
      </c>
      <c r="AP1487">
        <v>85</v>
      </c>
      <c r="AQ1487">
        <v>-44</v>
      </c>
      <c r="AR1487">
        <v>448</v>
      </c>
      <c r="AZ1487">
        <v>1200</v>
      </c>
      <c r="BA1487">
        <v>1</v>
      </c>
      <c r="BB1487" t="str">
        <f t="shared" si="678"/>
        <v xml:space="preserve">N711JA  </v>
      </c>
      <c r="BC1487">
        <v>1</v>
      </c>
      <c r="BE1487">
        <v>0</v>
      </c>
      <c r="BF1487">
        <v>0</v>
      </c>
      <c r="BG1487">
        <v>0</v>
      </c>
      <c r="BH1487">
        <v>1675</v>
      </c>
      <c r="BI1487">
        <v>1</v>
      </c>
      <c r="BJ1487">
        <v>1</v>
      </c>
      <c r="BK1487">
        <v>0</v>
      </c>
      <c r="BL1487">
        <v>0</v>
      </c>
      <c r="BO1487">
        <v>0</v>
      </c>
      <c r="BP1487">
        <v>0</v>
      </c>
      <c r="BW1487" t="str">
        <f t="shared" si="703"/>
        <v>14:43:42.535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343</v>
      </c>
      <c r="CR1487">
        <v>2</v>
      </c>
      <c r="CW1487">
        <v>13056204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 t="shared" si="700"/>
        <v>05/12/2020 14:43:24.712</v>
      </c>
      <c r="C1488" t="str">
        <f t="shared" si="677"/>
        <v>FFDFD3C0</v>
      </c>
      <c r="D1488" t="s">
        <v>138</v>
      </c>
      <c r="E1488">
        <v>3</v>
      </c>
      <c r="H1488">
        <v>9</v>
      </c>
      <c r="I1488" t="s">
        <v>140</v>
      </c>
      <c r="J1488" t="s">
        <v>136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701"/>
        <v>14:43:42.531</v>
      </c>
      <c r="T1488" t="str">
        <f t="shared" si="702"/>
        <v>14:43:42.331</v>
      </c>
      <c r="U1488" t="str">
        <f t="shared" si="699"/>
        <v>A9808D</v>
      </c>
      <c r="V1488">
        <v>0</v>
      </c>
      <c r="W1488">
        <v>0</v>
      </c>
      <c r="X1488">
        <v>1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407</v>
      </c>
      <c r="AJ1488">
        <v>28.284431000000001</v>
      </c>
      <c r="AK1488" t="s">
        <v>408</v>
      </c>
      <c r="AL1488">
        <v>-82.372420000000005</v>
      </c>
      <c r="AM1488">
        <v>100</v>
      </c>
      <c r="AN1488">
        <v>1600</v>
      </c>
      <c r="AO1488" t="s">
        <v>118</v>
      </c>
      <c r="AP1488">
        <v>85</v>
      </c>
      <c r="AQ1488">
        <v>-44</v>
      </c>
      <c r="AR1488">
        <v>448</v>
      </c>
      <c r="AZ1488">
        <v>1200</v>
      </c>
      <c r="BA1488">
        <v>1</v>
      </c>
      <c r="BB1488" t="str">
        <f t="shared" si="678"/>
        <v xml:space="preserve">N711JA  </v>
      </c>
      <c r="BC1488">
        <v>1</v>
      </c>
      <c r="BE1488">
        <v>0</v>
      </c>
      <c r="BF1488">
        <v>0</v>
      </c>
      <c r="BG1488">
        <v>0</v>
      </c>
      <c r="BH1488">
        <v>1675</v>
      </c>
      <c r="BI1488">
        <v>1</v>
      </c>
      <c r="BJ1488">
        <v>1</v>
      </c>
      <c r="BK1488">
        <v>0</v>
      </c>
      <c r="BL1488">
        <v>0</v>
      </c>
      <c r="BO1488">
        <v>0</v>
      </c>
      <c r="BP1488">
        <v>0</v>
      </c>
      <c r="BW1488" t="str">
        <f t="shared" si="703"/>
        <v>14:43:42.535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343</v>
      </c>
      <c r="CR1488">
        <v>2</v>
      </c>
      <c r="CW1488">
        <v>13056204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 t="shared" si="700"/>
        <v>05/12/2020 14:43:24.712</v>
      </c>
      <c r="C1489" t="str">
        <f t="shared" si="677"/>
        <v>FFDFD3C0</v>
      </c>
      <c r="D1489" t="s">
        <v>134</v>
      </c>
      <c r="E1489">
        <v>12</v>
      </c>
      <c r="H1489">
        <v>64</v>
      </c>
      <c r="I1489" t="s">
        <v>135</v>
      </c>
      <c r="J1489" t="s">
        <v>136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701"/>
        <v>14:43:42.531</v>
      </c>
      <c r="T1489" t="str">
        <f t="shared" si="702"/>
        <v>14:43:42.331</v>
      </c>
      <c r="U1489" t="str">
        <f t="shared" si="699"/>
        <v>A9808D</v>
      </c>
      <c r="V1489">
        <v>0</v>
      </c>
      <c r="W1489">
        <v>0</v>
      </c>
      <c r="X1489">
        <v>1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407</v>
      </c>
      <c r="AJ1489">
        <v>28.284431000000001</v>
      </c>
      <c r="AK1489" t="s">
        <v>408</v>
      </c>
      <c r="AL1489">
        <v>-82.372420000000005</v>
      </c>
      <c r="AM1489">
        <v>100</v>
      </c>
      <c r="AN1489">
        <v>1600</v>
      </c>
      <c r="AO1489" t="s">
        <v>118</v>
      </c>
      <c r="AP1489">
        <v>85</v>
      </c>
      <c r="AQ1489">
        <v>-44</v>
      </c>
      <c r="AR1489">
        <v>448</v>
      </c>
      <c r="AZ1489">
        <v>1200</v>
      </c>
      <c r="BA1489">
        <v>1</v>
      </c>
      <c r="BB1489" t="str">
        <f t="shared" si="678"/>
        <v xml:space="preserve">N711JA  </v>
      </c>
      <c r="BC1489">
        <v>1</v>
      </c>
      <c r="BE1489">
        <v>0</v>
      </c>
      <c r="BF1489">
        <v>0</v>
      </c>
      <c r="BG1489">
        <v>0</v>
      </c>
      <c r="BH1489">
        <v>1675</v>
      </c>
      <c r="BI1489">
        <v>1</v>
      </c>
      <c r="BJ1489">
        <v>1</v>
      </c>
      <c r="BK1489">
        <v>0</v>
      </c>
      <c r="BL1489">
        <v>0</v>
      </c>
      <c r="BO1489">
        <v>0</v>
      </c>
      <c r="BP1489">
        <v>0</v>
      </c>
      <c r="BW1489" t="str">
        <f t="shared" si="703"/>
        <v>14:43:42.535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343</v>
      </c>
      <c r="CR1489">
        <v>2</v>
      </c>
      <c r="CW1489">
        <v>13056204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 t="shared" ref="A1490:A1498" si="704">"05/12/2020 14:43:25.727"</f>
        <v>05/12/2020 14:43:25.727</v>
      </c>
      <c r="C1490" t="str">
        <f t="shared" si="677"/>
        <v>FFDFD3C0</v>
      </c>
      <c r="D1490" t="s">
        <v>113</v>
      </c>
      <c r="E1490">
        <v>3</v>
      </c>
      <c r="H1490">
        <v>164</v>
      </c>
      <c r="I1490" t="s">
        <v>114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ref="S1490:S1498" si="705">"14:43:43.563"</f>
        <v>14:43:43.563</v>
      </c>
      <c r="T1490" t="str">
        <f t="shared" ref="T1490:T1498" si="706">"14:43:43.463"</f>
        <v>14:43:43.463</v>
      </c>
      <c r="U1490" t="str">
        <f t="shared" si="699"/>
        <v>A9808D</v>
      </c>
      <c r="V1490">
        <v>0</v>
      </c>
      <c r="W1490">
        <v>0</v>
      </c>
      <c r="X1490">
        <v>1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409</v>
      </c>
      <c r="AJ1490">
        <v>28.284216000000001</v>
      </c>
      <c r="AK1490" t="s">
        <v>410</v>
      </c>
      <c r="AL1490">
        <v>-82.371926000000002</v>
      </c>
      <c r="AM1490">
        <v>100</v>
      </c>
      <c r="AN1490">
        <v>1600</v>
      </c>
      <c r="AO1490" t="s">
        <v>118</v>
      </c>
      <c r="AP1490">
        <v>84</v>
      </c>
      <c r="AQ1490">
        <v>-46</v>
      </c>
      <c r="AR1490">
        <v>576</v>
      </c>
      <c r="AZ1490">
        <v>1200</v>
      </c>
      <c r="BA1490">
        <v>1</v>
      </c>
      <c r="BB1490" t="str">
        <f t="shared" si="678"/>
        <v xml:space="preserve">N711JA  </v>
      </c>
      <c r="BC1490">
        <v>1</v>
      </c>
      <c r="BE1490">
        <v>0</v>
      </c>
      <c r="BF1490">
        <v>0</v>
      </c>
      <c r="BG1490">
        <v>0</v>
      </c>
      <c r="BH1490">
        <v>1675</v>
      </c>
      <c r="BI1490">
        <v>1</v>
      </c>
      <c r="BJ1490">
        <v>1</v>
      </c>
      <c r="BK1490">
        <v>0</v>
      </c>
      <c r="BL1490">
        <v>0</v>
      </c>
      <c r="BO1490">
        <v>0</v>
      </c>
      <c r="BP1490">
        <v>0</v>
      </c>
      <c r="BW1490" t="str">
        <f t="shared" ref="BW1490:BW1498" si="707">"14:43:43.567"</f>
        <v>14:43:43.567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343</v>
      </c>
      <c r="CR1490">
        <v>1</v>
      </c>
      <c r="CW1490">
        <v>10676701</v>
      </c>
      <c r="CY1490">
        <v>1</v>
      </c>
      <c r="CZ1490">
        <v>0</v>
      </c>
      <c r="DA1490">
        <v>0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 t="shared" si="704"/>
        <v>05/12/2020 14:43:25.727</v>
      </c>
      <c r="C1491" t="str">
        <f t="shared" si="677"/>
        <v>FFDFD3C0</v>
      </c>
      <c r="D1491" t="s">
        <v>138</v>
      </c>
      <c r="E1491">
        <v>2</v>
      </c>
      <c r="H1491">
        <v>8</v>
      </c>
      <c r="I1491" t="s">
        <v>139</v>
      </c>
      <c r="J1491" t="s">
        <v>136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705"/>
        <v>14:43:43.563</v>
      </c>
      <c r="T1491" t="str">
        <f t="shared" si="706"/>
        <v>14:43:43.463</v>
      </c>
      <c r="U1491" t="str">
        <f t="shared" si="699"/>
        <v>A9808D</v>
      </c>
      <c r="V1491">
        <v>0</v>
      </c>
      <c r="W1491">
        <v>0</v>
      </c>
      <c r="X1491">
        <v>1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409</v>
      </c>
      <c r="AJ1491">
        <v>28.284216000000001</v>
      </c>
      <c r="AK1491" t="s">
        <v>410</v>
      </c>
      <c r="AL1491">
        <v>-82.371926000000002</v>
      </c>
      <c r="AM1491">
        <v>100</v>
      </c>
      <c r="AN1491">
        <v>1600</v>
      </c>
      <c r="AO1491" t="s">
        <v>118</v>
      </c>
      <c r="AP1491">
        <v>84</v>
      </c>
      <c r="AQ1491">
        <v>-46</v>
      </c>
      <c r="AR1491">
        <v>576</v>
      </c>
      <c r="AZ1491">
        <v>1200</v>
      </c>
      <c r="BA1491">
        <v>1</v>
      </c>
      <c r="BB1491" t="str">
        <f t="shared" si="678"/>
        <v xml:space="preserve">N711JA  </v>
      </c>
      <c r="BC1491">
        <v>1</v>
      </c>
      <c r="BE1491">
        <v>0</v>
      </c>
      <c r="BF1491">
        <v>0</v>
      </c>
      <c r="BG1491">
        <v>0</v>
      </c>
      <c r="BH1491">
        <v>1675</v>
      </c>
      <c r="BI1491">
        <v>1</v>
      </c>
      <c r="BJ1491">
        <v>1</v>
      </c>
      <c r="BK1491">
        <v>0</v>
      </c>
      <c r="BL1491">
        <v>0</v>
      </c>
      <c r="BO1491">
        <v>0</v>
      </c>
      <c r="BP1491">
        <v>0</v>
      </c>
      <c r="BW1491" t="str">
        <f t="shared" si="707"/>
        <v>14:43:43.567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343</v>
      </c>
      <c r="CR1491">
        <v>1</v>
      </c>
      <c r="CW1491">
        <v>10676701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 t="shared" si="704"/>
        <v>05/12/2020 14:43:25.727</v>
      </c>
      <c r="C1492" t="str">
        <f t="shared" si="677"/>
        <v>FFDFD3C0</v>
      </c>
      <c r="D1492" t="s">
        <v>138</v>
      </c>
      <c r="E1492">
        <v>3</v>
      </c>
      <c r="H1492">
        <v>9</v>
      </c>
      <c r="I1492" t="s">
        <v>140</v>
      </c>
      <c r="J1492" t="s">
        <v>136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705"/>
        <v>14:43:43.563</v>
      </c>
      <c r="T1492" t="str">
        <f t="shared" si="706"/>
        <v>14:43:43.463</v>
      </c>
      <c r="U1492" t="str">
        <f t="shared" si="699"/>
        <v>A9808D</v>
      </c>
      <c r="V1492">
        <v>0</v>
      </c>
      <c r="W1492">
        <v>0</v>
      </c>
      <c r="X1492">
        <v>1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409</v>
      </c>
      <c r="AJ1492">
        <v>28.284216000000001</v>
      </c>
      <c r="AK1492" t="s">
        <v>410</v>
      </c>
      <c r="AL1492">
        <v>-82.371926000000002</v>
      </c>
      <c r="AM1492">
        <v>100</v>
      </c>
      <c r="AN1492">
        <v>1600</v>
      </c>
      <c r="AO1492" t="s">
        <v>118</v>
      </c>
      <c r="AP1492">
        <v>84</v>
      </c>
      <c r="AQ1492">
        <v>-46</v>
      </c>
      <c r="AR1492">
        <v>576</v>
      </c>
      <c r="AZ1492">
        <v>1200</v>
      </c>
      <c r="BA1492">
        <v>1</v>
      </c>
      <c r="BB1492" t="str">
        <f t="shared" si="678"/>
        <v xml:space="preserve">N711JA  </v>
      </c>
      <c r="BC1492">
        <v>1</v>
      </c>
      <c r="BE1492">
        <v>0</v>
      </c>
      <c r="BF1492">
        <v>0</v>
      </c>
      <c r="BG1492">
        <v>0</v>
      </c>
      <c r="BH1492">
        <v>1675</v>
      </c>
      <c r="BI1492">
        <v>1</v>
      </c>
      <c r="BJ1492">
        <v>1</v>
      </c>
      <c r="BK1492">
        <v>0</v>
      </c>
      <c r="BL1492">
        <v>0</v>
      </c>
      <c r="BO1492">
        <v>0</v>
      </c>
      <c r="BP1492">
        <v>0</v>
      </c>
      <c r="BW1492" t="str">
        <f t="shared" si="707"/>
        <v>14:43:43.567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343</v>
      </c>
      <c r="CR1492">
        <v>1</v>
      </c>
      <c r="CW1492">
        <v>10676701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 t="shared" si="704"/>
        <v>05/12/2020 14:43:25.727</v>
      </c>
      <c r="C1493" t="str">
        <f t="shared" si="677"/>
        <v>FFDFD3C0</v>
      </c>
      <c r="D1493" t="s">
        <v>126</v>
      </c>
      <c r="E1493">
        <v>7</v>
      </c>
      <c r="F1493">
        <v>1007</v>
      </c>
      <c r="G1493" t="s">
        <v>127</v>
      </c>
      <c r="J1493" t="s">
        <v>128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705"/>
        <v>14:43:43.563</v>
      </c>
      <c r="T1493" t="str">
        <f t="shared" si="706"/>
        <v>14:43:43.463</v>
      </c>
      <c r="U1493" t="str">
        <f t="shared" si="699"/>
        <v>A9808D</v>
      </c>
      <c r="V1493">
        <v>0</v>
      </c>
      <c r="W1493">
        <v>0</v>
      </c>
      <c r="X1493">
        <v>1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409</v>
      </c>
      <c r="AJ1493">
        <v>28.284216000000001</v>
      </c>
      <c r="AK1493" t="s">
        <v>410</v>
      </c>
      <c r="AL1493">
        <v>-82.371926000000002</v>
      </c>
      <c r="AM1493">
        <v>100</v>
      </c>
      <c r="AN1493">
        <v>1600</v>
      </c>
      <c r="AO1493" t="s">
        <v>118</v>
      </c>
      <c r="AP1493">
        <v>84</v>
      </c>
      <c r="AQ1493">
        <v>-46</v>
      </c>
      <c r="AR1493">
        <v>576</v>
      </c>
      <c r="AZ1493">
        <v>1200</v>
      </c>
      <c r="BA1493">
        <v>1</v>
      </c>
      <c r="BB1493" t="str">
        <f t="shared" si="678"/>
        <v xml:space="preserve">N711JA  </v>
      </c>
      <c r="BC1493">
        <v>1</v>
      </c>
      <c r="BE1493">
        <v>0</v>
      </c>
      <c r="BF1493">
        <v>0</v>
      </c>
      <c r="BG1493">
        <v>0</v>
      </c>
      <c r="BH1493">
        <v>1675</v>
      </c>
      <c r="BI1493">
        <v>1</v>
      </c>
      <c r="BJ1493">
        <v>1</v>
      </c>
      <c r="BK1493">
        <v>0</v>
      </c>
      <c r="BL1493">
        <v>0</v>
      </c>
      <c r="BO1493">
        <v>0</v>
      </c>
      <c r="BP1493">
        <v>0</v>
      </c>
      <c r="BW1493" t="str">
        <f t="shared" si="707"/>
        <v>14:43:43.567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343</v>
      </c>
      <c r="CR1493">
        <v>1</v>
      </c>
      <c r="CW1493">
        <v>10676701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 t="shared" si="704"/>
        <v>05/12/2020 14:43:25.727</v>
      </c>
      <c r="C1494" t="str">
        <f t="shared" ref="C1494:C1557" si="708">"FFDFD3C0"</f>
        <v>FFDFD3C0</v>
      </c>
      <c r="D1494" t="s">
        <v>134</v>
      </c>
      <c r="E1494">
        <v>12</v>
      </c>
      <c r="H1494">
        <v>64</v>
      </c>
      <c r="I1494" t="s">
        <v>135</v>
      </c>
      <c r="J1494" t="s">
        <v>136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705"/>
        <v>14:43:43.563</v>
      </c>
      <c r="T1494" t="str">
        <f t="shared" si="706"/>
        <v>14:43:43.463</v>
      </c>
      <c r="U1494" t="str">
        <f t="shared" si="699"/>
        <v>A9808D</v>
      </c>
      <c r="V1494">
        <v>0</v>
      </c>
      <c r="W1494">
        <v>0</v>
      </c>
      <c r="X1494">
        <v>1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409</v>
      </c>
      <c r="AJ1494">
        <v>28.284216000000001</v>
      </c>
      <c r="AK1494" t="s">
        <v>410</v>
      </c>
      <c r="AL1494">
        <v>-82.371926000000002</v>
      </c>
      <c r="AM1494">
        <v>100</v>
      </c>
      <c r="AN1494">
        <v>1600</v>
      </c>
      <c r="AO1494" t="s">
        <v>118</v>
      </c>
      <c r="AP1494">
        <v>84</v>
      </c>
      <c r="AQ1494">
        <v>-46</v>
      </c>
      <c r="AR1494">
        <v>576</v>
      </c>
      <c r="AZ1494">
        <v>1200</v>
      </c>
      <c r="BA1494">
        <v>1</v>
      </c>
      <c r="BB1494" t="str">
        <f t="shared" ref="BB1494:BB1557" si="709">"N711JA  "</f>
        <v xml:space="preserve">N711JA  </v>
      </c>
      <c r="BC1494">
        <v>1</v>
      </c>
      <c r="BE1494">
        <v>0</v>
      </c>
      <c r="BF1494">
        <v>0</v>
      </c>
      <c r="BG1494">
        <v>0</v>
      </c>
      <c r="BH1494">
        <v>1675</v>
      </c>
      <c r="BI1494">
        <v>1</v>
      </c>
      <c r="BJ1494">
        <v>1</v>
      </c>
      <c r="BK1494">
        <v>0</v>
      </c>
      <c r="BL1494">
        <v>0</v>
      </c>
      <c r="BO1494">
        <v>0</v>
      </c>
      <c r="BP1494">
        <v>0</v>
      </c>
      <c r="BW1494" t="str">
        <f t="shared" si="707"/>
        <v>14:43:43.567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343</v>
      </c>
      <c r="CR1494">
        <v>1</v>
      </c>
      <c r="CW1494">
        <v>10676701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 t="shared" si="704"/>
        <v>05/12/2020 14:43:25.727</v>
      </c>
      <c r="C1495" t="str">
        <f t="shared" si="708"/>
        <v>FFDFD3C0</v>
      </c>
      <c r="D1495" t="s">
        <v>126</v>
      </c>
      <c r="E1495">
        <v>6</v>
      </c>
      <c r="F1495">
        <v>1006</v>
      </c>
      <c r="G1495" t="s">
        <v>114</v>
      </c>
      <c r="J1495" t="s">
        <v>128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705"/>
        <v>14:43:43.563</v>
      </c>
      <c r="T1495" t="str">
        <f t="shared" si="706"/>
        <v>14:43:43.463</v>
      </c>
      <c r="U1495" t="str">
        <f t="shared" si="699"/>
        <v>A9808D</v>
      </c>
      <c r="V1495">
        <v>0</v>
      </c>
      <c r="W1495">
        <v>0</v>
      </c>
      <c r="X1495">
        <v>1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409</v>
      </c>
      <c r="AJ1495">
        <v>28.284216000000001</v>
      </c>
      <c r="AK1495" t="s">
        <v>410</v>
      </c>
      <c r="AL1495">
        <v>-82.371926000000002</v>
      </c>
      <c r="AM1495">
        <v>100</v>
      </c>
      <c r="AN1495">
        <v>1600</v>
      </c>
      <c r="AO1495" t="s">
        <v>118</v>
      </c>
      <c r="AP1495">
        <v>84</v>
      </c>
      <c r="AQ1495">
        <v>-46</v>
      </c>
      <c r="AR1495">
        <v>576</v>
      </c>
      <c r="AZ1495">
        <v>1200</v>
      </c>
      <c r="BA1495">
        <v>1</v>
      </c>
      <c r="BB1495" t="str">
        <f t="shared" si="709"/>
        <v xml:space="preserve">N711JA  </v>
      </c>
      <c r="BC1495">
        <v>1</v>
      </c>
      <c r="BE1495">
        <v>0</v>
      </c>
      <c r="BF1495">
        <v>0</v>
      </c>
      <c r="BG1495">
        <v>0</v>
      </c>
      <c r="BH1495">
        <v>1675</v>
      </c>
      <c r="BI1495">
        <v>1</v>
      </c>
      <c r="BJ1495">
        <v>1</v>
      </c>
      <c r="BK1495">
        <v>0</v>
      </c>
      <c r="BL1495">
        <v>0</v>
      </c>
      <c r="BO1495">
        <v>0</v>
      </c>
      <c r="BP1495">
        <v>0</v>
      </c>
      <c r="BW1495" t="str">
        <f t="shared" si="707"/>
        <v>14:43:43.567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343</v>
      </c>
      <c r="CR1495">
        <v>1</v>
      </c>
      <c r="CW1495">
        <v>10676701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 t="shared" si="704"/>
        <v>05/12/2020 14:43:25.727</v>
      </c>
      <c r="C1496" t="str">
        <f t="shared" si="708"/>
        <v>FFDFD3C0</v>
      </c>
      <c r="D1496" t="s">
        <v>131</v>
      </c>
      <c r="E1496">
        <v>10</v>
      </c>
      <c r="F1496">
        <v>2010</v>
      </c>
      <c r="G1496" t="s">
        <v>132</v>
      </c>
      <c r="J1496" t="s">
        <v>133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705"/>
        <v>14:43:43.563</v>
      </c>
      <c r="T1496" t="str">
        <f t="shared" si="706"/>
        <v>14:43:43.463</v>
      </c>
      <c r="U1496" t="str">
        <f t="shared" si="699"/>
        <v>A9808D</v>
      </c>
      <c r="V1496">
        <v>0</v>
      </c>
      <c r="W1496">
        <v>0</v>
      </c>
      <c r="X1496">
        <v>1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409</v>
      </c>
      <c r="AJ1496">
        <v>28.284216000000001</v>
      </c>
      <c r="AK1496" t="s">
        <v>410</v>
      </c>
      <c r="AL1496">
        <v>-82.371926000000002</v>
      </c>
      <c r="AM1496">
        <v>100</v>
      </c>
      <c r="AN1496">
        <v>1600</v>
      </c>
      <c r="AO1496" t="s">
        <v>118</v>
      </c>
      <c r="AP1496">
        <v>84</v>
      </c>
      <c r="AQ1496">
        <v>-46</v>
      </c>
      <c r="AR1496">
        <v>576</v>
      </c>
      <c r="AZ1496">
        <v>1200</v>
      </c>
      <c r="BA1496">
        <v>1</v>
      </c>
      <c r="BB1496" t="str">
        <f t="shared" si="709"/>
        <v xml:space="preserve">N711JA  </v>
      </c>
      <c r="BC1496">
        <v>1</v>
      </c>
      <c r="BE1496">
        <v>0</v>
      </c>
      <c r="BF1496">
        <v>0</v>
      </c>
      <c r="BG1496">
        <v>0</v>
      </c>
      <c r="BH1496">
        <v>1675</v>
      </c>
      <c r="BI1496">
        <v>1</v>
      </c>
      <c r="BJ1496">
        <v>1</v>
      </c>
      <c r="BK1496">
        <v>0</v>
      </c>
      <c r="BL1496">
        <v>0</v>
      </c>
      <c r="BO1496">
        <v>0</v>
      </c>
      <c r="BP1496">
        <v>0</v>
      </c>
      <c r="BW1496" t="str">
        <f t="shared" si="707"/>
        <v>14:43:43.567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343</v>
      </c>
      <c r="CR1496">
        <v>1</v>
      </c>
      <c r="CW1496">
        <v>10676701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 t="shared" si="704"/>
        <v>05/12/2020 14:43:25.727</v>
      </c>
      <c r="C1497" t="str">
        <f t="shared" si="708"/>
        <v>FFDFD3C0</v>
      </c>
      <c r="D1497" t="s">
        <v>131</v>
      </c>
      <c r="E1497">
        <v>12</v>
      </c>
      <c r="F1497">
        <v>2012</v>
      </c>
      <c r="G1497" t="s">
        <v>137</v>
      </c>
      <c r="J1497" t="s">
        <v>133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705"/>
        <v>14:43:43.563</v>
      </c>
      <c r="T1497" t="str">
        <f t="shared" si="706"/>
        <v>14:43:43.463</v>
      </c>
      <c r="U1497" t="str">
        <f t="shared" si="699"/>
        <v>A9808D</v>
      </c>
      <c r="V1497">
        <v>0</v>
      </c>
      <c r="W1497">
        <v>0</v>
      </c>
      <c r="X1497">
        <v>1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409</v>
      </c>
      <c r="AJ1497">
        <v>28.284216000000001</v>
      </c>
      <c r="AK1497" t="s">
        <v>410</v>
      </c>
      <c r="AL1497">
        <v>-82.371926000000002</v>
      </c>
      <c r="AM1497">
        <v>100</v>
      </c>
      <c r="AN1497">
        <v>1600</v>
      </c>
      <c r="AO1497" t="s">
        <v>118</v>
      </c>
      <c r="AP1497">
        <v>84</v>
      </c>
      <c r="AQ1497">
        <v>-46</v>
      </c>
      <c r="AR1497">
        <v>576</v>
      </c>
      <c r="AZ1497">
        <v>1200</v>
      </c>
      <c r="BA1497">
        <v>1</v>
      </c>
      <c r="BB1497" t="str">
        <f t="shared" si="709"/>
        <v xml:space="preserve">N711JA  </v>
      </c>
      <c r="BC1497">
        <v>1</v>
      </c>
      <c r="BE1497">
        <v>0</v>
      </c>
      <c r="BF1497">
        <v>0</v>
      </c>
      <c r="BG1497">
        <v>0</v>
      </c>
      <c r="BH1497">
        <v>1675</v>
      </c>
      <c r="BI1497">
        <v>1</v>
      </c>
      <c r="BJ1497">
        <v>1</v>
      </c>
      <c r="BK1497">
        <v>0</v>
      </c>
      <c r="BL1497">
        <v>0</v>
      </c>
      <c r="BO1497">
        <v>0</v>
      </c>
      <c r="BP1497">
        <v>0</v>
      </c>
      <c r="BW1497" t="str">
        <f t="shared" si="707"/>
        <v>14:43:43.567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343</v>
      </c>
      <c r="CR1497">
        <v>1</v>
      </c>
      <c r="CW1497">
        <v>10676701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 t="shared" si="704"/>
        <v>05/12/2020 14:43:25.727</v>
      </c>
      <c r="C1498" t="str">
        <f t="shared" si="708"/>
        <v>FFDFD3C0</v>
      </c>
      <c r="D1498" t="s">
        <v>131</v>
      </c>
      <c r="E1498">
        <v>18</v>
      </c>
      <c r="F1498">
        <v>2018</v>
      </c>
      <c r="G1498" t="s">
        <v>161</v>
      </c>
      <c r="J1498" t="s">
        <v>133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705"/>
        <v>14:43:43.563</v>
      </c>
      <c r="T1498" t="str">
        <f t="shared" si="706"/>
        <v>14:43:43.463</v>
      </c>
      <c r="U1498" t="str">
        <f t="shared" si="699"/>
        <v>A9808D</v>
      </c>
      <c r="V1498">
        <v>0</v>
      </c>
      <c r="W1498">
        <v>0</v>
      </c>
      <c r="X1498">
        <v>1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409</v>
      </c>
      <c r="AJ1498">
        <v>28.284216000000001</v>
      </c>
      <c r="AK1498" t="s">
        <v>410</v>
      </c>
      <c r="AL1498">
        <v>-82.371926000000002</v>
      </c>
      <c r="AM1498">
        <v>100</v>
      </c>
      <c r="AN1498">
        <v>1600</v>
      </c>
      <c r="AO1498" t="s">
        <v>118</v>
      </c>
      <c r="AP1498">
        <v>84</v>
      </c>
      <c r="AQ1498">
        <v>-46</v>
      </c>
      <c r="AR1498">
        <v>576</v>
      </c>
      <c r="AZ1498">
        <v>1200</v>
      </c>
      <c r="BA1498">
        <v>1</v>
      </c>
      <c r="BB1498" t="str">
        <f t="shared" si="709"/>
        <v xml:space="preserve">N711JA  </v>
      </c>
      <c r="BC1498">
        <v>1</v>
      </c>
      <c r="BE1498">
        <v>0</v>
      </c>
      <c r="BF1498">
        <v>0</v>
      </c>
      <c r="BG1498">
        <v>0</v>
      </c>
      <c r="BH1498">
        <v>1675</v>
      </c>
      <c r="BI1498">
        <v>1</v>
      </c>
      <c r="BJ1498">
        <v>1</v>
      </c>
      <c r="BK1498">
        <v>0</v>
      </c>
      <c r="BL1498">
        <v>0</v>
      </c>
      <c r="BO1498">
        <v>0</v>
      </c>
      <c r="BP1498">
        <v>0</v>
      </c>
      <c r="BW1498" t="str">
        <f t="shared" si="707"/>
        <v>14:43:43.567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343</v>
      </c>
      <c r="CR1498">
        <v>1</v>
      </c>
      <c r="CW1498">
        <v>10676701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 t="shared" ref="A1499:A1507" si="710">"05/12/2020 14:43:26.727"</f>
        <v>05/12/2020 14:43:26.727</v>
      </c>
      <c r="C1499" t="str">
        <f t="shared" si="708"/>
        <v>FFDFD3C0</v>
      </c>
      <c r="D1499" t="s">
        <v>126</v>
      </c>
      <c r="E1499">
        <v>6</v>
      </c>
      <c r="F1499">
        <v>1006</v>
      </c>
      <c r="G1499" t="s">
        <v>114</v>
      </c>
      <c r="J1499" t="s">
        <v>128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ref="S1499:S1507" si="711">"14:43:44.563"</f>
        <v>14:43:44.563</v>
      </c>
      <c r="T1499" t="str">
        <f t="shared" ref="T1499:T1507" si="712">"14:43:44.363"</f>
        <v>14:43:44.363</v>
      </c>
      <c r="U1499" t="str">
        <f t="shared" si="699"/>
        <v>A9808D</v>
      </c>
      <c r="V1499">
        <v>0</v>
      </c>
      <c r="W1499">
        <v>0</v>
      </c>
      <c r="X1499">
        <v>1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411</v>
      </c>
      <c r="AJ1499">
        <v>28.28398</v>
      </c>
      <c r="AK1499" t="s">
        <v>412</v>
      </c>
      <c r="AL1499">
        <v>-82.371497000000005</v>
      </c>
      <c r="AM1499">
        <v>100</v>
      </c>
      <c r="AN1499">
        <v>1600</v>
      </c>
      <c r="AO1499" t="s">
        <v>118</v>
      </c>
      <c r="AP1499">
        <v>82</v>
      </c>
      <c r="AQ1499">
        <v>-48</v>
      </c>
      <c r="AR1499">
        <v>640</v>
      </c>
      <c r="AZ1499">
        <v>1200</v>
      </c>
      <c r="BA1499">
        <v>1</v>
      </c>
      <c r="BB1499" t="str">
        <f t="shared" si="709"/>
        <v xml:space="preserve">N711JA  </v>
      </c>
      <c r="BC1499">
        <v>1</v>
      </c>
      <c r="BE1499">
        <v>0</v>
      </c>
      <c r="BF1499">
        <v>0</v>
      </c>
      <c r="BG1499">
        <v>0</v>
      </c>
      <c r="BH1499">
        <v>1675</v>
      </c>
      <c r="BI1499">
        <v>1</v>
      </c>
      <c r="BJ1499">
        <v>1</v>
      </c>
      <c r="BK1499">
        <v>0</v>
      </c>
      <c r="BL1499">
        <v>0</v>
      </c>
      <c r="BO1499">
        <v>0</v>
      </c>
      <c r="BP1499">
        <v>0</v>
      </c>
      <c r="BW1499" t="str">
        <f t="shared" ref="BW1499:BW1507" si="713">"14:43:44.565"</f>
        <v>14:43:44.565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343</v>
      </c>
      <c r="CR1499">
        <v>1</v>
      </c>
      <c r="CW1499">
        <v>10677754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 t="shared" si="710"/>
        <v>05/12/2020 14:43:26.727</v>
      </c>
      <c r="C1500" t="str">
        <f t="shared" si="708"/>
        <v>FFDFD3C0</v>
      </c>
      <c r="D1500" t="s">
        <v>131</v>
      </c>
      <c r="E1500">
        <v>12</v>
      </c>
      <c r="F1500">
        <v>2012</v>
      </c>
      <c r="G1500" t="s">
        <v>137</v>
      </c>
      <c r="J1500" t="s">
        <v>133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711"/>
        <v>14:43:44.563</v>
      </c>
      <c r="T1500" t="str">
        <f t="shared" si="712"/>
        <v>14:43:44.363</v>
      </c>
      <c r="U1500" t="str">
        <f t="shared" si="699"/>
        <v>A9808D</v>
      </c>
      <c r="V1500">
        <v>0</v>
      </c>
      <c r="W1500">
        <v>0</v>
      </c>
      <c r="X1500">
        <v>1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411</v>
      </c>
      <c r="AJ1500">
        <v>28.28398</v>
      </c>
      <c r="AK1500" t="s">
        <v>412</v>
      </c>
      <c r="AL1500">
        <v>-82.371497000000005</v>
      </c>
      <c r="AM1500">
        <v>100</v>
      </c>
      <c r="AN1500">
        <v>1600</v>
      </c>
      <c r="AO1500" t="s">
        <v>118</v>
      </c>
      <c r="AP1500">
        <v>82</v>
      </c>
      <c r="AQ1500">
        <v>-48</v>
      </c>
      <c r="AR1500">
        <v>640</v>
      </c>
      <c r="AZ1500">
        <v>1200</v>
      </c>
      <c r="BA1500">
        <v>1</v>
      </c>
      <c r="BB1500" t="str">
        <f t="shared" si="709"/>
        <v xml:space="preserve">N711JA  </v>
      </c>
      <c r="BC1500">
        <v>1</v>
      </c>
      <c r="BE1500">
        <v>0</v>
      </c>
      <c r="BF1500">
        <v>0</v>
      </c>
      <c r="BG1500">
        <v>0</v>
      </c>
      <c r="BH1500">
        <v>1675</v>
      </c>
      <c r="BI1500">
        <v>1</v>
      </c>
      <c r="BJ1500">
        <v>1</v>
      </c>
      <c r="BK1500">
        <v>0</v>
      </c>
      <c r="BL1500">
        <v>0</v>
      </c>
      <c r="BO1500">
        <v>0</v>
      </c>
      <c r="BP1500">
        <v>0</v>
      </c>
      <c r="BW1500" t="str">
        <f t="shared" si="713"/>
        <v>14:43:44.565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343</v>
      </c>
      <c r="CR1500">
        <v>1</v>
      </c>
      <c r="CW1500">
        <v>10677754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 t="shared" si="710"/>
        <v>05/12/2020 14:43:26.727</v>
      </c>
      <c r="C1501" t="str">
        <f t="shared" si="708"/>
        <v>FFDFD3C0</v>
      </c>
      <c r="D1501" t="s">
        <v>131</v>
      </c>
      <c r="E1501">
        <v>18</v>
      </c>
      <c r="F1501">
        <v>2018</v>
      </c>
      <c r="G1501" t="s">
        <v>161</v>
      </c>
      <c r="J1501" t="s">
        <v>133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711"/>
        <v>14:43:44.563</v>
      </c>
      <c r="T1501" t="str">
        <f t="shared" si="712"/>
        <v>14:43:44.363</v>
      </c>
      <c r="U1501" t="str">
        <f t="shared" si="699"/>
        <v>A9808D</v>
      </c>
      <c r="V1501">
        <v>0</v>
      </c>
      <c r="W1501">
        <v>0</v>
      </c>
      <c r="X1501">
        <v>1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411</v>
      </c>
      <c r="AJ1501">
        <v>28.28398</v>
      </c>
      <c r="AK1501" t="s">
        <v>412</v>
      </c>
      <c r="AL1501">
        <v>-82.371497000000005</v>
      </c>
      <c r="AM1501">
        <v>100</v>
      </c>
      <c r="AN1501">
        <v>1600</v>
      </c>
      <c r="AO1501" t="s">
        <v>118</v>
      </c>
      <c r="AP1501">
        <v>82</v>
      </c>
      <c r="AQ1501">
        <v>-48</v>
      </c>
      <c r="AR1501">
        <v>640</v>
      </c>
      <c r="AZ1501">
        <v>1200</v>
      </c>
      <c r="BA1501">
        <v>1</v>
      </c>
      <c r="BB1501" t="str">
        <f t="shared" si="709"/>
        <v xml:space="preserve">N711JA  </v>
      </c>
      <c r="BC1501">
        <v>1</v>
      </c>
      <c r="BE1501">
        <v>0</v>
      </c>
      <c r="BF1501">
        <v>0</v>
      </c>
      <c r="BG1501">
        <v>0</v>
      </c>
      <c r="BH1501">
        <v>1675</v>
      </c>
      <c r="BI1501">
        <v>1</v>
      </c>
      <c r="BJ1501">
        <v>1</v>
      </c>
      <c r="BK1501">
        <v>0</v>
      </c>
      <c r="BL1501">
        <v>0</v>
      </c>
      <c r="BO1501">
        <v>0</v>
      </c>
      <c r="BP1501">
        <v>0</v>
      </c>
      <c r="BW1501" t="str">
        <f t="shared" si="713"/>
        <v>14:43:44.565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343</v>
      </c>
      <c r="CR1501">
        <v>1</v>
      </c>
      <c r="CW1501">
        <v>10677754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 t="shared" si="710"/>
        <v>05/12/2020 14:43:26.727</v>
      </c>
      <c r="C1502" t="str">
        <f t="shared" si="708"/>
        <v>FFDFD3C0</v>
      </c>
      <c r="D1502" t="s">
        <v>134</v>
      </c>
      <c r="E1502">
        <v>12</v>
      </c>
      <c r="H1502">
        <v>64</v>
      </c>
      <c r="I1502" t="s">
        <v>135</v>
      </c>
      <c r="J1502" t="s">
        <v>136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711"/>
        <v>14:43:44.563</v>
      </c>
      <c r="T1502" t="str">
        <f t="shared" si="712"/>
        <v>14:43:44.363</v>
      </c>
      <c r="U1502" t="str">
        <f t="shared" si="699"/>
        <v>A9808D</v>
      </c>
      <c r="V1502">
        <v>0</v>
      </c>
      <c r="W1502">
        <v>0</v>
      </c>
      <c r="X1502">
        <v>1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411</v>
      </c>
      <c r="AJ1502">
        <v>28.28398</v>
      </c>
      <c r="AK1502" t="s">
        <v>412</v>
      </c>
      <c r="AL1502">
        <v>-82.371497000000005</v>
      </c>
      <c r="AM1502">
        <v>100</v>
      </c>
      <c r="AN1502">
        <v>1600</v>
      </c>
      <c r="AO1502" t="s">
        <v>118</v>
      </c>
      <c r="AP1502">
        <v>82</v>
      </c>
      <c r="AQ1502">
        <v>-48</v>
      </c>
      <c r="AR1502">
        <v>640</v>
      </c>
      <c r="AZ1502">
        <v>1200</v>
      </c>
      <c r="BA1502">
        <v>1</v>
      </c>
      <c r="BB1502" t="str">
        <f t="shared" si="709"/>
        <v xml:space="preserve">N711JA  </v>
      </c>
      <c r="BC1502">
        <v>1</v>
      </c>
      <c r="BE1502">
        <v>0</v>
      </c>
      <c r="BF1502">
        <v>0</v>
      </c>
      <c r="BG1502">
        <v>0</v>
      </c>
      <c r="BH1502">
        <v>1675</v>
      </c>
      <c r="BI1502">
        <v>1</v>
      </c>
      <c r="BJ1502">
        <v>1</v>
      </c>
      <c r="BK1502">
        <v>0</v>
      </c>
      <c r="BL1502">
        <v>0</v>
      </c>
      <c r="BO1502">
        <v>0</v>
      </c>
      <c r="BP1502">
        <v>0</v>
      </c>
      <c r="BW1502" t="str">
        <f t="shared" si="713"/>
        <v>14:43:44.565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343</v>
      </c>
      <c r="CR1502">
        <v>1</v>
      </c>
      <c r="CW1502">
        <v>10677754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 t="shared" si="710"/>
        <v>05/12/2020 14:43:26.727</v>
      </c>
      <c r="C1503" t="str">
        <f t="shared" si="708"/>
        <v>FFDFD3C0</v>
      </c>
      <c r="D1503" t="s">
        <v>138</v>
      </c>
      <c r="E1503">
        <v>2</v>
      </c>
      <c r="H1503">
        <v>8</v>
      </c>
      <c r="I1503" t="s">
        <v>139</v>
      </c>
      <c r="J1503" t="s">
        <v>136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711"/>
        <v>14:43:44.563</v>
      </c>
      <c r="T1503" t="str">
        <f t="shared" si="712"/>
        <v>14:43:44.363</v>
      </c>
      <c r="U1503" t="str">
        <f t="shared" si="699"/>
        <v>A9808D</v>
      </c>
      <c r="V1503">
        <v>0</v>
      </c>
      <c r="W1503">
        <v>0</v>
      </c>
      <c r="X1503">
        <v>1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411</v>
      </c>
      <c r="AJ1503">
        <v>28.28398</v>
      </c>
      <c r="AK1503" t="s">
        <v>412</v>
      </c>
      <c r="AL1503">
        <v>-82.371497000000005</v>
      </c>
      <c r="AM1503">
        <v>100</v>
      </c>
      <c r="AN1503">
        <v>1600</v>
      </c>
      <c r="AO1503" t="s">
        <v>118</v>
      </c>
      <c r="AP1503">
        <v>82</v>
      </c>
      <c r="AQ1503">
        <v>-48</v>
      </c>
      <c r="AR1503">
        <v>640</v>
      </c>
      <c r="AZ1503">
        <v>1200</v>
      </c>
      <c r="BA1503">
        <v>1</v>
      </c>
      <c r="BB1503" t="str">
        <f t="shared" si="709"/>
        <v xml:space="preserve">N711JA  </v>
      </c>
      <c r="BC1503">
        <v>1</v>
      </c>
      <c r="BE1503">
        <v>0</v>
      </c>
      <c r="BF1503">
        <v>0</v>
      </c>
      <c r="BG1503">
        <v>0</v>
      </c>
      <c r="BH1503">
        <v>1675</v>
      </c>
      <c r="BI1503">
        <v>1</v>
      </c>
      <c r="BJ1503">
        <v>1</v>
      </c>
      <c r="BK1503">
        <v>0</v>
      </c>
      <c r="BL1503">
        <v>0</v>
      </c>
      <c r="BO1503">
        <v>0</v>
      </c>
      <c r="BP1503">
        <v>0</v>
      </c>
      <c r="BW1503" t="str">
        <f t="shared" si="713"/>
        <v>14:43:44.565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343</v>
      </c>
      <c r="CR1503">
        <v>1</v>
      </c>
      <c r="CW1503">
        <v>10677754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 t="shared" si="710"/>
        <v>05/12/2020 14:43:26.727</v>
      </c>
      <c r="C1504" t="str">
        <f t="shared" si="708"/>
        <v>FFDFD3C0</v>
      </c>
      <c r="D1504" t="s">
        <v>113</v>
      </c>
      <c r="E1504">
        <v>3</v>
      </c>
      <c r="H1504">
        <v>164</v>
      </c>
      <c r="I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711"/>
        <v>14:43:44.563</v>
      </c>
      <c r="T1504" t="str">
        <f t="shared" si="712"/>
        <v>14:43:44.363</v>
      </c>
      <c r="U1504" t="str">
        <f t="shared" si="699"/>
        <v>A9808D</v>
      </c>
      <c r="V1504">
        <v>0</v>
      </c>
      <c r="W1504">
        <v>0</v>
      </c>
      <c r="X1504">
        <v>1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411</v>
      </c>
      <c r="AJ1504">
        <v>28.28398</v>
      </c>
      <c r="AK1504" t="s">
        <v>412</v>
      </c>
      <c r="AL1504">
        <v>-82.371497000000005</v>
      </c>
      <c r="AM1504">
        <v>100</v>
      </c>
      <c r="AN1504">
        <v>1600</v>
      </c>
      <c r="AO1504" t="s">
        <v>118</v>
      </c>
      <c r="AP1504">
        <v>82</v>
      </c>
      <c r="AQ1504">
        <v>-48</v>
      </c>
      <c r="AR1504">
        <v>640</v>
      </c>
      <c r="AZ1504">
        <v>1200</v>
      </c>
      <c r="BA1504">
        <v>1</v>
      </c>
      <c r="BB1504" t="str">
        <f t="shared" si="709"/>
        <v xml:space="preserve">N711JA  </v>
      </c>
      <c r="BC1504">
        <v>1</v>
      </c>
      <c r="BE1504">
        <v>0</v>
      </c>
      <c r="BF1504">
        <v>0</v>
      </c>
      <c r="BG1504">
        <v>0</v>
      </c>
      <c r="BH1504">
        <v>1675</v>
      </c>
      <c r="BI1504">
        <v>1</v>
      </c>
      <c r="BJ1504">
        <v>1</v>
      </c>
      <c r="BK1504">
        <v>0</v>
      </c>
      <c r="BL1504">
        <v>0</v>
      </c>
      <c r="BO1504">
        <v>0</v>
      </c>
      <c r="BP1504">
        <v>0</v>
      </c>
      <c r="BW1504" t="str">
        <f t="shared" si="713"/>
        <v>14:43:44.565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343</v>
      </c>
      <c r="CR1504">
        <v>1</v>
      </c>
      <c r="CW1504">
        <v>10677754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 t="shared" si="710"/>
        <v>05/12/2020 14:43:26.727</v>
      </c>
      <c r="C1505" t="str">
        <f t="shared" si="708"/>
        <v>FFDFD3C0</v>
      </c>
      <c r="D1505" t="s">
        <v>138</v>
      </c>
      <c r="E1505">
        <v>3</v>
      </c>
      <c r="H1505">
        <v>9</v>
      </c>
      <c r="I1505" t="s">
        <v>140</v>
      </c>
      <c r="J1505" t="s">
        <v>136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711"/>
        <v>14:43:44.563</v>
      </c>
      <c r="T1505" t="str">
        <f t="shared" si="712"/>
        <v>14:43:44.363</v>
      </c>
      <c r="U1505" t="str">
        <f t="shared" si="699"/>
        <v>A9808D</v>
      </c>
      <c r="V1505">
        <v>0</v>
      </c>
      <c r="W1505">
        <v>0</v>
      </c>
      <c r="X1505">
        <v>1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411</v>
      </c>
      <c r="AJ1505">
        <v>28.28398</v>
      </c>
      <c r="AK1505" t="s">
        <v>412</v>
      </c>
      <c r="AL1505">
        <v>-82.371497000000005</v>
      </c>
      <c r="AM1505">
        <v>100</v>
      </c>
      <c r="AN1505">
        <v>1600</v>
      </c>
      <c r="AO1505" t="s">
        <v>118</v>
      </c>
      <c r="AP1505">
        <v>82</v>
      </c>
      <c r="AQ1505">
        <v>-48</v>
      </c>
      <c r="AR1505">
        <v>640</v>
      </c>
      <c r="AZ1505">
        <v>1200</v>
      </c>
      <c r="BA1505">
        <v>1</v>
      </c>
      <c r="BB1505" t="str">
        <f t="shared" si="709"/>
        <v xml:space="preserve">N711JA  </v>
      </c>
      <c r="BC1505">
        <v>1</v>
      </c>
      <c r="BE1505">
        <v>0</v>
      </c>
      <c r="BF1505">
        <v>0</v>
      </c>
      <c r="BG1505">
        <v>0</v>
      </c>
      <c r="BH1505">
        <v>1675</v>
      </c>
      <c r="BI1505">
        <v>1</v>
      </c>
      <c r="BJ1505">
        <v>1</v>
      </c>
      <c r="BK1505">
        <v>0</v>
      </c>
      <c r="BL1505">
        <v>0</v>
      </c>
      <c r="BO1505">
        <v>0</v>
      </c>
      <c r="BP1505">
        <v>0</v>
      </c>
      <c r="BW1505" t="str">
        <f t="shared" si="713"/>
        <v>14:43:44.565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343</v>
      </c>
      <c r="CR1505">
        <v>1</v>
      </c>
      <c r="CW1505">
        <v>10677754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 t="shared" si="710"/>
        <v>05/12/2020 14:43:26.727</v>
      </c>
      <c r="C1506" t="str">
        <f t="shared" si="708"/>
        <v>FFDFD3C0</v>
      </c>
      <c r="D1506" t="s">
        <v>126</v>
      </c>
      <c r="E1506">
        <v>7</v>
      </c>
      <c r="F1506">
        <v>1007</v>
      </c>
      <c r="G1506" t="s">
        <v>127</v>
      </c>
      <c r="J1506" t="s">
        <v>128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711"/>
        <v>14:43:44.563</v>
      </c>
      <c r="T1506" t="str">
        <f t="shared" si="712"/>
        <v>14:43:44.363</v>
      </c>
      <c r="U1506" t="str">
        <f t="shared" si="699"/>
        <v>A9808D</v>
      </c>
      <c r="V1506">
        <v>0</v>
      </c>
      <c r="W1506">
        <v>0</v>
      </c>
      <c r="X1506">
        <v>1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411</v>
      </c>
      <c r="AJ1506">
        <v>28.28398</v>
      </c>
      <c r="AK1506" t="s">
        <v>412</v>
      </c>
      <c r="AL1506">
        <v>-82.371497000000005</v>
      </c>
      <c r="AM1506">
        <v>100</v>
      </c>
      <c r="AN1506">
        <v>1600</v>
      </c>
      <c r="AO1506" t="s">
        <v>118</v>
      </c>
      <c r="AP1506">
        <v>82</v>
      </c>
      <c r="AQ1506">
        <v>-48</v>
      </c>
      <c r="AR1506">
        <v>640</v>
      </c>
      <c r="AZ1506">
        <v>1200</v>
      </c>
      <c r="BA1506">
        <v>1</v>
      </c>
      <c r="BB1506" t="str">
        <f t="shared" si="709"/>
        <v xml:space="preserve">N711JA  </v>
      </c>
      <c r="BC1506">
        <v>1</v>
      </c>
      <c r="BE1506">
        <v>0</v>
      </c>
      <c r="BF1506">
        <v>0</v>
      </c>
      <c r="BG1506">
        <v>0</v>
      </c>
      <c r="BH1506">
        <v>1675</v>
      </c>
      <c r="BI1506">
        <v>1</v>
      </c>
      <c r="BJ1506">
        <v>1</v>
      </c>
      <c r="BK1506">
        <v>0</v>
      </c>
      <c r="BL1506">
        <v>0</v>
      </c>
      <c r="BO1506">
        <v>0</v>
      </c>
      <c r="BP1506">
        <v>0</v>
      </c>
      <c r="BW1506" t="str">
        <f t="shared" si="713"/>
        <v>14:43:44.565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343</v>
      </c>
      <c r="CR1506">
        <v>1</v>
      </c>
      <c r="CW1506">
        <v>10677754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 t="shared" si="710"/>
        <v>05/12/2020 14:43:26.727</v>
      </c>
      <c r="C1507" t="str">
        <f t="shared" si="708"/>
        <v>FFDFD3C0</v>
      </c>
      <c r="D1507" t="s">
        <v>131</v>
      </c>
      <c r="E1507">
        <v>10</v>
      </c>
      <c r="F1507">
        <v>2010</v>
      </c>
      <c r="G1507" t="s">
        <v>132</v>
      </c>
      <c r="J1507" t="s">
        <v>133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711"/>
        <v>14:43:44.563</v>
      </c>
      <c r="T1507" t="str">
        <f t="shared" si="712"/>
        <v>14:43:44.363</v>
      </c>
      <c r="U1507" t="str">
        <f t="shared" si="699"/>
        <v>A9808D</v>
      </c>
      <c r="V1507">
        <v>0</v>
      </c>
      <c r="W1507">
        <v>0</v>
      </c>
      <c r="X1507">
        <v>1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411</v>
      </c>
      <c r="AJ1507">
        <v>28.28398</v>
      </c>
      <c r="AK1507" t="s">
        <v>412</v>
      </c>
      <c r="AL1507">
        <v>-82.371497000000005</v>
      </c>
      <c r="AM1507">
        <v>100</v>
      </c>
      <c r="AN1507">
        <v>1600</v>
      </c>
      <c r="AO1507" t="s">
        <v>118</v>
      </c>
      <c r="AP1507">
        <v>82</v>
      </c>
      <c r="AQ1507">
        <v>-48</v>
      </c>
      <c r="AR1507">
        <v>640</v>
      </c>
      <c r="AZ1507">
        <v>1200</v>
      </c>
      <c r="BA1507">
        <v>1</v>
      </c>
      <c r="BB1507" t="str">
        <f t="shared" si="709"/>
        <v xml:space="preserve">N711JA  </v>
      </c>
      <c r="BC1507">
        <v>1</v>
      </c>
      <c r="BE1507">
        <v>0</v>
      </c>
      <c r="BF1507">
        <v>0</v>
      </c>
      <c r="BG1507">
        <v>0</v>
      </c>
      <c r="BH1507">
        <v>1675</v>
      </c>
      <c r="BI1507">
        <v>1</v>
      </c>
      <c r="BJ1507">
        <v>1</v>
      </c>
      <c r="BK1507">
        <v>0</v>
      </c>
      <c r="BL1507">
        <v>0</v>
      </c>
      <c r="BO1507">
        <v>0</v>
      </c>
      <c r="BP1507">
        <v>0</v>
      </c>
      <c r="BW1507" t="str">
        <f t="shared" si="713"/>
        <v>14:43:44.565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343</v>
      </c>
      <c r="CR1507">
        <v>1</v>
      </c>
      <c r="CW1507">
        <v>10677754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 t="shared" ref="A1508:A1516" si="714">"05/12/2020 14:43:27.728"</f>
        <v>05/12/2020 14:43:27.728</v>
      </c>
      <c r="C1508" t="str">
        <f t="shared" si="708"/>
        <v>FFDFD3C0</v>
      </c>
      <c r="D1508" t="s">
        <v>131</v>
      </c>
      <c r="E1508">
        <v>10</v>
      </c>
      <c r="F1508">
        <v>2010</v>
      </c>
      <c r="G1508" t="s">
        <v>132</v>
      </c>
      <c r="J1508" t="s">
        <v>133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ref="S1508:S1516" si="715">"14:43:45.563"</f>
        <v>14:43:45.563</v>
      </c>
      <c r="T1508" t="str">
        <f t="shared" ref="T1508:T1516" si="716">"14:43:45.263"</f>
        <v>14:43:45.263</v>
      </c>
      <c r="U1508" t="str">
        <f t="shared" si="699"/>
        <v>A9808D</v>
      </c>
      <c r="V1508">
        <v>0</v>
      </c>
      <c r="W1508">
        <v>0</v>
      </c>
      <c r="X1508">
        <v>1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413</v>
      </c>
      <c r="AJ1508">
        <v>28.283743999999999</v>
      </c>
      <c r="AK1508" t="s">
        <v>414</v>
      </c>
      <c r="AL1508">
        <v>-82.371067999999994</v>
      </c>
      <c r="AM1508">
        <v>100</v>
      </c>
      <c r="AN1508">
        <v>1600</v>
      </c>
      <c r="AO1508" t="s">
        <v>118</v>
      </c>
      <c r="AP1508">
        <v>81</v>
      </c>
      <c r="AQ1508">
        <v>-50</v>
      </c>
      <c r="AR1508">
        <v>576</v>
      </c>
      <c r="AZ1508">
        <v>1200</v>
      </c>
      <c r="BA1508">
        <v>1</v>
      </c>
      <c r="BB1508" t="str">
        <f t="shared" si="709"/>
        <v xml:space="preserve">N711JA  </v>
      </c>
      <c r="BC1508">
        <v>1</v>
      </c>
      <c r="BE1508">
        <v>0</v>
      </c>
      <c r="BF1508">
        <v>0</v>
      </c>
      <c r="BG1508">
        <v>0</v>
      </c>
      <c r="BH1508">
        <v>1700</v>
      </c>
      <c r="BI1508">
        <v>1</v>
      </c>
      <c r="BJ1508">
        <v>1</v>
      </c>
      <c r="BK1508">
        <v>0</v>
      </c>
      <c r="BL1508">
        <v>0</v>
      </c>
      <c r="BO1508">
        <v>0</v>
      </c>
      <c r="BP1508">
        <v>0</v>
      </c>
      <c r="BW1508" t="str">
        <f t="shared" ref="BW1508:BW1516" si="717">"14:43:45.567"</f>
        <v>14:43:45.567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343</v>
      </c>
      <c r="CR1508">
        <v>1</v>
      </c>
      <c r="CW1508">
        <v>10678781</v>
      </c>
      <c r="CY1508">
        <v>1</v>
      </c>
      <c r="CZ1508">
        <v>0</v>
      </c>
      <c r="DA1508">
        <v>0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 t="shared" si="714"/>
        <v>05/12/2020 14:43:27.728</v>
      </c>
      <c r="C1509" t="str">
        <f t="shared" si="708"/>
        <v>FFDFD3C0</v>
      </c>
      <c r="D1509" t="s">
        <v>131</v>
      </c>
      <c r="E1509">
        <v>12</v>
      </c>
      <c r="F1509">
        <v>2012</v>
      </c>
      <c r="G1509" t="s">
        <v>137</v>
      </c>
      <c r="J1509" t="s">
        <v>133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715"/>
        <v>14:43:45.563</v>
      </c>
      <c r="T1509" t="str">
        <f t="shared" si="716"/>
        <v>14:43:45.263</v>
      </c>
      <c r="U1509" t="str">
        <f t="shared" si="699"/>
        <v>A9808D</v>
      </c>
      <c r="V1509">
        <v>0</v>
      </c>
      <c r="W1509">
        <v>0</v>
      </c>
      <c r="X1509">
        <v>1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413</v>
      </c>
      <c r="AJ1509">
        <v>28.283743999999999</v>
      </c>
      <c r="AK1509" t="s">
        <v>414</v>
      </c>
      <c r="AL1509">
        <v>-82.371067999999994</v>
      </c>
      <c r="AM1509">
        <v>100</v>
      </c>
      <c r="AN1509">
        <v>1600</v>
      </c>
      <c r="AO1509" t="s">
        <v>118</v>
      </c>
      <c r="AP1509">
        <v>81</v>
      </c>
      <c r="AQ1509">
        <v>-50</v>
      </c>
      <c r="AR1509">
        <v>576</v>
      </c>
      <c r="AZ1509">
        <v>1200</v>
      </c>
      <c r="BA1509">
        <v>1</v>
      </c>
      <c r="BB1509" t="str">
        <f t="shared" si="709"/>
        <v xml:space="preserve">N711JA  </v>
      </c>
      <c r="BC1509">
        <v>1</v>
      </c>
      <c r="BE1509">
        <v>0</v>
      </c>
      <c r="BF1509">
        <v>0</v>
      </c>
      <c r="BG1509">
        <v>0</v>
      </c>
      <c r="BH1509">
        <v>1700</v>
      </c>
      <c r="BI1509">
        <v>1</v>
      </c>
      <c r="BJ1509">
        <v>1</v>
      </c>
      <c r="BK1509">
        <v>0</v>
      </c>
      <c r="BL1509">
        <v>0</v>
      </c>
      <c r="BO1509">
        <v>0</v>
      </c>
      <c r="BP1509">
        <v>0</v>
      </c>
      <c r="BW1509" t="str">
        <f t="shared" si="717"/>
        <v>14:43:45.567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343</v>
      </c>
      <c r="CR1509">
        <v>1</v>
      </c>
      <c r="CW1509">
        <v>10678781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 t="shared" si="714"/>
        <v>05/12/2020 14:43:27.728</v>
      </c>
      <c r="C1510" t="str">
        <f t="shared" si="708"/>
        <v>FFDFD3C0</v>
      </c>
      <c r="D1510" t="s">
        <v>126</v>
      </c>
      <c r="E1510">
        <v>6</v>
      </c>
      <c r="F1510">
        <v>1006</v>
      </c>
      <c r="G1510" t="s">
        <v>114</v>
      </c>
      <c r="J1510" t="s">
        <v>128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715"/>
        <v>14:43:45.563</v>
      </c>
      <c r="T1510" t="str">
        <f t="shared" si="716"/>
        <v>14:43:45.263</v>
      </c>
      <c r="U1510" t="str">
        <f t="shared" si="699"/>
        <v>A9808D</v>
      </c>
      <c r="V1510">
        <v>0</v>
      </c>
      <c r="W1510">
        <v>0</v>
      </c>
      <c r="X1510">
        <v>1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413</v>
      </c>
      <c r="AJ1510">
        <v>28.283743999999999</v>
      </c>
      <c r="AK1510" t="s">
        <v>414</v>
      </c>
      <c r="AL1510">
        <v>-82.371067999999994</v>
      </c>
      <c r="AM1510">
        <v>100</v>
      </c>
      <c r="AN1510">
        <v>1600</v>
      </c>
      <c r="AO1510" t="s">
        <v>118</v>
      </c>
      <c r="AP1510">
        <v>81</v>
      </c>
      <c r="AQ1510">
        <v>-50</v>
      </c>
      <c r="AR1510">
        <v>576</v>
      </c>
      <c r="AZ1510">
        <v>1200</v>
      </c>
      <c r="BA1510">
        <v>1</v>
      </c>
      <c r="BB1510" t="str">
        <f t="shared" si="709"/>
        <v xml:space="preserve">N711JA  </v>
      </c>
      <c r="BC1510">
        <v>1</v>
      </c>
      <c r="BE1510">
        <v>0</v>
      </c>
      <c r="BF1510">
        <v>0</v>
      </c>
      <c r="BG1510">
        <v>0</v>
      </c>
      <c r="BH1510">
        <v>1700</v>
      </c>
      <c r="BI1510">
        <v>1</v>
      </c>
      <c r="BJ1510">
        <v>1</v>
      </c>
      <c r="BK1510">
        <v>0</v>
      </c>
      <c r="BL1510">
        <v>0</v>
      </c>
      <c r="BO1510">
        <v>0</v>
      </c>
      <c r="BP1510">
        <v>0</v>
      </c>
      <c r="BW1510" t="str">
        <f t="shared" si="717"/>
        <v>14:43:45.567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343</v>
      </c>
      <c r="CR1510">
        <v>1</v>
      </c>
      <c r="CW1510">
        <v>10678781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 t="shared" si="714"/>
        <v>05/12/2020 14:43:27.728</v>
      </c>
      <c r="C1511" t="str">
        <f t="shared" si="708"/>
        <v>FFDFD3C0</v>
      </c>
      <c r="D1511" t="s">
        <v>131</v>
      </c>
      <c r="E1511">
        <v>18</v>
      </c>
      <c r="F1511">
        <v>2018</v>
      </c>
      <c r="G1511" t="s">
        <v>161</v>
      </c>
      <c r="J1511" t="s">
        <v>133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715"/>
        <v>14:43:45.563</v>
      </c>
      <c r="T1511" t="str">
        <f t="shared" si="716"/>
        <v>14:43:45.263</v>
      </c>
      <c r="U1511" t="str">
        <f t="shared" si="699"/>
        <v>A9808D</v>
      </c>
      <c r="V1511">
        <v>0</v>
      </c>
      <c r="W1511">
        <v>0</v>
      </c>
      <c r="X1511">
        <v>1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413</v>
      </c>
      <c r="AJ1511">
        <v>28.283743999999999</v>
      </c>
      <c r="AK1511" t="s">
        <v>414</v>
      </c>
      <c r="AL1511">
        <v>-82.371067999999994</v>
      </c>
      <c r="AM1511">
        <v>100</v>
      </c>
      <c r="AN1511">
        <v>1600</v>
      </c>
      <c r="AO1511" t="s">
        <v>118</v>
      </c>
      <c r="AP1511">
        <v>81</v>
      </c>
      <c r="AQ1511">
        <v>-50</v>
      </c>
      <c r="AR1511">
        <v>576</v>
      </c>
      <c r="AZ1511">
        <v>1200</v>
      </c>
      <c r="BA1511">
        <v>1</v>
      </c>
      <c r="BB1511" t="str">
        <f t="shared" si="709"/>
        <v xml:space="preserve">N711JA  </v>
      </c>
      <c r="BC1511">
        <v>1</v>
      </c>
      <c r="BE1511">
        <v>0</v>
      </c>
      <c r="BF1511">
        <v>0</v>
      </c>
      <c r="BG1511">
        <v>0</v>
      </c>
      <c r="BH1511">
        <v>1700</v>
      </c>
      <c r="BI1511">
        <v>1</v>
      </c>
      <c r="BJ1511">
        <v>1</v>
      </c>
      <c r="BK1511">
        <v>0</v>
      </c>
      <c r="BL1511">
        <v>0</v>
      </c>
      <c r="BO1511">
        <v>0</v>
      </c>
      <c r="BP1511">
        <v>0</v>
      </c>
      <c r="BW1511" t="str">
        <f t="shared" si="717"/>
        <v>14:43:45.567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343</v>
      </c>
      <c r="CR1511">
        <v>1</v>
      </c>
      <c r="CW1511">
        <v>10678781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 t="shared" si="714"/>
        <v>05/12/2020 14:43:27.728</v>
      </c>
      <c r="C1512" t="str">
        <f t="shared" si="708"/>
        <v>FFDFD3C0</v>
      </c>
      <c r="D1512" t="s">
        <v>134</v>
      </c>
      <c r="E1512">
        <v>12</v>
      </c>
      <c r="H1512">
        <v>64</v>
      </c>
      <c r="I1512" t="s">
        <v>135</v>
      </c>
      <c r="J1512" t="s">
        <v>136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715"/>
        <v>14:43:45.563</v>
      </c>
      <c r="T1512" t="str">
        <f t="shared" si="716"/>
        <v>14:43:45.263</v>
      </c>
      <c r="U1512" t="str">
        <f t="shared" si="699"/>
        <v>A9808D</v>
      </c>
      <c r="V1512">
        <v>0</v>
      </c>
      <c r="W1512">
        <v>0</v>
      </c>
      <c r="X1512">
        <v>1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413</v>
      </c>
      <c r="AJ1512">
        <v>28.283743999999999</v>
      </c>
      <c r="AK1512" t="s">
        <v>414</v>
      </c>
      <c r="AL1512">
        <v>-82.371067999999994</v>
      </c>
      <c r="AM1512">
        <v>100</v>
      </c>
      <c r="AN1512">
        <v>1600</v>
      </c>
      <c r="AO1512" t="s">
        <v>118</v>
      </c>
      <c r="AP1512">
        <v>81</v>
      </c>
      <c r="AQ1512">
        <v>-50</v>
      </c>
      <c r="AR1512">
        <v>576</v>
      </c>
      <c r="AZ1512">
        <v>1200</v>
      </c>
      <c r="BA1512">
        <v>1</v>
      </c>
      <c r="BB1512" t="str">
        <f t="shared" si="709"/>
        <v xml:space="preserve">N711JA  </v>
      </c>
      <c r="BC1512">
        <v>1</v>
      </c>
      <c r="BE1512">
        <v>0</v>
      </c>
      <c r="BF1512">
        <v>0</v>
      </c>
      <c r="BG1512">
        <v>0</v>
      </c>
      <c r="BH1512">
        <v>1700</v>
      </c>
      <c r="BI1512">
        <v>1</v>
      </c>
      <c r="BJ1512">
        <v>1</v>
      </c>
      <c r="BK1512">
        <v>0</v>
      </c>
      <c r="BL1512">
        <v>0</v>
      </c>
      <c r="BO1512">
        <v>0</v>
      </c>
      <c r="BP1512">
        <v>0</v>
      </c>
      <c r="BW1512" t="str">
        <f t="shared" si="717"/>
        <v>14:43:45.567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343</v>
      </c>
      <c r="CR1512">
        <v>1</v>
      </c>
      <c r="CW1512">
        <v>10678781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 t="shared" si="714"/>
        <v>05/12/2020 14:43:27.728</v>
      </c>
      <c r="C1513" t="str">
        <f t="shared" si="708"/>
        <v>FFDFD3C0</v>
      </c>
      <c r="D1513" t="s">
        <v>138</v>
      </c>
      <c r="E1513">
        <v>2</v>
      </c>
      <c r="H1513">
        <v>8</v>
      </c>
      <c r="I1513" t="s">
        <v>139</v>
      </c>
      <c r="J1513" t="s">
        <v>136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715"/>
        <v>14:43:45.563</v>
      </c>
      <c r="T1513" t="str">
        <f t="shared" si="716"/>
        <v>14:43:45.263</v>
      </c>
      <c r="U1513" t="str">
        <f t="shared" si="699"/>
        <v>A9808D</v>
      </c>
      <c r="V1513">
        <v>0</v>
      </c>
      <c r="W1513">
        <v>0</v>
      </c>
      <c r="X1513">
        <v>1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413</v>
      </c>
      <c r="AJ1513">
        <v>28.283743999999999</v>
      </c>
      <c r="AK1513" t="s">
        <v>414</v>
      </c>
      <c r="AL1513">
        <v>-82.371067999999994</v>
      </c>
      <c r="AM1513">
        <v>100</v>
      </c>
      <c r="AN1513">
        <v>1600</v>
      </c>
      <c r="AO1513" t="s">
        <v>118</v>
      </c>
      <c r="AP1513">
        <v>81</v>
      </c>
      <c r="AQ1513">
        <v>-50</v>
      </c>
      <c r="AR1513">
        <v>576</v>
      </c>
      <c r="AZ1513">
        <v>1200</v>
      </c>
      <c r="BA1513">
        <v>1</v>
      </c>
      <c r="BB1513" t="str">
        <f t="shared" si="709"/>
        <v xml:space="preserve">N711JA  </v>
      </c>
      <c r="BC1513">
        <v>1</v>
      </c>
      <c r="BE1513">
        <v>0</v>
      </c>
      <c r="BF1513">
        <v>0</v>
      </c>
      <c r="BG1513">
        <v>0</v>
      </c>
      <c r="BH1513">
        <v>1700</v>
      </c>
      <c r="BI1513">
        <v>1</v>
      </c>
      <c r="BJ1513">
        <v>1</v>
      </c>
      <c r="BK1513">
        <v>0</v>
      </c>
      <c r="BL1513">
        <v>0</v>
      </c>
      <c r="BO1513">
        <v>0</v>
      </c>
      <c r="BP1513">
        <v>0</v>
      </c>
      <c r="BW1513" t="str">
        <f t="shared" si="717"/>
        <v>14:43:45.567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343</v>
      </c>
      <c r="CR1513">
        <v>1</v>
      </c>
      <c r="CW1513">
        <v>10678781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 t="shared" si="714"/>
        <v>05/12/2020 14:43:27.728</v>
      </c>
      <c r="C1514" t="str">
        <f t="shared" si="708"/>
        <v>FFDFD3C0</v>
      </c>
      <c r="D1514" t="s">
        <v>113</v>
      </c>
      <c r="E1514">
        <v>3</v>
      </c>
      <c r="H1514">
        <v>164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715"/>
        <v>14:43:45.563</v>
      </c>
      <c r="T1514" t="str">
        <f t="shared" si="716"/>
        <v>14:43:45.263</v>
      </c>
      <c r="U1514" t="str">
        <f t="shared" si="699"/>
        <v>A9808D</v>
      </c>
      <c r="V1514">
        <v>0</v>
      </c>
      <c r="W1514">
        <v>0</v>
      </c>
      <c r="X1514">
        <v>1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413</v>
      </c>
      <c r="AJ1514">
        <v>28.283743999999999</v>
      </c>
      <c r="AK1514" t="s">
        <v>414</v>
      </c>
      <c r="AL1514">
        <v>-82.371067999999994</v>
      </c>
      <c r="AM1514">
        <v>100</v>
      </c>
      <c r="AN1514">
        <v>1600</v>
      </c>
      <c r="AO1514" t="s">
        <v>118</v>
      </c>
      <c r="AP1514">
        <v>81</v>
      </c>
      <c r="AQ1514">
        <v>-50</v>
      </c>
      <c r="AR1514">
        <v>576</v>
      </c>
      <c r="AZ1514">
        <v>1200</v>
      </c>
      <c r="BA1514">
        <v>1</v>
      </c>
      <c r="BB1514" t="str">
        <f t="shared" si="709"/>
        <v xml:space="preserve">N711JA  </v>
      </c>
      <c r="BC1514">
        <v>1</v>
      </c>
      <c r="BE1514">
        <v>0</v>
      </c>
      <c r="BF1514">
        <v>0</v>
      </c>
      <c r="BG1514">
        <v>0</v>
      </c>
      <c r="BH1514">
        <v>1700</v>
      </c>
      <c r="BI1514">
        <v>1</v>
      </c>
      <c r="BJ1514">
        <v>1</v>
      </c>
      <c r="BK1514">
        <v>0</v>
      </c>
      <c r="BL1514">
        <v>0</v>
      </c>
      <c r="BO1514">
        <v>0</v>
      </c>
      <c r="BP1514">
        <v>0</v>
      </c>
      <c r="BW1514" t="str">
        <f t="shared" si="717"/>
        <v>14:43:45.567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343</v>
      </c>
      <c r="CR1514">
        <v>1</v>
      </c>
      <c r="CW1514">
        <v>10678781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 t="shared" si="714"/>
        <v>05/12/2020 14:43:27.728</v>
      </c>
      <c r="C1515" t="str">
        <f t="shared" si="708"/>
        <v>FFDFD3C0</v>
      </c>
      <c r="D1515" t="s">
        <v>138</v>
      </c>
      <c r="E1515">
        <v>3</v>
      </c>
      <c r="H1515">
        <v>9</v>
      </c>
      <c r="I1515" t="s">
        <v>140</v>
      </c>
      <c r="J1515" t="s">
        <v>136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715"/>
        <v>14:43:45.563</v>
      </c>
      <c r="T1515" t="str">
        <f t="shared" si="716"/>
        <v>14:43:45.263</v>
      </c>
      <c r="U1515" t="str">
        <f t="shared" si="699"/>
        <v>A9808D</v>
      </c>
      <c r="V1515">
        <v>0</v>
      </c>
      <c r="W1515">
        <v>0</v>
      </c>
      <c r="X1515">
        <v>1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413</v>
      </c>
      <c r="AJ1515">
        <v>28.283743999999999</v>
      </c>
      <c r="AK1515" t="s">
        <v>414</v>
      </c>
      <c r="AL1515">
        <v>-82.371067999999994</v>
      </c>
      <c r="AM1515">
        <v>100</v>
      </c>
      <c r="AN1515">
        <v>1600</v>
      </c>
      <c r="AO1515" t="s">
        <v>118</v>
      </c>
      <c r="AP1515">
        <v>81</v>
      </c>
      <c r="AQ1515">
        <v>-50</v>
      </c>
      <c r="AR1515">
        <v>576</v>
      </c>
      <c r="AZ1515">
        <v>1200</v>
      </c>
      <c r="BA1515">
        <v>1</v>
      </c>
      <c r="BB1515" t="str">
        <f t="shared" si="709"/>
        <v xml:space="preserve">N711JA  </v>
      </c>
      <c r="BC1515">
        <v>1</v>
      </c>
      <c r="BE1515">
        <v>0</v>
      </c>
      <c r="BF1515">
        <v>0</v>
      </c>
      <c r="BG1515">
        <v>0</v>
      </c>
      <c r="BH1515">
        <v>1700</v>
      </c>
      <c r="BI1515">
        <v>1</v>
      </c>
      <c r="BJ1515">
        <v>1</v>
      </c>
      <c r="BK1515">
        <v>0</v>
      </c>
      <c r="BL1515">
        <v>0</v>
      </c>
      <c r="BO1515">
        <v>0</v>
      </c>
      <c r="BP1515">
        <v>0</v>
      </c>
      <c r="BW1515" t="str">
        <f t="shared" si="717"/>
        <v>14:43:45.567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343</v>
      </c>
      <c r="CR1515">
        <v>1</v>
      </c>
      <c r="CW1515">
        <v>10678781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 t="shared" si="714"/>
        <v>05/12/2020 14:43:27.728</v>
      </c>
      <c r="C1516" t="str">
        <f t="shared" si="708"/>
        <v>FFDFD3C0</v>
      </c>
      <c r="D1516" t="s">
        <v>126</v>
      </c>
      <c r="E1516">
        <v>7</v>
      </c>
      <c r="F1516">
        <v>1007</v>
      </c>
      <c r="G1516" t="s">
        <v>127</v>
      </c>
      <c r="J1516" t="s">
        <v>128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715"/>
        <v>14:43:45.563</v>
      </c>
      <c r="T1516" t="str">
        <f t="shared" si="716"/>
        <v>14:43:45.263</v>
      </c>
      <c r="U1516" t="str">
        <f t="shared" si="699"/>
        <v>A9808D</v>
      </c>
      <c r="V1516">
        <v>0</v>
      </c>
      <c r="W1516">
        <v>0</v>
      </c>
      <c r="X1516">
        <v>1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413</v>
      </c>
      <c r="AJ1516">
        <v>28.283743999999999</v>
      </c>
      <c r="AK1516" t="s">
        <v>414</v>
      </c>
      <c r="AL1516">
        <v>-82.371067999999994</v>
      </c>
      <c r="AM1516">
        <v>100</v>
      </c>
      <c r="AN1516">
        <v>1600</v>
      </c>
      <c r="AO1516" t="s">
        <v>118</v>
      </c>
      <c r="AP1516">
        <v>81</v>
      </c>
      <c r="AQ1516">
        <v>-50</v>
      </c>
      <c r="AR1516">
        <v>576</v>
      </c>
      <c r="AZ1516">
        <v>1200</v>
      </c>
      <c r="BA1516">
        <v>1</v>
      </c>
      <c r="BB1516" t="str">
        <f t="shared" si="709"/>
        <v xml:space="preserve">N711JA  </v>
      </c>
      <c r="BC1516">
        <v>1</v>
      </c>
      <c r="BE1516">
        <v>0</v>
      </c>
      <c r="BF1516">
        <v>0</v>
      </c>
      <c r="BG1516">
        <v>0</v>
      </c>
      <c r="BH1516">
        <v>1700</v>
      </c>
      <c r="BI1516">
        <v>1</v>
      </c>
      <c r="BJ1516">
        <v>1</v>
      </c>
      <c r="BK1516">
        <v>0</v>
      </c>
      <c r="BL1516">
        <v>0</v>
      </c>
      <c r="BO1516">
        <v>0</v>
      </c>
      <c r="BP1516">
        <v>0</v>
      </c>
      <c r="BW1516" t="str">
        <f t="shared" si="717"/>
        <v>14:43:45.567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343</v>
      </c>
      <c r="CR1516">
        <v>1</v>
      </c>
      <c r="CW1516">
        <v>10678781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 t="shared" ref="A1517:A1525" si="718">"05/12/2020 14:43:28.714"</f>
        <v>05/12/2020 14:43:28.714</v>
      </c>
      <c r="C1517" t="str">
        <f t="shared" si="708"/>
        <v>FFDFD3C0</v>
      </c>
      <c r="D1517" t="s">
        <v>113</v>
      </c>
      <c r="E1517">
        <v>3</v>
      </c>
      <c r="H1517">
        <v>164</v>
      </c>
      <c r="I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ref="S1517:S1525" si="719">"14:43:46.547"</f>
        <v>14:43:46.547</v>
      </c>
      <c r="T1517" t="str">
        <f t="shared" ref="T1517:T1525" si="720">"14:43:46.147"</f>
        <v>14:43:46.147</v>
      </c>
      <c r="U1517" t="str">
        <f t="shared" si="699"/>
        <v>A9808D</v>
      </c>
      <c r="V1517">
        <v>0</v>
      </c>
      <c r="W1517">
        <v>0</v>
      </c>
      <c r="X1517">
        <v>1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415</v>
      </c>
      <c r="AJ1517">
        <v>28.283486</v>
      </c>
      <c r="AK1517" t="s">
        <v>416</v>
      </c>
      <c r="AL1517">
        <v>-82.370682000000002</v>
      </c>
      <c r="AM1517">
        <v>100</v>
      </c>
      <c r="AN1517">
        <v>1600</v>
      </c>
      <c r="AO1517" t="s">
        <v>118</v>
      </c>
      <c r="AP1517">
        <v>79</v>
      </c>
      <c r="AQ1517">
        <v>-52</v>
      </c>
      <c r="AR1517">
        <v>640</v>
      </c>
      <c r="AZ1517">
        <v>1200</v>
      </c>
      <c r="BA1517">
        <v>1</v>
      </c>
      <c r="BB1517" t="str">
        <f t="shared" si="709"/>
        <v xml:space="preserve">N711JA  </v>
      </c>
      <c r="BC1517">
        <v>1</v>
      </c>
      <c r="BE1517">
        <v>0</v>
      </c>
      <c r="BF1517">
        <v>0</v>
      </c>
      <c r="BG1517">
        <v>0</v>
      </c>
      <c r="BH1517">
        <v>1700</v>
      </c>
      <c r="BI1517">
        <v>1</v>
      </c>
      <c r="BJ1517">
        <v>1</v>
      </c>
      <c r="BK1517">
        <v>0</v>
      </c>
      <c r="BL1517">
        <v>0</v>
      </c>
      <c r="BO1517">
        <v>0</v>
      </c>
      <c r="BP1517">
        <v>0</v>
      </c>
      <c r="BW1517" t="str">
        <f t="shared" ref="BW1517:BW1525" si="721">"14:43:46.550"</f>
        <v>14:43:46.550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343</v>
      </c>
      <c r="CR1517">
        <v>2</v>
      </c>
      <c r="CW1517">
        <v>13059176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 t="shared" si="718"/>
        <v>05/12/2020 14:43:28.714</v>
      </c>
      <c r="C1518" t="str">
        <f t="shared" si="708"/>
        <v>FFDFD3C0</v>
      </c>
      <c r="D1518" t="s">
        <v>138</v>
      </c>
      <c r="E1518">
        <v>2</v>
      </c>
      <c r="H1518">
        <v>8</v>
      </c>
      <c r="I1518" t="s">
        <v>139</v>
      </c>
      <c r="J1518" t="s">
        <v>136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719"/>
        <v>14:43:46.547</v>
      </c>
      <c r="T1518" t="str">
        <f t="shared" si="720"/>
        <v>14:43:46.147</v>
      </c>
      <c r="U1518" t="str">
        <f t="shared" si="699"/>
        <v>A9808D</v>
      </c>
      <c r="V1518">
        <v>0</v>
      </c>
      <c r="W1518">
        <v>0</v>
      </c>
      <c r="X1518">
        <v>1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415</v>
      </c>
      <c r="AJ1518">
        <v>28.283486</v>
      </c>
      <c r="AK1518" t="s">
        <v>416</v>
      </c>
      <c r="AL1518">
        <v>-82.370682000000002</v>
      </c>
      <c r="AM1518">
        <v>100</v>
      </c>
      <c r="AN1518">
        <v>1600</v>
      </c>
      <c r="AO1518" t="s">
        <v>118</v>
      </c>
      <c r="AP1518">
        <v>79</v>
      </c>
      <c r="AQ1518">
        <v>-52</v>
      </c>
      <c r="AR1518">
        <v>640</v>
      </c>
      <c r="AZ1518">
        <v>1200</v>
      </c>
      <c r="BA1518">
        <v>1</v>
      </c>
      <c r="BB1518" t="str">
        <f t="shared" si="709"/>
        <v xml:space="preserve">N711JA  </v>
      </c>
      <c r="BC1518">
        <v>1</v>
      </c>
      <c r="BE1518">
        <v>0</v>
      </c>
      <c r="BF1518">
        <v>0</v>
      </c>
      <c r="BG1518">
        <v>0</v>
      </c>
      <c r="BH1518">
        <v>1700</v>
      </c>
      <c r="BI1518">
        <v>1</v>
      </c>
      <c r="BJ1518">
        <v>1</v>
      </c>
      <c r="BK1518">
        <v>0</v>
      </c>
      <c r="BL1518">
        <v>0</v>
      </c>
      <c r="BO1518">
        <v>0</v>
      </c>
      <c r="BP1518">
        <v>0</v>
      </c>
      <c r="BW1518" t="str">
        <f t="shared" si="721"/>
        <v>14:43:46.550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343</v>
      </c>
      <c r="CR1518">
        <v>2</v>
      </c>
      <c r="CW1518">
        <v>13059176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si="718"/>
        <v>05/12/2020 14:43:28.714</v>
      </c>
      <c r="C1519" t="str">
        <f t="shared" si="708"/>
        <v>FFDFD3C0</v>
      </c>
      <c r="D1519" t="s">
        <v>138</v>
      </c>
      <c r="E1519">
        <v>3</v>
      </c>
      <c r="H1519">
        <v>9</v>
      </c>
      <c r="I1519" t="s">
        <v>140</v>
      </c>
      <c r="J1519" t="s">
        <v>136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719"/>
        <v>14:43:46.547</v>
      </c>
      <c r="T1519" t="str">
        <f t="shared" si="720"/>
        <v>14:43:46.147</v>
      </c>
      <c r="U1519" t="str">
        <f t="shared" si="699"/>
        <v>A9808D</v>
      </c>
      <c r="V1519">
        <v>0</v>
      </c>
      <c r="W1519">
        <v>0</v>
      </c>
      <c r="X1519">
        <v>1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415</v>
      </c>
      <c r="AJ1519">
        <v>28.283486</v>
      </c>
      <c r="AK1519" t="s">
        <v>416</v>
      </c>
      <c r="AL1519">
        <v>-82.370682000000002</v>
      </c>
      <c r="AM1519">
        <v>100</v>
      </c>
      <c r="AN1519">
        <v>1600</v>
      </c>
      <c r="AO1519" t="s">
        <v>118</v>
      </c>
      <c r="AP1519">
        <v>79</v>
      </c>
      <c r="AQ1519">
        <v>-52</v>
      </c>
      <c r="AR1519">
        <v>640</v>
      </c>
      <c r="AZ1519">
        <v>1200</v>
      </c>
      <c r="BA1519">
        <v>1</v>
      </c>
      <c r="BB1519" t="str">
        <f t="shared" si="709"/>
        <v xml:space="preserve">N711JA  </v>
      </c>
      <c r="BC1519">
        <v>1</v>
      </c>
      <c r="BE1519">
        <v>0</v>
      </c>
      <c r="BF1519">
        <v>0</v>
      </c>
      <c r="BG1519">
        <v>0</v>
      </c>
      <c r="BH1519">
        <v>1700</v>
      </c>
      <c r="BI1519">
        <v>1</v>
      </c>
      <c r="BJ1519">
        <v>1</v>
      </c>
      <c r="BK1519">
        <v>0</v>
      </c>
      <c r="BL1519">
        <v>0</v>
      </c>
      <c r="BO1519">
        <v>0</v>
      </c>
      <c r="BP1519">
        <v>0</v>
      </c>
      <c r="BW1519" t="str">
        <f t="shared" si="721"/>
        <v>14:43:46.550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343</v>
      </c>
      <c r="CR1519">
        <v>2</v>
      </c>
      <c r="CW1519">
        <v>13059176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718"/>
        <v>05/12/2020 14:43:28.714</v>
      </c>
      <c r="C1520" t="str">
        <f t="shared" si="708"/>
        <v>FFDFD3C0</v>
      </c>
      <c r="D1520" t="s">
        <v>126</v>
      </c>
      <c r="E1520">
        <v>7</v>
      </c>
      <c r="F1520">
        <v>1007</v>
      </c>
      <c r="G1520" t="s">
        <v>127</v>
      </c>
      <c r="J1520" t="s">
        <v>128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719"/>
        <v>14:43:46.547</v>
      </c>
      <c r="T1520" t="str">
        <f t="shared" si="720"/>
        <v>14:43:46.147</v>
      </c>
      <c r="U1520" t="str">
        <f t="shared" si="699"/>
        <v>A9808D</v>
      </c>
      <c r="V1520">
        <v>0</v>
      </c>
      <c r="W1520">
        <v>0</v>
      </c>
      <c r="X1520">
        <v>1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415</v>
      </c>
      <c r="AJ1520">
        <v>28.283486</v>
      </c>
      <c r="AK1520" t="s">
        <v>416</v>
      </c>
      <c r="AL1520">
        <v>-82.370682000000002</v>
      </c>
      <c r="AM1520">
        <v>100</v>
      </c>
      <c r="AN1520">
        <v>1600</v>
      </c>
      <c r="AO1520" t="s">
        <v>118</v>
      </c>
      <c r="AP1520">
        <v>79</v>
      </c>
      <c r="AQ1520">
        <v>-52</v>
      </c>
      <c r="AR1520">
        <v>640</v>
      </c>
      <c r="AZ1520">
        <v>1200</v>
      </c>
      <c r="BA1520">
        <v>1</v>
      </c>
      <c r="BB1520" t="str">
        <f t="shared" si="709"/>
        <v xml:space="preserve">N711JA  </v>
      </c>
      <c r="BC1520">
        <v>1</v>
      </c>
      <c r="BE1520">
        <v>0</v>
      </c>
      <c r="BF1520">
        <v>0</v>
      </c>
      <c r="BG1520">
        <v>0</v>
      </c>
      <c r="BH1520">
        <v>1700</v>
      </c>
      <c r="BI1520">
        <v>1</v>
      </c>
      <c r="BJ1520">
        <v>1</v>
      </c>
      <c r="BK1520">
        <v>0</v>
      </c>
      <c r="BL1520">
        <v>0</v>
      </c>
      <c r="BO1520">
        <v>0</v>
      </c>
      <c r="BP1520">
        <v>0</v>
      </c>
      <c r="BW1520" t="str">
        <f t="shared" si="721"/>
        <v>14:43:46.550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343</v>
      </c>
      <c r="CR1520">
        <v>2</v>
      </c>
      <c r="CW1520">
        <v>13059176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718"/>
        <v>05/12/2020 14:43:28.714</v>
      </c>
      <c r="C1521" t="str">
        <f t="shared" si="708"/>
        <v>FFDFD3C0</v>
      </c>
      <c r="D1521" t="s">
        <v>131</v>
      </c>
      <c r="E1521">
        <v>10</v>
      </c>
      <c r="F1521">
        <v>2010</v>
      </c>
      <c r="G1521" t="s">
        <v>132</v>
      </c>
      <c r="J1521" t="s">
        <v>133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719"/>
        <v>14:43:46.547</v>
      </c>
      <c r="T1521" t="str">
        <f t="shared" si="720"/>
        <v>14:43:46.147</v>
      </c>
      <c r="U1521" t="str">
        <f t="shared" si="699"/>
        <v>A9808D</v>
      </c>
      <c r="V1521">
        <v>0</v>
      </c>
      <c r="W1521">
        <v>0</v>
      </c>
      <c r="X1521">
        <v>1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415</v>
      </c>
      <c r="AJ1521">
        <v>28.283486</v>
      </c>
      <c r="AK1521" t="s">
        <v>416</v>
      </c>
      <c r="AL1521">
        <v>-82.370682000000002</v>
      </c>
      <c r="AM1521">
        <v>100</v>
      </c>
      <c r="AN1521">
        <v>1600</v>
      </c>
      <c r="AO1521" t="s">
        <v>118</v>
      </c>
      <c r="AP1521">
        <v>79</v>
      </c>
      <c r="AQ1521">
        <v>-52</v>
      </c>
      <c r="AR1521">
        <v>640</v>
      </c>
      <c r="AZ1521">
        <v>1200</v>
      </c>
      <c r="BA1521">
        <v>1</v>
      </c>
      <c r="BB1521" t="str">
        <f t="shared" si="709"/>
        <v xml:space="preserve">N711JA  </v>
      </c>
      <c r="BC1521">
        <v>1</v>
      </c>
      <c r="BE1521">
        <v>0</v>
      </c>
      <c r="BF1521">
        <v>0</v>
      </c>
      <c r="BG1521">
        <v>0</v>
      </c>
      <c r="BH1521">
        <v>1700</v>
      </c>
      <c r="BI1521">
        <v>1</v>
      </c>
      <c r="BJ1521">
        <v>1</v>
      </c>
      <c r="BK1521">
        <v>0</v>
      </c>
      <c r="BL1521">
        <v>0</v>
      </c>
      <c r="BO1521">
        <v>0</v>
      </c>
      <c r="BP1521">
        <v>0</v>
      </c>
      <c r="BW1521" t="str">
        <f t="shared" si="721"/>
        <v>14:43:46.550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343</v>
      </c>
      <c r="CR1521">
        <v>2</v>
      </c>
      <c r="CW1521">
        <v>13059176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718"/>
        <v>05/12/2020 14:43:28.714</v>
      </c>
      <c r="C1522" t="str">
        <f t="shared" si="708"/>
        <v>FFDFD3C0</v>
      </c>
      <c r="D1522" t="s">
        <v>126</v>
      </c>
      <c r="E1522">
        <v>6</v>
      </c>
      <c r="F1522">
        <v>1006</v>
      </c>
      <c r="G1522" t="s">
        <v>114</v>
      </c>
      <c r="J1522" t="s">
        <v>128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719"/>
        <v>14:43:46.547</v>
      </c>
      <c r="T1522" t="str">
        <f t="shared" si="720"/>
        <v>14:43:46.147</v>
      </c>
      <c r="U1522" t="str">
        <f t="shared" si="699"/>
        <v>A9808D</v>
      </c>
      <c r="V1522">
        <v>0</v>
      </c>
      <c r="W1522">
        <v>0</v>
      </c>
      <c r="X1522">
        <v>1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415</v>
      </c>
      <c r="AJ1522">
        <v>28.283486</v>
      </c>
      <c r="AK1522" t="s">
        <v>416</v>
      </c>
      <c r="AL1522">
        <v>-82.370682000000002</v>
      </c>
      <c r="AM1522">
        <v>100</v>
      </c>
      <c r="AN1522">
        <v>1600</v>
      </c>
      <c r="AO1522" t="s">
        <v>118</v>
      </c>
      <c r="AP1522">
        <v>79</v>
      </c>
      <c r="AQ1522">
        <v>-52</v>
      </c>
      <c r="AR1522">
        <v>640</v>
      </c>
      <c r="AZ1522">
        <v>1200</v>
      </c>
      <c r="BA1522">
        <v>1</v>
      </c>
      <c r="BB1522" t="str">
        <f t="shared" si="709"/>
        <v xml:space="preserve">N711JA  </v>
      </c>
      <c r="BC1522">
        <v>1</v>
      </c>
      <c r="BE1522">
        <v>0</v>
      </c>
      <c r="BF1522">
        <v>0</v>
      </c>
      <c r="BG1522">
        <v>0</v>
      </c>
      <c r="BH1522">
        <v>1700</v>
      </c>
      <c r="BI1522">
        <v>1</v>
      </c>
      <c r="BJ1522">
        <v>1</v>
      </c>
      <c r="BK1522">
        <v>0</v>
      </c>
      <c r="BL1522">
        <v>0</v>
      </c>
      <c r="BO1522">
        <v>0</v>
      </c>
      <c r="BP1522">
        <v>0</v>
      </c>
      <c r="BW1522" t="str">
        <f t="shared" si="721"/>
        <v>14:43:46.550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343</v>
      </c>
      <c r="CR1522">
        <v>2</v>
      </c>
      <c r="CW1522">
        <v>13059176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 t="shared" si="718"/>
        <v>05/12/2020 14:43:28.714</v>
      </c>
      <c r="C1523" t="str">
        <f t="shared" si="708"/>
        <v>FFDFD3C0</v>
      </c>
      <c r="D1523" t="s">
        <v>131</v>
      </c>
      <c r="E1523">
        <v>12</v>
      </c>
      <c r="F1523">
        <v>2012</v>
      </c>
      <c r="G1523" t="s">
        <v>137</v>
      </c>
      <c r="J1523" t="s">
        <v>133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719"/>
        <v>14:43:46.547</v>
      </c>
      <c r="T1523" t="str">
        <f t="shared" si="720"/>
        <v>14:43:46.147</v>
      </c>
      <c r="U1523" t="str">
        <f t="shared" si="699"/>
        <v>A9808D</v>
      </c>
      <c r="V1523">
        <v>0</v>
      </c>
      <c r="W1523">
        <v>0</v>
      </c>
      <c r="X1523">
        <v>1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415</v>
      </c>
      <c r="AJ1523">
        <v>28.283486</v>
      </c>
      <c r="AK1523" t="s">
        <v>416</v>
      </c>
      <c r="AL1523">
        <v>-82.370682000000002</v>
      </c>
      <c r="AM1523">
        <v>100</v>
      </c>
      <c r="AN1523">
        <v>1600</v>
      </c>
      <c r="AO1523" t="s">
        <v>118</v>
      </c>
      <c r="AP1523">
        <v>79</v>
      </c>
      <c r="AQ1523">
        <v>-52</v>
      </c>
      <c r="AR1523">
        <v>640</v>
      </c>
      <c r="AZ1523">
        <v>1200</v>
      </c>
      <c r="BA1523">
        <v>1</v>
      </c>
      <c r="BB1523" t="str">
        <f t="shared" si="709"/>
        <v xml:space="preserve">N711JA  </v>
      </c>
      <c r="BC1523">
        <v>1</v>
      </c>
      <c r="BE1523">
        <v>0</v>
      </c>
      <c r="BF1523">
        <v>0</v>
      </c>
      <c r="BG1523">
        <v>0</v>
      </c>
      <c r="BH1523">
        <v>1700</v>
      </c>
      <c r="BI1523">
        <v>1</v>
      </c>
      <c r="BJ1523">
        <v>1</v>
      </c>
      <c r="BK1523">
        <v>0</v>
      </c>
      <c r="BL1523">
        <v>0</v>
      </c>
      <c r="BO1523">
        <v>0</v>
      </c>
      <c r="BP1523">
        <v>0</v>
      </c>
      <c r="BW1523" t="str">
        <f t="shared" si="721"/>
        <v>14:43:46.550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343</v>
      </c>
      <c r="CR1523">
        <v>2</v>
      </c>
      <c r="CW1523">
        <v>13059176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 t="shared" si="718"/>
        <v>05/12/2020 14:43:28.714</v>
      </c>
      <c r="C1524" t="str">
        <f t="shared" si="708"/>
        <v>FFDFD3C0</v>
      </c>
      <c r="D1524" t="s">
        <v>131</v>
      </c>
      <c r="E1524">
        <v>18</v>
      </c>
      <c r="F1524">
        <v>2018</v>
      </c>
      <c r="G1524" t="s">
        <v>161</v>
      </c>
      <c r="J1524" t="s">
        <v>133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719"/>
        <v>14:43:46.547</v>
      </c>
      <c r="T1524" t="str">
        <f t="shared" si="720"/>
        <v>14:43:46.147</v>
      </c>
      <c r="U1524" t="str">
        <f t="shared" si="699"/>
        <v>A9808D</v>
      </c>
      <c r="V1524">
        <v>0</v>
      </c>
      <c r="W1524">
        <v>0</v>
      </c>
      <c r="X1524">
        <v>1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415</v>
      </c>
      <c r="AJ1524">
        <v>28.283486</v>
      </c>
      <c r="AK1524" t="s">
        <v>416</v>
      </c>
      <c r="AL1524">
        <v>-82.370682000000002</v>
      </c>
      <c r="AM1524">
        <v>100</v>
      </c>
      <c r="AN1524">
        <v>1600</v>
      </c>
      <c r="AO1524" t="s">
        <v>118</v>
      </c>
      <c r="AP1524">
        <v>79</v>
      </c>
      <c r="AQ1524">
        <v>-52</v>
      </c>
      <c r="AR1524">
        <v>640</v>
      </c>
      <c r="AZ1524">
        <v>1200</v>
      </c>
      <c r="BA1524">
        <v>1</v>
      </c>
      <c r="BB1524" t="str">
        <f t="shared" si="709"/>
        <v xml:space="preserve">N711JA  </v>
      </c>
      <c r="BC1524">
        <v>1</v>
      </c>
      <c r="BE1524">
        <v>0</v>
      </c>
      <c r="BF1524">
        <v>0</v>
      </c>
      <c r="BG1524">
        <v>0</v>
      </c>
      <c r="BH1524">
        <v>1700</v>
      </c>
      <c r="BI1524">
        <v>1</v>
      </c>
      <c r="BJ1524">
        <v>1</v>
      </c>
      <c r="BK1524">
        <v>0</v>
      </c>
      <c r="BL1524">
        <v>0</v>
      </c>
      <c r="BO1524">
        <v>0</v>
      </c>
      <c r="BP1524">
        <v>0</v>
      </c>
      <c r="BW1524" t="str">
        <f t="shared" si="721"/>
        <v>14:43:46.550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343</v>
      </c>
      <c r="CR1524">
        <v>2</v>
      </c>
      <c r="CW1524">
        <v>13059176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 t="shared" si="718"/>
        <v>05/12/2020 14:43:28.714</v>
      </c>
      <c r="C1525" t="str">
        <f t="shared" si="708"/>
        <v>FFDFD3C0</v>
      </c>
      <c r="D1525" t="s">
        <v>134</v>
      </c>
      <c r="E1525">
        <v>12</v>
      </c>
      <c r="H1525">
        <v>64</v>
      </c>
      <c r="I1525" t="s">
        <v>135</v>
      </c>
      <c r="J1525" t="s">
        <v>136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719"/>
        <v>14:43:46.547</v>
      </c>
      <c r="T1525" t="str">
        <f t="shared" si="720"/>
        <v>14:43:46.147</v>
      </c>
      <c r="U1525" t="str">
        <f t="shared" si="699"/>
        <v>A9808D</v>
      </c>
      <c r="V1525">
        <v>0</v>
      </c>
      <c r="W1525">
        <v>0</v>
      </c>
      <c r="X1525">
        <v>1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415</v>
      </c>
      <c r="AJ1525">
        <v>28.283486</v>
      </c>
      <c r="AK1525" t="s">
        <v>416</v>
      </c>
      <c r="AL1525">
        <v>-82.370682000000002</v>
      </c>
      <c r="AM1525">
        <v>100</v>
      </c>
      <c r="AN1525">
        <v>1600</v>
      </c>
      <c r="AO1525" t="s">
        <v>118</v>
      </c>
      <c r="AP1525">
        <v>79</v>
      </c>
      <c r="AQ1525">
        <v>-52</v>
      </c>
      <c r="AR1525">
        <v>640</v>
      </c>
      <c r="AZ1525">
        <v>1200</v>
      </c>
      <c r="BA1525">
        <v>1</v>
      </c>
      <c r="BB1525" t="str">
        <f t="shared" si="709"/>
        <v xml:space="preserve">N711JA  </v>
      </c>
      <c r="BC1525">
        <v>1</v>
      </c>
      <c r="BE1525">
        <v>0</v>
      </c>
      <c r="BF1525">
        <v>0</v>
      </c>
      <c r="BG1525">
        <v>0</v>
      </c>
      <c r="BH1525">
        <v>1700</v>
      </c>
      <c r="BI1525">
        <v>1</v>
      </c>
      <c r="BJ1525">
        <v>1</v>
      </c>
      <c r="BK1525">
        <v>0</v>
      </c>
      <c r="BL1525">
        <v>0</v>
      </c>
      <c r="BO1525">
        <v>0</v>
      </c>
      <c r="BP1525">
        <v>0</v>
      </c>
      <c r="BW1525" t="str">
        <f t="shared" si="721"/>
        <v>14:43:46.550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343</v>
      </c>
      <c r="CR1525">
        <v>2</v>
      </c>
      <c r="CW1525">
        <v>13059176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 t="shared" ref="A1526:A1534" si="722">"05/12/2020 14:43:29.711"</f>
        <v>05/12/2020 14:43:29.711</v>
      </c>
      <c r="C1526" t="str">
        <f t="shared" si="708"/>
        <v>FFDFD3C0</v>
      </c>
      <c r="D1526" t="s">
        <v>134</v>
      </c>
      <c r="E1526">
        <v>12</v>
      </c>
      <c r="H1526">
        <v>64</v>
      </c>
      <c r="I1526" t="s">
        <v>135</v>
      </c>
      <c r="J1526" t="s">
        <v>136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ref="S1526:S1534" si="723">"14:43:47.539"</f>
        <v>14:43:47.539</v>
      </c>
      <c r="T1526" t="str">
        <f t="shared" ref="T1526:T1534" si="724">"14:43:47.339"</f>
        <v>14:43:47.339</v>
      </c>
      <c r="U1526" t="str">
        <f t="shared" si="699"/>
        <v>A9808D</v>
      </c>
      <c r="V1526">
        <v>0</v>
      </c>
      <c r="W1526">
        <v>0</v>
      </c>
      <c r="X1526">
        <v>1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417</v>
      </c>
      <c r="AJ1526">
        <v>28.283207000000001</v>
      </c>
      <c r="AK1526" t="s">
        <v>418</v>
      </c>
      <c r="AL1526">
        <v>-82.370253000000005</v>
      </c>
      <c r="AM1526">
        <v>100</v>
      </c>
      <c r="AN1526">
        <v>1600</v>
      </c>
      <c r="AO1526" t="s">
        <v>118</v>
      </c>
      <c r="AP1526">
        <v>77</v>
      </c>
      <c r="AQ1526">
        <v>-55</v>
      </c>
      <c r="AR1526">
        <v>640</v>
      </c>
      <c r="AZ1526">
        <v>1200</v>
      </c>
      <c r="BA1526">
        <v>1</v>
      </c>
      <c r="BB1526" t="str">
        <f t="shared" si="709"/>
        <v xml:space="preserve">N711JA  </v>
      </c>
      <c r="BC1526">
        <v>1</v>
      </c>
      <c r="BE1526">
        <v>0</v>
      </c>
      <c r="BF1526">
        <v>0</v>
      </c>
      <c r="BG1526">
        <v>0</v>
      </c>
      <c r="BH1526">
        <v>1725</v>
      </c>
      <c r="BI1526">
        <v>1</v>
      </c>
      <c r="BJ1526">
        <v>1</v>
      </c>
      <c r="BK1526">
        <v>0</v>
      </c>
      <c r="BL1526">
        <v>0</v>
      </c>
      <c r="BO1526">
        <v>0</v>
      </c>
      <c r="BP1526">
        <v>0</v>
      </c>
      <c r="BW1526" t="str">
        <f t="shared" ref="BW1526:BW1534" si="725">"14:43:47.544"</f>
        <v>14:43:47.544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343</v>
      </c>
      <c r="CR1526">
        <v>1</v>
      </c>
      <c r="CW1526">
        <v>10680864</v>
      </c>
      <c r="CY1526">
        <v>1</v>
      </c>
      <c r="CZ1526">
        <v>0</v>
      </c>
      <c r="DA1526">
        <v>0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 t="shared" si="722"/>
        <v>05/12/2020 14:43:29.711</v>
      </c>
      <c r="C1527" t="str">
        <f t="shared" si="708"/>
        <v>FFDFD3C0</v>
      </c>
      <c r="D1527" t="s">
        <v>113</v>
      </c>
      <c r="E1527">
        <v>3</v>
      </c>
      <c r="H1527">
        <v>164</v>
      </c>
      <c r="I1527" t="s">
        <v>114</v>
      </c>
      <c r="J1527" t="s">
        <v>115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723"/>
        <v>14:43:47.539</v>
      </c>
      <c r="T1527" t="str">
        <f t="shared" si="724"/>
        <v>14:43:47.339</v>
      </c>
      <c r="U1527" t="str">
        <f t="shared" si="699"/>
        <v>A9808D</v>
      </c>
      <c r="V1527">
        <v>0</v>
      </c>
      <c r="W1527">
        <v>0</v>
      </c>
      <c r="X1527">
        <v>1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417</v>
      </c>
      <c r="AJ1527">
        <v>28.283207000000001</v>
      </c>
      <c r="AK1527" t="s">
        <v>418</v>
      </c>
      <c r="AL1527">
        <v>-82.370253000000005</v>
      </c>
      <c r="AM1527">
        <v>100</v>
      </c>
      <c r="AN1527">
        <v>1600</v>
      </c>
      <c r="AO1527" t="s">
        <v>118</v>
      </c>
      <c r="AP1527">
        <v>77</v>
      </c>
      <c r="AQ1527">
        <v>-55</v>
      </c>
      <c r="AR1527">
        <v>640</v>
      </c>
      <c r="AZ1527">
        <v>1200</v>
      </c>
      <c r="BA1527">
        <v>1</v>
      </c>
      <c r="BB1527" t="str">
        <f t="shared" si="709"/>
        <v xml:space="preserve">N711JA  </v>
      </c>
      <c r="BC1527">
        <v>1</v>
      </c>
      <c r="BE1527">
        <v>0</v>
      </c>
      <c r="BF1527">
        <v>0</v>
      </c>
      <c r="BG1527">
        <v>0</v>
      </c>
      <c r="BH1527">
        <v>1725</v>
      </c>
      <c r="BI1527">
        <v>1</v>
      </c>
      <c r="BJ1527">
        <v>1</v>
      </c>
      <c r="BK1527">
        <v>0</v>
      </c>
      <c r="BL1527">
        <v>0</v>
      </c>
      <c r="BO1527">
        <v>0</v>
      </c>
      <c r="BP1527">
        <v>0</v>
      </c>
      <c r="BW1527" t="str">
        <f t="shared" si="725"/>
        <v>14:43:47.544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343</v>
      </c>
      <c r="CR1527">
        <v>1</v>
      </c>
      <c r="CW1527">
        <v>10680864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 t="shared" si="722"/>
        <v>05/12/2020 14:43:29.711</v>
      </c>
      <c r="C1528" t="str">
        <f t="shared" si="708"/>
        <v>FFDFD3C0</v>
      </c>
      <c r="D1528" t="s">
        <v>138</v>
      </c>
      <c r="E1528">
        <v>2</v>
      </c>
      <c r="H1528">
        <v>8</v>
      </c>
      <c r="I1528" t="s">
        <v>139</v>
      </c>
      <c r="J1528" t="s">
        <v>136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723"/>
        <v>14:43:47.539</v>
      </c>
      <c r="T1528" t="str">
        <f t="shared" si="724"/>
        <v>14:43:47.339</v>
      </c>
      <c r="U1528" t="str">
        <f t="shared" si="699"/>
        <v>A9808D</v>
      </c>
      <c r="V1528">
        <v>0</v>
      </c>
      <c r="W1528">
        <v>0</v>
      </c>
      <c r="X1528">
        <v>1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417</v>
      </c>
      <c r="AJ1528">
        <v>28.283207000000001</v>
      </c>
      <c r="AK1528" t="s">
        <v>418</v>
      </c>
      <c r="AL1528">
        <v>-82.370253000000005</v>
      </c>
      <c r="AM1528">
        <v>100</v>
      </c>
      <c r="AN1528">
        <v>1600</v>
      </c>
      <c r="AO1528" t="s">
        <v>118</v>
      </c>
      <c r="AP1528">
        <v>77</v>
      </c>
      <c r="AQ1528">
        <v>-55</v>
      </c>
      <c r="AR1528">
        <v>640</v>
      </c>
      <c r="AZ1528">
        <v>1200</v>
      </c>
      <c r="BA1528">
        <v>1</v>
      </c>
      <c r="BB1528" t="str">
        <f t="shared" si="709"/>
        <v xml:space="preserve">N711JA  </v>
      </c>
      <c r="BC1528">
        <v>1</v>
      </c>
      <c r="BE1528">
        <v>0</v>
      </c>
      <c r="BF1528">
        <v>0</v>
      </c>
      <c r="BG1528">
        <v>0</v>
      </c>
      <c r="BH1528">
        <v>1725</v>
      </c>
      <c r="BI1528">
        <v>1</v>
      </c>
      <c r="BJ1528">
        <v>1</v>
      </c>
      <c r="BK1528">
        <v>0</v>
      </c>
      <c r="BL1528">
        <v>0</v>
      </c>
      <c r="BO1528">
        <v>0</v>
      </c>
      <c r="BP1528">
        <v>0</v>
      </c>
      <c r="BW1528" t="str">
        <f t="shared" si="725"/>
        <v>14:43:47.544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343</v>
      </c>
      <c r="CR1528">
        <v>1</v>
      </c>
      <c r="CW1528">
        <v>10680864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 t="shared" si="722"/>
        <v>05/12/2020 14:43:29.711</v>
      </c>
      <c r="C1529" t="str">
        <f t="shared" si="708"/>
        <v>FFDFD3C0</v>
      </c>
      <c r="D1529" t="s">
        <v>138</v>
      </c>
      <c r="E1529">
        <v>3</v>
      </c>
      <c r="H1529">
        <v>9</v>
      </c>
      <c r="I1529" t="s">
        <v>140</v>
      </c>
      <c r="J1529" t="s">
        <v>136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723"/>
        <v>14:43:47.539</v>
      </c>
      <c r="T1529" t="str">
        <f t="shared" si="724"/>
        <v>14:43:47.339</v>
      </c>
      <c r="U1529" t="str">
        <f t="shared" si="699"/>
        <v>A9808D</v>
      </c>
      <c r="V1529">
        <v>0</v>
      </c>
      <c r="W1529">
        <v>0</v>
      </c>
      <c r="X1529">
        <v>1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417</v>
      </c>
      <c r="AJ1529">
        <v>28.283207000000001</v>
      </c>
      <c r="AK1529" t="s">
        <v>418</v>
      </c>
      <c r="AL1529">
        <v>-82.370253000000005</v>
      </c>
      <c r="AM1529">
        <v>100</v>
      </c>
      <c r="AN1529">
        <v>1600</v>
      </c>
      <c r="AO1529" t="s">
        <v>118</v>
      </c>
      <c r="AP1529">
        <v>77</v>
      </c>
      <c r="AQ1529">
        <v>-55</v>
      </c>
      <c r="AR1529">
        <v>640</v>
      </c>
      <c r="AZ1529">
        <v>1200</v>
      </c>
      <c r="BA1529">
        <v>1</v>
      </c>
      <c r="BB1529" t="str">
        <f t="shared" si="709"/>
        <v xml:space="preserve">N711JA  </v>
      </c>
      <c r="BC1529">
        <v>1</v>
      </c>
      <c r="BE1529">
        <v>0</v>
      </c>
      <c r="BF1529">
        <v>0</v>
      </c>
      <c r="BG1529">
        <v>0</v>
      </c>
      <c r="BH1529">
        <v>1725</v>
      </c>
      <c r="BI1529">
        <v>1</v>
      </c>
      <c r="BJ1529">
        <v>1</v>
      </c>
      <c r="BK1529">
        <v>0</v>
      </c>
      <c r="BL1529">
        <v>0</v>
      </c>
      <c r="BO1529">
        <v>0</v>
      </c>
      <c r="BP1529">
        <v>0</v>
      </c>
      <c r="BW1529" t="str">
        <f t="shared" si="725"/>
        <v>14:43:47.544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343</v>
      </c>
      <c r="CR1529">
        <v>1</v>
      </c>
      <c r="CW1529">
        <v>10680864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 t="shared" si="722"/>
        <v>05/12/2020 14:43:29.711</v>
      </c>
      <c r="C1530" t="str">
        <f t="shared" si="708"/>
        <v>FFDFD3C0</v>
      </c>
      <c r="D1530" t="s">
        <v>126</v>
      </c>
      <c r="E1530">
        <v>7</v>
      </c>
      <c r="F1530">
        <v>1007</v>
      </c>
      <c r="G1530" t="s">
        <v>127</v>
      </c>
      <c r="J1530" t="s">
        <v>128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723"/>
        <v>14:43:47.539</v>
      </c>
      <c r="T1530" t="str">
        <f t="shared" si="724"/>
        <v>14:43:47.339</v>
      </c>
      <c r="U1530" t="str">
        <f t="shared" si="699"/>
        <v>A9808D</v>
      </c>
      <c r="V1530">
        <v>0</v>
      </c>
      <c r="W1530">
        <v>0</v>
      </c>
      <c r="X1530">
        <v>1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417</v>
      </c>
      <c r="AJ1530">
        <v>28.283207000000001</v>
      </c>
      <c r="AK1530" t="s">
        <v>418</v>
      </c>
      <c r="AL1530">
        <v>-82.370253000000005</v>
      </c>
      <c r="AM1530">
        <v>100</v>
      </c>
      <c r="AN1530">
        <v>1600</v>
      </c>
      <c r="AO1530" t="s">
        <v>118</v>
      </c>
      <c r="AP1530">
        <v>77</v>
      </c>
      <c r="AQ1530">
        <v>-55</v>
      </c>
      <c r="AR1530">
        <v>640</v>
      </c>
      <c r="AZ1530">
        <v>1200</v>
      </c>
      <c r="BA1530">
        <v>1</v>
      </c>
      <c r="BB1530" t="str">
        <f t="shared" si="709"/>
        <v xml:space="preserve">N711JA  </v>
      </c>
      <c r="BC1530">
        <v>1</v>
      </c>
      <c r="BE1530">
        <v>0</v>
      </c>
      <c r="BF1530">
        <v>0</v>
      </c>
      <c r="BG1530">
        <v>0</v>
      </c>
      <c r="BH1530">
        <v>1725</v>
      </c>
      <c r="BI1530">
        <v>1</v>
      </c>
      <c r="BJ1530">
        <v>1</v>
      </c>
      <c r="BK1530">
        <v>0</v>
      </c>
      <c r="BL1530">
        <v>0</v>
      </c>
      <c r="BO1530">
        <v>0</v>
      </c>
      <c r="BP1530">
        <v>0</v>
      </c>
      <c r="BW1530" t="str">
        <f t="shared" si="725"/>
        <v>14:43:47.544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343</v>
      </c>
      <c r="CR1530">
        <v>1</v>
      </c>
      <c r="CW1530">
        <v>10680864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 t="shared" si="722"/>
        <v>05/12/2020 14:43:29.711</v>
      </c>
      <c r="C1531" t="str">
        <f t="shared" si="708"/>
        <v>FFDFD3C0</v>
      </c>
      <c r="D1531" t="s">
        <v>131</v>
      </c>
      <c r="E1531">
        <v>10</v>
      </c>
      <c r="F1531">
        <v>2010</v>
      </c>
      <c r="G1531" t="s">
        <v>132</v>
      </c>
      <c r="J1531" t="s">
        <v>133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723"/>
        <v>14:43:47.539</v>
      </c>
      <c r="T1531" t="str">
        <f t="shared" si="724"/>
        <v>14:43:47.339</v>
      </c>
      <c r="U1531" t="str">
        <f t="shared" si="699"/>
        <v>A9808D</v>
      </c>
      <c r="V1531">
        <v>0</v>
      </c>
      <c r="W1531">
        <v>0</v>
      </c>
      <c r="X1531">
        <v>1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417</v>
      </c>
      <c r="AJ1531">
        <v>28.283207000000001</v>
      </c>
      <c r="AK1531" t="s">
        <v>418</v>
      </c>
      <c r="AL1531">
        <v>-82.370253000000005</v>
      </c>
      <c r="AM1531">
        <v>100</v>
      </c>
      <c r="AN1531">
        <v>1600</v>
      </c>
      <c r="AO1531" t="s">
        <v>118</v>
      </c>
      <c r="AP1531">
        <v>77</v>
      </c>
      <c r="AQ1531">
        <v>-55</v>
      </c>
      <c r="AR1531">
        <v>640</v>
      </c>
      <c r="AZ1531">
        <v>1200</v>
      </c>
      <c r="BA1531">
        <v>1</v>
      </c>
      <c r="BB1531" t="str">
        <f t="shared" si="709"/>
        <v xml:space="preserve">N711JA  </v>
      </c>
      <c r="BC1531">
        <v>1</v>
      </c>
      <c r="BE1531">
        <v>0</v>
      </c>
      <c r="BF1531">
        <v>0</v>
      </c>
      <c r="BG1531">
        <v>0</v>
      </c>
      <c r="BH1531">
        <v>1725</v>
      </c>
      <c r="BI1531">
        <v>1</v>
      </c>
      <c r="BJ1531">
        <v>1</v>
      </c>
      <c r="BK1531">
        <v>0</v>
      </c>
      <c r="BL1531">
        <v>0</v>
      </c>
      <c r="BO1531">
        <v>0</v>
      </c>
      <c r="BP1531">
        <v>0</v>
      </c>
      <c r="BW1531" t="str">
        <f t="shared" si="725"/>
        <v>14:43:47.544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343</v>
      </c>
      <c r="CR1531">
        <v>1</v>
      </c>
      <c r="CW1531">
        <v>10680864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 t="shared" si="722"/>
        <v>05/12/2020 14:43:29.711</v>
      </c>
      <c r="C1532" t="str">
        <f t="shared" si="708"/>
        <v>FFDFD3C0</v>
      </c>
      <c r="D1532" t="s">
        <v>126</v>
      </c>
      <c r="E1532">
        <v>6</v>
      </c>
      <c r="F1532">
        <v>1006</v>
      </c>
      <c r="G1532" t="s">
        <v>114</v>
      </c>
      <c r="J1532" t="s">
        <v>128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723"/>
        <v>14:43:47.539</v>
      </c>
      <c r="T1532" t="str">
        <f t="shared" si="724"/>
        <v>14:43:47.339</v>
      </c>
      <c r="U1532" t="str">
        <f t="shared" si="699"/>
        <v>A9808D</v>
      </c>
      <c r="V1532">
        <v>0</v>
      </c>
      <c r="W1532">
        <v>0</v>
      </c>
      <c r="X1532">
        <v>1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417</v>
      </c>
      <c r="AJ1532">
        <v>28.283207000000001</v>
      </c>
      <c r="AK1532" t="s">
        <v>418</v>
      </c>
      <c r="AL1532">
        <v>-82.370253000000005</v>
      </c>
      <c r="AM1532">
        <v>100</v>
      </c>
      <c r="AN1532">
        <v>1600</v>
      </c>
      <c r="AO1532" t="s">
        <v>118</v>
      </c>
      <c r="AP1532">
        <v>77</v>
      </c>
      <c r="AQ1532">
        <v>-55</v>
      </c>
      <c r="AR1532">
        <v>640</v>
      </c>
      <c r="AZ1532">
        <v>1200</v>
      </c>
      <c r="BA1532">
        <v>1</v>
      </c>
      <c r="BB1532" t="str">
        <f t="shared" si="709"/>
        <v xml:space="preserve">N711JA  </v>
      </c>
      <c r="BC1532">
        <v>1</v>
      </c>
      <c r="BE1532">
        <v>0</v>
      </c>
      <c r="BF1532">
        <v>0</v>
      </c>
      <c r="BG1532">
        <v>0</v>
      </c>
      <c r="BH1532">
        <v>1725</v>
      </c>
      <c r="BI1532">
        <v>1</v>
      </c>
      <c r="BJ1532">
        <v>1</v>
      </c>
      <c r="BK1532">
        <v>0</v>
      </c>
      <c r="BL1532">
        <v>0</v>
      </c>
      <c r="BO1532">
        <v>0</v>
      </c>
      <c r="BP1532">
        <v>0</v>
      </c>
      <c r="BW1532" t="str">
        <f t="shared" si="725"/>
        <v>14:43:47.544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343</v>
      </c>
      <c r="CR1532">
        <v>1</v>
      </c>
      <c r="CW1532">
        <v>10680864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 t="shared" si="722"/>
        <v>05/12/2020 14:43:29.711</v>
      </c>
      <c r="C1533" t="str">
        <f t="shared" si="708"/>
        <v>FFDFD3C0</v>
      </c>
      <c r="D1533" t="s">
        <v>131</v>
      </c>
      <c r="E1533">
        <v>12</v>
      </c>
      <c r="F1533">
        <v>2012</v>
      </c>
      <c r="G1533" t="s">
        <v>137</v>
      </c>
      <c r="J1533" t="s">
        <v>133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723"/>
        <v>14:43:47.539</v>
      </c>
      <c r="T1533" t="str">
        <f t="shared" si="724"/>
        <v>14:43:47.339</v>
      </c>
      <c r="U1533" t="str">
        <f t="shared" si="699"/>
        <v>A9808D</v>
      </c>
      <c r="V1533">
        <v>0</v>
      </c>
      <c r="W1533">
        <v>0</v>
      </c>
      <c r="X1533">
        <v>1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417</v>
      </c>
      <c r="AJ1533">
        <v>28.283207000000001</v>
      </c>
      <c r="AK1533" t="s">
        <v>418</v>
      </c>
      <c r="AL1533">
        <v>-82.370253000000005</v>
      </c>
      <c r="AM1533">
        <v>100</v>
      </c>
      <c r="AN1533">
        <v>1600</v>
      </c>
      <c r="AO1533" t="s">
        <v>118</v>
      </c>
      <c r="AP1533">
        <v>77</v>
      </c>
      <c r="AQ1533">
        <v>-55</v>
      </c>
      <c r="AR1533">
        <v>640</v>
      </c>
      <c r="AZ1533">
        <v>1200</v>
      </c>
      <c r="BA1533">
        <v>1</v>
      </c>
      <c r="BB1533" t="str">
        <f t="shared" si="709"/>
        <v xml:space="preserve">N711JA  </v>
      </c>
      <c r="BC1533">
        <v>1</v>
      </c>
      <c r="BE1533">
        <v>0</v>
      </c>
      <c r="BF1533">
        <v>0</v>
      </c>
      <c r="BG1533">
        <v>0</v>
      </c>
      <c r="BH1533">
        <v>1725</v>
      </c>
      <c r="BI1533">
        <v>1</v>
      </c>
      <c r="BJ1533">
        <v>1</v>
      </c>
      <c r="BK1533">
        <v>0</v>
      </c>
      <c r="BL1533">
        <v>0</v>
      </c>
      <c r="BO1533">
        <v>0</v>
      </c>
      <c r="BP1533">
        <v>0</v>
      </c>
      <c r="BW1533" t="str">
        <f t="shared" si="725"/>
        <v>14:43:47.544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343</v>
      </c>
      <c r="CR1533">
        <v>1</v>
      </c>
      <c r="CW1533">
        <v>10680864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 t="shared" si="722"/>
        <v>05/12/2020 14:43:29.711</v>
      </c>
      <c r="C1534" t="str">
        <f t="shared" si="708"/>
        <v>FFDFD3C0</v>
      </c>
      <c r="D1534" t="s">
        <v>131</v>
      </c>
      <c r="E1534">
        <v>18</v>
      </c>
      <c r="F1534">
        <v>2018</v>
      </c>
      <c r="G1534" t="s">
        <v>161</v>
      </c>
      <c r="J1534" t="s">
        <v>133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723"/>
        <v>14:43:47.539</v>
      </c>
      <c r="T1534" t="str">
        <f t="shared" si="724"/>
        <v>14:43:47.339</v>
      </c>
      <c r="U1534" t="str">
        <f t="shared" si="699"/>
        <v>A9808D</v>
      </c>
      <c r="V1534">
        <v>0</v>
      </c>
      <c r="W1534">
        <v>0</v>
      </c>
      <c r="X1534">
        <v>1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417</v>
      </c>
      <c r="AJ1534">
        <v>28.283207000000001</v>
      </c>
      <c r="AK1534" t="s">
        <v>418</v>
      </c>
      <c r="AL1534">
        <v>-82.370253000000005</v>
      </c>
      <c r="AM1534">
        <v>100</v>
      </c>
      <c r="AN1534">
        <v>1600</v>
      </c>
      <c r="AO1534" t="s">
        <v>118</v>
      </c>
      <c r="AP1534">
        <v>77</v>
      </c>
      <c r="AQ1534">
        <v>-55</v>
      </c>
      <c r="AR1534">
        <v>640</v>
      </c>
      <c r="AZ1534">
        <v>1200</v>
      </c>
      <c r="BA1534">
        <v>1</v>
      </c>
      <c r="BB1534" t="str">
        <f t="shared" si="709"/>
        <v xml:space="preserve">N711JA  </v>
      </c>
      <c r="BC1534">
        <v>1</v>
      </c>
      <c r="BE1534">
        <v>0</v>
      </c>
      <c r="BF1534">
        <v>0</v>
      </c>
      <c r="BG1534">
        <v>0</v>
      </c>
      <c r="BH1534">
        <v>1725</v>
      </c>
      <c r="BI1534">
        <v>1</v>
      </c>
      <c r="BJ1534">
        <v>1</v>
      </c>
      <c r="BK1534">
        <v>0</v>
      </c>
      <c r="BL1534">
        <v>0</v>
      </c>
      <c r="BO1534">
        <v>0</v>
      </c>
      <c r="BP1534">
        <v>0</v>
      </c>
      <c r="BW1534" t="str">
        <f t="shared" si="725"/>
        <v>14:43:47.544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343</v>
      </c>
      <c r="CR1534">
        <v>1</v>
      </c>
      <c r="CW1534">
        <v>10680864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 t="shared" ref="A1535:A1543" si="726">"05/12/2020 14:43:30.674"</f>
        <v>05/12/2020 14:43:30.674</v>
      </c>
      <c r="C1535" t="str">
        <f t="shared" si="708"/>
        <v>FFDFD3C0</v>
      </c>
      <c r="D1535" t="s">
        <v>134</v>
      </c>
      <c r="E1535">
        <v>12</v>
      </c>
      <c r="H1535">
        <v>64</v>
      </c>
      <c r="I1535" t="s">
        <v>135</v>
      </c>
      <c r="J1535" t="s">
        <v>136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ref="S1535:S1543" si="727">"14:43:48.508"</f>
        <v>14:43:48.508</v>
      </c>
      <c r="T1535" t="str">
        <f t="shared" ref="T1535:T1543" si="728">"14:43:48.208"</f>
        <v>14:43:48.208</v>
      </c>
      <c r="U1535" t="str">
        <f t="shared" si="699"/>
        <v>A9808D</v>
      </c>
      <c r="V1535">
        <v>0</v>
      </c>
      <c r="W1535">
        <v>0</v>
      </c>
      <c r="X1535">
        <v>1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419</v>
      </c>
      <c r="AJ1535">
        <v>28.282971</v>
      </c>
      <c r="AK1535" t="s">
        <v>420</v>
      </c>
      <c r="AL1535">
        <v>-82.369888000000003</v>
      </c>
      <c r="AM1535">
        <v>100</v>
      </c>
      <c r="AN1535">
        <v>1600</v>
      </c>
      <c r="AO1535" t="s">
        <v>118</v>
      </c>
      <c r="AP1535">
        <v>75</v>
      </c>
      <c r="AQ1535">
        <v>-58</v>
      </c>
      <c r="AR1535">
        <v>576</v>
      </c>
      <c r="AZ1535">
        <v>1200</v>
      </c>
      <c r="BA1535">
        <v>1</v>
      </c>
      <c r="BB1535" t="str">
        <f t="shared" si="709"/>
        <v xml:space="preserve">N711JA  </v>
      </c>
      <c r="BC1535">
        <v>1</v>
      </c>
      <c r="BE1535">
        <v>0</v>
      </c>
      <c r="BF1535">
        <v>0</v>
      </c>
      <c r="BG1535">
        <v>0</v>
      </c>
      <c r="BH1535">
        <v>1725</v>
      </c>
      <c r="BI1535">
        <v>1</v>
      </c>
      <c r="BJ1535">
        <v>1</v>
      </c>
      <c r="BK1535">
        <v>0</v>
      </c>
      <c r="BL1535">
        <v>0</v>
      </c>
      <c r="BO1535">
        <v>0</v>
      </c>
      <c r="BP1535">
        <v>0</v>
      </c>
      <c r="BW1535" t="str">
        <f t="shared" ref="BW1535:BW1543" si="729">"14:43:48.510"</f>
        <v>14:43:48.510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343</v>
      </c>
      <c r="CR1535">
        <v>2</v>
      </c>
      <c r="CW1535">
        <v>13060798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 t="shared" si="726"/>
        <v>05/12/2020 14:43:30.674</v>
      </c>
      <c r="C1536" t="str">
        <f t="shared" si="708"/>
        <v>FFDFD3C0</v>
      </c>
      <c r="D1536" t="s">
        <v>138</v>
      </c>
      <c r="E1536">
        <v>2</v>
      </c>
      <c r="H1536">
        <v>8</v>
      </c>
      <c r="I1536" t="s">
        <v>139</v>
      </c>
      <c r="J1536" t="s">
        <v>136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727"/>
        <v>14:43:48.508</v>
      </c>
      <c r="T1536" t="str">
        <f t="shared" si="728"/>
        <v>14:43:48.208</v>
      </c>
      <c r="U1536" t="str">
        <f t="shared" si="699"/>
        <v>A9808D</v>
      </c>
      <c r="V1536">
        <v>0</v>
      </c>
      <c r="W1536">
        <v>0</v>
      </c>
      <c r="X1536">
        <v>1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419</v>
      </c>
      <c r="AJ1536">
        <v>28.282971</v>
      </c>
      <c r="AK1536" t="s">
        <v>420</v>
      </c>
      <c r="AL1536">
        <v>-82.369888000000003</v>
      </c>
      <c r="AM1536">
        <v>100</v>
      </c>
      <c r="AN1536">
        <v>1600</v>
      </c>
      <c r="AO1536" t="s">
        <v>118</v>
      </c>
      <c r="AP1536">
        <v>75</v>
      </c>
      <c r="AQ1536">
        <v>-58</v>
      </c>
      <c r="AR1536">
        <v>576</v>
      </c>
      <c r="AZ1536">
        <v>1200</v>
      </c>
      <c r="BA1536">
        <v>1</v>
      </c>
      <c r="BB1536" t="str">
        <f t="shared" si="709"/>
        <v xml:space="preserve">N711JA  </v>
      </c>
      <c r="BC1536">
        <v>1</v>
      </c>
      <c r="BE1536">
        <v>0</v>
      </c>
      <c r="BF1536">
        <v>0</v>
      </c>
      <c r="BG1536">
        <v>0</v>
      </c>
      <c r="BH1536">
        <v>1725</v>
      </c>
      <c r="BI1536">
        <v>1</v>
      </c>
      <c r="BJ1536">
        <v>1</v>
      </c>
      <c r="BK1536">
        <v>0</v>
      </c>
      <c r="BL1536">
        <v>0</v>
      </c>
      <c r="BO1536">
        <v>0</v>
      </c>
      <c r="BP1536">
        <v>0</v>
      </c>
      <c r="BW1536" t="str">
        <f t="shared" si="729"/>
        <v>14:43:48.510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343</v>
      </c>
      <c r="CR1536">
        <v>2</v>
      </c>
      <c r="CW1536">
        <v>13060798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 t="shared" si="726"/>
        <v>05/12/2020 14:43:30.674</v>
      </c>
      <c r="C1537" t="str">
        <f t="shared" si="708"/>
        <v>FFDFD3C0</v>
      </c>
      <c r="D1537" t="s">
        <v>113</v>
      </c>
      <c r="E1537">
        <v>3</v>
      </c>
      <c r="H1537">
        <v>164</v>
      </c>
      <c r="I1537" t="s">
        <v>114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727"/>
        <v>14:43:48.508</v>
      </c>
      <c r="T1537" t="str">
        <f t="shared" si="728"/>
        <v>14:43:48.208</v>
      </c>
      <c r="U1537" t="str">
        <f t="shared" si="699"/>
        <v>A9808D</v>
      </c>
      <c r="V1537">
        <v>0</v>
      </c>
      <c r="W1537">
        <v>0</v>
      </c>
      <c r="X1537">
        <v>1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419</v>
      </c>
      <c r="AJ1537">
        <v>28.282971</v>
      </c>
      <c r="AK1537" t="s">
        <v>420</v>
      </c>
      <c r="AL1537">
        <v>-82.369888000000003</v>
      </c>
      <c r="AM1537">
        <v>100</v>
      </c>
      <c r="AN1537">
        <v>1600</v>
      </c>
      <c r="AO1537" t="s">
        <v>118</v>
      </c>
      <c r="AP1537">
        <v>75</v>
      </c>
      <c r="AQ1537">
        <v>-58</v>
      </c>
      <c r="AR1537">
        <v>576</v>
      </c>
      <c r="AZ1537">
        <v>1200</v>
      </c>
      <c r="BA1537">
        <v>1</v>
      </c>
      <c r="BB1537" t="str">
        <f t="shared" si="709"/>
        <v xml:space="preserve">N711JA  </v>
      </c>
      <c r="BC1537">
        <v>1</v>
      </c>
      <c r="BE1537">
        <v>0</v>
      </c>
      <c r="BF1537">
        <v>0</v>
      </c>
      <c r="BG1537">
        <v>0</v>
      </c>
      <c r="BH1537">
        <v>1725</v>
      </c>
      <c r="BI1537">
        <v>1</v>
      </c>
      <c r="BJ1537">
        <v>1</v>
      </c>
      <c r="BK1537">
        <v>0</v>
      </c>
      <c r="BL1537">
        <v>0</v>
      </c>
      <c r="BO1537">
        <v>0</v>
      </c>
      <c r="BP1537">
        <v>0</v>
      </c>
      <c r="BW1537" t="str">
        <f t="shared" si="729"/>
        <v>14:43:48.510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343</v>
      </c>
      <c r="CR1537">
        <v>2</v>
      </c>
      <c r="CW1537">
        <v>13060798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 t="shared" si="726"/>
        <v>05/12/2020 14:43:30.674</v>
      </c>
      <c r="C1538" t="str">
        <f t="shared" si="708"/>
        <v>FFDFD3C0</v>
      </c>
      <c r="D1538" t="s">
        <v>138</v>
      </c>
      <c r="E1538">
        <v>3</v>
      </c>
      <c r="H1538">
        <v>9</v>
      </c>
      <c r="I1538" t="s">
        <v>140</v>
      </c>
      <c r="J1538" t="s">
        <v>136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727"/>
        <v>14:43:48.508</v>
      </c>
      <c r="T1538" t="str">
        <f t="shared" si="728"/>
        <v>14:43:48.208</v>
      </c>
      <c r="U1538" t="str">
        <f t="shared" ref="U1538:U1601" si="730">"A9808D"</f>
        <v>A9808D</v>
      </c>
      <c r="V1538">
        <v>0</v>
      </c>
      <c r="W1538">
        <v>0</v>
      </c>
      <c r="X1538">
        <v>1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419</v>
      </c>
      <c r="AJ1538">
        <v>28.282971</v>
      </c>
      <c r="AK1538" t="s">
        <v>420</v>
      </c>
      <c r="AL1538">
        <v>-82.369888000000003</v>
      </c>
      <c r="AM1538">
        <v>100</v>
      </c>
      <c r="AN1538">
        <v>1600</v>
      </c>
      <c r="AO1538" t="s">
        <v>118</v>
      </c>
      <c r="AP1538">
        <v>75</v>
      </c>
      <c r="AQ1538">
        <v>-58</v>
      </c>
      <c r="AR1538">
        <v>576</v>
      </c>
      <c r="AZ1538">
        <v>1200</v>
      </c>
      <c r="BA1538">
        <v>1</v>
      </c>
      <c r="BB1538" t="str">
        <f t="shared" si="709"/>
        <v xml:space="preserve">N711JA  </v>
      </c>
      <c r="BC1538">
        <v>1</v>
      </c>
      <c r="BE1538">
        <v>0</v>
      </c>
      <c r="BF1538">
        <v>0</v>
      </c>
      <c r="BG1538">
        <v>0</v>
      </c>
      <c r="BH1538">
        <v>1725</v>
      </c>
      <c r="BI1538">
        <v>1</v>
      </c>
      <c r="BJ1538">
        <v>1</v>
      </c>
      <c r="BK1538">
        <v>0</v>
      </c>
      <c r="BL1538">
        <v>0</v>
      </c>
      <c r="BO1538">
        <v>0</v>
      </c>
      <c r="BP1538">
        <v>0</v>
      </c>
      <c r="BW1538" t="str">
        <f t="shared" si="729"/>
        <v>14:43:48.510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343</v>
      </c>
      <c r="CR1538">
        <v>2</v>
      </c>
      <c r="CW1538">
        <v>13060798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 t="shared" si="726"/>
        <v>05/12/2020 14:43:30.674</v>
      </c>
      <c r="C1539" t="str">
        <f t="shared" si="708"/>
        <v>FFDFD3C0</v>
      </c>
      <c r="D1539" t="s">
        <v>126</v>
      </c>
      <c r="E1539">
        <v>7</v>
      </c>
      <c r="F1539">
        <v>1007</v>
      </c>
      <c r="G1539" t="s">
        <v>127</v>
      </c>
      <c r="J1539" t="s">
        <v>128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727"/>
        <v>14:43:48.508</v>
      </c>
      <c r="T1539" t="str">
        <f t="shared" si="728"/>
        <v>14:43:48.208</v>
      </c>
      <c r="U1539" t="str">
        <f t="shared" si="730"/>
        <v>A9808D</v>
      </c>
      <c r="V1539">
        <v>0</v>
      </c>
      <c r="W1539">
        <v>0</v>
      </c>
      <c r="X1539">
        <v>1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419</v>
      </c>
      <c r="AJ1539">
        <v>28.282971</v>
      </c>
      <c r="AK1539" t="s">
        <v>420</v>
      </c>
      <c r="AL1539">
        <v>-82.369888000000003</v>
      </c>
      <c r="AM1539">
        <v>100</v>
      </c>
      <c r="AN1539">
        <v>1600</v>
      </c>
      <c r="AO1539" t="s">
        <v>118</v>
      </c>
      <c r="AP1539">
        <v>75</v>
      </c>
      <c r="AQ1539">
        <v>-58</v>
      </c>
      <c r="AR1539">
        <v>576</v>
      </c>
      <c r="AZ1539">
        <v>1200</v>
      </c>
      <c r="BA1539">
        <v>1</v>
      </c>
      <c r="BB1539" t="str">
        <f t="shared" si="709"/>
        <v xml:space="preserve">N711JA  </v>
      </c>
      <c r="BC1539">
        <v>1</v>
      </c>
      <c r="BE1539">
        <v>0</v>
      </c>
      <c r="BF1539">
        <v>0</v>
      </c>
      <c r="BG1539">
        <v>0</v>
      </c>
      <c r="BH1539">
        <v>1725</v>
      </c>
      <c r="BI1539">
        <v>1</v>
      </c>
      <c r="BJ1539">
        <v>1</v>
      </c>
      <c r="BK1539">
        <v>0</v>
      </c>
      <c r="BL1539">
        <v>0</v>
      </c>
      <c r="BO1539">
        <v>0</v>
      </c>
      <c r="BP1539">
        <v>0</v>
      </c>
      <c r="BW1539" t="str">
        <f t="shared" si="729"/>
        <v>14:43:48.510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343</v>
      </c>
      <c r="CR1539">
        <v>2</v>
      </c>
      <c r="CW1539">
        <v>13060798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 t="shared" si="726"/>
        <v>05/12/2020 14:43:30.674</v>
      </c>
      <c r="C1540" t="str">
        <f t="shared" si="708"/>
        <v>FFDFD3C0</v>
      </c>
      <c r="D1540" t="s">
        <v>131</v>
      </c>
      <c r="E1540">
        <v>10</v>
      </c>
      <c r="F1540">
        <v>2010</v>
      </c>
      <c r="G1540" t="s">
        <v>132</v>
      </c>
      <c r="J1540" t="s">
        <v>133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727"/>
        <v>14:43:48.508</v>
      </c>
      <c r="T1540" t="str">
        <f t="shared" si="728"/>
        <v>14:43:48.208</v>
      </c>
      <c r="U1540" t="str">
        <f t="shared" si="730"/>
        <v>A9808D</v>
      </c>
      <c r="V1540">
        <v>0</v>
      </c>
      <c r="W1540">
        <v>0</v>
      </c>
      <c r="X1540">
        <v>1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419</v>
      </c>
      <c r="AJ1540">
        <v>28.282971</v>
      </c>
      <c r="AK1540" t="s">
        <v>420</v>
      </c>
      <c r="AL1540">
        <v>-82.369888000000003</v>
      </c>
      <c r="AM1540">
        <v>100</v>
      </c>
      <c r="AN1540">
        <v>1600</v>
      </c>
      <c r="AO1540" t="s">
        <v>118</v>
      </c>
      <c r="AP1540">
        <v>75</v>
      </c>
      <c r="AQ1540">
        <v>-58</v>
      </c>
      <c r="AR1540">
        <v>576</v>
      </c>
      <c r="AZ1540">
        <v>1200</v>
      </c>
      <c r="BA1540">
        <v>1</v>
      </c>
      <c r="BB1540" t="str">
        <f t="shared" si="709"/>
        <v xml:space="preserve">N711JA  </v>
      </c>
      <c r="BC1540">
        <v>1</v>
      </c>
      <c r="BE1540">
        <v>0</v>
      </c>
      <c r="BF1540">
        <v>0</v>
      </c>
      <c r="BG1540">
        <v>0</v>
      </c>
      <c r="BH1540">
        <v>1725</v>
      </c>
      <c r="BI1540">
        <v>1</v>
      </c>
      <c r="BJ1540">
        <v>1</v>
      </c>
      <c r="BK1540">
        <v>0</v>
      </c>
      <c r="BL1540">
        <v>0</v>
      </c>
      <c r="BO1540">
        <v>0</v>
      </c>
      <c r="BP1540">
        <v>0</v>
      </c>
      <c r="BW1540" t="str">
        <f t="shared" si="729"/>
        <v>14:43:48.510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343</v>
      </c>
      <c r="CR1540">
        <v>2</v>
      </c>
      <c r="CW1540">
        <v>13060798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si="726"/>
        <v>05/12/2020 14:43:30.674</v>
      </c>
      <c r="C1541" t="str">
        <f t="shared" si="708"/>
        <v>FFDFD3C0</v>
      </c>
      <c r="D1541" t="s">
        <v>131</v>
      </c>
      <c r="E1541">
        <v>12</v>
      </c>
      <c r="F1541">
        <v>2012</v>
      </c>
      <c r="G1541" t="s">
        <v>137</v>
      </c>
      <c r="J1541" t="s">
        <v>133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727"/>
        <v>14:43:48.508</v>
      </c>
      <c r="T1541" t="str">
        <f t="shared" si="728"/>
        <v>14:43:48.208</v>
      </c>
      <c r="U1541" t="str">
        <f t="shared" si="730"/>
        <v>A9808D</v>
      </c>
      <c r="V1541">
        <v>0</v>
      </c>
      <c r="W1541">
        <v>0</v>
      </c>
      <c r="X1541">
        <v>1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419</v>
      </c>
      <c r="AJ1541">
        <v>28.282971</v>
      </c>
      <c r="AK1541" t="s">
        <v>420</v>
      </c>
      <c r="AL1541">
        <v>-82.369888000000003</v>
      </c>
      <c r="AM1541">
        <v>100</v>
      </c>
      <c r="AN1541">
        <v>1600</v>
      </c>
      <c r="AO1541" t="s">
        <v>118</v>
      </c>
      <c r="AP1541">
        <v>75</v>
      </c>
      <c r="AQ1541">
        <v>-58</v>
      </c>
      <c r="AR1541">
        <v>576</v>
      </c>
      <c r="AZ1541">
        <v>1200</v>
      </c>
      <c r="BA1541">
        <v>1</v>
      </c>
      <c r="BB1541" t="str">
        <f t="shared" si="709"/>
        <v xml:space="preserve">N711JA  </v>
      </c>
      <c r="BC1541">
        <v>1</v>
      </c>
      <c r="BE1541">
        <v>0</v>
      </c>
      <c r="BF1541">
        <v>0</v>
      </c>
      <c r="BG1541">
        <v>0</v>
      </c>
      <c r="BH1541">
        <v>1725</v>
      </c>
      <c r="BI1541">
        <v>1</v>
      </c>
      <c r="BJ1541">
        <v>1</v>
      </c>
      <c r="BK1541">
        <v>0</v>
      </c>
      <c r="BL1541">
        <v>0</v>
      </c>
      <c r="BO1541">
        <v>0</v>
      </c>
      <c r="BP1541">
        <v>0</v>
      </c>
      <c r="BW1541" t="str">
        <f t="shared" si="729"/>
        <v>14:43:48.510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343</v>
      </c>
      <c r="CR1541">
        <v>2</v>
      </c>
      <c r="CW1541">
        <v>13060798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726"/>
        <v>05/12/2020 14:43:30.674</v>
      </c>
      <c r="C1542" t="str">
        <f t="shared" si="708"/>
        <v>FFDFD3C0</v>
      </c>
      <c r="D1542" t="s">
        <v>126</v>
      </c>
      <c r="E1542">
        <v>6</v>
      </c>
      <c r="F1542">
        <v>1006</v>
      </c>
      <c r="G1542" t="s">
        <v>114</v>
      </c>
      <c r="J1542" t="s">
        <v>128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727"/>
        <v>14:43:48.508</v>
      </c>
      <c r="T1542" t="str">
        <f t="shared" si="728"/>
        <v>14:43:48.208</v>
      </c>
      <c r="U1542" t="str">
        <f t="shared" si="730"/>
        <v>A9808D</v>
      </c>
      <c r="V1542">
        <v>0</v>
      </c>
      <c r="W1542">
        <v>0</v>
      </c>
      <c r="X1542">
        <v>1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419</v>
      </c>
      <c r="AJ1542">
        <v>28.282971</v>
      </c>
      <c r="AK1542" t="s">
        <v>420</v>
      </c>
      <c r="AL1542">
        <v>-82.369888000000003</v>
      </c>
      <c r="AM1542">
        <v>100</v>
      </c>
      <c r="AN1542">
        <v>1600</v>
      </c>
      <c r="AO1542" t="s">
        <v>118</v>
      </c>
      <c r="AP1542">
        <v>75</v>
      </c>
      <c r="AQ1542">
        <v>-58</v>
      </c>
      <c r="AR1542">
        <v>576</v>
      </c>
      <c r="AZ1542">
        <v>1200</v>
      </c>
      <c r="BA1542">
        <v>1</v>
      </c>
      <c r="BB1542" t="str">
        <f t="shared" si="709"/>
        <v xml:space="preserve">N711JA  </v>
      </c>
      <c r="BC1542">
        <v>1</v>
      </c>
      <c r="BE1542">
        <v>0</v>
      </c>
      <c r="BF1542">
        <v>0</v>
      </c>
      <c r="BG1542">
        <v>0</v>
      </c>
      <c r="BH1542">
        <v>1725</v>
      </c>
      <c r="BI1542">
        <v>1</v>
      </c>
      <c r="BJ1542">
        <v>1</v>
      </c>
      <c r="BK1542">
        <v>0</v>
      </c>
      <c r="BL1542">
        <v>0</v>
      </c>
      <c r="BO1542">
        <v>0</v>
      </c>
      <c r="BP1542">
        <v>0</v>
      </c>
      <c r="BW1542" t="str">
        <f t="shared" si="729"/>
        <v>14:43:48.510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343</v>
      </c>
      <c r="CR1542">
        <v>2</v>
      </c>
      <c r="CW1542">
        <v>13060798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 t="shared" si="726"/>
        <v>05/12/2020 14:43:30.674</v>
      </c>
      <c r="C1543" t="str">
        <f t="shared" si="708"/>
        <v>FFDFD3C0</v>
      </c>
      <c r="D1543" t="s">
        <v>131</v>
      </c>
      <c r="E1543">
        <v>18</v>
      </c>
      <c r="F1543">
        <v>2018</v>
      </c>
      <c r="G1543" t="s">
        <v>161</v>
      </c>
      <c r="J1543" t="s">
        <v>133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727"/>
        <v>14:43:48.508</v>
      </c>
      <c r="T1543" t="str">
        <f t="shared" si="728"/>
        <v>14:43:48.208</v>
      </c>
      <c r="U1543" t="str">
        <f t="shared" si="730"/>
        <v>A9808D</v>
      </c>
      <c r="V1543">
        <v>0</v>
      </c>
      <c r="W1543">
        <v>0</v>
      </c>
      <c r="X1543">
        <v>1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419</v>
      </c>
      <c r="AJ1543">
        <v>28.282971</v>
      </c>
      <c r="AK1543" t="s">
        <v>420</v>
      </c>
      <c r="AL1543">
        <v>-82.369888000000003</v>
      </c>
      <c r="AM1543">
        <v>100</v>
      </c>
      <c r="AN1543">
        <v>1600</v>
      </c>
      <c r="AO1543" t="s">
        <v>118</v>
      </c>
      <c r="AP1543">
        <v>75</v>
      </c>
      <c r="AQ1543">
        <v>-58</v>
      </c>
      <c r="AR1543">
        <v>576</v>
      </c>
      <c r="AZ1543">
        <v>1200</v>
      </c>
      <c r="BA1543">
        <v>1</v>
      </c>
      <c r="BB1543" t="str">
        <f t="shared" si="709"/>
        <v xml:space="preserve">N711JA  </v>
      </c>
      <c r="BC1543">
        <v>1</v>
      </c>
      <c r="BE1543">
        <v>0</v>
      </c>
      <c r="BF1543">
        <v>0</v>
      </c>
      <c r="BG1543">
        <v>0</v>
      </c>
      <c r="BH1543">
        <v>1725</v>
      </c>
      <c r="BI1543">
        <v>1</v>
      </c>
      <c r="BJ1543">
        <v>1</v>
      </c>
      <c r="BK1543">
        <v>0</v>
      </c>
      <c r="BL1543">
        <v>0</v>
      </c>
      <c r="BO1543">
        <v>0</v>
      </c>
      <c r="BP1543">
        <v>0</v>
      </c>
      <c r="BW1543" t="str">
        <f t="shared" si="729"/>
        <v>14:43:48.510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343</v>
      </c>
      <c r="CR1543">
        <v>2</v>
      </c>
      <c r="CW1543">
        <v>13060798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 t="shared" ref="A1544:A1552" si="731">"05/12/2020 14:43:31.586"</f>
        <v>05/12/2020 14:43:31.586</v>
      </c>
      <c r="C1544" t="str">
        <f t="shared" si="708"/>
        <v>FFDFD3C0</v>
      </c>
      <c r="D1544" t="s">
        <v>134</v>
      </c>
      <c r="E1544">
        <v>12</v>
      </c>
      <c r="H1544">
        <v>64</v>
      </c>
      <c r="I1544" t="s">
        <v>135</v>
      </c>
      <c r="J1544" t="s">
        <v>136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ref="S1544:S1552" si="732">"14:43:49.422"</f>
        <v>14:43:49.422</v>
      </c>
      <c r="T1544" t="str">
        <f t="shared" ref="T1544:T1552" si="733">"14:43:49.222"</f>
        <v>14:43:49.222</v>
      </c>
      <c r="U1544" t="str">
        <f t="shared" si="730"/>
        <v>A9808D</v>
      </c>
      <c r="V1544">
        <v>0</v>
      </c>
      <c r="W1544">
        <v>0</v>
      </c>
      <c r="X1544">
        <v>1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421</v>
      </c>
      <c r="AJ1544">
        <v>28.282713999999999</v>
      </c>
      <c r="AK1544" t="s">
        <v>422</v>
      </c>
      <c r="AL1544">
        <v>-82.369566000000006</v>
      </c>
      <c r="AM1544">
        <v>100</v>
      </c>
      <c r="AN1544">
        <v>1600</v>
      </c>
      <c r="AO1544" t="s">
        <v>118</v>
      </c>
      <c r="AP1544">
        <v>73</v>
      </c>
      <c r="AQ1544">
        <v>-61</v>
      </c>
      <c r="AR1544">
        <v>576</v>
      </c>
      <c r="AZ1544">
        <v>1200</v>
      </c>
      <c r="BA1544">
        <v>1</v>
      </c>
      <c r="BB1544" t="str">
        <f t="shared" si="709"/>
        <v xml:space="preserve">N711JA  </v>
      </c>
      <c r="BC1544">
        <v>1</v>
      </c>
      <c r="BE1544">
        <v>0</v>
      </c>
      <c r="BF1544">
        <v>0</v>
      </c>
      <c r="BG1544">
        <v>0</v>
      </c>
      <c r="BH1544">
        <v>1725</v>
      </c>
      <c r="BI1544">
        <v>1</v>
      </c>
      <c r="BJ1544">
        <v>1</v>
      </c>
      <c r="BK1544">
        <v>0</v>
      </c>
      <c r="BL1544">
        <v>0</v>
      </c>
      <c r="BO1544">
        <v>0</v>
      </c>
      <c r="BP1544">
        <v>0</v>
      </c>
      <c r="BW1544" t="str">
        <f t="shared" ref="BW1544:BW1552" si="734">"14:43:49.428"</f>
        <v>14:43:49.428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343</v>
      </c>
      <c r="CR1544">
        <v>1</v>
      </c>
      <c r="CW1544">
        <v>10682866</v>
      </c>
      <c r="CY1544">
        <v>1</v>
      </c>
      <c r="CZ1544">
        <v>0</v>
      </c>
      <c r="DA1544">
        <v>0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 t="shared" si="731"/>
        <v>05/12/2020 14:43:31.586</v>
      </c>
      <c r="C1545" t="str">
        <f t="shared" si="708"/>
        <v>FFDFD3C0</v>
      </c>
      <c r="D1545" t="s">
        <v>131</v>
      </c>
      <c r="E1545">
        <v>10</v>
      </c>
      <c r="F1545">
        <v>2010</v>
      </c>
      <c r="G1545" t="s">
        <v>132</v>
      </c>
      <c r="J1545" t="s">
        <v>133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732"/>
        <v>14:43:49.422</v>
      </c>
      <c r="T1545" t="str">
        <f t="shared" si="733"/>
        <v>14:43:49.222</v>
      </c>
      <c r="U1545" t="str">
        <f t="shared" si="730"/>
        <v>A9808D</v>
      </c>
      <c r="V1545">
        <v>0</v>
      </c>
      <c r="W1545">
        <v>0</v>
      </c>
      <c r="X1545">
        <v>1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421</v>
      </c>
      <c r="AJ1545">
        <v>28.282713999999999</v>
      </c>
      <c r="AK1545" t="s">
        <v>422</v>
      </c>
      <c r="AL1545">
        <v>-82.369566000000006</v>
      </c>
      <c r="AM1545">
        <v>100</v>
      </c>
      <c r="AN1545">
        <v>1600</v>
      </c>
      <c r="AO1545" t="s">
        <v>118</v>
      </c>
      <c r="AP1545">
        <v>73</v>
      </c>
      <c r="AQ1545">
        <v>-61</v>
      </c>
      <c r="AR1545">
        <v>576</v>
      </c>
      <c r="AZ1545">
        <v>1200</v>
      </c>
      <c r="BA1545">
        <v>1</v>
      </c>
      <c r="BB1545" t="str">
        <f t="shared" si="709"/>
        <v xml:space="preserve">N711JA  </v>
      </c>
      <c r="BC1545">
        <v>1</v>
      </c>
      <c r="BE1545">
        <v>0</v>
      </c>
      <c r="BF1545">
        <v>0</v>
      </c>
      <c r="BG1545">
        <v>0</v>
      </c>
      <c r="BH1545">
        <v>1725</v>
      </c>
      <c r="BI1545">
        <v>1</v>
      </c>
      <c r="BJ1545">
        <v>1</v>
      </c>
      <c r="BK1545">
        <v>0</v>
      </c>
      <c r="BL1545">
        <v>0</v>
      </c>
      <c r="BO1545">
        <v>0</v>
      </c>
      <c r="BP1545">
        <v>0</v>
      </c>
      <c r="BW1545" t="str">
        <f t="shared" si="734"/>
        <v>14:43:49.428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343</v>
      </c>
      <c r="CR1545">
        <v>1</v>
      </c>
      <c r="CW1545">
        <v>10682866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 t="shared" si="731"/>
        <v>05/12/2020 14:43:31.586</v>
      </c>
      <c r="C1546" t="str">
        <f t="shared" si="708"/>
        <v>FFDFD3C0</v>
      </c>
      <c r="D1546" t="s">
        <v>138</v>
      </c>
      <c r="E1546">
        <v>2</v>
      </c>
      <c r="H1546">
        <v>8</v>
      </c>
      <c r="I1546" t="s">
        <v>139</v>
      </c>
      <c r="J1546" t="s">
        <v>136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732"/>
        <v>14:43:49.422</v>
      </c>
      <c r="T1546" t="str">
        <f t="shared" si="733"/>
        <v>14:43:49.222</v>
      </c>
      <c r="U1546" t="str">
        <f t="shared" si="730"/>
        <v>A9808D</v>
      </c>
      <c r="V1546">
        <v>0</v>
      </c>
      <c r="W1546">
        <v>0</v>
      </c>
      <c r="X1546">
        <v>1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421</v>
      </c>
      <c r="AJ1546">
        <v>28.282713999999999</v>
      </c>
      <c r="AK1546" t="s">
        <v>422</v>
      </c>
      <c r="AL1546">
        <v>-82.369566000000006</v>
      </c>
      <c r="AM1546">
        <v>100</v>
      </c>
      <c r="AN1546">
        <v>1600</v>
      </c>
      <c r="AO1546" t="s">
        <v>118</v>
      </c>
      <c r="AP1546">
        <v>73</v>
      </c>
      <c r="AQ1546">
        <v>-61</v>
      </c>
      <c r="AR1546">
        <v>576</v>
      </c>
      <c r="AZ1546">
        <v>1200</v>
      </c>
      <c r="BA1546">
        <v>1</v>
      </c>
      <c r="BB1546" t="str">
        <f t="shared" si="709"/>
        <v xml:space="preserve">N711JA  </v>
      </c>
      <c r="BC1546">
        <v>1</v>
      </c>
      <c r="BE1546">
        <v>0</v>
      </c>
      <c r="BF1546">
        <v>0</v>
      </c>
      <c r="BG1546">
        <v>0</v>
      </c>
      <c r="BH1546">
        <v>1725</v>
      </c>
      <c r="BI1546">
        <v>1</v>
      </c>
      <c r="BJ1546">
        <v>1</v>
      </c>
      <c r="BK1546">
        <v>0</v>
      </c>
      <c r="BL1546">
        <v>0</v>
      </c>
      <c r="BO1546">
        <v>0</v>
      </c>
      <c r="BP1546">
        <v>0</v>
      </c>
      <c r="BW1546" t="str">
        <f t="shared" si="734"/>
        <v>14:43:49.428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343</v>
      </c>
      <c r="CR1546">
        <v>1</v>
      </c>
      <c r="CW1546">
        <v>10682866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 t="shared" si="731"/>
        <v>05/12/2020 14:43:31.586</v>
      </c>
      <c r="C1547" t="str">
        <f t="shared" si="708"/>
        <v>FFDFD3C0</v>
      </c>
      <c r="D1547" t="s">
        <v>126</v>
      </c>
      <c r="E1547">
        <v>7</v>
      </c>
      <c r="F1547">
        <v>1007</v>
      </c>
      <c r="G1547" t="s">
        <v>127</v>
      </c>
      <c r="J1547" t="s">
        <v>128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732"/>
        <v>14:43:49.422</v>
      </c>
      <c r="T1547" t="str">
        <f t="shared" si="733"/>
        <v>14:43:49.222</v>
      </c>
      <c r="U1547" t="str">
        <f t="shared" si="730"/>
        <v>A9808D</v>
      </c>
      <c r="V1547">
        <v>0</v>
      </c>
      <c r="W1547">
        <v>0</v>
      </c>
      <c r="X1547">
        <v>1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421</v>
      </c>
      <c r="AJ1547">
        <v>28.282713999999999</v>
      </c>
      <c r="AK1547" t="s">
        <v>422</v>
      </c>
      <c r="AL1547">
        <v>-82.369566000000006</v>
      </c>
      <c r="AM1547">
        <v>100</v>
      </c>
      <c r="AN1547">
        <v>1600</v>
      </c>
      <c r="AO1547" t="s">
        <v>118</v>
      </c>
      <c r="AP1547">
        <v>73</v>
      </c>
      <c r="AQ1547">
        <v>-61</v>
      </c>
      <c r="AR1547">
        <v>576</v>
      </c>
      <c r="AZ1547">
        <v>1200</v>
      </c>
      <c r="BA1547">
        <v>1</v>
      </c>
      <c r="BB1547" t="str">
        <f t="shared" si="709"/>
        <v xml:space="preserve">N711JA  </v>
      </c>
      <c r="BC1547">
        <v>1</v>
      </c>
      <c r="BE1547">
        <v>0</v>
      </c>
      <c r="BF1547">
        <v>0</v>
      </c>
      <c r="BG1547">
        <v>0</v>
      </c>
      <c r="BH1547">
        <v>1725</v>
      </c>
      <c r="BI1547">
        <v>1</v>
      </c>
      <c r="BJ1547">
        <v>1</v>
      </c>
      <c r="BK1547">
        <v>0</v>
      </c>
      <c r="BL1547">
        <v>0</v>
      </c>
      <c r="BO1547">
        <v>0</v>
      </c>
      <c r="BP1547">
        <v>0</v>
      </c>
      <c r="BW1547" t="str">
        <f t="shared" si="734"/>
        <v>14:43:49.428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343</v>
      </c>
      <c r="CR1547">
        <v>1</v>
      </c>
      <c r="CW1547">
        <v>10682866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 t="shared" si="731"/>
        <v>05/12/2020 14:43:31.586</v>
      </c>
      <c r="C1548" t="str">
        <f t="shared" si="708"/>
        <v>FFDFD3C0</v>
      </c>
      <c r="D1548" t="s">
        <v>113</v>
      </c>
      <c r="E1548">
        <v>3</v>
      </c>
      <c r="H1548">
        <v>164</v>
      </c>
      <c r="I1548" t="s">
        <v>114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732"/>
        <v>14:43:49.422</v>
      </c>
      <c r="T1548" t="str">
        <f t="shared" si="733"/>
        <v>14:43:49.222</v>
      </c>
      <c r="U1548" t="str">
        <f t="shared" si="730"/>
        <v>A9808D</v>
      </c>
      <c r="V1548">
        <v>0</v>
      </c>
      <c r="W1548">
        <v>0</v>
      </c>
      <c r="X1548">
        <v>1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421</v>
      </c>
      <c r="AJ1548">
        <v>28.282713999999999</v>
      </c>
      <c r="AK1548" t="s">
        <v>422</v>
      </c>
      <c r="AL1548">
        <v>-82.369566000000006</v>
      </c>
      <c r="AM1548">
        <v>100</v>
      </c>
      <c r="AN1548">
        <v>1600</v>
      </c>
      <c r="AO1548" t="s">
        <v>118</v>
      </c>
      <c r="AP1548">
        <v>73</v>
      </c>
      <c r="AQ1548">
        <v>-61</v>
      </c>
      <c r="AR1548">
        <v>576</v>
      </c>
      <c r="AZ1548">
        <v>1200</v>
      </c>
      <c r="BA1548">
        <v>1</v>
      </c>
      <c r="BB1548" t="str">
        <f t="shared" si="709"/>
        <v xml:space="preserve">N711JA  </v>
      </c>
      <c r="BC1548">
        <v>1</v>
      </c>
      <c r="BE1548">
        <v>0</v>
      </c>
      <c r="BF1548">
        <v>0</v>
      </c>
      <c r="BG1548">
        <v>0</v>
      </c>
      <c r="BH1548">
        <v>1725</v>
      </c>
      <c r="BI1548">
        <v>1</v>
      </c>
      <c r="BJ1548">
        <v>1</v>
      </c>
      <c r="BK1548">
        <v>0</v>
      </c>
      <c r="BL1548">
        <v>0</v>
      </c>
      <c r="BO1548">
        <v>0</v>
      </c>
      <c r="BP1548">
        <v>0</v>
      </c>
      <c r="BW1548" t="str">
        <f t="shared" si="734"/>
        <v>14:43:49.428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343</v>
      </c>
      <c r="CR1548">
        <v>1</v>
      </c>
      <c r="CW1548">
        <v>10682866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 t="shared" si="731"/>
        <v>05/12/2020 14:43:31.586</v>
      </c>
      <c r="C1549" t="str">
        <f t="shared" si="708"/>
        <v>FFDFD3C0</v>
      </c>
      <c r="D1549" t="s">
        <v>138</v>
      </c>
      <c r="E1549">
        <v>3</v>
      </c>
      <c r="H1549">
        <v>9</v>
      </c>
      <c r="I1549" t="s">
        <v>140</v>
      </c>
      <c r="J1549" t="s">
        <v>136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732"/>
        <v>14:43:49.422</v>
      </c>
      <c r="T1549" t="str">
        <f t="shared" si="733"/>
        <v>14:43:49.222</v>
      </c>
      <c r="U1549" t="str">
        <f t="shared" si="730"/>
        <v>A9808D</v>
      </c>
      <c r="V1549">
        <v>0</v>
      </c>
      <c r="W1549">
        <v>0</v>
      </c>
      <c r="X1549">
        <v>1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421</v>
      </c>
      <c r="AJ1549">
        <v>28.282713999999999</v>
      </c>
      <c r="AK1549" t="s">
        <v>422</v>
      </c>
      <c r="AL1549">
        <v>-82.369566000000006</v>
      </c>
      <c r="AM1549">
        <v>100</v>
      </c>
      <c r="AN1549">
        <v>1600</v>
      </c>
      <c r="AO1549" t="s">
        <v>118</v>
      </c>
      <c r="AP1549">
        <v>73</v>
      </c>
      <c r="AQ1549">
        <v>-61</v>
      </c>
      <c r="AR1549">
        <v>576</v>
      </c>
      <c r="AZ1549">
        <v>1200</v>
      </c>
      <c r="BA1549">
        <v>1</v>
      </c>
      <c r="BB1549" t="str">
        <f t="shared" si="709"/>
        <v xml:space="preserve">N711JA  </v>
      </c>
      <c r="BC1549">
        <v>1</v>
      </c>
      <c r="BE1549">
        <v>0</v>
      </c>
      <c r="BF1549">
        <v>0</v>
      </c>
      <c r="BG1549">
        <v>0</v>
      </c>
      <c r="BH1549">
        <v>1725</v>
      </c>
      <c r="BI1549">
        <v>1</v>
      </c>
      <c r="BJ1549">
        <v>1</v>
      </c>
      <c r="BK1549">
        <v>0</v>
      </c>
      <c r="BL1549">
        <v>0</v>
      </c>
      <c r="BO1549">
        <v>0</v>
      </c>
      <c r="BP1549">
        <v>0</v>
      </c>
      <c r="BW1549" t="str">
        <f t="shared" si="734"/>
        <v>14:43:49.428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343</v>
      </c>
      <c r="CR1549">
        <v>1</v>
      </c>
      <c r="CW1549">
        <v>10682866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 t="shared" si="731"/>
        <v>05/12/2020 14:43:31.586</v>
      </c>
      <c r="C1550" t="str">
        <f t="shared" si="708"/>
        <v>FFDFD3C0</v>
      </c>
      <c r="D1550" t="s">
        <v>131</v>
      </c>
      <c r="E1550">
        <v>12</v>
      </c>
      <c r="F1550">
        <v>2012</v>
      </c>
      <c r="G1550" t="s">
        <v>137</v>
      </c>
      <c r="J1550" t="s">
        <v>133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732"/>
        <v>14:43:49.422</v>
      </c>
      <c r="T1550" t="str">
        <f t="shared" si="733"/>
        <v>14:43:49.222</v>
      </c>
      <c r="U1550" t="str">
        <f t="shared" si="730"/>
        <v>A9808D</v>
      </c>
      <c r="V1550">
        <v>0</v>
      </c>
      <c r="W1550">
        <v>0</v>
      </c>
      <c r="X1550">
        <v>1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421</v>
      </c>
      <c r="AJ1550">
        <v>28.282713999999999</v>
      </c>
      <c r="AK1550" t="s">
        <v>422</v>
      </c>
      <c r="AL1550">
        <v>-82.369566000000006</v>
      </c>
      <c r="AM1550">
        <v>100</v>
      </c>
      <c r="AN1550">
        <v>1600</v>
      </c>
      <c r="AO1550" t="s">
        <v>118</v>
      </c>
      <c r="AP1550">
        <v>73</v>
      </c>
      <c r="AQ1550">
        <v>-61</v>
      </c>
      <c r="AR1550">
        <v>576</v>
      </c>
      <c r="AZ1550">
        <v>1200</v>
      </c>
      <c r="BA1550">
        <v>1</v>
      </c>
      <c r="BB1550" t="str">
        <f t="shared" si="709"/>
        <v xml:space="preserve">N711JA  </v>
      </c>
      <c r="BC1550">
        <v>1</v>
      </c>
      <c r="BE1550">
        <v>0</v>
      </c>
      <c r="BF1550">
        <v>0</v>
      </c>
      <c r="BG1550">
        <v>0</v>
      </c>
      <c r="BH1550">
        <v>1725</v>
      </c>
      <c r="BI1550">
        <v>1</v>
      </c>
      <c r="BJ1550">
        <v>1</v>
      </c>
      <c r="BK1550">
        <v>0</v>
      </c>
      <c r="BL1550">
        <v>0</v>
      </c>
      <c r="BO1550">
        <v>0</v>
      </c>
      <c r="BP1550">
        <v>0</v>
      </c>
      <c r="BW1550" t="str">
        <f t="shared" si="734"/>
        <v>14:43:49.428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343</v>
      </c>
      <c r="CR1550">
        <v>1</v>
      </c>
      <c r="CW1550">
        <v>10682866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 t="shared" si="731"/>
        <v>05/12/2020 14:43:31.586</v>
      </c>
      <c r="C1551" t="str">
        <f t="shared" si="708"/>
        <v>FFDFD3C0</v>
      </c>
      <c r="D1551" t="s">
        <v>131</v>
      </c>
      <c r="E1551">
        <v>18</v>
      </c>
      <c r="F1551">
        <v>2018</v>
      </c>
      <c r="G1551" t="s">
        <v>161</v>
      </c>
      <c r="J1551" t="s">
        <v>133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732"/>
        <v>14:43:49.422</v>
      </c>
      <c r="T1551" t="str">
        <f t="shared" si="733"/>
        <v>14:43:49.222</v>
      </c>
      <c r="U1551" t="str">
        <f t="shared" si="730"/>
        <v>A9808D</v>
      </c>
      <c r="V1551">
        <v>0</v>
      </c>
      <c r="W1551">
        <v>0</v>
      </c>
      <c r="X1551">
        <v>1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421</v>
      </c>
      <c r="AJ1551">
        <v>28.282713999999999</v>
      </c>
      <c r="AK1551" t="s">
        <v>422</v>
      </c>
      <c r="AL1551">
        <v>-82.369566000000006</v>
      </c>
      <c r="AM1551">
        <v>100</v>
      </c>
      <c r="AN1551">
        <v>1600</v>
      </c>
      <c r="AO1551" t="s">
        <v>118</v>
      </c>
      <c r="AP1551">
        <v>73</v>
      </c>
      <c r="AQ1551">
        <v>-61</v>
      </c>
      <c r="AR1551">
        <v>576</v>
      </c>
      <c r="AZ1551">
        <v>1200</v>
      </c>
      <c r="BA1551">
        <v>1</v>
      </c>
      <c r="BB1551" t="str">
        <f t="shared" si="709"/>
        <v xml:space="preserve">N711JA  </v>
      </c>
      <c r="BC1551">
        <v>1</v>
      </c>
      <c r="BE1551">
        <v>0</v>
      </c>
      <c r="BF1551">
        <v>0</v>
      </c>
      <c r="BG1551">
        <v>0</v>
      </c>
      <c r="BH1551">
        <v>1725</v>
      </c>
      <c r="BI1551">
        <v>1</v>
      </c>
      <c r="BJ1551">
        <v>1</v>
      </c>
      <c r="BK1551">
        <v>0</v>
      </c>
      <c r="BL1551">
        <v>0</v>
      </c>
      <c r="BO1551">
        <v>0</v>
      </c>
      <c r="BP1551">
        <v>0</v>
      </c>
      <c r="BW1551" t="str">
        <f t="shared" si="734"/>
        <v>14:43:49.428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343</v>
      </c>
      <c r="CR1551">
        <v>1</v>
      </c>
      <c r="CW1551">
        <v>10682866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 t="shared" si="731"/>
        <v>05/12/2020 14:43:31.586</v>
      </c>
      <c r="C1552" t="str">
        <f t="shared" si="708"/>
        <v>FFDFD3C0</v>
      </c>
      <c r="D1552" t="s">
        <v>126</v>
      </c>
      <c r="E1552">
        <v>6</v>
      </c>
      <c r="F1552">
        <v>1006</v>
      </c>
      <c r="G1552" t="s">
        <v>114</v>
      </c>
      <c r="J1552" t="s">
        <v>128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732"/>
        <v>14:43:49.422</v>
      </c>
      <c r="T1552" t="str">
        <f t="shared" si="733"/>
        <v>14:43:49.222</v>
      </c>
      <c r="U1552" t="str">
        <f t="shared" si="730"/>
        <v>A9808D</v>
      </c>
      <c r="V1552">
        <v>0</v>
      </c>
      <c r="W1552">
        <v>0</v>
      </c>
      <c r="X1552">
        <v>1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421</v>
      </c>
      <c r="AJ1552">
        <v>28.282713999999999</v>
      </c>
      <c r="AK1552" t="s">
        <v>422</v>
      </c>
      <c r="AL1552">
        <v>-82.369566000000006</v>
      </c>
      <c r="AM1552">
        <v>100</v>
      </c>
      <c r="AN1552">
        <v>1600</v>
      </c>
      <c r="AO1552" t="s">
        <v>118</v>
      </c>
      <c r="AP1552">
        <v>73</v>
      </c>
      <c r="AQ1552">
        <v>-61</v>
      </c>
      <c r="AR1552">
        <v>576</v>
      </c>
      <c r="AZ1552">
        <v>1200</v>
      </c>
      <c r="BA1552">
        <v>1</v>
      </c>
      <c r="BB1552" t="str">
        <f t="shared" si="709"/>
        <v xml:space="preserve">N711JA  </v>
      </c>
      <c r="BC1552">
        <v>1</v>
      </c>
      <c r="BE1552">
        <v>0</v>
      </c>
      <c r="BF1552">
        <v>0</v>
      </c>
      <c r="BG1552">
        <v>0</v>
      </c>
      <c r="BH1552">
        <v>1725</v>
      </c>
      <c r="BI1552">
        <v>1</v>
      </c>
      <c r="BJ1552">
        <v>1</v>
      </c>
      <c r="BK1552">
        <v>0</v>
      </c>
      <c r="BL1552">
        <v>0</v>
      </c>
      <c r="BO1552">
        <v>0</v>
      </c>
      <c r="BP1552">
        <v>0</v>
      </c>
      <c r="BW1552" t="str">
        <f t="shared" si="734"/>
        <v>14:43:49.428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343</v>
      </c>
      <c r="CR1552">
        <v>1</v>
      </c>
      <c r="CW1552">
        <v>10682866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 t="shared" ref="A1553:A1561" si="735">"05/12/2020 14:43:32.495"</f>
        <v>05/12/2020 14:43:32.495</v>
      </c>
      <c r="C1553" t="str">
        <f t="shared" si="708"/>
        <v>FFDFD3C0</v>
      </c>
      <c r="D1553" t="s">
        <v>134</v>
      </c>
      <c r="E1553">
        <v>12</v>
      </c>
      <c r="H1553">
        <v>64</v>
      </c>
      <c r="I1553" t="s">
        <v>135</v>
      </c>
      <c r="J1553" t="s">
        <v>136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ref="S1553:T1561" si="736">"14:43:50.297"</f>
        <v>14:43:50.297</v>
      </c>
      <c r="T1553" t="str">
        <f t="shared" si="736"/>
        <v>14:43:50.297</v>
      </c>
      <c r="U1553" t="str">
        <f t="shared" si="730"/>
        <v>A9808D</v>
      </c>
      <c r="V1553">
        <v>0</v>
      </c>
      <c r="W1553">
        <v>0</v>
      </c>
      <c r="X1553">
        <v>1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423</v>
      </c>
      <c r="AJ1553">
        <v>28.282478000000001</v>
      </c>
      <c r="AK1553" t="s">
        <v>424</v>
      </c>
      <c r="AL1553">
        <v>-82.369265999999996</v>
      </c>
      <c r="AM1553">
        <v>100</v>
      </c>
      <c r="AN1553">
        <v>1700</v>
      </c>
      <c r="AO1553" t="s">
        <v>118</v>
      </c>
      <c r="AP1553">
        <v>71</v>
      </c>
      <c r="AQ1553">
        <v>-63</v>
      </c>
      <c r="AR1553">
        <v>512</v>
      </c>
      <c r="AZ1553">
        <v>1200</v>
      </c>
      <c r="BA1553">
        <v>1</v>
      </c>
      <c r="BB1553" t="str">
        <f t="shared" si="709"/>
        <v xml:space="preserve">N711JA  </v>
      </c>
      <c r="BC1553">
        <v>1</v>
      </c>
      <c r="BE1553">
        <v>0</v>
      </c>
      <c r="BF1553">
        <v>0</v>
      </c>
      <c r="BG1553">
        <v>0</v>
      </c>
      <c r="BH1553">
        <v>1750</v>
      </c>
      <c r="BI1553">
        <v>1</v>
      </c>
      <c r="BJ1553">
        <v>1</v>
      </c>
      <c r="BK1553">
        <v>0</v>
      </c>
      <c r="BL1553">
        <v>0</v>
      </c>
      <c r="BO1553">
        <v>0</v>
      </c>
      <c r="BP1553">
        <v>0</v>
      </c>
      <c r="BW1553" t="str">
        <f t="shared" ref="BW1553:BW1561" si="737">"14:43:50.304"</f>
        <v>14:43:50.304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343</v>
      </c>
      <c r="CR1553">
        <v>1</v>
      </c>
      <c r="CW1553">
        <v>10683774</v>
      </c>
      <c r="CY1553">
        <v>1</v>
      </c>
      <c r="CZ1553">
        <v>0</v>
      </c>
      <c r="DA1553">
        <v>0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 t="shared" si="735"/>
        <v>05/12/2020 14:43:32.495</v>
      </c>
      <c r="C1554" t="str">
        <f t="shared" si="708"/>
        <v>FFDFD3C0</v>
      </c>
      <c r="D1554" t="s">
        <v>131</v>
      </c>
      <c r="E1554">
        <v>10</v>
      </c>
      <c r="F1554">
        <v>2010</v>
      </c>
      <c r="G1554" t="s">
        <v>132</v>
      </c>
      <c r="J1554" t="s">
        <v>133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736"/>
        <v>14:43:50.297</v>
      </c>
      <c r="T1554" t="str">
        <f t="shared" si="736"/>
        <v>14:43:50.297</v>
      </c>
      <c r="U1554" t="str">
        <f t="shared" si="730"/>
        <v>A9808D</v>
      </c>
      <c r="V1554">
        <v>0</v>
      </c>
      <c r="W1554">
        <v>0</v>
      </c>
      <c r="X1554">
        <v>1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423</v>
      </c>
      <c r="AJ1554">
        <v>28.282478000000001</v>
      </c>
      <c r="AK1554" t="s">
        <v>424</v>
      </c>
      <c r="AL1554">
        <v>-82.369265999999996</v>
      </c>
      <c r="AM1554">
        <v>100</v>
      </c>
      <c r="AN1554">
        <v>1700</v>
      </c>
      <c r="AO1554" t="s">
        <v>118</v>
      </c>
      <c r="AP1554">
        <v>71</v>
      </c>
      <c r="AQ1554">
        <v>-63</v>
      </c>
      <c r="AR1554">
        <v>512</v>
      </c>
      <c r="AZ1554">
        <v>1200</v>
      </c>
      <c r="BA1554">
        <v>1</v>
      </c>
      <c r="BB1554" t="str">
        <f t="shared" si="709"/>
        <v xml:space="preserve">N711JA  </v>
      </c>
      <c r="BC1554">
        <v>1</v>
      </c>
      <c r="BE1554">
        <v>0</v>
      </c>
      <c r="BF1554">
        <v>0</v>
      </c>
      <c r="BG1554">
        <v>0</v>
      </c>
      <c r="BH1554">
        <v>1750</v>
      </c>
      <c r="BI1554">
        <v>1</v>
      </c>
      <c r="BJ1554">
        <v>1</v>
      </c>
      <c r="BK1554">
        <v>0</v>
      </c>
      <c r="BL1554">
        <v>0</v>
      </c>
      <c r="BO1554">
        <v>0</v>
      </c>
      <c r="BP1554">
        <v>0</v>
      </c>
      <c r="BW1554" t="str">
        <f t="shared" si="737"/>
        <v>14:43:50.304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343</v>
      </c>
      <c r="CR1554">
        <v>1</v>
      </c>
      <c r="CW1554">
        <v>10683774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 t="shared" si="735"/>
        <v>05/12/2020 14:43:32.495</v>
      </c>
      <c r="C1555" t="str">
        <f t="shared" si="708"/>
        <v>FFDFD3C0</v>
      </c>
      <c r="D1555" t="s">
        <v>126</v>
      </c>
      <c r="E1555">
        <v>7</v>
      </c>
      <c r="F1555">
        <v>1007</v>
      </c>
      <c r="G1555" t="s">
        <v>127</v>
      </c>
      <c r="J1555" t="s">
        <v>128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736"/>
        <v>14:43:50.297</v>
      </c>
      <c r="T1555" t="str">
        <f t="shared" si="736"/>
        <v>14:43:50.297</v>
      </c>
      <c r="U1555" t="str">
        <f t="shared" si="730"/>
        <v>A9808D</v>
      </c>
      <c r="V1555">
        <v>0</v>
      </c>
      <c r="W1555">
        <v>0</v>
      </c>
      <c r="X1555">
        <v>1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423</v>
      </c>
      <c r="AJ1555">
        <v>28.282478000000001</v>
      </c>
      <c r="AK1555" t="s">
        <v>424</v>
      </c>
      <c r="AL1555">
        <v>-82.369265999999996</v>
      </c>
      <c r="AM1555">
        <v>100</v>
      </c>
      <c r="AN1555">
        <v>1700</v>
      </c>
      <c r="AO1555" t="s">
        <v>118</v>
      </c>
      <c r="AP1555">
        <v>71</v>
      </c>
      <c r="AQ1555">
        <v>-63</v>
      </c>
      <c r="AR1555">
        <v>512</v>
      </c>
      <c r="AZ1555">
        <v>1200</v>
      </c>
      <c r="BA1555">
        <v>1</v>
      </c>
      <c r="BB1555" t="str">
        <f t="shared" si="709"/>
        <v xml:space="preserve">N711JA  </v>
      </c>
      <c r="BC1555">
        <v>1</v>
      </c>
      <c r="BE1555">
        <v>0</v>
      </c>
      <c r="BF1555">
        <v>0</v>
      </c>
      <c r="BG1555">
        <v>0</v>
      </c>
      <c r="BH1555">
        <v>1750</v>
      </c>
      <c r="BI1555">
        <v>1</v>
      </c>
      <c r="BJ1555">
        <v>1</v>
      </c>
      <c r="BK1555">
        <v>0</v>
      </c>
      <c r="BL1555">
        <v>0</v>
      </c>
      <c r="BO1555">
        <v>0</v>
      </c>
      <c r="BP1555">
        <v>0</v>
      </c>
      <c r="BW1555" t="str">
        <f t="shared" si="737"/>
        <v>14:43:50.304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343</v>
      </c>
      <c r="CR1555">
        <v>1</v>
      </c>
      <c r="CW1555">
        <v>10683774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 t="shared" si="735"/>
        <v>05/12/2020 14:43:32.495</v>
      </c>
      <c r="C1556" t="str">
        <f t="shared" si="708"/>
        <v>FFDFD3C0</v>
      </c>
      <c r="D1556" t="s">
        <v>113</v>
      </c>
      <c r="E1556">
        <v>3</v>
      </c>
      <c r="H1556">
        <v>164</v>
      </c>
      <c r="I1556" t="s">
        <v>114</v>
      </c>
      <c r="J1556" t="s">
        <v>115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736"/>
        <v>14:43:50.297</v>
      </c>
      <c r="T1556" t="str">
        <f t="shared" si="736"/>
        <v>14:43:50.297</v>
      </c>
      <c r="U1556" t="str">
        <f t="shared" si="730"/>
        <v>A9808D</v>
      </c>
      <c r="V1556">
        <v>0</v>
      </c>
      <c r="W1556">
        <v>0</v>
      </c>
      <c r="X1556">
        <v>1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423</v>
      </c>
      <c r="AJ1556">
        <v>28.282478000000001</v>
      </c>
      <c r="AK1556" t="s">
        <v>424</v>
      </c>
      <c r="AL1556">
        <v>-82.369265999999996</v>
      </c>
      <c r="AM1556">
        <v>100</v>
      </c>
      <c r="AN1556">
        <v>1700</v>
      </c>
      <c r="AO1556" t="s">
        <v>118</v>
      </c>
      <c r="AP1556">
        <v>71</v>
      </c>
      <c r="AQ1556">
        <v>-63</v>
      </c>
      <c r="AR1556">
        <v>512</v>
      </c>
      <c r="AZ1556">
        <v>1200</v>
      </c>
      <c r="BA1556">
        <v>1</v>
      </c>
      <c r="BB1556" t="str">
        <f t="shared" si="709"/>
        <v xml:space="preserve">N711JA  </v>
      </c>
      <c r="BC1556">
        <v>1</v>
      </c>
      <c r="BE1556">
        <v>0</v>
      </c>
      <c r="BF1556">
        <v>0</v>
      </c>
      <c r="BG1556">
        <v>0</v>
      </c>
      <c r="BH1556">
        <v>1750</v>
      </c>
      <c r="BI1556">
        <v>1</v>
      </c>
      <c r="BJ1556">
        <v>1</v>
      </c>
      <c r="BK1556">
        <v>0</v>
      </c>
      <c r="BL1556">
        <v>0</v>
      </c>
      <c r="BO1556">
        <v>0</v>
      </c>
      <c r="BP1556">
        <v>0</v>
      </c>
      <c r="BW1556" t="str">
        <f t="shared" si="737"/>
        <v>14:43:50.304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343</v>
      </c>
      <c r="CR1556">
        <v>1</v>
      </c>
      <c r="CW1556">
        <v>10683774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 t="shared" si="735"/>
        <v>05/12/2020 14:43:32.495</v>
      </c>
      <c r="C1557" t="str">
        <f t="shared" si="708"/>
        <v>FFDFD3C0</v>
      </c>
      <c r="D1557" t="s">
        <v>131</v>
      </c>
      <c r="E1557">
        <v>12</v>
      </c>
      <c r="F1557">
        <v>2012</v>
      </c>
      <c r="G1557" t="s">
        <v>137</v>
      </c>
      <c r="J1557" t="s">
        <v>133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736"/>
        <v>14:43:50.297</v>
      </c>
      <c r="T1557" t="str">
        <f t="shared" si="736"/>
        <v>14:43:50.297</v>
      </c>
      <c r="U1557" t="str">
        <f t="shared" si="730"/>
        <v>A9808D</v>
      </c>
      <c r="V1557">
        <v>0</v>
      </c>
      <c r="W1557">
        <v>0</v>
      </c>
      <c r="X1557">
        <v>1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423</v>
      </c>
      <c r="AJ1557">
        <v>28.282478000000001</v>
      </c>
      <c r="AK1557" t="s">
        <v>424</v>
      </c>
      <c r="AL1557">
        <v>-82.369265999999996</v>
      </c>
      <c r="AM1557">
        <v>100</v>
      </c>
      <c r="AN1557">
        <v>1700</v>
      </c>
      <c r="AO1557" t="s">
        <v>118</v>
      </c>
      <c r="AP1557">
        <v>71</v>
      </c>
      <c r="AQ1557">
        <v>-63</v>
      </c>
      <c r="AR1557">
        <v>512</v>
      </c>
      <c r="AZ1557">
        <v>1200</v>
      </c>
      <c r="BA1557">
        <v>1</v>
      </c>
      <c r="BB1557" t="str">
        <f t="shared" si="709"/>
        <v xml:space="preserve">N711JA  </v>
      </c>
      <c r="BC1557">
        <v>1</v>
      </c>
      <c r="BE1557">
        <v>0</v>
      </c>
      <c r="BF1557">
        <v>0</v>
      </c>
      <c r="BG1557">
        <v>0</v>
      </c>
      <c r="BH1557">
        <v>1750</v>
      </c>
      <c r="BI1557">
        <v>1</v>
      </c>
      <c r="BJ1557">
        <v>1</v>
      </c>
      <c r="BK1557">
        <v>0</v>
      </c>
      <c r="BL1557">
        <v>0</v>
      </c>
      <c r="BO1557">
        <v>0</v>
      </c>
      <c r="BP1557">
        <v>0</v>
      </c>
      <c r="BW1557" t="str">
        <f t="shared" si="737"/>
        <v>14:43:50.304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343</v>
      </c>
      <c r="CR1557">
        <v>1</v>
      </c>
      <c r="CW1557">
        <v>10683774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 t="shared" si="735"/>
        <v>05/12/2020 14:43:32.495</v>
      </c>
      <c r="C1558" t="str">
        <f t="shared" ref="C1558:C1621" si="738">"FFDFD3C0"</f>
        <v>FFDFD3C0</v>
      </c>
      <c r="D1558" t="s">
        <v>138</v>
      </c>
      <c r="E1558">
        <v>2</v>
      </c>
      <c r="H1558">
        <v>8</v>
      </c>
      <c r="I1558" t="s">
        <v>139</v>
      </c>
      <c r="J1558" t="s">
        <v>136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736"/>
        <v>14:43:50.297</v>
      </c>
      <c r="T1558" t="str">
        <f t="shared" si="736"/>
        <v>14:43:50.297</v>
      </c>
      <c r="U1558" t="str">
        <f t="shared" si="730"/>
        <v>A9808D</v>
      </c>
      <c r="V1558">
        <v>0</v>
      </c>
      <c r="W1558">
        <v>0</v>
      </c>
      <c r="X1558">
        <v>1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423</v>
      </c>
      <c r="AJ1558">
        <v>28.282478000000001</v>
      </c>
      <c r="AK1558" t="s">
        <v>424</v>
      </c>
      <c r="AL1558">
        <v>-82.369265999999996</v>
      </c>
      <c r="AM1558">
        <v>100</v>
      </c>
      <c r="AN1558">
        <v>1700</v>
      </c>
      <c r="AO1558" t="s">
        <v>118</v>
      </c>
      <c r="AP1558">
        <v>71</v>
      </c>
      <c r="AQ1558">
        <v>-63</v>
      </c>
      <c r="AR1558">
        <v>512</v>
      </c>
      <c r="AZ1558">
        <v>1200</v>
      </c>
      <c r="BA1558">
        <v>1</v>
      </c>
      <c r="BB1558" t="str">
        <f t="shared" ref="BB1558:BB1621" si="739">"N711JA  "</f>
        <v xml:space="preserve">N711JA  </v>
      </c>
      <c r="BC1558">
        <v>1</v>
      </c>
      <c r="BE1558">
        <v>0</v>
      </c>
      <c r="BF1558">
        <v>0</v>
      </c>
      <c r="BG1558">
        <v>0</v>
      </c>
      <c r="BH1558">
        <v>1750</v>
      </c>
      <c r="BI1558">
        <v>1</v>
      </c>
      <c r="BJ1558">
        <v>1</v>
      </c>
      <c r="BK1558">
        <v>0</v>
      </c>
      <c r="BL1558">
        <v>0</v>
      </c>
      <c r="BO1558">
        <v>0</v>
      </c>
      <c r="BP1558">
        <v>0</v>
      </c>
      <c r="BW1558" t="str">
        <f t="shared" si="737"/>
        <v>14:43:50.304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343</v>
      </c>
      <c r="CR1558">
        <v>1</v>
      </c>
      <c r="CW1558">
        <v>10683774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 t="shared" si="735"/>
        <v>05/12/2020 14:43:32.495</v>
      </c>
      <c r="C1559" t="str">
        <f t="shared" si="738"/>
        <v>FFDFD3C0</v>
      </c>
      <c r="D1559" t="s">
        <v>126</v>
      </c>
      <c r="E1559">
        <v>6</v>
      </c>
      <c r="F1559">
        <v>1006</v>
      </c>
      <c r="G1559" t="s">
        <v>114</v>
      </c>
      <c r="J1559" t="s">
        <v>128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736"/>
        <v>14:43:50.297</v>
      </c>
      <c r="T1559" t="str">
        <f t="shared" si="736"/>
        <v>14:43:50.297</v>
      </c>
      <c r="U1559" t="str">
        <f t="shared" si="730"/>
        <v>A9808D</v>
      </c>
      <c r="V1559">
        <v>0</v>
      </c>
      <c r="W1559">
        <v>0</v>
      </c>
      <c r="X1559">
        <v>1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423</v>
      </c>
      <c r="AJ1559">
        <v>28.282478000000001</v>
      </c>
      <c r="AK1559" t="s">
        <v>424</v>
      </c>
      <c r="AL1559">
        <v>-82.369265999999996</v>
      </c>
      <c r="AM1559">
        <v>100</v>
      </c>
      <c r="AN1559">
        <v>1700</v>
      </c>
      <c r="AO1559" t="s">
        <v>118</v>
      </c>
      <c r="AP1559">
        <v>71</v>
      </c>
      <c r="AQ1559">
        <v>-63</v>
      </c>
      <c r="AR1559">
        <v>512</v>
      </c>
      <c r="AZ1559">
        <v>1200</v>
      </c>
      <c r="BA1559">
        <v>1</v>
      </c>
      <c r="BB1559" t="str">
        <f t="shared" si="739"/>
        <v xml:space="preserve">N711JA  </v>
      </c>
      <c r="BC1559">
        <v>1</v>
      </c>
      <c r="BE1559">
        <v>0</v>
      </c>
      <c r="BF1559">
        <v>0</v>
      </c>
      <c r="BG1559">
        <v>0</v>
      </c>
      <c r="BH1559">
        <v>1750</v>
      </c>
      <c r="BI1559">
        <v>1</v>
      </c>
      <c r="BJ1559">
        <v>1</v>
      </c>
      <c r="BK1559">
        <v>0</v>
      </c>
      <c r="BL1559">
        <v>0</v>
      </c>
      <c r="BO1559">
        <v>0</v>
      </c>
      <c r="BP1559">
        <v>0</v>
      </c>
      <c r="BW1559" t="str">
        <f t="shared" si="737"/>
        <v>14:43:50.304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343</v>
      </c>
      <c r="CR1559">
        <v>1</v>
      </c>
      <c r="CW1559">
        <v>10683774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 t="shared" si="735"/>
        <v>05/12/2020 14:43:32.495</v>
      </c>
      <c r="C1560" t="str">
        <f t="shared" si="738"/>
        <v>FFDFD3C0</v>
      </c>
      <c r="D1560" t="s">
        <v>138</v>
      </c>
      <c r="E1560">
        <v>3</v>
      </c>
      <c r="H1560">
        <v>9</v>
      </c>
      <c r="I1560" t="s">
        <v>140</v>
      </c>
      <c r="J1560" t="s">
        <v>136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736"/>
        <v>14:43:50.297</v>
      </c>
      <c r="T1560" t="str">
        <f t="shared" si="736"/>
        <v>14:43:50.297</v>
      </c>
      <c r="U1560" t="str">
        <f t="shared" si="730"/>
        <v>A9808D</v>
      </c>
      <c r="V1560">
        <v>0</v>
      </c>
      <c r="W1560">
        <v>0</v>
      </c>
      <c r="X1560">
        <v>1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423</v>
      </c>
      <c r="AJ1560">
        <v>28.282478000000001</v>
      </c>
      <c r="AK1560" t="s">
        <v>424</v>
      </c>
      <c r="AL1560">
        <v>-82.369265999999996</v>
      </c>
      <c r="AM1560">
        <v>100</v>
      </c>
      <c r="AN1560">
        <v>1700</v>
      </c>
      <c r="AO1560" t="s">
        <v>118</v>
      </c>
      <c r="AP1560">
        <v>71</v>
      </c>
      <c r="AQ1560">
        <v>-63</v>
      </c>
      <c r="AR1560">
        <v>512</v>
      </c>
      <c r="AZ1560">
        <v>1200</v>
      </c>
      <c r="BA1560">
        <v>1</v>
      </c>
      <c r="BB1560" t="str">
        <f t="shared" si="739"/>
        <v xml:space="preserve">N711JA  </v>
      </c>
      <c r="BC1560">
        <v>1</v>
      </c>
      <c r="BE1560">
        <v>0</v>
      </c>
      <c r="BF1560">
        <v>0</v>
      </c>
      <c r="BG1560">
        <v>0</v>
      </c>
      <c r="BH1560">
        <v>1750</v>
      </c>
      <c r="BI1560">
        <v>1</v>
      </c>
      <c r="BJ1560">
        <v>1</v>
      </c>
      <c r="BK1560">
        <v>0</v>
      </c>
      <c r="BL1560">
        <v>0</v>
      </c>
      <c r="BO1560">
        <v>0</v>
      </c>
      <c r="BP1560">
        <v>0</v>
      </c>
      <c r="BW1560" t="str">
        <f t="shared" si="737"/>
        <v>14:43:50.304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343</v>
      </c>
      <c r="CR1560">
        <v>1</v>
      </c>
      <c r="CW1560">
        <v>10683774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 t="shared" si="735"/>
        <v>05/12/2020 14:43:32.495</v>
      </c>
      <c r="C1561" t="str">
        <f t="shared" si="738"/>
        <v>FFDFD3C0</v>
      </c>
      <c r="D1561" t="s">
        <v>131</v>
      </c>
      <c r="E1561">
        <v>18</v>
      </c>
      <c r="F1561">
        <v>2018</v>
      </c>
      <c r="G1561" t="s">
        <v>161</v>
      </c>
      <c r="J1561" t="s">
        <v>133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736"/>
        <v>14:43:50.297</v>
      </c>
      <c r="T1561" t="str">
        <f t="shared" si="736"/>
        <v>14:43:50.297</v>
      </c>
      <c r="U1561" t="str">
        <f t="shared" si="730"/>
        <v>A9808D</v>
      </c>
      <c r="V1561">
        <v>0</v>
      </c>
      <c r="W1561">
        <v>0</v>
      </c>
      <c r="X1561">
        <v>1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423</v>
      </c>
      <c r="AJ1561">
        <v>28.282478000000001</v>
      </c>
      <c r="AK1561" t="s">
        <v>424</v>
      </c>
      <c r="AL1561">
        <v>-82.369265999999996</v>
      </c>
      <c r="AM1561">
        <v>100</v>
      </c>
      <c r="AN1561">
        <v>1700</v>
      </c>
      <c r="AO1561" t="s">
        <v>118</v>
      </c>
      <c r="AP1561">
        <v>71</v>
      </c>
      <c r="AQ1561">
        <v>-63</v>
      </c>
      <c r="AR1561">
        <v>512</v>
      </c>
      <c r="AZ1561">
        <v>1200</v>
      </c>
      <c r="BA1561">
        <v>1</v>
      </c>
      <c r="BB1561" t="str">
        <f t="shared" si="739"/>
        <v xml:space="preserve">N711JA  </v>
      </c>
      <c r="BC1561">
        <v>1</v>
      </c>
      <c r="BE1561">
        <v>0</v>
      </c>
      <c r="BF1561">
        <v>0</v>
      </c>
      <c r="BG1561">
        <v>0</v>
      </c>
      <c r="BH1561">
        <v>1750</v>
      </c>
      <c r="BI1561">
        <v>1</v>
      </c>
      <c r="BJ1561">
        <v>1</v>
      </c>
      <c r="BK1561">
        <v>0</v>
      </c>
      <c r="BL1561">
        <v>0</v>
      </c>
      <c r="BO1561">
        <v>0</v>
      </c>
      <c r="BP1561">
        <v>0</v>
      </c>
      <c r="BW1561" t="str">
        <f t="shared" si="737"/>
        <v>14:43:50.304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343</v>
      </c>
      <c r="CR1561">
        <v>1</v>
      </c>
      <c r="CW1561">
        <v>10683774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 t="shared" ref="A1562:A1570" si="740">"05/12/2020 14:43:33.508"</f>
        <v>05/12/2020 14:43:33.508</v>
      </c>
      <c r="C1562" t="str">
        <f t="shared" si="738"/>
        <v>FFDFD3C0</v>
      </c>
      <c r="D1562" t="s">
        <v>134</v>
      </c>
      <c r="E1562">
        <v>12</v>
      </c>
      <c r="H1562">
        <v>64</v>
      </c>
      <c r="I1562" t="s">
        <v>135</v>
      </c>
      <c r="J1562" t="s">
        <v>136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ref="S1562:S1570" si="741">"14:43:51.313"</f>
        <v>14:43:51.313</v>
      </c>
      <c r="T1562" t="str">
        <f t="shared" ref="T1562:T1570" si="742">"14:43:51.113"</f>
        <v>14:43:51.113</v>
      </c>
      <c r="U1562" t="str">
        <f t="shared" si="730"/>
        <v>A9808D</v>
      </c>
      <c r="V1562">
        <v>0</v>
      </c>
      <c r="W1562">
        <v>0</v>
      </c>
      <c r="X1562">
        <v>1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425</v>
      </c>
      <c r="AJ1562">
        <v>28.282156000000001</v>
      </c>
      <c r="AK1562" t="s">
        <v>426</v>
      </c>
      <c r="AL1562">
        <v>-82.368879000000007</v>
      </c>
      <c r="AM1562">
        <v>100</v>
      </c>
      <c r="AN1562">
        <v>1700</v>
      </c>
      <c r="AO1562" t="s">
        <v>118</v>
      </c>
      <c r="AP1562">
        <v>69</v>
      </c>
      <c r="AQ1562">
        <v>-65</v>
      </c>
      <c r="AR1562">
        <v>512</v>
      </c>
      <c r="AZ1562">
        <v>1200</v>
      </c>
      <c r="BA1562">
        <v>1</v>
      </c>
      <c r="BB1562" t="str">
        <f t="shared" si="739"/>
        <v xml:space="preserve">N711JA  </v>
      </c>
      <c r="BC1562">
        <v>1</v>
      </c>
      <c r="BE1562">
        <v>0</v>
      </c>
      <c r="BF1562">
        <v>0</v>
      </c>
      <c r="BG1562">
        <v>0</v>
      </c>
      <c r="BH1562">
        <v>1750</v>
      </c>
      <c r="BI1562">
        <v>1</v>
      </c>
      <c r="BJ1562">
        <v>1</v>
      </c>
      <c r="BK1562">
        <v>0</v>
      </c>
      <c r="BL1562">
        <v>0</v>
      </c>
      <c r="BO1562">
        <v>0</v>
      </c>
      <c r="BP1562">
        <v>0</v>
      </c>
      <c r="BW1562" t="str">
        <f t="shared" ref="BW1562:BW1570" si="743">"14:43:51.317"</f>
        <v>14:43:51.317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343</v>
      </c>
      <c r="CR1562">
        <v>1</v>
      </c>
      <c r="CW1562">
        <v>10684810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 t="shared" si="740"/>
        <v>05/12/2020 14:43:33.508</v>
      </c>
      <c r="C1563" t="str">
        <f t="shared" si="738"/>
        <v>FFDFD3C0</v>
      </c>
      <c r="D1563" t="s">
        <v>131</v>
      </c>
      <c r="E1563">
        <v>10</v>
      </c>
      <c r="F1563">
        <v>2010</v>
      </c>
      <c r="G1563" t="s">
        <v>132</v>
      </c>
      <c r="J1563" t="s">
        <v>133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741"/>
        <v>14:43:51.313</v>
      </c>
      <c r="T1563" t="str">
        <f t="shared" si="742"/>
        <v>14:43:51.113</v>
      </c>
      <c r="U1563" t="str">
        <f t="shared" si="730"/>
        <v>A9808D</v>
      </c>
      <c r="V1563">
        <v>0</v>
      </c>
      <c r="W1563">
        <v>0</v>
      </c>
      <c r="X1563">
        <v>1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425</v>
      </c>
      <c r="AJ1563">
        <v>28.282156000000001</v>
      </c>
      <c r="AK1563" t="s">
        <v>426</v>
      </c>
      <c r="AL1563">
        <v>-82.368879000000007</v>
      </c>
      <c r="AM1563">
        <v>100</v>
      </c>
      <c r="AN1563">
        <v>1700</v>
      </c>
      <c r="AO1563" t="s">
        <v>118</v>
      </c>
      <c r="AP1563">
        <v>69</v>
      </c>
      <c r="AQ1563">
        <v>-65</v>
      </c>
      <c r="AR1563">
        <v>512</v>
      </c>
      <c r="AZ1563">
        <v>1200</v>
      </c>
      <c r="BA1563">
        <v>1</v>
      </c>
      <c r="BB1563" t="str">
        <f t="shared" si="739"/>
        <v xml:space="preserve">N711JA  </v>
      </c>
      <c r="BC1563">
        <v>1</v>
      </c>
      <c r="BE1563">
        <v>0</v>
      </c>
      <c r="BF1563">
        <v>0</v>
      </c>
      <c r="BG1563">
        <v>0</v>
      </c>
      <c r="BH1563">
        <v>1750</v>
      </c>
      <c r="BI1563">
        <v>1</v>
      </c>
      <c r="BJ1563">
        <v>1</v>
      </c>
      <c r="BK1563">
        <v>0</v>
      </c>
      <c r="BL1563">
        <v>0</v>
      </c>
      <c r="BO1563">
        <v>0</v>
      </c>
      <c r="BP1563">
        <v>0</v>
      </c>
      <c r="BW1563" t="str">
        <f t="shared" si="743"/>
        <v>14:43:51.317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343</v>
      </c>
      <c r="CR1563">
        <v>1</v>
      </c>
      <c r="CW1563">
        <v>10684810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 t="shared" si="740"/>
        <v>05/12/2020 14:43:33.508</v>
      </c>
      <c r="C1564" t="str">
        <f t="shared" si="738"/>
        <v>FFDFD3C0</v>
      </c>
      <c r="D1564" t="s">
        <v>126</v>
      </c>
      <c r="E1564">
        <v>7</v>
      </c>
      <c r="F1564">
        <v>1007</v>
      </c>
      <c r="G1564" t="s">
        <v>127</v>
      </c>
      <c r="J1564" t="s">
        <v>128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741"/>
        <v>14:43:51.313</v>
      </c>
      <c r="T1564" t="str">
        <f t="shared" si="742"/>
        <v>14:43:51.113</v>
      </c>
      <c r="U1564" t="str">
        <f t="shared" si="730"/>
        <v>A9808D</v>
      </c>
      <c r="V1564">
        <v>0</v>
      </c>
      <c r="W1564">
        <v>0</v>
      </c>
      <c r="X1564">
        <v>1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425</v>
      </c>
      <c r="AJ1564">
        <v>28.282156000000001</v>
      </c>
      <c r="AK1564" t="s">
        <v>426</v>
      </c>
      <c r="AL1564">
        <v>-82.368879000000007</v>
      </c>
      <c r="AM1564">
        <v>100</v>
      </c>
      <c r="AN1564">
        <v>1700</v>
      </c>
      <c r="AO1564" t="s">
        <v>118</v>
      </c>
      <c r="AP1564">
        <v>69</v>
      </c>
      <c r="AQ1564">
        <v>-65</v>
      </c>
      <c r="AR1564">
        <v>512</v>
      </c>
      <c r="AZ1564">
        <v>1200</v>
      </c>
      <c r="BA1564">
        <v>1</v>
      </c>
      <c r="BB1564" t="str">
        <f t="shared" si="739"/>
        <v xml:space="preserve">N711JA  </v>
      </c>
      <c r="BC1564">
        <v>1</v>
      </c>
      <c r="BE1564">
        <v>0</v>
      </c>
      <c r="BF1564">
        <v>0</v>
      </c>
      <c r="BG1564">
        <v>0</v>
      </c>
      <c r="BH1564">
        <v>1750</v>
      </c>
      <c r="BI1564">
        <v>1</v>
      </c>
      <c r="BJ1564">
        <v>1</v>
      </c>
      <c r="BK1564">
        <v>0</v>
      </c>
      <c r="BL1564">
        <v>0</v>
      </c>
      <c r="BO1564">
        <v>0</v>
      </c>
      <c r="BP1564">
        <v>0</v>
      </c>
      <c r="BW1564" t="str">
        <f t="shared" si="743"/>
        <v>14:43:51.317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343</v>
      </c>
      <c r="CR1564">
        <v>1</v>
      </c>
      <c r="CW1564">
        <v>10684810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 t="shared" si="740"/>
        <v>05/12/2020 14:43:33.508</v>
      </c>
      <c r="C1565" t="str">
        <f t="shared" si="738"/>
        <v>FFDFD3C0</v>
      </c>
      <c r="D1565" t="s">
        <v>131</v>
      </c>
      <c r="E1565">
        <v>12</v>
      </c>
      <c r="F1565">
        <v>2012</v>
      </c>
      <c r="G1565" t="s">
        <v>137</v>
      </c>
      <c r="J1565" t="s">
        <v>133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741"/>
        <v>14:43:51.313</v>
      </c>
      <c r="T1565" t="str">
        <f t="shared" si="742"/>
        <v>14:43:51.113</v>
      </c>
      <c r="U1565" t="str">
        <f t="shared" si="730"/>
        <v>A9808D</v>
      </c>
      <c r="V1565">
        <v>0</v>
      </c>
      <c r="W1565">
        <v>0</v>
      </c>
      <c r="X1565">
        <v>1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425</v>
      </c>
      <c r="AJ1565">
        <v>28.282156000000001</v>
      </c>
      <c r="AK1565" t="s">
        <v>426</v>
      </c>
      <c r="AL1565">
        <v>-82.368879000000007</v>
      </c>
      <c r="AM1565">
        <v>100</v>
      </c>
      <c r="AN1565">
        <v>1700</v>
      </c>
      <c r="AO1565" t="s">
        <v>118</v>
      </c>
      <c r="AP1565">
        <v>69</v>
      </c>
      <c r="AQ1565">
        <v>-65</v>
      </c>
      <c r="AR1565">
        <v>512</v>
      </c>
      <c r="AZ1565">
        <v>1200</v>
      </c>
      <c r="BA1565">
        <v>1</v>
      </c>
      <c r="BB1565" t="str">
        <f t="shared" si="739"/>
        <v xml:space="preserve">N711JA  </v>
      </c>
      <c r="BC1565">
        <v>1</v>
      </c>
      <c r="BE1565">
        <v>0</v>
      </c>
      <c r="BF1565">
        <v>0</v>
      </c>
      <c r="BG1565">
        <v>0</v>
      </c>
      <c r="BH1565">
        <v>1750</v>
      </c>
      <c r="BI1565">
        <v>1</v>
      </c>
      <c r="BJ1565">
        <v>1</v>
      </c>
      <c r="BK1565">
        <v>0</v>
      </c>
      <c r="BL1565">
        <v>0</v>
      </c>
      <c r="BO1565">
        <v>0</v>
      </c>
      <c r="BP1565">
        <v>0</v>
      </c>
      <c r="BW1565" t="str">
        <f t="shared" si="743"/>
        <v>14:43:51.317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343</v>
      </c>
      <c r="CR1565">
        <v>1</v>
      </c>
      <c r="CW1565">
        <v>10684810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 t="shared" si="740"/>
        <v>05/12/2020 14:43:33.508</v>
      </c>
      <c r="C1566" t="str">
        <f t="shared" si="738"/>
        <v>FFDFD3C0</v>
      </c>
      <c r="D1566" t="s">
        <v>131</v>
      </c>
      <c r="E1566">
        <v>18</v>
      </c>
      <c r="F1566">
        <v>2018</v>
      </c>
      <c r="G1566" t="s">
        <v>161</v>
      </c>
      <c r="J1566" t="s">
        <v>133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741"/>
        <v>14:43:51.313</v>
      </c>
      <c r="T1566" t="str">
        <f t="shared" si="742"/>
        <v>14:43:51.113</v>
      </c>
      <c r="U1566" t="str">
        <f t="shared" si="730"/>
        <v>A9808D</v>
      </c>
      <c r="V1566">
        <v>0</v>
      </c>
      <c r="W1566">
        <v>0</v>
      </c>
      <c r="X1566">
        <v>1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425</v>
      </c>
      <c r="AJ1566">
        <v>28.282156000000001</v>
      </c>
      <c r="AK1566" t="s">
        <v>426</v>
      </c>
      <c r="AL1566">
        <v>-82.368879000000007</v>
      </c>
      <c r="AM1566">
        <v>100</v>
      </c>
      <c r="AN1566">
        <v>1700</v>
      </c>
      <c r="AO1566" t="s">
        <v>118</v>
      </c>
      <c r="AP1566">
        <v>69</v>
      </c>
      <c r="AQ1566">
        <v>-65</v>
      </c>
      <c r="AR1566">
        <v>512</v>
      </c>
      <c r="AZ1566">
        <v>1200</v>
      </c>
      <c r="BA1566">
        <v>1</v>
      </c>
      <c r="BB1566" t="str">
        <f t="shared" si="739"/>
        <v xml:space="preserve">N711JA  </v>
      </c>
      <c r="BC1566">
        <v>1</v>
      </c>
      <c r="BE1566">
        <v>0</v>
      </c>
      <c r="BF1566">
        <v>0</v>
      </c>
      <c r="BG1566">
        <v>0</v>
      </c>
      <c r="BH1566">
        <v>1750</v>
      </c>
      <c r="BI1566">
        <v>1</v>
      </c>
      <c r="BJ1566">
        <v>1</v>
      </c>
      <c r="BK1566">
        <v>0</v>
      </c>
      <c r="BL1566">
        <v>0</v>
      </c>
      <c r="BO1566">
        <v>0</v>
      </c>
      <c r="BP1566">
        <v>0</v>
      </c>
      <c r="BW1566" t="str">
        <f t="shared" si="743"/>
        <v>14:43:51.317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343</v>
      </c>
      <c r="CR1566">
        <v>1</v>
      </c>
      <c r="CW1566">
        <v>10684810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 t="shared" si="740"/>
        <v>05/12/2020 14:43:33.508</v>
      </c>
      <c r="C1567" t="str">
        <f t="shared" si="738"/>
        <v>FFDFD3C0</v>
      </c>
      <c r="D1567" t="s">
        <v>126</v>
      </c>
      <c r="E1567">
        <v>6</v>
      </c>
      <c r="F1567">
        <v>1006</v>
      </c>
      <c r="G1567" t="s">
        <v>114</v>
      </c>
      <c r="J1567" t="s">
        <v>128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741"/>
        <v>14:43:51.313</v>
      </c>
      <c r="T1567" t="str">
        <f t="shared" si="742"/>
        <v>14:43:51.113</v>
      </c>
      <c r="U1567" t="str">
        <f t="shared" si="730"/>
        <v>A9808D</v>
      </c>
      <c r="V1567">
        <v>0</v>
      </c>
      <c r="W1567">
        <v>0</v>
      </c>
      <c r="X1567">
        <v>1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425</v>
      </c>
      <c r="AJ1567">
        <v>28.282156000000001</v>
      </c>
      <c r="AK1567" t="s">
        <v>426</v>
      </c>
      <c r="AL1567">
        <v>-82.368879000000007</v>
      </c>
      <c r="AM1567">
        <v>100</v>
      </c>
      <c r="AN1567">
        <v>1700</v>
      </c>
      <c r="AO1567" t="s">
        <v>118</v>
      </c>
      <c r="AP1567">
        <v>69</v>
      </c>
      <c r="AQ1567">
        <v>-65</v>
      </c>
      <c r="AR1567">
        <v>512</v>
      </c>
      <c r="AZ1567">
        <v>1200</v>
      </c>
      <c r="BA1567">
        <v>1</v>
      </c>
      <c r="BB1567" t="str">
        <f t="shared" si="739"/>
        <v xml:space="preserve">N711JA  </v>
      </c>
      <c r="BC1567">
        <v>1</v>
      </c>
      <c r="BE1567">
        <v>0</v>
      </c>
      <c r="BF1567">
        <v>0</v>
      </c>
      <c r="BG1567">
        <v>0</v>
      </c>
      <c r="BH1567">
        <v>1750</v>
      </c>
      <c r="BI1567">
        <v>1</v>
      </c>
      <c r="BJ1567">
        <v>1</v>
      </c>
      <c r="BK1567">
        <v>0</v>
      </c>
      <c r="BL1567">
        <v>0</v>
      </c>
      <c r="BO1567">
        <v>0</v>
      </c>
      <c r="BP1567">
        <v>0</v>
      </c>
      <c r="BW1567" t="str">
        <f t="shared" si="743"/>
        <v>14:43:51.317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343</v>
      </c>
      <c r="CR1567">
        <v>1</v>
      </c>
      <c r="CW1567">
        <v>10684810</v>
      </c>
      <c r="CY1567">
        <v>1</v>
      </c>
      <c r="CZ1567">
        <v>0</v>
      </c>
      <c r="DA1567">
        <v>1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 t="shared" si="740"/>
        <v>05/12/2020 14:43:33.508</v>
      </c>
      <c r="C1568" t="str">
        <f t="shared" si="738"/>
        <v>FFDFD3C0</v>
      </c>
      <c r="D1568" t="s">
        <v>138</v>
      </c>
      <c r="E1568">
        <v>2</v>
      </c>
      <c r="H1568">
        <v>8</v>
      </c>
      <c r="I1568" t="s">
        <v>139</v>
      </c>
      <c r="J1568" t="s">
        <v>136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741"/>
        <v>14:43:51.313</v>
      </c>
      <c r="T1568" t="str">
        <f t="shared" si="742"/>
        <v>14:43:51.113</v>
      </c>
      <c r="U1568" t="str">
        <f t="shared" si="730"/>
        <v>A9808D</v>
      </c>
      <c r="V1568">
        <v>0</v>
      </c>
      <c r="W1568">
        <v>0</v>
      </c>
      <c r="X1568">
        <v>1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425</v>
      </c>
      <c r="AJ1568">
        <v>28.282156000000001</v>
      </c>
      <c r="AK1568" t="s">
        <v>426</v>
      </c>
      <c r="AL1568">
        <v>-82.368879000000007</v>
      </c>
      <c r="AM1568">
        <v>100</v>
      </c>
      <c r="AN1568">
        <v>1700</v>
      </c>
      <c r="AO1568" t="s">
        <v>118</v>
      </c>
      <c r="AP1568">
        <v>69</v>
      </c>
      <c r="AQ1568">
        <v>-65</v>
      </c>
      <c r="AR1568">
        <v>512</v>
      </c>
      <c r="AZ1568">
        <v>1200</v>
      </c>
      <c r="BA1568">
        <v>1</v>
      </c>
      <c r="BB1568" t="str">
        <f t="shared" si="739"/>
        <v xml:space="preserve">N711JA  </v>
      </c>
      <c r="BC1568">
        <v>1</v>
      </c>
      <c r="BE1568">
        <v>0</v>
      </c>
      <c r="BF1568">
        <v>0</v>
      </c>
      <c r="BG1568">
        <v>0</v>
      </c>
      <c r="BH1568">
        <v>1750</v>
      </c>
      <c r="BI1568">
        <v>1</v>
      </c>
      <c r="BJ1568">
        <v>1</v>
      </c>
      <c r="BK1568">
        <v>0</v>
      </c>
      <c r="BL1568">
        <v>0</v>
      </c>
      <c r="BO1568">
        <v>0</v>
      </c>
      <c r="BP1568">
        <v>0</v>
      </c>
      <c r="BW1568" t="str">
        <f t="shared" si="743"/>
        <v>14:43:51.317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343</v>
      </c>
      <c r="CR1568">
        <v>1</v>
      </c>
      <c r="CW1568">
        <v>10684810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 t="shared" si="740"/>
        <v>05/12/2020 14:43:33.508</v>
      </c>
      <c r="C1569" t="str">
        <f t="shared" si="738"/>
        <v>FFDFD3C0</v>
      </c>
      <c r="D1569" t="s">
        <v>113</v>
      </c>
      <c r="E1569">
        <v>3</v>
      </c>
      <c r="H1569">
        <v>164</v>
      </c>
      <c r="I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741"/>
        <v>14:43:51.313</v>
      </c>
      <c r="T1569" t="str">
        <f t="shared" si="742"/>
        <v>14:43:51.113</v>
      </c>
      <c r="U1569" t="str">
        <f t="shared" si="730"/>
        <v>A9808D</v>
      </c>
      <c r="V1569">
        <v>0</v>
      </c>
      <c r="W1569">
        <v>0</v>
      </c>
      <c r="X1569">
        <v>1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425</v>
      </c>
      <c r="AJ1569">
        <v>28.282156000000001</v>
      </c>
      <c r="AK1569" t="s">
        <v>426</v>
      </c>
      <c r="AL1569">
        <v>-82.368879000000007</v>
      </c>
      <c r="AM1569">
        <v>100</v>
      </c>
      <c r="AN1569">
        <v>1700</v>
      </c>
      <c r="AO1569" t="s">
        <v>118</v>
      </c>
      <c r="AP1569">
        <v>69</v>
      </c>
      <c r="AQ1569">
        <v>-65</v>
      </c>
      <c r="AR1569">
        <v>512</v>
      </c>
      <c r="AZ1569">
        <v>1200</v>
      </c>
      <c r="BA1569">
        <v>1</v>
      </c>
      <c r="BB1569" t="str">
        <f t="shared" si="739"/>
        <v xml:space="preserve">N711JA  </v>
      </c>
      <c r="BC1569">
        <v>1</v>
      </c>
      <c r="BE1569">
        <v>0</v>
      </c>
      <c r="BF1569">
        <v>0</v>
      </c>
      <c r="BG1569">
        <v>0</v>
      </c>
      <c r="BH1569">
        <v>1750</v>
      </c>
      <c r="BI1569">
        <v>1</v>
      </c>
      <c r="BJ1569">
        <v>1</v>
      </c>
      <c r="BK1569">
        <v>0</v>
      </c>
      <c r="BL1569">
        <v>0</v>
      </c>
      <c r="BO1569">
        <v>0</v>
      </c>
      <c r="BP1569">
        <v>0</v>
      </c>
      <c r="BW1569" t="str">
        <f t="shared" si="743"/>
        <v>14:43:51.317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343</v>
      </c>
      <c r="CR1569">
        <v>1</v>
      </c>
      <c r="CW1569">
        <v>10684810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 t="shared" si="740"/>
        <v>05/12/2020 14:43:33.508</v>
      </c>
      <c r="C1570" t="str">
        <f t="shared" si="738"/>
        <v>FFDFD3C0</v>
      </c>
      <c r="D1570" t="s">
        <v>138</v>
      </c>
      <c r="E1570">
        <v>3</v>
      </c>
      <c r="H1570">
        <v>9</v>
      </c>
      <c r="I1570" t="s">
        <v>140</v>
      </c>
      <c r="J1570" t="s">
        <v>136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741"/>
        <v>14:43:51.313</v>
      </c>
      <c r="T1570" t="str">
        <f t="shared" si="742"/>
        <v>14:43:51.113</v>
      </c>
      <c r="U1570" t="str">
        <f t="shared" si="730"/>
        <v>A9808D</v>
      </c>
      <c r="V1570">
        <v>0</v>
      </c>
      <c r="W1570">
        <v>0</v>
      </c>
      <c r="X1570">
        <v>1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425</v>
      </c>
      <c r="AJ1570">
        <v>28.282156000000001</v>
      </c>
      <c r="AK1570" t="s">
        <v>426</v>
      </c>
      <c r="AL1570">
        <v>-82.368879000000007</v>
      </c>
      <c r="AM1570">
        <v>100</v>
      </c>
      <c r="AN1570">
        <v>1700</v>
      </c>
      <c r="AO1570" t="s">
        <v>118</v>
      </c>
      <c r="AP1570">
        <v>69</v>
      </c>
      <c r="AQ1570">
        <v>-65</v>
      </c>
      <c r="AR1570">
        <v>512</v>
      </c>
      <c r="AZ1570">
        <v>1200</v>
      </c>
      <c r="BA1570">
        <v>1</v>
      </c>
      <c r="BB1570" t="str">
        <f t="shared" si="739"/>
        <v xml:space="preserve">N711JA  </v>
      </c>
      <c r="BC1570">
        <v>1</v>
      </c>
      <c r="BE1570">
        <v>0</v>
      </c>
      <c r="BF1570">
        <v>0</v>
      </c>
      <c r="BG1570">
        <v>0</v>
      </c>
      <c r="BH1570">
        <v>1750</v>
      </c>
      <c r="BI1570">
        <v>1</v>
      </c>
      <c r="BJ1570">
        <v>1</v>
      </c>
      <c r="BK1570">
        <v>0</v>
      </c>
      <c r="BL1570">
        <v>0</v>
      </c>
      <c r="BO1570">
        <v>0</v>
      </c>
      <c r="BP1570">
        <v>0</v>
      </c>
      <c r="BW1570" t="str">
        <f t="shared" si="743"/>
        <v>14:43:51.317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343</v>
      </c>
      <c r="CR1570">
        <v>1</v>
      </c>
      <c r="CW1570">
        <v>10684810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 t="shared" ref="A1571:A1579" si="744">"05/12/2020 14:43:34.533"</f>
        <v>05/12/2020 14:43:34.533</v>
      </c>
      <c r="C1571" t="str">
        <f t="shared" si="738"/>
        <v>FFDFD3C0</v>
      </c>
      <c r="D1571" t="s">
        <v>138</v>
      </c>
      <c r="E1571">
        <v>2</v>
      </c>
      <c r="H1571">
        <v>8</v>
      </c>
      <c r="I1571" t="s">
        <v>139</v>
      </c>
      <c r="J1571" t="s">
        <v>136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ref="S1571:S1579" si="745">"14:43:52.344"</f>
        <v>14:43:52.344</v>
      </c>
      <c r="T1571" t="str">
        <f t="shared" ref="T1571:T1579" si="746">"14:43:52.144"</f>
        <v>14:43:52.144</v>
      </c>
      <c r="U1571" t="str">
        <f t="shared" si="730"/>
        <v>A9808D</v>
      </c>
      <c r="V1571">
        <v>0</v>
      </c>
      <c r="W1571">
        <v>0</v>
      </c>
      <c r="X1571">
        <v>1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427</v>
      </c>
      <c r="AJ1571">
        <v>28.281834</v>
      </c>
      <c r="AK1571" t="s">
        <v>428</v>
      </c>
      <c r="AL1571">
        <v>-82.368493000000001</v>
      </c>
      <c r="AM1571">
        <v>100</v>
      </c>
      <c r="AN1571">
        <v>1700</v>
      </c>
      <c r="AO1571" t="s">
        <v>118</v>
      </c>
      <c r="AP1571">
        <v>68</v>
      </c>
      <c r="AQ1571">
        <v>-66</v>
      </c>
      <c r="AR1571">
        <v>512</v>
      </c>
      <c r="AZ1571">
        <v>1200</v>
      </c>
      <c r="BA1571">
        <v>1</v>
      </c>
      <c r="BB1571" t="str">
        <f t="shared" si="739"/>
        <v xml:space="preserve">N711JA  </v>
      </c>
      <c r="BC1571">
        <v>1</v>
      </c>
      <c r="BE1571">
        <v>0</v>
      </c>
      <c r="BF1571">
        <v>0</v>
      </c>
      <c r="BG1571">
        <v>0</v>
      </c>
      <c r="BH1571">
        <v>1750</v>
      </c>
      <c r="BI1571">
        <v>1</v>
      </c>
      <c r="BJ1571">
        <v>1</v>
      </c>
      <c r="BK1571">
        <v>0</v>
      </c>
      <c r="BL1571">
        <v>0</v>
      </c>
      <c r="BO1571">
        <v>0</v>
      </c>
      <c r="BP1571">
        <v>0</v>
      </c>
      <c r="BW1571" t="str">
        <f t="shared" ref="BW1571:BW1579" si="747">"14:43:52.351"</f>
        <v>14:43:52.351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343</v>
      </c>
      <c r="CR1571">
        <v>1</v>
      </c>
      <c r="CW1571">
        <v>10685903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 t="shared" si="744"/>
        <v>05/12/2020 14:43:34.533</v>
      </c>
      <c r="C1572" t="str">
        <f t="shared" si="738"/>
        <v>FFDFD3C0</v>
      </c>
      <c r="D1572" t="s">
        <v>113</v>
      </c>
      <c r="E1572">
        <v>3</v>
      </c>
      <c r="H1572">
        <v>164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745"/>
        <v>14:43:52.344</v>
      </c>
      <c r="T1572" t="str">
        <f t="shared" si="746"/>
        <v>14:43:52.144</v>
      </c>
      <c r="U1572" t="str">
        <f t="shared" si="730"/>
        <v>A9808D</v>
      </c>
      <c r="V1572">
        <v>0</v>
      </c>
      <c r="W1572">
        <v>0</v>
      </c>
      <c r="X1572">
        <v>1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427</v>
      </c>
      <c r="AJ1572">
        <v>28.281834</v>
      </c>
      <c r="AK1572" t="s">
        <v>428</v>
      </c>
      <c r="AL1572">
        <v>-82.368493000000001</v>
      </c>
      <c r="AM1572">
        <v>100</v>
      </c>
      <c r="AN1572">
        <v>1700</v>
      </c>
      <c r="AO1572" t="s">
        <v>118</v>
      </c>
      <c r="AP1572">
        <v>68</v>
      </c>
      <c r="AQ1572">
        <v>-66</v>
      </c>
      <c r="AR1572">
        <v>512</v>
      </c>
      <c r="AZ1572">
        <v>1200</v>
      </c>
      <c r="BA1572">
        <v>1</v>
      </c>
      <c r="BB1572" t="str">
        <f t="shared" si="739"/>
        <v xml:space="preserve">N711JA  </v>
      </c>
      <c r="BC1572">
        <v>1</v>
      </c>
      <c r="BE1572">
        <v>0</v>
      </c>
      <c r="BF1572">
        <v>0</v>
      </c>
      <c r="BG1572">
        <v>0</v>
      </c>
      <c r="BH1572">
        <v>1750</v>
      </c>
      <c r="BI1572">
        <v>1</v>
      </c>
      <c r="BJ1572">
        <v>1</v>
      </c>
      <c r="BK1572">
        <v>0</v>
      </c>
      <c r="BL1572">
        <v>0</v>
      </c>
      <c r="BO1572">
        <v>0</v>
      </c>
      <c r="BP1572">
        <v>0</v>
      </c>
      <c r="BW1572" t="str">
        <f t="shared" si="747"/>
        <v>14:43:52.351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343</v>
      </c>
      <c r="CR1572">
        <v>1</v>
      </c>
      <c r="CW1572">
        <v>10685903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 t="shared" si="744"/>
        <v>05/12/2020 14:43:34.533</v>
      </c>
      <c r="C1573" t="str">
        <f t="shared" si="738"/>
        <v>FFDFD3C0</v>
      </c>
      <c r="D1573" t="s">
        <v>138</v>
      </c>
      <c r="E1573">
        <v>3</v>
      </c>
      <c r="H1573">
        <v>9</v>
      </c>
      <c r="I1573" t="s">
        <v>140</v>
      </c>
      <c r="J1573" t="s">
        <v>136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745"/>
        <v>14:43:52.344</v>
      </c>
      <c r="T1573" t="str">
        <f t="shared" si="746"/>
        <v>14:43:52.144</v>
      </c>
      <c r="U1573" t="str">
        <f t="shared" si="730"/>
        <v>A9808D</v>
      </c>
      <c r="V1573">
        <v>0</v>
      </c>
      <c r="W1573">
        <v>0</v>
      </c>
      <c r="X1573">
        <v>1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427</v>
      </c>
      <c r="AJ1573">
        <v>28.281834</v>
      </c>
      <c r="AK1573" t="s">
        <v>428</v>
      </c>
      <c r="AL1573">
        <v>-82.368493000000001</v>
      </c>
      <c r="AM1573">
        <v>100</v>
      </c>
      <c r="AN1573">
        <v>1700</v>
      </c>
      <c r="AO1573" t="s">
        <v>118</v>
      </c>
      <c r="AP1573">
        <v>68</v>
      </c>
      <c r="AQ1573">
        <v>-66</v>
      </c>
      <c r="AR1573">
        <v>512</v>
      </c>
      <c r="AZ1573">
        <v>1200</v>
      </c>
      <c r="BA1573">
        <v>1</v>
      </c>
      <c r="BB1573" t="str">
        <f t="shared" si="739"/>
        <v xml:space="preserve">N711JA  </v>
      </c>
      <c r="BC1573">
        <v>1</v>
      </c>
      <c r="BE1573">
        <v>0</v>
      </c>
      <c r="BF1573">
        <v>0</v>
      </c>
      <c r="BG1573">
        <v>0</v>
      </c>
      <c r="BH1573">
        <v>1750</v>
      </c>
      <c r="BI1573">
        <v>1</v>
      </c>
      <c r="BJ1573">
        <v>1</v>
      </c>
      <c r="BK1573">
        <v>0</v>
      </c>
      <c r="BL1573">
        <v>0</v>
      </c>
      <c r="BO1573">
        <v>0</v>
      </c>
      <c r="BP1573">
        <v>0</v>
      </c>
      <c r="BW1573" t="str">
        <f t="shared" si="747"/>
        <v>14:43:52.351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343</v>
      </c>
      <c r="CR1573">
        <v>1</v>
      </c>
      <c r="CW1573">
        <v>10685903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 t="shared" si="744"/>
        <v>05/12/2020 14:43:34.533</v>
      </c>
      <c r="C1574" t="str">
        <f t="shared" si="738"/>
        <v>FFDFD3C0</v>
      </c>
      <c r="D1574" t="s">
        <v>131</v>
      </c>
      <c r="E1574">
        <v>10</v>
      </c>
      <c r="F1574">
        <v>2010</v>
      </c>
      <c r="G1574" t="s">
        <v>132</v>
      </c>
      <c r="J1574" t="s">
        <v>133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745"/>
        <v>14:43:52.344</v>
      </c>
      <c r="T1574" t="str">
        <f t="shared" si="746"/>
        <v>14:43:52.144</v>
      </c>
      <c r="U1574" t="str">
        <f t="shared" si="730"/>
        <v>A9808D</v>
      </c>
      <c r="V1574">
        <v>0</v>
      </c>
      <c r="W1574">
        <v>0</v>
      </c>
      <c r="X1574">
        <v>1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427</v>
      </c>
      <c r="AJ1574">
        <v>28.281834</v>
      </c>
      <c r="AK1574" t="s">
        <v>428</v>
      </c>
      <c r="AL1574">
        <v>-82.368493000000001</v>
      </c>
      <c r="AM1574">
        <v>100</v>
      </c>
      <c r="AN1574">
        <v>1700</v>
      </c>
      <c r="AO1574" t="s">
        <v>118</v>
      </c>
      <c r="AP1574">
        <v>68</v>
      </c>
      <c r="AQ1574">
        <v>-66</v>
      </c>
      <c r="AR1574">
        <v>512</v>
      </c>
      <c r="AZ1574">
        <v>1200</v>
      </c>
      <c r="BA1574">
        <v>1</v>
      </c>
      <c r="BB1574" t="str">
        <f t="shared" si="739"/>
        <v xml:space="preserve">N711JA  </v>
      </c>
      <c r="BC1574">
        <v>1</v>
      </c>
      <c r="BE1574">
        <v>0</v>
      </c>
      <c r="BF1574">
        <v>0</v>
      </c>
      <c r="BG1574">
        <v>0</v>
      </c>
      <c r="BH1574">
        <v>1750</v>
      </c>
      <c r="BI1574">
        <v>1</v>
      </c>
      <c r="BJ1574">
        <v>1</v>
      </c>
      <c r="BK1574">
        <v>0</v>
      </c>
      <c r="BL1574">
        <v>0</v>
      </c>
      <c r="BO1574">
        <v>0</v>
      </c>
      <c r="BP1574">
        <v>0</v>
      </c>
      <c r="BW1574" t="str">
        <f t="shared" si="747"/>
        <v>14:43:52.351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343</v>
      </c>
      <c r="CR1574">
        <v>1</v>
      </c>
      <c r="CW1574">
        <v>10685903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 t="shared" si="744"/>
        <v>05/12/2020 14:43:34.533</v>
      </c>
      <c r="C1575" t="str">
        <f t="shared" si="738"/>
        <v>FFDFD3C0</v>
      </c>
      <c r="D1575" t="s">
        <v>126</v>
      </c>
      <c r="E1575">
        <v>7</v>
      </c>
      <c r="F1575">
        <v>1007</v>
      </c>
      <c r="G1575" t="s">
        <v>127</v>
      </c>
      <c r="J1575" t="s">
        <v>128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745"/>
        <v>14:43:52.344</v>
      </c>
      <c r="T1575" t="str">
        <f t="shared" si="746"/>
        <v>14:43:52.144</v>
      </c>
      <c r="U1575" t="str">
        <f t="shared" si="730"/>
        <v>A9808D</v>
      </c>
      <c r="V1575">
        <v>0</v>
      </c>
      <c r="W1575">
        <v>0</v>
      </c>
      <c r="X1575">
        <v>1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427</v>
      </c>
      <c r="AJ1575">
        <v>28.281834</v>
      </c>
      <c r="AK1575" t="s">
        <v>428</v>
      </c>
      <c r="AL1575">
        <v>-82.368493000000001</v>
      </c>
      <c r="AM1575">
        <v>100</v>
      </c>
      <c r="AN1575">
        <v>1700</v>
      </c>
      <c r="AO1575" t="s">
        <v>118</v>
      </c>
      <c r="AP1575">
        <v>68</v>
      </c>
      <c r="AQ1575">
        <v>-66</v>
      </c>
      <c r="AR1575">
        <v>512</v>
      </c>
      <c r="AZ1575">
        <v>1200</v>
      </c>
      <c r="BA1575">
        <v>1</v>
      </c>
      <c r="BB1575" t="str">
        <f t="shared" si="739"/>
        <v xml:space="preserve">N711JA  </v>
      </c>
      <c r="BC1575">
        <v>1</v>
      </c>
      <c r="BE1575">
        <v>0</v>
      </c>
      <c r="BF1575">
        <v>0</v>
      </c>
      <c r="BG1575">
        <v>0</v>
      </c>
      <c r="BH1575">
        <v>1750</v>
      </c>
      <c r="BI1575">
        <v>1</v>
      </c>
      <c r="BJ1575">
        <v>1</v>
      </c>
      <c r="BK1575">
        <v>0</v>
      </c>
      <c r="BL1575">
        <v>0</v>
      </c>
      <c r="BO1575">
        <v>0</v>
      </c>
      <c r="BP1575">
        <v>0</v>
      </c>
      <c r="BW1575" t="str">
        <f t="shared" si="747"/>
        <v>14:43:52.351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343</v>
      </c>
      <c r="CR1575">
        <v>1</v>
      </c>
      <c r="CW1575">
        <v>10685903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 t="shared" si="744"/>
        <v>05/12/2020 14:43:34.533</v>
      </c>
      <c r="C1576" t="str">
        <f t="shared" si="738"/>
        <v>FFDFD3C0</v>
      </c>
      <c r="D1576" t="s">
        <v>131</v>
      </c>
      <c r="E1576">
        <v>12</v>
      </c>
      <c r="F1576">
        <v>2012</v>
      </c>
      <c r="G1576" t="s">
        <v>137</v>
      </c>
      <c r="J1576" t="s">
        <v>133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745"/>
        <v>14:43:52.344</v>
      </c>
      <c r="T1576" t="str">
        <f t="shared" si="746"/>
        <v>14:43:52.144</v>
      </c>
      <c r="U1576" t="str">
        <f t="shared" si="730"/>
        <v>A9808D</v>
      </c>
      <c r="V1576">
        <v>0</v>
      </c>
      <c r="W1576">
        <v>0</v>
      </c>
      <c r="X1576">
        <v>1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427</v>
      </c>
      <c r="AJ1576">
        <v>28.281834</v>
      </c>
      <c r="AK1576" t="s">
        <v>428</v>
      </c>
      <c r="AL1576">
        <v>-82.368493000000001</v>
      </c>
      <c r="AM1576">
        <v>100</v>
      </c>
      <c r="AN1576">
        <v>1700</v>
      </c>
      <c r="AO1576" t="s">
        <v>118</v>
      </c>
      <c r="AP1576">
        <v>68</v>
      </c>
      <c r="AQ1576">
        <v>-66</v>
      </c>
      <c r="AR1576">
        <v>512</v>
      </c>
      <c r="AZ1576">
        <v>1200</v>
      </c>
      <c r="BA1576">
        <v>1</v>
      </c>
      <c r="BB1576" t="str">
        <f t="shared" si="739"/>
        <v xml:space="preserve">N711JA  </v>
      </c>
      <c r="BC1576">
        <v>1</v>
      </c>
      <c r="BE1576">
        <v>0</v>
      </c>
      <c r="BF1576">
        <v>0</v>
      </c>
      <c r="BG1576">
        <v>0</v>
      </c>
      <c r="BH1576">
        <v>1750</v>
      </c>
      <c r="BI1576">
        <v>1</v>
      </c>
      <c r="BJ1576">
        <v>1</v>
      </c>
      <c r="BK1576">
        <v>0</v>
      </c>
      <c r="BL1576">
        <v>0</v>
      </c>
      <c r="BO1576">
        <v>0</v>
      </c>
      <c r="BP1576">
        <v>0</v>
      </c>
      <c r="BW1576" t="str">
        <f t="shared" si="747"/>
        <v>14:43:52.351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343</v>
      </c>
      <c r="CR1576">
        <v>1</v>
      </c>
      <c r="CW1576">
        <v>10685903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 t="shared" si="744"/>
        <v>05/12/2020 14:43:34.533</v>
      </c>
      <c r="C1577" t="str">
        <f t="shared" si="738"/>
        <v>FFDFD3C0</v>
      </c>
      <c r="D1577" t="s">
        <v>134</v>
      </c>
      <c r="E1577">
        <v>12</v>
      </c>
      <c r="H1577">
        <v>64</v>
      </c>
      <c r="I1577" t="s">
        <v>135</v>
      </c>
      <c r="J1577" t="s">
        <v>136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745"/>
        <v>14:43:52.344</v>
      </c>
      <c r="T1577" t="str">
        <f t="shared" si="746"/>
        <v>14:43:52.144</v>
      </c>
      <c r="U1577" t="str">
        <f t="shared" si="730"/>
        <v>A9808D</v>
      </c>
      <c r="V1577">
        <v>0</v>
      </c>
      <c r="W1577">
        <v>0</v>
      </c>
      <c r="X1577">
        <v>1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427</v>
      </c>
      <c r="AJ1577">
        <v>28.281834</v>
      </c>
      <c r="AK1577" t="s">
        <v>428</v>
      </c>
      <c r="AL1577">
        <v>-82.368493000000001</v>
      </c>
      <c r="AM1577">
        <v>100</v>
      </c>
      <c r="AN1577">
        <v>1700</v>
      </c>
      <c r="AO1577" t="s">
        <v>118</v>
      </c>
      <c r="AP1577">
        <v>68</v>
      </c>
      <c r="AQ1577">
        <v>-66</v>
      </c>
      <c r="AR1577">
        <v>512</v>
      </c>
      <c r="AZ1577">
        <v>1200</v>
      </c>
      <c r="BA1577">
        <v>1</v>
      </c>
      <c r="BB1577" t="str">
        <f t="shared" si="739"/>
        <v xml:space="preserve">N711JA  </v>
      </c>
      <c r="BC1577">
        <v>1</v>
      </c>
      <c r="BE1577">
        <v>0</v>
      </c>
      <c r="BF1577">
        <v>0</v>
      </c>
      <c r="BG1577">
        <v>0</v>
      </c>
      <c r="BH1577">
        <v>1750</v>
      </c>
      <c r="BI1577">
        <v>1</v>
      </c>
      <c r="BJ1577">
        <v>1</v>
      </c>
      <c r="BK1577">
        <v>0</v>
      </c>
      <c r="BL1577">
        <v>0</v>
      </c>
      <c r="BO1577">
        <v>0</v>
      </c>
      <c r="BP1577">
        <v>0</v>
      </c>
      <c r="BW1577" t="str">
        <f t="shared" si="747"/>
        <v>14:43:52.351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343</v>
      </c>
      <c r="CR1577">
        <v>1</v>
      </c>
      <c r="CW1577">
        <v>10685903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 t="shared" si="744"/>
        <v>05/12/2020 14:43:34.533</v>
      </c>
      <c r="C1578" t="str">
        <f t="shared" si="738"/>
        <v>FFDFD3C0</v>
      </c>
      <c r="D1578" t="s">
        <v>131</v>
      </c>
      <c r="E1578">
        <v>18</v>
      </c>
      <c r="F1578">
        <v>2018</v>
      </c>
      <c r="G1578" t="s">
        <v>161</v>
      </c>
      <c r="J1578" t="s">
        <v>133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745"/>
        <v>14:43:52.344</v>
      </c>
      <c r="T1578" t="str">
        <f t="shared" si="746"/>
        <v>14:43:52.144</v>
      </c>
      <c r="U1578" t="str">
        <f t="shared" si="730"/>
        <v>A9808D</v>
      </c>
      <c r="V1578">
        <v>0</v>
      </c>
      <c r="W1578">
        <v>0</v>
      </c>
      <c r="X1578">
        <v>1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427</v>
      </c>
      <c r="AJ1578">
        <v>28.281834</v>
      </c>
      <c r="AK1578" t="s">
        <v>428</v>
      </c>
      <c r="AL1578">
        <v>-82.368493000000001</v>
      </c>
      <c r="AM1578">
        <v>100</v>
      </c>
      <c r="AN1578">
        <v>1700</v>
      </c>
      <c r="AO1578" t="s">
        <v>118</v>
      </c>
      <c r="AP1578">
        <v>68</v>
      </c>
      <c r="AQ1578">
        <v>-66</v>
      </c>
      <c r="AR1578">
        <v>512</v>
      </c>
      <c r="AZ1578">
        <v>1200</v>
      </c>
      <c r="BA1578">
        <v>1</v>
      </c>
      <c r="BB1578" t="str">
        <f t="shared" si="739"/>
        <v xml:space="preserve">N711JA  </v>
      </c>
      <c r="BC1578">
        <v>1</v>
      </c>
      <c r="BE1578">
        <v>0</v>
      </c>
      <c r="BF1578">
        <v>0</v>
      </c>
      <c r="BG1578">
        <v>0</v>
      </c>
      <c r="BH1578">
        <v>1750</v>
      </c>
      <c r="BI1578">
        <v>1</v>
      </c>
      <c r="BJ1578">
        <v>1</v>
      </c>
      <c r="BK1578">
        <v>0</v>
      </c>
      <c r="BL1578">
        <v>0</v>
      </c>
      <c r="BO1578">
        <v>0</v>
      </c>
      <c r="BP1578">
        <v>0</v>
      </c>
      <c r="BW1578" t="str">
        <f t="shared" si="747"/>
        <v>14:43:52.351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343</v>
      </c>
      <c r="CR1578">
        <v>1</v>
      </c>
      <c r="CW1578">
        <v>10685903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 t="shared" si="744"/>
        <v>05/12/2020 14:43:34.533</v>
      </c>
      <c r="C1579" t="str">
        <f t="shared" si="738"/>
        <v>FFDFD3C0</v>
      </c>
      <c r="D1579" t="s">
        <v>126</v>
      </c>
      <c r="E1579">
        <v>6</v>
      </c>
      <c r="F1579">
        <v>1006</v>
      </c>
      <c r="G1579" t="s">
        <v>114</v>
      </c>
      <c r="J1579" t="s">
        <v>128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745"/>
        <v>14:43:52.344</v>
      </c>
      <c r="T1579" t="str">
        <f t="shared" si="746"/>
        <v>14:43:52.144</v>
      </c>
      <c r="U1579" t="str">
        <f t="shared" si="730"/>
        <v>A9808D</v>
      </c>
      <c r="V1579">
        <v>0</v>
      </c>
      <c r="W1579">
        <v>0</v>
      </c>
      <c r="X1579">
        <v>1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427</v>
      </c>
      <c r="AJ1579">
        <v>28.281834</v>
      </c>
      <c r="AK1579" t="s">
        <v>428</v>
      </c>
      <c r="AL1579">
        <v>-82.368493000000001</v>
      </c>
      <c r="AM1579">
        <v>100</v>
      </c>
      <c r="AN1579">
        <v>1700</v>
      </c>
      <c r="AO1579" t="s">
        <v>118</v>
      </c>
      <c r="AP1579">
        <v>68</v>
      </c>
      <c r="AQ1579">
        <v>-66</v>
      </c>
      <c r="AR1579">
        <v>512</v>
      </c>
      <c r="AZ1579">
        <v>1200</v>
      </c>
      <c r="BA1579">
        <v>1</v>
      </c>
      <c r="BB1579" t="str">
        <f t="shared" si="739"/>
        <v xml:space="preserve">N711JA  </v>
      </c>
      <c r="BC1579">
        <v>1</v>
      </c>
      <c r="BE1579">
        <v>0</v>
      </c>
      <c r="BF1579">
        <v>0</v>
      </c>
      <c r="BG1579">
        <v>0</v>
      </c>
      <c r="BH1579">
        <v>1750</v>
      </c>
      <c r="BI1579">
        <v>1</v>
      </c>
      <c r="BJ1579">
        <v>1</v>
      </c>
      <c r="BK1579">
        <v>0</v>
      </c>
      <c r="BL1579">
        <v>0</v>
      </c>
      <c r="BO1579">
        <v>0</v>
      </c>
      <c r="BP1579">
        <v>0</v>
      </c>
      <c r="BW1579" t="str">
        <f t="shared" si="747"/>
        <v>14:43:52.351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343</v>
      </c>
      <c r="CR1579">
        <v>1</v>
      </c>
      <c r="CW1579">
        <v>10685903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 t="shared" ref="A1580:A1588" si="748">"05/12/2020 14:43:35.597"</f>
        <v>05/12/2020 14:43:35.597</v>
      </c>
      <c r="C1580" t="str">
        <f t="shared" si="738"/>
        <v>FFDFD3C0</v>
      </c>
      <c r="D1580" t="s">
        <v>138</v>
      </c>
      <c r="E1580">
        <v>2</v>
      </c>
      <c r="H1580">
        <v>8</v>
      </c>
      <c r="I1580" t="s">
        <v>139</v>
      </c>
      <c r="J1580" t="s">
        <v>136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ref="S1580:S1588" si="749">"14:43:53.430"</f>
        <v>14:43:53.430</v>
      </c>
      <c r="T1580" t="str">
        <f t="shared" ref="T1580:T1588" si="750">"14:43:53.230"</f>
        <v>14:43:53.230</v>
      </c>
      <c r="U1580" t="str">
        <f t="shared" si="730"/>
        <v>A9808D</v>
      </c>
      <c r="V1580">
        <v>0</v>
      </c>
      <c r="W1580">
        <v>0</v>
      </c>
      <c r="X1580">
        <v>1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429</v>
      </c>
      <c r="AJ1580">
        <v>28.281469000000001</v>
      </c>
      <c r="AK1580" t="s">
        <v>430</v>
      </c>
      <c r="AL1580">
        <v>-82.368106999999995</v>
      </c>
      <c r="AM1580">
        <v>100</v>
      </c>
      <c r="AN1580">
        <v>1700</v>
      </c>
      <c r="AO1580" t="s">
        <v>118</v>
      </c>
      <c r="AP1580">
        <v>66</v>
      </c>
      <c r="AQ1580">
        <v>-68</v>
      </c>
      <c r="AR1580">
        <v>448</v>
      </c>
      <c r="AZ1580">
        <v>1200</v>
      </c>
      <c r="BA1580">
        <v>1</v>
      </c>
      <c r="BB1580" t="str">
        <f t="shared" si="739"/>
        <v xml:space="preserve">N711JA  </v>
      </c>
      <c r="BC1580">
        <v>1</v>
      </c>
      <c r="BE1580">
        <v>0</v>
      </c>
      <c r="BF1580">
        <v>0</v>
      </c>
      <c r="BG1580">
        <v>0</v>
      </c>
      <c r="BH1580">
        <v>1775</v>
      </c>
      <c r="BI1580">
        <v>1</v>
      </c>
      <c r="BJ1580">
        <v>1</v>
      </c>
      <c r="BK1580">
        <v>0</v>
      </c>
      <c r="BL1580">
        <v>0</v>
      </c>
      <c r="BO1580">
        <v>0</v>
      </c>
      <c r="BP1580">
        <v>0</v>
      </c>
      <c r="BW1580" t="str">
        <f t="shared" ref="BW1580:BW1588" si="751">"14:43:53.435"</f>
        <v>14:43:53.435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343</v>
      </c>
      <c r="CR1580">
        <v>1</v>
      </c>
      <c r="CW1580">
        <v>10687041</v>
      </c>
      <c r="CY1580">
        <v>1</v>
      </c>
      <c r="CZ1580">
        <v>0</v>
      </c>
      <c r="DA1580">
        <v>0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 t="shared" si="748"/>
        <v>05/12/2020 14:43:35.597</v>
      </c>
      <c r="C1581" t="str">
        <f t="shared" si="738"/>
        <v>FFDFD3C0</v>
      </c>
      <c r="D1581" t="s">
        <v>138</v>
      </c>
      <c r="E1581">
        <v>3</v>
      </c>
      <c r="H1581">
        <v>9</v>
      </c>
      <c r="I1581" t="s">
        <v>140</v>
      </c>
      <c r="J1581" t="s">
        <v>136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749"/>
        <v>14:43:53.430</v>
      </c>
      <c r="T1581" t="str">
        <f t="shared" si="750"/>
        <v>14:43:53.230</v>
      </c>
      <c r="U1581" t="str">
        <f t="shared" si="730"/>
        <v>A9808D</v>
      </c>
      <c r="V1581">
        <v>0</v>
      </c>
      <c r="W1581">
        <v>0</v>
      </c>
      <c r="X1581">
        <v>1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429</v>
      </c>
      <c r="AJ1581">
        <v>28.281469000000001</v>
      </c>
      <c r="AK1581" t="s">
        <v>430</v>
      </c>
      <c r="AL1581">
        <v>-82.368106999999995</v>
      </c>
      <c r="AM1581">
        <v>100</v>
      </c>
      <c r="AN1581">
        <v>1700</v>
      </c>
      <c r="AO1581" t="s">
        <v>118</v>
      </c>
      <c r="AP1581">
        <v>66</v>
      </c>
      <c r="AQ1581">
        <v>-68</v>
      </c>
      <c r="AR1581">
        <v>448</v>
      </c>
      <c r="AZ1581">
        <v>1200</v>
      </c>
      <c r="BA1581">
        <v>1</v>
      </c>
      <c r="BB1581" t="str">
        <f t="shared" si="739"/>
        <v xml:space="preserve">N711JA  </v>
      </c>
      <c r="BC1581">
        <v>1</v>
      </c>
      <c r="BE1581">
        <v>0</v>
      </c>
      <c r="BF1581">
        <v>0</v>
      </c>
      <c r="BG1581">
        <v>0</v>
      </c>
      <c r="BH1581">
        <v>1775</v>
      </c>
      <c r="BI1581">
        <v>1</v>
      </c>
      <c r="BJ1581">
        <v>1</v>
      </c>
      <c r="BK1581">
        <v>0</v>
      </c>
      <c r="BL1581">
        <v>0</v>
      </c>
      <c r="BO1581">
        <v>0</v>
      </c>
      <c r="BP1581">
        <v>0</v>
      </c>
      <c r="BW1581" t="str">
        <f t="shared" si="751"/>
        <v>14:43:53.435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343</v>
      </c>
      <c r="CR1581">
        <v>1</v>
      </c>
      <c r="CW1581">
        <v>10687041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 t="shared" si="748"/>
        <v>05/12/2020 14:43:35.597</v>
      </c>
      <c r="C1582" t="str">
        <f t="shared" si="738"/>
        <v>FFDFD3C0</v>
      </c>
      <c r="D1582" t="s">
        <v>113</v>
      </c>
      <c r="E1582">
        <v>3</v>
      </c>
      <c r="H1582">
        <v>164</v>
      </c>
      <c r="I1582" t="s">
        <v>114</v>
      </c>
      <c r="J1582" t="s">
        <v>115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749"/>
        <v>14:43:53.430</v>
      </c>
      <c r="T1582" t="str">
        <f t="shared" si="750"/>
        <v>14:43:53.230</v>
      </c>
      <c r="U1582" t="str">
        <f t="shared" si="730"/>
        <v>A9808D</v>
      </c>
      <c r="V1582">
        <v>0</v>
      </c>
      <c r="W1582">
        <v>0</v>
      </c>
      <c r="X1582">
        <v>1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429</v>
      </c>
      <c r="AJ1582">
        <v>28.281469000000001</v>
      </c>
      <c r="AK1582" t="s">
        <v>430</v>
      </c>
      <c r="AL1582">
        <v>-82.368106999999995</v>
      </c>
      <c r="AM1582">
        <v>100</v>
      </c>
      <c r="AN1582">
        <v>1700</v>
      </c>
      <c r="AO1582" t="s">
        <v>118</v>
      </c>
      <c r="AP1582">
        <v>66</v>
      </c>
      <c r="AQ1582">
        <v>-68</v>
      </c>
      <c r="AR1582">
        <v>448</v>
      </c>
      <c r="AZ1582">
        <v>1200</v>
      </c>
      <c r="BA1582">
        <v>1</v>
      </c>
      <c r="BB1582" t="str">
        <f t="shared" si="739"/>
        <v xml:space="preserve">N711JA  </v>
      </c>
      <c r="BC1582">
        <v>1</v>
      </c>
      <c r="BE1582">
        <v>0</v>
      </c>
      <c r="BF1582">
        <v>0</v>
      </c>
      <c r="BG1582">
        <v>0</v>
      </c>
      <c r="BH1582">
        <v>1775</v>
      </c>
      <c r="BI1582">
        <v>1</v>
      </c>
      <c r="BJ1582">
        <v>1</v>
      </c>
      <c r="BK1582">
        <v>0</v>
      </c>
      <c r="BL1582">
        <v>0</v>
      </c>
      <c r="BO1582">
        <v>0</v>
      </c>
      <c r="BP1582">
        <v>0</v>
      </c>
      <c r="BW1582" t="str">
        <f t="shared" si="751"/>
        <v>14:43:53.435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343</v>
      </c>
      <c r="CR1582">
        <v>1</v>
      </c>
      <c r="CW1582">
        <v>10687041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si="748"/>
        <v>05/12/2020 14:43:35.597</v>
      </c>
      <c r="C1583" t="str">
        <f t="shared" si="738"/>
        <v>FFDFD3C0</v>
      </c>
      <c r="D1583" t="s">
        <v>131</v>
      </c>
      <c r="E1583">
        <v>10</v>
      </c>
      <c r="F1583">
        <v>2010</v>
      </c>
      <c r="G1583" t="s">
        <v>132</v>
      </c>
      <c r="J1583" t="s">
        <v>133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749"/>
        <v>14:43:53.430</v>
      </c>
      <c r="T1583" t="str">
        <f t="shared" si="750"/>
        <v>14:43:53.230</v>
      </c>
      <c r="U1583" t="str">
        <f t="shared" si="730"/>
        <v>A9808D</v>
      </c>
      <c r="V1583">
        <v>0</v>
      </c>
      <c r="W1583">
        <v>0</v>
      </c>
      <c r="X1583">
        <v>1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429</v>
      </c>
      <c r="AJ1583">
        <v>28.281469000000001</v>
      </c>
      <c r="AK1583" t="s">
        <v>430</v>
      </c>
      <c r="AL1583">
        <v>-82.368106999999995</v>
      </c>
      <c r="AM1583">
        <v>100</v>
      </c>
      <c r="AN1583">
        <v>1700</v>
      </c>
      <c r="AO1583" t="s">
        <v>118</v>
      </c>
      <c r="AP1583">
        <v>66</v>
      </c>
      <c r="AQ1583">
        <v>-68</v>
      </c>
      <c r="AR1583">
        <v>448</v>
      </c>
      <c r="AZ1583">
        <v>1200</v>
      </c>
      <c r="BA1583">
        <v>1</v>
      </c>
      <c r="BB1583" t="str">
        <f t="shared" si="739"/>
        <v xml:space="preserve">N711JA  </v>
      </c>
      <c r="BC1583">
        <v>1</v>
      </c>
      <c r="BE1583">
        <v>0</v>
      </c>
      <c r="BF1583">
        <v>0</v>
      </c>
      <c r="BG1583">
        <v>0</v>
      </c>
      <c r="BH1583">
        <v>1775</v>
      </c>
      <c r="BI1583">
        <v>1</v>
      </c>
      <c r="BJ1583">
        <v>1</v>
      </c>
      <c r="BK1583">
        <v>0</v>
      </c>
      <c r="BL1583">
        <v>0</v>
      </c>
      <c r="BO1583">
        <v>0</v>
      </c>
      <c r="BP1583">
        <v>0</v>
      </c>
      <c r="BW1583" t="str">
        <f t="shared" si="751"/>
        <v>14:43:53.435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343</v>
      </c>
      <c r="CR1583">
        <v>1</v>
      </c>
      <c r="CW1583">
        <v>10687041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748"/>
        <v>05/12/2020 14:43:35.597</v>
      </c>
      <c r="C1584" t="str">
        <f t="shared" si="738"/>
        <v>FFDFD3C0</v>
      </c>
      <c r="D1584" t="s">
        <v>126</v>
      </c>
      <c r="E1584">
        <v>7</v>
      </c>
      <c r="F1584">
        <v>1007</v>
      </c>
      <c r="G1584" t="s">
        <v>127</v>
      </c>
      <c r="J1584" t="s">
        <v>128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749"/>
        <v>14:43:53.430</v>
      </c>
      <c r="T1584" t="str">
        <f t="shared" si="750"/>
        <v>14:43:53.230</v>
      </c>
      <c r="U1584" t="str">
        <f t="shared" si="730"/>
        <v>A9808D</v>
      </c>
      <c r="V1584">
        <v>0</v>
      </c>
      <c r="W1584">
        <v>0</v>
      </c>
      <c r="X1584">
        <v>1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429</v>
      </c>
      <c r="AJ1584">
        <v>28.281469000000001</v>
      </c>
      <c r="AK1584" t="s">
        <v>430</v>
      </c>
      <c r="AL1584">
        <v>-82.368106999999995</v>
      </c>
      <c r="AM1584">
        <v>100</v>
      </c>
      <c r="AN1584">
        <v>1700</v>
      </c>
      <c r="AO1584" t="s">
        <v>118</v>
      </c>
      <c r="AP1584">
        <v>66</v>
      </c>
      <c r="AQ1584">
        <v>-68</v>
      </c>
      <c r="AR1584">
        <v>448</v>
      </c>
      <c r="AZ1584">
        <v>1200</v>
      </c>
      <c r="BA1584">
        <v>1</v>
      </c>
      <c r="BB1584" t="str">
        <f t="shared" si="739"/>
        <v xml:space="preserve">N711JA  </v>
      </c>
      <c r="BC1584">
        <v>1</v>
      </c>
      <c r="BE1584">
        <v>0</v>
      </c>
      <c r="BF1584">
        <v>0</v>
      </c>
      <c r="BG1584">
        <v>0</v>
      </c>
      <c r="BH1584">
        <v>1775</v>
      </c>
      <c r="BI1584">
        <v>1</v>
      </c>
      <c r="BJ1584">
        <v>1</v>
      </c>
      <c r="BK1584">
        <v>0</v>
      </c>
      <c r="BL1584">
        <v>0</v>
      </c>
      <c r="BO1584">
        <v>0</v>
      </c>
      <c r="BP1584">
        <v>0</v>
      </c>
      <c r="BW1584" t="str">
        <f t="shared" si="751"/>
        <v>14:43:53.435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343</v>
      </c>
      <c r="CR1584">
        <v>1</v>
      </c>
      <c r="CW1584">
        <v>10687041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si="748"/>
        <v>05/12/2020 14:43:35.597</v>
      </c>
      <c r="C1585" t="str">
        <f t="shared" si="738"/>
        <v>FFDFD3C0</v>
      </c>
      <c r="D1585" t="s">
        <v>131</v>
      </c>
      <c r="E1585">
        <v>12</v>
      </c>
      <c r="F1585">
        <v>2012</v>
      </c>
      <c r="G1585" t="s">
        <v>137</v>
      </c>
      <c r="J1585" t="s">
        <v>133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749"/>
        <v>14:43:53.430</v>
      </c>
      <c r="T1585" t="str">
        <f t="shared" si="750"/>
        <v>14:43:53.230</v>
      </c>
      <c r="U1585" t="str">
        <f t="shared" si="730"/>
        <v>A9808D</v>
      </c>
      <c r="V1585">
        <v>0</v>
      </c>
      <c r="W1585">
        <v>0</v>
      </c>
      <c r="X1585">
        <v>1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429</v>
      </c>
      <c r="AJ1585">
        <v>28.281469000000001</v>
      </c>
      <c r="AK1585" t="s">
        <v>430</v>
      </c>
      <c r="AL1585">
        <v>-82.368106999999995</v>
      </c>
      <c r="AM1585">
        <v>100</v>
      </c>
      <c r="AN1585">
        <v>1700</v>
      </c>
      <c r="AO1585" t="s">
        <v>118</v>
      </c>
      <c r="AP1585">
        <v>66</v>
      </c>
      <c r="AQ1585">
        <v>-68</v>
      </c>
      <c r="AR1585">
        <v>448</v>
      </c>
      <c r="AZ1585">
        <v>1200</v>
      </c>
      <c r="BA1585">
        <v>1</v>
      </c>
      <c r="BB1585" t="str">
        <f t="shared" si="739"/>
        <v xml:space="preserve">N711JA  </v>
      </c>
      <c r="BC1585">
        <v>1</v>
      </c>
      <c r="BE1585">
        <v>0</v>
      </c>
      <c r="BF1585">
        <v>0</v>
      </c>
      <c r="BG1585">
        <v>0</v>
      </c>
      <c r="BH1585">
        <v>1775</v>
      </c>
      <c r="BI1585">
        <v>1</v>
      </c>
      <c r="BJ1585">
        <v>1</v>
      </c>
      <c r="BK1585">
        <v>0</v>
      </c>
      <c r="BL1585">
        <v>0</v>
      </c>
      <c r="BO1585">
        <v>0</v>
      </c>
      <c r="BP1585">
        <v>0</v>
      </c>
      <c r="BW1585" t="str">
        <f t="shared" si="751"/>
        <v>14:43:53.435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343</v>
      </c>
      <c r="CR1585">
        <v>1</v>
      </c>
      <c r="CW1585">
        <v>10687041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748"/>
        <v>05/12/2020 14:43:35.597</v>
      </c>
      <c r="C1586" t="str">
        <f t="shared" si="738"/>
        <v>FFDFD3C0</v>
      </c>
      <c r="D1586" t="s">
        <v>131</v>
      </c>
      <c r="E1586">
        <v>18</v>
      </c>
      <c r="F1586">
        <v>2018</v>
      </c>
      <c r="G1586" t="s">
        <v>161</v>
      </c>
      <c r="J1586" t="s">
        <v>133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749"/>
        <v>14:43:53.430</v>
      </c>
      <c r="T1586" t="str">
        <f t="shared" si="750"/>
        <v>14:43:53.230</v>
      </c>
      <c r="U1586" t="str">
        <f t="shared" si="730"/>
        <v>A9808D</v>
      </c>
      <c r="V1586">
        <v>0</v>
      </c>
      <c r="W1586">
        <v>0</v>
      </c>
      <c r="X1586">
        <v>1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429</v>
      </c>
      <c r="AJ1586">
        <v>28.281469000000001</v>
      </c>
      <c r="AK1586" t="s">
        <v>430</v>
      </c>
      <c r="AL1586">
        <v>-82.368106999999995</v>
      </c>
      <c r="AM1586">
        <v>100</v>
      </c>
      <c r="AN1586">
        <v>1700</v>
      </c>
      <c r="AO1586" t="s">
        <v>118</v>
      </c>
      <c r="AP1586">
        <v>66</v>
      </c>
      <c r="AQ1586">
        <v>-68</v>
      </c>
      <c r="AR1586">
        <v>448</v>
      </c>
      <c r="AZ1586">
        <v>1200</v>
      </c>
      <c r="BA1586">
        <v>1</v>
      </c>
      <c r="BB1586" t="str">
        <f t="shared" si="739"/>
        <v xml:space="preserve">N711JA  </v>
      </c>
      <c r="BC1586">
        <v>1</v>
      </c>
      <c r="BE1586">
        <v>0</v>
      </c>
      <c r="BF1586">
        <v>0</v>
      </c>
      <c r="BG1586">
        <v>0</v>
      </c>
      <c r="BH1586">
        <v>1775</v>
      </c>
      <c r="BI1586">
        <v>1</v>
      </c>
      <c r="BJ1586">
        <v>1</v>
      </c>
      <c r="BK1586">
        <v>0</v>
      </c>
      <c r="BL1586">
        <v>0</v>
      </c>
      <c r="BO1586">
        <v>0</v>
      </c>
      <c r="BP1586">
        <v>0</v>
      </c>
      <c r="BW1586" t="str">
        <f t="shared" si="751"/>
        <v>14:43:53.435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343</v>
      </c>
      <c r="CR1586">
        <v>1</v>
      </c>
      <c r="CW1586">
        <v>10687041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 t="shared" si="748"/>
        <v>05/12/2020 14:43:35.597</v>
      </c>
      <c r="C1587" t="str">
        <f t="shared" si="738"/>
        <v>FFDFD3C0</v>
      </c>
      <c r="D1587" t="s">
        <v>134</v>
      </c>
      <c r="E1587">
        <v>12</v>
      </c>
      <c r="H1587">
        <v>64</v>
      </c>
      <c r="I1587" t="s">
        <v>135</v>
      </c>
      <c r="J1587" t="s">
        <v>136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749"/>
        <v>14:43:53.430</v>
      </c>
      <c r="T1587" t="str">
        <f t="shared" si="750"/>
        <v>14:43:53.230</v>
      </c>
      <c r="U1587" t="str">
        <f t="shared" si="730"/>
        <v>A9808D</v>
      </c>
      <c r="V1587">
        <v>0</v>
      </c>
      <c r="W1587">
        <v>0</v>
      </c>
      <c r="X1587">
        <v>1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429</v>
      </c>
      <c r="AJ1587">
        <v>28.281469000000001</v>
      </c>
      <c r="AK1587" t="s">
        <v>430</v>
      </c>
      <c r="AL1587">
        <v>-82.368106999999995</v>
      </c>
      <c r="AM1587">
        <v>100</v>
      </c>
      <c r="AN1587">
        <v>1700</v>
      </c>
      <c r="AO1587" t="s">
        <v>118</v>
      </c>
      <c r="AP1587">
        <v>66</v>
      </c>
      <c r="AQ1587">
        <v>-68</v>
      </c>
      <c r="AR1587">
        <v>448</v>
      </c>
      <c r="AZ1587">
        <v>1200</v>
      </c>
      <c r="BA1587">
        <v>1</v>
      </c>
      <c r="BB1587" t="str">
        <f t="shared" si="739"/>
        <v xml:space="preserve">N711JA  </v>
      </c>
      <c r="BC1587">
        <v>1</v>
      </c>
      <c r="BE1587">
        <v>0</v>
      </c>
      <c r="BF1587">
        <v>0</v>
      </c>
      <c r="BG1587">
        <v>0</v>
      </c>
      <c r="BH1587">
        <v>1775</v>
      </c>
      <c r="BI1587">
        <v>1</v>
      </c>
      <c r="BJ1587">
        <v>1</v>
      </c>
      <c r="BK1587">
        <v>0</v>
      </c>
      <c r="BL1587">
        <v>0</v>
      </c>
      <c r="BO1587">
        <v>0</v>
      </c>
      <c r="BP1587">
        <v>0</v>
      </c>
      <c r="BW1587" t="str">
        <f t="shared" si="751"/>
        <v>14:43:53.435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343</v>
      </c>
      <c r="CR1587">
        <v>1</v>
      </c>
      <c r="CW1587">
        <v>10687041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si="748"/>
        <v>05/12/2020 14:43:35.597</v>
      </c>
      <c r="C1588" t="str">
        <f t="shared" si="738"/>
        <v>FFDFD3C0</v>
      </c>
      <c r="D1588" t="s">
        <v>126</v>
      </c>
      <c r="E1588">
        <v>6</v>
      </c>
      <c r="F1588">
        <v>1006</v>
      </c>
      <c r="G1588" t="s">
        <v>114</v>
      </c>
      <c r="J1588" t="s">
        <v>128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749"/>
        <v>14:43:53.430</v>
      </c>
      <c r="T1588" t="str">
        <f t="shared" si="750"/>
        <v>14:43:53.230</v>
      </c>
      <c r="U1588" t="str">
        <f t="shared" si="730"/>
        <v>A9808D</v>
      </c>
      <c r="V1588">
        <v>0</v>
      </c>
      <c r="W1588">
        <v>0</v>
      </c>
      <c r="X1588">
        <v>1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429</v>
      </c>
      <c r="AJ1588">
        <v>28.281469000000001</v>
      </c>
      <c r="AK1588" t="s">
        <v>430</v>
      </c>
      <c r="AL1588">
        <v>-82.368106999999995</v>
      </c>
      <c r="AM1588">
        <v>100</v>
      </c>
      <c r="AN1588">
        <v>1700</v>
      </c>
      <c r="AO1588" t="s">
        <v>118</v>
      </c>
      <c r="AP1588">
        <v>66</v>
      </c>
      <c r="AQ1588">
        <v>-68</v>
      </c>
      <c r="AR1588">
        <v>448</v>
      </c>
      <c r="AZ1588">
        <v>1200</v>
      </c>
      <c r="BA1588">
        <v>1</v>
      </c>
      <c r="BB1588" t="str">
        <f t="shared" si="739"/>
        <v xml:space="preserve">N711JA  </v>
      </c>
      <c r="BC1588">
        <v>1</v>
      </c>
      <c r="BE1588">
        <v>0</v>
      </c>
      <c r="BF1588">
        <v>0</v>
      </c>
      <c r="BG1588">
        <v>0</v>
      </c>
      <c r="BH1588">
        <v>1775</v>
      </c>
      <c r="BI1588">
        <v>1</v>
      </c>
      <c r="BJ1588">
        <v>1</v>
      </c>
      <c r="BK1588">
        <v>0</v>
      </c>
      <c r="BL1588">
        <v>0</v>
      </c>
      <c r="BO1588">
        <v>0</v>
      </c>
      <c r="BP1588">
        <v>0</v>
      </c>
      <c r="BW1588" t="str">
        <f t="shared" si="751"/>
        <v>14:43:53.435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343</v>
      </c>
      <c r="CR1588">
        <v>1</v>
      </c>
      <c r="CW1588">
        <v>10687041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 t="shared" ref="A1589:A1597" si="752">"05/12/2020 14:43:36.537"</f>
        <v>05/12/2020 14:43:36.537</v>
      </c>
      <c r="C1589" t="str">
        <f t="shared" si="738"/>
        <v>FFDFD3C0</v>
      </c>
      <c r="D1589" t="s">
        <v>131</v>
      </c>
      <c r="E1589">
        <v>18</v>
      </c>
      <c r="F1589">
        <v>2018</v>
      </c>
      <c r="G1589" t="s">
        <v>161</v>
      </c>
      <c r="J1589" t="s">
        <v>133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ref="S1589:S1597" si="753">"14:43:54.352"</f>
        <v>14:43:54.352</v>
      </c>
      <c r="T1589" t="str">
        <f t="shared" ref="T1589:T1597" si="754">"14:43:54.252"</f>
        <v>14:43:54.252</v>
      </c>
      <c r="U1589" t="str">
        <f t="shared" si="730"/>
        <v>A9808D</v>
      </c>
      <c r="V1589">
        <v>0</v>
      </c>
      <c r="W1589">
        <v>0</v>
      </c>
      <c r="X1589">
        <v>1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431</v>
      </c>
      <c r="AJ1589">
        <v>28.281189999999999</v>
      </c>
      <c r="AK1589" t="s">
        <v>432</v>
      </c>
      <c r="AL1589">
        <v>-82.367784999999998</v>
      </c>
      <c r="AM1589">
        <v>100</v>
      </c>
      <c r="AN1589">
        <v>1700</v>
      </c>
      <c r="AO1589" t="s">
        <v>118</v>
      </c>
      <c r="AP1589">
        <v>65</v>
      </c>
      <c r="AQ1589">
        <v>-70</v>
      </c>
      <c r="AR1589">
        <v>640</v>
      </c>
      <c r="AZ1589">
        <v>1200</v>
      </c>
      <c r="BA1589">
        <v>1</v>
      </c>
      <c r="BB1589" t="str">
        <f t="shared" si="739"/>
        <v xml:space="preserve">N711JA  </v>
      </c>
      <c r="BC1589">
        <v>1</v>
      </c>
      <c r="BE1589">
        <v>0</v>
      </c>
      <c r="BF1589">
        <v>0</v>
      </c>
      <c r="BG1589">
        <v>0</v>
      </c>
      <c r="BH1589">
        <v>1775</v>
      </c>
      <c r="BI1589">
        <v>1</v>
      </c>
      <c r="BJ1589">
        <v>1</v>
      </c>
      <c r="BK1589">
        <v>0</v>
      </c>
      <c r="BL1589">
        <v>0</v>
      </c>
      <c r="BO1589">
        <v>0</v>
      </c>
      <c r="BP1589">
        <v>0</v>
      </c>
      <c r="BW1589" t="str">
        <f t="shared" ref="BW1589:BW1597" si="755">"14:43:54.357"</f>
        <v>14:43:54.357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343</v>
      </c>
      <c r="CR1589">
        <v>1</v>
      </c>
      <c r="CW1589">
        <v>10688080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 t="shared" si="752"/>
        <v>05/12/2020 14:43:36.537</v>
      </c>
      <c r="C1590" t="str">
        <f t="shared" si="738"/>
        <v>FFDFD3C0</v>
      </c>
      <c r="D1590" t="s">
        <v>126</v>
      </c>
      <c r="E1590">
        <v>6</v>
      </c>
      <c r="F1590">
        <v>1006</v>
      </c>
      <c r="G1590" t="s">
        <v>114</v>
      </c>
      <c r="J1590" t="s">
        <v>128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753"/>
        <v>14:43:54.352</v>
      </c>
      <c r="T1590" t="str">
        <f t="shared" si="754"/>
        <v>14:43:54.252</v>
      </c>
      <c r="U1590" t="str">
        <f t="shared" si="730"/>
        <v>A9808D</v>
      </c>
      <c r="V1590">
        <v>0</v>
      </c>
      <c r="W1590">
        <v>0</v>
      </c>
      <c r="X1590">
        <v>1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431</v>
      </c>
      <c r="AJ1590">
        <v>28.281189999999999</v>
      </c>
      <c r="AK1590" t="s">
        <v>432</v>
      </c>
      <c r="AL1590">
        <v>-82.367784999999998</v>
      </c>
      <c r="AM1590">
        <v>100</v>
      </c>
      <c r="AN1590">
        <v>1700</v>
      </c>
      <c r="AO1590" t="s">
        <v>118</v>
      </c>
      <c r="AP1590">
        <v>65</v>
      </c>
      <c r="AQ1590">
        <v>-70</v>
      </c>
      <c r="AR1590">
        <v>640</v>
      </c>
      <c r="AZ1590">
        <v>1200</v>
      </c>
      <c r="BA1590">
        <v>1</v>
      </c>
      <c r="BB1590" t="str">
        <f t="shared" si="739"/>
        <v xml:space="preserve">N711JA  </v>
      </c>
      <c r="BC1590">
        <v>1</v>
      </c>
      <c r="BE1590">
        <v>0</v>
      </c>
      <c r="BF1590">
        <v>0</v>
      </c>
      <c r="BG1590">
        <v>0</v>
      </c>
      <c r="BH1590">
        <v>1775</v>
      </c>
      <c r="BI1590">
        <v>1</v>
      </c>
      <c r="BJ1590">
        <v>1</v>
      </c>
      <c r="BK1590">
        <v>0</v>
      </c>
      <c r="BL1590">
        <v>0</v>
      </c>
      <c r="BO1590">
        <v>0</v>
      </c>
      <c r="BP1590">
        <v>0</v>
      </c>
      <c r="BW1590" t="str">
        <f t="shared" si="755"/>
        <v>14:43:54.357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343</v>
      </c>
      <c r="CR1590">
        <v>1</v>
      </c>
      <c r="CW1590">
        <v>10688080</v>
      </c>
      <c r="CY1590">
        <v>0</v>
      </c>
      <c r="CZ1590">
        <v>0</v>
      </c>
      <c r="DA1590">
        <v>1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 t="shared" si="752"/>
        <v>05/12/2020 14:43:36.537</v>
      </c>
      <c r="C1591" t="str">
        <f t="shared" si="738"/>
        <v>FFDFD3C0</v>
      </c>
      <c r="D1591" t="s">
        <v>134</v>
      </c>
      <c r="E1591">
        <v>12</v>
      </c>
      <c r="H1591">
        <v>64</v>
      </c>
      <c r="I1591" t="s">
        <v>135</v>
      </c>
      <c r="J1591" t="s">
        <v>136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753"/>
        <v>14:43:54.352</v>
      </c>
      <c r="T1591" t="str">
        <f t="shared" si="754"/>
        <v>14:43:54.252</v>
      </c>
      <c r="U1591" t="str">
        <f t="shared" si="730"/>
        <v>A9808D</v>
      </c>
      <c r="V1591">
        <v>0</v>
      </c>
      <c r="W1591">
        <v>0</v>
      </c>
      <c r="X1591">
        <v>1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431</v>
      </c>
      <c r="AJ1591">
        <v>28.281189999999999</v>
      </c>
      <c r="AK1591" t="s">
        <v>432</v>
      </c>
      <c r="AL1591">
        <v>-82.367784999999998</v>
      </c>
      <c r="AM1591">
        <v>100</v>
      </c>
      <c r="AN1591">
        <v>1700</v>
      </c>
      <c r="AO1591" t="s">
        <v>118</v>
      </c>
      <c r="AP1591">
        <v>65</v>
      </c>
      <c r="AQ1591">
        <v>-70</v>
      </c>
      <c r="AR1591">
        <v>640</v>
      </c>
      <c r="AZ1591">
        <v>1200</v>
      </c>
      <c r="BA1591">
        <v>1</v>
      </c>
      <c r="BB1591" t="str">
        <f t="shared" si="739"/>
        <v xml:space="preserve">N711JA  </v>
      </c>
      <c r="BC1591">
        <v>1</v>
      </c>
      <c r="BE1591">
        <v>0</v>
      </c>
      <c r="BF1591">
        <v>0</v>
      </c>
      <c r="BG1591">
        <v>0</v>
      </c>
      <c r="BH1591">
        <v>1775</v>
      </c>
      <c r="BI1591">
        <v>1</v>
      </c>
      <c r="BJ1591">
        <v>1</v>
      </c>
      <c r="BK1591">
        <v>0</v>
      </c>
      <c r="BL1591">
        <v>0</v>
      </c>
      <c r="BO1591">
        <v>0</v>
      </c>
      <c r="BP1591">
        <v>0</v>
      </c>
      <c r="BW1591" t="str">
        <f t="shared" si="755"/>
        <v>14:43:54.357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343</v>
      </c>
      <c r="CR1591">
        <v>1</v>
      </c>
      <c r="CW1591">
        <v>10688080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 t="shared" si="752"/>
        <v>05/12/2020 14:43:36.537</v>
      </c>
      <c r="C1592" t="str">
        <f t="shared" si="738"/>
        <v>FFDFD3C0</v>
      </c>
      <c r="D1592" t="s">
        <v>138</v>
      </c>
      <c r="E1592">
        <v>3</v>
      </c>
      <c r="H1592">
        <v>9</v>
      </c>
      <c r="I1592" t="s">
        <v>140</v>
      </c>
      <c r="J1592" t="s">
        <v>136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753"/>
        <v>14:43:54.352</v>
      </c>
      <c r="T1592" t="str">
        <f t="shared" si="754"/>
        <v>14:43:54.252</v>
      </c>
      <c r="U1592" t="str">
        <f t="shared" si="730"/>
        <v>A9808D</v>
      </c>
      <c r="V1592">
        <v>0</v>
      </c>
      <c r="W1592">
        <v>0</v>
      </c>
      <c r="X1592">
        <v>1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431</v>
      </c>
      <c r="AJ1592">
        <v>28.281189999999999</v>
      </c>
      <c r="AK1592" t="s">
        <v>432</v>
      </c>
      <c r="AL1592">
        <v>-82.367784999999998</v>
      </c>
      <c r="AM1592">
        <v>100</v>
      </c>
      <c r="AN1592">
        <v>1700</v>
      </c>
      <c r="AO1592" t="s">
        <v>118</v>
      </c>
      <c r="AP1592">
        <v>65</v>
      </c>
      <c r="AQ1592">
        <v>-70</v>
      </c>
      <c r="AR1592">
        <v>640</v>
      </c>
      <c r="AZ1592">
        <v>1200</v>
      </c>
      <c r="BA1592">
        <v>1</v>
      </c>
      <c r="BB1592" t="str">
        <f t="shared" si="739"/>
        <v xml:space="preserve">N711JA  </v>
      </c>
      <c r="BC1592">
        <v>1</v>
      </c>
      <c r="BE1592">
        <v>0</v>
      </c>
      <c r="BF1592">
        <v>0</v>
      </c>
      <c r="BG1592">
        <v>0</v>
      </c>
      <c r="BH1592">
        <v>1775</v>
      </c>
      <c r="BI1592">
        <v>1</v>
      </c>
      <c r="BJ1592">
        <v>1</v>
      </c>
      <c r="BK1592">
        <v>0</v>
      </c>
      <c r="BL1592">
        <v>0</v>
      </c>
      <c r="BO1592">
        <v>0</v>
      </c>
      <c r="BP1592">
        <v>0</v>
      </c>
      <c r="BW1592" t="str">
        <f t="shared" si="755"/>
        <v>14:43:54.357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343</v>
      </c>
      <c r="CR1592">
        <v>1</v>
      </c>
      <c r="CW1592">
        <v>10688080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 t="shared" si="752"/>
        <v>05/12/2020 14:43:36.537</v>
      </c>
      <c r="C1593" t="str">
        <f t="shared" si="738"/>
        <v>FFDFD3C0</v>
      </c>
      <c r="D1593" t="s">
        <v>138</v>
      </c>
      <c r="E1593">
        <v>2</v>
      </c>
      <c r="H1593">
        <v>8</v>
      </c>
      <c r="I1593" t="s">
        <v>139</v>
      </c>
      <c r="J1593" t="s">
        <v>136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753"/>
        <v>14:43:54.352</v>
      </c>
      <c r="T1593" t="str">
        <f t="shared" si="754"/>
        <v>14:43:54.252</v>
      </c>
      <c r="U1593" t="str">
        <f t="shared" si="730"/>
        <v>A9808D</v>
      </c>
      <c r="V1593">
        <v>0</v>
      </c>
      <c r="W1593">
        <v>0</v>
      </c>
      <c r="X1593">
        <v>1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431</v>
      </c>
      <c r="AJ1593">
        <v>28.281189999999999</v>
      </c>
      <c r="AK1593" t="s">
        <v>432</v>
      </c>
      <c r="AL1593">
        <v>-82.367784999999998</v>
      </c>
      <c r="AM1593">
        <v>100</v>
      </c>
      <c r="AN1593">
        <v>1700</v>
      </c>
      <c r="AO1593" t="s">
        <v>118</v>
      </c>
      <c r="AP1593">
        <v>65</v>
      </c>
      <c r="AQ1593">
        <v>-70</v>
      </c>
      <c r="AR1593">
        <v>640</v>
      </c>
      <c r="AZ1593">
        <v>1200</v>
      </c>
      <c r="BA1593">
        <v>1</v>
      </c>
      <c r="BB1593" t="str">
        <f t="shared" si="739"/>
        <v xml:space="preserve">N711JA  </v>
      </c>
      <c r="BC1593">
        <v>1</v>
      </c>
      <c r="BE1593">
        <v>0</v>
      </c>
      <c r="BF1593">
        <v>0</v>
      </c>
      <c r="BG1593">
        <v>0</v>
      </c>
      <c r="BH1593">
        <v>1775</v>
      </c>
      <c r="BI1593">
        <v>1</v>
      </c>
      <c r="BJ1593">
        <v>1</v>
      </c>
      <c r="BK1593">
        <v>0</v>
      </c>
      <c r="BL1593">
        <v>0</v>
      </c>
      <c r="BO1593">
        <v>0</v>
      </c>
      <c r="BP1593">
        <v>0</v>
      </c>
      <c r="BW1593" t="str">
        <f t="shared" si="755"/>
        <v>14:43:54.357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343</v>
      </c>
      <c r="CR1593">
        <v>1</v>
      </c>
      <c r="CW1593">
        <v>10688080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 t="shared" si="752"/>
        <v>05/12/2020 14:43:36.537</v>
      </c>
      <c r="C1594" t="str">
        <f t="shared" si="738"/>
        <v>FFDFD3C0</v>
      </c>
      <c r="D1594" t="s">
        <v>113</v>
      </c>
      <c r="E1594">
        <v>3</v>
      </c>
      <c r="H1594">
        <v>164</v>
      </c>
      <c r="I1594" t="s">
        <v>114</v>
      </c>
      <c r="J1594" t="s">
        <v>115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753"/>
        <v>14:43:54.352</v>
      </c>
      <c r="T1594" t="str">
        <f t="shared" si="754"/>
        <v>14:43:54.252</v>
      </c>
      <c r="U1594" t="str">
        <f t="shared" si="730"/>
        <v>A9808D</v>
      </c>
      <c r="V1594">
        <v>0</v>
      </c>
      <c r="W1594">
        <v>0</v>
      </c>
      <c r="X1594">
        <v>1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431</v>
      </c>
      <c r="AJ1594">
        <v>28.281189999999999</v>
      </c>
      <c r="AK1594" t="s">
        <v>432</v>
      </c>
      <c r="AL1594">
        <v>-82.367784999999998</v>
      </c>
      <c r="AM1594">
        <v>100</v>
      </c>
      <c r="AN1594">
        <v>1700</v>
      </c>
      <c r="AO1594" t="s">
        <v>118</v>
      </c>
      <c r="AP1594">
        <v>65</v>
      </c>
      <c r="AQ1594">
        <v>-70</v>
      </c>
      <c r="AR1594">
        <v>640</v>
      </c>
      <c r="AZ1594">
        <v>1200</v>
      </c>
      <c r="BA1594">
        <v>1</v>
      </c>
      <c r="BB1594" t="str">
        <f t="shared" si="739"/>
        <v xml:space="preserve">N711JA  </v>
      </c>
      <c r="BC1594">
        <v>1</v>
      </c>
      <c r="BE1594">
        <v>0</v>
      </c>
      <c r="BF1594">
        <v>0</v>
      </c>
      <c r="BG1594">
        <v>0</v>
      </c>
      <c r="BH1594">
        <v>1775</v>
      </c>
      <c r="BI1594">
        <v>1</v>
      </c>
      <c r="BJ1594">
        <v>1</v>
      </c>
      <c r="BK1594">
        <v>0</v>
      </c>
      <c r="BL1594">
        <v>0</v>
      </c>
      <c r="BO1594">
        <v>0</v>
      </c>
      <c r="BP1594">
        <v>0</v>
      </c>
      <c r="BW1594" t="str">
        <f t="shared" si="755"/>
        <v>14:43:54.357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343</v>
      </c>
      <c r="CR1594">
        <v>1</v>
      </c>
      <c r="CW1594">
        <v>10688080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 t="shared" si="752"/>
        <v>05/12/2020 14:43:36.537</v>
      </c>
      <c r="C1595" t="str">
        <f t="shared" si="738"/>
        <v>FFDFD3C0</v>
      </c>
      <c r="D1595" t="s">
        <v>131</v>
      </c>
      <c r="E1595">
        <v>10</v>
      </c>
      <c r="F1595">
        <v>2010</v>
      </c>
      <c r="G1595" t="s">
        <v>132</v>
      </c>
      <c r="J1595" t="s">
        <v>133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753"/>
        <v>14:43:54.352</v>
      </c>
      <c r="T1595" t="str">
        <f t="shared" si="754"/>
        <v>14:43:54.252</v>
      </c>
      <c r="U1595" t="str">
        <f t="shared" si="730"/>
        <v>A9808D</v>
      </c>
      <c r="V1595">
        <v>0</v>
      </c>
      <c r="W1595">
        <v>0</v>
      </c>
      <c r="X1595">
        <v>1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431</v>
      </c>
      <c r="AJ1595">
        <v>28.281189999999999</v>
      </c>
      <c r="AK1595" t="s">
        <v>432</v>
      </c>
      <c r="AL1595">
        <v>-82.367784999999998</v>
      </c>
      <c r="AM1595">
        <v>100</v>
      </c>
      <c r="AN1595">
        <v>1700</v>
      </c>
      <c r="AO1595" t="s">
        <v>118</v>
      </c>
      <c r="AP1595">
        <v>65</v>
      </c>
      <c r="AQ1595">
        <v>-70</v>
      </c>
      <c r="AR1595">
        <v>640</v>
      </c>
      <c r="AZ1595">
        <v>1200</v>
      </c>
      <c r="BA1595">
        <v>1</v>
      </c>
      <c r="BB1595" t="str">
        <f t="shared" si="739"/>
        <v xml:space="preserve">N711JA  </v>
      </c>
      <c r="BC1595">
        <v>1</v>
      </c>
      <c r="BE1595">
        <v>0</v>
      </c>
      <c r="BF1595">
        <v>0</v>
      </c>
      <c r="BG1595">
        <v>0</v>
      </c>
      <c r="BH1595">
        <v>1775</v>
      </c>
      <c r="BI1595">
        <v>1</v>
      </c>
      <c r="BJ1595">
        <v>1</v>
      </c>
      <c r="BK1595">
        <v>0</v>
      </c>
      <c r="BL1595">
        <v>0</v>
      </c>
      <c r="BO1595">
        <v>0</v>
      </c>
      <c r="BP1595">
        <v>0</v>
      </c>
      <c r="BW1595" t="str">
        <f t="shared" si="755"/>
        <v>14:43:54.357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343</v>
      </c>
      <c r="CR1595">
        <v>1</v>
      </c>
      <c r="CW1595">
        <v>10688080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 t="shared" si="752"/>
        <v>05/12/2020 14:43:36.537</v>
      </c>
      <c r="C1596" t="str">
        <f t="shared" si="738"/>
        <v>FFDFD3C0</v>
      </c>
      <c r="D1596" t="s">
        <v>126</v>
      </c>
      <c r="E1596">
        <v>7</v>
      </c>
      <c r="F1596">
        <v>1007</v>
      </c>
      <c r="G1596" t="s">
        <v>127</v>
      </c>
      <c r="J1596" t="s">
        <v>128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753"/>
        <v>14:43:54.352</v>
      </c>
      <c r="T1596" t="str">
        <f t="shared" si="754"/>
        <v>14:43:54.252</v>
      </c>
      <c r="U1596" t="str">
        <f t="shared" si="730"/>
        <v>A9808D</v>
      </c>
      <c r="V1596">
        <v>0</v>
      </c>
      <c r="W1596">
        <v>0</v>
      </c>
      <c r="X1596">
        <v>1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431</v>
      </c>
      <c r="AJ1596">
        <v>28.281189999999999</v>
      </c>
      <c r="AK1596" t="s">
        <v>432</v>
      </c>
      <c r="AL1596">
        <v>-82.367784999999998</v>
      </c>
      <c r="AM1596">
        <v>100</v>
      </c>
      <c r="AN1596">
        <v>1700</v>
      </c>
      <c r="AO1596" t="s">
        <v>118</v>
      </c>
      <c r="AP1596">
        <v>65</v>
      </c>
      <c r="AQ1596">
        <v>-70</v>
      </c>
      <c r="AR1596">
        <v>640</v>
      </c>
      <c r="AZ1596">
        <v>1200</v>
      </c>
      <c r="BA1596">
        <v>1</v>
      </c>
      <c r="BB1596" t="str">
        <f t="shared" si="739"/>
        <v xml:space="preserve">N711JA  </v>
      </c>
      <c r="BC1596">
        <v>1</v>
      </c>
      <c r="BE1596">
        <v>0</v>
      </c>
      <c r="BF1596">
        <v>0</v>
      </c>
      <c r="BG1596">
        <v>0</v>
      </c>
      <c r="BH1596">
        <v>1775</v>
      </c>
      <c r="BI1596">
        <v>1</v>
      </c>
      <c r="BJ1596">
        <v>1</v>
      </c>
      <c r="BK1596">
        <v>0</v>
      </c>
      <c r="BL1596">
        <v>0</v>
      </c>
      <c r="BO1596">
        <v>0</v>
      </c>
      <c r="BP1596">
        <v>0</v>
      </c>
      <c r="BW1596" t="str">
        <f t="shared" si="755"/>
        <v>14:43:54.357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343</v>
      </c>
      <c r="CR1596">
        <v>1</v>
      </c>
      <c r="CW1596">
        <v>10688080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 t="shared" si="752"/>
        <v>05/12/2020 14:43:36.537</v>
      </c>
      <c r="C1597" t="str">
        <f t="shared" si="738"/>
        <v>FFDFD3C0</v>
      </c>
      <c r="D1597" t="s">
        <v>131</v>
      </c>
      <c r="E1597">
        <v>12</v>
      </c>
      <c r="F1597">
        <v>2012</v>
      </c>
      <c r="G1597" t="s">
        <v>137</v>
      </c>
      <c r="J1597" t="s">
        <v>133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753"/>
        <v>14:43:54.352</v>
      </c>
      <c r="T1597" t="str">
        <f t="shared" si="754"/>
        <v>14:43:54.252</v>
      </c>
      <c r="U1597" t="str">
        <f t="shared" si="730"/>
        <v>A9808D</v>
      </c>
      <c r="V1597">
        <v>0</v>
      </c>
      <c r="W1597">
        <v>0</v>
      </c>
      <c r="X1597">
        <v>1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431</v>
      </c>
      <c r="AJ1597">
        <v>28.281189999999999</v>
      </c>
      <c r="AK1597" t="s">
        <v>432</v>
      </c>
      <c r="AL1597">
        <v>-82.367784999999998</v>
      </c>
      <c r="AM1597">
        <v>100</v>
      </c>
      <c r="AN1597">
        <v>1700</v>
      </c>
      <c r="AO1597" t="s">
        <v>118</v>
      </c>
      <c r="AP1597">
        <v>65</v>
      </c>
      <c r="AQ1597">
        <v>-70</v>
      </c>
      <c r="AR1597">
        <v>640</v>
      </c>
      <c r="AZ1597">
        <v>1200</v>
      </c>
      <c r="BA1597">
        <v>1</v>
      </c>
      <c r="BB1597" t="str">
        <f t="shared" si="739"/>
        <v xml:space="preserve">N711JA  </v>
      </c>
      <c r="BC1597">
        <v>1</v>
      </c>
      <c r="BE1597">
        <v>0</v>
      </c>
      <c r="BF1597">
        <v>0</v>
      </c>
      <c r="BG1597">
        <v>0</v>
      </c>
      <c r="BH1597">
        <v>1775</v>
      </c>
      <c r="BI1597">
        <v>1</v>
      </c>
      <c r="BJ1597">
        <v>1</v>
      </c>
      <c r="BK1597">
        <v>0</v>
      </c>
      <c r="BL1597">
        <v>0</v>
      </c>
      <c r="BO1597">
        <v>0</v>
      </c>
      <c r="BP1597">
        <v>0</v>
      </c>
      <c r="BW1597" t="str">
        <f t="shared" si="755"/>
        <v>14:43:54.357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343</v>
      </c>
      <c r="CR1597">
        <v>1</v>
      </c>
      <c r="CW1597">
        <v>10688080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 t="shared" ref="A1598:A1606" si="756">"05/12/2020 14:43:37.409"</f>
        <v>05/12/2020 14:43:37.409</v>
      </c>
      <c r="C1598" t="str">
        <f t="shared" si="738"/>
        <v>FFDFD3C0</v>
      </c>
      <c r="D1598" t="s">
        <v>134</v>
      </c>
      <c r="E1598">
        <v>12</v>
      </c>
      <c r="H1598">
        <v>64</v>
      </c>
      <c r="I1598" t="s">
        <v>135</v>
      </c>
      <c r="J1598" t="s">
        <v>136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ref="S1598:S1606" si="757">"14:43:55.242"</f>
        <v>14:43:55.242</v>
      </c>
      <c r="T1598" t="str">
        <f t="shared" ref="T1598:T1606" si="758">"14:43:54.742"</f>
        <v>14:43:54.742</v>
      </c>
      <c r="U1598" t="str">
        <f t="shared" si="730"/>
        <v>A9808D</v>
      </c>
      <c r="V1598">
        <v>0</v>
      </c>
      <c r="W1598">
        <v>0</v>
      </c>
      <c r="X1598">
        <v>1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433</v>
      </c>
      <c r="AJ1598">
        <v>28.280911</v>
      </c>
      <c r="AK1598" t="s">
        <v>434</v>
      </c>
      <c r="AL1598">
        <v>-82.367526999999995</v>
      </c>
      <c r="AM1598">
        <v>100</v>
      </c>
      <c r="AN1598">
        <v>1700</v>
      </c>
      <c r="AO1598" t="s">
        <v>118</v>
      </c>
      <c r="AP1598">
        <v>64</v>
      </c>
      <c r="AQ1598">
        <v>-70</v>
      </c>
      <c r="AR1598">
        <v>704</v>
      </c>
      <c r="AZ1598">
        <v>1200</v>
      </c>
      <c r="BA1598">
        <v>1</v>
      </c>
      <c r="BB1598" t="str">
        <f t="shared" si="739"/>
        <v xml:space="preserve">N711JA  </v>
      </c>
      <c r="BC1598">
        <v>1</v>
      </c>
      <c r="BE1598">
        <v>0</v>
      </c>
      <c r="BF1598">
        <v>0</v>
      </c>
      <c r="BG1598">
        <v>0</v>
      </c>
      <c r="BH1598">
        <v>1775</v>
      </c>
      <c r="BI1598">
        <v>1</v>
      </c>
      <c r="BJ1598">
        <v>1</v>
      </c>
      <c r="BK1598">
        <v>0</v>
      </c>
      <c r="BL1598">
        <v>0</v>
      </c>
      <c r="BO1598">
        <v>0</v>
      </c>
      <c r="BP1598">
        <v>0</v>
      </c>
      <c r="BW1598" t="str">
        <f t="shared" ref="BW1598:BW1606" si="759">"14:43:55.242"</f>
        <v>14:43:55.242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343</v>
      </c>
      <c r="CR1598">
        <v>1</v>
      </c>
      <c r="CW1598">
        <v>10688995</v>
      </c>
      <c r="CY1598">
        <v>1</v>
      </c>
      <c r="CZ1598">
        <v>0</v>
      </c>
      <c r="DA1598">
        <v>0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 t="shared" si="756"/>
        <v>05/12/2020 14:43:37.409</v>
      </c>
      <c r="C1599" t="str">
        <f t="shared" si="738"/>
        <v>FFDFD3C0</v>
      </c>
      <c r="D1599" t="s">
        <v>138</v>
      </c>
      <c r="E1599">
        <v>2</v>
      </c>
      <c r="H1599">
        <v>8</v>
      </c>
      <c r="I1599" t="s">
        <v>139</v>
      </c>
      <c r="J1599" t="s">
        <v>136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757"/>
        <v>14:43:55.242</v>
      </c>
      <c r="T1599" t="str">
        <f t="shared" si="758"/>
        <v>14:43:54.742</v>
      </c>
      <c r="U1599" t="str">
        <f t="shared" si="730"/>
        <v>A9808D</v>
      </c>
      <c r="V1599">
        <v>0</v>
      </c>
      <c r="W1599">
        <v>0</v>
      </c>
      <c r="X1599">
        <v>1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433</v>
      </c>
      <c r="AJ1599">
        <v>28.280911</v>
      </c>
      <c r="AK1599" t="s">
        <v>434</v>
      </c>
      <c r="AL1599">
        <v>-82.367526999999995</v>
      </c>
      <c r="AM1599">
        <v>100</v>
      </c>
      <c r="AN1599">
        <v>1700</v>
      </c>
      <c r="AO1599" t="s">
        <v>118</v>
      </c>
      <c r="AP1599">
        <v>64</v>
      </c>
      <c r="AQ1599">
        <v>-70</v>
      </c>
      <c r="AR1599">
        <v>704</v>
      </c>
      <c r="AZ1599">
        <v>1200</v>
      </c>
      <c r="BA1599">
        <v>1</v>
      </c>
      <c r="BB1599" t="str">
        <f t="shared" si="739"/>
        <v xml:space="preserve">N711JA  </v>
      </c>
      <c r="BC1599">
        <v>1</v>
      </c>
      <c r="BE1599">
        <v>0</v>
      </c>
      <c r="BF1599">
        <v>0</v>
      </c>
      <c r="BG1599">
        <v>0</v>
      </c>
      <c r="BH1599">
        <v>1775</v>
      </c>
      <c r="BI1599">
        <v>1</v>
      </c>
      <c r="BJ1599">
        <v>1</v>
      </c>
      <c r="BK1599">
        <v>0</v>
      </c>
      <c r="BL1599">
        <v>0</v>
      </c>
      <c r="BO1599">
        <v>0</v>
      </c>
      <c r="BP1599">
        <v>0</v>
      </c>
      <c r="BW1599" t="str">
        <f t="shared" si="759"/>
        <v>14:43:55.242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343</v>
      </c>
      <c r="CR1599">
        <v>1</v>
      </c>
      <c r="CW1599">
        <v>10688995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si="756"/>
        <v>05/12/2020 14:43:37.409</v>
      </c>
      <c r="C1600" t="str">
        <f t="shared" si="738"/>
        <v>FFDFD3C0</v>
      </c>
      <c r="D1600" t="s">
        <v>138</v>
      </c>
      <c r="E1600">
        <v>3</v>
      </c>
      <c r="H1600">
        <v>9</v>
      </c>
      <c r="I1600" t="s">
        <v>140</v>
      </c>
      <c r="J1600" t="s">
        <v>136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757"/>
        <v>14:43:55.242</v>
      </c>
      <c r="T1600" t="str">
        <f t="shared" si="758"/>
        <v>14:43:54.742</v>
      </c>
      <c r="U1600" t="str">
        <f t="shared" si="730"/>
        <v>A9808D</v>
      </c>
      <c r="V1600">
        <v>0</v>
      </c>
      <c r="W1600">
        <v>0</v>
      </c>
      <c r="X1600">
        <v>1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433</v>
      </c>
      <c r="AJ1600">
        <v>28.280911</v>
      </c>
      <c r="AK1600" t="s">
        <v>434</v>
      </c>
      <c r="AL1600">
        <v>-82.367526999999995</v>
      </c>
      <c r="AM1600">
        <v>100</v>
      </c>
      <c r="AN1600">
        <v>1700</v>
      </c>
      <c r="AO1600" t="s">
        <v>118</v>
      </c>
      <c r="AP1600">
        <v>64</v>
      </c>
      <c r="AQ1600">
        <v>-70</v>
      </c>
      <c r="AR1600">
        <v>704</v>
      </c>
      <c r="AZ1600">
        <v>1200</v>
      </c>
      <c r="BA1600">
        <v>1</v>
      </c>
      <c r="BB1600" t="str">
        <f t="shared" si="739"/>
        <v xml:space="preserve">N711JA  </v>
      </c>
      <c r="BC1600">
        <v>1</v>
      </c>
      <c r="BE1600">
        <v>0</v>
      </c>
      <c r="BF1600">
        <v>0</v>
      </c>
      <c r="BG1600">
        <v>0</v>
      </c>
      <c r="BH1600">
        <v>1775</v>
      </c>
      <c r="BI1600">
        <v>1</v>
      </c>
      <c r="BJ1600">
        <v>1</v>
      </c>
      <c r="BK1600">
        <v>0</v>
      </c>
      <c r="BL1600">
        <v>0</v>
      </c>
      <c r="BO1600">
        <v>0</v>
      </c>
      <c r="BP1600">
        <v>0</v>
      </c>
      <c r="BW1600" t="str">
        <f t="shared" si="759"/>
        <v>14:43:55.242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343</v>
      </c>
      <c r="CR1600">
        <v>1</v>
      </c>
      <c r="CW1600">
        <v>10688995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 t="shared" si="756"/>
        <v>05/12/2020 14:43:37.409</v>
      </c>
      <c r="C1601" t="str">
        <f t="shared" si="738"/>
        <v>FFDFD3C0</v>
      </c>
      <c r="D1601" t="s">
        <v>113</v>
      </c>
      <c r="E1601">
        <v>3</v>
      </c>
      <c r="H1601">
        <v>164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757"/>
        <v>14:43:55.242</v>
      </c>
      <c r="T1601" t="str">
        <f t="shared" si="758"/>
        <v>14:43:54.742</v>
      </c>
      <c r="U1601" t="str">
        <f t="shared" si="730"/>
        <v>A9808D</v>
      </c>
      <c r="V1601">
        <v>0</v>
      </c>
      <c r="W1601">
        <v>0</v>
      </c>
      <c r="X1601">
        <v>1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433</v>
      </c>
      <c r="AJ1601">
        <v>28.280911</v>
      </c>
      <c r="AK1601" t="s">
        <v>434</v>
      </c>
      <c r="AL1601">
        <v>-82.367526999999995</v>
      </c>
      <c r="AM1601">
        <v>100</v>
      </c>
      <c r="AN1601">
        <v>1700</v>
      </c>
      <c r="AO1601" t="s">
        <v>118</v>
      </c>
      <c r="AP1601">
        <v>64</v>
      </c>
      <c r="AQ1601">
        <v>-70</v>
      </c>
      <c r="AR1601">
        <v>704</v>
      </c>
      <c r="AZ1601">
        <v>1200</v>
      </c>
      <c r="BA1601">
        <v>1</v>
      </c>
      <c r="BB1601" t="str">
        <f t="shared" si="739"/>
        <v xml:space="preserve">N711JA  </v>
      </c>
      <c r="BC1601">
        <v>1</v>
      </c>
      <c r="BE1601">
        <v>0</v>
      </c>
      <c r="BF1601">
        <v>0</v>
      </c>
      <c r="BG1601">
        <v>0</v>
      </c>
      <c r="BH1601">
        <v>1775</v>
      </c>
      <c r="BI1601">
        <v>1</v>
      </c>
      <c r="BJ1601">
        <v>1</v>
      </c>
      <c r="BK1601">
        <v>0</v>
      </c>
      <c r="BL1601">
        <v>0</v>
      </c>
      <c r="BO1601">
        <v>0</v>
      </c>
      <c r="BP1601">
        <v>0</v>
      </c>
      <c r="BW1601" t="str">
        <f t="shared" si="759"/>
        <v>14:43:55.242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343</v>
      </c>
      <c r="CR1601">
        <v>1</v>
      </c>
      <c r="CW1601">
        <v>10688995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 t="shared" si="756"/>
        <v>05/12/2020 14:43:37.409</v>
      </c>
      <c r="C1602" t="str">
        <f t="shared" si="738"/>
        <v>FFDFD3C0</v>
      </c>
      <c r="D1602" t="s">
        <v>126</v>
      </c>
      <c r="E1602">
        <v>7</v>
      </c>
      <c r="F1602">
        <v>1007</v>
      </c>
      <c r="G1602" t="s">
        <v>127</v>
      </c>
      <c r="J1602" t="s">
        <v>128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757"/>
        <v>14:43:55.242</v>
      </c>
      <c r="T1602" t="str">
        <f t="shared" si="758"/>
        <v>14:43:54.742</v>
      </c>
      <c r="U1602" t="str">
        <f t="shared" ref="U1602:U1665" si="760">"A9808D"</f>
        <v>A9808D</v>
      </c>
      <c r="V1602">
        <v>0</v>
      </c>
      <c r="W1602">
        <v>0</v>
      </c>
      <c r="X1602">
        <v>1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433</v>
      </c>
      <c r="AJ1602">
        <v>28.280911</v>
      </c>
      <c r="AK1602" t="s">
        <v>434</v>
      </c>
      <c r="AL1602">
        <v>-82.367526999999995</v>
      </c>
      <c r="AM1602">
        <v>100</v>
      </c>
      <c r="AN1602">
        <v>1700</v>
      </c>
      <c r="AO1602" t="s">
        <v>118</v>
      </c>
      <c r="AP1602">
        <v>64</v>
      </c>
      <c r="AQ1602">
        <v>-70</v>
      </c>
      <c r="AR1602">
        <v>704</v>
      </c>
      <c r="AZ1602">
        <v>1200</v>
      </c>
      <c r="BA1602">
        <v>1</v>
      </c>
      <c r="BB1602" t="str">
        <f t="shared" si="739"/>
        <v xml:space="preserve">N711JA  </v>
      </c>
      <c r="BC1602">
        <v>1</v>
      </c>
      <c r="BE1602">
        <v>0</v>
      </c>
      <c r="BF1602">
        <v>0</v>
      </c>
      <c r="BG1602">
        <v>0</v>
      </c>
      <c r="BH1602">
        <v>1775</v>
      </c>
      <c r="BI1602">
        <v>1</v>
      </c>
      <c r="BJ1602">
        <v>1</v>
      </c>
      <c r="BK1602">
        <v>0</v>
      </c>
      <c r="BL1602">
        <v>0</v>
      </c>
      <c r="BO1602">
        <v>0</v>
      </c>
      <c r="BP1602">
        <v>0</v>
      </c>
      <c r="BW1602" t="str">
        <f t="shared" si="759"/>
        <v>14:43:55.242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343</v>
      </c>
      <c r="CR1602">
        <v>1</v>
      </c>
      <c r="CW1602">
        <v>10688995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 t="shared" si="756"/>
        <v>05/12/2020 14:43:37.409</v>
      </c>
      <c r="C1603" t="str">
        <f t="shared" si="738"/>
        <v>FFDFD3C0</v>
      </c>
      <c r="D1603" t="s">
        <v>131</v>
      </c>
      <c r="E1603">
        <v>10</v>
      </c>
      <c r="F1603">
        <v>2010</v>
      </c>
      <c r="G1603" t="s">
        <v>132</v>
      </c>
      <c r="J1603" t="s">
        <v>133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757"/>
        <v>14:43:55.242</v>
      </c>
      <c r="T1603" t="str">
        <f t="shared" si="758"/>
        <v>14:43:54.742</v>
      </c>
      <c r="U1603" t="str">
        <f t="shared" si="760"/>
        <v>A9808D</v>
      </c>
      <c r="V1603">
        <v>0</v>
      </c>
      <c r="W1603">
        <v>0</v>
      </c>
      <c r="X1603">
        <v>1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433</v>
      </c>
      <c r="AJ1603">
        <v>28.280911</v>
      </c>
      <c r="AK1603" t="s">
        <v>434</v>
      </c>
      <c r="AL1603">
        <v>-82.367526999999995</v>
      </c>
      <c r="AM1603">
        <v>100</v>
      </c>
      <c r="AN1603">
        <v>1700</v>
      </c>
      <c r="AO1603" t="s">
        <v>118</v>
      </c>
      <c r="AP1603">
        <v>64</v>
      </c>
      <c r="AQ1603">
        <v>-70</v>
      </c>
      <c r="AR1603">
        <v>704</v>
      </c>
      <c r="AZ1603">
        <v>1200</v>
      </c>
      <c r="BA1603">
        <v>1</v>
      </c>
      <c r="BB1603" t="str">
        <f t="shared" si="739"/>
        <v xml:space="preserve">N711JA  </v>
      </c>
      <c r="BC1603">
        <v>1</v>
      </c>
      <c r="BE1603">
        <v>0</v>
      </c>
      <c r="BF1603">
        <v>0</v>
      </c>
      <c r="BG1603">
        <v>0</v>
      </c>
      <c r="BH1603">
        <v>1775</v>
      </c>
      <c r="BI1603">
        <v>1</v>
      </c>
      <c r="BJ1603">
        <v>1</v>
      </c>
      <c r="BK1603">
        <v>0</v>
      </c>
      <c r="BL1603">
        <v>0</v>
      </c>
      <c r="BO1603">
        <v>0</v>
      </c>
      <c r="BP1603">
        <v>0</v>
      </c>
      <c r="BW1603" t="str">
        <f t="shared" si="759"/>
        <v>14:43:55.242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343</v>
      </c>
      <c r="CR1603">
        <v>1</v>
      </c>
      <c r="CW1603">
        <v>10688995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 t="shared" si="756"/>
        <v>05/12/2020 14:43:37.409</v>
      </c>
      <c r="C1604" t="str">
        <f t="shared" si="738"/>
        <v>FFDFD3C0</v>
      </c>
      <c r="D1604" t="s">
        <v>131</v>
      </c>
      <c r="E1604">
        <v>12</v>
      </c>
      <c r="F1604">
        <v>2012</v>
      </c>
      <c r="G1604" t="s">
        <v>137</v>
      </c>
      <c r="J1604" t="s">
        <v>133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757"/>
        <v>14:43:55.242</v>
      </c>
      <c r="T1604" t="str">
        <f t="shared" si="758"/>
        <v>14:43:54.742</v>
      </c>
      <c r="U1604" t="str">
        <f t="shared" si="760"/>
        <v>A9808D</v>
      </c>
      <c r="V1604">
        <v>0</v>
      </c>
      <c r="W1604">
        <v>0</v>
      </c>
      <c r="X1604">
        <v>1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433</v>
      </c>
      <c r="AJ1604">
        <v>28.280911</v>
      </c>
      <c r="AK1604" t="s">
        <v>434</v>
      </c>
      <c r="AL1604">
        <v>-82.367526999999995</v>
      </c>
      <c r="AM1604">
        <v>100</v>
      </c>
      <c r="AN1604">
        <v>1700</v>
      </c>
      <c r="AO1604" t="s">
        <v>118</v>
      </c>
      <c r="AP1604">
        <v>64</v>
      </c>
      <c r="AQ1604">
        <v>-70</v>
      </c>
      <c r="AR1604">
        <v>704</v>
      </c>
      <c r="AZ1604">
        <v>1200</v>
      </c>
      <c r="BA1604">
        <v>1</v>
      </c>
      <c r="BB1604" t="str">
        <f t="shared" si="739"/>
        <v xml:space="preserve">N711JA  </v>
      </c>
      <c r="BC1604">
        <v>1</v>
      </c>
      <c r="BE1604">
        <v>0</v>
      </c>
      <c r="BF1604">
        <v>0</v>
      </c>
      <c r="BG1604">
        <v>0</v>
      </c>
      <c r="BH1604">
        <v>1775</v>
      </c>
      <c r="BI1604">
        <v>1</v>
      </c>
      <c r="BJ1604">
        <v>1</v>
      </c>
      <c r="BK1604">
        <v>0</v>
      </c>
      <c r="BL1604">
        <v>0</v>
      </c>
      <c r="BO1604">
        <v>0</v>
      </c>
      <c r="BP1604">
        <v>0</v>
      </c>
      <c r="BW1604" t="str">
        <f t="shared" si="759"/>
        <v>14:43:55.242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343</v>
      </c>
      <c r="CR1604">
        <v>1</v>
      </c>
      <c r="CW1604">
        <v>10688995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 t="shared" si="756"/>
        <v>05/12/2020 14:43:37.409</v>
      </c>
      <c r="C1605" t="str">
        <f t="shared" si="738"/>
        <v>FFDFD3C0</v>
      </c>
      <c r="D1605" t="s">
        <v>131</v>
      </c>
      <c r="E1605">
        <v>18</v>
      </c>
      <c r="F1605">
        <v>2018</v>
      </c>
      <c r="G1605" t="s">
        <v>161</v>
      </c>
      <c r="J1605" t="s">
        <v>133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757"/>
        <v>14:43:55.242</v>
      </c>
      <c r="T1605" t="str">
        <f t="shared" si="758"/>
        <v>14:43:54.742</v>
      </c>
      <c r="U1605" t="str">
        <f t="shared" si="760"/>
        <v>A9808D</v>
      </c>
      <c r="V1605">
        <v>0</v>
      </c>
      <c r="W1605">
        <v>0</v>
      </c>
      <c r="X1605">
        <v>1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433</v>
      </c>
      <c r="AJ1605">
        <v>28.280911</v>
      </c>
      <c r="AK1605" t="s">
        <v>434</v>
      </c>
      <c r="AL1605">
        <v>-82.367526999999995</v>
      </c>
      <c r="AM1605">
        <v>100</v>
      </c>
      <c r="AN1605">
        <v>1700</v>
      </c>
      <c r="AO1605" t="s">
        <v>118</v>
      </c>
      <c r="AP1605">
        <v>64</v>
      </c>
      <c r="AQ1605">
        <v>-70</v>
      </c>
      <c r="AR1605">
        <v>704</v>
      </c>
      <c r="AZ1605">
        <v>1200</v>
      </c>
      <c r="BA1605">
        <v>1</v>
      </c>
      <c r="BB1605" t="str">
        <f t="shared" si="739"/>
        <v xml:space="preserve">N711JA  </v>
      </c>
      <c r="BC1605">
        <v>1</v>
      </c>
      <c r="BE1605">
        <v>0</v>
      </c>
      <c r="BF1605">
        <v>0</v>
      </c>
      <c r="BG1605">
        <v>0</v>
      </c>
      <c r="BH1605">
        <v>1775</v>
      </c>
      <c r="BI1605">
        <v>1</v>
      </c>
      <c r="BJ1605">
        <v>1</v>
      </c>
      <c r="BK1605">
        <v>0</v>
      </c>
      <c r="BL1605">
        <v>0</v>
      </c>
      <c r="BO1605">
        <v>0</v>
      </c>
      <c r="BP1605">
        <v>0</v>
      </c>
      <c r="BW1605" t="str">
        <f t="shared" si="759"/>
        <v>14:43:55.242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343</v>
      </c>
      <c r="CR1605">
        <v>1</v>
      </c>
      <c r="CW1605">
        <v>10688995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 t="shared" si="756"/>
        <v>05/12/2020 14:43:37.409</v>
      </c>
      <c r="C1606" t="str">
        <f t="shared" si="738"/>
        <v>FFDFD3C0</v>
      </c>
      <c r="D1606" t="s">
        <v>126</v>
      </c>
      <c r="E1606">
        <v>6</v>
      </c>
      <c r="F1606">
        <v>1006</v>
      </c>
      <c r="G1606" t="s">
        <v>114</v>
      </c>
      <c r="J1606" t="s">
        <v>128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757"/>
        <v>14:43:55.242</v>
      </c>
      <c r="T1606" t="str">
        <f t="shared" si="758"/>
        <v>14:43:54.742</v>
      </c>
      <c r="U1606" t="str">
        <f t="shared" si="760"/>
        <v>A9808D</v>
      </c>
      <c r="V1606">
        <v>0</v>
      </c>
      <c r="W1606">
        <v>0</v>
      </c>
      <c r="X1606">
        <v>1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433</v>
      </c>
      <c r="AJ1606">
        <v>28.280911</v>
      </c>
      <c r="AK1606" t="s">
        <v>434</v>
      </c>
      <c r="AL1606">
        <v>-82.367526999999995</v>
      </c>
      <c r="AM1606">
        <v>100</v>
      </c>
      <c r="AN1606">
        <v>1700</v>
      </c>
      <c r="AO1606" t="s">
        <v>118</v>
      </c>
      <c r="AP1606">
        <v>64</v>
      </c>
      <c r="AQ1606">
        <v>-70</v>
      </c>
      <c r="AR1606">
        <v>704</v>
      </c>
      <c r="AZ1606">
        <v>1200</v>
      </c>
      <c r="BA1606">
        <v>1</v>
      </c>
      <c r="BB1606" t="str">
        <f t="shared" si="739"/>
        <v xml:space="preserve">N711JA  </v>
      </c>
      <c r="BC1606">
        <v>1</v>
      </c>
      <c r="BE1606">
        <v>0</v>
      </c>
      <c r="BF1606">
        <v>0</v>
      </c>
      <c r="BG1606">
        <v>0</v>
      </c>
      <c r="BH1606">
        <v>1775</v>
      </c>
      <c r="BI1606">
        <v>1</v>
      </c>
      <c r="BJ1606">
        <v>1</v>
      </c>
      <c r="BK1606">
        <v>0</v>
      </c>
      <c r="BL1606">
        <v>0</v>
      </c>
      <c r="BO1606">
        <v>0</v>
      </c>
      <c r="BP1606">
        <v>0</v>
      </c>
      <c r="BW1606" t="str">
        <f t="shared" si="759"/>
        <v>14:43:55.242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343</v>
      </c>
      <c r="CR1606">
        <v>1</v>
      </c>
      <c r="CW1606">
        <v>10688995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 t="shared" ref="A1607:A1615" si="761">"05/12/2020 14:43:38.394"</f>
        <v>05/12/2020 14:43:38.394</v>
      </c>
      <c r="C1607" t="str">
        <f t="shared" si="738"/>
        <v>FFDFD3C0</v>
      </c>
      <c r="D1607" t="s">
        <v>131</v>
      </c>
      <c r="E1607">
        <v>12</v>
      </c>
      <c r="F1607">
        <v>2012</v>
      </c>
      <c r="G1607" t="s">
        <v>137</v>
      </c>
      <c r="J1607" t="s">
        <v>133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ref="S1607:S1615" si="762">"14:43:56.227"</f>
        <v>14:43:56.227</v>
      </c>
      <c r="T1607" t="str">
        <f t="shared" ref="T1607:T1615" si="763">"14:43:55.827"</f>
        <v>14:43:55.827</v>
      </c>
      <c r="U1607" t="str">
        <f t="shared" si="760"/>
        <v>A9808D</v>
      </c>
      <c r="V1607">
        <v>0</v>
      </c>
      <c r="W1607">
        <v>0</v>
      </c>
      <c r="X1607">
        <v>1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435</v>
      </c>
      <c r="AJ1607">
        <v>28.280525000000001</v>
      </c>
      <c r="AK1607" t="s">
        <v>436</v>
      </c>
      <c r="AL1607">
        <v>-82.367183999999995</v>
      </c>
      <c r="AM1607">
        <v>100</v>
      </c>
      <c r="AN1607">
        <v>1700</v>
      </c>
      <c r="AO1607" t="s">
        <v>118</v>
      </c>
      <c r="AP1607">
        <v>63</v>
      </c>
      <c r="AQ1607">
        <v>-71</v>
      </c>
      <c r="AR1607">
        <v>704</v>
      </c>
      <c r="AZ1607">
        <v>1200</v>
      </c>
      <c r="BA1607">
        <v>1</v>
      </c>
      <c r="BB1607" t="str">
        <f t="shared" si="739"/>
        <v xml:space="preserve">N711JA  </v>
      </c>
      <c r="BC1607">
        <v>1</v>
      </c>
      <c r="BE1607">
        <v>0</v>
      </c>
      <c r="BF1607">
        <v>0</v>
      </c>
      <c r="BG1607">
        <v>0</v>
      </c>
      <c r="BH1607">
        <v>1800</v>
      </c>
      <c r="BI1607">
        <v>1</v>
      </c>
      <c r="BJ1607">
        <v>1</v>
      </c>
      <c r="BK1607">
        <v>0</v>
      </c>
      <c r="BL1607">
        <v>0</v>
      </c>
      <c r="BO1607">
        <v>0</v>
      </c>
      <c r="BP1607">
        <v>0</v>
      </c>
      <c r="BW1607" t="str">
        <f t="shared" ref="BW1607:BW1615" si="764">"14:43:56.232"</f>
        <v>14:43:56.232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343</v>
      </c>
      <c r="CR1607">
        <v>1</v>
      </c>
      <c r="CW1607">
        <v>10690063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 t="shared" si="761"/>
        <v>05/12/2020 14:43:38.394</v>
      </c>
      <c r="C1608" t="str">
        <f t="shared" si="738"/>
        <v>FFDFD3C0</v>
      </c>
      <c r="D1608" t="s">
        <v>131</v>
      </c>
      <c r="E1608">
        <v>18</v>
      </c>
      <c r="F1608">
        <v>2018</v>
      </c>
      <c r="G1608" t="s">
        <v>161</v>
      </c>
      <c r="J1608" t="s">
        <v>133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762"/>
        <v>14:43:56.227</v>
      </c>
      <c r="T1608" t="str">
        <f t="shared" si="763"/>
        <v>14:43:55.827</v>
      </c>
      <c r="U1608" t="str">
        <f t="shared" si="760"/>
        <v>A9808D</v>
      </c>
      <c r="V1608">
        <v>0</v>
      </c>
      <c r="W1608">
        <v>0</v>
      </c>
      <c r="X1608">
        <v>1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435</v>
      </c>
      <c r="AJ1608">
        <v>28.280525000000001</v>
      </c>
      <c r="AK1608" t="s">
        <v>436</v>
      </c>
      <c r="AL1608">
        <v>-82.367183999999995</v>
      </c>
      <c r="AM1608">
        <v>100</v>
      </c>
      <c r="AN1608">
        <v>1700</v>
      </c>
      <c r="AO1608" t="s">
        <v>118</v>
      </c>
      <c r="AP1608">
        <v>63</v>
      </c>
      <c r="AQ1608">
        <v>-71</v>
      </c>
      <c r="AR1608">
        <v>704</v>
      </c>
      <c r="AZ1608">
        <v>1200</v>
      </c>
      <c r="BA1608">
        <v>1</v>
      </c>
      <c r="BB1608" t="str">
        <f t="shared" si="739"/>
        <v xml:space="preserve">N711JA  </v>
      </c>
      <c r="BC1608">
        <v>1</v>
      </c>
      <c r="BE1608">
        <v>0</v>
      </c>
      <c r="BF1608">
        <v>0</v>
      </c>
      <c r="BG1608">
        <v>0</v>
      </c>
      <c r="BH1608">
        <v>1800</v>
      </c>
      <c r="BI1608">
        <v>1</v>
      </c>
      <c r="BJ1608">
        <v>1</v>
      </c>
      <c r="BK1608">
        <v>0</v>
      </c>
      <c r="BL1608">
        <v>0</v>
      </c>
      <c r="BO1608">
        <v>0</v>
      </c>
      <c r="BP1608">
        <v>0</v>
      </c>
      <c r="BW1608" t="str">
        <f t="shared" si="764"/>
        <v>14:43:56.232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343</v>
      </c>
      <c r="CR1608">
        <v>1</v>
      </c>
      <c r="CW1608">
        <v>10690063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 t="shared" si="761"/>
        <v>05/12/2020 14:43:38.394</v>
      </c>
      <c r="C1609" t="str">
        <f t="shared" si="738"/>
        <v>FFDFD3C0</v>
      </c>
      <c r="D1609" t="s">
        <v>126</v>
      </c>
      <c r="E1609">
        <v>6</v>
      </c>
      <c r="F1609">
        <v>1006</v>
      </c>
      <c r="G1609" t="s">
        <v>114</v>
      </c>
      <c r="J1609" t="s">
        <v>128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762"/>
        <v>14:43:56.227</v>
      </c>
      <c r="T1609" t="str">
        <f t="shared" si="763"/>
        <v>14:43:55.827</v>
      </c>
      <c r="U1609" t="str">
        <f t="shared" si="760"/>
        <v>A9808D</v>
      </c>
      <c r="V1609">
        <v>0</v>
      </c>
      <c r="W1609">
        <v>0</v>
      </c>
      <c r="X1609">
        <v>1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435</v>
      </c>
      <c r="AJ1609">
        <v>28.280525000000001</v>
      </c>
      <c r="AK1609" t="s">
        <v>436</v>
      </c>
      <c r="AL1609">
        <v>-82.367183999999995</v>
      </c>
      <c r="AM1609">
        <v>100</v>
      </c>
      <c r="AN1609">
        <v>1700</v>
      </c>
      <c r="AO1609" t="s">
        <v>118</v>
      </c>
      <c r="AP1609">
        <v>63</v>
      </c>
      <c r="AQ1609">
        <v>-71</v>
      </c>
      <c r="AR1609">
        <v>704</v>
      </c>
      <c r="AZ1609">
        <v>1200</v>
      </c>
      <c r="BA1609">
        <v>1</v>
      </c>
      <c r="BB1609" t="str">
        <f t="shared" si="739"/>
        <v xml:space="preserve">N711JA  </v>
      </c>
      <c r="BC1609">
        <v>1</v>
      </c>
      <c r="BE1609">
        <v>0</v>
      </c>
      <c r="BF1609">
        <v>0</v>
      </c>
      <c r="BG1609">
        <v>0</v>
      </c>
      <c r="BH1609">
        <v>1800</v>
      </c>
      <c r="BI1609">
        <v>1</v>
      </c>
      <c r="BJ1609">
        <v>1</v>
      </c>
      <c r="BK1609">
        <v>0</v>
      </c>
      <c r="BL1609">
        <v>0</v>
      </c>
      <c r="BO1609">
        <v>0</v>
      </c>
      <c r="BP1609">
        <v>0</v>
      </c>
      <c r="BW1609" t="str">
        <f t="shared" si="764"/>
        <v>14:43:56.232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343</v>
      </c>
      <c r="CR1609">
        <v>1</v>
      </c>
      <c r="CW1609">
        <v>10690063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 t="shared" si="761"/>
        <v>05/12/2020 14:43:38.394</v>
      </c>
      <c r="C1610" t="str">
        <f t="shared" si="738"/>
        <v>FFDFD3C0</v>
      </c>
      <c r="D1610" t="s">
        <v>134</v>
      </c>
      <c r="E1610">
        <v>12</v>
      </c>
      <c r="H1610">
        <v>64</v>
      </c>
      <c r="I1610" t="s">
        <v>135</v>
      </c>
      <c r="J1610" t="s">
        <v>136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762"/>
        <v>14:43:56.227</v>
      </c>
      <c r="T1610" t="str">
        <f t="shared" si="763"/>
        <v>14:43:55.827</v>
      </c>
      <c r="U1610" t="str">
        <f t="shared" si="760"/>
        <v>A9808D</v>
      </c>
      <c r="V1610">
        <v>0</v>
      </c>
      <c r="W1610">
        <v>0</v>
      </c>
      <c r="X1610">
        <v>1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435</v>
      </c>
      <c r="AJ1610">
        <v>28.280525000000001</v>
      </c>
      <c r="AK1610" t="s">
        <v>436</v>
      </c>
      <c r="AL1610">
        <v>-82.367183999999995</v>
      </c>
      <c r="AM1610">
        <v>100</v>
      </c>
      <c r="AN1610">
        <v>1700</v>
      </c>
      <c r="AO1610" t="s">
        <v>118</v>
      </c>
      <c r="AP1610">
        <v>63</v>
      </c>
      <c r="AQ1610">
        <v>-71</v>
      </c>
      <c r="AR1610">
        <v>704</v>
      </c>
      <c r="AZ1610">
        <v>1200</v>
      </c>
      <c r="BA1610">
        <v>1</v>
      </c>
      <c r="BB1610" t="str">
        <f t="shared" si="739"/>
        <v xml:space="preserve">N711JA  </v>
      </c>
      <c r="BC1610">
        <v>1</v>
      </c>
      <c r="BE1610">
        <v>0</v>
      </c>
      <c r="BF1610">
        <v>0</v>
      </c>
      <c r="BG1610">
        <v>0</v>
      </c>
      <c r="BH1610">
        <v>1800</v>
      </c>
      <c r="BI1610">
        <v>1</v>
      </c>
      <c r="BJ1610">
        <v>1</v>
      </c>
      <c r="BK1610">
        <v>0</v>
      </c>
      <c r="BL1610">
        <v>0</v>
      </c>
      <c r="BO1610">
        <v>0</v>
      </c>
      <c r="BP1610">
        <v>0</v>
      </c>
      <c r="BW1610" t="str">
        <f t="shared" si="764"/>
        <v>14:43:56.232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343</v>
      </c>
      <c r="CR1610">
        <v>1</v>
      </c>
      <c r="CW1610">
        <v>10690063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 t="shared" si="761"/>
        <v>05/12/2020 14:43:38.394</v>
      </c>
      <c r="C1611" t="str">
        <f t="shared" si="738"/>
        <v>FFDFD3C0</v>
      </c>
      <c r="D1611" t="s">
        <v>138</v>
      </c>
      <c r="E1611">
        <v>2</v>
      </c>
      <c r="H1611">
        <v>8</v>
      </c>
      <c r="I1611" t="s">
        <v>139</v>
      </c>
      <c r="J1611" t="s">
        <v>136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762"/>
        <v>14:43:56.227</v>
      </c>
      <c r="T1611" t="str">
        <f t="shared" si="763"/>
        <v>14:43:55.827</v>
      </c>
      <c r="U1611" t="str">
        <f t="shared" si="760"/>
        <v>A9808D</v>
      </c>
      <c r="V1611">
        <v>0</v>
      </c>
      <c r="W1611">
        <v>0</v>
      </c>
      <c r="X1611">
        <v>1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435</v>
      </c>
      <c r="AJ1611">
        <v>28.280525000000001</v>
      </c>
      <c r="AK1611" t="s">
        <v>436</v>
      </c>
      <c r="AL1611">
        <v>-82.367183999999995</v>
      </c>
      <c r="AM1611">
        <v>100</v>
      </c>
      <c r="AN1611">
        <v>1700</v>
      </c>
      <c r="AO1611" t="s">
        <v>118</v>
      </c>
      <c r="AP1611">
        <v>63</v>
      </c>
      <c r="AQ1611">
        <v>-71</v>
      </c>
      <c r="AR1611">
        <v>704</v>
      </c>
      <c r="AZ1611">
        <v>1200</v>
      </c>
      <c r="BA1611">
        <v>1</v>
      </c>
      <c r="BB1611" t="str">
        <f t="shared" si="739"/>
        <v xml:space="preserve">N711JA  </v>
      </c>
      <c r="BC1611">
        <v>1</v>
      </c>
      <c r="BE1611">
        <v>0</v>
      </c>
      <c r="BF1611">
        <v>0</v>
      </c>
      <c r="BG1611">
        <v>0</v>
      </c>
      <c r="BH1611">
        <v>1800</v>
      </c>
      <c r="BI1611">
        <v>1</v>
      </c>
      <c r="BJ1611">
        <v>1</v>
      </c>
      <c r="BK1611">
        <v>0</v>
      </c>
      <c r="BL1611">
        <v>0</v>
      </c>
      <c r="BO1611">
        <v>0</v>
      </c>
      <c r="BP1611">
        <v>0</v>
      </c>
      <c r="BW1611" t="str">
        <f t="shared" si="764"/>
        <v>14:43:56.232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343</v>
      </c>
      <c r="CR1611">
        <v>1</v>
      </c>
      <c r="CW1611">
        <v>10690063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 t="shared" si="761"/>
        <v>05/12/2020 14:43:38.394</v>
      </c>
      <c r="C1612" t="str">
        <f t="shared" si="738"/>
        <v>FFDFD3C0</v>
      </c>
      <c r="D1612" t="s">
        <v>138</v>
      </c>
      <c r="E1612">
        <v>3</v>
      </c>
      <c r="H1612">
        <v>9</v>
      </c>
      <c r="I1612" t="s">
        <v>140</v>
      </c>
      <c r="J1612" t="s">
        <v>136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762"/>
        <v>14:43:56.227</v>
      </c>
      <c r="T1612" t="str">
        <f t="shared" si="763"/>
        <v>14:43:55.827</v>
      </c>
      <c r="U1612" t="str">
        <f t="shared" si="760"/>
        <v>A9808D</v>
      </c>
      <c r="V1612">
        <v>0</v>
      </c>
      <c r="W1612">
        <v>0</v>
      </c>
      <c r="X1612">
        <v>1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435</v>
      </c>
      <c r="AJ1612">
        <v>28.280525000000001</v>
      </c>
      <c r="AK1612" t="s">
        <v>436</v>
      </c>
      <c r="AL1612">
        <v>-82.367183999999995</v>
      </c>
      <c r="AM1612">
        <v>100</v>
      </c>
      <c r="AN1612">
        <v>1700</v>
      </c>
      <c r="AO1612" t="s">
        <v>118</v>
      </c>
      <c r="AP1612">
        <v>63</v>
      </c>
      <c r="AQ1612">
        <v>-71</v>
      </c>
      <c r="AR1612">
        <v>704</v>
      </c>
      <c r="AZ1612">
        <v>1200</v>
      </c>
      <c r="BA1612">
        <v>1</v>
      </c>
      <c r="BB1612" t="str">
        <f t="shared" si="739"/>
        <v xml:space="preserve">N711JA  </v>
      </c>
      <c r="BC1612">
        <v>1</v>
      </c>
      <c r="BE1612">
        <v>0</v>
      </c>
      <c r="BF1612">
        <v>0</v>
      </c>
      <c r="BG1612">
        <v>0</v>
      </c>
      <c r="BH1612">
        <v>1800</v>
      </c>
      <c r="BI1612">
        <v>1</v>
      </c>
      <c r="BJ1612">
        <v>1</v>
      </c>
      <c r="BK1612">
        <v>0</v>
      </c>
      <c r="BL1612">
        <v>0</v>
      </c>
      <c r="BO1612">
        <v>0</v>
      </c>
      <c r="BP1612">
        <v>0</v>
      </c>
      <c r="BW1612" t="str">
        <f t="shared" si="764"/>
        <v>14:43:56.232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343</v>
      </c>
      <c r="CR1612">
        <v>1</v>
      </c>
      <c r="CW1612">
        <v>10690063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 t="shared" si="761"/>
        <v>05/12/2020 14:43:38.394</v>
      </c>
      <c r="C1613" t="str">
        <f t="shared" si="738"/>
        <v>FFDFD3C0</v>
      </c>
      <c r="D1613" t="s">
        <v>113</v>
      </c>
      <c r="E1613">
        <v>3</v>
      </c>
      <c r="H1613">
        <v>164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762"/>
        <v>14:43:56.227</v>
      </c>
      <c r="T1613" t="str">
        <f t="shared" si="763"/>
        <v>14:43:55.827</v>
      </c>
      <c r="U1613" t="str">
        <f t="shared" si="760"/>
        <v>A9808D</v>
      </c>
      <c r="V1613">
        <v>0</v>
      </c>
      <c r="W1613">
        <v>0</v>
      </c>
      <c r="X1613">
        <v>1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435</v>
      </c>
      <c r="AJ1613">
        <v>28.280525000000001</v>
      </c>
      <c r="AK1613" t="s">
        <v>436</v>
      </c>
      <c r="AL1613">
        <v>-82.367183999999995</v>
      </c>
      <c r="AM1613">
        <v>100</v>
      </c>
      <c r="AN1613">
        <v>1700</v>
      </c>
      <c r="AO1613" t="s">
        <v>118</v>
      </c>
      <c r="AP1613">
        <v>63</v>
      </c>
      <c r="AQ1613">
        <v>-71</v>
      </c>
      <c r="AR1613">
        <v>704</v>
      </c>
      <c r="AZ1613">
        <v>1200</v>
      </c>
      <c r="BA1613">
        <v>1</v>
      </c>
      <c r="BB1613" t="str">
        <f t="shared" si="739"/>
        <v xml:space="preserve">N711JA  </v>
      </c>
      <c r="BC1613">
        <v>1</v>
      </c>
      <c r="BE1613">
        <v>0</v>
      </c>
      <c r="BF1613">
        <v>0</v>
      </c>
      <c r="BG1613">
        <v>0</v>
      </c>
      <c r="BH1613">
        <v>1800</v>
      </c>
      <c r="BI1613">
        <v>1</v>
      </c>
      <c r="BJ1613">
        <v>1</v>
      </c>
      <c r="BK1613">
        <v>0</v>
      </c>
      <c r="BL1613">
        <v>0</v>
      </c>
      <c r="BO1613">
        <v>0</v>
      </c>
      <c r="BP1613">
        <v>0</v>
      </c>
      <c r="BW1613" t="str">
        <f t="shared" si="764"/>
        <v>14:43:56.232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343</v>
      </c>
      <c r="CR1613">
        <v>1</v>
      </c>
      <c r="CW1613">
        <v>10690063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 t="shared" si="761"/>
        <v>05/12/2020 14:43:38.394</v>
      </c>
      <c r="C1614" t="str">
        <f t="shared" si="738"/>
        <v>FFDFD3C0</v>
      </c>
      <c r="D1614" t="s">
        <v>126</v>
      </c>
      <c r="E1614">
        <v>7</v>
      </c>
      <c r="F1614">
        <v>1007</v>
      </c>
      <c r="G1614" t="s">
        <v>127</v>
      </c>
      <c r="J1614" t="s">
        <v>128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762"/>
        <v>14:43:56.227</v>
      </c>
      <c r="T1614" t="str">
        <f t="shared" si="763"/>
        <v>14:43:55.827</v>
      </c>
      <c r="U1614" t="str">
        <f t="shared" si="760"/>
        <v>A9808D</v>
      </c>
      <c r="V1614">
        <v>0</v>
      </c>
      <c r="W1614">
        <v>0</v>
      </c>
      <c r="X1614">
        <v>1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435</v>
      </c>
      <c r="AJ1614">
        <v>28.280525000000001</v>
      </c>
      <c r="AK1614" t="s">
        <v>436</v>
      </c>
      <c r="AL1614">
        <v>-82.367183999999995</v>
      </c>
      <c r="AM1614">
        <v>100</v>
      </c>
      <c r="AN1614">
        <v>1700</v>
      </c>
      <c r="AO1614" t="s">
        <v>118</v>
      </c>
      <c r="AP1614">
        <v>63</v>
      </c>
      <c r="AQ1614">
        <v>-71</v>
      </c>
      <c r="AR1614">
        <v>704</v>
      </c>
      <c r="AZ1614">
        <v>1200</v>
      </c>
      <c r="BA1614">
        <v>1</v>
      </c>
      <c r="BB1614" t="str">
        <f t="shared" si="739"/>
        <v xml:space="preserve">N711JA  </v>
      </c>
      <c r="BC1614">
        <v>1</v>
      </c>
      <c r="BE1614">
        <v>0</v>
      </c>
      <c r="BF1614">
        <v>0</v>
      </c>
      <c r="BG1614">
        <v>0</v>
      </c>
      <c r="BH1614">
        <v>1800</v>
      </c>
      <c r="BI1614">
        <v>1</v>
      </c>
      <c r="BJ1614">
        <v>1</v>
      </c>
      <c r="BK1614">
        <v>0</v>
      </c>
      <c r="BL1614">
        <v>0</v>
      </c>
      <c r="BO1614">
        <v>0</v>
      </c>
      <c r="BP1614">
        <v>0</v>
      </c>
      <c r="BW1614" t="str">
        <f t="shared" si="764"/>
        <v>14:43:56.232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343</v>
      </c>
      <c r="CR1614">
        <v>1</v>
      </c>
      <c r="CW1614">
        <v>10690063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si="761"/>
        <v>05/12/2020 14:43:38.394</v>
      </c>
      <c r="C1615" t="str">
        <f t="shared" si="738"/>
        <v>FFDFD3C0</v>
      </c>
      <c r="D1615" t="s">
        <v>131</v>
      </c>
      <c r="E1615">
        <v>10</v>
      </c>
      <c r="F1615">
        <v>2010</v>
      </c>
      <c r="G1615" t="s">
        <v>132</v>
      </c>
      <c r="J1615" t="s">
        <v>133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762"/>
        <v>14:43:56.227</v>
      </c>
      <c r="T1615" t="str">
        <f t="shared" si="763"/>
        <v>14:43:55.827</v>
      </c>
      <c r="U1615" t="str">
        <f t="shared" si="760"/>
        <v>A9808D</v>
      </c>
      <c r="V1615">
        <v>0</v>
      </c>
      <c r="W1615">
        <v>0</v>
      </c>
      <c r="X1615">
        <v>1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435</v>
      </c>
      <c r="AJ1615">
        <v>28.280525000000001</v>
      </c>
      <c r="AK1615" t="s">
        <v>436</v>
      </c>
      <c r="AL1615">
        <v>-82.367183999999995</v>
      </c>
      <c r="AM1615">
        <v>100</v>
      </c>
      <c r="AN1615">
        <v>1700</v>
      </c>
      <c r="AO1615" t="s">
        <v>118</v>
      </c>
      <c r="AP1615">
        <v>63</v>
      </c>
      <c r="AQ1615">
        <v>-71</v>
      </c>
      <c r="AR1615">
        <v>704</v>
      </c>
      <c r="AZ1615">
        <v>1200</v>
      </c>
      <c r="BA1615">
        <v>1</v>
      </c>
      <c r="BB1615" t="str">
        <f t="shared" si="739"/>
        <v xml:space="preserve">N711JA  </v>
      </c>
      <c r="BC1615">
        <v>1</v>
      </c>
      <c r="BE1615">
        <v>0</v>
      </c>
      <c r="BF1615">
        <v>0</v>
      </c>
      <c r="BG1615">
        <v>0</v>
      </c>
      <c r="BH1615">
        <v>1800</v>
      </c>
      <c r="BI1615">
        <v>1</v>
      </c>
      <c r="BJ1615">
        <v>1</v>
      </c>
      <c r="BK1615">
        <v>0</v>
      </c>
      <c r="BL1615">
        <v>0</v>
      </c>
      <c r="BO1615">
        <v>0</v>
      </c>
      <c r="BP1615">
        <v>0</v>
      </c>
      <c r="BW1615" t="str">
        <f t="shared" si="764"/>
        <v>14:43:56.232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343</v>
      </c>
      <c r="CR1615">
        <v>1</v>
      </c>
      <c r="CW1615">
        <v>10690063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 t="shared" ref="A1616:A1624" si="765">"05/12/2020 14:43:39.349"</f>
        <v>05/12/2020 14:43:39.349</v>
      </c>
      <c r="C1616" t="str">
        <f t="shared" si="738"/>
        <v>FFDFD3C0</v>
      </c>
      <c r="D1616" t="s">
        <v>131</v>
      </c>
      <c r="E1616">
        <v>12</v>
      </c>
      <c r="F1616">
        <v>2012</v>
      </c>
      <c r="G1616" t="s">
        <v>137</v>
      </c>
      <c r="J1616" t="s">
        <v>133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ref="S1616:S1624" si="766">"14:43:57.180"</f>
        <v>14:43:57.180</v>
      </c>
      <c r="T1616" t="str">
        <f t="shared" ref="T1616:T1624" si="767">"14:43:56.780"</f>
        <v>14:43:56.780</v>
      </c>
      <c r="U1616" t="str">
        <f t="shared" si="760"/>
        <v>A9808D</v>
      </c>
      <c r="V1616">
        <v>0</v>
      </c>
      <c r="W1616">
        <v>0</v>
      </c>
      <c r="X1616">
        <v>1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437</v>
      </c>
      <c r="AJ1616">
        <v>28.280246000000002</v>
      </c>
      <c r="AK1616" t="s">
        <v>438</v>
      </c>
      <c r="AL1616">
        <v>-82.366861999999998</v>
      </c>
      <c r="AM1616">
        <v>100</v>
      </c>
      <c r="AN1616">
        <v>1700</v>
      </c>
      <c r="AO1616" t="s">
        <v>118</v>
      </c>
      <c r="AP1616">
        <v>61</v>
      </c>
      <c r="AQ1616">
        <v>-73</v>
      </c>
      <c r="AR1616">
        <v>640</v>
      </c>
      <c r="AZ1616">
        <v>1200</v>
      </c>
      <c r="BA1616">
        <v>1</v>
      </c>
      <c r="BB1616" t="str">
        <f t="shared" si="739"/>
        <v xml:space="preserve">N711JA  </v>
      </c>
      <c r="BC1616">
        <v>1</v>
      </c>
      <c r="BE1616">
        <v>0</v>
      </c>
      <c r="BF1616">
        <v>0</v>
      </c>
      <c r="BG1616">
        <v>0</v>
      </c>
      <c r="BH1616">
        <v>1800</v>
      </c>
      <c r="BI1616">
        <v>1</v>
      </c>
      <c r="BJ1616">
        <v>1</v>
      </c>
      <c r="BK1616">
        <v>0</v>
      </c>
      <c r="BL1616">
        <v>0</v>
      </c>
      <c r="BO1616">
        <v>0</v>
      </c>
      <c r="BP1616">
        <v>0</v>
      </c>
      <c r="BW1616" t="str">
        <f t="shared" ref="BW1616:BW1624" si="768">"14:43:57.186"</f>
        <v>14:43:57.186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343</v>
      </c>
      <c r="CR1616">
        <v>1</v>
      </c>
      <c r="CW1616">
        <v>10691021</v>
      </c>
      <c r="CY1616">
        <v>1</v>
      </c>
      <c r="CZ1616">
        <v>0</v>
      </c>
      <c r="DA1616">
        <v>0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 t="shared" si="765"/>
        <v>05/12/2020 14:43:39.349</v>
      </c>
      <c r="C1617" t="str">
        <f t="shared" si="738"/>
        <v>FFDFD3C0</v>
      </c>
      <c r="D1617" t="s">
        <v>113</v>
      </c>
      <c r="E1617">
        <v>3</v>
      </c>
      <c r="H1617">
        <v>164</v>
      </c>
      <c r="I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766"/>
        <v>14:43:57.180</v>
      </c>
      <c r="T1617" t="str">
        <f t="shared" si="767"/>
        <v>14:43:56.780</v>
      </c>
      <c r="U1617" t="str">
        <f t="shared" si="760"/>
        <v>A9808D</v>
      </c>
      <c r="V1617">
        <v>0</v>
      </c>
      <c r="W1617">
        <v>0</v>
      </c>
      <c r="X1617">
        <v>1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437</v>
      </c>
      <c r="AJ1617">
        <v>28.280246000000002</v>
      </c>
      <c r="AK1617" t="s">
        <v>438</v>
      </c>
      <c r="AL1617">
        <v>-82.366861999999998</v>
      </c>
      <c r="AM1617">
        <v>100</v>
      </c>
      <c r="AN1617">
        <v>1700</v>
      </c>
      <c r="AO1617" t="s">
        <v>118</v>
      </c>
      <c r="AP1617">
        <v>61</v>
      </c>
      <c r="AQ1617">
        <v>-73</v>
      </c>
      <c r="AR1617">
        <v>640</v>
      </c>
      <c r="AZ1617">
        <v>1200</v>
      </c>
      <c r="BA1617">
        <v>1</v>
      </c>
      <c r="BB1617" t="str">
        <f t="shared" si="739"/>
        <v xml:space="preserve">N711JA  </v>
      </c>
      <c r="BC1617">
        <v>1</v>
      </c>
      <c r="BE1617">
        <v>0</v>
      </c>
      <c r="BF1617">
        <v>0</v>
      </c>
      <c r="BG1617">
        <v>0</v>
      </c>
      <c r="BH1617">
        <v>1800</v>
      </c>
      <c r="BI1617">
        <v>1</v>
      </c>
      <c r="BJ1617">
        <v>1</v>
      </c>
      <c r="BK1617">
        <v>0</v>
      </c>
      <c r="BL1617">
        <v>0</v>
      </c>
      <c r="BO1617">
        <v>0</v>
      </c>
      <c r="BP1617">
        <v>0</v>
      </c>
      <c r="BW1617" t="str">
        <f t="shared" si="768"/>
        <v>14:43:57.186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343</v>
      </c>
      <c r="CR1617">
        <v>1</v>
      </c>
      <c r="CW1617">
        <v>10691021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 t="shared" si="765"/>
        <v>05/12/2020 14:43:39.349</v>
      </c>
      <c r="C1618" t="str">
        <f t="shared" si="738"/>
        <v>FFDFD3C0</v>
      </c>
      <c r="D1618" t="s">
        <v>131</v>
      </c>
      <c r="E1618">
        <v>18</v>
      </c>
      <c r="F1618">
        <v>2018</v>
      </c>
      <c r="G1618" t="s">
        <v>161</v>
      </c>
      <c r="J1618" t="s">
        <v>133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766"/>
        <v>14:43:57.180</v>
      </c>
      <c r="T1618" t="str">
        <f t="shared" si="767"/>
        <v>14:43:56.780</v>
      </c>
      <c r="U1618" t="str">
        <f t="shared" si="760"/>
        <v>A9808D</v>
      </c>
      <c r="V1618">
        <v>0</v>
      </c>
      <c r="W1618">
        <v>0</v>
      </c>
      <c r="X1618">
        <v>1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437</v>
      </c>
      <c r="AJ1618">
        <v>28.280246000000002</v>
      </c>
      <c r="AK1618" t="s">
        <v>438</v>
      </c>
      <c r="AL1618">
        <v>-82.366861999999998</v>
      </c>
      <c r="AM1618">
        <v>100</v>
      </c>
      <c r="AN1618">
        <v>1700</v>
      </c>
      <c r="AO1618" t="s">
        <v>118</v>
      </c>
      <c r="AP1618">
        <v>61</v>
      </c>
      <c r="AQ1618">
        <v>-73</v>
      </c>
      <c r="AR1618">
        <v>640</v>
      </c>
      <c r="AZ1618">
        <v>1200</v>
      </c>
      <c r="BA1618">
        <v>1</v>
      </c>
      <c r="BB1618" t="str">
        <f t="shared" si="739"/>
        <v xml:space="preserve">N711JA  </v>
      </c>
      <c r="BC1618">
        <v>1</v>
      </c>
      <c r="BE1618">
        <v>0</v>
      </c>
      <c r="BF1618">
        <v>0</v>
      </c>
      <c r="BG1618">
        <v>0</v>
      </c>
      <c r="BH1618">
        <v>1800</v>
      </c>
      <c r="BI1618">
        <v>1</v>
      </c>
      <c r="BJ1618">
        <v>1</v>
      </c>
      <c r="BK1618">
        <v>0</v>
      </c>
      <c r="BL1618">
        <v>0</v>
      </c>
      <c r="BO1618">
        <v>0</v>
      </c>
      <c r="BP1618">
        <v>0</v>
      </c>
      <c r="BW1618" t="str">
        <f t="shared" si="768"/>
        <v>14:43:57.186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343</v>
      </c>
      <c r="CR1618">
        <v>1</v>
      </c>
      <c r="CW1618">
        <v>10691021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 t="shared" si="765"/>
        <v>05/12/2020 14:43:39.349</v>
      </c>
      <c r="C1619" t="str">
        <f t="shared" si="738"/>
        <v>FFDFD3C0</v>
      </c>
      <c r="D1619" t="s">
        <v>126</v>
      </c>
      <c r="E1619">
        <v>6</v>
      </c>
      <c r="F1619">
        <v>1006</v>
      </c>
      <c r="G1619" t="s">
        <v>114</v>
      </c>
      <c r="J1619" t="s">
        <v>128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766"/>
        <v>14:43:57.180</v>
      </c>
      <c r="T1619" t="str">
        <f t="shared" si="767"/>
        <v>14:43:56.780</v>
      </c>
      <c r="U1619" t="str">
        <f t="shared" si="760"/>
        <v>A9808D</v>
      </c>
      <c r="V1619">
        <v>0</v>
      </c>
      <c r="W1619">
        <v>0</v>
      </c>
      <c r="X1619">
        <v>1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437</v>
      </c>
      <c r="AJ1619">
        <v>28.280246000000002</v>
      </c>
      <c r="AK1619" t="s">
        <v>438</v>
      </c>
      <c r="AL1619">
        <v>-82.366861999999998</v>
      </c>
      <c r="AM1619">
        <v>100</v>
      </c>
      <c r="AN1619">
        <v>1700</v>
      </c>
      <c r="AO1619" t="s">
        <v>118</v>
      </c>
      <c r="AP1619">
        <v>61</v>
      </c>
      <c r="AQ1619">
        <v>-73</v>
      </c>
      <c r="AR1619">
        <v>640</v>
      </c>
      <c r="AZ1619">
        <v>1200</v>
      </c>
      <c r="BA1619">
        <v>1</v>
      </c>
      <c r="BB1619" t="str">
        <f t="shared" si="739"/>
        <v xml:space="preserve">N711JA  </v>
      </c>
      <c r="BC1619">
        <v>1</v>
      </c>
      <c r="BE1619">
        <v>0</v>
      </c>
      <c r="BF1619">
        <v>0</v>
      </c>
      <c r="BG1619">
        <v>0</v>
      </c>
      <c r="BH1619">
        <v>1800</v>
      </c>
      <c r="BI1619">
        <v>1</v>
      </c>
      <c r="BJ1619">
        <v>1</v>
      </c>
      <c r="BK1619">
        <v>0</v>
      </c>
      <c r="BL1619">
        <v>0</v>
      </c>
      <c r="BO1619">
        <v>0</v>
      </c>
      <c r="BP1619">
        <v>0</v>
      </c>
      <c r="BW1619" t="str">
        <f t="shared" si="768"/>
        <v>14:43:57.186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343</v>
      </c>
      <c r="CR1619">
        <v>1</v>
      </c>
      <c r="CW1619">
        <v>10691021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 t="shared" si="765"/>
        <v>05/12/2020 14:43:39.349</v>
      </c>
      <c r="C1620" t="str">
        <f t="shared" si="738"/>
        <v>FFDFD3C0</v>
      </c>
      <c r="D1620" t="s">
        <v>134</v>
      </c>
      <c r="E1620">
        <v>12</v>
      </c>
      <c r="H1620">
        <v>64</v>
      </c>
      <c r="I1620" t="s">
        <v>135</v>
      </c>
      <c r="J1620" t="s">
        <v>136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766"/>
        <v>14:43:57.180</v>
      </c>
      <c r="T1620" t="str">
        <f t="shared" si="767"/>
        <v>14:43:56.780</v>
      </c>
      <c r="U1620" t="str">
        <f t="shared" si="760"/>
        <v>A9808D</v>
      </c>
      <c r="V1620">
        <v>0</v>
      </c>
      <c r="W1620">
        <v>0</v>
      </c>
      <c r="X1620">
        <v>1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437</v>
      </c>
      <c r="AJ1620">
        <v>28.280246000000002</v>
      </c>
      <c r="AK1620" t="s">
        <v>438</v>
      </c>
      <c r="AL1620">
        <v>-82.366861999999998</v>
      </c>
      <c r="AM1620">
        <v>100</v>
      </c>
      <c r="AN1620">
        <v>1700</v>
      </c>
      <c r="AO1620" t="s">
        <v>118</v>
      </c>
      <c r="AP1620">
        <v>61</v>
      </c>
      <c r="AQ1620">
        <v>-73</v>
      </c>
      <c r="AR1620">
        <v>640</v>
      </c>
      <c r="AZ1620">
        <v>1200</v>
      </c>
      <c r="BA1620">
        <v>1</v>
      </c>
      <c r="BB1620" t="str">
        <f t="shared" si="739"/>
        <v xml:space="preserve">N711JA  </v>
      </c>
      <c r="BC1620">
        <v>1</v>
      </c>
      <c r="BE1620">
        <v>0</v>
      </c>
      <c r="BF1620">
        <v>0</v>
      </c>
      <c r="BG1620">
        <v>0</v>
      </c>
      <c r="BH1620">
        <v>1800</v>
      </c>
      <c r="BI1620">
        <v>1</v>
      </c>
      <c r="BJ1620">
        <v>1</v>
      </c>
      <c r="BK1620">
        <v>0</v>
      </c>
      <c r="BL1620">
        <v>0</v>
      </c>
      <c r="BO1620">
        <v>0</v>
      </c>
      <c r="BP1620">
        <v>0</v>
      </c>
      <c r="BW1620" t="str">
        <f t="shared" si="768"/>
        <v>14:43:57.186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343</v>
      </c>
      <c r="CR1620">
        <v>1</v>
      </c>
      <c r="CW1620">
        <v>10691021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 t="shared" si="765"/>
        <v>05/12/2020 14:43:39.349</v>
      </c>
      <c r="C1621" t="str">
        <f t="shared" si="738"/>
        <v>FFDFD3C0</v>
      </c>
      <c r="D1621" t="s">
        <v>138</v>
      </c>
      <c r="E1621">
        <v>3</v>
      </c>
      <c r="H1621">
        <v>9</v>
      </c>
      <c r="I1621" t="s">
        <v>140</v>
      </c>
      <c r="J1621" t="s">
        <v>136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766"/>
        <v>14:43:57.180</v>
      </c>
      <c r="T1621" t="str">
        <f t="shared" si="767"/>
        <v>14:43:56.780</v>
      </c>
      <c r="U1621" t="str">
        <f t="shared" si="760"/>
        <v>A9808D</v>
      </c>
      <c r="V1621">
        <v>0</v>
      </c>
      <c r="W1621">
        <v>0</v>
      </c>
      <c r="X1621">
        <v>1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437</v>
      </c>
      <c r="AJ1621">
        <v>28.280246000000002</v>
      </c>
      <c r="AK1621" t="s">
        <v>438</v>
      </c>
      <c r="AL1621">
        <v>-82.366861999999998</v>
      </c>
      <c r="AM1621">
        <v>100</v>
      </c>
      <c r="AN1621">
        <v>1700</v>
      </c>
      <c r="AO1621" t="s">
        <v>118</v>
      </c>
      <c r="AP1621">
        <v>61</v>
      </c>
      <c r="AQ1621">
        <v>-73</v>
      </c>
      <c r="AR1621">
        <v>640</v>
      </c>
      <c r="AZ1621">
        <v>1200</v>
      </c>
      <c r="BA1621">
        <v>1</v>
      </c>
      <c r="BB1621" t="str">
        <f t="shared" si="739"/>
        <v xml:space="preserve">N711JA  </v>
      </c>
      <c r="BC1621">
        <v>1</v>
      </c>
      <c r="BE1621">
        <v>0</v>
      </c>
      <c r="BF1621">
        <v>0</v>
      </c>
      <c r="BG1621">
        <v>0</v>
      </c>
      <c r="BH1621">
        <v>1800</v>
      </c>
      <c r="BI1621">
        <v>1</v>
      </c>
      <c r="BJ1621">
        <v>1</v>
      </c>
      <c r="BK1621">
        <v>0</v>
      </c>
      <c r="BL1621">
        <v>0</v>
      </c>
      <c r="BO1621">
        <v>0</v>
      </c>
      <c r="BP1621">
        <v>0</v>
      </c>
      <c r="BW1621" t="str">
        <f t="shared" si="768"/>
        <v>14:43:57.186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343</v>
      </c>
      <c r="CR1621">
        <v>1</v>
      </c>
      <c r="CW1621">
        <v>10691021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 t="shared" si="765"/>
        <v>05/12/2020 14:43:39.349</v>
      </c>
      <c r="C1622" t="str">
        <f t="shared" ref="C1622:C1685" si="769">"FFDFD3C0"</f>
        <v>FFDFD3C0</v>
      </c>
      <c r="D1622" t="s">
        <v>138</v>
      </c>
      <c r="E1622">
        <v>2</v>
      </c>
      <c r="H1622">
        <v>8</v>
      </c>
      <c r="I1622" t="s">
        <v>139</v>
      </c>
      <c r="J1622" t="s">
        <v>136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766"/>
        <v>14:43:57.180</v>
      </c>
      <c r="T1622" t="str">
        <f t="shared" si="767"/>
        <v>14:43:56.780</v>
      </c>
      <c r="U1622" t="str">
        <f t="shared" si="760"/>
        <v>A9808D</v>
      </c>
      <c r="V1622">
        <v>0</v>
      </c>
      <c r="W1622">
        <v>0</v>
      </c>
      <c r="X1622">
        <v>1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437</v>
      </c>
      <c r="AJ1622">
        <v>28.280246000000002</v>
      </c>
      <c r="AK1622" t="s">
        <v>438</v>
      </c>
      <c r="AL1622">
        <v>-82.366861999999998</v>
      </c>
      <c r="AM1622">
        <v>100</v>
      </c>
      <c r="AN1622">
        <v>1700</v>
      </c>
      <c r="AO1622" t="s">
        <v>118</v>
      </c>
      <c r="AP1622">
        <v>61</v>
      </c>
      <c r="AQ1622">
        <v>-73</v>
      </c>
      <c r="AR1622">
        <v>640</v>
      </c>
      <c r="AZ1622">
        <v>1200</v>
      </c>
      <c r="BA1622">
        <v>1</v>
      </c>
      <c r="BB1622" t="str">
        <f t="shared" ref="BB1622:BB1685" si="770">"N711JA  "</f>
        <v xml:space="preserve">N711JA  </v>
      </c>
      <c r="BC1622">
        <v>1</v>
      </c>
      <c r="BE1622">
        <v>0</v>
      </c>
      <c r="BF1622">
        <v>0</v>
      </c>
      <c r="BG1622">
        <v>0</v>
      </c>
      <c r="BH1622">
        <v>1800</v>
      </c>
      <c r="BI1622">
        <v>1</v>
      </c>
      <c r="BJ1622">
        <v>1</v>
      </c>
      <c r="BK1622">
        <v>0</v>
      </c>
      <c r="BL1622">
        <v>0</v>
      </c>
      <c r="BO1622">
        <v>0</v>
      </c>
      <c r="BP1622">
        <v>0</v>
      </c>
      <c r="BW1622" t="str">
        <f t="shared" si="768"/>
        <v>14:43:57.186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343</v>
      </c>
      <c r="CR1622">
        <v>1</v>
      </c>
      <c r="CW1622">
        <v>10691021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 t="shared" si="765"/>
        <v>05/12/2020 14:43:39.349</v>
      </c>
      <c r="C1623" t="str">
        <f t="shared" si="769"/>
        <v>FFDFD3C0</v>
      </c>
      <c r="D1623" t="s">
        <v>126</v>
      </c>
      <c r="E1623">
        <v>7</v>
      </c>
      <c r="F1623">
        <v>1007</v>
      </c>
      <c r="G1623" t="s">
        <v>127</v>
      </c>
      <c r="J1623" t="s">
        <v>128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766"/>
        <v>14:43:57.180</v>
      </c>
      <c r="T1623" t="str">
        <f t="shared" si="767"/>
        <v>14:43:56.780</v>
      </c>
      <c r="U1623" t="str">
        <f t="shared" si="760"/>
        <v>A9808D</v>
      </c>
      <c r="V1623">
        <v>0</v>
      </c>
      <c r="W1623">
        <v>0</v>
      </c>
      <c r="X1623">
        <v>1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437</v>
      </c>
      <c r="AJ1623">
        <v>28.280246000000002</v>
      </c>
      <c r="AK1623" t="s">
        <v>438</v>
      </c>
      <c r="AL1623">
        <v>-82.366861999999998</v>
      </c>
      <c r="AM1623">
        <v>100</v>
      </c>
      <c r="AN1623">
        <v>1700</v>
      </c>
      <c r="AO1623" t="s">
        <v>118</v>
      </c>
      <c r="AP1623">
        <v>61</v>
      </c>
      <c r="AQ1623">
        <v>-73</v>
      </c>
      <c r="AR1623">
        <v>640</v>
      </c>
      <c r="AZ1623">
        <v>1200</v>
      </c>
      <c r="BA1623">
        <v>1</v>
      </c>
      <c r="BB1623" t="str">
        <f t="shared" si="770"/>
        <v xml:space="preserve">N711JA  </v>
      </c>
      <c r="BC1623">
        <v>1</v>
      </c>
      <c r="BE1623">
        <v>0</v>
      </c>
      <c r="BF1623">
        <v>0</v>
      </c>
      <c r="BG1623">
        <v>0</v>
      </c>
      <c r="BH1623">
        <v>1800</v>
      </c>
      <c r="BI1623">
        <v>1</v>
      </c>
      <c r="BJ1623">
        <v>1</v>
      </c>
      <c r="BK1623">
        <v>0</v>
      </c>
      <c r="BL1623">
        <v>0</v>
      </c>
      <c r="BO1623">
        <v>0</v>
      </c>
      <c r="BP1623">
        <v>0</v>
      </c>
      <c r="BW1623" t="str">
        <f t="shared" si="768"/>
        <v>14:43:57.186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343</v>
      </c>
      <c r="CR1623">
        <v>1</v>
      </c>
      <c r="CW1623">
        <v>10691021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 t="shared" si="765"/>
        <v>05/12/2020 14:43:39.349</v>
      </c>
      <c r="C1624" t="str">
        <f t="shared" si="769"/>
        <v>FFDFD3C0</v>
      </c>
      <c r="D1624" t="s">
        <v>131</v>
      </c>
      <c r="E1624">
        <v>10</v>
      </c>
      <c r="F1624">
        <v>2010</v>
      </c>
      <c r="G1624" t="s">
        <v>132</v>
      </c>
      <c r="J1624" t="s">
        <v>133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766"/>
        <v>14:43:57.180</v>
      </c>
      <c r="T1624" t="str">
        <f t="shared" si="767"/>
        <v>14:43:56.780</v>
      </c>
      <c r="U1624" t="str">
        <f t="shared" si="760"/>
        <v>A9808D</v>
      </c>
      <c r="V1624">
        <v>0</v>
      </c>
      <c r="W1624">
        <v>0</v>
      </c>
      <c r="X1624">
        <v>1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437</v>
      </c>
      <c r="AJ1624">
        <v>28.280246000000002</v>
      </c>
      <c r="AK1624" t="s">
        <v>438</v>
      </c>
      <c r="AL1624">
        <v>-82.366861999999998</v>
      </c>
      <c r="AM1624">
        <v>100</v>
      </c>
      <c r="AN1624">
        <v>1700</v>
      </c>
      <c r="AO1624" t="s">
        <v>118</v>
      </c>
      <c r="AP1624">
        <v>61</v>
      </c>
      <c r="AQ1624">
        <v>-73</v>
      </c>
      <c r="AR1624">
        <v>640</v>
      </c>
      <c r="AZ1624">
        <v>1200</v>
      </c>
      <c r="BA1624">
        <v>1</v>
      </c>
      <c r="BB1624" t="str">
        <f t="shared" si="770"/>
        <v xml:space="preserve">N711JA  </v>
      </c>
      <c r="BC1624">
        <v>1</v>
      </c>
      <c r="BE1624">
        <v>0</v>
      </c>
      <c r="BF1624">
        <v>0</v>
      </c>
      <c r="BG1624">
        <v>0</v>
      </c>
      <c r="BH1624">
        <v>1800</v>
      </c>
      <c r="BI1624">
        <v>1</v>
      </c>
      <c r="BJ1624">
        <v>1</v>
      </c>
      <c r="BK1624">
        <v>0</v>
      </c>
      <c r="BL1624">
        <v>0</v>
      </c>
      <c r="BO1624">
        <v>0</v>
      </c>
      <c r="BP1624">
        <v>0</v>
      </c>
      <c r="BW1624" t="str">
        <f t="shared" si="768"/>
        <v>14:43:57.186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343</v>
      </c>
      <c r="CR1624">
        <v>1</v>
      </c>
      <c r="CW1624">
        <v>10691021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ref="A1625:A1633" si="771">"05/12/2020 14:43:40.296"</f>
        <v>05/12/2020 14:43:40.296</v>
      </c>
      <c r="C1625" t="str">
        <f t="shared" si="769"/>
        <v>FFDFD3C0</v>
      </c>
      <c r="D1625" t="s">
        <v>134</v>
      </c>
      <c r="E1625">
        <v>12</v>
      </c>
      <c r="H1625">
        <v>64</v>
      </c>
      <c r="I1625" t="s">
        <v>135</v>
      </c>
      <c r="J1625" t="s">
        <v>136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ref="S1625:S1633" si="772">"14:43:58.102"</f>
        <v>14:43:58.102</v>
      </c>
      <c r="T1625" t="str">
        <f t="shared" ref="T1625:T1633" si="773">"14:43:57.802"</f>
        <v>14:43:57.802</v>
      </c>
      <c r="U1625" t="str">
        <f t="shared" si="760"/>
        <v>A9808D</v>
      </c>
      <c r="V1625">
        <v>0</v>
      </c>
      <c r="W1625">
        <v>0</v>
      </c>
      <c r="X1625">
        <v>1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439</v>
      </c>
      <c r="AJ1625">
        <v>28.279945999999999</v>
      </c>
      <c r="AK1625" t="s">
        <v>440</v>
      </c>
      <c r="AL1625">
        <v>-82.366605000000007</v>
      </c>
      <c r="AM1625">
        <v>100</v>
      </c>
      <c r="AN1625">
        <v>1700</v>
      </c>
      <c r="AO1625" t="s">
        <v>118</v>
      </c>
      <c r="AP1625">
        <v>61</v>
      </c>
      <c r="AQ1625">
        <v>-73</v>
      </c>
      <c r="AR1625">
        <v>768</v>
      </c>
      <c r="AZ1625">
        <v>1200</v>
      </c>
      <c r="BA1625">
        <v>1</v>
      </c>
      <c r="BB1625" t="str">
        <f t="shared" si="770"/>
        <v xml:space="preserve">N711JA  </v>
      </c>
      <c r="BC1625">
        <v>1</v>
      </c>
      <c r="BE1625">
        <v>0</v>
      </c>
      <c r="BF1625">
        <v>0</v>
      </c>
      <c r="BG1625">
        <v>0</v>
      </c>
      <c r="BH1625">
        <v>1825</v>
      </c>
      <c r="BI1625">
        <v>1</v>
      </c>
      <c r="BJ1625">
        <v>1</v>
      </c>
      <c r="BK1625">
        <v>0</v>
      </c>
      <c r="BL1625">
        <v>0</v>
      </c>
      <c r="BO1625">
        <v>0</v>
      </c>
      <c r="BP1625">
        <v>0</v>
      </c>
      <c r="BW1625" t="str">
        <f t="shared" ref="BW1625:BW1633" si="774">"14:43:58.108"</f>
        <v>14:43:58.108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343</v>
      </c>
      <c r="CR1625">
        <v>1</v>
      </c>
      <c r="CW1625">
        <v>10692008</v>
      </c>
      <c r="CY1625">
        <v>1</v>
      </c>
      <c r="CZ1625">
        <v>0</v>
      </c>
      <c r="DA1625">
        <v>0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771"/>
        <v>05/12/2020 14:43:40.296</v>
      </c>
      <c r="C1626" t="str">
        <f t="shared" si="769"/>
        <v>FFDFD3C0</v>
      </c>
      <c r="D1626" t="s">
        <v>126</v>
      </c>
      <c r="E1626">
        <v>7</v>
      </c>
      <c r="F1626">
        <v>1007</v>
      </c>
      <c r="G1626" t="s">
        <v>127</v>
      </c>
      <c r="J1626" t="s">
        <v>128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772"/>
        <v>14:43:58.102</v>
      </c>
      <c r="T1626" t="str">
        <f t="shared" si="773"/>
        <v>14:43:57.802</v>
      </c>
      <c r="U1626" t="str">
        <f t="shared" si="760"/>
        <v>A9808D</v>
      </c>
      <c r="V1626">
        <v>0</v>
      </c>
      <c r="W1626">
        <v>0</v>
      </c>
      <c r="X1626">
        <v>1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439</v>
      </c>
      <c r="AJ1626">
        <v>28.279945999999999</v>
      </c>
      <c r="AK1626" t="s">
        <v>440</v>
      </c>
      <c r="AL1626">
        <v>-82.366605000000007</v>
      </c>
      <c r="AM1626">
        <v>100</v>
      </c>
      <c r="AN1626">
        <v>1700</v>
      </c>
      <c r="AO1626" t="s">
        <v>118</v>
      </c>
      <c r="AP1626">
        <v>61</v>
      </c>
      <c r="AQ1626">
        <v>-73</v>
      </c>
      <c r="AR1626">
        <v>768</v>
      </c>
      <c r="AZ1626">
        <v>1200</v>
      </c>
      <c r="BA1626">
        <v>1</v>
      </c>
      <c r="BB1626" t="str">
        <f t="shared" si="770"/>
        <v xml:space="preserve">N711JA  </v>
      </c>
      <c r="BC1626">
        <v>1</v>
      </c>
      <c r="BE1626">
        <v>0</v>
      </c>
      <c r="BF1626">
        <v>0</v>
      </c>
      <c r="BG1626">
        <v>0</v>
      </c>
      <c r="BH1626">
        <v>1825</v>
      </c>
      <c r="BI1626">
        <v>1</v>
      </c>
      <c r="BJ1626">
        <v>1</v>
      </c>
      <c r="BK1626">
        <v>0</v>
      </c>
      <c r="BL1626">
        <v>0</v>
      </c>
      <c r="BO1626">
        <v>0</v>
      </c>
      <c r="BP1626">
        <v>0</v>
      </c>
      <c r="BW1626" t="str">
        <f t="shared" si="774"/>
        <v>14:43:58.108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343</v>
      </c>
      <c r="CR1626">
        <v>1</v>
      </c>
      <c r="CW1626">
        <v>10692008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si="771"/>
        <v>05/12/2020 14:43:40.296</v>
      </c>
      <c r="C1627" t="str">
        <f t="shared" si="769"/>
        <v>FFDFD3C0</v>
      </c>
      <c r="D1627" t="s">
        <v>131</v>
      </c>
      <c r="E1627">
        <v>10</v>
      </c>
      <c r="F1627">
        <v>2010</v>
      </c>
      <c r="G1627" t="s">
        <v>132</v>
      </c>
      <c r="J1627" t="s">
        <v>133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772"/>
        <v>14:43:58.102</v>
      </c>
      <c r="T1627" t="str">
        <f t="shared" si="773"/>
        <v>14:43:57.802</v>
      </c>
      <c r="U1627" t="str">
        <f t="shared" si="760"/>
        <v>A9808D</v>
      </c>
      <c r="V1627">
        <v>0</v>
      </c>
      <c r="W1627">
        <v>0</v>
      </c>
      <c r="X1627">
        <v>1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439</v>
      </c>
      <c r="AJ1627">
        <v>28.279945999999999</v>
      </c>
      <c r="AK1627" t="s">
        <v>440</v>
      </c>
      <c r="AL1627">
        <v>-82.366605000000007</v>
      </c>
      <c r="AM1627">
        <v>100</v>
      </c>
      <c r="AN1627">
        <v>1700</v>
      </c>
      <c r="AO1627" t="s">
        <v>118</v>
      </c>
      <c r="AP1627">
        <v>61</v>
      </c>
      <c r="AQ1627">
        <v>-73</v>
      </c>
      <c r="AR1627">
        <v>768</v>
      </c>
      <c r="AZ1627">
        <v>1200</v>
      </c>
      <c r="BA1627">
        <v>1</v>
      </c>
      <c r="BB1627" t="str">
        <f t="shared" si="770"/>
        <v xml:space="preserve">N711JA  </v>
      </c>
      <c r="BC1627">
        <v>1</v>
      </c>
      <c r="BE1627">
        <v>0</v>
      </c>
      <c r="BF1627">
        <v>0</v>
      </c>
      <c r="BG1627">
        <v>0</v>
      </c>
      <c r="BH1627">
        <v>1825</v>
      </c>
      <c r="BI1627">
        <v>1</v>
      </c>
      <c r="BJ1627">
        <v>1</v>
      </c>
      <c r="BK1627">
        <v>0</v>
      </c>
      <c r="BL1627">
        <v>0</v>
      </c>
      <c r="BO1627">
        <v>0</v>
      </c>
      <c r="BP1627">
        <v>0</v>
      </c>
      <c r="BW1627" t="str">
        <f t="shared" si="774"/>
        <v>14:43:58.108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343</v>
      </c>
      <c r="CR1627">
        <v>1</v>
      </c>
      <c r="CW1627">
        <v>10692008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si="771"/>
        <v>05/12/2020 14:43:40.296</v>
      </c>
      <c r="C1628" t="str">
        <f t="shared" si="769"/>
        <v>FFDFD3C0</v>
      </c>
      <c r="D1628" t="s">
        <v>138</v>
      </c>
      <c r="E1628">
        <v>2</v>
      </c>
      <c r="H1628">
        <v>8</v>
      </c>
      <c r="I1628" t="s">
        <v>139</v>
      </c>
      <c r="J1628" t="s">
        <v>136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772"/>
        <v>14:43:58.102</v>
      </c>
      <c r="T1628" t="str">
        <f t="shared" si="773"/>
        <v>14:43:57.802</v>
      </c>
      <c r="U1628" t="str">
        <f t="shared" si="760"/>
        <v>A9808D</v>
      </c>
      <c r="V1628">
        <v>0</v>
      </c>
      <c r="W1628">
        <v>0</v>
      </c>
      <c r="X1628">
        <v>1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439</v>
      </c>
      <c r="AJ1628">
        <v>28.279945999999999</v>
      </c>
      <c r="AK1628" t="s">
        <v>440</v>
      </c>
      <c r="AL1628">
        <v>-82.366605000000007</v>
      </c>
      <c r="AM1628">
        <v>100</v>
      </c>
      <c r="AN1628">
        <v>1700</v>
      </c>
      <c r="AO1628" t="s">
        <v>118</v>
      </c>
      <c r="AP1628">
        <v>61</v>
      </c>
      <c r="AQ1628">
        <v>-73</v>
      </c>
      <c r="AR1628">
        <v>768</v>
      </c>
      <c r="AZ1628">
        <v>1200</v>
      </c>
      <c r="BA1628">
        <v>1</v>
      </c>
      <c r="BB1628" t="str">
        <f t="shared" si="770"/>
        <v xml:space="preserve">N711JA  </v>
      </c>
      <c r="BC1628">
        <v>1</v>
      </c>
      <c r="BE1628">
        <v>0</v>
      </c>
      <c r="BF1628">
        <v>0</v>
      </c>
      <c r="BG1628">
        <v>0</v>
      </c>
      <c r="BH1628">
        <v>1825</v>
      </c>
      <c r="BI1628">
        <v>1</v>
      </c>
      <c r="BJ1628">
        <v>1</v>
      </c>
      <c r="BK1628">
        <v>0</v>
      </c>
      <c r="BL1628">
        <v>0</v>
      </c>
      <c r="BO1628">
        <v>0</v>
      </c>
      <c r="BP1628">
        <v>0</v>
      </c>
      <c r="BW1628" t="str">
        <f t="shared" si="774"/>
        <v>14:43:58.108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343</v>
      </c>
      <c r="CR1628">
        <v>1</v>
      </c>
      <c r="CW1628">
        <v>10692008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771"/>
        <v>05/12/2020 14:43:40.296</v>
      </c>
      <c r="C1629" t="str">
        <f t="shared" si="769"/>
        <v>FFDFD3C0</v>
      </c>
      <c r="D1629" t="s">
        <v>138</v>
      </c>
      <c r="E1629">
        <v>3</v>
      </c>
      <c r="H1629">
        <v>9</v>
      </c>
      <c r="I1629" t="s">
        <v>140</v>
      </c>
      <c r="J1629" t="s">
        <v>136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772"/>
        <v>14:43:58.102</v>
      </c>
      <c r="T1629" t="str">
        <f t="shared" si="773"/>
        <v>14:43:57.802</v>
      </c>
      <c r="U1629" t="str">
        <f t="shared" si="760"/>
        <v>A9808D</v>
      </c>
      <c r="V1629">
        <v>0</v>
      </c>
      <c r="W1629">
        <v>0</v>
      </c>
      <c r="X1629">
        <v>1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0</v>
      </c>
      <c r="AI1629" t="s">
        <v>439</v>
      </c>
      <c r="AJ1629">
        <v>28.279945999999999</v>
      </c>
      <c r="AK1629" t="s">
        <v>440</v>
      </c>
      <c r="AL1629">
        <v>-82.366605000000007</v>
      </c>
      <c r="AM1629">
        <v>100</v>
      </c>
      <c r="AN1629">
        <v>1700</v>
      </c>
      <c r="AO1629" t="s">
        <v>118</v>
      </c>
      <c r="AP1629">
        <v>61</v>
      </c>
      <c r="AQ1629">
        <v>-73</v>
      </c>
      <c r="AR1629">
        <v>768</v>
      </c>
      <c r="AZ1629">
        <v>1200</v>
      </c>
      <c r="BA1629">
        <v>1</v>
      </c>
      <c r="BB1629" t="str">
        <f t="shared" si="770"/>
        <v xml:space="preserve">N711JA  </v>
      </c>
      <c r="BC1629">
        <v>1</v>
      </c>
      <c r="BE1629">
        <v>0</v>
      </c>
      <c r="BF1629">
        <v>0</v>
      </c>
      <c r="BG1629">
        <v>0</v>
      </c>
      <c r="BH1629">
        <v>1825</v>
      </c>
      <c r="BI1629">
        <v>1</v>
      </c>
      <c r="BJ1629">
        <v>1</v>
      </c>
      <c r="BK1629">
        <v>0</v>
      </c>
      <c r="BL1629">
        <v>0</v>
      </c>
      <c r="BO1629">
        <v>0</v>
      </c>
      <c r="BP1629">
        <v>0</v>
      </c>
      <c r="BW1629" t="str">
        <f t="shared" si="774"/>
        <v>14:43:58.108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343</v>
      </c>
      <c r="CR1629">
        <v>1</v>
      </c>
      <c r="CW1629">
        <v>10692008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771"/>
        <v>05/12/2020 14:43:40.296</v>
      </c>
      <c r="C1630" t="str">
        <f t="shared" si="769"/>
        <v>FFDFD3C0</v>
      </c>
      <c r="D1630" t="s">
        <v>131</v>
      </c>
      <c r="E1630">
        <v>12</v>
      </c>
      <c r="F1630">
        <v>2012</v>
      </c>
      <c r="G1630" t="s">
        <v>137</v>
      </c>
      <c r="J1630" t="s">
        <v>133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772"/>
        <v>14:43:58.102</v>
      </c>
      <c r="T1630" t="str">
        <f t="shared" si="773"/>
        <v>14:43:57.802</v>
      </c>
      <c r="U1630" t="str">
        <f t="shared" si="760"/>
        <v>A9808D</v>
      </c>
      <c r="V1630">
        <v>0</v>
      </c>
      <c r="W1630">
        <v>0</v>
      </c>
      <c r="X1630">
        <v>1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0</v>
      </c>
      <c r="AI1630" t="s">
        <v>439</v>
      </c>
      <c r="AJ1630">
        <v>28.279945999999999</v>
      </c>
      <c r="AK1630" t="s">
        <v>440</v>
      </c>
      <c r="AL1630">
        <v>-82.366605000000007</v>
      </c>
      <c r="AM1630">
        <v>100</v>
      </c>
      <c r="AN1630">
        <v>1700</v>
      </c>
      <c r="AO1630" t="s">
        <v>118</v>
      </c>
      <c r="AP1630">
        <v>61</v>
      </c>
      <c r="AQ1630">
        <v>-73</v>
      </c>
      <c r="AR1630">
        <v>768</v>
      </c>
      <c r="AZ1630">
        <v>1200</v>
      </c>
      <c r="BA1630">
        <v>1</v>
      </c>
      <c r="BB1630" t="str">
        <f t="shared" si="770"/>
        <v xml:space="preserve">N711JA  </v>
      </c>
      <c r="BC1630">
        <v>1</v>
      </c>
      <c r="BE1630">
        <v>0</v>
      </c>
      <c r="BF1630">
        <v>0</v>
      </c>
      <c r="BG1630">
        <v>0</v>
      </c>
      <c r="BH1630">
        <v>1825</v>
      </c>
      <c r="BI1630">
        <v>1</v>
      </c>
      <c r="BJ1630">
        <v>1</v>
      </c>
      <c r="BK1630">
        <v>0</v>
      </c>
      <c r="BL1630">
        <v>0</v>
      </c>
      <c r="BO1630">
        <v>0</v>
      </c>
      <c r="BP1630">
        <v>0</v>
      </c>
      <c r="BW1630" t="str">
        <f t="shared" si="774"/>
        <v>14:43:58.108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343</v>
      </c>
      <c r="CR1630">
        <v>1</v>
      </c>
      <c r="CW1630">
        <v>10692008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 t="shared" si="771"/>
        <v>05/12/2020 14:43:40.296</v>
      </c>
      <c r="C1631" t="str">
        <f t="shared" si="769"/>
        <v>FFDFD3C0</v>
      </c>
      <c r="D1631" t="s">
        <v>131</v>
      </c>
      <c r="E1631">
        <v>18</v>
      </c>
      <c r="F1631">
        <v>2018</v>
      </c>
      <c r="G1631" t="s">
        <v>161</v>
      </c>
      <c r="J1631" t="s">
        <v>133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772"/>
        <v>14:43:58.102</v>
      </c>
      <c r="T1631" t="str">
        <f t="shared" si="773"/>
        <v>14:43:57.802</v>
      </c>
      <c r="U1631" t="str">
        <f t="shared" si="760"/>
        <v>A9808D</v>
      </c>
      <c r="V1631">
        <v>0</v>
      </c>
      <c r="W1631">
        <v>0</v>
      </c>
      <c r="X1631">
        <v>1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0</v>
      </c>
      <c r="AI1631" t="s">
        <v>439</v>
      </c>
      <c r="AJ1631">
        <v>28.279945999999999</v>
      </c>
      <c r="AK1631" t="s">
        <v>440</v>
      </c>
      <c r="AL1631">
        <v>-82.366605000000007</v>
      </c>
      <c r="AM1631">
        <v>100</v>
      </c>
      <c r="AN1631">
        <v>1700</v>
      </c>
      <c r="AO1631" t="s">
        <v>118</v>
      </c>
      <c r="AP1631">
        <v>61</v>
      </c>
      <c r="AQ1631">
        <v>-73</v>
      </c>
      <c r="AR1631">
        <v>768</v>
      </c>
      <c r="AZ1631">
        <v>1200</v>
      </c>
      <c r="BA1631">
        <v>1</v>
      </c>
      <c r="BB1631" t="str">
        <f t="shared" si="770"/>
        <v xml:space="preserve">N711JA  </v>
      </c>
      <c r="BC1631">
        <v>1</v>
      </c>
      <c r="BE1631">
        <v>0</v>
      </c>
      <c r="BF1631">
        <v>0</v>
      </c>
      <c r="BG1631">
        <v>0</v>
      </c>
      <c r="BH1631">
        <v>1825</v>
      </c>
      <c r="BI1631">
        <v>1</v>
      </c>
      <c r="BJ1631">
        <v>1</v>
      </c>
      <c r="BK1631">
        <v>0</v>
      </c>
      <c r="BL1631">
        <v>0</v>
      </c>
      <c r="BO1631">
        <v>0</v>
      </c>
      <c r="BP1631">
        <v>0</v>
      </c>
      <c r="BW1631" t="str">
        <f t="shared" si="774"/>
        <v>14:43:58.108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343</v>
      </c>
      <c r="CR1631">
        <v>1</v>
      </c>
      <c r="CW1631">
        <v>10692008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 t="shared" si="771"/>
        <v>05/12/2020 14:43:40.296</v>
      </c>
      <c r="C1632" t="str">
        <f t="shared" si="769"/>
        <v>FFDFD3C0</v>
      </c>
      <c r="D1632" t="s">
        <v>126</v>
      </c>
      <c r="E1632">
        <v>6</v>
      </c>
      <c r="F1632">
        <v>1006</v>
      </c>
      <c r="G1632" t="s">
        <v>114</v>
      </c>
      <c r="J1632" t="s">
        <v>128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772"/>
        <v>14:43:58.102</v>
      </c>
      <c r="T1632" t="str">
        <f t="shared" si="773"/>
        <v>14:43:57.802</v>
      </c>
      <c r="U1632" t="str">
        <f t="shared" si="760"/>
        <v>A9808D</v>
      </c>
      <c r="V1632">
        <v>0</v>
      </c>
      <c r="W1632">
        <v>0</v>
      </c>
      <c r="X1632">
        <v>1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0</v>
      </c>
      <c r="AI1632" t="s">
        <v>439</v>
      </c>
      <c r="AJ1632">
        <v>28.279945999999999</v>
      </c>
      <c r="AK1632" t="s">
        <v>440</v>
      </c>
      <c r="AL1632">
        <v>-82.366605000000007</v>
      </c>
      <c r="AM1632">
        <v>100</v>
      </c>
      <c r="AN1632">
        <v>1700</v>
      </c>
      <c r="AO1632" t="s">
        <v>118</v>
      </c>
      <c r="AP1632">
        <v>61</v>
      </c>
      <c r="AQ1632">
        <v>-73</v>
      </c>
      <c r="AR1632">
        <v>768</v>
      </c>
      <c r="AZ1632">
        <v>1200</v>
      </c>
      <c r="BA1632">
        <v>1</v>
      </c>
      <c r="BB1632" t="str">
        <f t="shared" si="770"/>
        <v xml:space="preserve">N711JA  </v>
      </c>
      <c r="BC1632">
        <v>1</v>
      </c>
      <c r="BE1632">
        <v>0</v>
      </c>
      <c r="BF1632">
        <v>0</v>
      </c>
      <c r="BG1632">
        <v>0</v>
      </c>
      <c r="BH1632">
        <v>1825</v>
      </c>
      <c r="BI1632">
        <v>1</v>
      </c>
      <c r="BJ1632">
        <v>1</v>
      </c>
      <c r="BK1632">
        <v>0</v>
      </c>
      <c r="BL1632">
        <v>0</v>
      </c>
      <c r="BO1632">
        <v>0</v>
      </c>
      <c r="BP1632">
        <v>0</v>
      </c>
      <c r="BW1632" t="str">
        <f t="shared" si="774"/>
        <v>14:43:58.108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343</v>
      </c>
      <c r="CR1632">
        <v>1</v>
      </c>
      <c r="CW1632">
        <v>10692008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si="771"/>
        <v>05/12/2020 14:43:40.296</v>
      </c>
      <c r="C1633" t="str">
        <f t="shared" si="769"/>
        <v>FFDFD3C0</v>
      </c>
      <c r="D1633" t="s">
        <v>113</v>
      </c>
      <c r="E1633">
        <v>3</v>
      </c>
      <c r="H1633">
        <v>164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772"/>
        <v>14:43:58.102</v>
      </c>
      <c r="T1633" t="str">
        <f t="shared" si="773"/>
        <v>14:43:57.802</v>
      </c>
      <c r="U1633" t="str">
        <f t="shared" si="760"/>
        <v>A9808D</v>
      </c>
      <c r="V1633">
        <v>0</v>
      </c>
      <c r="W1633">
        <v>0</v>
      </c>
      <c r="X1633">
        <v>1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0</v>
      </c>
      <c r="AI1633" t="s">
        <v>439</v>
      </c>
      <c r="AJ1633">
        <v>28.279945999999999</v>
      </c>
      <c r="AK1633" t="s">
        <v>440</v>
      </c>
      <c r="AL1633">
        <v>-82.366605000000007</v>
      </c>
      <c r="AM1633">
        <v>100</v>
      </c>
      <c r="AN1633">
        <v>1700</v>
      </c>
      <c r="AO1633" t="s">
        <v>118</v>
      </c>
      <c r="AP1633">
        <v>61</v>
      </c>
      <c r="AQ1633">
        <v>-73</v>
      </c>
      <c r="AR1633">
        <v>768</v>
      </c>
      <c r="AZ1633">
        <v>1200</v>
      </c>
      <c r="BA1633">
        <v>1</v>
      </c>
      <c r="BB1633" t="str">
        <f t="shared" si="770"/>
        <v xml:space="preserve">N711JA  </v>
      </c>
      <c r="BC1633">
        <v>1</v>
      </c>
      <c r="BE1633">
        <v>0</v>
      </c>
      <c r="BF1633">
        <v>0</v>
      </c>
      <c r="BG1633">
        <v>0</v>
      </c>
      <c r="BH1633">
        <v>1825</v>
      </c>
      <c r="BI1633">
        <v>1</v>
      </c>
      <c r="BJ1633">
        <v>1</v>
      </c>
      <c r="BK1633">
        <v>0</v>
      </c>
      <c r="BL1633">
        <v>0</v>
      </c>
      <c r="BO1633">
        <v>0</v>
      </c>
      <c r="BP1633">
        <v>0</v>
      </c>
      <c r="BW1633" t="str">
        <f t="shared" si="774"/>
        <v>14:43:58.108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343</v>
      </c>
      <c r="CR1633">
        <v>1</v>
      </c>
      <c r="CW1633">
        <v>10692008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ref="A1634:A1642" si="775">"05/12/2020 14:43:41.377"</f>
        <v>05/12/2020 14:43:41.377</v>
      </c>
      <c r="C1634" t="str">
        <f t="shared" si="769"/>
        <v>FFDFD3C0</v>
      </c>
      <c r="D1634" t="s">
        <v>113</v>
      </c>
      <c r="E1634">
        <v>3</v>
      </c>
      <c r="H1634">
        <v>164</v>
      </c>
      <c r="I1634" t="s">
        <v>114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S1642" si="776">"14:43:59.211"</f>
        <v>14:43:59.211</v>
      </c>
      <c r="T1634" t="str">
        <f t="shared" ref="T1634:T1642" si="777">"14:43:58.811"</f>
        <v>14:43:58.811</v>
      </c>
      <c r="U1634" t="str">
        <f t="shared" si="760"/>
        <v>A9808D</v>
      </c>
      <c r="V1634">
        <v>0</v>
      </c>
      <c r="W1634">
        <v>0</v>
      </c>
      <c r="X1634">
        <v>1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0</v>
      </c>
      <c r="AI1634" t="s">
        <v>441</v>
      </c>
      <c r="AJ1634">
        <v>28.27956</v>
      </c>
      <c r="AK1634" t="s">
        <v>442</v>
      </c>
      <c r="AL1634">
        <v>-82.366219000000001</v>
      </c>
      <c r="AM1634">
        <v>100</v>
      </c>
      <c r="AN1634">
        <v>1700</v>
      </c>
      <c r="AO1634" t="s">
        <v>118</v>
      </c>
      <c r="AP1634">
        <v>61</v>
      </c>
      <c r="AQ1634">
        <v>-72</v>
      </c>
      <c r="AR1634">
        <v>640</v>
      </c>
      <c r="AZ1634">
        <v>1200</v>
      </c>
      <c r="BA1634">
        <v>1</v>
      </c>
      <c r="BB1634" t="str">
        <f t="shared" si="770"/>
        <v xml:space="preserve">N711JA  </v>
      </c>
      <c r="BC1634">
        <v>1</v>
      </c>
      <c r="BE1634">
        <v>0</v>
      </c>
      <c r="BF1634">
        <v>0</v>
      </c>
      <c r="BG1634">
        <v>0</v>
      </c>
      <c r="BH1634">
        <v>1825</v>
      </c>
      <c r="BI1634">
        <v>1</v>
      </c>
      <c r="BJ1634">
        <v>1</v>
      </c>
      <c r="BK1634">
        <v>0</v>
      </c>
      <c r="BL1634">
        <v>0</v>
      </c>
      <c r="BO1634">
        <v>0</v>
      </c>
      <c r="BP1634">
        <v>0</v>
      </c>
      <c r="BW1634" t="str">
        <f t="shared" ref="BW1634:BW1642" si="778">"14:43:59.217"</f>
        <v>14:43:59.217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119</v>
      </c>
      <c r="CQ1634">
        <v>343</v>
      </c>
      <c r="CR1634">
        <v>2</v>
      </c>
      <c r="CW1634">
        <v>13069123</v>
      </c>
      <c r="CY1634">
        <v>1</v>
      </c>
      <c r="CZ1634">
        <v>0</v>
      </c>
      <c r="DA1634">
        <v>0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si="775"/>
        <v>05/12/2020 14:43:41.377</v>
      </c>
      <c r="C1635" t="str">
        <f t="shared" si="769"/>
        <v>FFDFD3C0</v>
      </c>
      <c r="D1635" t="s">
        <v>126</v>
      </c>
      <c r="E1635">
        <v>7</v>
      </c>
      <c r="F1635">
        <v>1007</v>
      </c>
      <c r="G1635" t="s">
        <v>127</v>
      </c>
      <c r="J1635" t="s">
        <v>128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776"/>
        <v>14:43:59.211</v>
      </c>
      <c r="T1635" t="str">
        <f t="shared" si="777"/>
        <v>14:43:58.811</v>
      </c>
      <c r="U1635" t="str">
        <f t="shared" si="760"/>
        <v>A9808D</v>
      </c>
      <c r="V1635">
        <v>0</v>
      </c>
      <c r="W1635">
        <v>0</v>
      </c>
      <c r="X1635">
        <v>1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0</v>
      </c>
      <c r="AI1635" t="s">
        <v>441</v>
      </c>
      <c r="AJ1635">
        <v>28.27956</v>
      </c>
      <c r="AK1635" t="s">
        <v>442</v>
      </c>
      <c r="AL1635">
        <v>-82.366219000000001</v>
      </c>
      <c r="AM1635">
        <v>100</v>
      </c>
      <c r="AN1635">
        <v>1700</v>
      </c>
      <c r="AO1635" t="s">
        <v>118</v>
      </c>
      <c r="AP1635">
        <v>61</v>
      </c>
      <c r="AQ1635">
        <v>-72</v>
      </c>
      <c r="AR1635">
        <v>640</v>
      </c>
      <c r="AZ1635">
        <v>1200</v>
      </c>
      <c r="BA1635">
        <v>1</v>
      </c>
      <c r="BB1635" t="str">
        <f t="shared" si="770"/>
        <v xml:space="preserve">N711JA  </v>
      </c>
      <c r="BC1635">
        <v>1</v>
      </c>
      <c r="BE1635">
        <v>0</v>
      </c>
      <c r="BF1635">
        <v>0</v>
      </c>
      <c r="BG1635">
        <v>0</v>
      </c>
      <c r="BH1635">
        <v>1825</v>
      </c>
      <c r="BI1635">
        <v>1</v>
      </c>
      <c r="BJ1635">
        <v>1</v>
      </c>
      <c r="BK1635">
        <v>0</v>
      </c>
      <c r="BL1635">
        <v>0</v>
      </c>
      <c r="BO1635">
        <v>0</v>
      </c>
      <c r="BP1635">
        <v>0</v>
      </c>
      <c r="BW1635" t="str">
        <f t="shared" si="778"/>
        <v>14:43:59.217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343</v>
      </c>
      <c r="CR1635">
        <v>2</v>
      </c>
      <c r="CW1635">
        <v>13069123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775"/>
        <v>05/12/2020 14:43:41.377</v>
      </c>
      <c r="C1636" t="str">
        <f t="shared" si="769"/>
        <v>FFDFD3C0</v>
      </c>
      <c r="D1636" t="s">
        <v>131</v>
      </c>
      <c r="E1636">
        <v>10</v>
      </c>
      <c r="F1636">
        <v>2010</v>
      </c>
      <c r="G1636" t="s">
        <v>132</v>
      </c>
      <c r="J1636" t="s">
        <v>133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776"/>
        <v>14:43:59.211</v>
      </c>
      <c r="T1636" t="str">
        <f t="shared" si="777"/>
        <v>14:43:58.811</v>
      </c>
      <c r="U1636" t="str">
        <f t="shared" si="760"/>
        <v>A9808D</v>
      </c>
      <c r="V1636">
        <v>0</v>
      </c>
      <c r="W1636">
        <v>0</v>
      </c>
      <c r="X1636">
        <v>1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0</v>
      </c>
      <c r="AI1636" t="s">
        <v>441</v>
      </c>
      <c r="AJ1636">
        <v>28.27956</v>
      </c>
      <c r="AK1636" t="s">
        <v>442</v>
      </c>
      <c r="AL1636">
        <v>-82.366219000000001</v>
      </c>
      <c r="AM1636">
        <v>100</v>
      </c>
      <c r="AN1636">
        <v>1700</v>
      </c>
      <c r="AO1636" t="s">
        <v>118</v>
      </c>
      <c r="AP1636">
        <v>61</v>
      </c>
      <c r="AQ1636">
        <v>-72</v>
      </c>
      <c r="AR1636">
        <v>640</v>
      </c>
      <c r="AZ1636">
        <v>1200</v>
      </c>
      <c r="BA1636">
        <v>1</v>
      </c>
      <c r="BB1636" t="str">
        <f t="shared" si="770"/>
        <v xml:space="preserve">N711JA  </v>
      </c>
      <c r="BC1636">
        <v>1</v>
      </c>
      <c r="BE1636">
        <v>0</v>
      </c>
      <c r="BF1636">
        <v>0</v>
      </c>
      <c r="BG1636">
        <v>0</v>
      </c>
      <c r="BH1636">
        <v>1825</v>
      </c>
      <c r="BI1636">
        <v>1</v>
      </c>
      <c r="BJ1636">
        <v>1</v>
      </c>
      <c r="BK1636">
        <v>0</v>
      </c>
      <c r="BL1636">
        <v>0</v>
      </c>
      <c r="BO1636">
        <v>0</v>
      </c>
      <c r="BP1636">
        <v>0</v>
      </c>
      <c r="BW1636" t="str">
        <f t="shared" si="778"/>
        <v>14:43:59.217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343</v>
      </c>
      <c r="CR1636">
        <v>2</v>
      </c>
      <c r="CW1636">
        <v>13069123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 t="shared" si="775"/>
        <v>05/12/2020 14:43:41.377</v>
      </c>
      <c r="C1637" t="str">
        <f t="shared" si="769"/>
        <v>FFDFD3C0</v>
      </c>
      <c r="D1637" t="s">
        <v>134</v>
      </c>
      <c r="E1637">
        <v>12</v>
      </c>
      <c r="H1637">
        <v>64</v>
      </c>
      <c r="I1637" t="s">
        <v>135</v>
      </c>
      <c r="J1637" t="s">
        <v>136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776"/>
        <v>14:43:59.211</v>
      </c>
      <c r="T1637" t="str">
        <f t="shared" si="777"/>
        <v>14:43:58.811</v>
      </c>
      <c r="U1637" t="str">
        <f t="shared" si="760"/>
        <v>A9808D</v>
      </c>
      <c r="V1637">
        <v>0</v>
      </c>
      <c r="W1637">
        <v>0</v>
      </c>
      <c r="X1637">
        <v>1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0</v>
      </c>
      <c r="AI1637" t="s">
        <v>441</v>
      </c>
      <c r="AJ1637">
        <v>28.27956</v>
      </c>
      <c r="AK1637" t="s">
        <v>442</v>
      </c>
      <c r="AL1637">
        <v>-82.366219000000001</v>
      </c>
      <c r="AM1637">
        <v>100</v>
      </c>
      <c r="AN1637">
        <v>1700</v>
      </c>
      <c r="AO1637" t="s">
        <v>118</v>
      </c>
      <c r="AP1637">
        <v>61</v>
      </c>
      <c r="AQ1637">
        <v>-72</v>
      </c>
      <c r="AR1637">
        <v>640</v>
      </c>
      <c r="AZ1637">
        <v>1200</v>
      </c>
      <c r="BA1637">
        <v>1</v>
      </c>
      <c r="BB1637" t="str">
        <f t="shared" si="770"/>
        <v xml:space="preserve">N711JA  </v>
      </c>
      <c r="BC1637">
        <v>1</v>
      </c>
      <c r="BE1637">
        <v>0</v>
      </c>
      <c r="BF1637">
        <v>0</v>
      </c>
      <c r="BG1637">
        <v>0</v>
      </c>
      <c r="BH1637">
        <v>1825</v>
      </c>
      <c r="BI1637">
        <v>1</v>
      </c>
      <c r="BJ1637">
        <v>1</v>
      </c>
      <c r="BK1637">
        <v>0</v>
      </c>
      <c r="BL1637">
        <v>0</v>
      </c>
      <c r="BO1637">
        <v>0</v>
      </c>
      <c r="BP1637">
        <v>0</v>
      </c>
      <c r="BW1637" t="str">
        <f t="shared" si="778"/>
        <v>14:43:59.217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119</v>
      </c>
      <c r="CQ1637">
        <v>343</v>
      </c>
      <c r="CR1637">
        <v>2</v>
      </c>
      <c r="CW1637">
        <v>13069123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 t="shared" si="775"/>
        <v>05/12/2020 14:43:41.377</v>
      </c>
      <c r="C1638" t="str">
        <f t="shared" si="769"/>
        <v>FFDFD3C0</v>
      </c>
      <c r="D1638" t="s">
        <v>131</v>
      </c>
      <c r="E1638">
        <v>12</v>
      </c>
      <c r="F1638">
        <v>2012</v>
      </c>
      <c r="G1638" t="s">
        <v>137</v>
      </c>
      <c r="J1638" t="s">
        <v>133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776"/>
        <v>14:43:59.211</v>
      </c>
      <c r="T1638" t="str">
        <f t="shared" si="777"/>
        <v>14:43:58.811</v>
      </c>
      <c r="U1638" t="str">
        <f t="shared" si="760"/>
        <v>A9808D</v>
      </c>
      <c r="V1638">
        <v>0</v>
      </c>
      <c r="W1638">
        <v>0</v>
      </c>
      <c r="X1638">
        <v>1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0</v>
      </c>
      <c r="AI1638" t="s">
        <v>441</v>
      </c>
      <c r="AJ1638">
        <v>28.27956</v>
      </c>
      <c r="AK1638" t="s">
        <v>442</v>
      </c>
      <c r="AL1638">
        <v>-82.366219000000001</v>
      </c>
      <c r="AM1638">
        <v>100</v>
      </c>
      <c r="AN1638">
        <v>1700</v>
      </c>
      <c r="AO1638" t="s">
        <v>118</v>
      </c>
      <c r="AP1638">
        <v>61</v>
      </c>
      <c r="AQ1638">
        <v>-72</v>
      </c>
      <c r="AR1638">
        <v>640</v>
      </c>
      <c r="AZ1638">
        <v>1200</v>
      </c>
      <c r="BA1638">
        <v>1</v>
      </c>
      <c r="BB1638" t="str">
        <f t="shared" si="770"/>
        <v xml:space="preserve">N711JA  </v>
      </c>
      <c r="BC1638">
        <v>1</v>
      </c>
      <c r="BE1638">
        <v>0</v>
      </c>
      <c r="BF1638">
        <v>0</v>
      </c>
      <c r="BG1638">
        <v>0</v>
      </c>
      <c r="BH1638">
        <v>1825</v>
      </c>
      <c r="BI1638">
        <v>1</v>
      </c>
      <c r="BJ1638">
        <v>1</v>
      </c>
      <c r="BK1638">
        <v>0</v>
      </c>
      <c r="BL1638">
        <v>0</v>
      </c>
      <c r="BO1638">
        <v>0</v>
      </c>
      <c r="BP1638">
        <v>0</v>
      </c>
      <c r="BW1638" t="str">
        <f t="shared" si="778"/>
        <v>14:43:59.217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343</v>
      </c>
      <c r="CR1638">
        <v>2</v>
      </c>
      <c r="CW1638">
        <v>13069123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 t="shared" si="775"/>
        <v>05/12/2020 14:43:41.377</v>
      </c>
      <c r="C1639" t="str">
        <f t="shared" si="769"/>
        <v>FFDFD3C0</v>
      </c>
      <c r="D1639" t="s">
        <v>131</v>
      </c>
      <c r="E1639">
        <v>18</v>
      </c>
      <c r="F1639">
        <v>2018</v>
      </c>
      <c r="G1639" t="s">
        <v>161</v>
      </c>
      <c r="J1639" t="s">
        <v>133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776"/>
        <v>14:43:59.211</v>
      </c>
      <c r="T1639" t="str">
        <f t="shared" si="777"/>
        <v>14:43:58.811</v>
      </c>
      <c r="U1639" t="str">
        <f t="shared" si="760"/>
        <v>A9808D</v>
      </c>
      <c r="V1639">
        <v>0</v>
      </c>
      <c r="W1639">
        <v>0</v>
      </c>
      <c r="X1639">
        <v>1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0</v>
      </c>
      <c r="AI1639" t="s">
        <v>441</v>
      </c>
      <c r="AJ1639">
        <v>28.27956</v>
      </c>
      <c r="AK1639" t="s">
        <v>442</v>
      </c>
      <c r="AL1639">
        <v>-82.366219000000001</v>
      </c>
      <c r="AM1639">
        <v>100</v>
      </c>
      <c r="AN1639">
        <v>1700</v>
      </c>
      <c r="AO1639" t="s">
        <v>118</v>
      </c>
      <c r="AP1639">
        <v>61</v>
      </c>
      <c r="AQ1639">
        <v>-72</v>
      </c>
      <c r="AR1639">
        <v>640</v>
      </c>
      <c r="AZ1639">
        <v>1200</v>
      </c>
      <c r="BA1639">
        <v>1</v>
      </c>
      <c r="BB1639" t="str">
        <f t="shared" si="770"/>
        <v xml:space="preserve">N711JA  </v>
      </c>
      <c r="BC1639">
        <v>1</v>
      </c>
      <c r="BE1639">
        <v>0</v>
      </c>
      <c r="BF1639">
        <v>0</v>
      </c>
      <c r="BG1639">
        <v>0</v>
      </c>
      <c r="BH1639">
        <v>1825</v>
      </c>
      <c r="BI1639">
        <v>1</v>
      </c>
      <c r="BJ1639">
        <v>1</v>
      </c>
      <c r="BK1639">
        <v>0</v>
      </c>
      <c r="BL1639">
        <v>0</v>
      </c>
      <c r="BO1639">
        <v>0</v>
      </c>
      <c r="BP1639">
        <v>0</v>
      </c>
      <c r="BW1639" t="str">
        <f t="shared" si="778"/>
        <v>14:43:59.217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343</v>
      </c>
      <c r="CR1639">
        <v>2</v>
      </c>
      <c r="CW1639">
        <v>13069123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 t="shared" si="775"/>
        <v>05/12/2020 14:43:41.377</v>
      </c>
      <c r="C1640" t="str">
        <f t="shared" si="769"/>
        <v>FFDFD3C0</v>
      </c>
      <c r="D1640" t="s">
        <v>138</v>
      </c>
      <c r="E1640">
        <v>2</v>
      </c>
      <c r="H1640">
        <v>8</v>
      </c>
      <c r="I1640" t="s">
        <v>139</v>
      </c>
      <c r="J1640" t="s">
        <v>136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776"/>
        <v>14:43:59.211</v>
      </c>
      <c r="T1640" t="str">
        <f t="shared" si="777"/>
        <v>14:43:58.811</v>
      </c>
      <c r="U1640" t="str">
        <f t="shared" si="760"/>
        <v>A9808D</v>
      </c>
      <c r="V1640">
        <v>0</v>
      </c>
      <c r="W1640">
        <v>0</v>
      </c>
      <c r="X1640">
        <v>1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0</v>
      </c>
      <c r="AI1640" t="s">
        <v>441</v>
      </c>
      <c r="AJ1640">
        <v>28.27956</v>
      </c>
      <c r="AK1640" t="s">
        <v>442</v>
      </c>
      <c r="AL1640">
        <v>-82.366219000000001</v>
      </c>
      <c r="AM1640">
        <v>100</v>
      </c>
      <c r="AN1640">
        <v>1700</v>
      </c>
      <c r="AO1640" t="s">
        <v>118</v>
      </c>
      <c r="AP1640">
        <v>61</v>
      </c>
      <c r="AQ1640">
        <v>-72</v>
      </c>
      <c r="AR1640">
        <v>640</v>
      </c>
      <c r="AZ1640">
        <v>1200</v>
      </c>
      <c r="BA1640">
        <v>1</v>
      </c>
      <c r="BB1640" t="str">
        <f t="shared" si="770"/>
        <v xml:space="preserve">N711JA  </v>
      </c>
      <c r="BC1640">
        <v>1</v>
      </c>
      <c r="BE1640">
        <v>0</v>
      </c>
      <c r="BF1640">
        <v>0</v>
      </c>
      <c r="BG1640">
        <v>0</v>
      </c>
      <c r="BH1640">
        <v>1825</v>
      </c>
      <c r="BI1640">
        <v>1</v>
      </c>
      <c r="BJ1640">
        <v>1</v>
      </c>
      <c r="BK1640">
        <v>0</v>
      </c>
      <c r="BL1640">
        <v>0</v>
      </c>
      <c r="BO1640">
        <v>0</v>
      </c>
      <c r="BP1640">
        <v>0</v>
      </c>
      <c r="BW1640" t="str">
        <f t="shared" si="778"/>
        <v>14:43:59.217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343</v>
      </c>
      <c r="CR1640">
        <v>2</v>
      </c>
      <c r="CW1640">
        <v>13069123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 t="shared" si="775"/>
        <v>05/12/2020 14:43:41.377</v>
      </c>
      <c r="C1641" t="str">
        <f t="shared" si="769"/>
        <v>FFDFD3C0</v>
      </c>
      <c r="D1641" t="s">
        <v>138</v>
      </c>
      <c r="E1641">
        <v>3</v>
      </c>
      <c r="H1641">
        <v>9</v>
      </c>
      <c r="I1641" t="s">
        <v>140</v>
      </c>
      <c r="J1641" t="s">
        <v>136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776"/>
        <v>14:43:59.211</v>
      </c>
      <c r="T1641" t="str">
        <f t="shared" si="777"/>
        <v>14:43:58.811</v>
      </c>
      <c r="U1641" t="str">
        <f t="shared" si="760"/>
        <v>A9808D</v>
      </c>
      <c r="V1641">
        <v>0</v>
      </c>
      <c r="W1641">
        <v>0</v>
      </c>
      <c r="X1641">
        <v>1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0</v>
      </c>
      <c r="AI1641" t="s">
        <v>441</v>
      </c>
      <c r="AJ1641">
        <v>28.27956</v>
      </c>
      <c r="AK1641" t="s">
        <v>442</v>
      </c>
      <c r="AL1641">
        <v>-82.366219000000001</v>
      </c>
      <c r="AM1641">
        <v>100</v>
      </c>
      <c r="AN1641">
        <v>1700</v>
      </c>
      <c r="AO1641" t="s">
        <v>118</v>
      </c>
      <c r="AP1641">
        <v>61</v>
      </c>
      <c r="AQ1641">
        <v>-72</v>
      </c>
      <c r="AR1641">
        <v>640</v>
      </c>
      <c r="AZ1641">
        <v>1200</v>
      </c>
      <c r="BA1641">
        <v>1</v>
      </c>
      <c r="BB1641" t="str">
        <f t="shared" si="770"/>
        <v xml:space="preserve">N711JA  </v>
      </c>
      <c r="BC1641">
        <v>1</v>
      </c>
      <c r="BE1641">
        <v>0</v>
      </c>
      <c r="BF1641">
        <v>0</v>
      </c>
      <c r="BG1641">
        <v>0</v>
      </c>
      <c r="BH1641">
        <v>1825</v>
      </c>
      <c r="BI1641">
        <v>1</v>
      </c>
      <c r="BJ1641">
        <v>1</v>
      </c>
      <c r="BK1641">
        <v>0</v>
      </c>
      <c r="BL1641">
        <v>0</v>
      </c>
      <c r="BO1641">
        <v>0</v>
      </c>
      <c r="BP1641">
        <v>0</v>
      </c>
      <c r="BW1641" t="str">
        <f t="shared" si="778"/>
        <v>14:43:59.217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343</v>
      </c>
      <c r="CR1641">
        <v>2</v>
      </c>
      <c r="CW1641">
        <v>13069123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 t="shared" si="775"/>
        <v>05/12/2020 14:43:41.377</v>
      </c>
      <c r="C1642" t="str">
        <f t="shared" si="769"/>
        <v>FFDFD3C0</v>
      </c>
      <c r="D1642" t="s">
        <v>126</v>
      </c>
      <c r="E1642">
        <v>6</v>
      </c>
      <c r="F1642">
        <v>1006</v>
      </c>
      <c r="G1642" t="s">
        <v>114</v>
      </c>
      <c r="J1642" t="s">
        <v>128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776"/>
        <v>14:43:59.211</v>
      </c>
      <c r="T1642" t="str">
        <f t="shared" si="777"/>
        <v>14:43:58.811</v>
      </c>
      <c r="U1642" t="str">
        <f t="shared" si="760"/>
        <v>A9808D</v>
      </c>
      <c r="V1642">
        <v>0</v>
      </c>
      <c r="W1642">
        <v>0</v>
      </c>
      <c r="X1642">
        <v>1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0</v>
      </c>
      <c r="AI1642" t="s">
        <v>441</v>
      </c>
      <c r="AJ1642">
        <v>28.27956</v>
      </c>
      <c r="AK1642" t="s">
        <v>442</v>
      </c>
      <c r="AL1642">
        <v>-82.366219000000001</v>
      </c>
      <c r="AM1642">
        <v>100</v>
      </c>
      <c r="AN1642">
        <v>1700</v>
      </c>
      <c r="AO1642" t="s">
        <v>118</v>
      </c>
      <c r="AP1642">
        <v>61</v>
      </c>
      <c r="AQ1642">
        <v>-72</v>
      </c>
      <c r="AR1642">
        <v>640</v>
      </c>
      <c r="AZ1642">
        <v>1200</v>
      </c>
      <c r="BA1642">
        <v>1</v>
      </c>
      <c r="BB1642" t="str">
        <f t="shared" si="770"/>
        <v xml:space="preserve">N711JA  </v>
      </c>
      <c r="BC1642">
        <v>1</v>
      </c>
      <c r="BE1642">
        <v>0</v>
      </c>
      <c r="BF1642">
        <v>0</v>
      </c>
      <c r="BG1642">
        <v>0</v>
      </c>
      <c r="BH1642">
        <v>1825</v>
      </c>
      <c r="BI1642">
        <v>1</v>
      </c>
      <c r="BJ1642">
        <v>1</v>
      </c>
      <c r="BK1642">
        <v>0</v>
      </c>
      <c r="BL1642">
        <v>0</v>
      </c>
      <c r="BO1642">
        <v>0</v>
      </c>
      <c r="BP1642">
        <v>0</v>
      </c>
      <c r="BW1642" t="str">
        <f t="shared" si="778"/>
        <v>14:43:59.217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343</v>
      </c>
      <c r="CR1642">
        <v>2</v>
      </c>
      <c r="CW1642">
        <v>13069123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 t="shared" ref="A1643:A1651" si="779">"05/12/2020 14:43:42.528"</f>
        <v>05/12/2020 14:43:42.528</v>
      </c>
      <c r="C1643" t="str">
        <f t="shared" si="769"/>
        <v>FFDFD3C0</v>
      </c>
      <c r="D1643" t="s">
        <v>134</v>
      </c>
      <c r="E1643">
        <v>12</v>
      </c>
      <c r="H1643">
        <v>64</v>
      </c>
      <c r="I1643" t="s">
        <v>135</v>
      </c>
      <c r="J1643" t="s">
        <v>136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ref="S1643:T1651" si="780">"14:44:00.359"</f>
        <v>14:44:00.359</v>
      </c>
      <c r="T1643" t="str">
        <f t="shared" si="780"/>
        <v>14:44:00.359</v>
      </c>
      <c r="U1643" t="str">
        <f t="shared" si="760"/>
        <v>A9808D</v>
      </c>
      <c r="V1643">
        <v>0</v>
      </c>
      <c r="W1643">
        <v>0</v>
      </c>
      <c r="X1643">
        <v>1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0</v>
      </c>
      <c r="AI1643" t="s">
        <v>443</v>
      </c>
      <c r="AJ1643">
        <v>28.279173</v>
      </c>
      <c r="AK1643" t="s">
        <v>444</v>
      </c>
      <c r="AL1643">
        <v>-82.365853999999999</v>
      </c>
      <c r="AM1643">
        <v>100</v>
      </c>
      <c r="AN1643">
        <v>1700</v>
      </c>
      <c r="AO1643" t="s">
        <v>118</v>
      </c>
      <c r="AP1643">
        <v>62</v>
      </c>
      <c r="AQ1643">
        <v>-73</v>
      </c>
      <c r="AR1643">
        <v>448</v>
      </c>
      <c r="AZ1643">
        <v>1200</v>
      </c>
      <c r="BA1643">
        <v>1</v>
      </c>
      <c r="BB1643" t="str">
        <f t="shared" si="770"/>
        <v xml:space="preserve">N711JA  </v>
      </c>
      <c r="BC1643">
        <v>1</v>
      </c>
      <c r="BE1643">
        <v>0</v>
      </c>
      <c r="BF1643">
        <v>0</v>
      </c>
      <c r="BG1643">
        <v>0</v>
      </c>
      <c r="BH1643">
        <v>1850</v>
      </c>
      <c r="BI1643">
        <v>1</v>
      </c>
      <c r="BJ1643">
        <v>1</v>
      </c>
      <c r="BK1643">
        <v>0</v>
      </c>
      <c r="BL1643">
        <v>0</v>
      </c>
      <c r="BO1643">
        <v>0</v>
      </c>
      <c r="BP1643">
        <v>0</v>
      </c>
      <c r="BW1643" t="str">
        <f t="shared" ref="BW1643:BW1651" si="781">"14:44:00.363"</f>
        <v>14:44:00.363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343</v>
      </c>
      <c r="CR1643">
        <v>1</v>
      </c>
      <c r="CW1643">
        <v>10694378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 t="shared" si="779"/>
        <v>05/12/2020 14:43:42.528</v>
      </c>
      <c r="C1644" t="str">
        <f t="shared" si="769"/>
        <v>FFDFD3C0</v>
      </c>
      <c r="D1644" t="s">
        <v>126</v>
      </c>
      <c r="E1644">
        <v>6</v>
      </c>
      <c r="F1644">
        <v>1006</v>
      </c>
      <c r="G1644" t="s">
        <v>114</v>
      </c>
      <c r="J1644" t="s">
        <v>128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780"/>
        <v>14:44:00.359</v>
      </c>
      <c r="T1644" t="str">
        <f t="shared" si="780"/>
        <v>14:44:00.359</v>
      </c>
      <c r="U1644" t="str">
        <f t="shared" si="760"/>
        <v>A9808D</v>
      </c>
      <c r="V1644">
        <v>0</v>
      </c>
      <c r="W1644">
        <v>0</v>
      </c>
      <c r="X1644">
        <v>1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0</v>
      </c>
      <c r="AI1644" t="s">
        <v>443</v>
      </c>
      <c r="AJ1644">
        <v>28.279173</v>
      </c>
      <c r="AK1644" t="s">
        <v>444</v>
      </c>
      <c r="AL1644">
        <v>-82.365853999999999</v>
      </c>
      <c r="AM1644">
        <v>100</v>
      </c>
      <c r="AN1644">
        <v>1700</v>
      </c>
      <c r="AO1644" t="s">
        <v>118</v>
      </c>
      <c r="AP1644">
        <v>62</v>
      </c>
      <c r="AQ1644">
        <v>-73</v>
      </c>
      <c r="AR1644">
        <v>448</v>
      </c>
      <c r="AZ1644">
        <v>1200</v>
      </c>
      <c r="BA1644">
        <v>1</v>
      </c>
      <c r="BB1644" t="str">
        <f t="shared" si="770"/>
        <v xml:space="preserve">N711JA  </v>
      </c>
      <c r="BC1644">
        <v>1</v>
      </c>
      <c r="BE1644">
        <v>0</v>
      </c>
      <c r="BF1644">
        <v>0</v>
      </c>
      <c r="BG1644">
        <v>0</v>
      </c>
      <c r="BH1644">
        <v>1850</v>
      </c>
      <c r="BI1644">
        <v>1</v>
      </c>
      <c r="BJ1644">
        <v>1</v>
      </c>
      <c r="BK1644">
        <v>0</v>
      </c>
      <c r="BL1644">
        <v>0</v>
      </c>
      <c r="BO1644">
        <v>0</v>
      </c>
      <c r="BP1644">
        <v>0</v>
      </c>
      <c r="BW1644" t="str">
        <f t="shared" si="781"/>
        <v>14:44:00.363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343</v>
      </c>
      <c r="CR1644">
        <v>1</v>
      </c>
      <c r="CW1644">
        <v>10694378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 t="shared" si="779"/>
        <v>05/12/2020 14:43:42.528</v>
      </c>
      <c r="C1645" t="str">
        <f t="shared" si="769"/>
        <v>FFDFD3C0</v>
      </c>
      <c r="D1645" t="s">
        <v>138</v>
      </c>
      <c r="E1645">
        <v>2</v>
      </c>
      <c r="H1645">
        <v>8</v>
      </c>
      <c r="I1645" t="s">
        <v>139</v>
      </c>
      <c r="J1645" t="s">
        <v>136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780"/>
        <v>14:44:00.359</v>
      </c>
      <c r="T1645" t="str">
        <f t="shared" si="780"/>
        <v>14:44:00.359</v>
      </c>
      <c r="U1645" t="str">
        <f t="shared" si="760"/>
        <v>A9808D</v>
      </c>
      <c r="V1645">
        <v>0</v>
      </c>
      <c r="W1645">
        <v>0</v>
      </c>
      <c r="X1645">
        <v>1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0</v>
      </c>
      <c r="AI1645" t="s">
        <v>443</v>
      </c>
      <c r="AJ1645">
        <v>28.279173</v>
      </c>
      <c r="AK1645" t="s">
        <v>444</v>
      </c>
      <c r="AL1645">
        <v>-82.365853999999999</v>
      </c>
      <c r="AM1645">
        <v>100</v>
      </c>
      <c r="AN1645">
        <v>1700</v>
      </c>
      <c r="AO1645" t="s">
        <v>118</v>
      </c>
      <c r="AP1645">
        <v>62</v>
      </c>
      <c r="AQ1645">
        <v>-73</v>
      </c>
      <c r="AR1645">
        <v>448</v>
      </c>
      <c r="AZ1645">
        <v>1200</v>
      </c>
      <c r="BA1645">
        <v>1</v>
      </c>
      <c r="BB1645" t="str">
        <f t="shared" si="770"/>
        <v xml:space="preserve">N711JA  </v>
      </c>
      <c r="BC1645">
        <v>1</v>
      </c>
      <c r="BE1645">
        <v>0</v>
      </c>
      <c r="BF1645">
        <v>0</v>
      </c>
      <c r="BG1645">
        <v>0</v>
      </c>
      <c r="BH1645">
        <v>1850</v>
      </c>
      <c r="BI1645">
        <v>1</v>
      </c>
      <c r="BJ1645">
        <v>1</v>
      </c>
      <c r="BK1645">
        <v>0</v>
      </c>
      <c r="BL1645">
        <v>0</v>
      </c>
      <c r="BO1645">
        <v>0</v>
      </c>
      <c r="BP1645">
        <v>0</v>
      </c>
      <c r="BW1645" t="str">
        <f t="shared" si="781"/>
        <v>14:44:00.363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343</v>
      </c>
      <c r="CR1645">
        <v>1</v>
      </c>
      <c r="CW1645">
        <v>10694378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 t="shared" si="779"/>
        <v>05/12/2020 14:43:42.528</v>
      </c>
      <c r="C1646" t="str">
        <f t="shared" si="769"/>
        <v>FFDFD3C0</v>
      </c>
      <c r="D1646" t="s">
        <v>138</v>
      </c>
      <c r="E1646">
        <v>3</v>
      </c>
      <c r="H1646">
        <v>9</v>
      </c>
      <c r="I1646" t="s">
        <v>140</v>
      </c>
      <c r="J1646" t="s">
        <v>136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780"/>
        <v>14:44:00.359</v>
      </c>
      <c r="T1646" t="str">
        <f t="shared" si="780"/>
        <v>14:44:00.359</v>
      </c>
      <c r="U1646" t="str">
        <f t="shared" si="760"/>
        <v>A9808D</v>
      </c>
      <c r="V1646">
        <v>0</v>
      </c>
      <c r="W1646">
        <v>0</v>
      </c>
      <c r="X1646">
        <v>1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0</v>
      </c>
      <c r="AI1646" t="s">
        <v>443</v>
      </c>
      <c r="AJ1646">
        <v>28.279173</v>
      </c>
      <c r="AK1646" t="s">
        <v>444</v>
      </c>
      <c r="AL1646">
        <v>-82.365853999999999</v>
      </c>
      <c r="AM1646">
        <v>100</v>
      </c>
      <c r="AN1646">
        <v>1700</v>
      </c>
      <c r="AO1646" t="s">
        <v>118</v>
      </c>
      <c r="AP1646">
        <v>62</v>
      </c>
      <c r="AQ1646">
        <v>-73</v>
      </c>
      <c r="AR1646">
        <v>448</v>
      </c>
      <c r="AZ1646">
        <v>1200</v>
      </c>
      <c r="BA1646">
        <v>1</v>
      </c>
      <c r="BB1646" t="str">
        <f t="shared" si="770"/>
        <v xml:space="preserve">N711JA  </v>
      </c>
      <c r="BC1646">
        <v>1</v>
      </c>
      <c r="BE1646">
        <v>0</v>
      </c>
      <c r="BF1646">
        <v>0</v>
      </c>
      <c r="BG1646">
        <v>0</v>
      </c>
      <c r="BH1646">
        <v>1850</v>
      </c>
      <c r="BI1646">
        <v>1</v>
      </c>
      <c r="BJ1646">
        <v>1</v>
      </c>
      <c r="BK1646">
        <v>0</v>
      </c>
      <c r="BL1646">
        <v>0</v>
      </c>
      <c r="BO1646">
        <v>0</v>
      </c>
      <c r="BP1646">
        <v>0</v>
      </c>
      <c r="BW1646" t="str">
        <f t="shared" si="781"/>
        <v>14:44:00.363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343</v>
      </c>
      <c r="CR1646">
        <v>1</v>
      </c>
      <c r="CW1646">
        <v>10694378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 t="shared" si="779"/>
        <v>05/12/2020 14:43:42.528</v>
      </c>
      <c r="C1647" t="str">
        <f t="shared" si="769"/>
        <v>FFDFD3C0</v>
      </c>
      <c r="D1647" t="s">
        <v>113</v>
      </c>
      <c r="E1647">
        <v>3</v>
      </c>
      <c r="H1647">
        <v>164</v>
      </c>
      <c r="I1647" t="s">
        <v>114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780"/>
        <v>14:44:00.359</v>
      </c>
      <c r="T1647" t="str">
        <f t="shared" si="780"/>
        <v>14:44:00.359</v>
      </c>
      <c r="U1647" t="str">
        <f t="shared" si="760"/>
        <v>A9808D</v>
      </c>
      <c r="V1647">
        <v>0</v>
      </c>
      <c r="W1647">
        <v>0</v>
      </c>
      <c r="X1647">
        <v>1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0</v>
      </c>
      <c r="AI1647" t="s">
        <v>443</v>
      </c>
      <c r="AJ1647">
        <v>28.279173</v>
      </c>
      <c r="AK1647" t="s">
        <v>444</v>
      </c>
      <c r="AL1647">
        <v>-82.365853999999999</v>
      </c>
      <c r="AM1647">
        <v>100</v>
      </c>
      <c r="AN1647">
        <v>1700</v>
      </c>
      <c r="AO1647" t="s">
        <v>118</v>
      </c>
      <c r="AP1647">
        <v>62</v>
      </c>
      <c r="AQ1647">
        <v>-73</v>
      </c>
      <c r="AR1647">
        <v>448</v>
      </c>
      <c r="AZ1647">
        <v>1200</v>
      </c>
      <c r="BA1647">
        <v>1</v>
      </c>
      <c r="BB1647" t="str">
        <f t="shared" si="770"/>
        <v xml:space="preserve">N711JA  </v>
      </c>
      <c r="BC1647">
        <v>1</v>
      </c>
      <c r="BE1647">
        <v>0</v>
      </c>
      <c r="BF1647">
        <v>0</v>
      </c>
      <c r="BG1647">
        <v>0</v>
      </c>
      <c r="BH1647">
        <v>1850</v>
      </c>
      <c r="BI1647">
        <v>1</v>
      </c>
      <c r="BJ1647">
        <v>1</v>
      </c>
      <c r="BK1647">
        <v>0</v>
      </c>
      <c r="BL1647">
        <v>0</v>
      </c>
      <c r="BO1647">
        <v>0</v>
      </c>
      <c r="BP1647">
        <v>0</v>
      </c>
      <c r="BW1647" t="str">
        <f t="shared" si="781"/>
        <v>14:44:00.363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343</v>
      </c>
      <c r="CR1647">
        <v>1</v>
      </c>
      <c r="CW1647">
        <v>10694378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 t="shared" si="779"/>
        <v>05/12/2020 14:43:42.528</v>
      </c>
      <c r="C1648" t="str">
        <f t="shared" si="769"/>
        <v>FFDFD3C0</v>
      </c>
      <c r="D1648" t="s">
        <v>126</v>
      </c>
      <c r="E1648">
        <v>7</v>
      </c>
      <c r="F1648">
        <v>1007</v>
      </c>
      <c r="G1648" t="s">
        <v>127</v>
      </c>
      <c r="J1648" t="s">
        <v>128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780"/>
        <v>14:44:00.359</v>
      </c>
      <c r="T1648" t="str">
        <f t="shared" si="780"/>
        <v>14:44:00.359</v>
      </c>
      <c r="U1648" t="str">
        <f t="shared" si="760"/>
        <v>A9808D</v>
      </c>
      <c r="V1648">
        <v>0</v>
      </c>
      <c r="W1648">
        <v>0</v>
      </c>
      <c r="X1648">
        <v>1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0</v>
      </c>
      <c r="AI1648" t="s">
        <v>443</v>
      </c>
      <c r="AJ1648">
        <v>28.279173</v>
      </c>
      <c r="AK1648" t="s">
        <v>444</v>
      </c>
      <c r="AL1648">
        <v>-82.365853999999999</v>
      </c>
      <c r="AM1648">
        <v>100</v>
      </c>
      <c r="AN1648">
        <v>1700</v>
      </c>
      <c r="AO1648" t="s">
        <v>118</v>
      </c>
      <c r="AP1648">
        <v>62</v>
      </c>
      <c r="AQ1648">
        <v>-73</v>
      </c>
      <c r="AR1648">
        <v>448</v>
      </c>
      <c r="AZ1648">
        <v>1200</v>
      </c>
      <c r="BA1648">
        <v>1</v>
      </c>
      <c r="BB1648" t="str">
        <f t="shared" si="770"/>
        <v xml:space="preserve">N711JA  </v>
      </c>
      <c r="BC1648">
        <v>1</v>
      </c>
      <c r="BE1648">
        <v>0</v>
      </c>
      <c r="BF1648">
        <v>0</v>
      </c>
      <c r="BG1648">
        <v>0</v>
      </c>
      <c r="BH1648">
        <v>1850</v>
      </c>
      <c r="BI1648">
        <v>1</v>
      </c>
      <c r="BJ1648">
        <v>1</v>
      </c>
      <c r="BK1648">
        <v>0</v>
      </c>
      <c r="BL1648">
        <v>0</v>
      </c>
      <c r="BO1648">
        <v>0</v>
      </c>
      <c r="BP1648">
        <v>0</v>
      </c>
      <c r="BW1648" t="str">
        <f t="shared" si="781"/>
        <v>14:44:00.363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343</v>
      </c>
      <c r="CR1648">
        <v>1</v>
      </c>
      <c r="CW1648">
        <v>10694378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si="779"/>
        <v>05/12/2020 14:43:42.528</v>
      </c>
      <c r="C1649" t="str">
        <f t="shared" si="769"/>
        <v>FFDFD3C0</v>
      </c>
      <c r="D1649" t="s">
        <v>131</v>
      </c>
      <c r="E1649">
        <v>10</v>
      </c>
      <c r="F1649">
        <v>2010</v>
      </c>
      <c r="G1649" t="s">
        <v>132</v>
      </c>
      <c r="J1649" t="s">
        <v>133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780"/>
        <v>14:44:00.359</v>
      </c>
      <c r="T1649" t="str">
        <f t="shared" si="780"/>
        <v>14:44:00.359</v>
      </c>
      <c r="U1649" t="str">
        <f t="shared" si="760"/>
        <v>A9808D</v>
      </c>
      <c r="V1649">
        <v>0</v>
      </c>
      <c r="W1649">
        <v>0</v>
      </c>
      <c r="X1649">
        <v>1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0</v>
      </c>
      <c r="AI1649" t="s">
        <v>443</v>
      </c>
      <c r="AJ1649">
        <v>28.279173</v>
      </c>
      <c r="AK1649" t="s">
        <v>444</v>
      </c>
      <c r="AL1649">
        <v>-82.365853999999999</v>
      </c>
      <c r="AM1649">
        <v>100</v>
      </c>
      <c r="AN1649">
        <v>1700</v>
      </c>
      <c r="AO1649" t="s">
        <v>118</v>
      </c>
      <c r="AP1649">
        <v>62</v>
      </c>
      <c r="AQ1649">
        <v>-73</v>
      </c>
      <c r="AR1649">
        <v>448</v>
      </c>
      <c r="AZ1649">
        <v>1200</v>
      </c>
      <c r="BA1649">
        <v>1</v>
      </c>
      <c r="BB1649" t="str">
        <f t="shared" si="770"/>
        <v xml:space="preserve">N711JA  </v>
      </c>
      <c r="BC1649">
        <v>1</v>
      </c>
      <c r="BE1649">
        <v>0</v>
      </c>
      <c r="BF1649">
        <v>0</v>
      </c>
      <c r="BG1649">
        <v>0</v>
      </c>
      <c r="BH1649">
        <v>1850</v>
      </c>
      <c r="BI1649">
        <v>1</v>
      </c>
      <c r="BJ1649">
        <v>1</v>
      </c>
      <c r="BK1649">
        <v>0</v>
      </c>
      <c r="BL1649">
        <v>0</v>
      </c>
      <c r="BO1649">
        <v>0</v>
      </c>
      <c r="BP1649">
        <v>0</v>
      </c>
      <c r="BW1649" t="str">
        <f t="shared" si="781"/>
        <v>14:44:00.363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343</v>
      </c>
      <c r="CR1649">
        <v>1</v>
      </c>
      <c r="CW1649">
        <v>10694378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779"/>
        <v>05/12/2020 14:43:42.528</v>
      </c>
      <c r="C1650" t="str">
        <f t="shared" si="769"/>
        <v>FFDFD3C0</v>
      </c>
      <c r="D1650" t="s">
        <v>131</v>
      </c>
      <c r="E1650">
        <v>12</v>
      </c>
      <c r="F1650">
        <v>2012</v>
      </c>
      <c r="G1650" t="s">
        <v>137</v>
      </c>
      <c r="J1650" t="s">
        <v>133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780"/>
        <v>14:44:00.359</v>
      </c>
      <c r="T1650" t="str">
        <f t="shared" si="780"/>
        <v>14:44:00.359</v>
      </c>
      <c r="U1650" t="str">
        <f t="shared" si="760"/>
        <v>A9808D</v>
      </c>
      <c r="V1650">
        <v>0</v>
      </c>
      <c r="W1650">
        <v>0</v>
      </c>
      <c r="X1650">
        <v>1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0</v>
      </c>
      <c r="AI1650" t="s">
        <v>443</v>
      </c>
      <c r="AJ1650">
        <v>28.279173</v>
      </c>
      <c r="AK1650" t="s">
        <v>444</v>
      </c>
      <c r="AL1650">
        <v>-82.365853999999999</v>
      </c>
      <c r="AM1650">
        <v>100</v>
      </c>
      <c r="AN1650">
        <v>1700</v>
      </c>
      <c r="AO1650" t="s">
        <v>118</v>
      </c>
      <c r="AP1650">
        <v>62</v>
      </c>
      <c r="AQ1650">
        <v>-73</v>
      </c>
      <c r="AR1650">
        <v>448</v>
      </c>
      <c r="AZ1650">
        <v>1200</v>
      </c>
      <c r="BA1650">
        <v>1</v>
      </c>
      <c r="BB1650" t="str">
        <f t="shared" si="770"/>
        <v xml:space="preserve">N711JA  </v>
      </c>
      <c r="BC1650">
        <v>1</v>
      </c>
      <c r="BE1650">
        <v>0</v>
      </c>
      <c r="BF1650">
        <v>0</v>
      </c>
      <c r="BG1650">
        <v>0</v>
      </c>
      <c r="BH1650">
        <v>1850</v>
      </c>
      <c r="BI1650">
        <v>1</v>
      </c>
      <c r="BJ1650">
        <v>1</v>
      </c>
      <c r="BK1650">
        <v>0</v>
      </c>
      <c r="BL1650">
        <v>0</v>
      </c>
      <c r="BO1650">
        <v>0</v>
      </c>
      <c r="BP1650">
        <v>0</v>
      </c>
      <c r="BW1650" t="str">
        <f t="shared" si="781"/>
        <v>14:44:00.363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343</v>
      </c>
      <c r="CR1650">
        <v>1</v>
      </c>
      <c r="CW1650">
        <v>10694378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si="779"/>
        <v>05/12/2020 14:43:42.528</v>
      </c>
      <c r="C1651" t="str">
        <f t="shared" si="769"/>
        <v>FFDFD3C0</v>
      </c>
      <c r="D1651" t="s">
        <v>131</v>
      </c>
      <c r="E1651">
        <v>18</v>
      </c>
      <c r="F1651">
        <v>2018</v>
      </c>
      <c r="G1651" t="s">
        <v>161</v>
      </c>
      <c r="J1651" t="s">
        <v>133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780"/>
        <v>14:44:00.359</v>
      </c>
      <c r="T1651" t="str">
        <f t="shared" si="780"/>
        <v>14:44:00.359</v>
      </c>
      <c r="U1651" t="str">
        <f t="shared" si="760"/>
        <v>A9808D</v>
      </c>
      <c r="V1651">
        <v>0</v>
      </c>
      <c r="W1651">
        <v>0</v>
      </c>
      <c r="X1651">
        <v>1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0</v>
      </c>
      <c r="AI1651" t="s">
        <v>443</v>
      </c>
      <c r="AJ1651">
        <v>28.279173</v>
      </c>
      <c r="AK1651" t="s">
        <v>444</v>
      </c>
      <c r="AL1651">
        <v>-82.365853999999999</v>
      </c>
      <c r="AM1651">
        <v>100</v>
      </c>
      <c r="AN1651">
        <v>1700</v>
      </c>
      <c r="AO1651" t="s">
        <v>118</v>
      </c>
      <c r="AP1651">
        <v>62</v>
      </c>
      <c r="AQ1651">
        <v>-73</v>
      </c>
      <c r="AR1651">
        <v>448</v>
      </c>
      <c r="AZ1651">
        <v>1200</v>
      </c>
      <c r="BA1651">
        <v>1</v>
      </c>
      <c r="BB1651" t="str">
        <f t="shared" si="770"/>
        <v xml:space="preserve">N711JA  </v>
      </c>
      <c r="BC1651">
        <v>1</v>
      </c>
      <c r="BE1651">
        <v>0</v>
      </c>
      <c r="BF1651">
        <v>0</v>
      </c>
      <c r="BG1651">
        <v>0</v>
      </c>
      <c r="BH1651">
        <v>1850</v>
      </c>
      <c r="BI1651">
        <v>1</v>
      </c>
      <c r="BJ1651">
        <v>1</v>
      </c>
      <c r="BK1651">
        <v>0</v>
      </c>
      <c r="BL1651">
        <v>0</v>
      </c>
      <c r="BO1651">
        <v>0</v>
      </c>
      <c r="BP1651">
        <v>0</v>
      </c>
      <c r="BW1651" t="str">
        <f t="shared" si="781"/>
        <v>14:44:00.363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343</v>
      </c>
      <c r="CR1651">
        <v>1</v>
      </c>
      <c r="CW1651">
        <v>10694378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ref="A1652:A1660" si="782">"05/12/2020 14:43:43.540"</f>
        <v>05/12/2020 14:43:43.540</v>
      </c>
      <c r="C1652" t="str">
        <f t="shared" si="769"/>
        <v>FFDFD3C0</v>
      </c>
      <c r="D1652" t="s">
        <v>126</v>
      </c>
      <c r="E1652">
        <v>6</v>
      </c>
      <c r="F1652">
        <v>1006</v>
      </c>
      <c r="G1652" t="s">
        <v>114</v>
      </c>
      <c r="J1652" t="s">
        <v>128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ref="S1652:T1660" si="783">"14:44:01.367"</f>
        <v>14:44:01.367</v>
      </c>
      <c r="T1652" t="str">
        <f t="shared" si="783"/>
        <v>14:44:01.367</v>
      </c>
      <c r="U1652" t="str">
        <f t="shared" si="760"/>
        <v>A9808D</v>
      </c>
      <c r="V1652">
        <v>0</v>
      </c>
      <c r="W1652">
        <v>0</v>
      </c>
      <c r="X1652">
        <v>1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0</v>
      </c>
      <c r="AI1652" t="s">
        <v>445</v>
      </c>
      <c r="AJ1652">
        <v>28.278808999999999</v>
      </c>
      <c r="AK1652" t="s">
        <v>446</v>
      </c>
      <c r="AL1652">
        <v>-82.365532000000002</v>
      </c>
      <c r="AM1652">
        <v>100</v>
      </c>
      <c r="AN1652">
        <v>1800</v>
      </c>
      <c r="AO1652" t="s">
        <v>118</v>
      </c>
      <c r="AP1652">
        <v>62</v>
      </c>
      <c r="AQ1652">
        <v>-73</v>
      </c>
      <c r="AR1652">
        <v>256</v>
      </c>
      <c r="AZ1652">
        <v>1200</v>
      </c>
      <c r="BA1652">
        <v>1</v>
      </c>
      <c r="BB1652" t="str">
        <f t="shared" si="770"/>
        <v xml:space="preserve">N711JA  </v>
      </c>
      <c r="BC1652">
        <v>1</v>
      </c>
      <c r="BE1652">
        <v>0</v>
      </c>
      <c r="BF1652">
        <v>0</v>
      </c>
      <c r="BG1652">
        <v>0</v>
      </c>
      <c r="BH1652">
        <v>1750</v>
      </c>
      <c r="BI1652">
        <v>1</v>
      </c>
      <c r="BJ1652">
        <v>1</v>
      </c>
      <c r="BK1652">
        <v>0</v>
      </c>
      <c r="BL1652">
        <v>0</v>
      </c>
      <c r="BO1652">
        <v>0</v>
      </c>
      <c r="BP1652">
        <v>0</v>
      </c>
      <c r="BW1652" t="str">
        <f t="shared" ref="BW1652:BW1660" si="784">"14:44:01.371"</f>
        <v>14:44:01.371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343</v>
      </c>
      <c r="CR1652">
        <v>1</v>
      </c>
      <c r="CW1652">
        <v>10695459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782"/>
        <v>05/12/2020 14:43:43.540</v>
      </c>
      <c r="C1653" t="str">
        <f t="shared" si="769"/>
        <v>FFDFD3C0</v>
      </c>
      <c r="D1653" t="s">
        <v>134</v>
      </c>
      <c r="E1653">
        <v>12</v>
      </c>
      <c r="H1653">
        <v>64</v>
      </c>
      <c r="I1653" t="s">
        <v>135</v>
      </c>
      <c r="J1653" t="s">
        <v>136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783"/>
        <v>14:44:01.367</v>
      </c>
      <c r="T1653" t="str">
        <f t="shared" si="783"/>
        <v>14:44:01.367</v>
      </c>
      <c r="U1653" t="str">
        <f t="shared" si="760"/>
        <v>A9808D</v>
      </c>
      <c r="V1653">
        <v>0</v>
      </c>
      <c r="W1653">
        <v>0</v>
      </c>
      <c r="X1653">
        <v>1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0</v>
      </c>
      <c r="AI1653" t="s">
        <v>445</v>
      </c>
      <c r="AJ1653">
        <v>28.278808999999999</v>
      </c>
      <c r="AK1653" t="s">
        <v>446</v>
      </c>
      <c r="AL1653">
        <v>-82.365532000000002</v>
      </c>
      <c r="AM1653">
        <v>100</v>
      </c>
      <c r="AN1653">
        <v>1800</v>
      </c>
      <c r="AO1653" t="s">
        <v>118</v>
      </c>
      <c r="AP1653">
        <v>62</v>
      </c>
      <c r="AQ1653">
        <v>-73</v>
      </c>
      <c r="AR1653">
        <v>256</v>
      </c>
      <c r="AZ1653">
        <v>1200</v>
      </c>
      <c r="BA1653">
        <v>1</v>
      </c>
      <c r="BB1653" t="str">
        <f t="shared" si="770"/>
        <v xml:space="preserve">N711JA  </v>
      </c>
      <c r="BC1653">
        <v>1</v>
      </c>
      <c r="BE1653">
        <v>0</v>
      </c>
      <c r="BF1653">
        <v>0</v>
      </c>
      <c r="BG1653">
        <v>0</v>
      </c>
      <c r="BH1653">
        <v>1750</v>
      </c>
      <c r="BI1653">
        <v>1</v>
      </c>
      <c r="BJ1653">
        <v>1</v>
      </c>
      <c r="BK1653">
        <v>0</v>
      </c>
      <c r="BL1653">
        <v>0</v>
      </c>
      <c r="BO1653">
        <v>0</v>
      </c>
      <c r="BP1653">
        <v>0</v>
      </c>
      <c r="BW1653" t="str">
        <f t="shared" si="784"/>
        <v>14:44:01.371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343</v>
      </c>
      <c r="CR1653">
        <v>1</v>
      </c>
      <c r="CW1653">
        <v>10695459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si="782"/>
        <v>05/12/2020 14:43:43.540</v>
      </c>
      <c r="C1654" t="str">
        <f t="shared" si="769"/>
        <v>FFDFD3C0</v>
      </c>
      <c r="D1654" t="s">
        <v>138</v>
      </c>
      <c r="E1654">
        <v>2</v>
      </c>
      <c r="H1654">
        <v>8</v>
      </c>
      <c r="I1654" t="s">
        <v>139</v>
      </c>
      <c r="J1654" t="s">
        <v>136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783"/>
        <v>14:44:01.367</v>
      </c>
      <c r="T1654" t="str">
        <f t="shared" si="783"/>
        <v>14:44:01.367</v>
      </c>
      <c r="U1654" t="str">
        <f t="shared" si="760"/>
        <v>A9808D</v>
      </c>
      <c r="V1654">
        <v>0</v>
      </c>
      <c r="W1654">
        <v>0</v>
      </c>
      <c r="X1654">
        <v>1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0</v>
      </c>
      <c r="AI1654" t="s">
        <v>445</v>
      </c>
      <c r="AJ1654">
        <v>28.278808999999999</v>
      </c>
      <c r="AK1654" t="s">
        <v>446</v>
      </c>
      <c r="AL1654">
        <v>-82.365532000000002</v>
      </c>
      <c r="AM1654">
        <v>100</v>
      </c>
      <c r="AN1654">
        <v>1800</v>
      </c>
      <c r="AO1654" t="s">
        <v>118</v>
      </c>
      <c r="AP1654">
        <v>62</v>
      </c>
      <c r="AQ1654">
        <v>-73</v>
      </c>
      <c r="AR1654">
        <v>256</v>
      </c>
      <c r="AZ1654">
        <v>1200</v>
      </c>
      <c r="BA1654">
        <v>1</v>
      </c>
      <c r="BB1654" t="str">
        <f t="shared" si="770"/>
        <v xml:space="preserve">N711JA  </v>
      </c>
      <c r="BC1654">
        <v>1</v>
      </c>
      <c r="BE1654">
        <v>0</v>
      </c>
      <c r="BF1654">
        <v>0</v>
      </c>
      <c r="BG1654">
        <v>0</v>
      </c>
      <c r="BH1654">
        <v>1750</v>
      </c>
      <c r="BI1654">
        <v>1</v>
      </c>
      <c r="BJ1654">
        <v>1</v>
      </c>
      <c r="BK1654">
        <v>0</v>
      </c>
      <c r="BL1654">
        <v>0</v>
      </c>
      <c r="BO1654">
        <v>0</v>
      </c>
      <c r="BP1654">
        <v>0</v>
      </c>
      <c r="BW1654" t="str">
        <f t="shared" si="784"/>
        <v>14:44:01.371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343</v>
      </c>
      <c r="CR1654">
        <v>1</v>
      </c>
      <c r="CW1654">
        <v>10695459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 t="shared" si="782"/>
        <v>05/12/2020 14:43:43.540</v>
      </c>
      <c r="C1655" t="str">
        <f t="shared" si="769"/>
        <v>FFDFD3C0</v>
      </c>
      <c r="D1655" t="s">
        <v>138</v>
      </c>
      <c r="E1655">
        <v>3</v>
      </c>
      <c r="H1655">
        <v>9</v>
      </c>
      <c r="I1655" t="s">
        <v>140</v>
      </c>
      <c r="J1655" t="s">
        <v>136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783"/>
        <v>14:44:01.367</v>
      </c>
      <c r="T1655" t="str">
        <f t="shared" si="783"/>
        <v>14:44:01.367</v>
      </c>
      <c r="U1655" t="str">
        <f t="shared" si="760"/>
        <v>A9808D</v>
      </c>
      <c r="V1655">
        <v>0</v>
      </c>
      <c r="W1655">
        <v>0</v>
      </c>
      <c r="X1655">
        <v>1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0</v>
      </c>
      <c r="AI1655" t="s">
        <v>445</v>
      </c>
      <c r="AJ1655">
        <v>28.278808999999999</v>
      </c>
      <c r="AK1655" t="s">
        <v>446</v>
      </c>
      <c r="AL1655">
        <v>-82.365532000000002</v>
      </c>
      <c r="AM1655">
        <v>100</v>
      </c>
      <c r="AN1655">
        <v>1800</v>
      </c>
      <c r="AO1655" t="s">
        <v>118</v>
      </c>
      <c r="AP1655">
        <v>62</v>
      </c>
      <c r="AQ1655">
        <v>-73</v>
      </c>
      <c r="AR1655">
        <v>256</v>
      </c>
      <c r="AZ1655">
        <v>1200</v>
      </c>
      <c r="BA1655">
        <v>1</v>
      </c>
      <c r="BB1655" t="str">
        <f t="shared" si="770"/>
        <v xml:space="preserve">N711JA  </v>
      </c>
      <c r="BC1655">
        <v>1</v>
      </c>
      <c r="BE1655">
        <v>0</v>
      </c>
      <c r="BF1655">
        <v>0</v>
      </c>
      <c r="BG1655">
        <v>0</v>
      </c>
      <c r="BH1655">
        <v>1750</v>
      </c>
      <c r="BI1655">
        <v>1</v>
      </c>
      <c r="BJ1655">
        <v>1</v>
      </c>
      <c r="BK1655">
        <v>0</v>
      </c>
      <c r="BL1655">
        <v>0</v>
      </c>
      <c r="BO1655">
        <v>0</v>
      </c>
      <c r="BP1655">
        <v>0</v>
      </c>
      <c r="BW1655" t="str">
        <f t="shared" si="784"/>
        <v>14:44:01.371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343</v>
      </c>
      <c r="CR1655">
        <v>1</v>
      </c>
      <c r="CW1655">
        <v>10695459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 t="shared" si="782"/>
        <v>05/12/2020 14:43:43.540</v>
      </c>
      <c r="C1656" t="str">
        <f t="shared" si="769"/>
        <v>FFDFD3C0</v>
      </c>
      <c r="D1656" t="s">
        <v>113</v>
      </c>
      <c r="E1656">
        <v>3</v>
      </c>
      <c r="H1656">
        <v>164</v>
      </c>
      <c r="I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783"/>
        <v>14:44:01.367</v>
      </c>
      <c r="T1656" t="str">
        <f t="shared" si="783"/>
        <v>14:44:01.367</v>
      </c>
      <c r="U1656" t="str">
        <f t="shared" si="760"/>
        <v>A9808D</v>
      </c>
      <c r="V1656">
        <v>0</v>
      </c>
      <c r="W1656">
        <v>0</v>
      </c>
      <c r="X1656">
        <v>1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0</v>
      </c>
      <c r="AI1656" t="s">
        <v>445</v>
      </c>
      <c r="AJ1656">
        <v>28.278808999999999</v>
      </c>
      <c r="AK1656" t="s">
        <v>446</v>
      </c>
      <c r="AL1656">
        <v>-82.365532000000002</v>
      </c>
      <c r="AM1656">
        <v>100</v>
      </c>
      <c r="AN1656">
        <v>1800</v>
      </c>
      <c r="AO1656" t="s">
        <v>118</v>
      </c>
      <c r="AP1656">
        <v>62</v>
      </c>
      <c r="AQ1656">
        <v>-73</v>
      </c>
      <c r="AR1656">
        <v>256</v>
      </c>
      <c r="AZ1656">
        <v>1200</v>
      </c>
      <c r="BA1656">
        <v>1</v>
      </c>
      <c r="BB1656" t="str">
        <f t="shared" si="770"/>
        <v xml:space="preserve">N711JA  </v>
      </c>
      <c r="BC1656">
        <v>1</v>
      </c>
      <c r="BE1656">
        <v>0</v>
      </c>
      <c r="BF1656">
        <v>0</v>
      </c>
      <c r="BG1656">
        <v>0</v>
      </c>
      <c r="BH1656">
        <v>1750</v>
      </c>
      <c r="BI1656">
        <v>1</v>
      </c>
      <c r="BJ1656">
        <v>1</v>
      </c>
      <c r="BK1656">
        <v>0</v>
      </c>
      <c r="BL1656">
        <v>0</v>
      </c>
      <c r="BO1656">
        <v>0</v>
      </c>
      <c r="BP1656">
        <v>0</v>
      </c>
      <c r="BW1656" t="str">
        <f t="shared" si="784"/>
        <v>14:44:01.371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343</v>
      </c>
      <c r="CR1656">
        <v>1</v>
      </c>
      <c r="CW1656">
        <v>10695459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 t="shared" si="782"/>
        <v>05/12/2020 14:43:43.540</v>
      </c>
      <c r="C1657" t="str">
        <f t="shared" si="769"/>
        <v>FFDFD3C0</v>
      </c>
      <c r="D1657" t="s">
        <v>126</v>
      </c>
      <c r="E1657">
        <v>7</v>
      </c>
      <c r="F1657">
        <v>1007</v>
      </c>
      <c r="G1657" t="s">
        <v>127</v>
      </c>
      <c r="J1657" t="s">
        <v>128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783"/>
        <v>14:44:01.367</v>
      </c>
      <c r="T1657" t="str">
        <f t="shared" si="783"/>
        <v>14:44:01.367</v>
      </c>
      <c r="U1657" t="str">
        <f t="shared" si="760"/>
        <v>A9808D</v>
      </c>
      <c r="V1657">
        <v>0</v>
      </c>
      <c r="W1657">
        <v>0</v>
      </c>
      <c r="X1657">
        <v>1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0</v>
      </c>
      <c r="AI1657" t="s">
        <v>445</v>
      </c>
      <c r="AJ1657">
        <v>28.278808999999999</v>
      </c>
      <c r="AK1657" t="s">
        <v>446</v>
      </c>
      <c r="AL1657">
        <v>-82.365532000000002</v>
      </c>
      <c r="AM1657">
        <v>100</v>
      </c>
      <c r="AN1657">
        <v>1800</v>
      </c>
      <c r="AO1657" t="s">
        <v>118</v>
      </c>
      <c r="AP1657">
        <v>62</v>
      </c>
      <c r="AQ1657">
        <v>-73</v>
      </c>
      <c r="AR1657">
        <v>256</v>
      </c>
      <c r="AZ1657">
        <v>1200</v>
      </c>
      <c r="BA1657">
        <v>1</v>
      </c>
      <c r="BB1657" t="str">
        <f t="shared" si="770"/>
        <v xml:space="preserve">N711JA  </v>
      </c>
      <c r="BC1657">
        <v>1</v>
      </c>
      <c r="BE1657">
        <v>0</v>
      </c>
      <c r="BF1657">
        <v>0</v>
      </c>
      <c r="BG1657">
        <v>0</v>
      </c>
      <c r="BH1657">
        <v>1750</v>
      </c>
      <c r="BI1657">
        <v>1</v>
      </c>
      <c r="BJ1657">
        <v>1</v>
      </c>
      <c r="BK1657">
        <v>0</v>
      </c>
      <c r="BL1657">
        <v>0</v>
      </c>
      <c r="BO1657">
        <v>0</v>
      </c>
      <c r="BP1657">
        <v>0</v>
      </c>
      <c r="BW1657" t="str">
        <f t="shared" si="784"/>
        <v>14:44:01.371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343</v>
      </c>
      <c r="CR1657">
        <v>1</v>
      </c>
      <c r="CW1657">
        <v>10695459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 t="shared" si="782"/>
        <v>05/12/2020 14:43:43.540</v>
      </c>
      <c r="C1658" t="str">
        <f t="shared" si="769"/>
        <v>FFDFD3C0</v>
      </c>
      <c r="D1658" t="s">
        <v>131</v>
      </c>
      <c r="E1658">
        <v>10</v>
      </c>
      <c r="F1658">
        <v>2010</v>
      </c>
      <c r="G1658" t="s">
        <v>132</v>
      </c>
      <c r="J1658" t="s">
        <v>133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783"/>
        <v>14:44:01.367</v>
      </c>
      <c r="T1658" t="str">
        <f t="shared" si="783"/>
        <v>14:44:01.367</v>
      </c>
      <c r="U1658" t="str">
        <f t="shared" si="760"/>
        <v>A9808D</v>
      </c>
      <c r="V1658">
        <v>0</v>
      </c>
      <c r="W1658">
        <v>0</v>
      </c>
      <c r="X1658">
        <v>1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0</v>
      </c>
      <c r="AI1658" t="s">
        <v>445</v>
      </c>
      <c r="AJ1658">
        <v>28.278808999999999</v>
      </c>
      <c r="AK1658" t="s">
        <v>446</v>
      </c>
      <c r="AL1658">
        <v>-82.365532000000002</v>
      </c>
      <c r="AM1658">
        <v>100</v>
      </c>
      <c r="AN1658">
        <v>1800</v>
      </c>
      <c r="AO1658" t="s">
        <v>118</v>
      </c>
      <c r="AP1658">
        <v>62</v>
      </c>
      <c r="AQ1658">
        <v>-73</v>
      </c>
      <c r="AR1658">
        <v>256</v>
      </c>
      <c r="AZ1658">
        <v>1200</v>
      </c>
      <c r="BA1658">
        <v>1</v>
      </c>
      <c r="BB1658" t="str">
        <f t="shared" si="770"/>
        <v xml:space="preserve">N711JA  </v>
      </c>
      <c r="BC1658">
        <v>1</v>
      </c>
      <c r="BE1658">
        <v>0</v>
      </c>
      <c r="BF1658">
        <v>0</v>
      </c>
      <c r="BG1658">
        <v>0</v>
      </c>
      <c r="BH1658">
        <v>1750</v>
      </c>
      <c r="BI1658">
        <v>1</v>
      </c>
      <c r="BJ1658">
        <v>1</v>
      </c>
      <c r="BK1658">
        <v>0</v>
      </c>
      <c r="BL1658">
        <v>0</v>
      </c>
      <c r="BO1658">
        <v>0</v>
      </c>
      <c r="BP1658">
        <v>0</v>
      </c>
      <c r="BW1658" t="str">
        <f t="shared" si="784"/>
        <v>14:44:01.371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343</v>
      </c>
      <c r="CR1658">
        <v>1</v>
      </c>
      <c r="CW1658">
        <v>10695459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 t="shared" si="782"/>
        <v>05/12/2020 14:43:43.540</v>
      </c>
      <c r="C1659" t="str">
        <f t="shared" si="769"/>
        <v>FFDFD3C0</v>
      </c>
      <c r="D1659" t="s">
        <v>131</v>
      </c>
      <c r="E1659">
        <v>12</v>
      </c>
      <c r="F1659">
        <v>2012</v>
      </c>
      <c r="G1659" t="s">
        <v>137</v>
      </c>
      <c r="J1659" t="s">
        <v>133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783"/>
        <v>14:44:01.367</v>
      </c>
      <c r="T1659" t="str">
        <f t="shared" si="783"/>
        <v>14:44:01.367</v>
      </c>
      <c r="U1659" t="str">
        <f t="shared" si="760"/>
        <v>A9808D</v>
      </c>
      <c r="V1659">
        <v>0</v>
      </c>
      <c r="W1659">
        <v>0</v>
      </c>
      <c r="X1659">
        <v>1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0</v>
      </c>
      <c r="AI1659" t="s">
        <v>445</v>
      </c>
      <c r="AJ1659">
        <v>28.278808999999999</v>
      </c>
      <c r="AK1659" t="s">
        <v>446</v>
      </c>
      <c r="AL1659">
        <v>-82.365532000000002</v>
      </c>
      <c r="AM1659">
        <v>100</v>
      </c>
      <c r="AN1659">
        <v>1800</v>
      </c>
      <c r="AO1659" t="s">
        <v>118</v>
      </c>
      <c r="AP1659">
        <v>62</v>
      </c>
      <c r="AQ1659">
        <v>-73</v>
      </c>
      <c r="AR1659">
        <v>256</v>
      </c>
      <c r="AZ1659">
        <v>1200</v>
      </c>
      <c r="BA1659">
        <v>1</v>
      </c>
      <c r="BB1659" t="str">
        <f t="shared" si="770"/>
        <v xml:space="preserve">N711JA  </v>
      </c>
      <c r="BC1659">
        <v>1</v>
      </c>
      <c r="BE1659">
        <v>0</v>
      </c>
      <c r="BF1659">
        <v>0</v>
      </c>
      <c r="BG1659">
        <v>0</v>
      </c>
      <c r="BH1659">
        <v>1750</v>
      </c>
      <c r="BI1659">
        <v>1</v>
      </c>
      <c r="BJ1659">
        <v>1</v>
      </c>
      <c r="BK1659">
        <v>0</v>
      </c>
      <c r="BL1659">
        <v>0</v>
      </c>
      <c r="BO1659">
        <v>0</v>
      </c>
      <c r="BP1659">
        <v>0</v>
      </c>
      <c r="BW1659" t="str">
        <f t="shared" si="784"/>
        <v>14:44:01.371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343</v>
      </c>
      <c r="CR1659">
        <v>1</v>
      </c>
      <c r="CW1659">
        <v>10695459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 t="shared" si="782"/>
        <v>05/12/2020 14:43:43.540</v>
      </c>
      <c r="C1660" t="str">
        <f t="shared" si="769"/>
        <v>FFDFD3C0</v>
      </c>
      <c r="D1660" t="s">
        <v>131</v>
      </c>
      <c r="E1660">
        <v>18</v>
      </c>
      <c r="F1660">
        <v>2018</v>
      </c>
      <c r="G1660" t="s">
        <v>161</v>
      </c>
      <c r="J1660" t="s">
        <v>133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783"/>
        <v>14:44:01.367</v>
      </c>
      <c r="T1660" t="str">
        <f t="shared" si="783"/>
        <v>14:44:01.367</v>
      </c>
      <c r="U1660" t="str">
        <f t="shared" si="760"/>
        <v>A9808D</v>
      </c>
      <c r="V1660">
        <v>0</v>
      </c>
      <c r="W1660">
        <v>0</v>
      </c>
      <c r="X1660">
        <v>1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0</v>
      </c>
      <c r="AI1660" t="s">
        <v>445</v>
      </c>
      <c r="AJ1660">
        <v>28.278808999999999</v>
      </c>
      <c r="AK1660" t="s">
        <v>446</v>
      </c>
      <c r="AL1660">
        <v>-82.365532000000002</v>
      </c>
      <c r="AM1660">
        <v>100</v>
      </c>
      <c r="AN1660">
        <v>1800</v>
      </c>
      <c r="AO1660" t="s">
        <v>118</v>
      </c>
      <c r="AP1660">
        <v>62</v>
      </c>
      <c r="AQ1660">
        <v>-73</v>
      </c>
      <c r="AR1660">
        <v>256</v>
      </c>
      <c r="AZ1660">
        <v>1200</v>
      </c>
      <c r="BA1660">
        <v>1</v>
      </c>
      <c r="BB1660" t="str">
        <f t="shared" si="770"/>
        <v xml:space="preserve">N711JA  </v>
      </c>
      <c r="BC1660">
        <v>1</v>
      </c>
      <c r="BE1660">
        <v>0</v>
      </c>
      <c r="BF1660">
        <v>0</v>
      </c>
      <c r="BG1660">
        <v>0</v>
      </c>
      <c r="BH1660">
        <v>1750</v>
      </c>
      <c r="BI1660">
        <v>1</v>
      </c>
      <c r="BJ1660">
        <v>1</v>
      </c>
      <c r="BK1660">
        <v>0</v>
      </c>
      <c r="BL1660">
        <v>0</v>
      </c>
      <c r="BO1660">
        <v>0</v>
      </c>
      <c r="BP1660">
        <v>0</v>
      </c>
      <c r="BW1660" t="str">
        <f t="shared" si="784"/>
        <v>14:44:01.371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343</v>
      </c>
      <c r="CR1660">
        <v>1</v>
      </c>
      <c r="CW1660">
        <v>10695459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 t="shared" ref="A1661:A1669" si="785">"05/12/2020 14:43:44.474"</f>
        <v>05/12/2020 14:43:44.474</v>
      </c>
      <c r="C1661" t="str">
        <f t="shared" si="769"/>
        <v>FFDFD3C0</v>
      </c>
      <c r="D1661" t="s">
        <v>126</v>
      </c>
      <c r="E1661">
        <v>7</v>
      </c>
      <c r="F1661">
        <v>1007</v>
      </c>
      <c r="G1661" t="s">
        <v>127</v>
      </c>
      <c r="J1661" t="s">
        <v>128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ref="S1661:T1669" si="786">"14:44:02.305"</f>
        <v>14:44:02.305</v>
      </c>
      <c r="T1661" t="str">
        <f t="shared" si="786"/>
        <v>14:44:02.305</v>
      </c>
      <c r="U1661" t="str">
        <f t="shared" si="760"/>
        <v>A9808D</v>
      </c>
      <c r="V1661">
        <v>0</v>
      </c>
      <c r="W1661">
        <v>0</v>
      </c>
      <c r="X1661">
        <v>1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0</v>
      </c>
      <c r="AI1661" t="s">
        <v>447</v>
      </c>
      <c r="AJ1661">
        <v>28.27853</v>
      </c>
      <c r="AK1661" t="s">
        <v>448</v>
      </c>
      <c r="AL1661">
        <v>-82.365232000000006</v>
      </c>
      <c r="AM1661">
        <v>100</v>
      </c>
      <c r="AN1661">
        <v>1800</v>
      </c>
      <c r="AO1661" t="s">
        <v>118</v>
      </c>
      <c r="AP1661">
        <v>63</v>
      </c>
      <c r="AQ1661">
        <v>-73</v>
      </c>
      <c r="AR1661">
        <v>256</v>
      </c>
      <c r="AZ1661">
        <v>1200</v>
      </c>
      <c r="BA1661">
        <v>1</v>
      </c>
      <c r="BB1661" t="str">
        <f t="shared" si="770"/>
        <v xml:space="preserve">N711JA  </v>
      </c>
      <c r="BC1661">
        <v>1</v>
      </c>
      <c r="BE1661">
        <v>0</v>
      </c>
      <c r="BF1661">
        <v>0</v>
      </c>
      <c r="BG1661">
        <v>0</v>
      </c>
      <c r="BH1661">
        <v>1850</v>
      </c>
      <c r="BI1661">
        <v>1</v>
      </c>
      <c r="BJ1661">
        <v>1</v>
      </c>
      <c r="BK1661">
        <v>0</v>
      </c>
      <c r="BL1661">
        <v>0</v>
      </c>
      <c r="BO1661">
        <v>0</v>
      </c>
      <c r="BP1661">
        <v>0</v>
      </c>
      <c r="BW1661" t="str">
        <f t="shared" ref="BW1661:BW1669" si="787">"14:44:02.309"</f>
        <v>14:44:02.309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343</v>
      </c>
      <c r="CR1661">
        <v>1</v>
      </c>
      <c r="CW1661">
        <v>10696389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 t="shared" si="785"/>
        <v>05/12/2020 14:43:44.474</v>
      </c>
      <c r="C1662" t="str">
        <f t="shared" si="769"/>
        <v>FFDFD3C0</v>
      </c>
      <c r="D1662" t="s">
        <v>131</v>
      </c>
      <c r="E1662">
        <v>10</v>
      </c>
      <c r="F1662">
        <v>2010</v>
      </c>
      <c r="G1662" t="s">
        <v>132</v>
      </c>
      <c r="J1662" t="s">
        <v>133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786"/>
        <v>14:44:02.305</v>
      </c>
      <c r="T1662" t="str">
        <f t="shared" si="786"/>
        <v>14:44:02.305</v>
      </c>
      <c r="U1662" t="str">
        <f t="shared" si="760"/>
        <v>A9808D</v>
      </c>
      <c r="V1662">
        <v>0</v>
      </c>
      <c r="W1662">
        <v>0</v>
      </c>
      <c r="X1662">
        <v>1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0</v>
      </c>
      <c r="AI1662" t="s">
        <v>447</v>
      </c>
      <c r="AJ1662">
        <v>28.27853</v>
      </c>
      <c r="AK1662" t="s">
        <v>448</v>
      </c>
      <c r="AL1662">
        <v>-82.365232000000006</v>
      </c>
      <c r="AM1662">
        <v>100</v>
      </c>
      <c r="AN1662">
        <v>1800</v>
      </c>
      <c r="AO1662" t="s">
        <v>118</v>
      </c>
      <c r="AP1662">
        <v>63</v>
      </c>
      <c r="AQ1662">
        <v>-73</v>
      </c>
      <c r="AR1662">
        <v>256</v>
      </c>
      <c r="AZ1662">
        <v>1200</v>
      </c>
      <c r="BA1662">
        <v>1</v>
      </c>
      <c r="BB1662" t="str">
        <f t="shared" si="770"/>
        <v xml:space="preserve">N711JA  </v>
      </c>
      <c r="BC1662">
        <v>1</v>
      </c>
      <c r="BE1662">
        <v>0</v>
      </c>
      <c r="BF1662">
        <v>0</v>
      </c>
      <c r="BG1662">
        <v>0</v>
      </c>
      <c r="BH1662">
        <v>1850</v>
      </c>
      <c r="BI1662">
        <v>1</v>
      </c>
      <c r="BJ1662">
        <v>1</v>
      </c>
      <c r="BK1662">
        <v>0</v>
      </c>
      <c r="BL1662">
        <v>0</v>
      </c>
      <c r="BO1662">
        <v>0</v>
      </c>
      <c r="BP1662">
        <v>0</v>
      </c>
      <c r="BW1662" t="str">
        <f t="shared" si="787"/>
        <v>14:44:02.309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343</v>
      </c>
      <c r="CR1662">
        <v>1</v>
      </c>
      <c r="CW1662">
        <v>10696389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 t="shared" si="785"/>
        <v>05/12/2020 14:43:44.474</v>
      </c>
      <c r="C1663" t="str">
        <f t="shared" si="769"/>
        <v>FFDFD3C0</v>
      </c>
      <c r="D1663" t="s">
        <v>131</v>
      </c>
      <c r="E1663">
        <v>12</v>
      </c>
      <c r="F1663">
        <v>2012</v>
      </c>
      <c r="G1663" t="s">
        <v>137</v>
      </c>
      <c r="J1663" t="s">
        <v>133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786"/>
        <v>14:44:02.305</v>
      </c>
      <c r="T1663" t="str">
        <f t="shared" si="786"/>
        <v>14:44:02.305</v>
      </c>
      <c r="U1663" t="str">
        <f t="shared" si="760"/>
        <v>A9808D</v>
      </c>
      <c r="V1663">
        <v>0</v>
      </c>
      <c r="W1663">
        <v>0</v>
      </c>
      <c r="X1663">
        <v>1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0</v>
      </c>
      <c r="AI1663" t="s">
        <v>447</v>
      </c>
      <c r="AJ1663">
        <v>28.27853</v>
      </c>
      <c r="AK1663" t="s">
        <v>448</v>
      </c>
      <c r="AL1663">
        <v>-82.365232000000006</v>
      </c>
      <c r="AM1663">
        <v>100</v>
      </c>
      <c r="AN1663">
        <v>1800</v>
      </c>
      <c r="AO1663" t="s">
        <v>118</v>
      </c>
      <c r="AP1663">
        <v>63</v>
      </c>
      <c r="AQ1663">
        <v>-73</v>
      </c>
      <c r="AR1663">
        <v>256</v>
      </c>
      <c r="AZ1663">
        <v>1200</v>
      </c>
      <c r="BA1663">
        <v>1</v>
      </c>
      <c r="BB1663" t="str">
        <f t="shared" si="770"/>
        <v xml:space="preserve">N711JA  </v>
      </c>
      <c r="BC1663">
        <v>1</v>
      </c>
      <c r="BE1663">
        <v>0</v>
      </c>
      <c r="BF1663">
        <v>0</v>
      </c>
      <c r="BG1663">
        <v>0</v>
      </c>
      <c r="BH1663">
        <v>1850</v>
      </c>
      <c r="BI1663">
        <v>1</v>
      </c>
      <c r="BJ1663">
        <v>1</v>
      </c>
      <c r="BK1663">
        <v>0</v>
      </c>
      <c r="BL1663">
        <v>0</v>
      </c>
      <c r="BO1663">
        <v>0</v>
      </c>
      <c r="BP1663">
        <v>0</v>
      </c>
      <c r="BW1663" t="str">
        <f t="shared" si="787"/>
        <v>14:44:02.309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343</v>
      </c>
      <c r="CR1663">
        <v>1</v>
      </c>
      <c r="CW1663">
        <v>10696389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 t="shared" si="785"/>
        <v>05/12/2020 14:43:44.474</v>
      </c>
      <c r="C1664" t="str">
        <f t="shared" si="769"/>
        <v>FFDFD3C0</v>
      </c>
      <c r="D1664" t="s">
        <v>131</v>
      </c>
      <c r="E1664">
        <v>18</v>
      </c>
      <c r="F1664">
        <v>2018</v>
      </c>
      <c r="G1664" t="s">
        <v>161</v>
      </c>
      <c r="J1664" t="s">
        <v>133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786"/>
        <v>14:44:02.305</v>
      </c>
      <c r="T1664" t="str">
        <f t="shared" si="786"/>
        <v>14:44:02.305</v>
      </c>
      <c r="U1664" t="str">
        <f t="shared" si="760"/>
        <v>A9808D</v>
      </c>
      <c r="V1664">
        <v>0</v>
      </c>
      <c r="W1664">
        <v>0</v>
      </c>
      <c r="X1664">
        <v>1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0</v>
      </c>
      <c r="AI1664" t="s">
        <v>447</v>
      </c>
      <c r="AJ1664">
        <v>28.27853</v>
      </c>
      <c r="AK1664" t="s">
        <v>448</v>
      </c>
      <c r="AL1664">
        <v>-82.365232000000006</v>
      </c>
      <c r="AM1664">
        <v>100</v>
      </c>
      <c r="AN1664">
        <v>1800</v>
      </c>
      <c r="AO1664" t="s">
        <v>118</v>
      </c>
      <c r="AP1664">
        <v>63</v>
      </c>
      <c r="AQ1664">
        <v>-73</v>
      </c>
      <c r="AR1664">
        <v>256</v>
      </c>
      <c r="AZ1664">
        <v>1200</v>
      </c>
      <c r="BA1664">
        <v>1</v>
      </c>
      <c r="BB1664" t="str">
        <f t="shared" si="770"/>
        <v xml:space="preserve">N711JA  </v>
      </c>
      <c r="BC1664">
        <v>1</v>
      </c>
      <c r="BE1664">
        <v>0</v>
      </c>
      <c r="BF1664">
        <v>0</v>
      </c>
      <c r="BG1664">
        <v>0</v>
      </c>
      <c r="BH1664">
        <v>1850</v>
      </c>
      <c r="BI1664">
        <v>1</v>
      </c>
      <c r="BJ1664">
        <v>1</v>
      </c>
      <c r="BK1664">
        <v>0</v>
      </c>
      <c r="BL1664">
        <v>0</v>
      </c>
      <c r="BO1664">
        <v>0</v>
      </c>
      <c r="BP1664">
        <v>0</v>
      </c>
      <c r="BW1664" t="str">
        <f t="shared" si="787"/>
        <v>14:44:02.309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343</v>
      </c>
      <c r="CR1664">
        <v>1</v>
      </c>
      <c r="CW1664">
        <v>10696389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 t="shared" si="785"/>
        <v>05/12/2020 14:43:44.474</v>
      </c>
      <c r="C1665" t="str">
        <f t="shared" si="769"/>
        <v>FFDFD3C0</v>
      </c>
      <c r="D1665" t="s">
        <v>126</v>
      </c>
      <c r="E1665">
        <v>6</v>
      </c>
      <c r="F1665">
        <v>1006</v>
      </c>
      <c r="G1665" t="s">
        <v>114</v>
      </c>
      <c r="J1665" t="s">
        <v>128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786"/>
        <v>14:44:02.305</v>
      </c>
      <c r="T1665" t="str">
        <f t="shared" si="786"/>
        <v>14:44:02.305</v>
      </c>
      <c r="U1665" t="str">
        <f t="shared" si="760"/>
        <v>A9808D</v>
      </c>
      <c r="V1665">
        <v>0</v>
      </c>
      <c r="W1665">
        <v>0</v>
      </c>
      <c r="X1665">
        <v>1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0</v>
      </c>
      <c r="AI1665" t="s">
        <v>447</v>
      </c>
      <c r="AJ1665">
        <v>28.27853</v>
      </c>
      <c r="AK1665" t="s">
        <v>448</v>
      </c>
      <c r="AL1665">
        <v>-82.365232000000006</v>
      </c>
      <c r="AM1665">
        <v>100</v>
      </c>
      <c r="AN1665">
        <v>1800</v>
      </c>
      <c r="AO1665" t="s">
        <v>118</v>
      </c>
      <c r="AP1665">
        <v>63</v>
      </c>
      <c r="AQ1665">
        <v>-73</v>
      </c>
      <c r="AR1665">
        <v>256</v>
      </c>
      <c r="AZ1665">
        <v>1200</v>
      </c>
      <c r="BA1665">
        <v>1</v>
      </c>
      <c r="BB1665" t="str">
        <f t="shared" si="770"/>
        <v xml:space="preserve">N711JA  </v>
      </c>
      <c r="BC1665">
        <v>1</v>
      </c>
      <c r="BE1665">
        <v>0</v>
      </c>
      <c r="BF1665">
        <v>0</v>
      </c>
      <c r="BG1665">
        <v>0</v>
      </c>
      <c r="BH1665">
        <v>1850</v>
      </c>
      <c r="BI1665">
        <v>1</v>
      </c>
      <c r="BJ1665">
        <v>1</v>
      </c>
      <c r="BK1665">
        <v>0</v>
      </c>
      <c r="BL1665">
        <v>0</v>
      </c>
      <c r="BO1665">
        <v>0</v>
      </c>
      <c r="BP1665">
        <v>0</v>
      </c>
      <c r="BW1665" t="str">
        <f t="shared" si="787"/>
        <v>14:44:02.309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343</v>
      </c>
      <c r="CR1665">
        <v>1</v>
      </c>
      <c r="CW1665">
        <v>10696389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 t="shared" si="785"/>
        <v>05/12/2020 14:43:44.474</v>
      </c>
      <c r="C1666" t="str">
        <f t="shared" si="769"/>
        <v>FFDFD3C0</v>
      </c>
      <c r="D1666" t="s">
        <v>134</v>
      </c>
      <c r="E1666">
        <v>12</v>
      </c>
      <c r="H1666">
        <v>64</v>
      </c>
      <c r="I1666" t="s">
        <v>135</v>
      </c>
      <c r="J1666" t="s">
        <v>136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786"/>
        <v>14:44:02.305</v>
      </c>
      <c r="T1666" t="str">
        <f t="shared" si="786"/>
        <v>14:44:02.305</v>
      </c>
      <c r="U1666" t="str">
        <f t="shared" ref="U1666:U1729" si="788">"A9808D"</f>
        <v>A9808D</v>
      </c>
      <c r="V1666">
        <v>0</v>
      </c>
      <c r="W1666">
        <v>0</v>
      </c>
      <c r="X1666">
        <v>1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0</v>
      </c>
      <c r="AI1666" t="s">
        <v>447</v>
      </c>
      <c r="AJ1666">
        <v>28.27853</v>
      </c>
      <c r="AK1666" t="s">
        <v>448</v>
      </c>
      <c r="AL1666">
        <v>-82.365232000000006</v>
      </c>
      <c r="AM1666">
        <v>100</v>
      </c>
      <c r="AN1666">
        <v>1800</v>
      </c>
      <c r="AO1666" t="s">
        <v>118</v>
      </c>
      <c r="AP1666">
        <v>63</v>
      </c>
      <c r="AQ1666">
        <v>-73</v>
      </c>
      <c r="AR1666">
        <v>256</v>
      </c>
      <c r="AZ1666">
        <v>1200</v>
      </c>
      <c r="BA1666">
        <v>1</v>
      </c>
      <c r="BB1666" t="str">
        <f t="shared" si="770"/>
        <v xml:space="preserve">N711JA  </v>
      </c>
      <c r="BC1666">
        <v>1</v>
      </c>
      <c r="BE1666">
        <v>0</v>
      </c>
      <c r="BF1666">
        <v>0</v>
      </c>
      <c r="BG1666">
        <v>0</v>
      </c>
      <c r="BH1666">
        <v>1850</v>
      </c>
      <c r="BI1666">
        <v>1</v>
      </c>
      <c r="BJ1666">
        <v>1</v>
      </c>
      <c r="BK1666">
        <v>0</v>
      </c>
      <c r="BL1666">
        <v>0</v>
      </c>
      <c r="BO1666">
        <v>0</v>
      </c>
      <c r="BP1666">
        <v>0</v>
      </c>
      <c r="BW1666" t="str">
        <f t="shared" si="787"/>
        <v>14:44:02.309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343</v>
      </c>
      <c r="CR1666">
        <v>1</v>
      </c>
      <c r="CW1666">
        <v>10696389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 t="shared" si="785"/>
        <v>05/12/2020 14:43:44.474</v>
      </c>
      <c r="C1667" t="str">
        <f t="shared" si="769"/>
        <v>FFDFD3C0</v>
      </c>
      <c r="D1667" t="s">
        <v>138</v>
      </c>
      <c r="E1667">
        <v>2</v>
      </c>
      <c r="H1667">
        <v>8</v>
      </c>
      <c r="I1667" t="s">
        <v>139</v>
      </c>
      <c r="J1667" t="s">
        <v>136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786"/>
        <v>14:44:02.305</v>
      </c>
      <c r="T1667" t="str">
        <f t="shared" si="786"/>
        <v>14:44:02.305</v>
      </c>
      <c r="U1667" t="str">
        <f t="shared" si="788"/>
        <v>A9808D</v>
      </c>
      <c r="V1667">
        <v>0</v>
      </c>
      <c r="W1667">
        <v>0</v>
      </c>
      <c r="X1667">
        <v>1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0</v>
      </c>
      <c r="AI1667" t="s">
        <v>447</v>
      </c>
      <c r="AJ1667">
        <v>28.27853</v>
      </c>
      <c r="AK1667" t="s">
        <v>448</v>
      </c>
      <c r="AL1667">
        <v>-82.365232000000006</v>
      </c>
      <c r="AM1667">
        <v>100</v>
      </c>
      <c r="AN1667">
        <v>1800</v>
      </c>
      <c r="AO1667" t="s">
        <v>118</v>
      </c>
      <c r="AP1667">
        <v>63</v>
      </c>
      <c r="AQ1667">
        <v>-73</v>
      </c>
      <c r="AR1667">
        <v>256</v>
      </c>
      <c r="AZ1667">
        <v>1200</v>
      </c>
      <c r="BA1667">
        <v>1</v>
      </c>
      <c r="BB1667" t="str">
        <f t="shared" si="770"/>
        <v xml:space="preserve">N711JA  </v>
      </c>
      <c r="BC1667">
        <v>1</v>
      </c>
      <c r="BE1667">
        <v>0</v>
      </c>
      <c r="BF1667">
        <v>0</v>
      </c>
      <c r="BG1667">
        <v>0</v>
      </c>
      <c r="BH1667">
        <v>1850</v>
      </c>
      <c r="BI1667">
        <v>1</v>
      </c>
      <c r="BJ1667">
        <v>1</v>
      </c>
      <c r="BK1667">
        <v>0</v>
      </c>
      <c r="BL1667">
        <v>0</v>
      </c>
      <c r="BO1667">
        <v>0</v>
      </c>
      <c r="BP1667">
        <v>0</v>
      </c>
      <c r="BW1667" t="str">
        <f t="shared" si="787"/>
        <v>14:44:02.309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343</v>
      </c>
      <c r="CR1667">
        <v>1</v>
      </c>
      <c r="CW1667">
        <v>10696389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 t="shared" si="785"/>
        <v>05/12/2020 14:43:44.474</v>
      </c>
      <c r="C1668" t="str">
        <f t="shared" si="769"/>
        <v>FFDFD3C0</v>
      </c>
      <c r="D1668" t="s">
        <v>138</v>
      </c>
      <c r="E1668">
        <v>3</v>
      </c>
      <c r="H1668">
        <v>9</v>
      </c>
      <c r="I1668" t="s">
        <v>140</v>
      </c>
      <c r="J1668" t="s">
        <v>136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786"/>
        <v>14:44:02.305</v>
      </c>
      <c r="T1668" t="str">
        <f t="shared" si="786"/>
        <v>14:44:02.305</v>
      </c>
      <c r="U1668" t="str">
        <f t="shared" si="788"/>
        <v>A9808D</v>
      </c>
      <c r="V1668">
        <v>0</v>
      </c>
      <c r="W1668">
        <v>0</v>
      </c>
      <c r="X1668">
        <v>1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0</v>
      </c>
      <c r="AI1668" t="s">
        <v>447</v>
      </c>
      <c r="AJ1668">
        <v>28.27853</v>
      </c>
      <c r="AK1668" t="s">
        <v>448</v>
      </c>
      <c r="AL1668">
        <v>-82.365232000000006</v>
      </c>
      <c r="AM1668">
        <v>100</v>
      </c>
      <c r="AN1668">
        <v>1800</v>
      </c>
      <c r="AO1668" t="s">
        <v>118</v>
      </c>
      <c r="AP1668">
        <v>63</v>
      </c>
      <c r="AQ1668">
        <v>-73</v>
      </c>
      <c r="AR1668">
        <v>256</v>
      </c>
      <c r="AZ1668">
        <v>1200</v>
      </c>
      <c r="BA1668">
        <v>1</v>
      </c>
      <c r="BB1668" t="str">
        <f t="shared" si="770"/>
        <v xml:space="preserve">N711JA  </v>
      </c>
      <c r="BC1668">
        <v>1</v>
      </c>
      <c r="BE1668">
        <v>0</v>
      </c>
      <c r="BF1668">
        <v>0</v>
      </c>
      <c r="BG1668">
        <v>0</v>
      </c>
      <c r="BH1668">
        <v>1850</v>
      </c>
      <c r="BI1668">
        <v>1</v>
      </c>
      <c r="BJ1668">
        <v>1</v>
      </c>
      <c r="BK1668">
        <v>0</v>
      </c>
      <c r="BL1668">
        <v>0</v>
      </c>
      <c r="BO1668">
        <v>0</v>
      </c>
      <c r="BP1668">
        <v>0</v>
      </c>
      <c r="BW1668" t="str">
        <f t="shared" si="787"/>
        <v>14:44:02.309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343</v>
      </c>
      <c r="CR1668">
        <v>1</v>
      </c>
      <c r="CW1668">
        <v>10696389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 t="shared" si="785"/>
        <v>05/12/2020 14:43:44.474</v>
      </c>
      <c r="C1669" t="str">
        <f t="shared" si="769"/>
        <v>FFDFD3C0</v>
      </c>
      <c r="D1669" t="s">
        <v>113</v>
      </c>
      <c r="E1669">
        <v>3</v>
      </c>
      <c r="H1669">
        <v>164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786"/>
        <v>14:44:02.305</v>
      </c>
      <c r="T1669" t="str">
        <f t="shared" si="786"/>
        <v>14:44:02.305</v>
      </c>
      <c r="U1669" t="str">
        <f t="shared" si="788"/>
        <v>A9808D</v>
      </c>
      <c r="V1669">
        <v>0</v>
      </c>
      <c r="W1669">
        <v>0</v>
      </c>
      <c r="X1669">
        <v>1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0</v>
      </c>
      <c r="AI1669" t="s">
        <v>447</v>
      </c>
      <c r="AJ1669">
        <v>28.27853</v>
      </c>
      <c r="AK1669" t="s">
        <v>448</v>
      </c>
      <c r="AL1669">
        <v>-82.365232000000006</v>
      </c>
      <c r="AM1669">
        <v>100</v>
      </c>
      <c r="AN1669">
        <v>1800</v>
      </c>
      <c r="AO1669" t="s">
        <v>118</v>
      </c>
      <c r="AP1669">
        <v>63</v>
      </c>
      <c r="AQ1669">
        <v>-73</v>
      </c>
      <c r="AR1669">
        <v>256</v>
      </c>
      <c r="AZ1669">
        <v>1200</v>
      </c>
      <c r="BA1669">
        <v>1</v>
      </c>
      <c r="BB1669" t="str">
        <f t="shared" si="770"/>
        <v xml:space="preserve">N711JA  </v>
      </c>
      <c r="BC1669">
        <v>1</v>
      </c>
      <c r="BE1669">
        <v>0</v>
      </c>
      <c r="BF1669">
        <v>0</v>
      </c>
      <c r="BG1669">
        <v>0</v>
      </c>
      <c r="BH1669">
        <v>1850</v>
      </c>
      <c r="BI1669">
        <v>1</v>
      </c>
      <c r="BJ1669">
        <v>1</v>
      </c>
      <c r="BK1669">
        <v>0</v>
      </c>
      <c r="BL1669">
        <v>0</v>
      </c>
      <c r="BO1669">
        <v>0</v>
      </c>
      <c r="BP1669">
        <v>0</v>
      </c>
      <c r="BW1669" t="str">
        <f t="shared" si="787"/>
        <v>14:44:02.309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343</v>
      </c>
      <c r="CR1669">
        <v>1</v>
      </c>
      <c r="CW1669">
        <v>10696389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 t="shared" ref="A1670:A1678" si="789">"05/12/2020 14:43:45.400"</f>
        <v>05/12/2020 14:43:45.400</v>
      </c>
      <c r="C1670" t="str">
        <f t="shared" si="769"/>
        <v>FFDFD3C0</v>
      </c>
      <c r="D1670" t="s">
        <v>126</v>
      </c>
      <c r="E1670">
        <v>6</v>
      </c>
      <c r="F1670">
        <v>1006</v>
      </c>
      <c r="G1670" t="s">
        <v>114</v>
      </c>
      <c r="J1670" t="s">
        <v>128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ref="S1670:S1678" si="790">"14:44:03.195"</f>
        <v>14:44:03.195</v>
      </c>
      <c r="T1670" t="str">
        <f t="shared" ref="T1670:T1678" si="791">"14:44:02.795"</f>
        <v>14:44:02.795</v>
      </c>
      <c r="U1670" t="str">
        <f t="shared" si="788"/>
        <v>A9808D</v>
      </c>
      <c r="V1670">
        <v>0</v>
      </c>
      <c r="W1670">
        <v>0</v>
      </c>
      <c r="X1670">
        <v>1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0</v>
      </c>
      <c r="AI1670" t="s">
        <v>449</v>
      </c>
      <c r="AJ1670">
        <v>28.278207999999999</v>
      </c>
      <c r="AK1670" t="s">
        <v>450</v>
      </c>
      <c r="AL1670">
        <v>-82.364930999999999</v>
      </c>
      <c r="AM1670">
        <v>100</v>
      </c>
      <c r="AN1670">
        <v>1800</v>
      </c>
      <c r="AO1670" t="s">
        <v>118</v>
      </c>
      <c r="AP1670">
        <v>63</v>
      </c>
      <c r="AQ1670">
        <v>-73</v>
      </c>
      <c r="AR1670">
        <v>256</v>
      </c>
      <c r="AZ1670">
        <v>1200</v>
      </c>
      <c r="BA1670">
        <v>1</v>
      </c>
      <c r="BB1670" t="str">
        <f t="shared" si="770"/>
        <v xml:space="preserve">N711JA  </v>
      </c>
      <c r="BC1670">
        <v>1</v>
      </c>
      <c r="BE1670">
        <v>0</v>
      </c>
      <c r="BF1670">
        <v>0</v>
      </c>
      <c r="BG1670">
        <v>0</v>
      </c>
      <c r="BH1670">
        <v>1850</v>
      </c>
      <c r="BI1670">
        <v>1</v>
      </c>
      <c r="BJ1670">
        <v>1</v>
      </c>
      <c r="BK1670">
        <v>0</v>
      </c>
      <c r="BL1670">
        <v>0</v>
      </c>
      <c r="BO1670">
        <v>0</v>
      </c>
      <c r="BP1670">
        <v>0</v>
      </c>
      <c r="BW1670" t="str">
        <f t="shared" ref="BW1670:BW1678" si="792">"14:44:03.203"</f>
        <v>14:44:03.203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343</v>
      </c>
      <c r="CR1670">
        <v>1</v>
      </c>
      <c r="CW1670">
        <v>10697342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 t="shared" si="789"/>
        <v>05/12/2020 14:43:45.400</v>
      </c>
      <c r="C1671" t="str">
        <f t="shared" si="769"/>
        <v>FFDFD3C0</v>
      </c>
      <c r="D1671" t="s">
        <v>134</v>
      </c>
      <c r="E1671">
        <v>12</v>
      </c>
      <c r="H1671">
        <v>64</v>
      </c>
      <c r="I1671" t="s">
        <v>135</v>
      </c>
      <c r="J1671" t="s">
        <v>136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790"/>
        <v>14:44:03.195</v>
      </c>
      <c r="T1671" t="str">
        <f t="shared" si="791"/>
        <v>14:44:02.795</v>
      </c>
      <c r="U1671" t="str">
        <f t="shared" si="788"/>
        <v>A9808D</v>
      </c>
      <c r="V1671">
        <v>0</v>
      </c>
      <c r="W1671">
        <v>0</v>
      </c>
      <c r="X1671">
        <v>1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0</v>
      </c>
      <c r="AI1671" t="s">
        <v>449</v>
      </c>
      <c r="AJ1671">
        <v>28.278207999999999</v>
      </c>
      <c r="AK1671" t="s">
        <v>450</v>
      </c>
      <c r="AL1671">
        <v>-82.364930999999999</v>
      </c>
      <c r="AM1671">
        <v>100</v>
      </c>
      <c r="AN1671">
        <v>1800</v>
      </c>
      <c r="AO1671" t="s">
        <v>118</v>
      </c>
      <c r="AP1671">
        <v>63</v>
      </c>
      <c r="AQ1671">
        <v>-73</v>
      </c>
      <c r="AR1671">
        <v>256</v>
      </c>
      <c r="AZ1671">
        <v>1200</v>
      </c>
      <c r="BA1671">
        <v>1</v>
      </c>
      <c r="BB1671" t="str">
        <f t="shared" si="770"/>
        <v xml:space="preserve">N711JA  </v>
      </c>
      <c r="BC1671">
        <v>1</v>
      </c>
      <c r="BE1671">
        <v>0</v>
      </c>
      <c r="BF1671">
        <v>0</v>
      </c>
      <c r="BG1671">
        <v>0</v>
      </c>
      <c r="BH1671">
        <v>1850</v>
      </c>
      <c r="BI1671">
        <v>1</v>
      </c>
      <c r="BJ1671">
        <v>1</v>
      </c>
      <c r="BK1671">
        <v>0</v>
      </c>
      <c r="BL1671">
        <v>0</v>
      </c>
      <c r="BO1671">
        <v>0</v>
      </c>
      <c r="BP1671">
        <v>0</v>
      </c>
      <c r="BW1671" t="str">
        <f t="shared" si="792"/>
        <v>14:44:03.203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343</v>
      </c>
      <c r="CR1671">
        <v>1</v>
      </c>
      <c r="CW1671">
        <v>10697342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 t="shared" si="789"/>
        <v>05/12/2020 14:43:45.400</v>
      </c>
      <c r="C1672" t="str">
        <f t="shared" si="769"/>
        <v>FFDFD3C0</v>
      </c>
      <c r="D1672" t="s">
        <v>138</v>
      </c>
      <c r="E1672">
        <v>3</v>
      </c>
      <c r="H1672">
        <v>9</v>
      </c>
      <c r="I1672" t="s">
        <v>140</v>
      </c>
      <c r="J1672" t="s">
        <v>136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790"/>
        <v>14:44:03.195</v>
      </c>
      <c r="T1672" t="str">
        <f t="shared" si="791"/>
        <v>14:44:02.795</v>
      </c>
      <c r="U1672" t="str">
        <f t="shared" si="788"/>
        <v>A9808D</v>
      </c>
      <c r="V1672">
        <v>0</v>
      </c>
      <c r="W1672">
        <v>0</v>
      </c>
      <c r="X1672">
        <v>1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0</v>
      </c>
      <c r="AI1672" t="s">
        <v>449</v>
      </c>
      <c r="AJ1672">
        <v>28.278207999999999</v>
      </c>
      <c r="AK1672" t="s">
        <v>450</v>
      </c>
      <c r="AL1672">
        <v>-82.364930999999999</v>
      </c>
      <c r="AM1672">
        <v>100</v>
      </c>
      <c r="AN1672">
        <v>1800</v>
      </c>
      <c r="AO1672" t="s">
        <v>118</v>
      </c>
      <c r="AP1672">
        <v>63</v>
      </c>
      <c r="AQ1672">
        <v>-73</v>
      </c>
      <c r="AR1672">
        <v>256</v>
      </c>
      <c r="AZ1672">
        <v>1200</v>
      </c>
      <c r="BA1672">
        <v>1</v>
      </c>
      <c r="BB1672" t="str">
        <f t="shared" si="770"/>
        <v xml:space="preserve">N711JA  </v>
      </c>
      <c r="BC1672">
        <v>1</v>
      </c>
      <c r="BE1672">
        <v>0</v>
      </c>
      <c r="BF1672">
        <v>0</v>
      </c>
      <c r="BG1672">
        <v>0</v>
      </c>
      <c r="BH1672">
        <v>1850</v>
      </c>
      <c r="BI1672">
        <v>1</v>
      </c>
      <c r="BJ1672">
        <v>1</v>
      </c>
      <c r="BK1672">
        <v>0</v>
      </c>
      <c r="BL1672">
        <v>0</v>
      </c>
      <c r="BO1672">
        <v>0</v>
      </c>
      <c r="BP1672">
        <v>0</v>
      </c>
      <c r="BW1672" t="str">
        <f t="shared" si="792"/>
        <v>14:44:03.203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343</v>
      </c>
      <c r="CR1672">
        <v>1</v>
      </c>
      <c r="CW1672">
        <v>10697342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 t="shared" si="789"/>
        <v>05/12/2020 14:43:45.400</v>
      </c>
      <c r="C1673" t="str">
        <f t="shared" si="769"/>
        <v>FFDFD3C0</v>
      </c>
      <c r="D1673" t="s">
        <v>138</v>
      </c>
      <c r="E1673">
        <v>2</v>
      </c>
      <c r="H1673">
        <v>8</v>
      </c>
      <c r="I1673" t="s">
        <v>139</v>
      </c>
      <c r="J1673" t="s">
        <v>136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790"/>
        <v>14:44:03.195</v>
      </c>
      <c r="T1673" t="str">
        <f t="shared" si="791"/>
        <v>14:44:02.795</v>
      </c>
      <c r="U1673" t="str">
        <f t="shared" si="788"/>
        <v>A9808D</v>
      </c>
      <c r="V1673">
        <v>0</v>
      </c>
      <c r="W1673">
        <v>0</v>
      </c>
      <c r="X1673">
        <v>1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0</v>
      </c>
      <c r="AI1673" t="s">
        <v>449</v>
      </c>
      <c r="AJ1673">
        <v>28.278207999999999</v>
      </c>
      <c r="AK1673" t="s">
        <v>450</v>
      </c>
      <c r="AL1673">
        <v>-82.364930999999999</v>
      </c>
      <c r="AM1673">
        <v>100</v>
      </c>
      <c r="AN1673">
        <v>1800</v>
      </c>
      <c r="AO1673" t="s">
        <v>118</v>
      </c>
      <c r="AP1673">
        <v>63</v>
      </c>
      <c r="AQ1673">
        <v>-73</v>
      </c>
      <c r="AR1673">
        <v>256</v>
      </c>
      <c r="AZ1673">
        <v>1200</v>
      </c>
      <c r="BA1673">
        <v>1</v>
      </c>
      <c r="BB1673" t="str">
        <f t="shared" si="770"/>
        <v xml:space="preserve">N711JA  </v>
      </c>
      <c r="BC1673">
        <v>1</v>
      </c>
      <c r="BE1673">
        <v>0</v>
      </c>
      <c r="BF1673">
        <v>0</v>
      </c>
      <c r="BG1673">
        <v>0</v>
      </c>
      <c r="BH1673">
        <v>1850</v>
      </c>
      <c r="BI1673">
        <v>1</v>
      </c>
      <c r="BJ1673">
        <v>1</v>
      </c>
      <c r="BK1673">
        <v>0</v>
      </c>
      <c r="BL1673">
        <v>0</v>
      </c>
      <c r="BO1673">
        <v>0</v>
      </c>
      <c r="BP1673">
        <v>0</v>
      </c>
      <c r="BW1673" t="str">
        <f t="shared" si="792"/>
        <v>14:44:03.203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343</v>
      </c>
      <c r="CR1673">
        <v>1</v>
      </c>
      <c r="CW1673">
        <v>10697342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 t="shared" si="789"/>
        <v>05/12/2020 14:43:45.400</v>
      </c>
      <c r="C1674" t="str">
        <f t="shared" si="769"/>
        <v>FFDFD3C0</v>
      </c>
      <c r="D1674" t="s">
        <v>126</v>
      </c>
      <c r="E1674">
        <v>7</v>
      </c>
      <c r="F1674">
        <v>1007</v>
      </c>
      <c r="G1674" t="s">
        <v>127</v>
      </c>
      <c r="J1674" t="s">
        <v>128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790"/>
        <v>14:44:03.195</v>
      </c>
      <c r="T1674" t="str">
        <f t="shared" si="791"/>
        <v>14:44:02.795</v>
      </c>
      <c r="U1674" t="str">
        <f t="shared" si="788"/>
        <v>A9808D</v>
      </c>
      <c r="V1674">
        <v>0</v>
      </c>
      <c r="W1674">
        <v>0</v>
      </c>
      <c r="X1674">
        <v>1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0</v>
      </c>
      <c r="AI1674" t="s">
        <v>449</v>
      </c>
      <c r="AJ1674">
        <v>28.278207999999999</v>
      </c>
      <c r="AK1674" t="s">
        <v>450</v>
      </c>
      <c r="AL1674">
        <v>-82.364930999999999</v>
      </c>
      <c r="AM1674">
        <v>100</v>
      </c>
      <c r="AN1674">
        <v>1800</v>
      </c>
      <c r="AO1674" t="s">
        <v>118</v>
      </c>
      <c r="AP1674">
        <v>63</v>
      </c>
      <c r="AQ1674">
        <v>-73</v>
      </c>
      <c r="AR1674">
        <v>256</v>
      </c>
      <c r="AZ1674">
        <v>1200</v>
      </c>
      <c r="BA1674">
        <v>1</v>
      </c>
      <c r="BB1674" t="str">
        <f t="shared" si="770"/>
        <v xml:space="preserve">N711JA  </v>
      </c>
      <c r="BC1674">
        <v>1</v>
      </c>
      <c r="BE1674">
        <v>0</v>
      </c>
      <c r="BF1674">
        <v>0</v>
      </c>
      <c r="BG1674">
        <v>0</v>
      </c>
      <c r="BH1674">
        <v>1850</v>
      </c>
      <c r="BI1674">
        <v>1</v>
      </c>
      <c r="BJ1674">
        <v>1</v>
      </c>
      <c r="BK1674">
        <v>0</v>
      </c>
      <c r="BL1674">
        <v>0</v>
      </c>
      <c r="BO1674">
        <v>0</v>
      </c>
      <c r="BP1674">
        <v>0</v>
      </c>
      <c r="BW1674" t="str">
        <f t="shared" si="792"/>
        <v>14:44:03.203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343</v>
      </c>
      <c r="CR1674">
        <v>1</v>
      </c>
      <c r="CW1674">
        <v>10697342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 t="shared" si="789"/>
        <v>05/12/2020 14:43:45.400</v>
      </c>
      <c r="C1675" t="str">
        <f t="shared" si="769"/>
        <v>FFDFD3C0</v>
      </c>
      <c r="D1675" t="s">
        <v>113</v>
      </c>
      <c r="E1675">
        <v>3</v>
      </c>
      <c r="H1675">
        <v>164</v>
      </c>
      <c r="I1675" t="s">
        <v>114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790"/>
        <v>14:44:03.195</v>
      </c>
      <c r="T1675" t="str">
        <f t="shared" si="791"/>
        <v>14:44:02.795</v>
      </c>
      <c r="U1675" t="str">
        <f t="shared" si="788"/>
        <v>A9808D</v>
      </c>
      <c r="V1675">
        <v>0</v>
      </c>
      <c r="W1675">
        <v>0</v>
      </c>
      <c r="X1675">
        <v>1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0</v>
      </c>
      <c r="AI1675" t="s">
        <v>449</v>
      </c>
      <c r="AJ1675">
        <v>28.278207999999999</v>
      </c>
      <c r="AK1675" t="s">
        <v>450</v>
      </c>
      <c r="AL1675">
        <v>-82.364930999999999</v>
      </c>
      <c r="AM1675">
        <v>100</v>
      </c>
      <c r="AN1675">
        <v>1800</v>
      </c>
      <c r="AO1675" t="s">
        <v>118</v>
      </c>
      <c r="AP1675">
        <v>63</v>
      </c>
      <c r="AQ1675">
        <v>-73</v>
      </c>
      <c r="AR1675">
        <v>256</v>
      </c>
      <c r="AZ1675">
        <v>1200</v>
      </c>
      <c r="BA1675">
        <v>1</v>
      </c>
      <c r="BB1675" t="str">
        <f t="shared" si="770"/>
        <v xml:space="preserve">N711JA  </v>
      </c>
      <c r="BC1675">
        <v>1</v>
      </c>
      <c r="BE1675">
        <v>0</v>
      </c>
      <c r="BF1675">
        <v>0</v>
      </c>
      <c r="BG1675">
        <v>0</v>
      </c>
      <c r="BH1675">
        <v>1850</v>
      </c>
      <c r="BI1675">
        <v>1</v>
      </c>
      <c r="BJ1675">
        <v>1</v>
      </c>
      <c r="BK1675">
        <v>0</v>
      </c>
      <c r="BL1675">
        <v>0</v>
      </c>
      <c r="BO1675">
        <v>0</v>
      </c>
      <c r="BP1675">
        <v>0</v>
      </c>
      <c r="BW1675" t="str">
        <f t="shared" si="792"/>
        <v>14:44:03.203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343</v>
      </c>
      <c r="CR1675">
        <v>1</v>
      </c>
      <c r="CW1675">
        <v>10697342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 t="shared" si="789"/>
        <v>05/12/2020 14:43:45.400</v>
      </c>
      <c r="C1676" t="str">
        <f t="shared" si="769"/>
        <v>FFDFD3C0</v>
      </c>
      <c r="D1676" t="s">
        <v>131</v>
      </c>
      <c r="E1676">
        <v>10</v>
      </c>
      <c r="F1676">
        <v>2010</v>
      </c>
      <c r="G1676" t="s">
        <v>132</v>
      </c>
      <c r="J1676" t="s">
        <v>133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790"/>
        <v>14:44:03.195</v>
      </c>
      <c r="T1676" t="str">
        <f t="shared" si="791"/>
        <v>14:44:02.795</v>
      </c>
      <c r="U1676" t="str">
        <f t="shared" si="788"/>
        <v>A9808D</v>
      </c>
      <c r="V1676">
        <v>0</v>
      </c>
      <c r="W1676">
        <v>0</v>
      </c>
      <c r="X1676">
        <v>1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0</v>
      </c>
      <c r="AI1676" t="s">
        <v>449</v>
      </c>
      <c r="AJ1676">
        <v>28.278207999999999</v>
      </c>
      <c r="AK1676" t="s">
        <v>450</v>
      </c>
      <c r="AL1676">
        <v>-82.364930999999999</v>
      </c>
      <c r="AM1676">
        <v>100</v>
      </c>
      <c r="AN1676">
        <v>1800</v>
      </c>
      <c r="AO1676" t="s">
        <v>118</v>
      </c>
      <c r="AP1676">
        <v>63</v>
      </c>
      <c r="AQ1676">
        <v>-73</v>
      </c>
      <c r="AR1676">
        <v>256</v>
      </c>
      <c r="AZ1676">
        <v>1200</v>
      </c>
      <c r="BA1676">
        <v>1</v>
      </c>
      <c r="BB1676" t="str">
        <f t="shared" si="770"/>
        <v xml:space="preserve">N711JA  </v>
      </c>
      <c r="BC1676">
        <v>1</v>
      </c>
      <c r="BE1676">
        <v>0</v>
      </c>
      <c r="BF1676">
        <v>0</v>
      </c>
      <c r="BG1676">
        <v>0</v>
      </c>
      <c r="BH1676">
        <v>1850</v>
      </c>
      <c r="BI1676">
        <v>1</v>
      </c>
      <c r="BJ1676">
        <v>1</v>
      </c>
      <c r="BK1676">
        <v>0</v>
      </c>
      <c r="BL1676">
        <v>0</v>
      </c>
      <c r="BO1676">
        <v>0</v>
      </c>
      <c r="BP1676">
        <v>0</v>
      </c>
      <c r="BW1676" t="str">
        <f t="shared" si="792"/>
        <v>14:44:03.203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343</v>
      </c>
      <c r="CR1676">
        <v>1</v>
      </c>
      <c r="CW1676">
        <v>10697342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 t="shared" si="789"/>
        <v>05/12/2020 14:43:45.400</v>
      </c>
      <c r="C1677" t="str">
        <f t="shared" si="769"/>
        <v>FFDFD3C0</v>
      </c>
      <c r="D1677" t="s">
        <v>131</v>
      </c>
      <c r="E1677">
        <v>12</v>
      </c>
      <c r="F1677">
        <v>2012</v>
      </c>
      <c r="G1677" t="s">
        <v>137</v>
      </c>
      <c r="J1677" t="s">
        <v>133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790"/>
        <v>14:44:03.195</v>
      </c>
      <c r="T1677" t="str">
        <f t="shared" si="791"/>
        <v>14:44:02.795</v>
      </c>
      <c r="U1677" t="str">
        <f t="shared" si="788"/>
        <v>A9808D</v>
      </c>
      <c r="V1677">
        <v>0</v>
      </c>
      <c r="W1677">
        <v>0</v>
      </c>
      <c r="X1677">
        <v>1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0</v>
      </c>
      <c r="AI1677" t="s">
        <v>449</v>
      </c>
      <c r="AJ1677">
        <v>28.278207999999999</v>
      </c>
      <c r="AK1677" t="s">
        <v>450</v>
      </c>
      <c r="AL1677">
        <v>-82.364930999999999</v>
      </c>
      <c r="AM1677">
        <v>100</v>
      </c>
      <c r="AN1677">
        <v>1800</v>
      </c>
      <c r="AO1677" t="s">
        <v>118</v>
      </c>
      <c r="AP1677">
        <v>63</v>
      </c>
      <c r="AQ1677">
        <v>-73</v>
      </c>
      <c r="AR1677">
        <v>256</v>
      </c>
      <c r="AZ1677">
        <v>1200</v>
      </c>
      <c r="BA1677">
        <v>1</v>
      </c>
      <c r="BB1677" t="str">
        <f t="shared" si="770"/>
        <v xml:space="preserve">N711JA  </v>
      </c>
      <c r="BC1677">
        <v>1</v>
      </c>
      <c r="BE1677">
        <v>0</v>
      </c>
      <c r="BF1677">
        <v>0</v>
      </c>
      <c r="BG1677">
        <v>0</v>
      </c>
      <c r="BH1677">
        <v>1850</v>
      </c>
      <c r="BI1677">
        <v>1</v>
      </c>
      <c r="BJ1677">
        <v>1</v>
      </c>
      <c r="BK1677">
        <v>0</v>
      </c>
      <c r="BL1677">
        <v>0</v>
      </c>
      <c r="BO1677">
        <v>0</v>
      </c>
      <c r="BP1677">
        <v>0</v>
      </c>
      <c r="BW1677" t="str">
        <f t="shared" si="792"/>
        <v>14:44:03.203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343</v>
      </c>
      <c r="CR1677">
        <v>1</v>
      </c>
      <c r="CW1677">
        <v>10697342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 t="shared" si="789"/>
        <v>05/12/2020 14:43:45.400</v>
      </c>
      <c r="C1678" t="str">
        <f t="shared" si="769"/>
        <v>FFDFD3C0</v>
      </c>
      <c r="D1678" t="s">
        <v>131</v>
      </c>
      <c r="E1678">
        <v>18</v>
      </c>
      <c r="F1678">
        <v>2018</v>
      </c>
      <c r="G1678" t="s">
        <v>161</v>
      </c>
      <c r="J1678" t="s">
        <v>133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790"/>
        <v>14:44:03.195</v>
      </c>
      <c r="T1678" t="str">
        <f t="shared" si="791"/>
        <v>14:44:02.795</v>
      </c>
      <c r="U1678" t="str">
        <f t="shared" si="788"/>
        <v>A9808D</v>
      </c>
      <c r="V1678">
        <v>0</v>
      </c>
      <c r="W1678">
        <v>0</v>
      </c>
      <c r="X1678">
        <v>1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0</v>
      </c>
      <c r="AI1678" t="s">
        <v>449</v>
      </c>
      <c r="AJ1678">
        <v>28.278207999999999</v>
      </c>
      <c r="AK1678" t="s">
        <v>450</v>
      </c>
      <c r="AL1678">
        <v>-82.364930999999999</v>
      </c>
      <c r="AM1678">
        <v>100</v>
      </c>
      <c r="AN1678">
        <v>1800</v>
      </c>
      <c r="AO1678" t="s">
        <v>118</v>
      </c>
      <c r="AP1678">
        <v>63</v>
      </c>
      <c r="AQ1678">
        <v>-73</v>
      </c>
      <c r="AR1678">
        <v>256</v>
      </c>
      <c r="AZ1678">
        <v>1200</v>
      </c>
      <c r="BA1678">
        <v>1</v>
      </c>
      <c r="BB1678" t="str">
        <f t="shared" si="770"/>
        <v xml:space="preserve">N711JA  </v>
      </c>
      <c r="BC1678">
        <v>1</v>
      </c>
      <c r="BE1678">
        <v>0</v>
      </c>
      <c r="BF1678">
        <v>0</v>
      </c>
      <c r="BG1678">
        <v>0</v>
      </c>
      <c r="BH1678">
        <v>1850</v>
      </c>
      <c r="BI1678">
        <v>1</v>
      </c>
      <c r="BJ1678">
        <v>1</v>
      </c>
      <c r="BK1678">
        <v>0</v>
      </c>
      <c r="BL1678">
        <v>0</v>
      </c>
      <c r="BO1678">
        <v>0</v>
      </c>
      <c r="BP1678">
        <v>0</v>
      </c>
      <c r="BW1678" t="str">
        <f t="shared" si="792"/>
        <v>14:44:03.203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343</v>
      </c>
      <c r="CR1678">
        <v>1</v>
      </c>
      <c r="CW1678">
        <v>10697342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 t="shared" ref="A1679:A1687" si="793">"05/12/2020 14:43:46.527"</f>
        <v>05/12/2020 14:43:46.527</v>
      </c>
      <c r="C1679" t="str">
        <f t="shared" si="769"/>
        <v>FFDFD3C0</v>
      </c>
      <c r="D1679" t="s">
        <v>134</v>
      </c>
      <c r="E1679">
        <v>12</v>
      </c>
      <c r="H1679">
        <v>64</v>
      </c>
      <c r="I1679" t="s">
        <v>135</v>
      </c>
      <c r="J1679" t="s">
        <v>136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ref="S1679:S1687" si="794">"14:44:04.359"</f>
        <v>14:44:04.359</v>
      </c>
      <c r="T1679" t="str">
        <f t="shared" ref="T1679:T1687" si="795">"14:44:04.259"</f>
        <v>14:44:04.259</v>
      </c>
      <c r="U1679" t="str">
        <f t="shared" si="788"/>
        <v>A9808D</v>
      </c>
      <c r="V1679">
        <v>0</v>
      </c>
      <c r="W1679">
        <v>0</v>
      </c>
      <c r="X1679">
        <v>1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0</v>
      </c>
      <c r="AI1679" t="s">
        <v>451</v>
      </c>
      <c r="AJ1679">
        <v>28.277822</v>
      </c>
      <c r="AK1679" t="s">
        <v>452</v>
      </c>
      <c r="AL1679">
        <v>-82.364565999999996</v>
      </c>
      <c r="AM1679">
        <v>100</v>
      </c>
      <c r="AN1679">
        <v>1800</v>
      </c>
      <c r="AO1679" t="s">
        <v>118</v>
      </c>
      <c r="AP1679">
        <v>64</v>
      </c>
      <c r="AQ1679">
        <v>-73</v>
      </c>
      <c r="AR1679">
        <v>256</v>
      </c>
      <c r="AZ1679">
        <v>1200</v>
      </c>
      <c r="BA1679">
        <v>1</v>
      </c>
      <c r="BB1679" t="str">
        <f t="shared" si="770"/>
        <v xml:space="preserve">N711JA  </v>
      </c>
      <c r="BC1679">
        <v>1</v>
      </c>
      <c r="BE1679">
        <v>0</v>
      </c>
      <c r="BF1679">
        <v>0</v>
      </c>
      <c r="BG1679">
        <v>0</v>
      </c>
      <c r="BH1679">
        <v>1875</v>
      </c>
      <c r="BI1679">
        <v>1</v>
      </c>
      <c r="BJ1679">
        <v>1</v>
      </c>
      <c r="BK1679">
        <v>0</v>
      </c>
      <c r="BL1679">
        <v>0</v>
      </c>
      <c r="BO1679">
        <v>0</v>
      </c>
      <c r="BP1679">
        <v>0</v>
      </c>
      <c r="BW1679" t="str">
        <f t="shared" ref="BW1679:BW1687" si="796">"14:44:04.362"</f>
        <v>14:44:04.362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343</v>
      </c>
      <c r="CR1679">
        <v>1</v>
      </c>
      <c r="CW1679">
        <v>10698538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si="793"/>
        <v>05/12/2020 14:43:46.527</v>
      </c>
      <c r="C1680" t="str">
        <f t="shared" si="769"/>
        <v>FFDFD3C0</v>
      </c>
      <c r="D1680" t="s">
        <v>138</v>
      </c>
      <c r="E1680">
        <v>2</v>
      </c>
      <c r="H1680">
        <v>8</v>
      </c>
      <c r="I1680" t="s">
        <v>139</v>
      </c>
      <c r="J1680" t="s">
        <v>136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794"/>
        <v>14:44:04.359</v>
      </c>
      <c r="T1680" t="str">
        <f t="shared" si="795"/>
        <v>14:44:04.259</v>
      </c>
      <c r="U1680" t="str">
        <f t="shared" si="788"/>
        <v>A9808D</v>
      </c>
      <c r="V1680">
        <v>0</v>
      </c>
      <c r="W1680">
        <v>0</v>
      </c>
      <c r="X1680">
        <v>1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0</v>
      </c>
      <c r="AI1680" t="s">
        <v>451</v>
      </c>
      <c r="AJ1680">
        <v>28.277822</v>
      </c>
      <c r="AK1680" t="s">
        <v>452</v>
      </c>
      <c r="AL1680">
        <v>-82.364565999999996</v>
      </c>
      <c r="AM1680">
        <v>100</v>
      </c>
      <c r="AN1680">
        <v>1800</v>
      </c>
      <c r="AO1680" t="s">
        <v>118</v>
      </c>
      <c r="AP1680">
        <v>64</v>
      </c>
      <c r="AQ1680">
        <v>-73</v>
      </c>
      <c r="AR1680">
        <v>256</v>
      </c>
      <c r="AZ1680">
        <v>1200</v>
      </c>
      <c r="BA1680">
        <v>1</v>
      </c>
      <c r="BB1680" t="str">
        <f t="shared" si="770"/>
        <v xml:space="preserve">N711JA  </v>
      </c>
      <c r="BC1680">
        <v>1</v>
      </c>
      <c r="BE1680">
        <v>0</v>
      </c>
      <c r="BF1680">
        <v>0</v>
      </c>
      <c r="BG1680">
        <v>0</v>
      </c>
      <c r="BH1680">
        <v>1875</v>
      </c>
      <c r="BI1680">
        <v>1</v>
      </c>
      <c r="BJ1680">
        <v>1</v>
      </c>
      <c r="BK1680">
        <v>0</v>
      </c>
      <c r="BL1680">
        <v>0</v>
      </c>
      <c r="BO1680">
        <v>0</v>
      </c>
      <c r="BP1680">
        <v>0</v>
      </c>
      <c r="BW1680" t="str">
        <f t="shared" si="796"/>
        <v>14:44:04.362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343</v>
      </c>
      <c r="CR1680">
        <v>1</v>
      </c>
      <c r="CW1680">
        <v>10698538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si="793"/>
        <v>05/12/2020 14:43:46.527</v>
      </c>
      <c r="C1681" t="str">
        <f t="shared" si="769"/>
        <v>FFDFD3C0</v>
      </c>
      <c r="D1681" t="s">
        <v>138</v>
      </c>
      <c r="E1681">
        <v>3</v>
      </c>
      <c r="H1681">
        <v>9</v>
      </c>
      <c r="I1681" t="s">
        <v>140</v>
      </c>
      <c r="J1681" t="s">
        <v>136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794"/>
        <v>14:44:04.359</v>
      </c>
      <c r="T1681" t="str">
        <f t="shared" si="795"/>
        <v>14:44:04.259</v>
      </c>
      <c r="U1681" t="str">
        <f t="shared" si="788"/>
        <v>A9808D</v>
      </c>
      <c r="V1681">
        <v>0</v>
      </c>
      <c r="W1681">
        <v>0</v>
      </c>
      <c r="X1681">
        <v>1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0</v>
      </c>
      <c r="AI1681" t="s">
        <v>451</v>
      </c>
      <c r="AJ1681">
        <v>28.277822</v>
      </c>
      <c r="AK1681" t="s">
        <v>452</v>
      </c>
      <c r="AL1681">
        <v>-82.364565999999996</v>
      </c>
      <c r="AM1681">
        <v>100</v>
      </c>
      <c r="AN1681">
        <v>1800</v>
      </c>
      <c r="AO1681" t="s">
        <v>118</v>
      </c>
      <c r="AP1681">
        <v>64</v>
      </c>
      <c r="AQ1681">
        <v>-73</v>
      </c>
      <c r="AR1681">
        <v>256</v>
      </c>
      <c r="AZ1681">
        <v>1200</v>
      </c>
      <c r="BA1681">
        <v>1</v>
      </c>
      <c r="BB1681" t="str">
        <f t="shared" si="770"/>
        <v xml:space="preserve">N711JA  </v>
      </c>
      <c r="BC1681">
        <v>1</v>
      </c>
      <c r="BE1681">
        <v>0</v>
      </c>
      <c r="BF1681">
        <v>0</v>
      </c>
      <c r="BG1681">
        <v>0</v>
      </c>
      <c r="BH1681">
        <v>1875</v>
      </c>
      <c r="BI1681">
        <v>1</v>
      </c>
      <c r="BJ1681">
        <v>1</v>
      </c>
      <c r="BK1681">
        <v>0</v>
      </c>
      <c r="BL1681">
        <v>0</v>
      </c>
      <c r="BO1681">
        <v>0</v>
      </c>
      <c r="BP1681">
        <v>0</v>
      </c>
      <c r="BW1681" t="str">
        <f t="shared" si="796"/>
        <v>14:44:04.362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343</v>
      </c>
      <c r="CR1681">
        <v>1</v>
      </c>
      <c r="CW1681">
        <v>10698538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si="793"/>
        <v>05/12/2020 14:43:46.527</v>
      </c>
      <c r="C1682" t="str">
        <f t="shared" si="769"/>
        <v>FFDFD3C0</v>
      </c>
      <c r="D1682" t="s">
        <v>126</v>
      </c>
      <c r="E1682">
        <v>7</v>
      </c>
      <c r="F1682">
        <v>1007</v>
      </c>
      <c r="G1682" t="s">
        <v>127</v>
      </c>
      <c r="J1682" t="s">
        <v>128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794"/>
        <v>14:44:04.359</v>
      </c>
      <c r="T1682" t="str">
        <f t="shared" si="795"/>
        <v>14:44:04.259</v>
      </c>
      <c r="U1682" t="str">
        <f t="shared" si="788"/>
        <v>A9808D</v>
      </c>
      <c r="V1682">
        <v>0</v>
      </c>
      <c r="W1682">
        <v>0</v>
      </c>
      <c r="X1682">
        <v>1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0</v>
      </c>
      <c r="AI1682" t="s">
        <v>451</v>
      </c>
      <c r="AJ1682">
        <v>28.277822</v>
      </c>
      <c r="AK1682" t="s">
        <v>452</v>
      </c>
      <c r="AL1682">
        <v>-82.364565999999996</v>
      </c>
      <c r="AM1682">
        <v>100</v>
      </c>
      <c r="AN1682">
        <v>1800</v>
      </c>
      <c r="AO1682" t="s">
        <v>118</v>
      </c>
      <c r="AP1682">
        <v>64</v>
      </c>
      <c r="AQ1682">
        <v>-73</v>
      </c>
      <c r="AR1682">
        <v>256</v>
      </c>
      <c r="AZ1682">
        <v>1200</v>
      </c>
      <c r="BA1682">
        <v>1</v>
      </c>
      <c r="BB1682" t="str">
        <f t="shared" si="770"/>
        <v xml:space="preserve">N711JA  </v>
      </c>
      <c r="BC1682">
        <v>1</v>
      </c>
      <c r="BE1682">
        <v>0</v>
      </c>
      <c r="BF1682">
        <v>0</v>
      </c>
      <c r="BG1682">
        <v>0</v>
      </c>
      <c r="BH1682">
        <v>1875</v>
      </c>
      <c r="BI1682">
        <v>1</v>
      </c>
      <c r="BJ1682">
        <v>1</v>
      </c>
      <c r="BK1682">
        <v>0</v>
      </c>
      <c r="BL1682">
        <v>0</v>
      </c>
      <c r="BO1682">
        <v>0</v>
      </c>
      <c r="BP1682">
        <v>0</v>
      </c>
      <c r="BW1682" t="str">
        <f t="shared" si="796"/>
        <v>14:44:04.362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343</v>
      </c>
      <c r="CR1682">
        <v>1</v>
      </c>
      <c r="CW1682">
        <v>10698538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793"/>
        <v>05/12/2020 14:43:46.527</v>
      </c>
      <c r="C1683" t="str">
        <f t="shared" si="769"/>
        <v>FFDFD3C0</v>
      </c>
      <c r="D1683" t="s">
        <v>131</v>
      </c>
      <c r="E1683">
        <v>12</v>
      </c>
      <c r="F1683">
        <v>2012</v>
      </c>
      <c r="G1683" t="s">
        <v>137</v>
      </c>
      <c r="J1683" t="s">
        <v>133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794"/>
        <v>14:44:04.359</v>
      </c>
      <c r="T1683" t="str">
        <f t="shared" si="795"/>
        <v>14:44:04.259</v>
      </c>
      <c r="U1683" t="str">
        <f t="shared" si="788"/>
        <v>A9808D</v>
      </c>
      <c r="V1683">
        <v>0</v>
      </c>
      <c r="W1683">
        <v>0</v>
      </c>
      <c r="X1683">
        <v>1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0</v>
      </c>
      <c r="AI1683" t="s">
        <v>451</v>
      </c>
      <c r="AJ1683">
        <v>28.277822</v>
      </c>
      <c r="AK1683" t="s">
        <v>452</v>
      </c>
      <c r="AL1683">
        <v>-82.364565999999996</v>
      </c>
      <c r="AM1683">
        <v>100</v>
      </c>
      <c r="AN1683">
        <v>1800</v>
      </c>
      <c r="AO1683" t="s">
        <v>118</v>
      </c>
      <c r="AP1683">
        <v>64</v>
      </c>
      <c r="AQ1683">
        <v>-73</v>
      </c>
      <c r="AR1683">
        <v>256</v>
      </c>
      <c r="AZ1683">
        <v>1200</v>
      </c>
      <c r="BA1683">
        <v>1</v>
      </c>
      <c r="BB1683" t="str">
        <f t="shared" si="770"/>
        <v xml:space="preserve">N711JA  </v>
      </c>
      <c r="BC1683">
        <v>1</v>
      </c>
      <c r="BE1683">
        <v>0</v>
      </c>
      <c r="BF1683">
        <v>0</v>
      </c>
      <c r="BG1683">
        <v>0</v>
      </c>
      <c r="BH1683">
        <v>1875</v>
      </c>
      <c r="BI1683">
        <v>1</v>
      </c>
      <c r="BJ1683">
        <v>1</v>
      </c>
      <c r="BK1683">
        <v>0</v>
      </c>
      <c r="BL1683">
        <v>0</v>
      </c>
      <c r="BO1683">
        <v>0</v>
      </c>
      <c r="BP1683">
        <v>0</v>
      </c>
      <c r="BW1683" t="str">
        <f t="shared" si="796"/>
        <v>14:44:04.362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343</v>
      </c>
      <c r="CR1683">
        <v>1</v>
      </c>
      <c r="CW1683">
        <v>10698538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793"/>
        <v>05/12/2020 14:43:46.527</v>
      </c>
      <c r="C1684" t="str">
        <f t="shared" si="769"/>
        <v>FFDFD3C0</v>
      </c>
      <c r="D1684" t="s">
        <v>131</v>
      </c>
      <c r="E1684">
        <v>10</v>
      </c>
      <c r="F1684">
        <v>2010</v>
      </c>
      <c r="G1684" t="s">
        <v>132</v>
      </c>
      <c r="J1684" t="s">
        <v>133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794"/>
        <v>14:44:04.359</v>
      </c>
      <c r="T1684" t="str">
        <f t="shared" si="795"/>
        <v>14:44:04.259</v>
      </c>
      <c r="U1684" t="str">
        <f t="shared" si="788"/>
        <v>A9808D</v>
      </c>
      <c r="V1684">
        <v>0</v>
      </c>
      <c r="W1684">
        <v>0</v>
      </c>
      <c r="X1684">
        <v>1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0</v>
      </c>
      <c r="AI1684" t="s">
        <v>451</v>
      </c>
      <c r="AJ1684">
        <v>28.277822</v>
      </c>
      <c r="AK1684" t="s">
        <v>452</v>
      </c>
      <c r="AL1684">
        <v>-82.364565999999996</v>
      </c>
      <c r="AM1684">
        <v>100</v>
      </c>
      <c r="AN1684">
        <v>1800</v>
      </c>
      <c r="AO1684" t="s">
        <v>118</v>
      </c>
      <c r="AP1684">
        <v>64</v>
      </c>
      <c r="AQ1684">
        <v>-73</v>
      </c>
      <c r="AR1684">
        <v>256</v>
      </c>
      <c r="AZ1684">
        <v>1200</v>
      </c>
      <c r="BA1684">
        <v>1</v>
      </c>
      <c r="BB1684" t="str">
        <f t="shared" si="770"/>
        <v xml:space="preserve">N711JA  </v>
      </c>
      <c r="BC1684">
        <v>1</v>
      </c>
      <c r="BE1684">
        <v>0</v>
      </c>
      <c r="BF1684">
        <v>0</v>
      </c>
      <c r="BG1684">
        <v>0</v>
      </c>
      <c r="BH1684">
        <v>1875</v>
      </c>
      <c r="BI1684">
        <v>1</v>
      </c>
      <c r="BJ1684">
        <v>1</v>
      </c>
      <c r="BK1684">
        <v>0</v>
      </c>
      <c r="BL1684">
        <v>0</v>
      </c>
      <c r="BO1684">
        <v>0</v>
      </c>
      <c r="BP1684">
        <v>0</v>
      </c>
      <c r="BW1684" t="str">
        <f t="shared" si="796"/>
        <v>14:44:04.362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343</v>
      </c>
      <c r="CR1684">
        <v>1</v>
      </c>
      <c r="CW1684">
        <v>10698538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 t="shared" si="793"/>
        <v>05/12/2020 14:43:46.527</v>
      </c>
      <c r="C1685" t="str">
        <f t="shared" si="769"/>
        <v>FFDFD3C0</v>
      </c>
      <c r="D1685" t="s">
        <v>131</v>
      </c>
      <c r="E1685">
        <v>18</v>
      </c>
      <c r="F1685">
        <v>2018</v>
      </c>
      <c r="G1685" t="s">
        <v>161</v>
      </c>
      <c r="J1685" t="s">
        <v>133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794"/>
        <v>14:44:04.359</v>
      </c>
      <c r="T1685" t="str">
        <f t="shared" si="795"/>
        <v>14:44:04.259</v>
      </c>
      <c r="U1685" t="str">
        <f t="shared" si="788"/>
        <v>A9808D</v>
      </c>
      <c r="V1685">
        <v>0</v>
      </c>
      <c r="W1685">
        <v>0</v>
      </c>
      <c r="X1685">
        <v>1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0</v>
      </c>
      <c r="AI1685" t="s">
        <v>451</v>
      </c>
      <c r="AJ1685">
        <v>28.277822</v>
      </c>
      <c r="AK1685" t="s">
        <v>452</v>
      </c>
      <c r="AL1685">
        <v>-82.364565999999996</v>
      </c>
      <c r="AM1685">
        <v>100</v>
      </c>
      <c r="AN1685">
        <v>1800</v>
      </c>
      <c r="AO1685" t="s">
        <v>118</v>
      </c>
      <c r="AP1685">
        <v>64</v>
      </c>
      <c r="AQ1685">
        <v>-73</v>
      </c>
      <c r="AR1685">
        <v>256</v>
      </c>
      <c r="AZ1685">
        <v>1200</v>
      </c>
      <c r="BA1685">
        <v>1</v>
      </c>
      <c r="BB1685" t="str">
        <f t="shared" si="770"/>
        <v xml:space="preserve">N711JA  </v>
      </c>
      <c r="BC1685">
        <v>1</v>
      </c>
      <c r="BE1685">
        <v>0</v>
      </c>
      <c r="BF1685">
        <v>0</v>
      </c>
      <c r="BG1685">
        <v>0</v>
      </c>
      <c r="BH1685">
        <v>1875</v>
      </c>
      <c r="BI1685">
        <v>1</v>
      </c>
      <c r="BJ1685">
        <v>1</v>
      </c>
      <c r="BK1685">
        <v>0</v>
      </c>
      <c r="BL1685">
        <v>0</v>
      </c>
      <c r="BO1685">
        <v>0</v>
      </c>
      <c r="BP1685">
        <v>0</v>
      </c>
      <c r="BW1685" t="str">
        <f t="shared" si="796"/>
        <v>14:44:04.362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343</v>
      </c>
      <c r="CR1685">
        <v>1</v>
      </c>
      <c r="CW1685">
        <v>10698538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 t="shared" si="793"/>
        <v>05/12/2020 14:43:46.527</v>
      </c>
      <c r="C1686" t="str">
        <f t="shared" ref="C1686:C1749" si="797">"FFDFD3C0"</f>
        <v>FFDFD3C0</v>
      </c>
      <c r="D1686" t="s">
        <v>113</v>
      </c>
      <c r="E1686">
        <v>3</v>
      </c>
      <c r="H1686">
        <v>164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794"/>
        <v>14:44:04.359</v>
      </c>
      <c r="T1686" t="str">
        <f t="shared" si="795"/>
        <v>14:44:04.259</v>
      </c>
      <c r="U1686" t="str">
        <f t="shared" si="788"/>
        <v>A9808D</v>
      </c>
      <c r="V1686">
        <v>0</v>
      </c>
      <c r="W1686">
        <v>0</v>
      </c>
      <c r="X1686">
        <v>1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0</v>
      </c>
      <c r="AI1686" t="s">
        <v>451</v>
      </c>
      <c r="AJ1686">
        <v>28.277822</v>
      </c>
      <c r="AK1686" t="s">
        <v>452</v>
      </c>
      <c r="AL1686">
        <v>-82.364565999999996</v>
      </c>
      <c r="AM1686">
        <v>100</v>
      </c>
      <c r="AN1686">
        <v>1800</v>
      </c>
      <c r="AO1686" t="s">
        <v>118</v>
      </c>
      <c r="AP1686">
        <v>64</v>
      </c>
      <c r="AQ1686">
        <v>-73</v>
      </c>
      <c r="AR1686">
        <v>256</v>
      </c>
      <c r="AZ1686">
        <v>1200</v>
      </c>
      <c r="BA1686">
        <v>1</v>
      </c>
      <c r="BB1686" t="str">
        <f t="shared" ref="BB1686:BB1749" si="798">"N711JA  "</f>
        <v xml:space="preserve">N711JA  </v>
      </c>
      <c r="BC1686">
        <v>1</v>
      </c>
      <c r="BE1686">
        <v>0</v>
      </c>
      <c r="BF1686">
        <v>0</v>
      </c>
      <c r="BG1686">
        <v>0</v>
      </c>
      <c r="BH1686">
        <v>1875</v>
      </c>
      <c r="BI1686">
        <v>1</v>
      </c>
      <c r="BJ1686">
        <v>1</v>
      </c>
      <c r="BK1686">
        <v>0</v>
      </c>
      <c r="BL1686">
        <v>0</v>
      </c>
      <c r="BO1686">
        <v>0</v>
      </c>
      <c r="BP1686">
        <v>0</v>
      </c>
      <c r="BW1686" t="str">
        <f t="shared" si="796"/>
        <v>14:44:04.362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343</v>
      </c>
      <c r="CR1686">
        <v>1</v>
      </c>
      <c r="CW1686">
        <v>10698538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 t="shared" si="793"/>
        <v>05/12/2020 14:43:46.527</v>
      </c>
      <c r="C1687" t="str">
        <f t="shared" si="797"/>
        <v>FFDFD3C0</v>
      </c>
      <c r="D1687" t="s">
        <v>126</v>
      </c>
      <c r="E1687">
        <v>6</v>
      </c>
      <c r="F1687">
        <v>1006</v>
      </c>
      <c r="G1687" t="s">
        <v>114</v>
      </c>
      <c r="J1687" t="s">
        <v>128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794"/>
        <v>14:44:04.359</v>
      </c>
      <c r="T1687" t="str">
        <f t="shared" si="795"/>
        <v>14:44:04.259</v>
      </c>
      <c r="U1687" t="str">
        <f t="shared" si="788"/>
        <v>A9808D</v>
      </c>
      <c r="V1687">
        <v>0</v>
      </c>
      <c r="W1687">
        <v>0</v>
      </c>
      <c r="X1687">
        <v>1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0</v>
      </c>
      <c r="AI1687" t="s">
        <v>451</v>
      </c>
      <c r="AJ1687">
        <v>28.277822</v>
      </c>
      <c r="AK1687" t="s">
        <v>452</v>
      </c>
      <c r="AL1687">
        <v>-82.364565999999996</v>
      </c>
      <c r="AM1687">
        <v>100</v>
      </c>
      <c r="AN1687">
        <v>1800</v>
      </c>
      <c r="AO1687" t="s">
        <v>118</v>
      </c>
      <c r="AP1687">
        <v>64</v>
      </c>
      <c r="AQ1687">
        <v>-73</v>
      </c>
      <c r="AR1687">
        <v>256</v>
      </c>
      <c r="AZ1687">
        <v>1200</v>
      </c>
      <c r="BA1687">
        <v>1</v>
      </c>
      <c r="BB1687" t="str">
        <f t="shared" si="798"/>
        <v xml:space="preserve">N711JA  </v>
      </c>
      <c r="BC1687">
        <v>1</v>
      </c>
      <c r="BE1687">
        <v>0</v>
      </c>
      <c r="BF1687">
        <v>0</v>
      </c>
      <c r="BG1687">
        <v>0</v>
      </c>
      <c r="BH1687">
        <v>1875</v>
      </c>
      <c r="BI1687">
        <v>1</v>
      </c>
      <c r="BJ1687">
        <v>1</v>
      </c>
      <c r="BK1687">
        <v>0</v>
      </c>
      <c r="BL1687">
        <v>0</v>
      </c>
      <c r="BO1687">
        <v>0</v>
      </c>
      <c r="BP1687">
        <v>0</v>
      </c>
      <c r="BW1687" t="str">
        <f t="shared" si="796"/>
        <v>14:44:04.362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343</v>
      </c>
      <c r="CR1687">
        <v>1</v>
      </c>
      <c r="CW1687">
        <v>10698538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 t="shared" ref="A1688:A1696" si="799">"05/12/2020 14:43:47.443"</f>
        <v>05/12/2020 14:43:47.443</v>
      </c>
      <c r="C1688" t="str">
        <f t="shared" si="797"/>
        <v>FFDFD3C0</v>
      </c>
      <c r="D1688" t="s">
        <v>138</v>
      </c>
      <c r="E1688">
        <v>2</v>
      </c>
      <c r="H1688">
        <v>8</v>
      </c>
      <c r="I1688" t="s">
        <v>139</v>
      </c>
      <c r="J1688" t="s">
        <v>136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ref="S1688:S1696" si="800">"14:44:05.281"</f>
        <v>14:44:05.281</v>
      </c>
      <c r="T1688" t="str">
        <f t="shared" ref="T1688:T1696" si="801">"14:44:05.181"</f>
        <v>14:44:05.181</v>
      </c>
      <c r="U1688" t="str">
        <f t="shared" si="788"/>
        <v>A9808D</v>
      </c>
      <c r="V1688">
        <v>0</v>
      </c>
      <c r="W1688">
        <v>0</v>
      </c>
      <c r="X1688">
        <v>1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0</v>
      </c>
      <c r="AI1688" t="s">
        <v>453</v>
      </c>
      <c r="AJ1688">
        <v>28.277521</v>
      </c>
      <c r="AK1688" t="s">
        <v>454</v>
      </c>
      <c r="AL1688">
        <v>-82.364243999999999</v>
      </c>
      <c r="AM1688">
        <v>100</v>
      </c>
      <c r="AN1688">
        <v>1800</v>
      </c>
      <c r="AO1688" t="s">
        <v>118</v>
      </c>
      <c r="AP1688">
        <v>65</v>
      </c>
      <c r="AQ1688">
        <v>-72</v>
      </c>
      <c r="AR1688">
        <v>256</v>
      </c>
      <c r="AZ1688">
        <v>1200</v>
      </c>
      <c r="BA1688">
        <v>1</v>
      </c>
      <c r="BB1688" t="str">
        <f t="shared" si="798"/>
        <v xml:space="preserve">N711JA  </v>
      </c>
      <c r="BC1688">
        <v>1</v>
      </c>
      <c r="BE1688">
        <v>0</v>
      </c>
      <c r="BF1688">
        <v>0</v>
      </c>
      <c r="BG1688">
        <v>0</v>
      </c>
      <c r="BH1688">
        <v>1875</v>
      </c>
      <c r="BI1688">
        <v>1</v>
      </c>
      <c r="BJ1688">
        <v>1</v>
      </c>
      <c r="BK1688">
        <v>0</v>
      </c>
      <c r="BL1688">
        <v>0</v>
      </c>
      <c r="BO1688">
        <v>0</v>
      </c>
      <c r="BP1688">
        <v>0</v>
      </c>
      <c r="BW1688" t="str">
        <f t="shared" ref="BW1688:BW1696" si="802">"14:44:05.286"</f>
        <v>14:44:05.286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343</v>
      </c>
      <c r="CR1688">
        <v>1</v>
      </c>
      <c r="CW1688">
        <v>10699482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 t="shared" si="799"/>
        <v>05/12/2020 14:43:47.443</v>
      </c>
      <c r="C1689" t="str">
        <f t="shared" si="797"/>
        <v>FFDFD3C0</v>
      </c>
      <c r="D1689" t="s">
        <v>138</v>
      </c>
      <c r="E1689">
        <v>3</v>
      </c>
      <c r="H1689">
        <v>9</v>
      </c>
      <c r="I1689" t="s">
        <v>140</v>
      </c>
      <c r="J1689" t="s">
        <v>136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800"/>
        <v>14:44:05.281</v>
      </c>
      <c r="T1689" t="str">
        <f t="shared" si="801"/>
        <v>14:44:05.181</v>
      </c>
      <c r="U1689" t="str">
        <f t="shared" si="788"/>
        <v>A9808D</v>
      </c>
      <c r="V1689">
        <v>0</v>
      </c>
      <c r="W1689">
        <v>0</v>
      </c>
      <c r="X1689">
        <v>1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0</v>
      </c>
      <c r="AI1689" t="s">
        <v>453</v>
      </c>
      <c r="AJ1689">
        <v>28.277521</v>
      </c>
      <c r="AK1689" t="s">
        <v>454</v>
      </c>
      <c r="AL1689">
        <v>-82.364243999999999</v>
      </c>
      <c r="AM1689">
        <v>100</v>
      </c>
      <c r="AN1689">
        <v>1800</v>
      </c>
      <c r="AO1689" t="s">
        <v>118</v>
      </c>
      <c r="AP1689">
        <v>65</v>
      </c>
      <c r="AQ1689">
        <v>-72</v>
      </c>
      <c r="AR1689">
        <v>256</v>
      </c>
      <c r="AZ1689">
        <v>1200</v>
      </c>
      <c r="BA1689">
        <v>1</v>
      </c>
      <c r="BB1689" t="str">
        <f t="shared" si="798"/>
        <v xml:space="preserve">N711JA  </v>
      </c>
      <c r="BC1689">
        <v>1</v>
      </c>
      <c r="BE1689">
        <v>0</v>
      </c>
      <c r="BF1689">
        <v>0</v>
      </c>
      <c r="BG1689">
        <v>0</v>
      </c>
      <c r="BH1689">
        <v>1875</v>
      </c>
      <c r="BI1689">
        <v>1</v>
      </c>
      <c r="BJ1689">
        <v>1</v>
      </c>
      <c r="BK1689">
        <v>0</v>
      </c>
      <c r="BL1689">
        <v>0</v>
      </c>
      <c r="BO1689">
        <v>0</v>
      </c>
      <c r="BP1689">
        <v>0</v>
      </c>
      <c r="BW1689" t="str">
        <f t="shared" si="802"/>
        <v>14:44:05.286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343</v>
      </c>
      <c r="CR1689">
        <v>1</v>
      </c>
      <c r="CW1689">
        <v>10699482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 t="shared" si="799"/>
        <v>05/12/2020 14:43:47.443</v>
      </c>
      <c r="C1690" t="str">
        <f t="shared" si="797"/>
        <v>FFDFD3C0</v>
      </c>
      <c r="D1690" t="s">
        <v>131</v>
      </c>
      <c r="E1690">
        <v>10</v>
      </c>
      <c r="F1690">
        <v>2010</v>
      </c>
      <c r="G1690" t="s">
        <v>132</v>
      </c>
      <c r="J1690" t="s">
        <v>133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800"/>
        <v>14:44:05.281</v>
      </c>
      <c r="T1690" t="str">
        <f t="shared" si="801"/>
        <v>14:44:05.181</v>
      </c>
      <c r="U1690" t="str">
        <f t="shared" si="788"/>
        <v>A9808D</v>
      </c>
      <c r="V1690">
        <v>0</v>
      </c>
      <c r="W1690">
        <v>0</v>
      </c>
      <c r="X1690">
        <v>1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0</v>
      </c>
      <c r="AI1690" t="s">
        <v>453</v>
      </c>
      <c r="AJ1690">
        <v>28.277521</v>
      </c>
      <c r="AK1690" t="s">
        <v>454</v>
      </c>
      <c r="AL1690">
        <v>-82.364243999999999</v>
      </c>
      <c r="AM1690">
        <v>100</v>
      </c>
      <c r="AN1690">
        <v>1800</v>
      </c>
      <c r="AO1690" t="s">
        <v>118</v>
      </c>
      <c r="AP1690">
        <v>65</v>
      </c>
      <c r="AQ1690">
        <v>-72</v>
      </c>
      <c r="AR1690">
        <v>256</v>
      </c>
      <c r="AZ1690">
        <v>1200</v>
      </c>
      <c r="BA1690">
        <v>1</v>
      </c>
      <c r="BB1690" t="str">
        <f t="shared" si="798"/>
        <v xml:space="preserve">N711JA  </v>
      </c>
      <c r="BC1690">
        <v>1</v>
      </c>
      <c r="BE1690">
        <v>0</v>
      </c>
      <c r="BF1690">
        <v>0</v>
      </c>
      <c r="BG1690">
        <v>0</v>
      </c>
      <c r="BH1690">
        <v>1875</v>
      </c>
      <c r="BI1690">
        <v>1</v>
      </c>
      <c r="BJ1690">
        <v>1</v>
      </c>
      <c r="BK1690">
        <v>0</v>
      </c>
      <c r="BL1690">
        <v>0</v>
      </c>
      <c r="BO1690">
        <v>0</v>
      </c>
      <c r="BP1690">
        <v>0</v>
      </c>
      <c r="BW1690" t="str">
        <f t="shared" si="802"/>
        <v>14:44:05.286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343</v>
      </c>
      <c r="CR1690">
        <v>1</v>
      </c>
      <c r="CW1690">
        <v>10699482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 t="shared" si="799"/>
        <v>05/12/2020 14:43:47.443</v>
      </c>
      <c r="C1691" t="str">
        <f t="shared" si="797"/>
        <v>FFDFD3C0</v>
      </c>
      <c r="D1691" t="s">
        <v>131</v>
      </c>
      <c r="E1691">
        <v>12</v>
      </c>
      <c r="F1691">
        <v>2012</v>
      </c>
      <c r="G1691" t="s">
        <v>137</v>
      </c>
      <c r="J1691" t="s">
        <v>133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800"/>
        <v>14:44:05.281</v>
      </c>
      <c r="T1691" t="str">
        <f t="shared" si="801"/>
        <v>14:44:05.181</v>
      </c>
      <c r="U1691" t="str">
        <f t="shared" si="788"/>
        <v>A9808D</v>
      </c>
      <c r="V1691">
        <v>0</v>
      </c>
      <c r="W1691">
        <v>0</v>
      </c>
      <c r="X1691">
        <v>1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0</v>
      </c>
      <c r="AI1691" t="s">
        <v>453</v>
      </c>
      <c r="AJ1691">
        <v>28.277521</v>
      </c>
      <c r="AK1691" t="s">
        <v>454</v>
      </c>
      <c r="AL1691">
        <v>-82.364243999999999</v>
      </c>
      <c r="AM1691">
        <v>100</v>
      </c>
      <c r="AN1691">
        <v>1800</v>
      </c>
      <c r="AO1691" t="s">
        <v>118</v>
      </c>
      <c r="AP1691">
        <v>65</v>
      </c>
      <c r="AQ1691">
        <v>-72</v>
      </c>
      <c r="AR1691">
        <v>256</v>
      </c>
      <c r="AZ1691">
        <v>1200</v>
      </c>
      <c r="BA1691">
        <v>1</v>
      </c>
      <c r="BB1691" t="str">
        <f t="shared" si="798"/>
        <v xml:space="preserve">N711JA  </v>
      </c>
      <c r="BC1691">
        <v>1</v>
      </c>
      <c r="BE1691">
        <v>0</v>
      </c>
      <c r="BF1691">
        <v>0</v>
      </c>
      <c r="BG1691">
        <v>0</v>
      </c>
      <c r="BH1691">
        <v>1875</v>
      </c>
      <c r="BI1691">
        <v>1</v>
      </c>
      <c r="BJ1691">
        <v>1</v>
      </c>
      <c r="BK1691">
        <v>0</v>
      </c>
      <c r="BL1691">
        <v>0</v>
      </c>
      <c r="BO1691">
        <v>0</v>
      </c>
      <c r="BP1691">
        <v>0</v>
      </c>
      <c r="BW1691" t="str">
        <f t="shared" si="802"/>
        <v>14:44:05.286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343</v>
      </c>
      <c r="CR1691">
        <v>1</v>
      </c>
      <c r="CW1691">
        <v>10699482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 t="shared" si="799"/>
        <v>05/12/2020 14:43:47.443</v>
      </c>
      <c r="C1692" t="str">
        <f t="shared" si="797"/>
        <v>FFDFD3C0</v>
      </c>
      <c r="D1692" t="s">
        <v>126</v>
      </c>
      <c r="E1692">
        <v>7</v>
      </c>
      <c r="F1692">
        <v>1007</v>
      </c>
      <c r="G1692" t="s">
        <v>127</v>
      </c>
      <c r="J1692" t="s">
        <v>128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800"/>
        <v>14:44:05.281</v>
      </c>
      <c r="T1692" t="str">
        <f t="shared" si="801"/>
        <v>14:44:05.181</v>
      </c>
      <c r="U1692" t="str">
        <f t="shared" si="788"/>
        <v>A9808D</v>
      </c>
      <c r="V1692">
        <v>0</v>
      </c>
      <c r="W1692">
        <v>0</v>
      </c>
      <c r="X1692">
        <v>1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0</v>
      </c>
      <c r="AI1692" t="s">
        <v>453</v>
      </c>
      <c r="AJ1692">
        <v>28.277521</v>
      </c>
      <c r="AK1692" t="s">
        <v>454</v>
      </c>
      <c r="AL1692">
        <v>-82.364243999999999</v>
      </c>
      <c r="AM1692">
        <v>100</v>
      </c>
      <c r="AN1692">
        <v>1800</v>
      </c>
      <c r="AO1692" t="s">
        <v>118</v>
      </c>
      <c r="AP1692">
        <v>65</v>
      </c>
      <c r="AQ1692">
        <v>-72</v>
      </c>
      <c r="AR1692">
        <v>256</v>
      </c>
      <c r="AZ1692">
        <v>1200</v>
      </c>
      <c r="BA1692">
        <v>1</v>
      </c>
      <c r="BB1692" t="str">
        <f t="shared" si="798"/>
        <v xml:space="preserve">N711JA  </v>
      </c>
      <c r="BC1692">
        <v>1</v>
      </c>
      <c r="BE1692">
        <v>0</v>
      </c>
      <c r="BF1692">
        <v>0</v>
      </c>
      <c r="BG1692">
        <v>0</v>
      </c>
      <c r="BH1692">
        <v>1875</v>
      </c>
      <c r="BI1692">
        <v>1</v>
      </c>
      <c r="BJ1692">
        <v>1</v>
      </c>
      <c r="BK1692">
        <v>0</v>
      </c>
      <c r="BL1692">
        <v>0</v>
      </c>
      <c r="BO1692">
        <v>0</v>
      </c>
      <c r="BP1692">
        <v>0</v>
      </c>
      <c r="BW1692" t="str">
        <f t="shared" si="802"/>
        <v>14:44:05.286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343</v>
      </c>
      <c r="CR1692">
        <v>1</v>
      </c>
      <c r="CW1692">
        <v>10699482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 t="shared" si="799"/>
        <v>05/12/2020 14:43:47.443</v>
      </c>
      <c r="C1693" t="str">
        <f t="shared" si="797"/>
        <v>FFDFD3C0</v>
      </c>
      <c r="D1693" t="s">
        <v>131</v>
      </c>
      <c r="E1693">
        <v>18</v>
      </c>
      <c r="F1693">
        <v>2018</v>
      </c>
      <c r="G1693" t="s">
        <v>161</v>
      </c>
      <c r="J1693" t="s">
        <v>133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800"/>
        <v>14:44:05.281</v>
      </c>
      <c r="T1693" t="str">
        <f t="shared" si="801"/>
        <v>14:44:05.181</v>
      </c>
      <c r="U1693" t="str">
        <f t="shared" si="788"/>
        <v>A9808D</v>
      </c>
      <c r="V1693">
        <v>0</v>
      </c>
      <c r="W1693">
        <v>0</v>
      </c>
      <c r="X1693">
        <v>1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0</v>
      </c>
      <c r="AI1693" t="s">
        <v>453</v>
      </c>
      <c r="AJ1693">
        <v>28.277521</v>
      </c>
      <c r="AK1693" t="s">
        <v>454</v>
      </c>
      <c r="AL1693">
        <v>-82.364243999999999</v>
      </c>
      <c r="AM1693">
        <v>100</v>
      </c>
      <c r="AN1693">
        <v>1800</v>
      </c>
      <c r="AO1693" t="s">
        <v>118</v>
      </c>
      <c r="AP1693">
        <v>65</v>
      </c>
      <c r="AQ1693">
        <v>-72</v>
      </c>
      <c r="AR1693">
        <v>256</v>
      </c>
      <c r="AZ1693">
        <v>1200</v>
      </c>
      <c r="BA1693">
        <v>1</v>
      </c>
      <c r="BB1693" t="str">
        <f t="shared" si="798"/>
        <v xml:space="preserve">N711JA  </v>
      </c>
      <c r="BC1693">
        <v>1</v>
      </c>
      <c r="BE1693">
        <v>0</v>
      </c>
      <c r="BF1693">
        <v>0</v>
      </c>
      <c r="BG1693">
        <v>0</v>
      </c>
      <c r="BH1693">
        <v>1875</v>
      </c>
      <c r="BI1693">
        <v>1</v>
      </c>
      <c r="BJ1693">
        <v>1</v>
      </c>
      <c r="BK1693">
        <v>0</v>
      </c>
      <c r="BL1693">
        <v>0</v>
      </c>
      <c r="BO1693">
        <v>0</v>
      </c>
      <c r="BP1693">
        <v>0</v>
      </c>
      <c r="BW1693" t="str">
        <f t="shared" si="802"/>
        <v>14:44:05.286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343</v>
      </c>
      <c r="CR1693">
        <v>1</v>
      </c>
      <c r="CW1693">
        <v>10699482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 t="shared" si="799"/>
        <v>05/12/2020 14:43:47.443</v>
      </c>
      <c r="C1694" t="str">
        <f t="shared" si="797"/>
        <v>FFDFD3C0</v>
      </c>
      <c r="D1694" t="s">
        <v>113</v>
      </c>
      <c r="E1694">
        <v>3</v>
      </c>
      <c r="H1694">
        <v>164</v>
      </c>
      <c r="I1694" t="s">
        <v>114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800"/>
        <v>14:44:05.281</v>
      </c>
      <c r="T1694" t="str">
        <f t="shared" si="801"/>
        <v>14:44:05.181</v>
      </c>
      <c r="U1694" t="str">
        <f t="shared" si="788"/>
        <v>A9808D</v>
      </c>
      <c r="V1694">
        <v>0</v>
      </c>
      <c r="W1694">
        <v>0</v>
      </c>
      <c r="X1694">
        <v>1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0</v>
      </c>
      <c r="AI1694" t="s">
        <v>453</v>
      </c>
      <c r="AJ1694">
        <v>28.277521</v>
      </c>
      <c r="AK1694" t="s">
        <v>454</v>
      </c>
      <c r="AL1694">
        <v>-82.364243999999999</v>
      </c>
      <c r="AM1694">
        <v>100</v>
      </c>
      <c r="AN1694">
        <v>1800</v>
      </c>
      <c r="AO1694" t="s">
        <v>118</v>
      </c>
      <c r="AP1694">
        <v>65</v>
      </c>
      <c r="AQ1694">
        <v>-72</v>
      </c>
      <c r="AR1694">
        <v>256</v>
      </c>
      <c r="AZ1694">
        <v>1200</v>
      </c>
      <c r="BA1694">
        <v>1</v>
      </c>
      <c r="BB1694" t="str">
        <f t="shared" si="798"/>
        <v xml:space="preserve">N711JA  </v>
      </c>
      <c r="BC1694">
        <v>1</v>
      </c>
      <c r="BE1694">
        <v>0</v>
      </c>
      <c r="BF1694">
        <v>0</v>
      </c>
      <c r="BG1694">
        <v>0</v>
      </c>
      <c r="BH1694">
        <v>1875</v>
      </c>
      <c r="BI1694">
        <v>1</v>
      </c>
      <c r="BJ1694">
        <v>1</v>
      </c>
      <c r="BK1694">
        <v>0</v>
      </c>
      <c r="BL1694">
        <v>0</v>
      </c>
      <c r="BO1694">
        <v>0</v>
      </c>
      <c r="BP1694">
        <v>0</v>
      </c>
      <c r="BW1694" t="str">
        <f t="shared" si="802"/>
        <v>14:44:05.286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343</v>
      </c>
      <c r="CR1694">
        <v>1</v>
      </c>
      <c r="CW1694">
        <v>10699482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 t="shared" si="799"/>
        <v>05/12/2020 14:43:47.443</v>
      </c>
      <c r="C1695" t="str">
        <f t="shared" si="797"/>
        <v>FFDFD3C0</v>
      </c>
      <c r="D1695" t="s">
        <v>126</v>
      </c>
      <c r="E1695">
        <v>6</v>
      </c>
      <c r="F1695">
        <v>1006</v>
      </c>
      <c r="G1695" t="s">
        <v>114</v>
      </c>
      <c r="J1695" t="s">
        <v>128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800"/>
        <v>14:44:05.281</v>
      </c>
      <c r="T1695" t="str">
        <f t="shared" si="801"/>
        <v>14:44:05.181</v>
      </c>
      <c r="U1695" t="str">
        <f t="shared" si="788"/>
        <v>A9808D</v>
      </c>
      <c r="V1695">
        <v>0</v>
      </c>
      <c r="W1695">
        <v>0</v>
      </c>
      <c r="X1695">
        <v>1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0</v>
      </c>
      <c r="AI1695" t="s">
        <v>453</v>
      </c>
      <c r="AJ1695">
        <v>28.277521</v>
      </c>
      <c r="AK1695" t="s">
        <v>454</v>
      </c>
      <c r="AL1695">
        <v>-82.364243999999999</v>
      </c>
      <c r="AM1695">
        <v>100</v>
      </c>
      <c r="AN1695">
        <v>1800</v>
      </c>
      <c r="AO1695" t="s">
        <v>118</v>
      </c>
      <c r="AP1695">
        <v>65</v>
      </c>
      <c r="AQ1695">
        <v>-72</v>
      </c>
      <c r="AR1695">
        <v>256</v>
      </c>
      <c r="AZ1695">
        <v>1200</v>
      </c>
      <c r="BA1695">
        <v>1</v>
      </c>
      <c r="BB1695" t="str">
        <f t="shared" si="798"/>
        <v xml:space="preserve">N711JA  </v>
      </c>
      <c r="BC1695">
        <v>1</v>
      </c>
      <c r="BE1695">
        <v>0</v>
      </c>
      <c r="BF1695">
        <v>0</v>
      </c>
      <c r="BG1695">
        <v>0</v>
      </c>
      <c r="BH1695">
        <v>1875</v>
      </c>
      <c r="BI1695">
        <v>1</v>
      </c>
      <c r="BJ1695">
        <v>1</v>
      </c>
      <c r="BK1695">
        <v>0</v>
      </c>
      <c r="BL1695">
        <v>0</v>
      </c>
      <c r="BO1695">
        <v>0</v>
      </c>
      <c r="BP1695">
        <v>0</v>
      </c>
      <c r="BW1695" t="str">
        <f t="shared" si="802"/>
        <v>14:44:05.286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343</v>
      </c>
      <c r="CR1695">
        <v>1</v>
      </c>
      <c r="CW1695">
        <v>10699482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 t="shared" si="799"/>
        <v>05/12/2020 14:43:47.443</v>
      </c>
      <c r="C1696" t="str">
        <f t="shared" si="797"/>
        <v>FFDFD3C0</v>
      </c>
      <c r="D1696" t="s">
        <v>134</v>
      </c>
      <c r="E1696">
        <v>12</v>
      </c>
      <c r="H1696">
        <v>64</v>
      </c>
      <c r="I1696" t="s">
        <v>135</v>
      </c>
      <c r="J1696" t="s">
        <v>136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800"/>
        <v>14:44:05.281</v>
      </c>
      <c r="T1696" t="str">
        <f t="shared" si="801"/>
        <v>14:44:05.181</v>
      </c>
      <c r="U1696" t="str">
        <f t="shared" si="788"/>
        <v>A9808D</v>
      </c>
      <c r="V1696">
        <v>0</v>
      </c>
      <c r="W1696">
        <v>0</v>
      </c>
      <c r="X1696">
        <v>1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0</v>
      </c>
      <c r="AI1696" t="s">
        <v>453</v>
      </c>
      <c r="AJ1696">
        <v>28.277521</v>
      </c>
      <c r="AK1696" t="s">
        <v>454</v>
      </c>
      <c r="AL1696">
        <v>-82.364243999999999</v>
      </c>
      <c r="AM1696">
        <v>100</v>
      </c>
      <c r="AN1696">
        <v>1800</v>
      </c>
      <c r="AO1696" t="s">
        <v>118</v>
      </c>
      <c r="AP1696">
        <v>65</v>
      </c>
      <c r="AQ1696">
        <v>-72</v>
      </c>
      <c r="AR1696">
        <v>256</v>
      </c>
      <c r="AZ1696">
        <v>1200</v>
      </c>
      <c r="BA1696">
        <v>1</v>
      </c>
      <c r="BB1696" t="str">
        <f t="shared" si="798"/>
        <v xml:space="preserve">N711JA  </v>
      </c>
      <c r="BC1696">
        <v>1</v>
      </c>
      <c r="BE1696">
        <v>0</v>
      </c>
      <c r="BF1696">
        <v>0</v>
      </c>
      <c r="BG1696">
        <v>0</v>
      </c>
      <c r="BH1696">
        <v>1875</v>
      </c>
      <c r="BI1696">
        <v>1</v>
      </c>
      <c r="BJ1696">
        <v>1</v>
      </c>
      <c r="BK1696">
        <v>0</v>
      </c>
      <c r="BL1696">
        <v>0</v>
      </c>
      <c r="BO1696">
        <v>0</v>
      </c>
      <c r="BP1696">
        <v>0</v>
      </c>
      <c r="BW1696" t="str">
        <f t="shared" si="802"/>
        <v>14:44:05.286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343</v>
      </c>
      <c r="CR1696">
        <v>1</v>
      </c>
      <c r="CW1696">
        <v>10699482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 t="shared" ref="A1697:A1705" si="803">"05/12/2020 14:43:48.507"</f>
        <v>05/12/2020 14:43:48.507</v>
      </c>
      <c r="C1697" t="str">
        <f t="shared" si="797"/>
        <v>FFDFD3C0</v>
      </c>
      <c r="D1697" t="s">
        <v>138</v>
      </c>
      <c r="E1697">
        <v>2</v>
      </c>
      <c r="H1697">
        <v>8</v>
      </c>
      <c r="I1697" t="s">
        <v>139</v>
      </c>
      <c r="J1697" t="s">
        <v>136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ref="S1697:T1705" si="804">"14:44:06.344"</f>
        <v>14:44:06.344</v>
      </c>
      <c r="T1697" t="str">
        <f t="shared" si="804"/>
        <v>14:44:06.344</v>
      </c>
      <c r="U1697" t="str">
        <f t="shared" si="788"/>
        <v>A9808D</v>
      </c>
      <c r="V1697">
        <v>0</v>
      </c>
      <c r="W1697">
        <v>0</v>
      </c>
      <c r="X1697">
        <v>1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0</v>
      </c>
      <c r="AI1697" t="s">
        <v>455</v>
      </c>
      <c r="AJ1697">
        <v>28.277156000000002</v>
      </c>
      <c r="AK1697" t="s">
        <v>456</v>
      </c>
      <c r="AL1697">
        <v>-82.363857999999993</v>
      </c>
      <c r="AM1697">
        <v>100</v>
      </c>
      <c r="AN1697">
        <v>1800</v>
      </c>
      <c r="AO1697" t="s">
        <v>118</v>
      </c>
      <c r="AP1697">
        <v>65</v>
      </c>
      <c r="AQ1697">
        <v>-72</v>
      </c>
      <c r="AR1697">
        <v>448</v>
      </c>
      <c r="AZ1697">
        <v>1200</v>
      </c>
      <c r="BA1697">
        <v>1</v>
      </c>
      <c r="BB1697" t="str">
        <f t="shared" si="798"/>
        <v xml:space="preserve">N711JA  </v>
      </c>
      <c r="BC1697">
        <v>1</v>
      </c>
      <c r="BE1697">
        <v>0</v>
      </c>
      <c r="BF1697">
        <v>0</v>
      </c>
      <c r="BG1697">
        <v>0</v>
      </c>
      <c r="BH1697">
        <v>1875</v>
      </c>
      <c r="BI1697">
        <v>1</v>
      </c>
      <c r="BJ1697">
        <v>1</v>
      </c>
      <c r="BK1697">
        <v>0</v>
      </c>
      <c r="BL1697">
        <v>0</v>
      </c>
      <c r="BO1697">
        <v>0</v>
      </c>
      <c r="BP1697">
        <v>0</v>
      </c>
      <c r="BW1697" t="str">
        <f t="shared" ref="BW1697:BW1705" si="805">"14:44:06.344"</f>
        <v>14:44:06.344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343</v>
      </c>
      <c r="CR1697">
        <v>1</v>
      </c>
      <c r="CW1697">
        <v>10700580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 t="shared" si="803"/>
        <v>05/12/2020 14:43:48.507</v>
      </c>
      <c r="C1698" t="str">
        <f t="shared" si="797"/>
        <v>FFDFD3C0</v>
      </c>
      <c r="D1698" t="s">
        <v>138</v>
      </c>
      <c r="E1698">
        <v>3</v>
      </c>
      <c r="H1698">
        <v>9</v>
      </c>
      <c r="I1698" t="s">
        <v>140</v>
      </c>
      <c r="J1698" t="s">
        <v>136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804"/>
        <v>14:44:06.344</v>
      </c>
      <c r="T1698" t="str">
        <f t="shared" si="804"/>
        <v>14:44:06.344</v>
      </c>
      <c r="U1698" t="str">
        <f t="shared" si="788"/>
        <v>A9808D</v>
      </c>
      <c r="V1698">
        <v>0</v>
      </c>
      <c r="W1698">
        <v>0</v>
      </c>
      <c r="X1698">
        <v>1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0</v>
      </c>
      <c r="AI1698" t="s">
        <v>455</v>
      </c>
      <c r="AJ1698">
        <v>28.277156000000002</v>
      </c>
      <c r="AK1698" t="s">
        <v>456</v>
      </c>
      <c r="AL1698">
        <v>-82.363857999999993</v>
      </c>
      <c r="AM1698">
        <v>100</v>
      </c>
      <c r="AN1698">
        <v>1800</v>
      </c>
      <c r="AO1698" t="s">
        <v>118</v>
      </c>
      <c r="AP1698">
        <v>65</v>
      </c>
      <c r="AQ1698">
        <v>-72</v>
      </c>
      <c r="AR1698">
        <v>448</v>
      </c>
      <c r="AZ1698">
        <v>1200</v>
      </c>
      <c r="BA1698">
        <v>1</v>
      </c>
      <c r="BB1698" t="str">
        <f t="shared" si="798"/>
        <v xml:space="preserve">N711JA  </v>
      </c>
      <c r="BC1698">
        <v>1</v>
      </c>
      <c r="BE1698">
        <v>0</v>
      </c>
      <c r="BF1698">
        <v>0</v>
      </c>
      <c r="BG1698">
        <v>0</v>
      </c>
      <c r="BH1698">
        <v>1875</v>
      </c>
      <c r="BI1698">
        <v>1</v>
      </c>
      <c r="BJ1698">
        <v>1</v>
      </c>
      <c r="BK1698">
        <v>0</v>
      </c>
      <c r="BL1698">
        <v>0</v>
      </c>
      <c r="BO1698">
        <v>0</v>
      </c>
      <c r="BP1698">
        <v>0</v>
      </c>
      <c r="BW1698" t="str">
        <f t="shared" si="805"/>
        <v>14:44:06.344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343</v>
      </c>
      <c r="CR1698">
        <v>1</v>
      </c>
      <c r="CW1698">
        <v>10700580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 t="shared" si="803"/>
        <v>05/12/2020 14:43:48.507</v>
      </c>
      <c r="C1699" t="str">
        <f t="shared" si="797"/>
        <v>FFDFD3C0</v>
      </c>
      <c r="D1699" t="s">
        <v>113</v>
      </c>
      <c r="E1699">
        <v>3</v>
      </c>
      <c r="H1699">
        <v>164</v>
      </c>
      <c r="I1699" t="s">
        <v>114</v>
      </c>
      <c r="J1699" t="s">
        <v>115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804"/>
        <v>14:44:06.344</v>
      </c>
      <c r="T1699" t="str">
        <f t="shared" si="804"/>
        <v>14:44:06.344</v>
      </c>
      <c r="U1699" t="str">
        <f t="shared" si="788"/>
        <v>A9808D</v>
      </c>
      <c r="V1699">
        <v>0</v>
      </c>
      <c r="W1699">
        <v>0</v>
      </c>
      <c r="X1699">
        <v>1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0</v>
      </c>
      <c r="AI1699" t="s">
        <v>455</v>
      </c>
      <c r="AJ1699">
        <v>28.277156000000002</v>
      </c>
      <c r="AK1699" t="s">
        <v>456</v>
      </c>
      <c r="AL1699">
        <v>-82.363857999999993</v>
      </c>
      <c r="AM1699">
        <v>100</v>
      </c>
      <c r="AN1699">
        <v>1800</v>
      </c>
      <c r="AO1699" t="s">
        <v>118</v>
      </c>
      <c r="AP1699">
        <v>65</v>
      </c>
      <c r="AQ1699">
        <v>-72</v>
      </c>
      <c r="AR1699">
        <v>448</v>
      </c>
      <c r="AZ1699">
        <v>1200</v>
      </c>
      <c r="BA1699">
        <v>1</v>
      </c>
      <c r="BB1699" t="str">
        <f t="shared" si="798"/>
        <v xml:space="preserve">N711JA  </v>
      </c>
      <c r="BC1699">
        <v>1</v>
      </c>
      <c r="BE1699">
        <v>0</v>
      </c>
      <c r="BF1699">
        <v>0</v>
      </c>
      <c r="BG1699">
        <v>0</v>
      </c>
      <c r="BH1699">
        <v>1875</v>
      </c>
      <c r="BI1699">
        <v>1</v>
      </c>
      <c r="BJ1699">
        <v>1</v>
      </c>
      <c r="BK1699">
        <v>0</v>
      </c>
      <c r="BL1699">
        <v>0</v>
      </c>
      <c r="BO1699">
        <v>0</v>
      </c>
      <c r="BP1699">
        <v>0</v>
      </c>
      <c r="BW1699" t="str">
        <f t="shared" si="805"/>
        <v>14:44:06.344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343</v>
      </c>
      <c r="CR1699">
        <v>1</v>
      </c>
      <c r="CW1699">
        <v>10700580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 t="shared" si="803"/>
        <v>05/12/2020 14:43:48.507</v>
      </c>
      <c r="C1700" t="str">
        <f t="shared" si="797"/>
        <v>FFDFD3C0</v>
      </c>
      <c r="D1700" t="s">
        <v>126</v>
      </c>
      <c r="E1700">
        <v>6</v>
      </c>
      <c r="F1700">
        <v>1006</v>
      </c>
      <c r="G1700" t="s">
        <v>114</v>
      </c>
      <c r="J1700" t="s">
        <v>128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804"/>
        <v>14:44:06.344</v>
      </c>
      <c r="T1700" t="str">
        <f t="shared" si="804"/>
        <v>14:44:06.344</v>
      </c>
      <c r="U1700" t="str">
        <f t="shared" si="788"/>
        <v>A9808D</v>
      </c>
      <c r="V1700">
        <v>0</v>
      </c>
      <c r="W1700">
        <v>0</v>
      </c>
      <c r="X1700">
        <v>1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0</v>
      </c>
      <c r="AI1700" t="s">
        <v>455</v>
      </c>
      <c r="AJ1700">
        <v>28.277156000000002</v>
      </c>
      <c r="AK1700" t="s">
        <v>456</v>
      </c>
      <c r="AL1700">
        <v>-82.363857999999993</v>
      </c>
      <c r="AM1700">
        <v>100</v>
      </c>
      <c r="AN1700">
        <v>1800</v>
      </c>
      <c r="AO1700" t="s">
        <v>118</v>
      </c>
      <c r="AP1700">
        <v>65</v>
      </c>
      <c r="AQ1700">
        <v>-72</v>
      </c>
      <c r="AR1700">
        <v>448</v>
      </c>
      <c r="AZ1700">
        <v>1200</v>
      </c>
      <c r="BA1700">
        <v>1</v>
      </c>
      <c r="BB1700" t="str">
        <f t="shared" si="798"/>
        <v xml:space="preserve">N711JA  </v>
      </c>
      <c r="BC1700">
        <v>1</v>
      </c>
      <c r="BE1700">
        <v>0</v>
      </c>
      <c r="BF1700">
        <v>0</v>
      </c>
      <c r="BG1700">
        <v>0</v>
      </c>
      <c r="BH1700">
        <v>1875</v>
      </c>
      <c r="BI1700">
        <v>1</v>
      </c>
      <c r="BJ1700">
        <v>1</v>
      </c>
      <c r="BK1700">
        <v>0</v>
      </c>
      <c r="BL1700">
        <v>0</v>
      </c>
      <c r="BO1700">
        <v>0</v>
      </c>
      <c r="BP1700">
        <v>0</v>
      </c>
      <c r="BW1700" t="str">
        <f t="shared" si="805"/>
        <v>14:44:06.344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343</v>
      </c>
      <c r="CR1700">
        <v>1</v>
      </c>
      <c r="CW1700">
        <v>10700580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 t="shared" si="803"/>
        <v>05/12/2020 14:43:48.507</v>
      </c>
      <c r="C1701" t="str">
        <f t="shared" si="797"/>
        <v>FFDFD3C0</v>
      </c>
      <c r="D1701" t="s">
        <v>131</v>
      </c>
      <c r="E1701">
        <v>10</v>
      </c>
      <c r="F1701">
        <v>2010</v>
      </c>
      <c r="G1701" t="s">
        <v>132</v>
      </c>
      <c r="J1701" t="s">
        <v>133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804"/>
        <v>14:44:06.344</v>
      </c>
      <c r="T1701" t="str">
        <f t="shared" si="804"/>
        <v>14:44:06.344</v>
      </c>
      <c r="U1701" t="str">
        <f t="shared" si="788"/>
        <v>A9808D</v>
      </c>
      <c r="V1701">
        <v>0</v>
      </c>
      <c r="W1701">
        <v>0</v>
      </c>
      <c r="X1701">
        <v>1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0</v>
      </c>
      <c r="AI1701" t="s">
        <v>455</v>
      </c>
      <c r="AJ1701">
        <v>28.277156000000002</v>
      </c>
      <c r="AK1701" t="s">
        <v>456</v>
      </c>
      <c r="AL1701">
        <v>-82.363857999999993</v>
      </c>
      <c r="AM1701">
        <v>100</v>
      </c>
      <c r="AN1701">
        <v>1800</v>
      </c>
      <c r="AO1701" t="s">
        <v>118</v>
      </c>
      <c r="AP1701">
        <v>65</v>
      </c>
      <c r="AQ1701">
        <v>-72</v>
      </c>
      <c r="AR1701">
        <v>448</v>
      </c>
      <c r="AZ1701">
        <v>1200</v>
      </c>
      <c r="BA1701">
        <v>1</v>
      </c>
      <c r="BB1701" t="str">
        <f t="shared" si="798"/>
        <v xml:space="preserve">N711JA  </v>
      </c>
      <c r="BC1701">
        <v>1</v>
      </c>
      <c r="BE1701">
        <v>0</v>
      </c>
      <c r="BF1701">
        <v>0</v>
      </c>
      <c r="BG1701">
        <v>0</v>
      </c>
      <c r="BH1701">
        <v>1875</v>
      </c>
      <c r="BI1701">
        <v>1</v>
      </c>
      <c r="BJ1701">
        <v>1</v>
      </c>
      <c r="BK1701">
        <v>0</v>
      </c>
      <c r="BL1701">
        <v>0</v>
      </c>
      <c r="BO1701">
        <v>0</v>
      </c>
      <c r="BP1701">
        <v>0</v>
      </c>
      <c r="BW1701" t="str">
        <f t="shared" si="805"/>
        <v>14:44:06.344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343</v>
      </c>
      <c r="CR1701">
        <v>1</v>
      </c>
      <c r="CW1701">
        <v>10700580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 t="shared" si="803"/>
        <v>05/12/2020 14:43:48.507</v>
      </c>
      <c r="C1702" t="str">
        <f t="shared" si="797"/>
        <v>FFDFD3C0</v>
      </c>
      <c r="D1702" t="s">
        <v>131</v>
      </c>
      <c r="E1702">
        <v>12</v>
      </c>
      <c r="F1702">
        <v>2012</v>
      </c>
      <c r="G1702" t="s">
        <v>137</v>
      </c>
      <c r="J1702" t="s">
        <v>133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804"/>
        <v>14:44:06.344</v>
      </c>
      <c r="T1702" t="str">
        <f t="shared" si="804"/>
        <v>14:44:06.344</v>
      </c>
      <c r="U1702" t="str">
        <f t="shared" si="788"/>
        <v>A9808D</v>
      </c>
      <c r="V1702">
        <v>0</v>
      </c>
      <c r="W1702">
        <v>0</v>
      </c>
      <c r="X1702">
        <v>1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0</v>
      </c>
      <c r="AI1702" t="s">
        <v>455</v>
      </c>
      <c r="AJ1702">
        <v>28.277156000000002</v>
      </c>
      <c r="AK1702" t="s">
        <v>456</v>
      </c>
      <c r="AL1702">
        <v>-82.363857999999993</v>
      </c>
      <c r="AM1702">
        <v>100</v>
      </c>
      <c r="AN1702">
        <v>1800</v>
      </c>
      <c r="AO1702" t="s">
        <v>118</v>
      </c>
      <c r="AP1702">
        <v>65</v>
      </c>
      <c r="AQ1702">
        <v>-72</v>
      </c>
      <c r="AR1702">
        <v>448</v>
      </c>
      <c r="AZ1702">
        <v>1200</v>
      </c>
      <c r="BA1702">
        <v>1</v>
      </c>
      <c r="BB1702" t="str">
        <f t="shared" si="798"/>
        <v xml:space="preserve">N711JA  </v>
      </c>
      <c r="BC1702">
        <v>1</v>
      </c>
      <c r="BE1702">
        <v>0</v>
      </c>
      <c r="BF1702">
        <v>0</v>
      </c>
      <c r="BG1702">
        <v>0</v>
      </c>
      <c r="BH1702">
        <v>1875</v>
      </c>
      <c r="BI1702">
        <v>1</v>
      </c>
      <c r="BJ1702">
        <v>1</v>
      </c>
      <c r="BK1702">
        <v>0</v>
      </c>
      <c r="BL1702">
        <v>0</v>
      </c>
      <c r="BO1702">
        <v>0</v>
      </c>
      <c r="BP1702">
        <v>0</v>
      </c>
      <c r="BW1702" t="str">
        <f t="shared" si="805"/>
        <v>14:44:06.344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343</v>
      </c>
      <c r="CR1702">
        <v>1</v>
      </c>
      <c r="CW1702">
        <v>10700580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 t="shared" si="803"/>
        <v>05/12/2020 14:43:48.507</v>
      </c>
      <c r="C1703" t="str">
        <f t="shared" si="797"/>
        <v>FFDFD3C0</v>
      </c>
      <c r="D1703" t="s">
        <v>126</v>
      </c>
      <c r="E1703">
        <v>7</v>
      </c>
      <c r="F1703">
        <v>1007</v>
      </c>
      <c r="G1703" t="s">
        <v>127</v>
      </c>
      <c r="J1703" t="s">
        <v>128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804"/>
        <v>14:44:06.344</v>
      </c>
      <c r="T1703" t="str">
        <f t="shared" si="804"/>
        <v>14:44:06.344</v>
      </c>
      <c r="U1703" t="str">
        <f t="shared" si="788"/>
        <v>A9808D</v>
      </c>
      <c r="V1703">
        <v>0</v>
      </c>
      <c r="W1703">
        <v>0</v>
      </c>
      <c r="X1703">
        <v>1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0</v>
      </c>
      <c r="AI1703" t="s">
        <v>455</v>
      </c>
      <c r="AJ1703">
        <v>28.277156000000002</v>
      </c>
      <c r="AK1703" t="s">
        <v>456</v>
      </c>
      <c r="AL1703">
        <v>-82.363857999999993</v>
      </c>
      <c r="AM1703">
        <v>100</v>
      </c>
      <c r="AN1703">
        <v>1800</v>
      </c>
      <c r="AO1703" t="s">
        <v>118</v>
      </c>
      <c r="AP1703">
        <v>65</v>
      </c>
      <c r="AQ1703">
        <v>-72</v>
      </c>
      <c r="AR1703">
        <v>448</v>
      </c>
      <c r="AZ1703">
        <v>1200</v>
      </c>
      <c r="BA1703">
        <v>1</v>
      </c>
      <c r="BB1703" t="str">
        <f t="shared" si="798"/>
        <v xml:space="preserve">N711JA  </v>
      </c>
      <c r="BC1703">
        <v>1</v>
      </c>
      <c r="BE1703">
        <v>0</v>
      </c>
      <c r="BF1703">
        <v>0</v>
      </c>
      <c r="BG1703">
        <v>0</v>
      </c>
      <c r="BH1703">
        <v>1875</v>
      </c>
      <c r="BI1703">
        <v>1</v>
      </c>
      <c r="BJ1703">
        <v>1</v>
      </c>
      <c r="BK1703">
        <v>0</v>
      </c>
      <c r="BL1703">
        <v>0</v>
      </c>
      <c r="BO1703">
        <v>0</v>
      </c>
      <c r="BP1703">
        <v>0</v>
      </c>
      <c r="BW1703" t="str">
        <f t="shared" si="805"/>
        <v>14:44:06.344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343</v>
      </c>
      <c r="CR1703">
        <v>1</v>
      </c>
      <c r="CW1703">
        <v>10700580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 t="shared" si="803"/>
        <v>05/12/2020 14:43:48.507</v>
      </c>
      <c r="C1704" t="str">
        <f t="shared" si="797"/>
        <v>FFDFD3C0</v>
      </c>
      <c r="D1704" t="s">
        <v>131</v>
      </c>
      <c r="E1704">
        <v>18</v>
      </c>
      <c r="F1704">
        <v>2018</v>
      </c>
      <c r="G1704" t="s">
        <v>161</v>
      </c>
      <c r="J1704" t="s">
        <v>133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804"/>
        <v>14:44:06.344</v>
      </c>
      <c r="T1704" t="str">
        <f t="shared" si="804"/>
        <v>14:44:06.344</v>
      </c>
      <c r="U1704" t="str">
        <f t="shared" si="788"/>
        <v>A9808D</v>
      </c>
      <c r="V1704">
        <v>0</v>
      </c>
      <c r="W1704">
        <v>0</v>
      </c>
      <c r="X1704">
        <v>1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0</v>
      </c>
      <c r="AI1704" t="s">
        <v>455</v>
      </c>
      <c r="AJ1704">
        <v>28.277156000000002</v>
      </c>
      <c r="AK1704" t="s">
        <v>456</v>
      </c>
      <c r="AL1704">
        <v>-82.363857999999993</v>
      </c>
      <c r="AM1704">
        <v>100</v>
      </c>
      <c r="AN1704">
        <v>1800</v>
      </c>
      <c r="AO1704" t="s">
        <v>118</v>
      </c>
      <c r="AP1704">
        <v>65</v>
      </c>
      <c r="AQ1704">
        <v>-72</v>
      </c>
      <c r="AR1704">
        <v>448</v>
      </c>
      <c r="AZ1704">
        <v>1200</v>
      </c>
      <c r="BA1704">
        <v>1</v>
      </c>
      <c r="BB1704" t="str">
        <f t="shared" si="798"/>
        <v xml:space="preserve">N711JA  </v>
      </c>
      <c r="BC1704">
        <v>1</v>
      </c>
      <c r="BE1704">
        <v>0</v>
      </c>
      <c r="BF1704">
        <v>0</v>
      </c>
      <c r="BG1704">
        <v>0</v>
      </c>
      <c r="BH1704">
        <v>1875</v>
      </c>
      <c r="BI1704">
        <v>1</v>
      </c>
      <c r="BJ1704">
        <v>1</v>
      </c>
      <c r="BK1704">
        <v>0</v>
      </c>
      <c r="BL1704">
        <v>0</v>
      </c>
      <c r="BO1704">
        <v>0</v>
      </c>
      <c r="BP1704">
        <v>0</v>
      </c>
      <c r="BW1704" t="str">
        <f t="shared" si="805"/>
        <v>14:44:06.344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343</v>
      </c>
      <c r="CR1704">
        <v>1</v>
      </c>
      <c r="CW1704">
        <v>10700580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 t="shared" si="803"/>
        <v>05/12/2020 14:43:48.507</v>
      </c>
      <c r="C1705" t="str">
        <f t="shared" si="797"/>
        <v>FFDFD3C0</v>
      </c>
      <c r="D1705" t="s">
        <v>134</v>
      </c>
      <c r="E1705">
        <v>12</v>
      </c>
      <c r="H1705">
        <v>64</v>
      </c>
      <c r="I1705" t="s">
        <v>135</v>
      </c>
      <c r="J1705" t="s">
        <v>136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804"/>
        <v>14:44:06.344</v>
      </c>
      <c r="T1705" t="str">
        <f t="shared" si="804"/>
        <v>14:44:06.344</v>
      </c>
      <c r="U1705" t="str">
        <f t="shared" si="788"/>
        <v>A9808D</v>
      </c>
      <c r="V1705">
        <v>0</v>
      </c>
      <c r="W1705">
        <v>0</v>
      </c>
      <c r="X1705">
        <v>1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0</v>
      </c>
      <c r="AI1705" t="s">
        <v>455</v>
      </c>
      <c r="AJ1705">
        <v>28.277156000000002</v>
      </c>
      <c r="AK1705" t="s">
        <v>456</v>
      </c>
      <c r="AL1705">
        <v>-82.363857999999993</v>
      </c>
      <c r="AM1705">
        <v>100</v>
      </c>
      <c r="AN1705">
        <v>1800</v>
      </c>
      <c r="AO1705" t="s">
        <v>118</v>
      </c>
      <c r="AP1705">
        <v>65</v>
      </c>
      <c r="AQ1705">
        <v>-72</v>
      </c>
      <c r="AR1705">
        <v>448</v>
      </c>
      <c r="AZ1705">
        <v>1200</v>
      </c>
      <c r="BA1705">
        <v>1</v>
      </c>
      <c r="BB1705" t="str">
        <f t="shared" si="798"/>
        <v xml:space="preserve">N711JA  </v>
      </c>
      <c r="BC1705">
        <v>1</v>
      </c>
      <c r="BE1705">
        <v>0</v>
      </c>
      <c r="BF1705">
        <v>0</v>
      </c>
      <c r="BG1705">
        <v>0</v>
      </c>
      <c r="BH1705">
        <v>1875</v>
      </c>
      <c r="BI1705">
        <v>1</v>
      </c>
      <c r="BJ1705">
        <v>1</v>
      </c>
      <c r="BK1705">
        <v>0</v>
      </c>
      <c r="BL1705">
        <v>0</v>
      </c>
      <c r="BO1705">
        <v>0</v>
      </c>
      <c r="BP1705">
        <v>0</v>
      </c>
      <c r="BW1705" t="str">
        <f t="shared" si="805"/>
        <v>14:44:06.344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343</v>
      </c>
      <c r="CR1705">
        <v>1</v>
      </c>
      <c r="CW1705">
        <v>10700580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 t="shared" ref="A1706:A1714" si="806">"05/12/2020 14:43:49.403"</f>
        <v>05/12/2020 14:43:49.403</v>
      </c>
      <c r="C1706" t="str">
        <f t="shared" si="797"/>
        <v>FFDFD3C0</v>
      </c>
      <c r="D1706" t="s">
        <v>131</v>
      </c>
      <c r="E1706">
        <v>10</v>
      </c>
      <c r="F1706">
        <v>2010</v>
      </c>
      <c r="G1706" t="s">
        <v>132</v>
      </c>
      <c r="J1706" t="s">
        <v>133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ref="S1706:S1714" si="807">"14:44:07.234"</f>
        <v>14:44:07.234</v>
      </c>
      <c r="T1706" t="str">
        <f t="shared" ref="T1706:T1714" si="808">"14:44:06.734"</f>
        <v>14:44:06.734</v>
      </c>
      <c r="U1706" t="str">
        <f t="shared" si="788"/>
        <v>A9808D</v>
      </c>
      <c r="V1706">
        <v>0</v>
      </c>
      <c r="W1706">
        <v>0</v>
      </c>
      <c r="X1706">
        <v>1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0</v>
      </c>
      <c r="AI1706" t="s">
        <v>457</v>
      </c>
      <c r="AJ1706">
        <v>28.276855999999999</v>
      </c>
      <c r="AK1706" t="s">
        <v>458</v>
      </c>
      <c r="AL1706">
        <v>-82.363535999999996</v>
      </c>
      <c r="AM1706">
        <v>100</v>
      </c>
      <c r="AN1706">
        <v>1800</v>
      </c>
      <c r="AO1706" t="s">
        <v>118</v>
      </c>
      <c r="AP1706">
        <v>65</v>
      </c>
      <c r="AQ1706">
        <v>-72</v>
      </c>
      <c r="AR1706">
        <v>448</v>
      </c>
      <c r="AZ1706">
        <v>1200</v>
      </c>
      <c r="BA1706">
        <v>1</v>
      </c>
      <c r="BB1706" t="str">
        <f t="shared" si="798"/>
        <v xml:space="preserve">N711JA  </v>
      </c>
      <c r="BC1706">
        <v>1</v>
      </c>
      <c r="BE1706">
        <v>0</v>
      </c>
      <c r="BF1706">
        <v>0</v>
      </c>
      <c r="BG1706">
        <v>0</v>
      </c>
      <c r="BH1706">
        <v>1875</v>
      </c>
      <c r="BI1706">
        <v>1</v>
      </c>
      <c r="BJ1706">
        <v>1</v>
      </c>
      <c r="BK1706">
        <v>0</v>
      </c>
      <c r="BL1706">
        <v>0</v>
      </c>
      <c r="BO1706">
        <v>0</v>
      </c>
      <c r="BP1706">
        <v>0</v>
      </c>
      <c r="BW1706" t="str">
        <f t="shared" ref="BW1706:BW1714" si="809">"14:44:07.236"</f>
        <v>14:44:07.236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343</v>
      </c>
      <c r="CR1706">
        <v>1</v>
      </c>
      <c r="CW1706">
        <v>10701489</v>
      </c>
      <c r="CY1706">
        <v>1</v>
      </c>
      <c r="CZ1706">
        <v>0</v>
      </c>
      <c r="DA1706">
        <v>0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 t="shared" si="806"/>
        <v>05/12/2020 14:43:49.403</v>
      </c>
      <c r="C1707" t="str">
        <f t="shared" si="797"/>
        <v>FFDFD3C0</v>
      </c>
      <c r="D1707" t="s">
        <v>131</v>
      </c>
      <c r="E1707">
        <v>12</v>
      </c>
      <c r="F1707">
        <v>2012</v>
      </c>
      <c r="G1707" t="s">
        <v>137</v>
      </c>
      <c r="J1707" t="s">
        <v>133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807"/>
        <v>14:44:07.234</v>
      </c>
      <c r="T1707" t="str">
        <f t="shared" si="808"/>
        <v>14:44:06.734</v>
      </c>
      <c r="U1707" t="str">
        <f t="shared" si="788"/>
        <v>A9808D</v>
      </c>
      <c r="V1707">
        <v>0</v>
      </c>
      <c r="W1707">
        <v>0</v>
      </c>
      <c r="X1707">
        <v>1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0</v>
      </c>
      <c r="AI1707" t="s">
        <v>457</v>
      </c>
      <c r="AJ1707">
        <v>28.276855999999999</v>
      </c>
      <c r="AK1707" t="s">
        <v>458</v>
      </c>
      <c r="AL1707">
        <v>-82.363535999999996</v>
      </c>
      <c r="AM1707">
        <v>100</v>
      </c>
      <c r="AN1707">
        <v>1800</v>
      </c>
      <c r="AO1707" t="s">
        <v>118</v>
      </c>
      <c r="AP1707">
        <v>65</v>
      </c>
      <c r="AQ1707">
        <v>-72</v>
      </c>
      <c r="AR1707">
        <v>448</v>
      </c>
      <c r="AZ1707">
        <v>1200</v>
      </c>
      <c r="BA1707">
        <v>1</v>
      </c>
      <c r="BB1707" t="str">
        <f t="shared" si="798"/>
        <v xml:space="preserve">N711JA  </v>
      </c>
      <c r="BC1707">
        <v>1</v>
      </c>
      <c r="BE1707">
        <v>0</v>
      </c>
      <c r="BF1707">
        <v>0</v>
      </c>
      <c r="BG1707">
        <v>0</v>
      </c>
      <c r="BH1707">
        <v>1875</v>
      </c>
      <c r="BI1707">
        <v>1</v>
      </c>
      <c r="BJ1707">
        <v>1</v>
      </c>
      <c r="BK1707">
        <v>0</v>
      </c>
      <c r="BL1707">
        <v>0</v>
      </c>
      <c r="BO1707">
        <v>0</v>
      </c>
      <c r="BP1707">
        <v>0</v>
      </c>
      <c r="BW1707" t="str">
        <f t="shared" si="809"/>
        <v>14:44:07.236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343</v>
      </c>
      <c r="CR1707">
        <v>1</v>
      </c>
      <c r="CW1707">
        <v>10701489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 t="shared" si="806"/>
        <v>05/12/2020 14:43:49.403</v>
      </c>
      <c r="C1708" t="str">
        <f t="shared" si="797"/>
        <v>FFDFD3C0</v>
      </c>
      <c r="D1708" t="s">
        <v>126</v>
      </c>
      <c r="E1708">
        <v>7</v>
      </c>
      <c r="F1708">
        <v>1007</v>
      </c>
      <c r="G1708" t="s">
        <v>127</v>
      </c>
      <c r="J1708" t="s">
        <v>128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807"/>
        <v>14:44:07.234</v>
      </c>
      <c r="T1708" t="str">
        <f t="shared" si="808"/>
        <v>14:44:06.734</v>
      </c>
      <c r="U1708" t="str">
        <f t="shared" si="788"/>
        <v>A9808D</v>
      </c>
      <c r="V1708">
        <v>0</v>
      </c>
      <c r="W1708">
        <v>0</v>
      </c>
      <c r="X1708">
        <v>1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0</v>
      </c>
      <c r="AI1708" t="s">
        <v>457</v>
      </c>
      <c r="AJ1708">
        <v>28.276855999999999</v>
      </c>
      <c r="AK1708" t="s">
        <v>458</v>
      </c>
      <c r="AL1708">
        <v>-82.363535999999996</v>
      </c>
      <c r="AM1708">
        <v>100</v>
      </c>
      <c r="AN1708">
        <v>1800</v>
      </c>
      <c r="AO1708" t="s">
        <v>118</v>
      </c>
      <c r="AP1708">
        <v>65</v>
      </c>
      <c r="AQ1708">
        <v>-72</v>
      </c>
      <c r="AR1708">
        <v>448</v>
      </c>
      <c r="AZ1708">
        <v>1200</v>
      </c>
      <c r="BA1708">
        <v>1</v>
      </c>
      <c r="BB1708" t="str">
        <f t="shared" si="798"/>
        <v xml:space="preserve">N711JA  </v>
      </c>
      <c r="BC1708">
        <v>1</v>
      </c>
      <c r="BE1708">
        <v>0</v>
      </c>
      <c r="BF1708">
        <v>0</v>
      </c>
      <c r="BG1708">
        <v>0</v>
      </c>
      <c r="BH1708">
        <v>1875</v>
      </c>
      <c r="BI1708">
        <v>1</v>
      </c>
      <c r="BJ1708">
        <v>1</v>
      </c>
      <c r="BK1708">
        <v>0</v>
      </c>
      <c r="BL1708">
        <v>0</v>
      </c>
      <c r="BO1708">
        <v>0</v>
      </c>
      <c r="BP1708">
        <v>0</v>
      </c>
      <c r="BW1708" t="str">
        <f t="shared" si="809"/>
        <v>14:44:07.236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343</v>
      </c>
      <c r="CR1708">
        <v>1</v>
      </c>
      <c r="CW1708">
        <v>10701489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 t="shared" si="806"/>
        <v>05/12/2020 14:43:49.403</v>
      </c>
      <c r="C1709" t="str">
        <f t="shared" si="797"/>
        <v>FFDFD3C0</v>
      </c>
      <c r="D1709" t="s">
        <v>131</v>
      </c>
      <c r="E1709">
        <v>18</v>
      </c>
      <c r="F1709">
        <v>2018</v>
      </c>
      <c r="G1709" t="s">
        <v>161</v>
      </c>
      <c r="J1709" t="s">
        <v>133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807"/>
        <v>14:44:07.234</v>
      </c>
      <c r="T1709" t="str">
        <f t="shared" si="808"/>
        <v>14:44:06.734</v>
      </c>
      <c r="U1709" t="str">
        <f t="shared" si="788"/>
        <v>A9808D</v>
      </c>
      <c r="V1709">
        <v>0</v>
      </c>
      <c r="W1709">
        <v>0</v>
      </c>
      <c r="X1709">
        <v>1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0</v>
      </c>
      <c r="AI1709" t="s">
        <v>457</v>
      </c>
      <c r="AJ1709">
        <v>28.276855999999999</v>
      </c>
      <c r="AK1709" t="s">
        <v>458</v>
      </c>
      <c r="AL1709">
        <v>-82.363535999999996</v>
      </c>
      <c r="AM1709">
        <v>100</v>
      </c>
      <c r="AN1709">
        <v>1800</v>
      </c>
      <c r="AO1709" t="s">
        <v>118</v>
      </c>
      <c r="AP1709">
        <v>65</v>
      </c>
      <c r="AQ1709">
        <v>-72</v>
      </c>
      <c r="AR1709">
        <v>448</v>
      </c>
      <c r="AZ1709">
        <v>1200</v>
      </c>
      <c r="BA1709">
        <v>1</v>
      </c>
      <c r="BB1709" t="str">
        <f t="shared" si="798"/>
        <v xml:space="preserve">N711JA  </v>
      </c>
      <c r="BC1709">
        <v>1</v>
      </c>
      <c r="BE1709">
        <v>0</v>
      </c>
      <c r="BF1709">
        <v>0</v>
      </c>
      <c r="BG1709">
        <v>0</v>
      </c>
      <c r="BH1709">
        <v>1875</v>
      </c>
      <c r="BI1709">
        <v>1</v>
      </c>
      <c r="BJ1709">
        <v>1</v>
      </c>
      <c r="BK1709">
        <v>0</v>
      </c>
      <c r="BL1709">
        <v>0</v>
      </c>
      <c r="BO1709">
        <v>0</v>
      </c>
      <c r="BP1709">
        <v>0</v>
      </c>
      <c r="BW1709" t="str">
        <f t="shared" si="809"/>
        <v>14:44:07.236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343</v>
      </c>
      <c r="CR1709">
        <v>1</v>
      </c>
      <c r="CW1709">
        <v>10701489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 t="shared" si="806"/>
        <v>05/12/2020 14:43:49.403</v>
      </c>
      <c r="C1710" t="str">
        <f t="shared" si="797"/>
        <v>FFDFD3C0</v>
      </c>
      <c r="D1710" t="s">
        <v>134</v>
      </c>
      <c r="E1710">
        <v>12</v>
      </c>
      <c r="H1710">
        <v>64</v>
      </c>
      <c r="I1710" t="s">
        <v>135</v>
      </c>
      <c r="J1710" t="s">
        <v>136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807"/>
        <v>14:44:07.234</v>
      </c>
      <c r="T1710" t="str">
        <f t="shared" si="808"/>
        <v>14:44:06.734</v>
      </c>
      <c r="U1710" t="str">
        <f t="shared" si="788"/>
        <v>A9808D</v>
      </c>
      <c r="V1710">
        <v>0</v>
      </c>
      <c r="W1710">
        <v>0</v>
      </c>
      <c r="X1710">
        <v>1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0</v>
      </c>
      <c r="AI1710" t="s">
        <v>457</v>
      </c>
      <c r="AJ1710">
        <v>28.276855999999999</v>
      </c>
      <c r="AK1710" t="s">
        <v>458</v>
      </c>
      <c r="AL1710">
        <v>-82.363535999999996</v>
      </c>
      <c r="AM1710">
        <v>100</v>
      </c>
      <c r="AN1710">
        <v>1800</v>
      </c>
      <c r="AO1710" t="s">
        <v>118</v>
      </c>
      <c r="AP1710">
        <v>65</v>
      </c>
      <c r="AQ1710">
        <v>-72</v>
      </c>
      <c r="AR1710">
        <v>448</v>
      </c>
      <c r="AZ1710">
        <v>1200</v>
      </c>
      <c r="BA1710">
        <v>1</v>
      </c>
      <c r="BB1710" t="str">
        <f t="shared" si="798"/>
        <v xml:space="preserve">N711JA  </v>
      </c>
      <c r="BC1710">
        <v>1</v>
      </c>
      <c r="BE1710">
        <v>0</v>
      </c>
      <c r="BF1710">
        <v>0</v>
      </c>
      <c r="BG1710">
        <v>0</v>
      </c>
      <c r="BH1710">
        <v>1875</v>
      </c>
      <c r="BI1710">
        <v>1</v>
      </c>
      <c r="BJ1710">
        <v>1</v>
      </c>
      <c r="BK1710">
        <v>0</v>
      </c>
      <c r="BL1710">
        <v>0</v>
      </c>
      <c r="BO1710">
        <v>0</v>
      </c>
      <c r="BP1710">
        <v>0</v>
      </c>
      <c r="BW1710" t="str">
        <f t="shared" si="809"/>
        <v>14:44:07.236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343</v>
      </c>
      <c r="CR1710">
        <v>1</v>
      </c>
      <c r="CW1710">
        <v>10701489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 t="shared" si="806"/>
        <v>05/12/2020 14:43:49.403</v>
      </c>
      <c r="C1711" t="str">
        <f t="shared" si="797"/>
        <v>FFDFD3C0</v>
      </c>
      <c r="D1711" t="s">
        <v>138</v>
      </c>
      <c r="E1711">
        <v>2</v>
      </c>
      <c r="H1711">
        <v>8</v>
      </c>
      <c r="I1711" t="s">
        <v>139</v>
      </c>
      <c r="J1711" t="s">
        <v>136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807"/>
        <v>14:44:07.234</v>
      </c>
      <c r="T1711" t="str">
        <f t="shared" si="808"/>
        <v>14:44:06.734</v>
      </c>
      <c r="U1711" t="str">
        <f t="shared" si="788"/>
        <v>A9808D</v>
      </c>
      <c r="V1711">
        <v>0</v>
      </c>
      <c r="W1711">
        <v>0</v>
      </c>
      <c r="X1711">
        <v>1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0</v>
      </c>
      <c r="AI1711" t="s">
        <v>457</v>
      </c>
      <c r="AJ1711">
        <v>28.276855999999999</v>
      </c>
      <c r="AK1711" t="s">
        <v>458</v>
      </c>
      <c r="AL1711">
        <v>-82.363535999999996</v>
      </c>
      <c r="AM1711">
        <v>100</v>
      </c>
      <c r="AN1711">
        <v>1800</v>
      </c>
      <c r="AO1711" t="s">
        <v>118</v>
      </c>
      <c r="AP1711">
        <v>65</v>
      </c>
      <c r="AQ1711">
        <v>-72</v>
      </c>
      <c r="AR1711">
        <v>448</v>
      </c>
      <c r="AZ1711">
        <v>1200</v>
      </c>
      <c r="BA1711">
        <v>1</v>
      </c>
      <c r="BB1711" t="str">
        <f t="shared" si="798"/>
        <v xml:space="preserve">N711JA  </v>
      </c>
      <c r="BC1711">
        <v>1</v>
      </c>
      <c r="BE1711">
        <v>0</v>
      </c>
      <c r="BF1711">
        <v>0</v>
      </c>
      <c r="BG1711">
        <v>0</v>
      </c>
      <c r="BH1711">
        <v>1875</v>
      </c>
      <c r="BI1711">
        <v>1</v>
      </c>
      <c r="BJ1711">
        <v>1</v>
      </c>
      <c r="BK1711">
        <v>0</v>
      </c>
      <c r="BL1711">
        <v>0</v>
      </c>
      <c r="BO1711">
        <v>0</v>
      </c>
      <c r="BP1711">
        <v>0</v>
      </c>
      <c r="BW1711" t="str">
        <f t="shared" si="809"/>
        <v>14:44:07.236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343</v>
      </c>
      <c r="CR1711">
        <v>1</v>
      </c>
      <c r="CW1711">
        <v>10701489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 t="shared" si="806"/>
        <v>05/12/2020 14:43:49.403</v>
      </c>
      <c r="C1712" t="str">
        <f t="shared" si="797"/>
        <v>FFDFD3C0</v>
      </c>
      <c r="D1712" t="s">
        <v>138</v>
      </c>
      <c r="E1712">
        <v>3</v>
      </c>
      <c r="H1712">
        <v>9</v>
      </c>
      <c r="I1712" t="s">
        <v>140</v>
      </c>
      <c r="J1712" t="s">
        <v>136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807"/>
        <v>14:44:07.234</v>
      </c>
      <c r="T1712" t="str">
        <f t="shared" si="808"/>
        <v>14:44:06.734</v>
      </c>
      <c r="U1712" t="str">
        <f t="shared" si="788"/>
        <v>A9808D</v>
      </c>
      <c r="V1712">
        <v>0</v>
      </c>
      <c r="W1712">
        <v>0</v>
      </c>
      <c r="X1712">
        <v>1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0</v>
      </c>
      <c r="AI1712" t="s">
        <v>457</v>
      </c>
      <c r="AJ1712">
        <v>28.276855999999999</v>
      </c>
      <c r="AK1712" t="s">
        <v>458</v>
      </c>
      <c r="AL1712">
        <v>-82.363535999999996</v>
      </c>
      <c r="AM1712">
        <v>100</v>
      </c>
      <c r="AN1712">
        <v>1800</v>
      </c>
      <c r="AO1712" t="s">
        <v>118</v>
      </c>
      <c r="AP1712">
        <v>65</v>
      </c>
      <c r="AQ1712">
        <v>-72</v>
      </c>
      <c r="AR1712">
        <v>448</v>
      </c>
      <c r="AZ1712">
        <v>1200</v>
      </c>
      <c r="BA1712">
        <v>1</v>
      </c>
      <c r="BB1712" t="str">
        <f t="shared" si="798"/>
        <v xml:space="preserve">N711JA  </v>
      </c>
      <c r="BC1712">
        <v>1</v>
      </c>
      <c r="BE1712">
        <v>0</v>
      </c>
      <c r="BF1712">
        <v>0</v>
      </c>
      <c r="BG1712">
        <v>0</v>
      </c>
      <c r="BH1712">
        <v>1875</v>
      </c>
      <c r="BI1712">
        <v>1</v>
      </c>
      <c r="BJ1712">
        <v>1</v>
      </c>
      <c r="BK1712">
        <v>0</v>
      </c>
      <c r="BL1712">
        <v>0</v>
      </c>
      <c r="BO1712">
        <v>0</v>
      </c>
      <c r="BP1712">
        <v>0</v>
      </c>
      <c r="BW1712" t="str">
        <f t="shared" si="809"/>
        <v>14:44:07.236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343</v>
      </c>
      <c r="CR1712">
        <v>1</v>
      </c>
      <c r="CW1712">
        <v>10701489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 t="shared" si="806"/>
        <v>05/12/2020 14:43:49.403</v>
      </c>
      <c r="C1713" t="str">
        <f t="shared" si="797"/>
        <v>FFDFD3C0</v>
      </c>
      <c r="D1713" t="s">
        <v>126</v>
      </c>
      <c r="E1713">
        <v>6</v>
      </c>
      <c r="F1713">
        <v>1006</v>
      </c>
      <c r="G1713" t="s">
        <v>114</v>
      </c>
      <c r="J1713" t="s">
        <v>128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807"/>
        <v>14:44:07.234</v>
      </c>
      <c r="T1713" t="str">
        <f t="shared" si="808"/>
        <v>14:44:06.734</v>
      </c>
      <c r="U1713" t="str">
        <f t="shared" si="788"/>
        <v>A9808D</v>
      </c>
      <c r="V1713">
        <v>0</v>
      </c>
      <c r="W1713">
        <v>0</v>
      </c>
      <c r="X1713">
        <v>1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0</v>
      </c>
      <c r="AI1713" t="s">
        <v>457</v>
      </c>
      <c r="AJ1713">
        <v>28.276855999999999</v>
      </c>
      <c r="AK1713" t="s">
        <v>458</v>
      </c>
      <c r="AL1713">
        <v>-82.363535999999996</v>
      </c>
      <c r="AM1713">
        <v>100</v>
      </c>
      <c r="AN1713">
        <v>1800</v>
      </c>
      <c r="AO1713" t="s">
        <v>118</v>
      </c>
      <c r="AP1713">
        <v>65</v>
      </c>
      <c r="AQ1713">
        <v>-72</v>
      </c>
      <c r="AR1713">
        <v>448</v>
      </c>
      <c r="AZ1713">
        <v>1200</v>
      </c>
      <c r="BA1713">
        <v>1</v>
      </c>
      <c r="BB1713" t="str">
        <f t="shared" si="798"/>
        <v xml:space="preserve">N711JA  </v>
      </c>
      <c r="BC1713">
        <v>1</v>
      </c>
      <c r="BE1713">
        <v>0</v>
      </c>
      <c r="BF1713">
        <v>0</v>
      </c>
      <c r="BG1713">
        <v>0</v>
      </c>
      <c r="BH1713">
        <v>1875</v>
      </c>
      <c r="BI1713">
        <v>1</v>
      </c>
      <c r="BJ1713">
        <v>1</v>
      </c>
      <c r="BK1713">
        <v>0</v>
      </c>
      <c r="BL1713">
        <v>0</v>
      </c>
      <c r="BO1713">
        <v>0</v>
      </c>
      <c r="BP1713">
        <v>0</v>
      </c>
      <c r="BW1713" t="str">
        <f t="shared" si="809"/>
        <v>14:44:07.236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343</v>
      </c>
      <c r="CR1713">
        <v>1</v>
      </c>
      <c r="CW1713">
        <v>10701489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 t="shared" si="806"/>
        <v>05/12/2020 14:43:49.403</v>
      </c>
      <c r="C1714" t="str">
        <f t="shared" si="797"/>
        <v>FFDFD3C0</v>
      </c>
      <c r="D1714" t="s">
        <v>113</v>
      </c>
      <c r="E1714">
        <v>3</v>
      </c>
      <c r="H1714">
        <v>164</v>
      </c>
      <c r="I1714" t="s">
        <v>114</v>
      </c>
      <c r="J1714" t="s">
        <v>115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807"/>
        <v>14:44:07.234</v>
      </c>
      <c r="T1714" t="str">
        <f t="shared" si="808"/>
        <v>14:44:06.734</v>
      </c>
      <c r="U1714" t="str">
        <f t="shared" si="788"/>
        <v>A9808D</v>
      </c>
      <c r="V1714">
        <v>0</v>
      </c>
      <c r="W1714">
        <v>0</v>
      </c>
      <c r="X1714">
        <v>1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0</v>
      </c>
      <c r="AI1714" t="s">
        <v>457</v>
      </c>
      <c r="AJ1714">
        <v>28.276855999999999</v>
      </c>
      <c r="AK1714" t="s">
        <v>458</v>
      </c>
      <c r="AL1714">
        <v>-82.363535999999996</v>
      </c>
      <c r="AM1714">
        <v>100</v>
      </c>
      <c r="AN1714">
        <v>1800</v>
      </c>
      <c r="AO1714" t="s">
        <v>118</v>
      </c>
      <c r="AP1714">
        <v>65</v>
      </c>
      <c r="AQ1714">
        <v>-72</v>
      </c>
      <c r="AR1714">
        <v>448</v>
      </c>
      <c r="AZ1714">
        <v>1200</v>
      </c>
      <c r="BA1714">
        <v>1</v>
      </c>
      <c r="BB1714" t="str">
        <f t="shared" si="798"/>
        <v xml:space="preserve">N711JA  </v>
      </c>
      <c r="BC1714">
        <v>1</v>
      </c>
      <c r="BE1714">
        <v>0</v>
      </c>
      <c r="BF1714">
        <v>0</v>
      </c>
      <c r="BG1714">
        <v>0</v>
      </c>
      <c r="BH1714">
        <v>1875</v>
      </c>
      <c r="BI1714">
        <v>1</v>
      </c>
      <c r="BJ1714">
        <v>1</v>
      </c>
      <c r="BK1714">
        <v>0</v>
      </c>
      <c r="BL1714">
        <v>0</v>
      </c>
      <c r="BO1714">
        <v>0</v>
      </c>
      <c r="BP1714">
        <v>0</v>
      </c>
      <c r="BW1714" t="str">
        <f t="shared" si="809"/>
        <v>14:44:07.236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343</v>
      </c>
      <c r="CR1714">
        <v>1</v>
      </c>
      <c r="CW1714">
        <v>10701489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 t="shared" ref="A1715:A1723" si="810">"05/12/2020 14:43:50.563"</f>
        <v>05/12/2020 14:43:50.563</v>
      </c>
      <c r="C1715" t="str">
        <f t="shared" si="797"/>
        <v>FFDFD3C0</v>
      </c>
      <c r="D1715" t="s">
        <v>131</v>
      </c>
      <c r="E1715">
        <v>18</v>
      </c>
      <c r="F1715">
        <v>2018</v>
      </c>
      <c r="G1715" t="s">
        <v>161</v>
      </c>
      <c r="J1715" t="s">
        <v>133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ref="S1715:S1723" si="811">"14:44:08.391"</f>
        <v>14:44:08.391</v>
      </c>
      <c r="T1715" t="str">
        <f t="shared" ref="T1715:T1723" si="812">"14:44:08.291"</f>
        <v>14:44:08.291</v>
      </c>
      <c r="U1715" t="str">
        <f t="shared" si="788"/>
        <v>A9808D</v>
      </c>
      <c r="V1715">
        <v>0</v>
      </c>
      <c r="W1715">
        <v>0</v>
      </c>
      <c r="X1715">
        <v>1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0</v>
      </c>
      <c r="AI1715" t="s">
        <v>459</v>
      </c>
      <c r="AJ1715">
        <v>28.276491</v>
      </c>
      <c r="AK1715" t="s">
        <v>460</v>
      </c>
      <c r="AL1715">
        <v>-82.363150000000005</v>
      </c>
      <c r="AM1715">
        <v>100</v>
      </c>
      <c r="AN1715">
        <v>1800</v>
      </c>
      <c r="AO1715" t="s">
        <v>118</v>
      </c>
      <c r="AP1715">
        <v>65</v>
      </c>
      <c r="AQ1715">
        <v>-71</v>
      </c>
      <c r="AR1715">
        <v>576</v>
      </c>
      <c r="AZ1715">
        <v>1200</v>
      </c>
      <c r="BA1715">
        <v>1</v>
      </c>
      <c r="BB1715" t="str">
        <f t="shared" si="798"/>
        <v xml:space="preserve">N711JA  </v>
      </c>
      <c r="BC1715">
        <v>1</v>
      </c>
      <c r="BE1715">
        <v>0</v>
      </c>
      <c r="BF1715">
        <v>0</v>
      </c>
      <c r="BG1715">
        <v>0</v>
      </c>
      <c r="BH1715">
        <v>1900</v>
      </c>
      <c r="BI1715">
        <v>1</v>
      </c>
      <c r="BJ1715">
        <v>1</v>
      </c>
      <c r="BK1715">
        <v>0</v>
      </c>
      <c r="BL1715">
        <v>0</v>
      </c>
      <c r="BO1715">
        <v>0</v>
      </c>
      <c r="BP1715">
        <v>0</v>
      </c>
      <c r="BW1715" t="str">
        <f t="shared" ref="BW1715:BW1723" si="813">"14:44:08.395"</f>
        <v>14:44:08.395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343</v>
      </c>
      <c r="CR1715">
        <v>1</v>
      </c>
      <c r="CW1715">
        <v>10702692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 t="shared" si="810"/>
        <v>05/12/2020 14:43:50.563</v>
      </c>
      <c r="C1716" t="str">
        <f t="shared" si="797"/>
        <v>FFDFD3C0</v>
      </c>
      <c r="D1716" t="s">
        <v>134</v>
      </c>
      <c r="E1716">
        <v>12</v>
      </c>
      <c r="H1716">
        <v>64</v>
      </c>
      <c r="I1716" t="s">
        <v>135</v>
      </c>
      <c r="J1716" t="s">
        <v>136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811"/>
        <v>14:44:08.391</v>
      </c>
      <c r="T1716" t="str">
        <f t="shared" si="812"/>
        <v>14:44:08.291</v>
      </c>
      <c r="U1716" t="str">
        <f t="shared" si="788"/>
        <v>A9808D</v>
      </c>
      <c r="V1716">
        <v>0</v>
      </c>
      <c r="W1716">
        <v>0</v>
      </c>
      <c r="X1716">
        <v>1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0</v>
      </c>
      <c r="AI1716" t="s">
        <v>459</v>
      </c>
      <c r="AJ1716">
        <v>28.276491</v>
      </c>
      <c r="AK1716" t="s">
        <v>460</v>
      </c>
      <c r="AL1716">
        <v>-82.363150000000005</v>
      </c>
      <c r="AM1716">
        <v>100</v>
      </c>
      <c r="AN1716">
        <v>1800</v>
      </c>
      <c r="AO1716" t="s">
        <v>118</v>
      </c>
      <c r="AP1716">
        <v>65</v>
      </c>
      <c r="AQ1716">
        <v>-71</v>
      </c>
      <c r="AR1716">
        <v>576</v>
      </c>
      <c r="AZ1716">
        <v>1200</v>
      </c>
      <c r="BA1716">
        <v>1</v>
      </c>
      <c r="BB1716" t="str">
        <f t="shared" si="798"/>
        <v xml:space="preserve">N711JA  </v>
      </c>
      <c r="BC1716">
        <v>1</v>
      </c>
      <c r="BE1716">
        <v>0</v>
      </c>
      <c r="BF1716">
        <v>0</v>
      </c>
      <c r="BG1716">
        <v>0</v>
      </c>
      <c r="BH1716">
        <v>1900</v>
      </c>
      <c r="BI1716">
        <v>1</v>
      </c>
      <c r="BJ1716">
        <v>1</v>
      </c>
      <c r="BK1716">
        <v>0</v>
      </c>
      <c r="BL1716">
        <v>0</v>
      </c>
      <c r="BO1716">
        <v>0</v>
      </c>
      <c r="BP1716">
        <v>0</v>
      </c>
      <c r="BW1716" t="str">
        <f t="shared" si="813"/>
        <v>14:44:08.395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343</v>
      </c>
      <c r="CR1716">
        <v>1</v>
      </c>
      <c r="CW1716">
        <v>10702692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 t="shared" si="810"/>
        <v>05/12/2020 14:43:50.563</v>
      </c>
      <c r="C1717" t="str">
        <f t="shared" si="797"/>
        <v>FFDFD3C0</v>
      </c>
      <c r="D1717" t="s">
        <v>138</v>
      </c>
      <c r="E1717">
        <v>2</v>
      </c>
      <c r="H1717">
        <v>8</v>
      </c>
      <c r="I1717" t="s">
        <v>139</v>
      </c>
      <c r="J1717" t="s">
        <v>136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811"/>
        <v>14:44:08.391</v>
      </c>
      <c r="T1717" t="str">
        <f t="shared" si="812"/>
        <v>14:44:08.291</v>
      </c>
      <c r="U1717" t="str">
        <f t="shared" si="788"/>
        <v>A9808D</v>
      </c>
      <c r="V1717">
        <v>0</v>
      </c>
      <c r="W1717">
        <v>0</v>
      </c>
      <c r="X1717">
        <v>1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0</v>
      </c>
      <c r="AI1717" t="s">
        <v>459</v>
      </c>
      <c r="AJ1717">
        <v>28.276491</v>
      </c>
      <c r="AK1717" t="s">
        <v>460</v>
      </c>
      <c r="AL1717">
        <v>-82.363150000000005</v>
      </c>
      <c r="AM1717">
        <v>100</v>
      </c>
      <c r="AN1717">
        <v>1800</v>
      </c>
      <c r="AO1717" t="s">
        <v>118</v>
      </c>
      <c r="AP1717">
        <v>65</v>
      </c>
      <c r="AQ1717">
        <v>-71</v>
      </c>
      <c r="AR1717">
        <v>576</v>
      </c>
      <c r="AZ1717">
        <v>1200</v>
      </c>
      <c r="BA1717">
        <v>1</v>
      </c>
      <c r="BB1717" t="str">
        <f t="shared" si="798"/>
        <v xml:space="preserve">N711JA  </v>
      </c>
      <c r="BC1717">
        <v>1</v>
      </c>
      <c r="BE1717">
        <v>0</v>
      </c>
      <c r="BF1717">
        <v>0</v>
      </c>
      <c r="BG1717">
        <v>0</v>
      </c>
      <c r="BH1717">
        <v>1900</v>
      </c>
      <c r="BI1717">
        <v>1</v>
      </c>
      <c r="BJ1717">
        <v>1</v>
      </c>
      <c r="BK1717">
        <v>0</v>
      </c>
      <c r="BL1717">
        <v>0</v>
      </c>
      <c r="BO1717">
        <v>0</v>
      </c>
      <c r="BP1717">
        <v>0</v>
      </c>
      <c r="BW1717" t="str">
        <f t="shared" si="813"/>
        <v>14:44:08.395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343</v>
      </c>
      <c r="CR1717">
        <v>1</v>
      </c>
      <c r="CW1717">
        <v>10702692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 t="shared" si="810"/>
        <v>05/12/2020 14:43:50.563</v>
      </c>
      <c r="C1718" t="str">
        <f t="shared" si="797"/>
        <v>FFDFD3C0</v>
      </c>
      <c r="D1718" t="s">
        <v>138</v>
      </c>
      <c r="E1718">
        <v>3</v>
      </c>
      <c r="H1718">
        <v>9</v>
      </c>
      <c r="I1718" t="s">
        <v>140</v>
      </c>
      <c r="J1718" t="s">
        <v>136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811"/>
        <v>14:44:08.391</v>
      </c>
      <c r="T1718" t="str">
        <f t="shared" si="812"/>
        <v>14:44:08.291</v>
      </c>
      <c r="U1718" t="str">
        <f t="shared" si="788"/>
        <v>A9808D</v>
      </c>
      <c r="V1718">
        <v>0</v>
      </c>
      <c r="W1718">
        <v>0</v>
      </c>
      <c r="X1718">
        <v>1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0</v>
      </c>
      <c r="AI1718" t="s">
        <v>459</v>
      </c>
      <c r="AJ1718">
        <v>28.276491</v>
      </c>
      <c r="AK1718" t="s">
        <v>460</v>
      </c>
      <c r="AL1718">
        <v>-82.363150000000005</v>
      </c>
      <c r="AM1718">
        <v>100</v>
      </c>
      <c r="AN1718">
        <v>1800</v>
      </c>
      <c r="AO1718" t="s">
        <v>118</v>
      </c>
      <c r="AP1718">
        <v>65</v>
      </c>
      <c r="AQ1718">
        <v>-71</v>
      </c>
      <c r="AR1718">
        <v>576</v>
      </c>
      <c r="AZ1718">
        <v>1200</v>
      </c>
      <c r="BA1718">
        <v>1</v>
      </c>
      <c r="BB1718" t="str">
        <f t="shared" si="798"/>
        <v xml:space="preserve">N711JA  </v>
      </c>
      <c r="BC1718">
        <v>1</v>
      </c>
      <c r="BE1718">
        <v>0</v>
      </c>
      <c r="BF1718">
        <v>0</v>
      </c>
      <c r="BG1718">
        <v>0</v>
      </c>
      <c r="BH1718">
        <v>1900</v>
      </c>
      <c r="BI1718">
        <v>1</v>
      </c>
      <c r="BJ1718">
        <v>1</v>
      </c>
      <c r="BK1718">
        <v>0</v>
      </c>
      <c r="BL1718">
        <v>0</v>
      </c>
      <c r="BO1718">
        <v>0</v>
      </c>
      <c r="BP1718">
        <v>0</v>
      </c>
      <c r="BW1718" t="str">
        <f t="shared" si="813"/>
        <v>14:44:08.395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343</v>
      </c>
      <c r="CR1718">
        <v>1</v>
      </c>
      <c r="CW1718">
        <v>10702692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 t="shared" si="810"/>
        <v>05/12/2020 14:43:50.563</v>
      </c>
      <c r="C1719" t="str">
        <f t="shared" si="797"/>
        <v>FFDFD3C0</v>
      </c>
      <c r="D1719" t="s">
        <v>126</v>
      </c>
      <c r="E1719">
        <v>6</v>
      </c>
      <c r="F1719">
        <v>1006</v>
      </c>
      <c r="G1719" t="s">
        <v>114</v>
      </c>
      <c r="J1719" t="s">
        <v>128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811"/>
        <v>14:44:08.391</v>
      </c>
      <c r="T1719" t="str">
        <f t="shared" si="812"/>
        <v>14:44:08.291</v>
      </c>
      <c r="U1719" t="str">
        <f t="shared" si="788"/>
        <v>A9808D</v>
      </c>
      <c r="V1719">
        <v>0</v>
      </c>
      <c r="W1719">
        <v>0</v>
      </c>
      <c r="X1719">
        <v>1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0</v>
      </c>
      <c r="AI1719" t="s">
        <v>459</v>
      </c>
      <c r="AJ1719">
        <v>28.276491</v>
      </c>
      <c r="AK1719" t="s">
        <v>460</v>
      </c>
      <c r="AL1719">
        <v>-82.363150000000005</v>
      </c>
      <c r="AM1719">
        <v>100</v>
      </c>
      <c r="AN1719">
        <v>1800</v>
      </c>
      <c r="AO1719" t="s">
        <v>118</v>
      </c>
      <c r="AP1719">
        <v>65</v>
      </c>
      <c r="AQ1719">
        <v>-71</v>
      </c>
      <c r="AR1719">
        <v>576</v>
      </c>
      <c r="AZ1719">
        <v>1200</v>
      </c>
      <c r="BA1719">
        <v>1</v>
      </c>
      <c r="BB1719" t="str">
        <f t="shared" si="798"/>
        <v xml:space="preserve">N711JA  </v>
      </c>
      <c r="BC1719">
        <v>1</v>
      </c>
      <c r="BE1719">
        <v>0</v>
      </c>
      <c r="BF1719">
        <v>0</v>
      </c>
      <c r="BG1719">
        <v>0</v>
      </c>
      <c r="BH1719">
        <v>1900</v>
      </c>
      <c r="BI1719">
        <v>1</v>
      </c>
      <c r="BJ1719">
        <v>1</v>
      </c>
      <c r="BK1719">
        <v>0</v>
      </c>
      <c r="BL1719">
        <v>0</v>
      </c>
      <c r="BO1719">
        <v>0</v>
      </c>
      <c r="BP1719">
        <v>0</v>
      </c>
      <c r="BW1719" t="str">
        <f t="shared" si="813"/>
        <v>14:44:08.395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343</v>
      </c>
      <c r="CR1719">
        <v>1</v>
      </c>
      <c r="CW1719">
        <v>10702692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 t="shared" si="810"/>
        <v>05/12/2020 14:43:50.563</v>
      </c>
      <c r="C1720" t="str">
        <f t="shared" si="797"/>
        <v>FFDFD3C0</v>
      </c>
      <c r="D1720" t="s">
        <v>113</v>
      </c>
      <c r="E1720">
        <v>3</v>
      </c>
      <c r="H1720">
        <v>164</v>
      </c>
      <c r="I1720" t="s">
        <v>114</v>
      </c>
      <c r="J1720" t="s">
        <v>115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811"/>
        <v>14:44:08.391</v>
      </c>
      <c r="T1720" t="str">
        <f t="shared" si="812"/>
        <v>14:44:08.291</v>
      </c>
      <c r="U1720" t="str">
        <f t="shared" si="788"/>
        <v>A9808D</v>
      </c>
      <c r="V1720">
        <v>0</v>
      </c>
      <c r="W1720">
        <v>0</v>
      </c>
      <c r="X1720">
        <v>1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0</v>
      </c>
      <c r="AI1720" t="s">
        <v>459</v>
      </c>
      <c r="AJ1720">
        <v>28.276491</v>
      </c>
      <c r="AK1720" t="s">
        <v>460</v>
      </c>
      <c r="AL1720">
        <v>-82.363150000000005</v>
      </c>
      <c r="AM1720">
        <v>100</v>
      </c>
      <c r="AN1720">
        <v>1800</v>
      </c>
      <c r="AO1720" t="s">
        <v>118</v>
      </c>
      <c r="AP1720">
        <v>65</v>
      </c>
      <c r="AQ1720">
        <v>-71</v>
      </c>
      <c r="AR1720">
        <v>576</v>
      </c>
      <c r="AZ1720">
        <v>1200</v>
      </c>
      <c r="BA1720">
        <v>1</v>
      </c>
      <c r="BB1720" t="str">
        <f t="shared" si="798"/>
        <v xml:space="preserve">N711JA  </v>
      </c>
      <c r="BC1720">
        <v>1</v>
      </c>
      <c r="BE1720">
        <v>0</v>
      </c>
      <c r="BF1720">
        <v>0</v>
      </c>
      <c r="BG1720">
        <v>0</v>
      </c>
      <c r="BH1720">
        <v>1900</v>
      </c>
      <c r="BI1720">
        <v>1</v>
      </c>
      <c r="BJ1720">
        <v>1</v>
      </c>
      <c r="BK1720">
        <v>0</v>
      </c>
      <c r="BL1720">
        <v>0</v>
      </c>
      <c r="BO1720">
        <v>0</v>
      </c>
      <c r="BP1720">
        <v>0</v>
      </c>
      <c r="BW1720" t="str">
        <f t="shared" si="813"/>
        <v>14:44:08.395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343</v>
      </c>
      <c r="CR1720">
        <v>1</v>
      </c>
      <c r="CW1720">
        <v>10702692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 t="shared" si="810"/>
        <v>05/12/2020 14:43:50.563</v>
      </c>
      <c r="C1721" t="str">
        <f t="shared" si="797"/>
        <v>FFDFD3C0</v>
      </c>
      <c r="D1721" t="s">
        <v>126</v>
      </c>
      <c r="E1721">
        <v>7</v>
      </c>
      <c r="F1721">
        <v>1007</v>
      </c>
      <c r="G1721" t="s">
        <v>127</v>
      </c>
      <c r="J1721" t="s">
        <v>128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811"/>
        <v>14:44:08.391</v>
      </c>
      <c r="T1721" t="str">
        <f t="shared" si="812"/>
        <v>14:44:08.291</v>
      </c>
      <c r="U1721" t="str">
        <f t="shared" si="788"/>
        <v>A9808D</v>
      </c>
      <c r="V1721">
        <v>0</v>
      </c>
      <c r="W1721">
        <v>0</v>
      </c>
      <c r="X1721">
        <v>1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0</v>
      </c>
      <c r="AI1721" t="s">
        <v>459</v>
      </c>
      <c r="AJ1721">
        <v>28.276491</v>
      </c>
      <c r="AK1721" t="s">
        <v>460</v>
      </c>
      <c r="AL1721">
        <v>-82.363150000000005</v>
      </c>
      <c r="AM1721">
        <v>100</v>
      </c>
      <c r="AN1721">
        <v>1800</v>
      </c>
      <c r="AO1721" t="s">
        <v>118</v>
      </c>
      <c r="AP1721">
        <v>65</v>
      </c>
      <c r="AQ1721">
        <v>-71</v>
      </c>
      <c r="AR1721">
        <v>576</v>
      </c>
      <c r="AZ1721">
        <v>1200</v>
      </c>
      <c r="BA1721">
        <v>1</v>
      </c>
      <c r="BB1721" t="str">
        <f t="shared" si="798"/>
        <v xml:space="preserve">N711JA  </v>
      </c>
      <c r="BC1721">
        <v>1</v>
      </c>
      <c r="BE1721">
        <v>0</v>
      </c>
      <c r="BF1721">
        <v>0</v>
      </c>
      <c r="BG1721">
        <v>0</v>
      </c>
      <c r="BH1721">
        <v>1900</v>
      </c>
      <c r="BI1721">
        <v>1</v>
      </c>
      <c r="BJ1721">
        <v>1</v>
      </c>
      <c r="BK1721">
        <v>0</v>
      </c>
      <c r="BL1721">
        <v>0</v>
      </c>
      <c r="BO1721">
        <v>0</v>
      </c>
      <c r="BP1721">
        <v>0</v>
      </c>
      <c r="BW1721" t="str">
        <f t="shared" si="813"/>
        <v>14:44:08.395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343</v>
      </c>
      <c r="CR1721">
        <v>1</v>
      </c>
      <c r="CW1721">
        <v>10702692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 t="shared" si="810"/>
        <v>05/12/2020 14:43:50.563</v>
      </c>
      <c r="C1722" t="str">
        <f t="shared" si="797"/>
        <v>FFDFD3C0</v>
      </c>
      <c r="D1722" t="s">
        <v>131</v>
      </c>
      <c r="E1722">
        <v>10</v>
      </c>
      <c r="F1722">
        <v>2010</v>
      </c>
      <c r="G1722" t="s">
        <v>132</v>
      </c>
      <c r="J1722" t="s">
        <v>133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811"/>
        <v>14:44:08.391</v>
      </c>
      <c r="T1722" t="str">
        <f t="shared" si="812"/>
        <v>14:44:08.291</v>
      </c>
      <c r="U1722" t="str">
        <f t="shared" si="788"/>
        <v>A9808D</v>
      </c>
      <c r="V1722">
        <v>0</v>
      </c>
      <c r="W1722">
        <v>0</v>
      </c>
      <c r="X1722">
        <v>1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0</v>
      </c>
      <c r="AI1722" t="s">
        <v>459</v>
      </c>
      <c r="AJ1722">
        <v>28.276491</v>
      </c>
      <c r="AK1722" t="s">
        <v>460</v>
      </c>
      <c r="AL1722">
        <v>-82.363150000000005</v>
      </c>
      <c r="AM1722">
        <v>100</v>
      </c>
      <c r="AN1722">
        <v>1800</v>
      </c>
      <c r="AO1722" t="s">
        <v>118</v>
      </c>
      <c r="AP1722">
        <v>65</v>
      </c>
      <c r="AQ1722">
        <v>-71</v>
      </c>
      <c r="AR1722">
        <v>576</v>
      </c>
      <c r="AZ1722">
        <v>1200</v>
      </c>
      <c r="BA1722">
        <v>1</v>
      </c>
      <c r="BB1722" t="str">
        <f t="shared" si="798"/>
        <v xml:space="preserve">N711JA  </v>
      </c>
      <c r="BC1722">
        <v>1</v>
      </c>
      <c r="BE1722">
        <v>0</v>
      </c>
      <c r="BF1722">
        <v>0</v>
      </c>
      <c r="BG1722">
        <v>0</v>
      </c>
      <c r="BH1722">
        <v>1900</v>
      </c>
      <c r="BI1722">
        <v>1</v>
      </c>
      <c r="BJ1722">
        <v>1</v>
      </c>
      <c r="BK1722">
        <v>0</v>
      </c>
      <c r="BL1722">
        <v>0</v>
      </c>
      <c r="BO1722">
        <v>0</v>
      </c>
      <c r="BP1722">
        <v>0</v>
      </c>
      <c r="BW1722" t="str">
        <f t="shared" si="813"/>
        <v>14:44:08.395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343</v>
      </c>
      <c r="CR1722">
        <v>1</v>
      </c>
      <c r="CW1722">
        <v>10702692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 t="shared" si="810"/>
        <v>05/12/2020 14:43:50.563</v>
      </c>
      <c r="C1723" t="str">
        <f t="shared" si="797"/>
        <v>FFDFD3C0</v>
      </c>
      <c r="D1723" t="s">
        <v>131</v>
      </c>
      <c r="E1723">
        <v>12</v>
      </c>
      <c r="F1723">
        <v>2012</v>
      </c>
      <c r="G1723" t="s">
        <v>137</v>
      </c>
      <c r="J1723" t="s">
        <v>133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811"/>
        <v>14:44:08.391</v>
      </c>
      <c r="T1723" t="str">
        <f t="shared" si="812"/>
        <v>14:44:08.291</v>
      </c>
      <c r="U1723" t="str">
        <f t="shared" si="788"/>
        <v>A9808D</v>
      </c>
      <c r="V1723">
        <v>0</v>
      </c>
      <c r="W1723">
        <v>0</v>
      </c>
      <c r="X1723">
        <v>1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0</v>
      </c>
      <c r="AI1723" t="s">
        <v>459</v>
      </c>
      <c r="AJ1723">
        <v>28.276491</v>
      </c>
      <c r="AK1723" t="s">
        <v>460</v>
      </c>
      <c r="AL1723">
        <v>-82.363150000000005</v>
      </c>
      <c r="AM1723">
        <v>100</v>
      </c>
      <c r="AN1723">
        <v>1800</v>
      </c>
      <c r="AO1723" t="s">
        <v>118</v>
      </c>
      <c r="AP1723">
        <v>65</v>
      </c>
      <c r="AQ1723">
        <v>-71</v>
      </c>
      <c r="AR1723">
        <v>576</v>
      </c>
      <c r="AZ1723">
        <v>1200</v>
      </c>
      <c r="BA1723">
        <v>1</v>
      </c>
      <c r="BB1723" t="str">
        <f t="shared" si="798"/>
        <v xml:space="preserve">N711JA  </v>
      </c>
      <c r="BC1723">
        <v>1</v>
      </c>
      <c r="BE1723">
        <v>0</v>
      </c>
      <c r="BF1723">
        <v>0</v>
      </c>
      <c r="BG1723">
        <v>0</v>
      </c>
      <c r="BH1723">
        <v>1900</v>
      </c>
      <c r="BI1723">
        <v>1</v>
      </c>
      <c r="BJ1723">
        <v>1</v>
      </c>
      <c r="BK1723">
        <v>0</v>
      </c>
      <c r="BL1723">
        <v>0</v>
      </c>
      <c r="BO1723">
        <v>0</v>
      </c>
      <c r="BP1723">
        <v>0</v>
      </c>
      <c r="BW1723" t="str">
        <f t="shared" si="813"/>
        <v>14:44:08.395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343</v>
      </c>
      <c r="CR1723">
        <v>1</v>
      </c>
      <c r="CW1723">
        <v>10702692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 t="shared" ref="A1724:A1732" si="814">"05/12/2020 14:43:51.541"</f>
        <v>05/12/2020 14:43:51.541</v>
      </c>
      <c r="C1724" t="str">
        <f t="shared" si="797"/>
        <v>FFDFD3C0</v>
      </c>
      <c r="D1724" t="s">
        <v>126</v>
      </c>
      <c r="E1724">
        <v>6</v>
      </c>
      <c r="F1724">
        <v>1006</v>
      </c>
      <c r="G1724" t="s">
        <v>114</v>
      </c>
      <c r="J1724" t="s">
        <v>128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ref="S1724:S1732" si="815">"14:44:09.352"</f>
        <v>14:44:09.352</v>
      </c>
      <c r="T1724" t="str">
        <f t="shared" ref="T1724:T1732" si="816">"14:44:09.152"</f>
        <v>14:44:09.152</v>
      </c>
      <c r="U1724" t="str">
        <f t="shared" si="788"/>
        <v>A9808D</v>
      </c>
      <c r="V1724">
        <v>0</v>
      </c>
      <c r="W1724">
        <v>0</v>
      </c>
      <c r="X1724">
        <v>1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0</v>
      </c>
      <c r="AI1724" t="s">
        <v>335</v>
      </c>
      <c r="AJ1724">
        <v>28.276147999999999</v>
      </c>
      <c r="AK1724" t="s">
        <v>461</v>
      </c>
      <c r="AL1724">
        <v>-82.362827999999993</v>
      </c>
      <c r="AM1724">
        <v>100</v>
      </c>
      <c r="AN1724">
        <v>1800</v>
      </c>
      <c r="AO1724" t="s">
        <v>118</v>
      </c>
      <c r="AP1724">
        <v>65</v>
      </c>
      <c r="AQ1724">
        <v>-71</v>
      </c>
      <c r="AR1724">
        <v>640</v>
      </c>
      <c r="AZ1724">
        <v>1200</v>
      </c>
      <c r="BA1724">
        <v>1</v>
      </c>
      <c r="BB1724" t="str">
        <f t="shared" si="798"/>
        <v xml:space="preserve">N711JA  </v>
      </c>
      <c r="BC1724">
        <v>1</v>
      </c>
      <c r="BE1724">
        <v>0</v>
      </c>
      <c r="BF1724">
        <v>0</v>
      </c>
      <c r="BG1724">
        <v>0</v>
      </c>
      <c r="BH1724">
        <v>1900</v>
      </c>
      <c r="BI1724">
        <v>1</v>
      </c>
      <c r="BJ1724">
        <v>1</v>
      </c>
      <c r="BK1724">
        <v>0</v>
      </c>
      <c r="BL1724">
        <v>0</v>
      </c>
      <c r="BO1724">
        <v>0</v>
      </c>
      <c r="BP1724">
        <v>0</v>
      </c>
      <c r="BW1724" t="str">
        <f t="shared" ref="BW1724:BW1732" si="817">"14:44:09.353"</f>
        <v>14:44:09.353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8</v>
      </c>
      <c r="CR1724">
        <v>3</v>
      </c>
      <c r="CW1724">
        <v>8828125</v>
      </c>
      <c r="CY1724">
        <v>1</v>
      </c>
      <c r="CZ1724">
        <v>0</v>
      </c>
      <c r="DA1724">
        <v>0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 t="shared" si="814"/>
        <v>05/12/2020 14:43:51.541</v>
      </c>
      <c r="C1725" t="str">
        <f t="shared" si="797"/>
        <v>FFDFD3C0</v>
      </c>
      <c r="D1725" t="s">
        <v>134</v>
      </c>
      <c r="E1725">
        <v>12</v>
      </c>
      <c r="H1725">
        <v>64</v>
      </c>
      <c r="I1725" t="s">
        <v>135</v>
      </c>
      <c r="J1725" t="s">
        <v>136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815"/>
        <v>14:44:09.352</v>
      </c>
      <c r="T1725" t="str">
        <f t="shared" si="816"/>
        <v>14:44:09.152</v>
      </c>
      <c r="U1725" t="str">
        <f t="shared" si="788"/>
        <v>A9808D</v>
      </c>
      <c r="V1725">
        <v>0</v>
      </c>
      <c r="W1725">
        <v>0</v>
      </c>
      <c r="X1725">
        <v>1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0</v>
      </c>
      <c r="AI1725" t="s">
        <v>335</v>
      </c>
      <c r="AJ1725">
        <v>28.276147999999999</v>
      </c>
      <c r="AK1725" t="s">
        <v>461</v>
      </c>
      <c r="AL1725">
        <v>-82.362827999999993</v>
      </c>
      <c r="AM1725">
        <v>100</v>
      </c>
      <c r="AN1725">
        <v>1800</v>
      </c>
      <c r="AO1725" t="s">
        <v>118</v>
      </c>
      <c r="AP1725">
        <v>65</v>
      </c>
      <c r="AQ1725">
        <v>-71</v>
      </c>
      <c r="AR1725">
        <v>640</v>
      </c>
      <c r="AZ1725">
        <v>1200</v>
      </c>
      <c r="BA1725">
        <v>1</v>
      </c>
      <c r="BB1725" t="str">
        <f t="shared" si="798"/>
        <v xml:space="preserve">N711JA  </v>
      </c>
      <c r="BC1725">
        <v>1</v>
      </c>
      <c r="BE1725">
        <v>0</v>
      </c>
      <c r="BF1725">
        <v>0</v>
      </c>
      <c r="BG1725">
        <v>0</v>
      </c>
      <c r="BH1725">
        <v>1900</v>
      </c>
      <c r="BI1725">
        <v>1</v>
      </c>
      <c r="BJ1725">
        <v>1</v>
      </c>
      <c r="BK1725">
        <v>0</v>
      </c>
      <c r="BL1725">
        <v>0</v>
      </c>
      <c r="BO1725">
        <v>0</v>
      </c>
      <c r="BP1725">
        <v>0</v>
      </c>
      <c r="BW1725" t="str">
        <f t="shared" si="817"/>
        <v>14:44:09.353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8</v>
      </c>
      <c r="CR1725">
        <v>3</v>
      </c>
      <c r="CW1725">
        <v>8828125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 t="shared" si="814"/>
        <v>05/12/2020 14:43:51.541</v>
      </c>
      <c r="C1726" t="str">
        <f t="shared" si="797"/>
        <v>FFDFD3C0</v>
      </c>
      <c r="D1726" t="s">
        <v>138</v>
      </c>
      <c r="E1726">
        <v>2</v>
      </c>
      <c r="H1726">
        <v>8</v>
      </c>
      <c r="I1726" t="s">
        <v>139</v>
      </c>
      <c r="J1726" t="s">
        <v>136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815"/>
        <v>14:44:09.352</v>
      </c>
      <c r="T1726" t="str">
        <f t="shared" si="816"/>
        <v>14:44:09.152</v>
      </c>
      <c r="U1726" t="str">
        <f t="shared" si="788"/>
        <v>A9808D</v>
      </c>
      <c r="V1726">
        <v>0</v>
      </c>
      <c r="W1726">
        <v>0</v>
      </c>
      <c r="X1726">
        <v>1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0</v>
      </c>
      <c r="AI1726" t="s">
        <v>335</v>
      </c>
      <c r="AJ1726">
        <v>28.276147999999999</v>
      </c>
      <c r="AK1726" t="s">
        <v>461</v>
      </c>
      <c r="AL1726">
        <v>-82.362827999999993</v>
      </c>
      <c r="AM1726">
        <v>100</v>
      </c>
      <c r="AN1726">
        <v>1800</v>
      </c>
      <c r="AO1726" t="s">
        <v>118</v>
      </c>
      <c r="AP1726">
        <v>65</v>
      </c>
      <c r="AQ1726">
        <v>-71</v>
      </c>
      <c r="AR1726">
        <v>640</v>
      </c>
      <c r="AZ1726">
        <v>1200</v>
      </c>
      <c r="BA1726">
        <v>1</v>
      </c>
      <c r="BB1726" t="str">
        <f t="shared" si="798"/>
        <v xml:space="preserve">N711JA  </v>
      </c>
      <c r="BC1726">
        <v>1</v>
      </c>
      <c r="BE1726">
        <v>0</v>
      </c>
      <c r="BF1726">
        <v>0</v>
      </c>
      <c r="BG1726">
        <v>0</v>
      </c>
      <c r="BH1726">
        <v>1900</v>
      </c>
      <c r="BI1726">
        <v>1</v>
      </c>
      <c r="BJ1726">
        <v>1</v>
      </c>
      <c r="BK1726">
        <v>0</v>
      </c>
      <c r="BL1726">
        <v>0</v>
      </c>
      <c r="BO1726">
        <v>0</v>
      </c>
      <c r="BP1726">
        <v>0</v>
      </c>
      <c r="BW1726" t="str">
        <f t="shared" si="817"/>
        <v>14:44:09.353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8</v>
      </c>
      <c r="CR1726">
        <v>3</v>
      </c>
      <c r="CW1726">
        <v>8828125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 t="shared" si="814"/>
        <v>05/12/2020 14:43:51.541</v>
      </c>
      <c r="C1727" t="str">
        <f t="shared" si="797"/>
        <v>FFDFD3C0</v>
      </c>
      <c r="D1727" t="s">
        <v>138</v>
      </c>
      <c r="E1727">
        <v>3</v>
      </c>
      <c r="H1727">
        <v>9</v>
      </c>
      <c r="I1727" t="s">
        <v>140</v>
      </c>
      <c r="J1727" t="s">
        <v>136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815"/>
        <v>14:44:09.352</v>
      </c>
      <c r="T1727" t="str">
        <f t="shared" si="816"/>
        <v>14:44:09.152</v>
      </c>
      <c r="U1727" t="str">
        <f t="shared" si="788"/>
        <v>A9808D</v>
      </c>
      <c r="V1727">
        <v>0</v>
      </c>
      <c r="W1727">
        <v>0</v>
      </c>
      <c r="X1727">
        <v>1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0</v>
      </c>
      <c r="AI1727" t="s">
        <v>335</v>
      </c>
      <c r="AJ1727">
        <v>28.276147999999999</v>
      </c>
      <c r="AK1727" t="s">
        <v>461</v>
      </c>
      <c r="AL1727">
        <v>-82.362827999999993</v>
      </c>
      <c r="AM1727">
        <v>100</v>
      </c>
      <c r="AN1727">
        <v>1800</v>
      </c>
      <c r="AO1727" t="s">
        <v>118</v>
      </c>
      <c r="AP1727">
        <v>65</v>
      </c>
      <c r="AQ1727">
        <v>-71</v>
      </c>
      <c r="AR1727">
        <v>640</v>
      </c>
      <c r="AZ1727">
        <v>1200</v>
      </c>
      <c r="BA1727">
        <v>1</v>
      </c>
      <c r="BB1727" t="str">
        <f t="shared" si="798"/>
        <v xml:space="preserve">N711JA  </v>
      </c>
      <c r="BC1727">
        <v>1</v>
      </c>
      <c r="BE1727">
        <v>0</v>
      </c>
      <c r="BF1727">
        <v>0</v>
      </c>
      <c r="BG1727">
        <v>0</v>
      </c>
      <c r="BH1727">
        <v>1900</v>
      </c>
      <c r="BI1727">
        <v>1</v>
      </c>
      <c r="BJ1727">
        <v>1</v>
      </c>
      <c r="BK1727">
        <v>0</v>
      </c>
      <c r="BL1727">
        <v>0</v>
      </c>
      <c r="BO1727">
        <v>0</v>
      </c>
      <c r="BP1727">
        <v>0</v>
      </c>
      <c r="BW1727" t="str">
        <f t="shared" si="817"/>
        <v>14:44:09.353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8</v>
      </c>
      <c r="CR1727">
        <v>3</v>
      </c>
      <c r="CW1727">
        <v>8828125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 t="shared" si="814"/>
        <v>05/12/2020 14:43:51.541</v>
      </c>
      <c r="C1728" t="str">
        <f t="shared" si="797"/>
        <v>FFDFD3C0</v>
      </c>
      <c r="D1728" t="s">
        <v>113</v>
      </c>
      <c r="E1728">
        <v>3</v>
      </c>
      <c r="H1728">
        <v>164</v>
      </c>
      <c r="I1728" t="s">
        <v>114</v>
      </c>
      <c r="J1728" t="s">
        <v>115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815"/>
        <v>14:44:09.352</v>
      </c>
      <c r="T1728" t="str">
        <f t="shared" si="816"/>
        <v>14:44:09.152</v>
      </c>
      <c r="U1728" t="str">
        <f t="shared" si="788"/>
        <v>A9808D</v>
      </c>
      <c r="V1728">
        <v>0</v>
      </c>
      <c r="W1728">
        <v>0</v>
      </c>
      <c r="X1728">
        <v>1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0</v>
      </c>
      <c r="AI1728" t="s">
        <v>335</v>
      </c>
      <c r="AJ1728">
        <v>28.276147999999999</v>
      </c>
      <c r="AK1728" t="s">
        <v>461</v>
      </c>
      <c r="AL1728">
        <v>-82.362827999999993</v>
      </c>
      <c r="AM1728">
        <v>100</v>
      </c>
      <c r="AN1728">
        <v>1800</v>
      </c>
      <c r="AO1728" t="s">
        <v>118</v>
      </c>
      <c r="AP1728">
        <v>65</v>
      </c>
      <c r="AQ1728">
        <v>-71</v>
      </c>
      <c r="AR1728">
        <v>640</v>
      </c>
      <c r="AZ1728">
        <v>1200</v>
      </c>
      <c r="BA1728">
        <v>1</v>
      </c>
      <c r="BB1728" t="str">
        <f t="shared" si="798"/>
        <v xml:space="preserve">N711JA  </v>
      </c>
      <c r="BC1728">
        <v>1</v>
      </c>
      <c r="BE1728">
        <v>0</v>
      </c>
      <c r="BF1728">
        <v>0</v>
      </c>
      <c r="BG1728">
        <v>0</v>
      </c>
      <c r="BH1728">
        <v>1900</v>
      </c>
      <c r="BI1728">
        <v>1</v>
      </c>
      <c r="BJ1728">
        <v>1</v>
      </c>
      <c r="BK1728">
        <v>0</v>
      </c>
      <c r="BL1728">
        <v>0</v>
      </c>
      <c r="BO1728">
        <v>0</v>
      </c>
      <c r="BP1728">
        <v>0</v>
      </c>
      <c r="BW1728" t="str">
        <f t="shared" si="817"/>
        <v>14:44:09.353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8</v>
      </c>
      <c r="CR1728">
        <v>3</v>
      </c>
      <c r="CW1728">
        <v>8828125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 t="shared" si="814"/>
        <v>05/12/2020 14:43:51.541</v>
      </c>
      <c r="C1729" t="str">
        <f t="shared" si="797"/>
        <v>FFDFD3C0</v>
      </c>
      <c r="D1729" t="s">
        <v>131</v>
      </c>
      <c r="E1729">
        <v>10</v>
      </c>
      <c r="F1729">
        <v>2010</v>
      </c>
      <c r="G1729" t="s">
        <v>132</v>
      </c>
      <c r="J1729" t="s">
        <v>133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815"/>
        <v>14:44:09.352</v>
      </c>
      <c r="T1729" t="str">
        <f t="shared" si="816"/>
        <v>14:44:09.152</v>
      </c>
      <c r="U1729" t="str">
        <f t="shared" si="788"/>
        <v>A9808D</v>
      </c>
      <c r="V1729">
        <v>0</v>
      </c>
      <c r="W1729">
        <v>0</v>
      </c>
      <c r="X1729">
        <v>1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0</v>
      </c>
      <c r="AI1729" t="s">
        <v>335</v>
      </c>
      <c r="AJ1729">
        <v>28.276147999999999</v>
      </c>
      <c r="AK1729" t="s">
        <v>461</v>
      </c>
      <c r="AL1729">
        <v>-82.362827999999993</v>
      </c>
      <c r="AM1729">
        <v>100</v>
      </c>
      <c r="AN1729">
        <v>1800</v>
      </c>
      <c r="AO1729" t="s">
        <v>118</v>
      </c>
      <c r="AP1729">
        <v>65</v>
      </c>
      <c r="AQ1729">
        <v>-71</v>
      </c>
      <c r="AR1729">
        <v>640</v>
      </c>
      <c r="AZ1729">
        <v>1200</v>
      </c>
      <c r="BA1729">
        <v>1</v>
      </c>
      <c r="BB1729" t="str">
        <f t="shared" si="798"/>
        <v xml:space="preserve">N711JA  </v>
      </c>
      <c r="BC1729">
        <v>1</v>
      </c>
      <c r="BE1729">
        <v>0</v>
      </c>
      <c r="BF1729">
        <v>0</v>
      </c>
      <c r="BG1729">
        <v>0</v>
      </c>
      <c r="BH1729">
        <v>1900</v>
      </c>
      <c r="BI1729">
        <v>1</v>
      </c>
      <c r="BJ1729">
        <v>1</v>
      </c>
      <c r="BK1729">
        <v>0</v>
      </c>
      <c r="BL1729">
        <v>0</v>
      </c>
      <c r="BO1729">
        <v>0</v>
      </c>
      <c r="BP1729">
        <v>0</v>
      </c>
      <c r="BW1729" t="str">
        <f t="shared" si="817"/>
        <v>14:44:09.353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8</v>
      </c>
      <c r="CR1729">
        <v>3</v>
      </c>
      <c r="CW1729">
        <v>8828125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 t="shared" si="814"/>
        <v>05/12/2020 14:43:51.541</v>
      </c>
      <c r="C1730" t="str">
        <f t="shared" si="797"/>
        <v>FFDFD3C0</v>
      </c>
      <c r="D1730" t="s">
        <v>126</v>
      </c>
      <c r="E1730">
        <v>7</v>
      </c>
      <c r="F1730">
        <v>1007</v>
      </c>
      <c r="G1730" t="s">
        <v>127</v>
      </c>
      <c r="J1730" t="s">
        <v>128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815"/>
        <v>14:44:09.352</v>
      </c>
      <c r="T1730" t="str">
        <f t="shared" si="816"/>
        <v>14:44:09.152</v>
      </c>
      <c r="U1730" t="str">
        <f t="shared" ref="U1730:U1793" si="818">"A9808D"</f>
        <v>A9808D</v>
      </c>
      <c r="V1730">
        <v>0</v>
      </c>
      <c r="W1730">
        <v>0</v>
      </c>
      <c r="X1730">
        <v>1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335</v>
      </c>
      <c r="AJ1730">
        <v>28.276147999999999</v>
      </c>
      <c r="AK1730" t="s">
        <v>461</v>
      </c>
      <c r="AL1730">
        <v>-82.362827999999993</v>
      </c>
      <c r="AM1730">
        <v>100</v>
      </c>
      <c r="AN1730">
        <v>1800</v>
      </c>
      <c r="AO1730" t="s">
        <v>118</v>
      </c>
      <c r="AP1730">
        <v>65</v>
      </c>
      <c r="AQ1730">
        <v>-71</v>
      </c>
      <c r="AR1730">
        <v>640</v>
      </c>
      <c r="AZ1730">
        <v>1200</v>
      </c>
      <c r="BA1730">
        <v>1</v>
      </c>
      <c r="BB1730" t="str">
        <f t="shared" si="798"/>
        <v xml:space="preserve">N711JA  </v>
      </c>
      <c r="BC1730">
        <v>1</v>
      </c>
      <c r="BE1730">
        <v>0</v>
      </c>
      <c r="BF1730">
        <v>0</v>
      </c>
      <c r="BG1730">
        <v>0</v>
      </c>
      <c r="BH1730">
        <v>1900</v>
      </c>
      <c r="BI1730">
        <v>1</v>
      </c>
      <c r="BJ1730">
        <v>1</v>
      </c>
      <c r="BK1730">
        <v>0</v>
      </c>
      <c r="BL1730">
        <v>0</v>
      </c>
      <c r="BO1730">
        <v>0</v>
      </c>
      <c r="BP1730">
        <v>0</v>
      </c>
      <c r="BW1730" t="str">
        <f t="shared" si="817"/>
        <v>14:44:09.353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8</v>
      </c>
      <c r="CR1730">
        <v>3</v>
      </c>
      <c r="CW1730">
        <v>8828125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 t="shared" si="814"/>
        <v>05/12/2020 14:43:51.541</v>
      </c>
      <c r="C1731" t="str">
        <f t="shared" si="797"/>
        <v>FFDFD3C0</v>
      </c>
      <c r="D1731" t="s">
        <v>131</v>
      </c>
      <c r="E1731">
        <v>12</v>
      </c>
      <c r="F1731">
        <v>2012</v>
      </c>
      <c r="G1731" t="s">
        <v>137</v>
      </c>
      <c r="J1731" t="s">
        <v>133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815"/>
        <v>14:44:09.352</v>
      </c>
      <c r="T1731" t="str">
        <f t="shared" si="816"/>
        <v>14:44:09.152</v>
      </c>
      <c r="U1731" t="str">
        <f t="shared" si="818"/>
        <v>A9808D</v>
      </c>
      <c r="V1731">
        <v>0</v>
      </c>
      <c r="W1731">
        <v>0</v>
      </c>
      <c r="X1731">
        <v>1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335</v>
      </c>
      <c r="AJ1731">
        <v>28.276147999999999</v>
      </c>
      <c r="AK1731" t="s">
        <v>461</v>
      </c>
      <c r="AL1731">
        <v>-82.362827999999993</v>
      </c>
      <c r="AM1731">
        <v>100</v>
      </c>
      <c r="AN1731">
        <v>1800</v>
      </c>
      <c r="AO1731" t="s">
        <v>118</v>
      </c>
      <c r="AP1731">
        <v>65</v>
      </c>
      <c r="AQ1731">
        <v>-71</v>
      </c>
      <c r="AR1731">
        <v>640</v>
      </c>
      <c r="AZ1731">
        <v>1200</v>
      </c>
      <c r="BA1731">
        <v>1</v>
      </c>
      <c r="BB1731" t="str">
        <f t="shared" si="798"/>
        <v xml:space="preserve">N711JA  </v>
      </c>
      <c r="BC1731">
        <v>1</v>
      </c>
      <c r="BE1731">
        <v>0</v>
      </c>
      <c r="BF1731">
        <v>0</v>
      </c>
      <c r="BG1731">
        <v>0</v>
      </c>
      <c r="BH1731">
        <v>1900</v>
      </c>
      <c r="BI1731">
        <v>1</v>
      </c>
      <c r="BJ1731">
        <v>1</v>
      </c>
      <c r="BK1731">
        <v>0</v>
      </c>
      <c r="BL1731">
        <v>0</v>
      </c>
      <c r="BO1731">
        <v>0</v>
      </c>
      <c r="BP1731">
        <v>0</v>
      </c>
      <c r="BW1731" t="str">
        <f t="shared" si="817"/>
        <v>14:44:09.353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8</v>
      </c>
      <c r="CR1731">
        <v>3</v>
      </c>
      <c r="CW1731">
        <v>8828125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 t="shared" si="814"/>
        <v>05/12/2020 14:43:51.541</v>
      </c>
      <c r="C1732" t="str">
        <f t="shared" si="797"/>
        <v>FFDFD3C0</v>
      </c>
      <c r="D1732" t="s">
        <v>131</v>
      </c>
      <c r="E1732">
        <v>18</v>
      </c>
      <c r="F1732">
        <v>2018</v>
      </c>
      <c r="G1732" t="s">
        <v>161</v>
      </c>
      <c r="J1732" t="s">
        <v>133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815"/>
        <v>14:44:09.352</v>
      </c>
      <c r="T1732" t="str">
        <f t="shared" si="816"/>
        <v>14:44:09.152</v>
      </c>
      <c r="U1732" t="str">
        <f t="shared" si="818"/>
        <v>A9808D</v>
      </c>
      <c r="V1732">
        <v>0</v>
      </c>
      <c r="W1732">
        <v>0</v>
      </c>
      <c r="X1732">
        <v>1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335</v>
      </c>
      <c r="AJ1732">
        <v>28.276147999999999</v>
      </c>
      <c r="AK1732" t="s">
        <v>461</v>
      </c>
      <c r="AL1732">
        <v>-82.362827999999993</v>
      </c>
      <c r="AM1732">
        <v>100</v>
      </c>
      <c r="AN1732">
        <v>1800</v>
      </c>
      <c r="AO1732" t="s">
        <v>118</v>
      </c>
      <c r="AP1732">
        <v>65</v>
      </c>
      <c r="AQ1732">
        <v>-71</v>
      </c>
      <c r="AR1732">
        <v>640</v>
      </c>
      <c r="AZ1732">
        <v>1200</v>
      </c>
      <c r="BA1732">
        <v>1</v>
      </c>
      <c r="BB1732" t="str">
        <f t="shared" si="798"/>
        <v xml:space="preserve">N711JA  </v>
      </c>
      <c r="BC1732">
        <v>1</v>
      </c>
      <c r="BE1732">
        <v>0</v>
      </c>
      <c r="BF1732">
        <v>0</v>
      </c>
      <c r="BG1732">
        <v>0</v>
      </c>
      <c r="BH1732">
        <v>1900</v>
      </c>
      <c r="BI1732">
        <v>1</v>
      </c>
      <c r="BJ1732">
        <v>1</v>
      </c>
      <c r="BK1732">
        <v>0</v>
      </c>
      <c r="BL1732">
        <v>0</v>
      </c>
      <c r="BO1732">
        <v>0</v>
      </c>
      <c r="BP1732">
        <v>0</v>
      </c>
      <c r="BW1732" t="str">
        <f t="shared" si="817"/>
        <v>14:44:09.353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343</v>
      </c>
      <c r="CR1732">
        <v>1</v>
      </c>
      <c r="CW1732">
        <v>10703661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 t="shared" ref="A1733:A1741" si="819">"05/12/2020 14:43:52.600"</f>
        <v>05/12/2020 14:43:52.600</v>
      </c>
      <c r="C1733" t="str">
        <f t="shared" si="797"/>
        <v>FFDFD3C0</v>
      </c>
      <c r="D1733" t="s">
        <v>126</v>
      </c>
      <c r="E1733">
        <v>6</v>
      </c>
      <c r="F1733">
        <v>1006</v>
      </c>
      <c r="G1733" t="s">
        <v>114</v>
      </c>
      <c r="J1733" t="s">
        <v>128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ref="S1733:S1741" si="820">"14:44:10.430"</f>
        <v>14:44:10.430</v>
      </c>
      <c r="T1733" t="str">
        <f t="shared" ref="T1733:T1741" si="821">"14:44:10.230"</f>
        <v>14:44:10.230</v>
      </c>
      <c r="U1733" t="str">
        <f t="shared" si="818"/>
        <v>A9808D</v>
      </c>
      <c r="V1733">
        <v>0</v>
      </c>
      <c r="W1733">
        <v>0</v>
      </c>
      <c r="X1733">
        <v>1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333</v>
      </c>
      <c r="AJ1733">
        <v>28.275783000000001</v>
      </c>
      <c r="AK1733" t="s">
        <v>462</v>
      </c>
      <c r="AL1733">
        <v>-82.362463000000005</v>
      </c>
      <c r="AM1733">
        <v>100</v>
      </c>
      <c r="AN1733">
        <v>1800</v>
      </c>
      <c r="AO1733" t="s">
        <v>118</v>
      </c>
      <c r="AP1733">
        <v>65</v>
      </c>
      <c r="AQ1733">
        <v>-71</v>
      </c>
      <c r="AR1733">
        <v>576</v>
      </c>
      <c r="AZ1733">
        <v>1200</v>
      </c>
      <c r="BA1733">
        <v>1</v>
      </c>
      <c r="BB1733" t="str">
        <f t="shared" si="798"/>
        <v xml:space="preserve">N711JA  </v>
      </c>
      <c r="BC1733">
        <v>1</v>
      </c>
      <c r="BE1733">
        <v>0</v>
      </c>
      <c r="BF1733">
        <v>0</v>
      </c>
      <c r="BG1733">
        <v>0</v>
      </c>
      <c r="BH1733">
        <v>1925</v>
      </c>
      <c r="BI1733">
        <v>1</v>
      </c>
      <c r="BJ1733">
        <v>1</v>
      </c>
      <c r="BK1733">
        <v>0</v>
      </c>
      <c r="BL1733">
        <v>0</v>
      </c>
      <c r="BO1733">
        <v>0</v>
      </c>
      <c r="BP1733">
        <v>0</v>
      </c>
      <c r="BW1733" t="str">
        <f t="shared" ref="BW1733:BW1741" si="822">"14:44:10.437"</f>
        <v>14:44:10.437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343</v>
      </c>
      <c r="CR1733">
        <v>1</v>
      </c>
      <c r="CW1733">
        <v>10704849</v>
      </c>
      <c r="CY1733">
        <v>1</v>
      </c>
      <c r="CZ1733">
        <v>0</v>
      </c>
      <c r="DA1733">
        <v>0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 t="shared" si="819"/>
        <v>05/12/2020 14:43:52.600</v>
      </c>
      <c r="C1734" t="str">
        <f t="shared" si="797"/>
        <v>FFDFD3C0</v>
      </c>
      <c r="D1734" t="s">
        <v>134</v>
      </c>
      <c r="E1734">
        <v>12</v>
      </c>
      <c r="H1734">
        <v>64</v>
      </c>
      <c r="I1734" t="s">
        <v>135</v>
      </c>
      <c r="J1734" t="s">
        <v>136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820"/>
        <v>14:44:10.430</v>
      </c>
      <c r="T1734" t="str">
        <f t="shared" si="821"/>
        <v>14:44:10.230</v>
      </c>
      <c r="U1734" t="str">
        <f t="shared" si="818"/>
        <v>A9808D</v>
      </c>
      <c r="V1734">
        <v>0</v>
      </c>
      <c r="W1734">
        <v>0</v>
      </c>
      <c r="X1734">
        <v>1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0</v>
      </c>
      <c r="AI1734" t="s">
        <v>333</v>
      </c>
      <c r="AJ1734">
        <v>28.275783000000001</v>
      </c>
      <c r="AK1734" t="s">
        <v>462</v>
      </c>
      <c r="AL1734">
        <v>-82.362463000000005</v>
      </c>
      <c r="AM1734">
        <v>100</v>
      </c>
      <c r="AN1734">
        <v>1800</v>
      </c>
      <c r="AO1734" t="s">
        <v>118</v>
      </c>
      <c r="AP1734">
        <v>65</v>
      </c>
      <c r="AQ1734">
        <v>-71</v>
      </c>
      <c r="AR1734">
        <v>576</v>
      </c>
      <c r="AZ1734">
        <v>1200</v>
      </c>
      <c r="BA1734">
        <v>1</v>
      </c>
      <c r="BB1734" t="str">
        <f t="shared" si="798"/>
        <v xml:space="preserve">N711JA  </v>
      </c>
      <c r="BC1734">
        <v>1</v>
      </c>
      <c r="BE1734">
        <v>0</v>
      </c>
      <c r="BF1734">
        <v>0</v>
      </c>
      <c r="BG1734">
        <v>0</v>
      </c>
      <c r="BH1734">
        <v>1925</v>
      </c>
      <c r="BI1734">
        <v>1</v>
      </c>
      <c r="BJ1734">
        <v>1</v>
      </c>
      <c r="BK1734">
        <v>0</v>
      </c>
      <c r="BL1734">
        <v>0</v>
      </c>
      <c r="BO1734">
        <v>0</v>
      </c>
      <c r="BP1734">
        <v>0</v>
      </c>
      <c r="BW1734" t="str">
        <f t="shared" si="822"/>
        <v>14:44:10.437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343</v>
      </c>
      <c r="CR1734">
        <v>1</v>
      </c>
      <c r="CW1734">
        <v>10704849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 t="shared" si="819"/>
        <v>05/12/2020 14:43:52.600</v>
      </c>
      <c r="C1735" t="str">
        <f t="shared" si="797"/>
        <v>FFDFD3C0</v>
      </c>
      <c r="D1735" t="s">
        <v>138</v>
      </c>
      <c r="E1735">
        <v>2</v>
      </c>
      <c r="H1735">
        <v>8</v>
      </c>
      <c r="I1735" t="s">
        <v>139</v>
      </c>
      <c r="J1735" t="s">
        <v>136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820"/>
        <v>14:44:10.430</v>
      </c>
      <c r="T1735" t="str">
        <f t="shared" si="821"/>
        <v>14:44:10.230</v>
      </c>
      <c r="U1735" t="str">
        <f t="shared" si="818"/>
        <v>A9808D</v>
      </c>
      <c r="V1735">
        <v>0</v>
      </c>
      <c r="W1735">
        <v>0</v>
      </c>
      <c r="X1735">
        <v>1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0</v>
      </c>
      <c r="AI1735" t="s">
        <v>333</v>
      </c>
      <c r="AJ1735">
        <v>28.275783000000001</v>
      </c>
      <c r="AK1735" t="s">
        <v>462</v>
      </c>
      <c r="AL1735">
        <v>-82.362463000000005</v>
      </c>
      <c r="AM1735">
        <v>100</v>
      </c>
      <c r="AN1735">
        <v>1800</v>
      </c>
      <c r="AO1735" t="s">
        <v>118</v>
      </c>
      <c r="AP1735">
        <v>65</v>
      </c>
      <c r="AQ1735">
        <v>-71</v>
      </c>
      <c r="AR1735">
        <v>576</v>
      </c>
      <c r="AZ1735">
        <v>1200</v>
      </c>
      <c r="BA1735">
        <v>1</v>
      </c>
      <c r="BB1735" t="str">
        <f t="shared" si="798"/>
        <v xml:space="preserve">N711JA  </v>
      </c>
      <c r="BC1735">
        <v>1</v>
      </c>
      <c r="BE1735">
        <v>0</v>
      </c>
      <c r="BF1735">
        <v>0</v>
      </c>
      <c r="BG1735">
        <v>0</v>
      </c>
      <c r="BH1735">
        <v>1925</v>
      </c>
      <c r="BI1735">
        <v>1</v>
      </c>
      <c r="BJ1735">
        <v>1</v>
      </c>
      <c r="BK1735">
        <v>0</v>
      </c>
      <c r="BL1735">
        <v>0</v>
      </c>
      <c r="BO1735">
        <v>0</v>
      </c>
      <c r="BP1735">
        <v>0</v>
      </c>
      <c r="BW1735" t="str">
        <f t="shared" si="822"/>
        <v>14:44:10.437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343</v>
      </c>
      <c r="CR1735">
        <v>1</v>
      </c>
      <c r="CW1735">
        <v>10704849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 t="shared" si="819"/>
        <v>05/12/2020 14:43:52.600</v>
      </c>
      <c r="C1736" t="str">
        <f t="shared" si="797"/>
        <v>FFDFD3C0</v>
      </c>
      <c r="D1736" t="s">
        <v>138</v>
      </c>
      <c r="E1736">
        <v>3</v>
      </c>
      <c r="H1736">
        <v>9</v>
      </c>
      <c r="I1736" t="s">
        <v>140</v>
      </c>
      <c r="J1736" t="s">
        <v>136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820"/>
        <v>14:44:10.430</v>
      </c>
      <c r="T1736" t="str">
        <f t="shared" si="821"/>
        <v>14:44:10.230</v>
      </c>
      <c r="U1736" t="str">
        <f t="shared" si="818"/>
        <v>A9808D</v>
      </c>
      <c r="V1736">
        <v>0</v>
      </c>
      <c r="W1736">
        <v>0</v>
      </c>
      <c r="X1736">
        <v>1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0</v>
      </c>
      <c r="AI1736" t="s">
        <v>333</v>
      </c>
      <c r="AJ1736">
        <v>28.275783000000001</v>
      </c>
      <c r="AK1736" t="s">
        <v>462</v>
      </c>
      <c r="AL1736">
        <v>-82.362463000000005</v>
      </c>
      <c r="AM1736">
        <v>100</v>
      </c>
      <c r="AN1736">
        <v>1800</v>
      </c>
      <c r="AO1736" t="s">
        <v>118</v>
      </c>
      <c r="AP1736">
        <v>65</v>
      </c>
      <c r="AQ1736">
        <v>-71</v>
      </c>
      <c r="AR1736">
        <v>576</v>
      </c>
      <c r="AZ1736">
        <v>1200</v>
      </c>
      <c r="BA1736">
        <v>1</v>
      </c>
      <c r="BB1736" t="str">
        <f t="shared" si="798"/>
        <v xml:space="preserve">N711JA  </v>
      </c>
      <c r="BC1736">
        <v>1</v>
      </c>
      <c r="BE1736">
        <v>0</v>
      </c>
      <c r="BF1736">
        <v>0</v>
      </c>
      <c r="BG1736">
        <v>0</v>
      </c>
      <c r="BH1736">
        <v>1925</v>
      </c>
      <c r="BI1736">
        <v>1</v>
      </c>
      <c r="BJ1736">
        <v>1</v>
      </c>
      <c r="BK1736">
        <v>0</v>
      </c>
      <c r="BL1736">
        <v>0</v>
      </c>
      <c r="BO1736">
        <v>0</v>
      </c>
      <c r="BP1736">
        <v>0</v>
      </c>
      <c r="BW1736" t="str">
        <f t="shared" si="822"/>
        <v>14:44:10.437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343</v>
      </c>
      <c r="CR1736">
        <v>1</v>
      </c>
      <c r="CW1736">
        <v>10704849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 t="shared" si="819"/>
        <v>05/12/2020 14:43:52.600</v>
      </c>
      <c r="C1737" t="str">
        <f t="shared" si="797"/>
        <v>FFDFD3C0</v>
      </c>
      <c r="D1737" t="s">
        <v>113</v>
      </c>
      <c r="E1737">
        <v>3</v>
      </c>
      <c r="H1737">
        <v>164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820"/>
        <v>14:44:10.430</v>
      </c>
      <c r="T1737" t="str">
        <f t="shared" si="821"/>
        <v>14:44:10.230</v>
      </c>
      <c r="U1737" t="str">
        <f t="shared" si="818"/>
        <v>A9808D</v>
      </c>
      <c r="V1737">
        <v>0</v>
      </c>
      <c r="W1737">
        <v>0</v>
      </c>
      <c r="X1737">
        <v>1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0</v>
      </c>
      <c r="AI1737" t="s">
        <v>333</v>
      </c>
      <c r="AJ1737">
        <v>28.275783000000001</v>
      </c>
      <c r="AK1737" t="s">
        <v>462</v>
      </c>
      <c r="AL1737">
        <v>-82.362463000000005</v>
      </c>
      <c r="AM1737">
        <v>100</v>
      </c>
      <c r="AN1737">
        <v>1800</v>
      </c>
      <c r="AO1737" t="s">
        <v>118</v>
      </c>
      <c r="AP1737">
        <v>65</v>
      </c>
      <c r="AQ1737">
        <v>-71</v>
      </c>
      <c r="AR1737">
        <v>576</v>
      </c>
      <c r="AZ1737">
        <v>1200</v>
      </c>
      <c r="BA1737">
        <v>1</v>
      </c>
      <c r="BB1737" t="str">
        <f t="shared" si="798"/>
        <v xml:space="preserve">N711JA  </v>
      </c>
      <c r="BC1737">
        <v>1</v>
      </c>
      <c r="BE1737">
        <v>0</v>
      </c>
      <c r="BF1737">
        <v>0</v>
      </c>
      <c r="BG1737">
        <v>0</v>
      </c>
      <c r="BH1737">
        <v>1925</v>
      </c>
      <c r="BI1737">
        <v>1</v>
      </c>
      <c r="BJ1737">
        <v>1</v>
      </c>
      <c r="BK1737">
        <v>0</v>
      </c>
      <c r="BL1737">
        <v>0</v>
      </c>
      <c r="BO1737">
        <v>0</v>
      </c>
      <c r="BP1737">
        <v>0</v>
      </c>
      <c r="BW1737" t="str">
        <f t="shared" si="822"/>
        <v>14:44:10.437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343</v>
      </c>
      <c r="CR1737">
        <v>1</v>
      </c>
      <c r="CW1737">
        <v>10704849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 t="shared" si="819"/>
        <v>05/12/2020 14:43:52.600</v>
      </c>
      <c r="C1738" t="str">
        <f t="shared" si="797"/>
        <v>FFDFD3C0</v>
      </c>
      <c r="D1738" t="s">
        <v>131</v>
      </c>
      <c r="E1738">
        <v>10</v>
      </c>
      <c r="F1738">
        <v>2010</v>
      </c>
      <c r="G1738" t="s">
        <v>132</v>
      </c>
      <c r="J1738" t="s">
        <v>133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820"/>
        <v>14:44:10.430</v>
      </c>
      <c r="T1738" t="str">
        <f t="shared" si="821"/>
        <v>14:44:10.230</v>
      </c>
      <c r="U1738" t="str">
        <f t="shared" si="818"/>
        <v>A9808D</v>
      </c>
      <c r="V1738">
        <v>0</v>
      </c>
      <c r="W1738">
        <v>0</v>
      </c>
      <c r="X1738">
        <v>1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0</v>
      </c>
      <c r="AI1738" t="s">
        <v>333</v>
      </c>
      <c r="AJ1738">
        <v>28.275783000000001</v>
      </c>
      <c r="AK1738" t="s">
        <v>462</v>
      </c>
      <c r="AL1738">
        <v>-82.362463000000005</v>
      </c>
      <c r="AM1738">
        <v>100</v>
      </c>
      <c r="AN1738">
        <v>1800</v>
      </c>
      <c r="AO1738" t="s">
        <v>118</v>
      </c>
      <c r="AP1738">
        <v>65</v>
      </c>
      <c r="AQ1738">
        <v>-71</v>
      </c>
      <c r="AR1738">
        <v>576</v>
      </c>
      <c r="AZ1738">
        <v>1200</v>
      </c>
      <c r="BA1738">
        <v>1</v>
      </c>
      <c r="BB1738" t="str">
        <f t="shared" si="798"/>
        <v xml:space="preserve">N711JA  </v>
      </c>
      <c r="BC1738">
        <v>1</v>
      </c>
      <c r="BE1738">
        <v>0</v>
      </c>
      <c r="BF1738">
        <v>0</v>
      </c>
      <c r="BG1738">
        <v>0</v>
      </c>
      <c r="BH1738">
        <v>1925</v>
      </c>
      <c r="BI1738">
        <v>1</v>
      </c>
      <c r="BJ1738">
        <v>1</v>
      </c>
      <c r="BK1738">
        <v>0</v>
      </c>
      <c r="BL1738">
        <v>0</v>
      </c>
      <c r="BO1738">
        <v>0</v>
      </c>
      <c r="BP1738">
        <v>0</v>
      </c>
      <c r="BW1738" t="str">
        <f t="shared" si="822"/>
        <v>14:44:10.437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343</v>
      </c>
      <c r="CR1738">
        <v>1</v>
      </c>
      <c r="CW1738">
        <v>10704849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 t="shared" si="819"/>
        <v>05/12/2020 14:43:52.600</v>
      </c>
      <c r="C1739" t="str">
        <f t="shared" si="797"/>
        <v>FFDFD3C0</v>
      </c>
      <c r="D1739" t="s">
        <v>126</v>
      </c>
      <c r="E1739">
        <v>7</v>
      </c>
      <c r="F1739">
        <v>1007</v>
      </c>
      <c r="G1739" t="s">
        <v>127</v>
      </c>
      <c r="J1739" t="s">
        <v>128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820"/>
        <v>14:44:10.430</v>
      </c>
      <c r="T1739" t="str">
        <f t="shared" si="821"/>
        <v>14:44:10.230</v>
      </c>
      <c r="U1739" t="str">
        <f t="shared" si="818"/>
        <v>A9808D</v>
      </c>
      <c r="V1739">
        <v>0</v>
      </c>
      <c r="W1739">
        <v>0</v>
      </c>
      <c r="X1739">
        <v>1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0</v>
      </c>
      <c r="AI1739" t="s">
        <v>333</v>
      </c>
      <c r="AJ1739">
        <v>28.275783000000001</v>
      </c>
      <c r="AK1739" t="s">
        <v>462</v>
      </c>
      <c r="AL1739">
        <v>-82.362463000000005</v>
      </c>
      <c r="AM1739">
        <v>100</v>
      </c>
      <c r="AN1739">
        <v>1800</v>
      </c>
      <c r="AO1739" t="s">
        <v>118</v>
      </c>
      <c r="AP1739">
        <v>65</v>
      </c>
      <c r="AQ1739">
        <v>-71</v>
      </c>
      <c r="AR1739">
        <v>576</v>
      </c>
      <c r="AZ1739">
        <v>1200</v>
      </c>
      <c r="BA1739">
        <v>1</v>
      </c>
      <c r="BB1739" t="str">
        <f t="shared" si="798"/>
        <v xml:space="preserve">N711JA  </v>
      </c>
      <c r="BC1739">
        <v>1</v>
      </c>
      <c r="BE1739">
        <v>0</v>
      </c>
      <c r="BF1739">
        <v>0</v>
      </c>
      <c r="BG1739">
        <v>0</v>
      </c>
      <c r="BH1739">
        <v>1925</v>
      </c>
      <c r="BI1739">
        <v>1</v>
      </c>
      <c r="BJ1739">
        <v>1</v>
      </c>
      <c r="BK1739">
        <v>0</v>
      </c>
      <c r="BL1739">
        <v>0</v>
      </c>
      <c r="BO1739">
        <v>0</v>
      </c>
      <c r="BP1739">
        <v>0</v>
      </c>
      <c r="BW1739" t="str">
        <f t="shared" si="822"/>
        <v>14:44:10.437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343</v>
      </c>
      <c r="CR1739">
        <v>1</v>
      </c>
      <c r="CW1739">
        <v>10704849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 t="shared" si="819"/>
        <v>05/12/2020 14:43:52.600</v>
      </c>
      <c r="C1740" t="str">
        <f t="shared" si="797"/>
        <v>FFDFD3C0</v>
      </c>
      <c r="D1740" t="s">
        <v>131</v>
      </c>
      <c r="E1740">
        <v>12</v>
      </c>
      <c r="F1740">
        <v>2012</v>
      </c>
      <c r="G1740" t="s">
        <v>137</v>
      </c>
      <c r="J1740" t="s">
        <v>133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820"/>
        <v>14:44:10.430</v>
      </c>
      <c r="T1740" t="str">
        <f t="shared" si="821"/>
        <v>14:44:10.230</v>
      </c>
      <c r="U1740" t="str">
        <f t="shared" si="818"/>
        <v>A9808D</v>
      </c>
      <c r="V1740">
        <v>0</v>
      </c>
      <c r="W1740">
        <v>0</v>
      </c>
      <c r="X1740">
        <v>1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0</v>
      </c>
      <c r="AI1740" t="s">
        <v>333</v>
      </c>
      <c r="AJ1740">
        <v>28.275783000000001</v>
      </c>
      <c r="AK1740" t="s">
        <v>462</v>
      </c>
      <c r="AL1740">
        <v>-82.362463000000005</v>
      </c>
      <c r="AM1740">
        <v>100</v>
      </c>
      <c r="AN1740">
        <v>1800</v>
      </c>
      <c r="AO1740" t="s">
        <v>118</v>
      </c>
      <c r="AP1740">
        <v>65</v>
      </c>
      <c r="AQ1740">
        <v>-71</v>
      </c>
      <c r="AR1740">
        <v>576</v>
      </c>
      <c r="AZ1740">
        <v>1200</v>
      </c>
      <c r="BA1740">
        <v>1</v>
      </c>
      <c r="BB1740" t="str">
        <f t="shared" si="798"/>
        <v xml:space="preserve">N711JA  </v>
      </c>
      <c r="BC1740">
        <v>1</v>
      </c>
      <c r="BE1740">
        <v>0</v>
      </c>
      <c r="BF1740">
        <v>0</v>
      </c>
      <c r="BG1740">
        <v>0</v>
      </c>
      <c r="BH1740">
        <v>1925</v>
      </c>
      <c r="BI1740">
        <v>1</v>
      </c>
      <c r="BJ1740">
        <v>1</v>
      </c>
      <c r="BK1740">
        <v>0</v>
      </c>
      <c r="BL1740">
        <v>0</v>
      </c>
      <c r="BO1740">
        <v>0</v>
      </c>
      <c r="BP1740">
        <v>0</v>
      </c>
      <c r="BW1740" t="str">
        <f t="shared" si="822"/>
        <v>14:44:10.437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343</v>
      </c>
      <c r="CR1740">
        <v>1</v>
      </c>
      <c r="CW1740">
        <v>10704849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 t="shared" si="819"/>
        <v>05/12/2020 14:43:52.600</v>
      </c>
      <c r="C1741" t="str">
        <f t="shared" si="797"/>
        <v>FFDFD3C0</v>
      </c>
      <c r="D1741" t="s">
        <v>131</v>
      </c>
      <c r="E1741">
        <v>18</v>
      </c>
      <c r="F1741">
        <v>2018</v>
      </c>
      <c r="G1741" t="s">
        <v>161</v>
      </c>
      <c r="J1741" t="s">
        <v>133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820"/>
        <v>14:44:10.430</v>
      </c>
      <c r="T1741" t="str">
        <f t="shared" si="821"/>
        <v>14:44:10.230</v>
      </c>
      <c r="U1741" t="str">
        <f t="shared" si="818"/>
        <v>A9808D</v>
      </c>
      <c r="V1741">
        <v>0</v>
      </c>
      <c r="W1741">
        <v>0</v>
      </c>
      <c r="X1741">
        <v>1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0</v>
      </c>
      <c r="AI1741" t="s">
        <v>333</v>
      </c>
      <c r="AJ1741">
        <v>28.275783000000001</v>
      </c>
      <c r="AK1741" t="s">
        <v>462</v>
      </c>
      <c r="AL1741">
        <v>-82.362463000000005</v>
      </c>
      <c r="AM1741">
        <v>100</v>
      </c>
      <c r="AN1741">
        <v>1800</v>
      </c>
      <c r="AO1741" t="s">
        <v>118</v>
      </c>
      <c r="AP1741">
        <v>65</v>
      </c>
      <c r="AQ1741">
        <v>-71</v>
      </c>
      <c r="AR1741">
        <v>576</v>
      </c>
      <c r="AZ1741">
        <v>1200</v>
      </c>
      <c r="BA1741">
        <v>1</v>
      </c>
      <c r="BB1741" t="str">
        <f t="shared" si="798"/>
        <v xml:space="preserve">N711JA  </v>
      </c>
      <c r="BC1741">
        <v>1</v>
      </c>
      <c r="BE1741">
        <v>0</v>
      </c>
      <c r="BF1741">
        <v>0</v>
      </c>
      <c r="BG1741">
        <v>0</v>
      </c>
      <c r="BH1741">
        <v>1925</v>
      </c>
      <c r="BI1741">
        <v>1</v>
      </c>
      <c r="BJ1741">
        <v>1</v>
      </c>
      <c r="BK1741">
        <v>0</v>
      </c>
      <c r="BL1741">
        <v>0</v>
      </c>
      <c r="BO1741">
        <v>0</v>
      </c>
      <c r="BP1741">
        <v>0</v>
      </c>
      <c r="BW1741" t="str">
        <f t="shared" si="822"/>
        <v>14:44:10.437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343</v>
      </c>
      <c r="CR1741">
        <v>1</v>
      </c>
      <c r="CW1741">
        <v>10704849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 t="shared" ref="A1742:A1750" si="823">"05/12/2020 14:43:53.607"</f>
        <v>05/12/2020 14:43:53.607</v>
      </c>
      <c r="C1742" t="str">
        <f t="shared" si="797"/>
        <v>FFDFD3C0</v>
      </c>
      <c r="D1742" t="s">
        <v>126</v>
      </c>
      <c r="E1742">
        <v>6</v>
      </c>
      <c r="F1742">
        <v>1006</v>
      </c>
      <c r="G1742" t="s">
        <v>114</v>
      </c>
      <c r="J1742" t="s">
        <v>128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ref="S1742:S1750" si="824">"14:44:11.445"</f>
        <v>14:44:11.445</v>
      </c>
      <c r="T1742" t="str">
        <f t="shared" ref="T1742:T1750" si="825">"14:44:11.145"</f>
        <v>14:44:11.145</v>
      </c>
      <c r="U1742" t="str">
        <f t="shared" si="818"/>
        <v>A9808D</v>
      </c>
      <c r="V1742">
        <v>0</v>
      </c>
      <c r="W1742">
        <v>0</v>
      </c>
      <c r="X1742">
        <v>1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0</v>
      </c>
      <c r="AI1742" t="s">
        <v>463</v>
      </c>
      <c r="AJ1742">
        <v>28.275461</v>
      </c>
      <c r="AK1742" t="s">
        <v>464</v>
      </c>
      <c r="AL1742">
        <v>-82.362120000000004</v>
      </c>
      <c r="AM1742">
        <v>100</v>
      </c>
      <c r="AN1742">
        <v>1800</v>
      </c>
      <c r="AO1742" t="s">
        <v>118</v>
      </c>
      <c r="AP1742">
        <v>66</v>
      </c>
      <c r="AQ1742">
        <v>-71</v>
      </c>
      <c r="AR1742">
        <v>512</v>
      </c>
      <c r="AZ1742">
        <v>1200</v>
      </c>
      <c r="BA1742">
        <v>1</v>
      </c>
      <c r="BB1742" t="str">
        <f t="shared" si="798"/>
        <v xml:space="preserve">N711JA  </v>
      </c>
      <c r="BC1742">
        <v>1</v>
      </c>
      <c r="BE1742">
        <v>0</v>
      </c>
      <c r="BF1742">
        <v>0</v>
      </c>
      <c r="BG1742">
        <v>0</v>
      </c>
      <c r="BH1742">
        <v>1925</v>
      </c>
      <c r="BI1742">
        <v>1</v>
      </c>
      <c r="BJ1742">
        <v>1</v>
      </c>
      <c r="BK1742">
        <v>0</v>
      </c>
      <c r="BL1742">
        <v>0</v>
      </c>
      <c r="BO1742">
        <v>0</v>
      </c>
      <c r="BP1742">
        <v>0</v>
      </c>
      <c r="BW1742" t="str">
        <f t="shared" ref="BW1742:BW1750" si="826">"14:44:11.451"</f>
        <v>14:44:11.451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343</v>
      </c>
      <c r="CR1742">
        <v>1</v>
      </c>
      <c r="CW1742">
        <v>10705903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 t="shared" si="823"/>
        <v>05/12/2020 14:43:53.607</v>
      </c>
      <c r="C1743" t="str">
        <f t="shared" si="797"/>
        <v>FFDFD3C0</v>
      </c>
      <c r="D1743" t="s">
        <v>134</v>
      </c>
      <c r="E1743">
        <v>12</v>
      </c>
      <c r="H1743">
        <v>64</v>
      </c>
      <c r="I1743" t="s">
        <v>135</v>
      </c>
      <c r="J1743" t="s">
        <v>136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824"/>
        <v>14:44:11.445</v>
      </c>
      <c r="T1743" t="str">
        <f t="shared" si="825"/>
        <v>14:44:11.145</v>
      </c>
      <c r="U1743" t="str">
        <f t="shared" si="818"/>
        <v>A9808D</v>
      </c>
      <c r="V1743">
        <v>0</v>
      </c>
      <c r="W1743">
        <v>0</v>
      </c>
      <c r="X1743">
        <v>1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0</v>
      </c>
      <c r="AI1743" t="s">
        <v>463</v>
      </c>
      <c r="AJ1743">
        <v>28.275461</v>
      </c>
      <c r="AK1743" t="s">
        <v>464</v>
      </c>
      <c r="AL1743">
        <v>-82.362120000000004</v>
      </c>
      <c r="AM1743">
        <v>100</v>
      </c>
      <c r="AN1743">
        <v>1800</v>
      </c>
      <c r="AO1743" t="s">
        <v>118</v>
      </c>
      <c r="AP1743">
        <v>66</v>
      </c>
      <c r="AQ1743">
        <v>-71</v>
      </c>
      <c r="AR1743">
        <v>512</v>
      </c>
      <c r="AZ1743">
        <v>1200</v>
      </c>
      <c r="BA1743">
        <v>1</v>
      </c>
      <c r="BB1743" t="str">
        <f t="shared" si="798"/>
        <v xml:space="preserve">N711JA  </v>
      </c>
      <c r="BC1743">
        <v>1</v>
      </c>
      <c r="BE1743">
        <v>0</v>
      </c>
      <c r="BF1743">
        <v>0</v>
      </c>
      <c r="BG1743">
        <v>0</v>
      </c>
      <c r="BH1743">
        <v>1925</v>
      </c>
      <c r="BI1743">
        <v>1</v>
      </c>
      <c r="BJ1743">
        <v>1</v>
      </c>
      <c r="BK1743">
        <v>0</v>
      </c>
      <c r="BL1743">
        <v>0</v>
      </c>
      <c r="BO1743">
        <v>0</v>
      </c>
      <c r="BP1743">
        <v>0</v>
      </c>
      <c r="BW1743" t="str">
        <f t="shared" si="826"/>
        <v>14:44:11.451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343</v>
      </c>
      <c r="CR1743">
        <v>1</v>
      </c>
      <c r="CW1743">
        <v>10705903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 t="shared" si="823"/>
        <v>05/12/2020 14:43:53.607</v>
      </c>
      <c r="C1744" t="str">
        <f t="shared" si="797"/>
        <v>FFDFD3C0</v>
      </c>
      <c r="D1744" t="s">
        <v>138</v>
      </c>
      <c r="E1744">
        <v>3</v>
      </c>
      <c r="H1744">
        <v>9</v>
      </c>
      <c r="I1744" t="s">
        <v>140</v>
      </c>
      <c r="J1744" t="s">
        <v>136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824"/>
        <v>14:44:11.445</v>
      </c>
      <c r="T1744" t="str">
        <f t="shared" si="825"/>
        <v>14:44:11.145</v>
      </c>
      <c r="U1744" t="str">
        <f t="shared" si="818"/>
        <v>A9808D</v>
      </c>
      <c r="V1744">
        <v>0</v>
      </c>
      <c r="W1744">
        <v>0</v>
      </c>
      <c r="X1744">
        <v>1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0</v>
      </c>
      <c r="AI1744" t="s">
        <v>463</v>
      </c>
      <c r="AJ1744">
        <v>28.275461</v>
      </c>
      <c r="AK1744" t="s">
        <v>464</v>
      </c>
      <c r="AL1744">
        <v>-82.362120000000004</v>
      </c>
      <c r="AM1744">
        <v>100</v>
      </c>
      <c r="AN1744">
        <v>1800</v>
      </c>
      <c r="AO1744" t="s">
        <v>118</v>
      </c>
      <c r="AP1744">
        <v>66</v>
      </c>
      <c r="AQ1744">
        <v>-71</v>
      </c>
      <c r="AR1744">
        <v>512</v>
      </c>
      <c r="AZ1744">
        <v>1200</v>
      </c>
      <c r="BA1744">
        <v>1</v>
      </c>
      <c r="BB1744" t="str">
        <f t="shared" si="798"/>
        <v xml:space="preserve">N711JA  </v>
      </c>
      <c r="BC1744">
        <v>1</v>
      </c>
      <c r="BE1744">
        <v>0</v>
      </c>
      <c r="BF1744">
        <v>0</v>
      </c>
      <c r="BG1744">
        <v>0</v>
      </c>
      <c r="BH1744">
        <v>1925</v>
      </c>
      <c r="BI1744">
        <v>1</v>
      </c>
      <c r="BJ1744">
        <v>1</v>
      </c>
      <c r="BK1744">
        <v>0</v>
      </c>
      <c r="BL1744">
        <v>0</v>
      </c>
      <c r="BO1744">
        <v>0</v>
      </c>
      <c r="BP1744">
        <v>0</v>
      </c>
      <c r="BW1744" t="str">
        <f t="shared" si="826"/>
        <v>14:44:11.451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343</v>
      </c>
      <c r="CR1744">
        <v>1</v>
      </c>
      <c r="CW1744">
        <v>10705903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si="823"/>
        <v>05/12/2020 14:43:53.607</v>
      </c>
      <c r="C1745" t="str">
        <f t="shared" si="797"/>
        <v>FFDFD3C0</v>
      </c>
      <c r="D1745" t="s">
        <v>138</v>
      </c>
      <c r="E1745">
        <v>2</v>
      </c>
      <c r="H1745">
        <v>8</v>
      </c>
      <c r="I1745" t="s">
        <v>139</v>
      </c>
      <c r="J1745" t="s">
        <v>136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824"/>
        <v>14:44:11.445</v>
      </c>
      <c r="T1745" t="str">
        <f t="shared" si="825"/>
        <v>14:44:11.145</v>
      </c>
      <c r="U1745" t="str">
        <f t="shared" si="818"/>
        <v>A9808D</v>
      </c>
      <c r="V1745">
        <v>0</v>
      </c>
      <c r="W1745">
        <v>0</v>
      </c>
      <c r="X1745">
        <v>1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0</v>
      </c>
      <c r="AI1745" t="s">
        <v>463</v>
      </c>
      <c r="AJ1745">
        <v>28.275461</v>
      </c>
      <c r="AK1745" t="s">
        <v>464</v>
      </c>
      <c r="AL1745">
        <v>-82.362120000000004</v>
      </c>
      <c r="AM1745">
        <v>100</v>
      </c>
      <c r="AN1745">
        <v>1800</v>
      </c>
      <c r="AO1745" t="s">
        <v>118</v>
      </c>
      <c r="AP1745">
        <v>66</v>
      </c>
      <c r="AQ1745">
        <v>-71</v>
      </c>
      <c r="AR1745">
        <v>512</v>
      </c>
      <c r="AZ1745">
        <v>1200</v>
      </c>
      <c r="BA1745">
        <v>1</v>
      </c>
      <c r="BB1745" t="str">
        <f t="shared" si="798"/>
        <v xml:space="preserve">N711JA  </v>
      </c>
      <c r="BC1745">
        <v>1</v>
      </c>
      <c r="BE1745">
        <v>0</v>
      </c>
      <c r="BF1745">
        <v>0</v>
      </c>
      <c r="BG1745">
        <v>0</v>
      </c>
      <c r="BH1745">
        <v>1925</v>
      </c>
      <c r="BI1745">
        <v>1</v>
      </c>
      <c r="BJ1745">
        <v>1</v>
      </c>
      <c r="BK1745">
        <v>0</v>
      </c>
      <c r="BL1745">
        <v>0</v>
      </c>
      <c r="BO1745">
        <v>0</v>
      </c>
      <c r="BP1745">
        <v>0</v>
      </c>
      <c r="BW1745" t="str">
        <f t="shared" si="826"/>
        <v>14:44:11.451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343</v>
      </c>
      <c r="CR1745">
        <v>1</v>
      </c>
      <c r="CW1745">
        <v>10705903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823"/>
        <v>05/12/2020 14:43:53.607</v>
      </c>
      <c r="C1746" t="str">
        <f t="shared" si="797"/>
        <v>FFDFD3C0</v>
      </c>
      <c r="D1746" t="s">
        <v>131</v>
      </c>
      <c r="E1746">
        <v>10</v>
      </c>
      <c r="F1746">
        <v>2010</v>
      </c>
      <c r="G1746" t="s">
        <v>132</v>
      </c>
      <c r="J1746" t="s">
        <v>133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824"/>
        <v>14:44:11.445</v>
      </c>
      <c r="T1746" t="str">
        <f t="shared" si="825"/>
        <v>14:44:11.145</v>
      </c>
      <c r="U1746" t="str">
        <f t="shared" si="818"/>
        <v>A9808D</v>
      </c>
      <c r="V1746">
        <v>0</v>
      </c>
      <c r="W1746">
        <v>0</v>
      </c>
      <c r="X1746">
        <v>1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0</v>
      </c>
      <c r="AI1746" t="s">
        <v>463</v>
      </c>
      <c r="AJ1746">
        <v>28.275461</v>
      </c>
      <c r="AK1746" t="s">
        <v>464</v>
      </c>
      <c r="AL1746">
        <v>-82.362120000000004</v>
      </c>
      <c r="AM1746">
        <v>100</v>
      </c>
      <c r="AN1746">
        <v>1800</v>
      </c>
      <c r="AO1746" t="s">
        <v>118</v>
      </c>
      <c r="AP1746">
        <v>66</v>
      </c>
      <c r="AQ1746">
        <v>-71</v>
      </c>
      <c r="AR1746">
        <v>512</v>
      </c>
      <c r="AZ1746">
        <v>1200</v>
      </c>
      <c r="BA1746">
        <v>1</v>
      </c>
      <c r="BB1746" t="str">
        <f t="shared" si="798"/>
        <v xml:space="preserve">N711JA  </v>
      </c>
      <c r="BC1746">
        <v>1</v>
      </c>
      <c r="BE1746">
        <v>0</v>
      </c>
      <c r="BF1746">
        <v>0</v>
      </c>
      <c r="BG1746">
        <v>0</v>
      </c>
      <c r="BH1746">
        <v>1925</v>
      </c>
      <c r="BI1746">
        <v>1</v>
      </c>
      <c r="BJ1746">
        <v>1</v>
      </c>
      <c r="BK1746">
        <v>0</v>
      </c>
      <c r="BL1746">
        <v>0</v>
      </c>
      <c r="BO1746">
        <v>0</v>
      </c>
      <c r="BP1746">
        <v>0</v>
      </c>
      <c r="BW1746" t="str">
        <f t="shared" si="826"/>
        <v>14:44:11.451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343</v>
      </c>
      <c r="CR1746">
        <v>1</v>
      </c>
      <c r="CW1746">
        <v>10705903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si="823"/>
        <v>05/12/2020 14:43:53.607</v>
      </c>
      <c r="C1747" t="str">
        <f t="shared" si="797"/>
        <v>FFDFD3C0</v>
      </c>
      <c r="D1747" t="s">
        <v>126</v>
      </c>
      <c r="E1747">
        <v>7</v>
      </c>
      <c r="F1747">
        <v>1007</v>
      </c>
      <c r="G1747" t="s">
        <v>127</v>
      </c>
      <c r="J1747" t="s">
        <v>128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824"/>
        <v>14:44:11.445</v>
      </c>
      <c r="T1747" t="str">
        <f t="shared" si="825"/>
        <v>14:44:11.145</v>
      </c>
      <c r="U1747" t="str">
        <f t="shared" si="818"/>
        <v>A9808D</v>
      </c>
      <c r="V1747">
        <v>0</v>
      </c>
      <c r="W1747">
        <v>0</v>
      </c>
      <c r="X1747">
        <v>1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0</v>
      </c>
      <c r="AI1747" t="s">
        <v>463</v>
      </c>
      <c r="AJ1747">
        <v>28.275461</v>
      </c>
      <c r="AK1747" t="s">
        <v>464</v>
      </c>
      <c r="AL1747">
        <v>-82.362120000000004</v>
      </c>
      <c r="AM1747">
        <v>100</v>
      </c>
      <c r="AN1747">
        <v>1800</v>
      </c>
      <c r="AO1747" t="s">
        <v>118</v>
      </c>
      <c r="AP1747">
        <v>66</v>
      </c>
      <c r="AQ1747">
        <v>-71</v>
      </c>
      <c r="AR1747">
        <v>512</v>
      </c>
      <c r="AZ1747">
        <v>1200</v>
      </c>
      <c r="BA1747">
        <v>1</v>
      </c>
      <c r="BB1747" t="str">
        <f t="shared" si="798"/>
        <v xml:space="preserve">N711JA  </v>
      </c>
      <c r="BC1747">
        <v>1</v>
      </c>
      <c r="BE1747">
        <v>0</v>
      </c>
      <c r="BF1747">
        <v>0</v>
      </c>
      <c r="BG1747">
        <v>0</v>
      </c>
      <c r="BH1747">
        <v>1925</v>
      </c>
      <c r="BI1747">
        <v>1</v>
      </c>
      <c r="BJ1747">
        <v>1</v>
      </c>
      <c r="BK1747">
        <v>0</v>
      </c>
      <c r="BL1747">
        <v>0</v>
      </c>
      <c r="BO1747">
        <v>0</v>
      </c>
      <c r="BP1747">
        <v>0</v>
      </c>
      <c r="BW1747" t="str">
        <f t="shared" si="826"/>
        <v>14:44:11.451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343</v>
      </c>
      <c r="CR1747">
        <v>1</v>
      </c>
      <c r="CW1747">
        <v>10705903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si="823"/>
        <v>05/12/2020 14:43:53.607</v>
      </c>
      <c r="C1748" t="str">
        <f t="shared" si="797"/>
        <v>FFDFD3C0</v>
      </c>
      <c r="D1748" t="s">
        <v>131</v>
      </c>
      <c r="E1748">
        <v>12</v>
      </c>
      <c r="F1748">
        <v>2012</v>
      </c>
      <c r="G1748" t="s">
        <v>137</v>
      </c>
      <c r="J1748" t="s">
        <v>133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824"/>
        <v>14:44:11.445</v>
      </c>
      <c r="T1748" t="str">
        <f t="shared" si="825"/>
        <v>14:44:11.145</v>
      </c>
      <c r="U1748" t="str">
        <f t="shared" si="818"/>
        <v>A9808D</v>
      </c>
      <c r="V1748">
        <v>0</v>
      </c>
      <c r="W1748">
        <v>0</v>
      </c>
      <c r="X1748">
        <v>1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0</v>
      </c>
      <c r="AI1748" t="s">
        <v>463</v>
      </c>
      <c r="AJ1748">
        <v>28.275461</v>
      </c>
      <c r="AK1748" t="s">
        <v>464</v>
      </c>
      <c r="AL1748">
        <v>-82.362120000000004</v>
      </c>
      <c r="AM1748">
        <v>100</v>
      </c>
      <c r="AN1748">
        <v>1800</v>
      </c>
      <c r="AO1748" t="s">
        <v>118</v>
      </c>
      <c r="AP1748">
        <v>66</v>
      </c>
      <c r="AQ1748">
        <v>-71</v>
      </c>
      <c r="AR1748">
        <v>512</v>
      </c>
      <c r="AZ1748">
        <v>1200</v>
      </c>
      <c r="BA1748">
        <v>1</v>
      </c>
      <c r="BB1748" t="str">
        <f t="shared" si="798"/>
        <v xml:space="preserve">N711JA  </v>
      </c>
      <c r="BC1748">
        <v>1</v>
      </c>
      <c r="BE1748">
        <v>0</v>
      </c>
      <c r="BF1748">
        <v>0</v>
      </c>
      <c r="BG1748">
        <v>0</v>
      </c>
      <c r="BH1748">
        <v>1925</v>
      </c>
      <c r="BI1748">
        <v>1</v>
      </c>
      <c r="BJ1748">
        <v>1</v>
      </c>
      <c r="BK1748">
        <v>0</v>
      </c>
      <c r="BL1748">
        <v>0</v>
      </c>
      <c r="BO1748">
        <v>0</v>
      </c>
      <c r="BP1748">
        <v>0</v>
      </c>
      <c r="BW1748" t="str">
        <f t="shared" si="826"/>
        <v>14:44:11.451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343</v>
      </c>
      <c r="CR1748">
        <v>1</v>
      </c>
      <c r="CW1748">
        <v>10705903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823"/>
        <v>05/12/2020 14:43:53.607</v>
      </c>
      <c r="C1749" t="str">
        <f t="shared" si="797"/>
        <v>FFDFD3C0</v>
      </c>
      <c r="D1749" t="s">
        <v>131</v>
      </c>
      <c r="E1749">
        <v>18</v>
      </c>
      <c r="F1749">
        <v>2018</v>
      </c>
      <c r="G1749" t="s">
        <v>161</v>
      </c>
      <c r="J1749" t="s">
        <v>133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824"/>
        <v>14:44:11.445</v>
      </c>
      <c r="T1749" t="str">
        <f t="shared" si="825"/>
        <v>14:44:11.145</v>
      </c>
      <c r="U1749" t="str">
        <f t="shared" si="818"/>
        <v>A9808D</v>
      </c>
      <c r="V1749">
        <v>0</v>
      </c>
      <c r="W1749">
        <v>0</v>
      </c>
      <c r="X1749">
        <v>1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0</v>
      </c>
      <c r="AI1749" t="s">
        <v>463</v>
      </c>
      <c r="AJ1749">
        <v>28.275461</v>
      </c>
      <c r="AK1749" t="s">
        <v>464</v>
      </c>
      <c r="AL1749">
        <v>-82.362120000000004</v>
      </c>
      <c r="AM1749">
        <v>100</v>
      </c>
      <c r="AN1749">
        <v>1800</v>
      </c>
      <c r="AO1749" t="s">
        <v>118</v>
      </c>
      <c r="AP1749">
        <v>66</v>
      </c>
      <c r="AQ1749">
        <v>-71</v>
      </c>
      <c r="AR1749">
        <v>512</v>
      </c>
      <c r="AZ1749">
        <v>1200</v>
      </c>
      <c r="BA1749">
        <v>1</v>
      </c>
      <c r="BB1749" t="str">
        <f t="shared" si="798"/>
        <v xml:space="preserve">N711JA  </v>
      </c>
      <c r="BC1749">
        <v>1</v>
      </c>
      <c r="BE1749">
        <v>0</v>
      </c>
      <c r="BF1749">
        <v>0</v>
      </c>
      <c r="BG1749">
        <v>0</v>
      </c>
      <c r="BH1749">
        <v>1925</v>
      </c>
      <c r="BI1749">
        <v>1</v>
      </c>
      <c r="BJ1749">
        <v>1</v>
      </c>
      <c r="BK1749">
        <v>0</v>
      </c>
      <c r="BL1749">
        <v>0</v>
      </c>
      <c r="BO1749">
        <v>0</v>
      </c>
      <c r="BP1749">
        <v>0</v>
      </c>
      <c r="BW1749" t="str">
        <f t="shared" si="826"/>
        <v>14:44:11.451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343</v>
      </c>
      <c r="CR1749">
        <v>1</v>
      </c>
      <c r="CW1749">
        <v>10705903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823"/>
        <v>05/12/2020 14:43:53.607</v>
      </c>
      <c r="C1750" t="str">
        <f t="shared" ref="C1750:C1813" si="827">"FFDFD3C0"</f>
        <v>FFDFD3C0</v>
      </c>
      <c r="D1750" t="s">
        <v>113</v>
      </c>
      <c r="E1750">
        <v>3</v>
      </c>
      <c r="H1750">
        <v>164</v>
      </c>
      <c r="I1750" t="s">
        <v>114</v>
      </c>
      <c r="J1750" t="s">
        <v>115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824"/>
        <v>14:44:11.445</v>
      </c>
      <c r="T1750" t="str">
        <f t="shared" si="825"/>
        <v>14:44:11.145</v>
      </c>
      <c r="U1750" t="str">
        <f t="shared" si="818"/>
        <v>A9808D</v>
      </c>
      <c r="V1750">
        <v>0</v>
      </c>
      <c r="W1750">
        <v>0</v>
      </c>
      <c r="X1750">
        <v>1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0</v>
      </c>
      <c r="AI1750" t="s">
        <v>463</v>
      </c>
      <c r="AJ1750">
        <v>28.275461</v>
      </c>
      <c r="AK1750" t="s">
        <v>464</v>
      </c>
      <c r="AL1750">
        <v>-82.362120000000004</v>
      </c>
      <c r="AM1750">
        <v>100</v>
      </c>
      <c r="AN1750">
        <v>1800</v>
      </c>
      <c r="AO1750" t="s">
        <v>118</v>
      </c>
      <c r="AP1750">
        <v>66</v>
      </c>
      <c r="AQ1750">
        <v>-71</v>
      </c>
      <c r="AR1750">
        <v>512</v>
      </c>
      <c r="AZ1750">
        <v>1200</v>
      </c>
      <c r="BA1750">
        <v>1</v>
      </c>
      <c r="BB1750" t="str">
        <f t="shared" ref="BB1750:BB1813" si="828">"N711JA  "</f>
        <v xml:space="preserve">N711JA  </v>
      </c>
      <c r="BC1750">
        <v>1</v>
      </c>
      <c r="BE1750">
        <v>0</v>
      </c>
      <c r="BF1750">
        <v>0</v>
      </c>
      <c r="BG1750">
        <v>0</v>
      </c>
      <c r="BH1750">
        <v>1925</v>
      </c>
      <c r="BI1750">
        <v>1</v>
      </c>
      <c r="BJ1750">
        <v>1</v>
      </c>
      <c r="BK1750">
        <v>0</v>
      </c>
      <c r="BL1750">
        <v>0</v>
      </c>
      <c r="BO1750">
        <v>0</v>
      </c>
      <c r="BP1750">
        <v>0</v>
      </c>
      <c r="BW1750" t="str">
        <f t="shared" si="826"/>
        <v>14:44:11.451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343</v>
      </c>
      <c r="CR1750">
        <v>1</v>
      </c>
      <c r="CW1750">
        <v>10705903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 t="shared" ref="A1751:A1759" si="829">"05/12/2020 14:43:54.532"</f>
        <v>05/12/2020 14:43:54.532</v>
      </c>
      <c r="C1751" t="str">
        <f t="shared" si="827"/>
        <v>FFDFD3C0</v>
      </c>
      <c r="D1751" t="s">
        <v>131</v>
      </c>
      <c r="E1751">
        <v>10</v>
      </c>
      <c r="F1751">
        <v>2010</v>
      </c>
      <c r="G1751" t="s">
        <v>132</v>
      </c>
      <c r="J1751" t="s">
        <v>133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ref="S1751:S1759" si="830">"14:44:12.367"</f>
        <v>14:44:12.367</v>
      </c>
      <c r="T1751" t="str">
        <f t="shared" ref="T1751:T1759" si="831">"14:44:12.067"</f>
        <v>14:44:12.067</v>
      </c>
      <c r="U1751" t="str">
        <f t="shared" si="818"/>
        <v>A9808D</v>
      </c>
      <c r="V1751">
        <v>0</v>
      </c>
      <c r="W1751">
        <v>0</v>
      </c>
      <c r="X1751">
        <v>1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0</v>
      </c>
      <c r="AI1751" t="s">
        <v>465</v>
      </c>
      <c r="AJ1751">
        <v>28.275182000000001</v>
      </c>
      <c r="AK1751" t="s">
        <v>466</v>
      </c>
      <c r="AL1751">
        <v>-82.361819999999994</v>
      </c>
      <c r="AM1751">
        <v>100</v>
      </c>
      <c r="AN1751">
        <v>1800</v>
      </c>
      <c r="AO1751" t="s">
        <v>118</v>
      </c>
      <c r="AP1751">
        <v>66</v>
      </c>
      <c r="AQ1751">
        <v>-71</v>
      </c>
      <c r="AR1751">
        <v>448</v>
      </c>
      <c r="AZ1751">
        <v>1200</v>
      </c>
      <c r="BA1751">
        <v>1</v>
      </c>
      <c r="BB1751" t="str">
        <f t="shared" si="828"/>
        <v xml:space="preserve">N711JA  </v>
      </c>
      <c r="BC1751">
        <v>1</v>
      </c>
      <c r="BE1751">
        <v>0</v>
      </c>
      <c r="BF1751">
        <v>0</v>
      </c>
      <c r="BG1751">
        <v>0</v>
      </c>
      <c r="BH1751">
        <v>1925</v>
      </c>
      <c r="BI1751">
        <v>1</v>
      </c>
      <c r="BJ1751">
        <v>1</v>
      </c>
      <c r="BK1751">
        <v>0</v>
      </c>
      <c r="BL1751">
        <v>0</v>
      </c>
      <c r="BO1751">
        <v>0</v>
      </c>
      <c r="BP1751">
        <v>0</v>
      </c>
      <c r="BW1751" t="str">
        <f t="shared" ref="BW1751:BW1759" si="832">"14:44:12.368"</f>
        <v>14:44:12.368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343</v>
      </c>
      <c r="CR1751">
        <v>1</v>
      </c>
      <c r="CW1751">
        <v>10706881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 t="shared" si="829"/>
        <v>05/12/2020 14:43:54.532</v>
      </c>
      <c r="C1752" t="str">
        <f t="shared" si="827"/>
        <v>FFDFD3C0</v>
      </c>
      <c r="D1752" t="s">
        <v>126</v>
      </c>
      <c r="E1752">
        <v>7</v>
      </c>
      <c r="F1752">
        <v>1007</v>
      </c>
      <c r="G1752" t="s">
        <v>127</v>
      </c>
      <c r="J1752" t="s">
        <v>128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830"/>
        <v>14:44:12.367</v>
      </c>
      <c r="T1752" t="str">
        <f t="shared" si="831"/>
        <v>14:44:12.067</v>
      </c>
      <c r="U1752" t="str">
        <f t="shared" si="818"/>
        <v>A9808D</v>
      </c>
      <c r="V1752">
        <v>0</v>
      </c>
      <c r="W1752">
        <v>0</v>
      </c>
      <c r="X1752">
        <v>1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0</v>
      </c>
      <c r="AI1752" t="s">
        <v>465</v>
      </c>
      <c r="AJ1752">
        <v>28.275182000000001</v>
      </c>
      <c r="AK1752" t="s">
        <v>466</v>
      </c>
      <c r="AL1752">
        <v>-82.361819999999994</v>
      </c>
      <c r="AM1752">
        <v>100</v>
      </c>
      <c r="AN1752">
        <v>1800</v>
      </c>
      <c r="AO1752" t="s">
        <v>118</v>
      </c>
      <c r="AP1752">
        <v>66</v>
      </c>
      <c r="AQ1752">
        <v>-71</v>
      </c>
      <c r="AR1752">
        <v>448</v>
      </c>
      <c r="AZ1752">
        <v>1200</v>
      </c>
      <c r="BA1752">
        <v>1</v>
      </c>
      <c r="BB1752" t="str">
        <f t="shared" si="828"/>
        <v xml:space="preserve">N711JA  </v>
      </c>
      <c r="BC1752">
        <v>1</v>
      </c>
      <c r="BE1752">
        <v>0</v>
      </c>
      <c r="BF1752">
        <v>0</v>
      </c>
      <c r="BG1752">
        <v>0</v>
      </c>
      <c r="BH1752">
        <v>1925</v>
      </c>
      <c r="BI1752">
        <v>1</v>
      </c>
      <c r="BJ1752">
        <v>1</v>
      </c>
      <c r="BK1752">
        <v>0</v>
      </c>
      <c r="BL1752">
        <v>0</v>
      </c>
      <c r="BO1752">
        <v>0</v>
      </c>
      <c r="BP1752">
        <v>0</v>
      </c>
      <c r="BW1752" t="str">
        <f t="shared" si="832"/>
        <v>14:44:12.368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343</v>
      </c>
      <c r="CR1752">
        <v>1</v>
      </c>
      <c r="CW1752">
        <v>10706881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 t="shared" si="829"/>
        <v>05/12/2020 14:43:54.532</v>
      </c>
      <c r="C1753" t="str">
        <f t="shared" si="827"/>
        <v>FFDFD3C0</v>
      </c>
      <c r="D1753" t="s">
        <v>131</v>
      </c>
      <c r="E1753">
        <v>12</v>
      </c>
      <c r="F1753">
        <v>2012</v>
      </c>
      <c r="G1753" t="s">
        <v>137</v>
      </c>
      <c r="J1753" t="s">
        <v>133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830"/>
        <v>14:44:12.367</v>
      </c>
      <c r="T1753" t="str">
        <f t="shared" si="831"/>
        <v>14:44:12.067</v>
      </c>
      <c r="U1753" t="str">
        <f t="shared" si="818"/>
        <v>A9808D</v>
      </c>
      <c r="V1753">
        <v>0</v>
      </c>
      <c r="W1753">
        <v>0</v>
      </c>
      <c r="X1753">
        <v>1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0</v>
      </c>
      <c r="AI1753" t="s">
        <v>465</v>
      </c>
      <c r="AJ1753">
        <v>28.275182000000001</v>
      </c>
      <c r="AK1753" t="s">
        <v>466</v>
      </c>
      <c r="AL1753">
        <v>-82.361819999999994</v>
      </c>
      <c r="AM1753">
        <v>100</v>
      </c>
      <c r="AN1753">
        <v>1800</v>
      </c>
      <c r="AO1753" t="s">
        <v>118</v>
      </c>
      <c r="AP1753">
        <v>66</v>
      </c>
      <c r="AQ1753">
        <v>-71</v>
      </c>
      <c r="AR1753">
        <v>448</v>
      </c>
      <c r="AZ1753">
        <v>1200</v>
      </c>
      <c r="BA1753">
        <v>1</v>
      </c>
      <c r="BB1753" t="str">
        <f t="shared" si="828"/>
        <v xml:space="preserve">N711JA  </v>
      </c>
      <c r="BC1753">
        <v>1</v>
      </c>
      <c r="BE1753">
        <v>0</v>
      </c>
      <c r="BF1753">
        <v>0</v>
      </c>
      <c r="BG1753">
        <v>0</v>
      </c>
      <c r="BH1753">
        <v>1925</v>
      </c>
      <c r="BI1753">
        <v>1</v>
      </c>
      <c r="BJ1753">
        <v>1</v>
      </c>
      <c r="BK1753">
        <v>0</v>
      </c>
      <c r="BL1753">
        <v>0</v>
      </c>
      <c r="BO1753">
        <v>0</v>
      </c>
      <c r="BP1753">
        <v>0</v>
      </c>
      <c r="BW1753" t="str">
        <f t="shared" si="832"/>
        <v>14:44:12.368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343</v>
      </c>
      <c r="CR1753">
        <v>1</v>
      </c>
      <c r="CW1753">
        <v>10706881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 t="shared" si="829"/>
        <v>05/12/2020 14:43:54.532</v>
      </c>
      <c r="C1754" t="str">
        <f t="shared" si="827"/>
        <v>FFDFD3C0</v>
      </c>
      <c r="D1754" t="s">
        <v>134</v>
      </c>
      <c r="E1754">
        <v>12</v>
      </c>
      <c r="H1754">
        <v>64</v>
      </c>
      <c r="I1754" t="s">
        <v>135</v>
      </c>
      <c r="J1754" t="s">
        <v>136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830"/>
        <v>14:44:12.367</v>
      </c>
      <c r="T1754" t="str">
        <f t="shared" si="831"/>
        <v>14:44:12.067</v>
      </c>
      <c r="U1754" t="str">
        <f t="shared" si="818"/>
        <v>A9808D</v>
      </c>
      <c r="V1754">
        <v>0</v>
      </c>
      <c r="W1754">
        <v>0</v>
      </c>
      <c r="X1754">
        <v>1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0</v>
      </c>
      <c r="AI1754" t="s">
        <v>465</v>
      </c>
      <c r="AJ1754">
        <v>28.275182000000001</v>
      </c>
      <c r="AK1754" t="s">
        <v>466</v>
      </c>
      <c r="AL1754">
        <v>-82.361819999999994</v>
      </c>
      <c r="AM1754">
        <v>100</v>
      </c>
      <c r="AN1754">
        <v>1800</v>
      </c>
      <c r="AO1754" t="s">
        <v>118</v>
      </c>
      <c r="AP1754">
        <v>66</v>
      </c>
      <c r="AQ1754">
        <v>-71</v>
      </c>
      <c r="AR1754">
        <v>448</v>
      </c>
      <c r="AZ1754">
        <v>1200</v>
      </c>
      <c r="BA1754">
        <v>1</v>
      </c>
      <c r="BB1754" t="str">
        <f t="shared" si="828"/>
        <v xml:space="preserve">N711JA  </v>
      </c>
      <c r="BC1754">
        <v>1</v>
      </c>
      <c r="BE1754">
        <v>0</v>
      </c>
      <c r="BF1754">
        <v>0</v>
      </c>
      <c r="BG1754">
        <v>0</v>
      </c>
      <c r="BH1754">
        <v>1925</v>
      </c>
      <c r="BI1754">
        <v>1</v>
      </c>
      <c r="BJ1754">
        <v>1</v>
      </c>
      <c r="BK1754">
        <v>0</v>
      </c>
      <c r="BL1754">
        <v>0</v>
      </c>
      <c r="BO1754">
        <v>0</v>
      </c>
      <c r="BP1754">
        <v>0</v>
      </c>
      <c r="BW1754" t="str">
        <f t="shared" si="832"/>
        <v>14:44:12.368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343</v>
      </c>
      <c r="CR1754">
        <v>1</v>
      </c>
      <c r="CW1754">
        <v>10706881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 t="shared" si="829"/>
        <v>05/12/2020 14:43:54.532</v>
      </c>
      <c r="C1755" t="str">
        <f t="shared" si="827"/>
        <v>FFDFD3C0</v>
      </c>
      <c r="D1755" t="s">
        <v>138</v>
      </c>
      <c r="E1755">
        <v>2</v>
      </c>
      <c r="H1755">
        <v>8</v>
      </c>
      <c r="I1755" t="s">
        <v>139</v>
      </c>
      <c r="J1755" t="s">
        <v>136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830"/>
        <v>14:44:12.367</v>
      </c>
      <c r="T1755" t="str">
        <f t="shared" si="831"/>
        <v>14:44:12.067</v>
      </c>
      <c r="U1755" t="str">
        <f t="shared" si="818"/>
        <v>A9808D</v>
      </c>
      <c r="V1755">
        <v>0</v>
      </c>
      <c r="W1755">
        <v>0</v>
      </c>
      <c r="X1755">
        <v>1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0</v>
      </c>
      <c r="AI1755" t="s">
        <v>465</v>
      </c>
      <c r="AJ1755">
        <v>28.275182000000001</v>
      </c>
      <c r="AK1755" t="s">
        <v>466</v>
      </c>
      <c r="AL1755">
        <v>-82.361819999999994</v>
      </c>
      <c r="AM1755">
        <v>100</v>
      </c>
      <c r="AN1755">
        <v>1800</v>
      </c>
      <c r="AO1755" t="s">
        <v>118</v>
      </c>
      <c r="AP1755">
        <v>66</v>
      </c>
      <c r="AQ1755">
        <v>-71</v>
      </c>
      <c r="AR1755">
        <v>448</v>
      </c>
      <c r="AZ1755">
        <v>1200</v>
      </c>
      <c r="BA1755">
        <v>1</v>
      </c>
      <c r="BB1755" t="str">
        <f t="shared" si="828"/>
        <v xml:space="preserve">N711JA  </v>
      </c>
      <c r="BC1755">
        <v>1</v>
      </c>
      <c r="BE1755">
        <v>0</v>
      </c>
      <c r="BF1755">
        <v>0</v>
      </c>
      <c r="BG1755">
        <v>0</v>
      </c>
      <c r="BH1755">
        <v>1925</v>
      </c>
      <c r="BI1755">
        <v>1</v>
      </c>
      <c r="BJ1755">
        <v>1</v>
      </c>
      <c r="BK1755">
        <v>0</v>
      </c>
      <c r="BL1755">
        <v>0</v>
      </c>
      <c r="BO1755">
        <v>0</v>
      </c>
      <c r="BP1755">
        <v>0</v>
      </c>
      <c r="BW1755" t="str">
        <f t="shared" si="832"/>
        <v>14:44:12.368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343</v>
      </c>
      <c r="CR1755">
        <v>1</v>
      </c>
      <c r="CW1755">
        <v>10706881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 t="shared" si="829"/>
        <v>05/12/2020 14:43:54.532</v>
      </c>
      <c r="C1756" t="str">
        <f t="shared" si="827"/>
        <v>FFDFD3C0</v>
      </c>
      <c r="D1756" t="s">
        <v>138</v>
      </c>
      <c r="E1756">
        <v>3</v>
      </c>
      <c r="H1756">
        <v>9</v>
      </c>
      <c r="I1756" t="s">
        <v>140</v>
      </c>
      <c r="J1756" t="s">
        <v>136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830"/>
        <v>14:44:12.367</v>
      </c>
      <c r="T1756" t="str">
        <f t="shared" si="831"/>
        <v>14:44:12.067</v>
      </c>
      <c r="U1756" t="str">
        <f t="shared" si="818"/>
        <v>A9808D</v>
      </c>
      <c r="V1756">
        <v>0</v>
      </c>
      <c r="W1756">
        <v>0</v>
      </c>
      <c r="X1756">
        <v>1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0</v>
      </c>
      <c r="AI1756" t="s">
        <v>465</v>
      </c>
      <c r="AJ1756">
        <v>28.275182000000001</v>
      </c>
      <c r="AK1756" t="s">
        <v>466</v>
      </c>
      <c r="AL1756">
        <v>-82.361819999999994</v>
      </c>
      <c r="AM1756">
        <v>100</v>
      </c>
      <c r="AN1756">
        <v>1800</v>
      </c>
      <c r="AO1756" t="s">
        <v>118</v>
      </c>
      <c r="AP1756">
        <v>66</v>
      </c>
      <c r="AQ1756">
        <v>-71</v>
      </c>
      <c r="AR1756">
        <v>448</v>
      </c>
      <c r="AZ1756">
        <v>1200</v>
      </c>
      <c r="BA1756">
        <v>1</v>
      </c>
      <c r="BB1756" t="str">
        <f t="shared" si="828"/>
        <v xml:space="preserve">N711JA  </v>
      </c>
      <c r="BC1756">
        <v>1</v>
      </c>
      <c r="BE1756">
        <v>0</v>
      </c>
      <c r="BF1756">
        <v>0</v>
      </c>
      <c r="BG1756">
        <v>0</v>
      </c>
      <c r="BH1756">
        <v>1925</v>
      </c>
      <c r="BI1756">
        <v>1</v>
      </c>
      <c r="BJ1756">
        <v>1</v>
      </c>
      <c r="BK1756">
        <v>0</v>
      </c>
      <c r="BL1756">
        <v>0</v>
      </c>
      <c r="BO1756">
        <v>0</v>
      </c>
      <c r="BP1756">
        <v>0</v>
      </c>
      <c r="BW1756" t="str">
        <f t="shared" si="832"/>
        <v>14:44:12.368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343</v>
      </c>
      <c r="CR1756">
        <v>1</v>
      </c>
      <c r="CW1756">
        <v>10706881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 t="shared" si="829"/>
        <v>05/12/2020 14:43:54.532</v>
      </c>
      <c r="C1757" t="str">
        <f t="shared" si="827"/>
        <v>FFDFD3C0</v>
      </c>
      <c r="D1757" t="s">
        <v>131</v>
      </c>
      <c r="E1757">
        <v>18</v>
      </c>
      <c r="F1757">
        <v>2018</v>
      </c>
      <c r="G1757" t="s">
        <v>161</v>
      </c>
      <c r="J1757" t="s">
        <v>133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830"/>
        <v>14:44:12.367</v>
      </c>
      <c r="T1757" t="str">
        <f t="shared" si="831"/>
        <v>14:44:12.067</v>
      </c>
      <c r="U1757" t="str">
        <f t="shared" si="818"/>
        <v>A9808D</v>
      </c>
      <c r="V1757">
        <v>0</v>
      </c>
      <c r="W1757">
        <v>0</v>
      </c>
      <c r="X1757">
        <v>1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0</v>
      </c>
      <c r="AI1757" t="s">
        <v>465</v>
      </c>
      <c r="AJ1757">
        <v>28.275182000000001</v>
      </c>
      <c r="AK1757" t="s">
        <v>466</v>
      </c>
      <c r="AL1757">
        <v>-82.361819999999994</v>
      </c>
      <c r="AM1757">
        <v>100</v>
      </c>
      <c r="AN1757">
        <v>1800</v>
      </c>
      <c r="AO1757" t="s">
        <v>118</v>
      </c>
      <c r="AP1757">
        <v>66</v>
      </c>
      <c r="AQ1757">
        <v>-71</v>
      </c>
      <c r="AR1757">
        <v>448</v>
      </c>
      <c r="AZ1757">
        <v>1200</v>
      </c>
      <c r="BA1757">
        <v>1</v>
      </c>
      <c r="BB1757" t="str">
        <f t="shared" si="828"/>
        <v xml:space="preserve">N711JA  </v>
      </c>
      <c r="BC1757">
        <v>1</v>
      </c>
      <c r="BE1757">
        <v>0</v>
      </c>
      <c r="BF1757">
        <v>0</v>
      </c>
      <c r="BG1757">
        <v>0</v>
      </c>
      <c r="BH1757">
        <v>1925</v>
      </c>
      <c r="BI1757">
        <v>1</v>
      </c>
      <c r="BJ1757">
        <v>1</v>
      </c>
      <c r="BK1757">
        <v>0</v>
      </c>
      <c r="BL1757">
        <v>0</v>
      </c>
      <c r="BO1757">
        <v>0</v>
      </c>
      <c r="BP1757">
        <v>0</v>
      </c>
      <c r="BW1757" t="str">
        <f t="shared" si="832"/>
        <v>14:44:12.368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343</v>
      </c>
      <c r="CR1757">
        <v>1</v>
      </c>
      <c r="CW1757">
        <v>10706881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 t="shared" si="829"/>
        <v>05/12/2020 14:43:54.532</v>
      </c>
      <c r="C1758" t="str">
        <f t="shared" si="827"/>
        <v>FFDFD3C0</v>
      </c>
      <c r="D1758" t="s">
        <v>113</v>
      </c>
      <c r="E1758">
        <v>3</v>
      </c>
      <c r="H1758">
        <v>164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830"/>
        <v>14:44:12.367</v>
      </c>
      <c r="T1758" t="str">
        <f t="shared" si="831"/>
        <v>14:44:12.067</v>
      </c>
      <c r="U1758" t="str">
        <f t="shared" si="818"/>
        <v>A9808D</v>
      </c>
      <c r="V1758">
        <v>0</v>
      </c>
      <c r="W1758">
        <v>0</v>
      </c>
      <c r="X1758">
        <v>1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0</v>
      </c>
      <c r="AI1758" t="s">
        <v>465</v>
      </c>
      <c r="AJ1758">
        <v>28.275182000000001</v>
      </c>
      <c r="AK1758" t="s">
        <v>466</v>
      </c>
      <c r="AL1758">
        <v>-82.361819999999994</v>
      </c>
      <c r="AM1758">
        <v>100</v>
      </c>
      <c r="AN1758">
        <v>1800</v>
      </c>
      <c r="AO1758" t="s">
        <v>118</v>
      </c>
      <c r="AP1758">
        <v>66</v>
      </c>
      <c r="AQ1758">
        <v>-71</v>
      </c>
      <c r="AR1758">
        <v>448</v>
      </c>
      <c r="AZ1758">
        <v>1200</v>
      </c>
      <c r="BA1758">
        <v>1</v>
      </c>
      <c r="BB1758" t="str">
        <f t="shared" si="828"/>
        <v xml:space="preserve">N711JA  </v>
      </c>
      <c r="BC1758">
        <v>1</v>
      </c>
      <c r="BE1758">
        <v>0</v>
      </c>
      <c r="BF1758">
        <v>0</v>
      </c>
      <c r="BG1758">
        <v>0</v>
      </c>
      <c r="BH1758">
        <v>1925</v>
      </c>
      <c r="BI1758">
        <v>1</v>
      </c>
      <c r="BJ1758">
        <v>1</v>
      </c>
      <c r="BK1758">
        <v>0</v>
      </c>
      <c r="BL1758">
        <v>0</v>
      </c>
      <c r="BO1758">
        <v>0</v>
      </c>
      <c r="BP1758">
        <v>0</v>
      </c>
      <c r="BW1758" t="str">
        <f t="shared" si="832"/>
        <v>14:44:12.368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343</v>
      </c>
      <c r="CR1758">
        <v>1</v>
      </c>
      <c r="CW1758">
        <v>10706881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 t="shared" si="829"/>
        <v>05/12/2020 14:43:54.532</v>
      </c>
      <c r="C1759" t="str">
        <f t="shared" si="827"/>
        <v>FFDFD3C0</v>
      </c>
      <c r="D1759" t="s">
        <v>126</v>
      </c>
      <c r="E1759">
        <v>6</v>
      </c>
      <c r="F1759">
        <v>1006</v>
      </c>
      <c r="G1759" t="s">
        <v>114</v>
      </c>
      <c r="J1759" t="s">
        <v>128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830"/>
        <v>14:44:12.367</v>
      </c>
      <c r="T1759" t="str">
        <f t="shared" si="831"/>
        <v>14:44:12.067</v>
      </c>
      <c r="U1759" t="str">
        <f t="shared" si="818"/>
        <v>A9808D</v>
      </c>
      <c r="V1759">
        <v>0</v>
      </c>
      <c r="W1759">
        <v>0</v>
      </c>
      <c r="X1759">
        <v>1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0</v>
      </c>
      <c r="AI1759" t="s">
        <v>465</v>
      </c>
      <c r="AJ1759">
        <v>28.275182000000001</v>
      </c>
      <c r="AK1759" t="s">
        <v>466</v>
      </c>
      <c r="AL1759">
        <v>-82.361819999999994</v>
      </c>
      <c r="AM1759">
        <v>100</v>
      </c>
      <c r="AN1759">
        <v>1800</v>
      </c>
      <c r="AO1759" t="s">
        <v>118</v>
      </c>
      <c r="AP1759">
        <v>66</v>
      </c>
      <c r="AQ1759">
        <v>-71</v>
      </c>
      <c r="AR1759">
        <v>448</v>
      </c>
      <c r="AZ1759">
        <v>1200</v>
      </c>
      <c r="BA1759">
        <v>1</v>
      </c>
      <c r="BB1759" t="str">
        <f t="shared" si="828"/>
        <v xml:space="preserve">N711JA  </v>
      </c>
      <c r="BC1759">
        <v>1</v>
      </c>
      <c r="BE1759">
        <v>0</v>
      </c>
      <c r="BF1759">
        <v>0</v>
      </c>
      <c r="BG1759">
        <v>0</v>
      </c>
      <c r="BH1759">
        <v>1925</v>
      </c>
      <c r="BI1759">
        <v>1</v>
      </c>
      <c r="BJ1759">
        <v>1</v>
      </c>
      <c r="BK1759">
        <v>0</v>
      </c>
      <c r="BL1759">
        <v>0</v>
      </c>
      <c r="BO1759">
        <v>0</v>
      </c>
      <c r="BP1759">
        <v>0</v>
      </c>
      <c r="BW1759" t="str">
        <f t="shared" si="832"/>
        <v>14:44:12.368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343</v>
      </c>
      <c r="CR1759">
        <v>1</v>
      </c>
      <c r="CW1759">
        <v>10706881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 t="shared" ref="A1760:A1768" si="833">"05/12/2020 14:43:55.519"</f>
        <v>05/12/2020 14:43:55.519</v>
      </c>
      <c r="C1760" t="str">
        <f t="shared" si="827"/>
        <v>FFDFD3C0</v>
      </c>
      <c r="D1760" t="s">
        <v>126</v>
      </c>
      <c r="E1760">
        <v>6</v>
      </c>
      <c r="F1760">
        <v>1006</v>
      </c>
      <c r="G1760" t="s">
        <v>114</v>
      </c>
      <c r="J1760" t="s">
        <v>128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ref="S1760:S1768" si="834">"14:44:13.352"</f>
        <v>14:44:13.352</v>
      </c>
      <c r="T1760" t="str">
        <f t="shared" ref="T1760:T1768" si="835">"14:44:13.052"</f>
        <v>14:44:13.052</v>
      </c>
      <c r="U1760" t="str">
        <f t="shared" si="818"/>
        <v>A9808D</v>
      </c>
      <c r="V1760">
        <v>0</v>
      </c>
      <c r="W1760">
        <v>0</v>
      </c>
      <c r="X1760">
        <v>1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0</v>
      </c>
      <c r="AI1760" t="s">
        <v>467</v>
      </c>
      <c r="AJ1760">
        <v>28.27486</v>
      </c>
      <c r="AK1760" t="s">
        <v>468</v>
      </c>
      <c r="AL1760">
        <v>-82.361434000000003</v>
      </c>
      <c r="AM1760">
        <v>100</v>
      </c>
      <c r="AN1760">
        <v>1800</v>
      </c>
      <c r="AO1760" t="s">
        <v>118</v>
      </c>
      <c r="AP1760">
        <v>67</v>
      </c>
      <c r="AQ1760">
        <v>-71</v>
      </c>
      <c r="AR1760">
        <v>384</v>
      </c>
      <c r="AZ1760">
        <v>1200</v>
      </c>
      <c r="BA1760">
        <v>1</v>
      </c>
      <c r="BB1760" t="str">
        <f t="shared" si="828"/>
        <v xml:space="preserve">N711JA  </v>
      </c>
      <c r="BC1760">
        <v>1</v>
      </c>
      <c r="BE1760">
        <v>0</v>
      </c>
      <c r="BF1760">
        <v>0</v>
      </c>
      <c r="BG1760">
        <v>0</v>
      </c>
      <c r="BH1760">
        <v>1950</v>
      </c>
      <c r="BI1760">
        <v>1</v>
      </c>
      <c r="BJ1760">
        <v>1</v>
      </c>
      <c r="BK1760">
        <v>0</v>
      </c>
      <c r="BL1760">
        <v>0</v>
      </c>
      <c r="BO1760">
        <v>0</v>
      </c>
      <c r="BP1760">
        <v>0</v>
      </c>
      <c r="BW1760" t="str">
        <f t="shared" ref="BW1760:BW1768" si="836">"14:44:13.352"</f>
        <v>14:44:13.352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8</v>
      </c>
      <c r="CR1760">
        <v>3</v>
      </c>
      <c r="CW1760">
        <v>8832442</v>
      </c>
      <c r="CY1760">
        <v>1</v>
      </c>
      <c r="CZ1760">
        <v>0</v>
      </c>
      <c r="DA1760">
        <v>0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 t="shared" si="833"/>
        <v>05/12/2020 14:43:55.519</v>
      </c>
      <c r="C1761" t="str">
        <f t="shared" si="827"/>
        <v>FFDFD3C0</v>
      </c>
      <c r="D1761" t="s">
        <v>131</v>
      </c>
      <c r="E1761">
        <v>10</v>
      </c>
      <c r="F1761">
        <v>2010</v>
      </c>
      <c r="G1761" t="s">
        <v>132</v>
      </c>
      <c r="J1761" t="s">
        <v>133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834"/>
        <v>14:44:13.352</v>
      </c>
      <c r="T1761" t="str">
        <f t="shared" si="835"/>
        <v>14:44:13.052</v>
      </c>
      <c r="U1761" t="str">
        <f t="shared" si="818"/>
        <v>A9808D</v>
      </c>
      <c r="V1761">
        <v>0</v>
      </c>
      <c r="W1761">
        <v>0</v>
      </c>
      <c r="X1761">
        <v>1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0</v>
      </c>
      <c r="AI1761" t="s">
        <v>467</v>
      </c>
      <c r="AJ1761">
        <v>28.27486</v>
      </c>
      <c r="AK1761" t="s">
        <v>468</v>
      </c>
      <c r="AL1761">
        <v>-82.361434000000003</v>
      </c>
      <c r="AM1761">
        <v>100</v>
      </c>
      <c r="AN1761">
        <v>1800</v>
      </c>
      <c r="AO1761" t="s">
        <v>118</v>
      </c>
      <c r="AP1761">
        <v>67</v>
      </c>
      <c r="AQ1761">
        <v>-71</v>
      </c>
      <c r="AR1761">
        <v>384</v>
      </c>
      <c r="AZ1761">
        <v>1200</v>
      </c>
      <c r="BA1761">
        <v>1</v>
      </c>
      <c r="BB1761" t="str">
        <f t="shared" si="828"/>
        <v xml:space="preserve">N711JA  </v>
      </c>
      <c r="BC1761">
        <v>1</v>
      </c>
      <c r="BE1761">
        <v>0</v>
      </c>
      <c r="BF1761">
        <v>0</v>
      </c>
      <c r="BG1761">
        <v>0</v>
      </c>
      <c r="BH1761">
        <v>1950</v>
      </c>
      <c r="BI1761">
        <v>1</v>
      </c>
      <c r="BJ1761">
        <v>1</v>
      </c>
      <c r="BK1761">
        <v>0</v>
      </c>
      <c r="BL1761">
        <v>0</v>
      </c>
      <c r="BO1761">
        <v>0</v>
      </c>
      <c r="BP1761">
        <v>0</v>
      </c>
      <c r="BW1761" t="str">
        <f t="shared" si="836"/>
        <v>14:44:13.352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8</v>
      </c>
      <c r="CR1761">
        <v>3</v>
      </c>
      <c r="CW1761">
        <v>8832442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 t="shared" si="833"/>
        <v>05/12/2020 14:43:55.519</v>
      </c>
      <c r="C1762" t="str">
        <f t="shared" si="827"/>
        <v>FFDFD3C0</v>
      </c>
      <c r="D1762" t="s">
        <v>126</v>
      </c>
      <c r="E1762">
        <v>7</v>
      </c>
      <c r="F1762">
        <v>1007</v>
      </c>
      <c r="G1762" t="s">
        <v>127</v>
      </c>
      <c r="J1762" t="s">
        <v>128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834"/>
        <v>14:44:13.352</v>
      </c>
      <c r="T1762" t="str">
        <f t="shared" si="835"/>
        <v>14:44:13.052</v>
      </c>
      <c r="U1762" t="str">
        <f t="shared" si="818"/>
        <v>A9808D</v>
      </c>
      <c r="V1762">
        <v>0</v>
      </c>
      <c r="W1762">
        <v>0</v>
      </c>
      <c r="X1762">
        <v>1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0</v>
      </c>
      <c r="AI1762" t="s">
        <v>467</v>
      </c>
      <c r="AJ1762">
        <v>28.27486</v>
      </c>
      <c r="AK1762" t="s">
        <v>468</v>
      </c>
      <c r="AL1762">
        <v>-82.361434000000003</v>
      </c>
      <c r="AM1762">
        <v>100</v>
      </c>
      <c r="AN1762">
        <v>1800</v>
      </c>
      <c r="AO1762" t="s">
        <v>118</v>
      </c>
      <c r="AP1762">
        <v>67</v>
      </c>
      <c r="AQ1762">
        <v>-71</v>
      </c>
      <c r="AR1762">
        <v>384</v>
      </c>
      <c r="AZ1762">
        <v>1200</v>
      </c>
      <c r="BA1762">
        <v>1</v>
      </c>
      <c r="BB1762" t="str">
        <f t="shared" si="828"/>
        <v xml:space="preserve">N711JA  </v>
      </c>
      <c r="BC1762">
        <v>1</v>
      </c>
      <c r="BE1762">
        <v>0</v>
      </c>
      <c r="BF1762">
        <v>0</v>
      </c>
      <c r="BG1762">
        <v>0</v>
      </c>
      <c r="BH1762">
        <v>1950</v>
      </c>
      <c r="BI1762">
        <v>1</v>
      </c>
      <c r="BJ1762">
        <v>1</v>
      </c>
      <c r="BK1762">
        <v>0</v>
      </c>
      <c r="BL1762">
        <v>0</v>
      </c>
      <c r="BO1762">
        <v>0</v>
      </c>
      <c r="BP1762">
        <v>0</v>
      </c>
      <c r="BW1762" t="str">
        <f t="shared" si="836"/>
        <v>14:44:13.352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8</v>
      </c>
      <c r="CR1762">
        <v>3</v>
      </c>
      <c r="CW1762">
        <v>8832442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si="833"/>
        <v>05/12/2020 14:43:55.519</v>
      </c>
      <c r="C1763" t="str">
        <f t="shared" si="827"/>
        <v>FFDFD3C0</v>
      </c>
      <c r="D1763" t="s">
        <v>131</v>
      </c>
      <c r="E1763">
        <v>12</v>
      </c>
      <c r="F1763">
        <v>2012</v>
      </c>
      <c r="G1763" t="s">
        <v>137</v>
      </c>
      <c r="J1763" t="s">
        <v>133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834"/>
        <v>14:44:13.352</v>
      </c>
      <c r="T1763" t="str">
        <f t="shared" si="835"/>
        <v>14:44:13.052</v>
      </c>
      <c r="U1763" t="str">
        <f t="shared" si="818"/>
        <v>A9808D</v>
      </c>
      <c r="V1763">
        <v>0</v>
      </c>
      <c r="W1763">
        <v>0</v>
      </c>
      <c r="X1763">
        <v>1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0</v>
      </c>
      <c r="AI1763" t="s">
        <v>467</v>
      </c>
      <c r="AJ1763">
        <v>28.27486</v>
      </c>
      <c r="AK1763" t="s">
        <v>468</v>
      </c>
      <c r="AL1763">
        <v>-82.361434000000003</v>
      </c>
      <c r="AM1763">
        <v>100</v>
      </c>
      <c r="AN1763">
        <v>1800</v>
      </c>
      <c r="AO1763" t="s">
        <v>118</v>
      </c>
      <c r="AP1763">
        <v>67</v>
      </c>
      <c r="AQ1763">
        <v>-71</v>
      </c>
      <c r="AR1763">
        <v>384</v>
      </c>
      <c r="AZ1763">
        <v>1200</v>
      </c>
      <c r="BA1763">
        <v>1</v>
      </c>
      <c r="BB1763" t="str">
        <f t="shared" si="828"/>
        <v xml:space="preserve">N711JA  </v>
      </c>
      <c r="BC1763">
        <v>1</v>
      </c>
      <c r="BE1763">
        <v>0</v>
      </c>
      <c r="BF1763">
        <v>0</v>
      </c>
      <c r="BG1763">
        <v>0</v>
      </c>
      <c r="BH1763">
        <v>1950</v>
      </c>
      <c r="BI1763">
        <v>1</v>
      </c>
      <c r="BJ1763">
        <v>1</v>
      </c>
      <c r="BK1763">
        <v>0</v>
      </c>
      <c r="BL1763">
        <v>0</v>
      </c>
      <c r="BO1763">
        <v>0</v>
      </c>
      <c r="BP1763">
        <v>0</v>
      </c>
      <c r="BW1763" t="str">
        <f t="shared" si="836"/>
        <v>14:44:13.352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8</v>
      </c>
      <c r="CR1763">
        <v>3</v>
      </c>
      <c r="CW1763">
        <v>8832442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si="833"/>
        <v>05/12/2020 14:43:55.519</v>
      </c>
      <c r="C1764" t="str">
        <f t="shared" si="827"/>
        <v>FFDFD3C0</v>
      </c>
      <c r="D1764" t="s">
        <v>131</v>
      </c>
      <c r="E1764">
        <v>18</v>
      </c>
      <c r="F1764">
        <v>2018</v>
      </c>
      <c r="G1764" t="s">
        <v>161</v>
      </c>
      <c r="J1764" t="s">
        <v>133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834"/>
        <v>14:44:13.352</v>
      </c>
      <c r="T1764" t="str">
        <f t="shared" si="835"/>
        <v>14:44:13.052</v>
      </c>
      <c r="U1764" t="str">
        <f t="shared" si="818"/>
        <v>A9808D</v>
      </c>
      <c r="V1764">
        <v>0</v>
      </c>
      <c r="W1764">
        <v>0</v>
      </c>
      <c r="X1764">
        <v>1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0</v>
      </c>
      <c r="AI1764" t="s">
        <v>467</v>
      </c>
      <c r="AJ1764">
        <v>28.27486</v>
      </c>
      <c r="AK1764" t="s">
        <v>468</v>
      </c>
      <c r="AL1764">
        <v>-82.361434000000003</v>
      </c>
      <c r="AM1764">
        <v>100</v>
      </c>
      <c r="AN1764">
        <v>1800</v>
      </c>
      <c r="AO1764" t="s">
        <v>118</v>
      </c>
      <c r="AP1764">
        <v>67</v>
      </c>
      <c r="AQ1764">
        <v>-71</v>
      </c>
      <c r="AR1764">
        <v>384</v>
      </c>
      <c r="AZ1764">
        <v>1200</v>
      </c>
      <c r="BA1764">
        <v>1</v>
      </c>
      <c r="BB1764" t="str">
        <f t="shared" si="828"/>
        <v xml:space="preserve">N711JA  </v>
      </c>
      <c r="BC1764">
        <v>1</v>
      </c>
      <c r="BE1764">
        <v>0</v>
      </c>
      <c r="BF1764">
        <v>0</v>
      </c>
      <c r="BG1764">
        <v>0</v>
      </c>
      <c r="BH1764">
        <v>1950</v>
      </c>
      <c r="BI1764">
        <v>1</v>
      </c>
      <c r="BJ1764">
        <v>1</v>
      </c>
      <c r="BK1764">
        <v>0</v>
      </c>
      <c r="BL1764">
        <v>0</v>
      </c>
      <c r="BO1764">
        <v>0</v>
      </c>
      <c r="BP1764">
        <v>0</v>
      </c>
      <c r="BW1764" t="str">
        <f t="shared" si="836"/>
        <v>14:44:13.352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343</v>
      </c>
      <c r="CR1764">
        <v>1</v>
      </c>
      <c r="CW1764">
        <v>10707913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si="833"/>
        <v>05/12/2020 14:43:55.519</v>
      </c>
      <c r="C1765" t="str">
        <f t="shared" si="827"/>
        <v>FFDFD3C0</v>
      </c>
      <c r="D1765" t="s">
        <v>138</v>
      </c>
      <c r="E1765">
        <v>3</v>
      </c>
      <c r="H1765">
        <v>9</v>
      </c>
      <c r="I1765" t="s">
        <v>140</v>
      </c>
      <c r="J1765" t="s">
        <v>136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834"/>
        <v>14:44:13.352</v>
      </c>
      <c r="T1765" t="str">
        <f t="shared" si="835"/>
        <v>14:44:13.052</v>
      </c>
      <c r="U1765" t="str">
        <f t="shared" si="818"/>
        <v>A9808D</v>
      </c>
      <c r="V1765">
        <v>0</v>
      </c>
      <c r="W1765">
        <v>0</v>
      </c>
      <c r="X1765">
        <v>1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0</v>
      </c>
      <c r="AI1765" t="s">
        <v>467</v>
      </c>
      <c r="AJ1765">
        <v>28.27486</v>
      </c>
      <c r="AK1765" t="s">
        <v>468</v>
      </c>
      <c r="AL1765">
        <v>-82.361434000000003</v>
      </c>
      <c r="AM1765">
        <v>100</v>
      </c>
      <c r="AN1765">
        <v>1800</v>
      </c>
      <c r="AO1765" t="s">
        <v>118</v>
      </c>
      <c r="AP1765">
        <v>67</v>
      </c>
      <c r="AQ1765">
        <v>-71</v>
      </c>
      <c r="AR1765">
        <v>384</v>
      </c>
      <c r="AZ1765">
        <v>1200</v>
      </c>
      <c r="BA1765">
        <v>1</v>
      </c>
      <c r="BB1765" t="str">
        <f t="shared" si="828"/>
        <v xml:space="preserve">N711JA  </v>
      </c>
      <c r="BC1765">
        <v>1</v>
      </c>
      <c r="BE1765">
        <v>0</v>
      </c>
      <c r="BF1765">
        <v>0</v>
      </c>
      <c r="BG1765">
        <v>0</v>
      </c>
      <c r="BH1765">
        <v>1950</v>
      </c>
      <c r="BI1765">
        <v>1</v>
      </c>
      <c r="BJ1765">
        <v>1</v>
      </c>
      <c r="BK1765">
        <v>0</v>
      </c>
      <c r="BL1765">
        <v>0</v>
      </c>
      <c r="BO1765">
        <v>0</v>
      </c>
      <c r="BP1765">
        <v>0</v>
      </c>
      <c r="BW1765" t="str">
        <f t="shared" si="836"/>
        <v>14:44:13.352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8</v>
      </c>
      <c r="CR1765">
        <v>3</v>
      </c>
      <c r="CW1765">
        <v>8832442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 t="shared" si="833"/>
        <v>05/12/2020 14:43:55.519</v>
      </c>
      <c r="C1766" t="str">
        <f t="shared" si="827"/>
        <v>FFDFD3C0</v>
      </c>
      <c r="D1766" t="s">
        <v>134</v>
      </c>
      <c r="E1766">
        <v>12</v>
      </c>
      <c r="H1766">
        <v>64</v>
      </c>
      <c r="I1766" t="s">
        <v>135</v>
      </c>
      <c r="J1766" t="s">
        <v>136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834"/>
        <v>14:44:13.352</v>
      </c>
      <c r="T1766" t="str">
        <f t="shared" si="835"/>
        <v>14:44:13.052</v>
      </c>
      <c r="U1766" t="str">
        <f t="shared" si="818"/>
        <v>A9808D</v>
      </c>
      <c r="V1766">
        <v>0</v>
      </c>
      <c r="W1766">
        <v>0</v>
      </c>
      <c r="X1766">
        <v>1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0</v>
      </c>
      <c r="AI1766" t="s">
        <v>467</v>
      </c>
      <c r="AJ1766">
        <v>28.27486</v>
      </c>
      <c r="AK1766" t="s">
        <v>468</v>
      </c>
      <c r="AL1766">
        <v>-82.361434000000003</v>
      </c>
      <c r="AM1766">
        <v>100</v>
      </c>
      <c r="AN1766">
        <v>1800</v>
      </c>
      <c r="AO1766" t="s">
        <v>118</v>
      </c>
      <c r="AP1766">
        <v>67</v>
      </c>
      <c r="AQ1766">
        <v>-71</v>
      </c>
      <c r="AR1766">
        <v>384</v>
      </c>
      <c r="AZ1766">
        <v>1200</v>
      </c>
      <c r="BA1766">
        <v>1</v>
      </c>
      <c r="BB1766" t="str">
        <f t="shared" si="828"/>
        <v xml:space="preserve">N711JA  </v>
      </c>
      <c r="BC1766">
        <v>1</v>
      </c>
      <c r="BE1766">
        <v>0</v>
      </c>
      <c r="BF1766">
        <v>0</v>
      </c>
      <c r="BG1766">
        <v>0</v>
      </c>
      <c r="BH1766">
        <v>1950</v>
      </c>
      <c r="BI1766">
        <v>1</v>
      </c>
      <c r="BJ1766">
        <v>1</v>
      </c>
      <c r="BK1766">
        <v>0</v>
      </c>
      <c r="BL1766">
        <v>0</v>
      </c>
      <c r="BO1766">
        <v>0</v>
      </c>
      <c r="BP1766">
        <v>0</v>
      </c>
      <c r="BW1766" t="str">
        <f t="shared" si="836"/>
        <v>14:44:13.352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8</v>
      </c>
      <c r="CR1766">
        <v>3</v>
      </c>
      <c r="CW1766">
        <v>8832442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 t="shared" si="833"/>
        <v>05/12/2020 14:43:55.519</v>
      </c>
      <c r="C1767" t="str">
        <f t="shared" si="827"/>
        <v>FFDFD3C0</v>
      </c>
      <c r="D1767" t="s">
        <v>138</v>
      </c>
      <c r="E1767">
        <v>2</v>
      </c>
      <c r="H1767">
        <v>8</v>
      </c>
      <c r="I1767" t="s">
        <v>139</v>
      </c>
      <c r="J1767" t="s">
        <v>136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834"/>
        <v>14:44:13.352</v>
      </c>
      <c r="T1767" t="str">
        <f t="shared" si="835"/>
        <v>14:44:13.052</v>
      </c>
      <c r="U1767" t="str">
        <f t="shared" si="818"/>
        <v>A9808D</v>
      </c>
      <c r="V1767">
        <v>0</v>
      </c>
      <c r="W1767">
        <v>0</v>
      </c>
      <c r="X1767">
        <v>1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0</v>
      </c>
      <c r="AI1767" t="s">
        <v>467</v>
      </c>
      <c r="AJ1767">
        <v>28.27486</v>
      </c>
      <c r="AK1767" t="s">
        <v>468</v>
      </c>
      <c r="AL1767">
        <v>-82.361434000000003</v>
      </c>
      <c r="AM1767">
        <v>100</v>
      </c>
      <c r="AN1767">
        <v>1800</v>
      </c>
      <c r="AO1767" t="s">
        <v>118</v>
      </c>
      <c r="AP1767">
        <v>67</v>
      </c>
      <c r="AQ1767">
        <v>-71</v>
      </c>
      <c r="AR1767">
        <v>384</v>
      </c>
      <c r="AZ1767">
        <v>1200</v>
      </c>
      <c r="BA1767">
        <v>1</v>
      </c>
      <c r="BB1767" t="str">
        <f t="shared" si="828"/>
        <v xml:space="preserve">N711JA  </v>
      </c>
      <c r="BC1767">
        <v>1</v>
      </c>
      <c r="BE1767">
        <v>0</v>
      </c>
      <c r="BF1767">
        <v>0</v>
      </c>
      <c r="BG1767">
        <v>0</v>
      </c>
      <c r="BH1767">
        <v>1950</v>
      </c>
      <c r="BI1767">
        <v>1</v>
      </c>
      <c r="BJ1767">
        <v>1</v>
      </c>
      <c r="BK1767">
        <v>0</v>
      </c>
      <c r="BL1767">
        <v>0</v>
      </c>
      <c r="BO1767">
        <v>0</v>
      </c>
      <c r="BP1767">
        <v>0</v>
      </c>
      <c r="BW1767" t="str">
        <f t="shared" si="836"/>
        <v>14:44:13.352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8</v>
      </c>
      <c r="CR1767">
        <v>3</v>
      </c>
      <c r="CW1767">
        <v>8832442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 t="shared" si="833"/>
        <v>05/12/2020 14:43:55.519</v>
      </c>
      <c r="C1768" t="str">
        <f t="shared" si="827"/>
        <v>FFDFD3C0</v>
      </c>
      <c r="D1768" t="s">
        <v>113</v>
      </c>
      <c r="E1768">
        <v>3</v>
      </c>
      <c r="H1768">
        <v>164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834"/>
        <v>14:44:13.352</v>
      </c>
      <c r="T1768" t="str">
        <f t="shared" si="835"/>
        <v>14:44:13.052</v>
      </c>
      <c r="U1768" t="str">
        <f t="shared" si="818"/>
        <v>A9808D</v>
      </c>
      <c r="V1768">
        <v>0</v>
      </c>
      <c r="W1768">
        <v>0</v>
      </c>
      <c r="X1768">
        <v>1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0</v>
      </c>
      <c r="AI1768" t="s">
        <v>467</v>
      </c>
      <c r="AJ1768">
        <v>28.27486</v>
      </c>
      <c r="AK1768" t="s">
        <v>468</v>
      </c>
      <c r="AL1768">
        <v>-82.361434000000003</v>
      </c>
      <c r="AM1768">
        <v>100</v>
      </c>
      <c r="AN1768">
        <v>1800</v>
      </c>
      <c r="AO1768" t="s">
        <v>118</v>
      </c>
      <c r="AP1768">
        <v>67</v>
      </c>
      <c r="AQ1768">
        <v>-71</v>
      </c>
      <c r="AR1768">
        <v>384</v>
      </c>
      <c r="AZ1768">
        <v>1200</v>
      </c>
      <c r="BA1768">
        <v>1</v>
      </c>
      <c r="BB1768" t="str">
        <f t="shared" si="828"/>
        <v xml:space="preserve">N711JA  </v>
      </c>
      <c r="BC1768">
        <v>1</v>
      </c>
      <c r="BE1768">
        <v>0</v>
      </c>
      <c r="BF1768">
        <v>0</v>
      </c>
      <c r="BG1768">
        <v>0</v>
      </c>
      <c r="BH1768">
        <v>1950</v>
      </c>
      <c r="BI1768">
        <v>1</v>
      </c>
      <c r="BJ1768">
        <v>1</v>
      </c>
      <c r="BK1768">
        <v>0</v>
      </c>
      <c r="BL1768">
        <v>0</v>
      </c>
      <c r="BO1768">
        <v>0</v>
      </c>
      <c r="BP1768">
        <v>0</v>
      </c>
      <c r="BW1768" t="str">
        <f t="shared" si="836"/>
        <v>14:44:13.352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8</v>
      </c>
      <c r="CR1768">
        <v>3</v>
      </c>
      <c r="CW1768">
        <v>8832442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 t="shared" ref="A1769:A1777" si="837">"05/12/2020 14:43:56.559"</f>
        <v>05/12/2020 14:43:56.559</v>
      </c>
      <c r="C1769" t="str">
        <f t="shared" si="827"/>
        <v>FFDFD3C0</v>
      </c>
      <c r="D1769" t="s">
        <v>138</v>
      </c>
      <c r="E1769">
        <v>3</v>
      </c>
      <c r="H1769">
        <v>9</v>
      </c>
      <c r="I1769" t="s">
        <v>140</v>
      </c>
      <c r="J1769" t="s">
        <v>136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ref="S1769:S1777" si="838">"14:44:14.398"</f>
        <v>14:44:14.398</v>
      </c>
      <c r="T1769" t="str">
        <f t="shared" ref="T1769:T1777" si="839">"14:44:14.098"</f>
        <v>14:44:14.098</v>
      </c>
      <c r="U1769" t="str">
        <f t="shared" si="818"/>
        <v>A9808D</v>
      </c>
      <c r="V1769">
        <v>0</v>
      </c>
      <c r="W1769">
        <v>0</v>
      </c>
      <c r="X1769">
        <v>1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0</v>
      </c>
      <c r="AI1769" t="s">
        <v>469</v>
      </c>
      <c r="AJ1769">
        <v>28.274516999999999</v>
      </c>
      <c r="AK1769" t="s">
        <v>470</v>
      </c>
      <c r="AL1769">
        <v>-82.361112000000006</v>
      </c>
      <c r="AM1769">
        <v>100</v>
      </c>
      <c r="AN1769">
        <v>1900</v>
      </c>
      <c r="AO1769" t="s">
        <v>118</v>
      </c>
      <c r="AP1769">
        <v>67</v>
      </c>
      <c r="AQ1769">
        <v>-71</v>
      </c>
      <c r="AR1769">
        <v>320</v>
      </c>
      <c r="AZ1769">
        <v>1200</v>
      </c>
      <c r="BA1769">
        <v>1</v>
      </c>
      <c r="BB1769" t="str">
        <f t="shared" si="828"/>
        <v xml:space="preserve">N711JA  </v>
      </c>
      <c r="BC1769">
        <v>1</v>
      </c>
      <c r="BE1769">
        <v>0</v>
      </c>
      <c r="BF1769">
        <v>0</v>
      </c>
      <c r="BG1769">
        <v>0</v>
      </c>
      <c r="BH1769">
        <v>2050</v>
      </c>
      <c r="BI1769">
        <v>1</v>
      </c>
      <c r="BJ1769">
        <v>1</v>
      </c>
      <c r="BK1769">
        <v>0</v>
      </c>
      <c r="BL1769">
        <v>0</v>
      </c>
      <c r="BO1769">
        <v>0</v>
      </c>
      <c r="BP1769">
        <v>0</v>
      </c>
      <c r="BW1769" t="str">
        <f t="shared" ref="BW1769:BW1777" si="840">"14:44:14.402"</f>
        <v>14:44:14.402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8</v>
      </c>
      <c r="CR1769">
        <v>3</v>
      </c>
      <c r="CW1769">
        <v>8833526</v>
      </c>
      <c r="CY1769">
        <v>1</v>
      </c>
      <c r="CZ1769">
        <v>0</v>
      </c>
      <c r="DA1769">
        <v>0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 t="shared" si="837"/>
        <v>05/12/2020 14:43:56.559</v>
      </c>
      <c r="C1770" t="str">
        <f t="shared" si="827"/>
        <v>FFDFD3C0</v>
      </c>
      <c r="D1770" t="s">
        <v>138</v>
      </c>
      <c r="E1770">
        <v>2</v>
      </c>
      <c r="H1770">
        <v>8</v>
      </c>
      <c r="I1770" t="s">
        <v>139</v>
      </c>
      <c r="J1770" t="s">
        <v>136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838"/>
        <v>14:44:14.398</v>
      </c>
      <c r="T1770" t="str">
        <f t="shared" si="839"/>
        <v>14:44:14.098</v>
      </c>
      <c r="U1770" t="str">
        <f t="shared" si="818"/>
        <v>A9808D</v>
      </c>
      <c r="V1770">
        <v>0</v>
      </c>
      <c r="W1770">
        <v>0</v>
      </c>
      <c r="X1770">
        <v>1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0</v>
      </c>
      <c r="AI1770" t="s">
        <v>469</v>
      </c>
      <c r="AJ1770">
        <v>28.274516999999999</v>
      </c>
      <c r="AK1770" t="s">
        <v>470</v>
      </c>
      <c r="AL1770">
        <v>-82.361112000000006</v>
      </c>
      <c r="AM1770">
        <v>100</v>
      </c>
      <c r="AN1770">
        <v>1900</v>
      </c>
      <c r="AO1770" t="s">
        <v>118</v>
      </c>
      <c r="AP1770">
        <v>67</v>
      </c>
      <c r="AQ1770">
        <v>-71</v>
      </c>
      <c r="AR1770">
        <v>320</v>
      </c>
      <c r="AZ1770">
        <v>1200</v>
      </c>
      <c r="BA1770">
        <v>1</v>
      </c>
      <c r="BB1770" t="str">
        <f t="shared" si="828"/>
        <v xml:space="preserve">N711JA  </v>
      </c>
      <c r="BC1770">
        <v>1</v>
      </c>
      <c r="BE1770">
        <v>0</v>
      </c>
      <c r="BF1770">
        <v>0</v>
      </c>
      <c r="BG1770">
        <v>0</v>
      </c>
      <c r="BH1770">
        <v>2050</v>
      </c>
      <c r="BI1770">
        <v>1</v>
      </c>
      <c r="BJ1770">
        <v>1</v>
      </c>
      <c r="BK1770">
        <v>0</v>
      </c>
      <c r="BL1770">
        <v>0</v>
      </c>
      <c r="BO1770">
        <v>0</v>
      </c>
      <c r="BP1770">
        <v>0</v>
      </c>
      <c r="BW1770" t="str">
        <f t="shared" si="840"/>
        <v>14:44:14.402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8</v>
      </c>
      <c r="CR1770">
        <v>3</v>
      </c>
      <c r="CW1770">
        <v>8833526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 t="shared" si="837"/>
        <v>05/12/2020 14:43:56.559</v>
      </c>
      <c r="C1771" t="str">
        <f t="shared" si="827"/>
        <v>FFDFD3C0</v>
      </c>
      <c r="D1771" t="s">
        <v>134</v>
      </c>
      <c r="E1771">
        <v>12</v>
      </c>
      <c r="H1771">
        <v>64</v>
      </c>
      <c r="I1771" t="s">
        <v>135</v>
      </c>
      <c r="J1771" t="s">
        <v>136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838"/>
        <v>14:44:14.398</v>
      </c>
      <c r="T1771" t="str">
        <f t="shared" si="839"/>
        <v>14:44:14.098</v>
      </c>
      <c r="U1771" t="str">
        <f t="shared" si="818"/>
        <v>A9808D</v>
      </c>
      <c r="V1771">
        <v>0</v>
      </c>
      <c r="W1771">
        <v>0</v>
      </c>
      <c r="X1771">
        <v>1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0</v>
      </c>
      <c r="AI1771" t="s">
        <v>469</v>
      </c>
      <c r="AJ1771">
        <v>28.274516999999999</v>
      </c>
      <c r="AK1771" t="s">
        <v>470</v>
      </c>
      <c r="AL1771">
        <v>-82.361112000000006</v>
      </c>
      <c r="AM1771">
        <v>100</v>
      </c>
      <c r="AN1771">
        <v>1900</v>
      </c>
      <c r="AO1771" t="s">
        <v>118</v>
      </c>
      <c r="AP1771">
        <v>67</v>
      </c>
      <c r="AQ1771">
        <v>-71</v>
      </c>
      <c r="AR1771">
        <v>320</v>
      </c>
      <c r="AZ1771">
        <v>1200</v>
      </c>
      <c r="BA1771">
        <v>1</v>
      </c>
      <c r="BB1771" t="str">
        <f t="shared" si="828"/>
        <v xml:space="preserve">N711JA  </v>
      </c>
      <c r="BC1771">
        <v>1</v>
      </c>
      <c r="BE1771">
        <v>0</v>
      </c>
      <c r="BF1771">
        <v>0</v>
      </c>
      <c r="BG1771">
        <v>0</v>
      </c>
      <c r="BH1771">
        <v>2050</v>
      </c>
      <c r="BI1771">
        <v>1</v>
      </c>
      <c r="BJ1771">
        <v>1</v>
      </c>
      <c r="BK1771">
        <v>0</v>
      </c>
      <c r="BL1771">
        <v>0</v>
      </c>
      <c r="BO1771">
        <v>0</v>
      </c>
      <c r="BP1771">
        <v>0</v>
      </c>
      <c r="BW1771" t="str">
        <f t="shared" si="840"/>
        <v>14:44:14.402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8</v>
      </c>
      <c r="CR1771">
        <v>3</v>
      </c>
      <c r="CW1771">
        <v>8833526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 t="shared" si="837"/>
        <v>05/12/2020 14:43:56.559</v>
      </c>
      <c r="C1772" t="str">
        <f t="shared" si="827"/>
        <v>FFDFD3C0</v>
      </c>
      <c r="D1772" t="s">
        <v>113</v>
      </c>
      <c r="E1772">
        <v>3</v>
      </c>
      <c r="H1772">
        <v>164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838"/>
        <v>14:44:14.398</v>
      </c>
      <c r="T1772" t="str">
        <f t="shared" si="839"/>
        <v>14:44:14.098</v>
      </c>
      <c r="U1772" t="str">
        <f t="shared" si="818"/>
        <v>A9808D</v>
      </c>
      <c r="V1772">
        <v>0</v>
      </c>
      <c r="W1772">
        <v>0</v>
      </c>
      <c r="X1772">
        <v>1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0</v>
      </c>
      <c r="AI1772" t="s">
        <v>469</v>
      </c>
      <c r="AJ1772">
        <v>28.274516999999999</v>
      </c>
      <c r="AK1772" t="s">
        <v>470</v>
      </c>
      <c r="AL1772">
        <v>-82.361112000000006</v>
      </c>
      <c r="AM1772">
        <v>100</v>
      </c>
      <c r="AN1772">
        <v>1900</v>
      </c>
      <c r="AO1772" t="s">
        <v>118</v>
      </c>
      <c r="AP1772">
        <v>67</v>
      </c>
      <c r="AQ1772">
        <v>-71</v>
      </c>
      <c r="AR1772">
        <v>320</v>
      </c>
      <c r="AZ1772">
        <v>1200</v>
      </c>
      <c r="BA1772">
        <v>1</v>
      </c>
      <c r="BB1772" t="str">
        <f t="shared" si="828"/>
        <v xml:space="preserve">N711JA  </v>
      </c>
      <c r="BC1772">
        <v>1</v>
      </c>
      <c r="BE1772">
        <v>0</v>
      </c>
      <c r="BF1772">
        <v>0</v>
      </c>
      <c r="BG1772">
        <v>0</v>
      </c>
      <c r="BH1772">
        <v>2050</v>
      </c>
      <c r="BI1772">
        <v>1</v>
      </c>
      <c r="BJ1772">
        <v>1</v>
      </c>
      <c r="BK1772">
        <v>0</v>
      </c>
      <c r="BL1772">
        <v>0</v>
      </c>
      <c r="BO1772">
        <v>0</v>
      </c>
      <c r="BP1772">
        <v>0</v>
      </c>
      <c r="BW1772" t="str">
        <f t="shared" si="840"/>
        <v>14:44:14.402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8</v>
      </c>
      <c r="CR1772">
        <v>3</v>
      </c>
      <c r="CW1772">
        <v>8833526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 t="shared" si="837"/>
        <v>05/12/2020 14:43:56.559</v>
      </c>
      <c r="C1773" t="str">
        <f t="shared" si="827"/>
        <v>FFDFD3C0</v>
      </c>
      <c r="D1773" t="s">
        <v>126</v>
      </c>
      <c r="E1773">
        <v>6</v>
      </c>
      <c r="F1773">
        <v>1006</v>
      </c>
      <c r="G1773" t="s">
        <v>114</v>
      </c>
      <c r="J1773" t="s">
        <v>128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838"/>
        <v>14:44:14.398</v>
      </c>
      <c r="T1773" t="str">
        <f t="shared" si="839"/>
        <v>14:44:14.098</v>
      </c>
      <c r="U1773" t="str">
        <f t="shared" si="818"/>
        <v>A9808D</v>
      </c>
      <c r="V1773">
        <v>0</v>
      </c>
      <c r="W1773">
        <v>0</v>
      </c>
      <c r="X1773">
        <v>1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0</v>
      </c>
      <c r="AI1773" t="s">
        <v>469</v>
      </c>
      <c r="AJ1773">
        <v>28.274516999999999</v>
      </c>
      <c r="AK1773" t="s">
        <v>470</v>
      </c>
      <c r="AL1773">
        <v>-82.361112000000006</v>
      </c>
      <c r="AM1773">
        <v>100</v>
      </c>
      <c r="AN1773">
        <v>1900</v>
      </c>
      <c r="AO1773" t="s">
        <v>118</v>
      </c>
      <c r="AP1773">
        <v>67</v>
      </c>
      <c r="AQ1773">
        <v>-71</v>
      </c>
      <c r="AR1773">
        <v>320</v>
      </c>
      <c r="AZ1773">
        <v>1200</v>
      </c>
      <c r="BA1773">
        <v>1</v>
      </c>
      <c r="BB1773" t="str">
        <f t="shared" si="828"/>
        <v xml:space="preserve">N711JA  </v>
      </c>
      <c r="BC1773">
        <v>1</v>
      </c>
      <c r="BE1773">
        <v>0</v>
      </c>
      <c r="BF1773">
        <v>0</v>
      </c>
      <c r="BG1773">
        <v>0</v>
      </c>
      <c r="BH1773">
        <v>2050</v>
      </c>
      <c r="BI1773">
        <v>1</v>
      </c>
      <c r="BJ1773">
        <v>1</v>
      </c>
      <c r="BK1773">
        <v>0</v>
      </c>
      <c r="BL1773">
        <v>0</v>
      </c>
      <c r="BO1773">
        <v>0</v>
      </c>
      <c r="BP1773">
        <v>0</v>
      </c>
      <c r="BW1773" t="str">
        <f t="shared" si="840"/>
        <v>14:44:14.402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8</v>
      </c>
      <c r="CR1773">
        <v>3</v>
      </c>
      <c r="CW1773">
        <v>8833526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 t="shared" si="837"/>
        <v>05/12/2020 14:43:56.559</v>
      </c>
      <c r="C1774" t="str">
        <f t="shared" si="827"/>
        <v>FFDFD3C0</v>
      </c>
      <c r="D1774" t="s">
        <v>126</v>
      </c>
      <c r="E1774">
        <v>7</v>
      </c>
      <c r="F1774">
        <v>1007</v>
      </c>
      <c r="G1774" t="s">
        <v>127</v>
      </c>
      <c r="J1774" t="s">
        <v>128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838"/>
        <v>14:44:14.398</v>
      </c>
      <c r="T1774" t="str">
        <f t="shared" si="839"/>
        <v>14:44:14.098</v>
      </c>
      <c r="U1774" t="str">
        <f t="shared" si="818"/>
        <v>A9808D</v>
      </c>
      <c r="V1774">
        <v>0</v>
      </c>
      <c r="W1774">
        <v>0</v>
      </c>
      <c r="X1774">
        <v>1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0</v>
      </c>
      <c r="AI1774" t="s">
        <v>469</v>
      </c>
      <c r="AJ1774">
        <v>28.274516999999999</v>
      </c>
      <c r="AK1774" t="s">
        <v>470</v>
      </c>
      <c r="AL1774">
        <v>-82.361112000000006</v>
      </c>
      <c r="AM1774">
        <v>100</v>
      </c>
      <c r="AN1774">
        <v>1900</v>
      </c>
      <c r="AO1774" t="s">
        <v>118</v>
      </c>
      <c r="AP1774">
        <v>67</v>
      </c>
      <c r="AQ1774">
        <v>-71</v>
      </c>
      <c r="AR1774">
        <v>320</v>
      </c>
      <c r="AZ1774">
        <v>1200</v>
      </c>
      <c r="BA1774">
        <v>1</v>
      </c>
      <c r="BB1774" t="str">
        <f t="shared" si="828"/>
        <v xml:space="preserve">N711JA  </v>
      </c>
      <c r="BC1774">
        <v>1</v>
      </c>
      <c r="BE1774">
        <v>0</v>
      </c>
      <c r="BF1774">
        <v>0</v>
      </c>
      <c r="BG1774">
        <v>0</v>
      </c>
      <c r="BH1774">
        <v>2050</v>
      </c>
      <c r="BI1774">
        <v>1</v>
      </c>
      <c r="BJ1774">
        <v>1</v>
      </c>
      <c r="BK1774">
        <v>0</v>
      </c>
      <c r="BL1774">
        <v>0</v>
      </c>
      <c r="BO1774">
        <v>0</v>
      </c>
      <c r="BP1774">
        <v>0</v>
      </c>
      <c r="BW1774" t="str">
        <f t="shared" si="840"/>
        <v>14:44:14.402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8</v>
      </c>
      <c r="CR1774">
        <v>3</v>
      </c>
      <c r="CW1774">
        <v>8833526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 t="shared" si="837"/>
        <v>05/12/2020 14:43:56.559</v>
      </c>
      <c r="C1775" t="str">
        <f t="shared" si="827"/>
        <v>FFDFD3C0</v>
      </c>
      <c r="D1775" t="s">
        <v>131</v>
      </c>
      <c r="E1775">
        <v>10</v>
      </c>
      <c r="F1775">
        <v>2010</v>
      </c>
      <c r="G1775" t="s">
        <v>132</v>
      </c>
      <c r="J1775" t="s">
        <v>133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838"/>
        <v>14:44:14.398</v>
      </c>
      <c r="T1775" t="str">
        <f t="shared" si="839"/>
        <v>14:44:14.098</v>
      </c>
      <c r="U1775" t="str">
        <f t="shared" si="818"/>
        <v>A9808D</v>
      </c>
      <c r="V1775">
        <v>0</v>
      </c>
      <c r="W1775">
        <v>0</v>
      </c>
      <c r="X1775">
        <v>1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0</v>
      </c>
      <c r="AI1775" t="s">
        <v>469</v>
      </c>
      <c r="AJ1775">
        <v>28.274516999999999</v>
      </c>
      <c r="AK1775" t="s">
        <v>470</v>
      </c>
      <c r="AL1775">
        <v>-82.361112000000006</v>
      </c>
      <c r="AM1775">
        <v>100</v>
      </c>
      <c r="AN1775">
        <v>1900</v>
      </c>
      <c r="AO1775" t="s">
        <v>118</v>
      </c>
      <c r="AP1775">
        <v>67</v>
      </c>
      <c r="AQ1775">
        <v>-71</v>
      </c>
      <c r="AR1775">
        <v>320</v>
      </c>
      <c r="AZ1775">
        <v>1200</v>
      </c>
      <c r="BA1775">
        <v>1</v>
      </c>
      <c r="BB1775" t="str">
        <f t="shared" si="828"/>
        <v xml:space="preserve">N711JA  </v>
      </c>
      <c r="BC1775">
        <v>1</v>
      </c>
      <c r="BE1775">
        <v>0</v>
      </c>
      <c r="BF1775">
        <v>0</v>
      </c>
      <c r="BG1775">
        <v>0</v>
      </c>
      <c r="BH1775">
        <v>2050</v>
      </c>
      <c r="BI1775">
        <v>1</v>
      </c>
      <c r="BJ1775">
        <v>1</v>
      </c>
      <c r="BK1775">
        <v>0</v>
      </c>
      <c r="BL1775">
        <v>0</v>
      </c>
      <c r="BO1775">
        <v>0</v>
      </c>
      <c r="BP1775">
        <v>0</v>
      </c>
      <c r="BW1775" t="str">
        <f t="shared" si="840"/>
        <v>14:44:14.402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8</v>
      </c>
      <c r="CR1775">
        <v>3</v>
      </c>
      <c r="CW1775">
        <v>8833526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 t="shared" si="837"/>
        <v>05/12/2020 14:43:56.559</v>
      </c>
      <c r="C1776" t="str">
        <f t="shared" si="827"/>
        <v>FFDFD3C0</v>
      </c>
      <c r="D1776" t="s">
        <v>131</v>
      </c>
      <c r="E1776">
        <v>12</v>
      </c>
      <c r="F1776">
        <v>2012</v>
      </c>
      <c r="G1776" t="s">
        <v>137</v>
      </c>
      <c r="J1776" t="s">
        <v>133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838"/>
        <v>14:44:14.398</v>
      </c>
      <c r="T1776" t="str">
        <f t="shared" si="839"/>
        <v>14:44:14.098</v>
      </c>
      <c r="U1776" t="str">
        <f t="shared" si="818"/>
        <v>A9808D</v>
      </c>
      <c r="V1776">
        <v>0</v>
      </c>
      <c r="W1776">
        <v>0</v>
      </c>
      <c r="X1776">
        <v>1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0</v>
      </c>
      <c r="AI1776" t="s">
        <v>469</v>
      </c>
      <c r="AJ1776">
        <v>28.274516999999999</v>
      </c>
      <c r="AK1776" t="s">
        <v>470</v>
      </c>
      <c r="AL1776">
        <v>-82.361112000000006</v>
      </c>
      <c r="AM1776">
        <v>100</v>
      </c>
      <c r="AN1776">
        <v>1900</v>
      </c>
      <c r="AO1776" t="s">
        <v>118</v>
      </c>
      <c r="AP1776">
        <v>67</v>
      </c>
      <c r="AQ1776">
        <v>-71</v>
      </c>
      <c r="AR1776">
        <v>320</v>
      </c>
      <c r="AZ1776">
        <v>1200</v>
      </c>
      <c r="BA1776">
        <v>1</v>
      </c>
      <c r="BB1776" t="str">
        <f t="shared" si="828"/>
        <v xml:space="preserve">N711JA  </v>
      </c>
      <c r="BC1776">
        <v>1</v>
      </c>
      <c r="BE1776">
        <v>0</v>
      </c>
      <c r="BF1776">
        <v>0</v>
      </c>
      <c r="BG1776">
        <v>0</v>
      </c>
      <c r="BH1776">
        <v>2050</v>
      </c>
      <c r="BI1776">
        <v>1</v>
      </c>
      <c r="BJ1776">
        <v>1</v>
      </c>
      <c r="BK1776">
        <v>0</v>
      </c>
      <c r="BL1776">
        <v>0</v>
      </c>
      <c r="BO1776">
        <v>0</v>
      </c>
      <c r="BP1776">
        <v>0</v>
      </c>
      <c r="BW1776" t="str">
        <f t="shared" si="840"/>
        <v>14:44:14.402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8</v>
      </c>
      <c r="CR1776">
        <v>3</v>
      </c>
      <c r="CW1776">
        <v>8833526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 t="shared" si="837"/>
        <v>05/12/2020 14:43:56.559</v>
      </c>
      <c r="C1777" t="str">
        <f t="shared" si="827"/>
        <v>FFDFD3C0</v>
      </c>
      <c r="D1777" t="s">
        <v>131</v>
      </c>
      <c r="E1777">
        <v>18</v>
      </c>
      <c r="F1777">
        <v>2018</v>
      </c>
      <c r="G1777" t="s">
        <v>161</v>
      </c>
      <c r="J1777" t="s">
        <v>133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838"/>
        <v>14:44:14.398</v>
      </c>
      <c r="T1777" t="str">
        <f t="shared" si="839"/>
        <v>14:44:14.098</v>
      </c>
      <c r="U1777" t="str">
        <f t="shared" si="818"/>
        <v>A9808D</v>
      </c>
      <c r="V1777">
        <v>0</v>
      </c>
      <c r="W1777">
        <v>0</v>
      </c>
      <c r="X1777">
        <v>1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0</v>
      </c>
      <c r="AI1777" t="s">
        <v>469</v>
      </c>
      <c r="AJ1777">
        <v>28.274516999999999</v>
      </c>
      <c r="AK1777" t="s">
        <v>470</v>
      </c>
      <c r="AL1777">
        <v>-82.361112000000006</v>
      </c>
      <c r="AM1777">
        <v>100</v>
      </c>
      <c r="AN1777">
        <v>1900</v>
      </c>
      <c r="AO1777" t="s">
        <v>118</v>
      </c>
      <c r="AP1777">
        <v>67</v>
      </c>
      <c r="AQ1777">
        <v>-71</v>
      </c>
      <c r="AR1777">
        <v>320</v>
      </c>
      <c r="AZ1777">
        <v>1200</v>
      </c>
      <c r="BA1777">
        <v>1</v>
      </c>
      <c r="BB1777" t="str">
        <f t="shared" si="828"/>
        <v xml:space="preserve">N711JA  </v>
      </c>
      <c r="BC1777">
        <v>1</v>
      </c>
      <c r="BE1777">
        <v>0</v>
      </c>
      <c r="BF1777">
        <v>0</v>
      </c>
      <c r="BG1777">
        <v>0</v>
      </c>
      <c r="BH1777">
        <v>2050</v>
      </c>
      <c r="BI1777">
        <v>1</v>
      </c>
      <c r="BJ1777">
        <v>1</v>
      </c>
      <c r="BK1777">
        <v>0</v>
      </c>
      <c r="BL1777">
        <v>0</v>
      </c>
      <c r="BO1777">
        <v>0</v>
      </c>
      <c r="BP1777">
        <v>0</v>
      </c>
      <c r="BW1777" t="str">
        <f t="shared" si="840"/>
        <v>14:44:14.402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343</v>
      </c>
      <c r="CR1777">
        <v>1</v>
      </c>
      <c r="CW1777">
        <v>10709010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 t="shared" ref="A1778:A1786" si="841">"05/12/2020 14:43:57.673"</f>
        <v>05/12/2020 14:43:57.673</v>
      </c>
      <c r="C1778" t="str">
        <f t="shared" si="827"/>
        <v>FFDFD3C0</v>
      </c>
      <c r="D1778" t="s">
        <v>134</v>
      </c>
      <c r="E1778">
        <v>12</v>
      </c>
      <c r="H1778">
        <v>64</v>
      </c>
      <c r="I1778" t="s">
        <v>135</v>
      </c>
      <c r="J1778" t="s">
        <v>136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ref="S1778:T1786" si="842">"14:44:15.492"</f>
        <v>14:44:15.492</v>
      </c>
      <c r="T1778" t="str">
        <f t="shared" si="842"/>
        <v>14:44:15.492</v>
      </c>
      <c r="U1778" t="str">
        <f t="shared" si="818"/>
        <v>A9808D</v>
      </c>
      <c r="V1778">
        <v>0</v>
      </c>
      <c r="W1778">
        <v>0</v>
      </c>
      <c r="X1778">
        <v>1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0</v>
      </c>
      <c r="AI1778" t="s">
        <v>471</v>
      </c>
      <c r="AJ1778">
        <v>28.274131000000001</v>
      </c>
      <c r="AK1778" t="s">
        <v>472</v>
      </c>
      <c r="AL1778">
        <v>-82.360703999999998</v>
      </c>
      <c r="AM1778">
        <v>100</v>
      </c>
      <c r="AN1778">
        <v>1900</v>
      </c>
      <c r="AO1778" t="s">
        <v>118</v>
      </c>
      <c r="AP1778">
        <v>68</v>
      </c>
      <c r="AQ1778">
        <v>-71</v>
      </c>
      <c r="AR1778">
        <v>320</v>
      </c>
      <c r="AZ1778">
        <v>1200</v>
      </c>
      <c r="BA1778">
        <v>1</v>
      </c>
      <c r="BB1778" t="str">
        <f t="shared" si="828"/>
        <v xml:space="preserve">N711JA  </v>
      </c>
      <c r="BC1778">
        <v>1</v>
      </c>
      <c r="BE1778">
        <v>0</v>
      </c>
      <c r="BF1778">
        <v>0</v>
      </c>
      <c r="BG1778">
        <v>0</v>
      </c>
      <c r="BH1778">
        <v>1950</v>
      </c>
      <c r="BI1778">
        <v>1</v>
      </c>
      <c r="BJ1778">
        <v>1</v>
      </c>
      <c r="BK1778">
        <v>0</v>
      </c>
      <c r="BL1778">
        <v>0</v>
      </c>
      <c r="BO1778">
        <v>0</v>
      </c>
      <c r="BP1778">
        <v>0</v>
      </c>
      <c r="BW1778" t="str">
        <f t="shared" ref="BW1778:BW1786" si="843">"14:44:15.500"</f>
        <v>14:44:15.500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343</v>
      </c>
      <c r="CR1778">
        <v>1</v>
      </c>
      <c r="CW1778">
        <v>10710181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 t="shared" si="841"/>
        <v>05/12/2020 14:43:57.673</v>
      </c>
      <c r="C1779" t="str">
        <f t="shared" si="827"/>
        <v>FFDFD3C0</v>
      </c>
      <c r="D1779" t="s">
        <v>138</v>
      </c>
      <c r="E1779">
        <v>2</v>
      </c>
      <c r="H1779">
        <v>8</v>
      </c>
      <c r="I1779" t="s">
        <v>139</v>
      </c>
      <c r="J1779" t="s">
        <v>136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842"/>
        <v>14:44:15.492</v>
      </c>
      <c r="T1779" t="str">
        <f t="shared" si="842"/>
        <v>14:44:15.492</v>
      </c>
      <c r="U1779" t="str">
        <f t="shared" si="818"/>
        <v>A9808D</v>
      </c>
      <c r="V1779">
        <v>0</v>
      </c>
      <c r="W1779">
        <v>0</v>
      </c>
      <c r="X1779">
        <v>1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0</v>
      </c>
      <c r="AI1779" t="s">
        <v>471</v>
      </c>
      <c r="AJ1779">
        <v>28.274131000000001</v>
      </c>
      <c r="AK1779" t="s">
        <v>472</v>
      </c>
      <c r="AL1779">
        <v>-82.360703999999998</v>
      </c>
      <c r="AM1779">
        <v>100</v>
      </c>
      <c r="AN1779">
        <v>1900</v>
      </c>
      <c r="AO1779" t="s">
        <v>118</v>
      </c>
      <c r="AP1779">
        <v>68</v>
      </c>
      <c r="AQ1779">
        <v>-71</v>
      </c>
      <c r="AR1779">
        <v>320</v>
      </c>
      <c r="AZ1779">
        <v>1200</v>
      </c>
      <c r="BA1779">
        <v>1</v>
      </c>
      <c r="BB1779" t="str">
        <f t="shared" si="828"/>
        <v xml:space="preserve">N711JA  </v>
      </c>
      <c r="BC1779">
        <v>1</v>
      </c>
      <c r="BE1779">
        <v>0</v>
      </c>
      <c r="BF1779">
        <v>0</v>
      </c>
      <c r="BG1779">
        <v>0</v>
      </c>
      <c r="BH1779">
        <v>1950</v>
      </c>
      <c r="BI1779">
        <v>1</v>
      </c>
      <c r="BJ1779">
        <v>1</v>
      </c>
      <c r="BK1779">
        <v>0</v>
      </c>
      <c r="BL1779">
        <v>0</v>
      </c>
      <c r="BO1779">
        <v>0</v>
      </c>
      <c r="BP1779">
        <v>0</v>
      </c>
      <c r="BW1779" t="str">
        <f t="shared" si="843"/>
        <v>14:44:15.500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343</v>
      </c>
      <c r="CR1779">
        <v>1</v>
      </c>
      <c r="CW1779">
        <v>10710181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 t="shared" si="841"/>
        <v>05/12/2020 14:43:57.673</v>
      </c>
      <c r="C1780" t="str">
        <f t="shared" si="827"/>
        <v>FFDFD3C0</v>
      </c>
      <c r="D1780" t="s">
        <v>138</v>
      </c>
      <c r="E1780">
        <v>3</v>
      </c>
      <c r="H1780">
        <v>9</v>
      </c>
      <c r="I1780" t="s">
        <v>140</v>
      </c>
      <c r="J1780" t="s">
        <v>136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842"/>
        <v>14:44:15.492</v>
      </c>
      <c r="T1780" t="str">
        <f t="shared" si="842"/>
        <v>14:44:15.492</v>
      </c>
      <c r="U1780" t="str">
        <f t="shared" si="818"/>
        <v>A9808D</v>
      </c>
      <c r="V1780">
        <v>0</v>
      </c>
      <c r="W1780">
        <v>0</v>
      </c>
      <c r="X1780">
        <v>1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0</v>
      </c>
      <c r="AI1780" t="s">
        <v>471</v>
      </c>
      <c r="AJ1780">
        <v>28.274131000000001</v>
      </c>
      <c r="AK1780" t="s">
        <v>472</v>
      </c>
      <c r="AL1780">
        <v>-82.360703999999998</v>
      </c>
      <c r="AM1780">
        <v>100</v>
      </c>
      <c r="AN1780">
        <v>1900</v>
      </c>
      <c r="AO1780" t="s">
        <v>118</v>
      </c>
      <c r="AP1780">
        <v>68</v>
      </c>
      <c r="AQ1780">
        <v>-71</v>
      </c>
      <c r="AR1780">
        <v>320</v>
      </c>
      <c r="AZ1780">
        <v>1200</v>
      </c>
      <c r="BA1780">
        <v>1</v>
      </c>
      <c r="BB1780" t="str">
        <f t="shared" si="828"/>
        <v xml:space="preserve">N711JA  </v>
      </c>
      <c r="BC1780">
        <v>1</v>
      </c>
      <c r="BE1780">
        <v>0</v>
      </c>
      <c r="BF1780">
        <v>0</v>
      </c>
      <c r="BG1780">
        <v>0</v>
      </c>
      <c r="BH1780">
        <v>1950</v>
      </c>
      <c r="BI1780">
        <v>1</v>
      </c>
      <c r="BJ1780">
        <v>1</v>
      </c>
      <c r="BK1780">
        <v>0</v>
      </c>
      <c r="BL1780">
        <v>0</v>
      </c>
      <c r="BO1780">
        <v>0</v>
      </c>
      <c r="BP1780">
        <v>0</v>
      </c>
      <c r="BW1780" t="str">
        <f t="shared" si="843"/>
        <v>14:44:15.500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343</v>
      </c>
      <c r="CR1780">
        <v>1</v>
      </c>
      <c r="CW1780">
        <v>10710181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 t="shared" si="841"/>
        <v>05/12/2020 14:43:57.673</v>
      </c>
      <c r="C1781" t="str">
        <f t="shared" si="827"/>
        <v>FFDFD3C0</v>
      </c>
      <c r="D1781" t="s">
        <v>126</v>
      </c>
      <c r="E1781">
        <v>6</v>
      </c>
      <c r="F1781">
        <v>1006</v>
      </c>
      <c r="G1781" t="s">
        <v>114</v>
      </c>
      <c r="J1781" t="s">
        <v>128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842"/>
        <v>14:44:15.492</v>
      </c>
      <c r="T1781" t="str">
        <f t="shared" si="842"/>
        <v>14:44:15.492</v>
      </c>
      <c r="U1781" t="str">
        <f t="shared" si="818"/>
        <v>A9808D</v>
      </c>
      <c r="V1781">
        <v>0</v>
      </c>
      <c r="W1781">
        <v>0</v>
      </c>
      <c r="X1781">
        <v>1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0</v>
      </c>
      <c r="AI1781" t="s">
        <v>471</v>
      </c>
      <c r="AJ1781">
        <v>28.274131000000001</v>
      </c>
      <c r="AK1781" t="s">
        <v>472</v>
      </c>
      <c r="AL1781">
        <v>-82.360703999999998</v>
      </c>
      <c r="AM1781">
        <v>100</v>
      </c>
      <c r="AN1781">
        <v>1900</v>
      </c>
      <c r="AO1781" t="s">
        <v>118</v>
      </c>
      <c r="AP1781">
        <v>68</v>
      </c>
      <c r="AQ1781">
        <v>-71</v>
      </c>
      <c r="AR1781">
        <v>320</v>
      </c>
      <c r="AZ1781">
        <v>1200</v>
      </c>
      <c r="BA1781">
        <v>1</v>
      </c>
      <c r="BB1781" t="str">
        <f t="shared" si="828"/>
        <v xml:space="preserve">N711JA  </v>
      </c>
      <c r="BC1781">
        <v>1</v>
      </c>
      <c r="BE1781">
        <v>0</v>
      </c>
      <c r="BF1781">
        <v>0</v>
      </c>
      <c r="BG1781">
        <v>0</v>
      </c>
      <c r="BH1781">
        <v>1950</v>
      </c>
      <c r="BI1781">
        <v>1</v>
      </c>
      <c r="BJ1781">
        <v>1</v>
      </c>
      <c r="BK1781">
        <v>0</v>
      </c>
      <c r="BL1781">
        <v>0</v>
      </c>
      <c r="BO1781">
        <v>0</v>
      </c>
      <c r="BP1781">
        <v>0</v>
      </c>
      <c r="BW1781" t="str">
        <f t="shared" si="843"/>
        <v>14:44:15.500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343</v>
      </c>
      <c r="CR1781">
        <v>1</v>
      </c>
      <c r="CW1781">
        <v>10710181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 t="shared" si="841"/>
        <v>05/12/2020 14:43:57.673</v>
      </c>
      <c r="C1782" t="str">
        <f t="shared" si="827"/>
        <v>FFDFD3C0</v>
      </c>
      <c r="D1782" t="s">
        <v>113</v>
      </c>
      <c r="E1782">
        <v>3</v>
      </c>
      <c r="H1782">
        <v>164</v>
      </c>
      <c r="I1782" t="s">
        <v>114</v>
      </c>
      <c r="J1782" t="s">
        <v>115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842"/>
        <v>14:44:15.492</v>
      </c>
      <c r="T1782" t="str">
        <f t="shared" si="842"/>
        <v>14:44:15.492</v>
      </c>
      <c r="U1782" t="str">
        <f t="shared" si="818"/>
        <v>A9808D</v>
      </c>
      <c r="V1782">
        <v>0</v>
      </c>
      <c r="W1782">
        <v>0</v>
      </c>
      <c r="X1782">
        <v>1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0</v>
      </c>
      <c r="AI1782" t="s">
        <v>471</v>
      </c>
      <c r="AJ1782">
        <v>28.274131000000001</v>
      </c>
      <c r="AK1782" t="s">
        <v>472</v>
      </c>
      <c r="AL1782">
        <v>-82.360703999999998</v>
      </c>
      <c r="AM1782">
        <v>100</v>
      </c>
      <c r="AN1782">
        <v>1900</v>
      </c>
      <c r="AO1782" t="s">
        <v>118</v>
      </c>
      <c r="AP1782">
        <v>68</v>
      </c>
      <c r="AQ1782">
        <v>-71</v>
      </c>
      <c r="AR1782">
        <v>320</v>
      </c>
      <c r="AZ1782">
        <v>1200</v>
      </c>
      <c r="BA1782">
        <v>1</v>
      </c>
      <c r="BB1782" t="str">
        <f t="shared" si="828"/>
        <v xml:space="preserve">N711JA  </v>
      </c>
      <c r="BC1782">
        <v>1</v>
      </c>
      <c r="BE1782">
        <v>0</v>
      </c>
      <c r="BF1782">
        <v>0</v>
      </c>
      <c r="BG1782">
        <v>0</v>
      </c>
      <c r="BH1782">
        <v>1950</v>
      </c>
      <c r="BI1782">
        <v>1</v>
      </c>
      <c r="BJ1782">
        <v>1</v>
      </c>
      <c r="BK1782">
        <v>0</v>
      </c>
      <c r="BL1782">
        <v>0</v>
      </c>
      <c r="BO1782">
        <v>0</v>
      </c>
      <c r="BP1782">
        <v>0</v>
      </c>
      <c r="BW1782" t="str">
        <f t="shared" si="843"/>
        <v>14:44:15.500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343</v>
      </c>
      <c r="CR1782">
        <v>1</v>
      </c>
      <c r="CW1782">
        <v>10710181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 t="shared" si="841"/>
        <v>05/12/2020 14:43:57.673</v>
      </c>
      <c r="C1783" t="str">
        <f t="shared" si="827"/>
        <v>FFDFD3C0</v>
      </c>
      <c r="D1783" t="s">
        <v>126</v>
      </c>
      <c r="E1783">
        <v>7</v>
      </c>
      <c r="F1783">
        <v>1007</v>
      </c>
      <c r="G1783" t="s">
        <v>127</v>
      </c>
      <c r="J1783" t="s">
        <v>128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842"/>
        <v>14:44:15.492</v>
      </c>
      <c r="T1783" t="str">
        <f t="shared" si="842"/>
        <v>14:44:15.492</v>
      </c>
      <c r="U1783" t="str">
        <f t="shared" si="818"/>
        <v>A9808D</v>
      </c>
      <c r="V1783">
        <v>0</v>
      </c>
      <c r="W1783">
        <v>0</v>
      </c>
      <c r="X1783">
        <v>1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0</v>
      </c>
      <c r="AI1783" t="s">
        <v>471</v>
      </c>
      <c r="AJ1783">
        <v>28.274131000000001</v>
      </c>
      <c r="AK1783" t="s">
        <v>472</v>
      </c>
      <c r="AL1783">
        <v>-82.360703999999998</v>
      </c>
      <c r="AM1783">
        <v>100</v>
      </c>
      <c r="AN1783">
        <v>1900</v>
      </c>
      <c r="AO1783" t="s">
        <v>118</v>
      </c>
      <c r="AP1783">
        <v>68</v>
      </c>
      <c r="AQ1783">
        <v>-71</v>
      </c>
      <c r="AR1783">
        <v>320</v>
      </c>
      <c r="AZ1783">
        <v>1200</v>
      </c>
      <c r="BA1783">
        <v>1</v>
      </c>
      <c r="BB1783" t="str">
        <f t="shared" si="828"/>
        <v xml:space="preserve">N711JA  </v>
      </c>
      <c r="BC1783">
        <v>1</v>
      </c>
      <c r="BE1783">
        <v>0</v>
      </c>
      <c r="BF1783">
        <v>0</v>
      </c>
      <c r="BG1783">
        <v>0</v>
      </c>
      <c r="BH1783">
        <v>1950</v>
      </c>
      <c r="BI1783">
        <v>1</v>
      </c>
      <c r="BJ1783">
        <v>1</v>
      </c>
      <c r="BK1783">
        <v>0</v>
      </c>
      <c r="BL1783">
        <v>0</v>
      </c>
      <c r="BO1783">
        <v>0</v>
      </c>
      <c r="BP1783">
        <v>0</v>
      </c>
      <c r="BW1783" t="str">
        <f t="shared" si="843"/>
        <v>14:44:15.500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343</v>
      </c>
      <c r="CR1783">
        <v>1</v>
      </c>
      <c r="CW1783">
        <v>10710181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 t="shared" si="841"/>
        <v>05/12/2020 14:43:57.673</v>
      </c>
      <c r="C1784" t="str">
        <f t="shared" si="827"/>
        <v>FFDFD3C0</v>
      </c>
      <c r="D1784" t="s">
        <v>131</v>
      </c>
      <c r="E1784">
        <v>10</v>
      </c>
      <c r="F1784">
        <v>2010</v>
      </c>
      <c r="G1784" t="s">
        <v>132</v>
      </c>
      <c r="J1784" t="s">
        <v>133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842"/>
        <v>14:44:15.492</v>
      </c>
      <c r="T1784" t="str">
        <f t="shared" si="842"/>
        <v>14:44:15.492</v>
      </c>
      <c r="U1784" t="str">
        <f t="shared" si="818"/>
        <v>A9808D</v>
      </c>
      <c r="V1784">
        <v>0</v>
      </c>
      <c r="W1784">
        <v>0</v>
      </c>
      <c r="X1784">
        <v>1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0</v>
      </c>
      <c r="AI1784" t="s">
        <v>471</v>
      </c>
      <c r="AJ1784">
        <v>28.274131000000001</v>
      </c>
      <c r="AK1784" t="s">
        <v>472</v>
      </c>
      <c r="AL1784">
        <v>-82.360703999999998</v>
      </c>
      <c r="AM1784">
        <v>100</v>
      </c>
      <c r="AN1784">
        <v>1900</v>
      </c>
      <c r="AO1784" t="s">
        <v>118</v>
      </c>
      <c r="AP1784">
        <v>68</v>
      </c>
      <c r="AQ1784">
        <v>-71</v>
      </c>
      <c r="AR1784">
        <v>320</v>
      </c>
      <c r="AZ1784">
        <v>1200</v>
      </c>
      <c r="BA1784">
        <v>1</v>
      </c>
      <c r="BB1784" t="str">
        <f t="shared" si="828"/>
        <v xml:space="preserve">N711JA  </v>
      </c>
      <c r="BC1784">
        <v>1</v>
      </c>
      <c r="BE1784">
        <v>0</v>
      </c>
      <c r="BF1784">
        <v>0</v>
      </c>
      <c r="BG1784">
        <v>0</v>
      </c>
      <c r="BH1784">
        <v>1950</v>
      </c>
      <c r="BI1784">
        <v>1</v>
      </c>
      <c r="BJ1784">
        <v>1</v>
      </c>
      <c r="BK1784">
        <v>0</v>
      </c>
      <c r="BL1784">
        <v>0</v>
      </c>
      <c r="BO1784">
        <v>0</v>
      </c>
      <c r="BP1784">
        <v>0</v>
      </c>
      <c r="BW1784" t="str">
        <f t="shared" si="843"/>
        <v>14:44:15.500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343</v>
      </c>
      <c r="CR1784">
        <v>1</v>
      </c>
      <c r="CW1784">
        <v>10710181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 t="shared" si="841"/>
        <v>05/12/2020 14:43:57.673</v>
      </c>
      <c r="C1785" t="str">
        <f t="shared" si="827"/>
        <v>FFDFD3C0</v>
      </c>
      <c r="D1785" t="s">
        <v>131</v>
      </c>
      <c r="E1785">
        <v>12</v>
      </c>
      <c r="F1785">
        <v>2012</v>
      </c>
      <c r="G1785" t="s">
        <v>137</v>
      </c>
      <c r="J1785" t="s">
        <v>133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842"/>
        <v>14:44:15.492</v>
      </c>
      <c r="T1785" t="str">
        <f t="shared" si="842"/>
        <v>14:44:15.492</v>
      </c>
      <c r="U1785" t="str">
        <f t="shared" si="818"/>
        <v>A9808D</v>
      </c>
      <c r="V1785">
        <v>0</v>
      </c>
      <c r="W1785">
        <v>0</v>
      </c>
      <c r="X1785">
        <v>1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0</v>
      </c>
      <c r="AI1785" t="s">
        <v>471</v>
      </c>
      <c r="AJ1785">
        <v>28.274131000000001</v>
      </c>
      <c r="AK1785" t="s">
        <v>472</v>
      </c>
      <c r="AL1785">
        <v>-82.360703999999998</v>
      </c>
      <c r="AM1785">
        <v>100</v>
      </c>
      <c r="AN1785">
        <v>1900</v>
      </c>
      <c r="AO1785" t="s">
        <v>118</v>
      </c>
      <c r="AP1785">
        <v>68</v>
      </c>
      <c r="AQ1785">
        <v>-71</v>
      </c>
      <c r="AR1785">
        <v>320</v>
      </c>
      <c r="AZ1785">
        <v>1200</v>
      </c>
      <c r="BA1785">
        <v>1</v>
      </c>
      <c r="BB1785" t="str">
        <f t="shared" si="828"/>
        <v xml:space="preserve">N711JA  </v>
      </c>
      <c r="BC1785">
        <v>1</v>
      </c>
      <c r="BE1785">
        <v>0</v>
      </c>
      <c r="BF1785">
        <v>0</v>
      </c>
      <c r="BG1785">
        <v>0</v>
      </c>
      <c r="BH1785">
        <v>1950</v>
      </c>
      <c r="BI1785">
        <v>1</v>
      </c>
      <c r="BJ1785">
        <v>1</v>
      </c>
      <c r="BK1785">
        <v>0</v>
      </c>
      <c r="BL1785">
        <v>0</v>
      </c>
      <c r="BO1785">
        <v>0</v>
      </c>
      <c r="BP1785">
        <v>0</v>
      </c>
      <c r="BW1785" t="str">
        <f t="shared" si="843"/>
        <v>14:44:15.500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343</v>
      </c>
      <c r="CR1785">
        <v>1</v>
      </c>
      <c r="CW1785">
        <v>10710181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 t="shared" si="841"/>
        <v>05/12/2020 14:43:57.673</v>
      </c>
      <c r="C1786" t="str">
        <f t="shared" si="827"/>
        <v>FFDFD3C0</v>
      </c>
      <c r="D1786" t="s">
        <v>131</v>
      </c>
      <c r="E1786">
        <v>18</v>
      </c>
      <c r="F1786">
        <v>2018</v>
      </c>
      <c r="G1786" t="s">
        <v>161</v>
      </c>
      <c r="J1786" t="s">
        <v>133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842"/>
        <v>14:44:15.492</v>
      </c>
      <c r="T1786" t="str">
        <f t="shared" si="842"/>
        <v>14:44:15.492</v>
      </c>
      <c r="U1786" t="str">
        <f t="shared" si="818"/>
        <v>A9808D</v>
      </c>
      <c r="V1786">
        <v>0</v>
      </c>
      <c r="W1786">
        <v>0</v>
      </c>
      <c r="X1786">
        <v>1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0</v>
      </c>
      <c r="AI1786" t="s">
        <v>471</v>
      </c>
      <c r="AJ1786">
        <v>28.274131000000001</v>
      </c>
      <c r="AK1786" t="s">
        <v>472</v>
      </c>
      <c r="AL1786">
        <v>-82.360703999999998</v>
      </c>
      <c r="AM1786">
        <v>100</v>
      </c>
      <c r="AN1786">
        <v>1900</v>
      </c>
      <c r="AO1786" t="s">
        <v>118</v>
      </c>
      <c r="AP1786">
        <v>68</v>
      </c>
      <c r="AQ1786">
        <v>-71</v>
      </c>
      <c r="AR1786">
        <v>320</v>
      </c>
      <c r="AZ1786">
        <v>1200</v>
      </c>
      <c r="BA1786">
        <v>1</v>
      </c>
      <c r="BB1786" t="str">
        <f t="shared" si="828"/>
        <v xml:space="preserve">N711JA  </v>
      </c>
      <c r="BC1786">
        <v>1</v>
      </c>
      <c r="BE1786">
        <v>0</v>
      </c>
      <c r="BF1786">
        <v>0</v>
      </c>
      <c r="BG1786">
        <v>0</v>
      </c>
      <c r="BH1786">
        <v>1950</v>
      </c>
      <c r="BI1786">
        <v>1</v>
      </c>
      <c r="BJ1786">
        <v>1</v>
      </c>
      <c r="BK1786">
        <v>0</v>
      </c>
      <c r="BL1786">
        <v>0</v>
      </c>
      <c r="BO1786">
        <v>0</v>
      </c>
      <c r="BP1786">
        <v>0</v>
      </c>
      <c r="BW1786" t="str">
        <f t="shared" si="843"/>
        <v>14:44:15.500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343</v>
      </c>
      <c r="CR1786">
        <v>1</v>
      </c>
      <c r="CW1786">
        <v>10710181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 t="shared" ref="A1787:A1795" si="844">"05/12/2020 14:43:58.735"</f>
        <v>05/12/2020 14:43:58.735</v>
      </c>
      <c r="C1787" t="str">
        <f t="shared" si="827"/>
        <v>FFDFD3C0</v>
      </c>
      <c r="D1787" t="s">
        <v>126</v>
      </c>
      <c r="E1787">
        <v>6</v>
      </c>
      <c r="F1787">
        <v>1006</v>
      </c>
      <c r="G1787" t="s">
        <v>114</v>
      </c>
      <c r="J1787" t="s">
        <v>128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ref="S1787:T1795" si="845">"14:44:16.570"</f>
        <v>14:44:16.570</v>
      </c>
      <c r="T1787" t="str">
        <f t="shared" si="845"/>
        <v>14:44:16.570</v>
      </c>
      <c r="U1787" t="str">
        <f t="shared" si="818"/>
        <v>A9808D</v>
      </c>
      <c r="V1787">
        <v>0</v>
      </c>
      <c r="W1787">
        <v>0</v>
      </c>
      <c r="X1787">
        <v>1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0</v>
      </c>
      <c r="AI1787" t="s">
        <v>473</v>
      </c>
      <c r="AJ1787">
        <v>28.273786999999999</v>
      </c>
      <c r="AK1787" t="s">
        <v>474</v>
      </c>
      <c r="AL1787">
        <v>-82.360296000000005</v>
      </c>
      <c r="AM1787">
        <v>100</v>
      </c>
      <c r="AN1787">
        <v>1900</v>
      </c>
      <c r="AO1787" t="s">
        <v>118</v>
      </c>
      <c r="AP1787">
        <v>69</v>
      </c>
      <c r="AQ1787">
        <v>-71</v>
      </c>
      <c r="AR1787">
        <v>320</v>
      </c>
      <c r="AZ1787">
        <v>1200</v>
      </c>
      <c r="BA1787">
        <v>1</v>
      </c>
      <c r="BB1787" t="str">
        <f t="shared" si="828"/>
        <v xml:space="preserve">N711JA  </v>
      </c>
      <c r="BC1787">
        <v>1</v>
      </c>
      <c r="BE1787">
        <v>0</v>
      </c>
      <c r="BF1787">
        <v>0</v>
      </c>
      <c r="BG1787">
        <v>0</v>
      </c>
      <c r="BH1787">
        <v>1950</v>
      </c>
      <c r="BI1787">
        <v>1</v>
      </c>
      <c r="BJ1787">
        <v>1</v>
      </c>
      <c r="BK1787">
        <v>0</v>
      </c>
      <c r="BL1787">
        <v>0</v>
      </c>
      <c r="BO1787">
        <v>0</v>
      </c>
      <c r="BP1787">
        <v>0</v>
      </c>
      <c r="BW1787" t="str">
        <f t="shared" ref="BW1787:BW1795" si="846">"14:44:16.571"</f>
        <v>14:44:16.571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8</v>
      </c>
      <c r="CR1787">
        <v>3</v>
      </c>
      <c r="CW1787">
        <v>8835931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 t="shared" si="844"/>
        <v>05/12/2020 14:43:58.735</v>
      </c>
      <c r="C1788" t="str">
        <f t="shared" si="827"/>
        <v>FFDFD3C0</v>
      </c>
      <c r="D1788" t="s">
        <v>138</v>
      </c>
      <c r="E1788">
        <v>2</v>
      </c>
      <c r="H1788">
        <v>8</v>
      </c>
      <c r="I1788" t="s">
        <v>139</v>
      </c>
      <c r="J1788" t="s">
        <v>136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845"/>
        <v>14:44:16.570</v>
      </c>
      <c r="T1788" t="str">
        <f t="shared" si="845"/>
        <v>14:44:16.570</v>
      </c>
      <c r="U1788" t="str">
        <f t="shared" si="818"/>
        <v>A9808D</v>
      </c>
      <c r="V1788">
        <v>0</v>
      </c>
      <c r="W1788">
        <v>0</v>
      </c>
      <c r="X1788">
        <v>1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0</v>
      </c>
      <c r="AI1788" t="s">
        <v>473</v>
      </c>
      <c r="AJ1788">
        <v>28.273786999999999</v>
      </c>
      <c r="AK1788" t="s">
        <v>474</v>
      </c>
      <c r="AL1788">
        <v>-82.360296000000005</v>
      </c>
      <c r="AM1788">
        <v>100</v>
      </c>
      <c r="AN1788">
        <v>1900</v>
      </c>
      <c r="AO1788" t="s">
        <v>118</v>
      </c>
      <c r="AP1788">
        <v>69</v>
      </c>
      <c r="AQ1788">
        <v>-71</v>
      </c>
      <c r="AR1788">
        <v>320</v>
      </c>
      <c r="AZ1788">
        <v>1200</v>
      </c>
      <c r="BA1788">
        <v>1</v>
      </c>
      <c r="BB1788" t="str">
        <f t="shared" si="828"/>
        <v xml:space="preserve">N711JA  </v>
      </c>
      <c r="BC1788">
        <v>1</v>
      </c>
      <c r="BE1788">
        <v>0</v>
      </c>
      <c r="BF1788">
        <v>0</v>
      </c>
      <c r="BG1788">
        <v>0</v>
      </c>
      <c r="BH1788">
        <v>1950</v>
      </c>
      <c r="BI1788">
        <v>1</v>
      </c>
      <c r="BJ1788">
        <v>1</v>
      </c>
      <c r="BK1788">
        <v>0</v>
      </c>
      <c r="BL1788">
        <v>0</v>
      </c>
      <c r="BO1788">
        <v>0</v>
      </c>
      <c r="BP1788">
        <v>0</v>
      </c>
      <c r="BW1788" t="str">
        <f t="shared" si="846"/>
        <v>14:44:16.571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8</v>
      </c>
      <c r="CR1788">
        <v>3</v>
      </c>
      <c r="CW1788">
        <v>8835931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 t="shared" si="844"/>
        <v>05/12/2020 14:43:58.735</v>
      </c>
      <c r="C1789" t="str">
        <f t="shared" si="827"/>
        <v>FFDFD3C0</v>
      </c>
      <c r="D1789" t="s">
        <v>138</v>
      </c>
      <c r="E1789">
        <v>3</v>
      </c>
      <c r="H1789">
        <v>9</v>
      </c>
      <c r="I1789" t="s">
        <v>140</v>
      </c>
      <c r="J1789" t="s">
        <v>136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845"/>
        <v>14:44:16.570</v>
      </c>
      <c r="T1789" t="str">
        <f t="shared" si="845"/>
        <v>14:44:16.570</v>
      </c>
      <c r="U1789" t="str">
        <f t="shared" si="818"/>
        <v>A9808D</v>
      </c>
      <c r="V1789">
        <v>0</v>
      </c>
      <c r="W1789">
        <v>0</v>
      </c>
      <c r="X1789">
        <v>1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0</v>
      </c>
      <c r="AI1789" t="s">
        <v>473</v>
      </c>
      <c r="AJ1789">
        <v>28.273786999999999</v>
      </c>
      <c r="AK1789" t="s">
        <v>474</v>
      </c>
      <c r="AL1789">
        <v>-82.360296000000005</v>
      </c>
      <c r="AM1789">
        <v>100</v>
      </c>
      <c r="AN1789">
        <v>1900</v>
      </c>
      <c r="AO1789" t="s">
        <v>118</v>
      </c>
      <c r="AP1789">
        <v>69</v>
      </c>
      <c r="AQ1789">
        <v>-71</v>
      </c>
      <c r="AR1789">
        <v>320</v>
      </c>
      <c r="AZ1789">
        <v>1200</v>
      </c>
      <c r="BA1789">
        <v>1</v>
      </c>
      <c r="BB1789" t="str">
        <f t="shared" si="828"/>
        <v xml:space="preserve">N711JA  </v>
      </c>
      <c r="BC1789">
        <v>1</v>
      </c>
      <c r="BE1789">
        <v>0</v>
      </c>
      <c r="BF1789">
        <v>0</v>
      </c>
      <c r="BG1789">
        <v>0</v>
      </c>
      <c r="BH1789">
        <v>1950</v>
      </c>
      <c r="BI1789">
        <v>1</v>
      </c>
      <c r="BJ1789">
        <v>1</v>
      </c>
      <c r="BK1789">
        <v>0</v>
      </c>
      <c r="BL1789">
        <v>0</v>
      </c>
      <c r="BO1789">
        <v>0</v>
      </c>
      <c r="BP1789">
        <v>0</v>
      </c>
      <c r="BW1789" t="str">
        <f t="shared" si="846"/>
        <v>14:44:16.571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8</v>
      </c>
      <c r="CR1789">
        <v>3</v>
      </c>
      <c r="CW1789">
        <v>8835931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 t="shared" si="844"/>
        <v>05/12/2020 14:43:58.735</v>
      </c>
      <c r="C1790" t="str">
        <f t="shared" si="827"/>
        <v>FFDFD3C0</v>
      </c>
      <c r="D1790" t="s">
        <v>113</v>
      </c>
      <c r="E1790">
        <v>3</v>
      </c>
      <c r="H1790">
        <v>164</v>
      </c>
      <c r="I1790" t="s">
        <v>114</v>
      </c>
      <c r="J1790" t="s">
        <v>115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845"/>
        <v>14:44:16.570</v>
      </c>
      <c r="T1790" t="str">
        <f t="shared" si="845"/>
        <v>14:44:16.570</v>
      </c>
      <c r="U1790" t="str">
        <f t="shared" si="818"/>
        <v>A9808D</v>
      </c>
      <c r="V1790">
        <v>0</v>
      </c>
      <c r="W1790">
        <v>0</v>
      </c>
      <c r="X1790">
        <v>1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0</v>
      </c>
      <c r="AI1790" t="s">
        <v>473</v>
      </c>
      <c r="AJ1790">
        <v>28.273786999999999</v>
      </c>
      <c r="AK1790" t="s">
        <v>474</v>
      </c>
      <c r="AL1790">
        <v>-82.360296000000005</v>
      </c>
      <c r="AM1790">
        <v>100</v>
      </c>
      <c r="AN1790">
        <v>1900</v>
      </c>
      <c r="AO1790" t="s">
        <v>118</v>
      </c>
      <c r="AP1790">
        <v>69</v>
      </c>
      <c r="AQ1790">
        <v>-71</v>
      </c>
      <c r="AR1790">
        <v>320</v>
      </c>
      <c r="AZ1790">
        <v>1200</v>
      </c>
      <c r="BA1790">
        <v>1</v>
      </c>
      <c r="BB1790" t="str">
        <f t="shared" si="828"/>
        <v xml:space="preserve">N711JA  </v>
      </c>
      <c r="BC1790">
        <v>1</v>
      </c>
      <c r="BE1790">
        <v>0</v>
      </c>
      <c r="BF1790">
        <v>0</v>
      </c>
      <c r="BG1790">
        <v>0</v>
      </c>
      <c r="BH1790">
        <v>1950</v>
      </c>
      <c r="BI1790">
        <v>1</v>
      </c>
      <c r="BJ1790">
        <v>1</v>
      </c>
      <c r="BK1790">
        <v>0</v>
      </c>
      <c r="BL1790">
        <v>0</v>
      </c>
      <c r="BO1790">
        <v>0</v>
      </c>
      <c r="BP1790">
        <v>0</v>
      </c>
      <c r="BW1790" t="str">
        <f t="shared" si="846"/>
        <v>14:44:16.571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8</v>
      </c>
      <c r="CR1790">
        <v>3</v>
      </c>
      <c r="CW1790">
        <v>8835931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 t="shared" si="844"/>
        <v>05/12/2020 14:43:58.735</v>
      </c>
      <c r="C1791" t="str">
        <f t="shared" si="827"/>
        <v>FFDFD3C0</v>
      </c>
      <c r="D1791" t="s">
        <v>131</v>
      </c>
      <c r="E1791">
        <v>10</v>
      </c>
      <c r="F1791">
        <v>2010</v>
      </c>
      <c r="G1791" t="s">
        <v>132</v>
      </c>
      <c r="J1791" t="s">
        <v>133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845"/>
        <v>14:44:16.570</v>
      </c>
      <c r="T1791" t="str">
        <f t="shared" si="845"/>
        <v>14:44:16.570</v>
      </c>
      <c r="U1791" t="str">
        <f t="shared" si="818"/>
        <v>A9808D</v>
      </c>
      <c r="V1791">
        <v>0</v>
      </c>
      <c r="W1791">
        <v>0</v>
      </c>
      <c r="X1791">
        <v>1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0</v>
      </c>
      <c r="AI1791" t="s">
        <v>473</v>
      </c>
      <c r="AJ1791">
        <v>28.273786999999999</v>
      </c>
      <c r="AK1791" t="s">
        <v>474</v>
      </c>
      <c r="AL1791">
        <v>-82.360296000000005</v>
      </c>
      <c r="AM1791">
        <v>100</v>
      </c>
      <c r="AN1791">
        <v>1900</v>
      </c>
      <c r="AO1791" t="s">
        <v>118</v>
      </c>
      <c r="AP1791">
        <v>69</v>
      </c>
      <c r="AQ1791">
        <v>-71</v>
      </c>
      <c r="AR1791">
        <v>320</v>
      </c>
      <c r="AZ1791">
        <v>1200</v>
      </c>
      <c r="BA1791">
        <v>1</v>
      </c>
      <c r="BB1791" t="str">
        <f t="shared" si="828"/>
        <v xml:space="preserve">N711JA  </v>
      </c>
      <c r="BC1791">
        <v>1</v>
      </c>
      <c r="BE1791">
        <v>0</v>
      </c>
      <c r="BF1791">
        <v>0</v>
      </c>
      <c r="BG1791">
        <v>0</v>
      </c>
      <c r="BH1791">
        <v>1950</v>
      </c>
      <c r="BI1791">
        <v>1</v>
      </c>
      <c r="BJ1791">
        <v>1</v>
      </c>
      <c r="BK1791">
        <v>0</v>
      </c>
      <c r="BL1791">
        <v>0</v>
      </c>
      <c r="BO1791">
        <v>0</v>
      </c>
      <c r="BP1791">
        <v>0</v>
      </c>
      <c r="BW1791" t="str">
        <f t="shared" si="846"/>
        <v>14:44:16.571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8</v>
      </c>
      <c r="CR1791">
        <v>3</v>
      </c>
      <c r="CW1791">
        <v>8835931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 t="shared" si="844"/>
        <v>05/12/2020 14:43:58.735</v>
      </c>
      <c r="C1792" t="str">
        <f t="shared" si="827"/>
        <v>FFDFD3C0</v>
      </c>
      <c r="D1792" t="s">
        <v>126</v>
      </c>
      <c r="E1792">
        <v>7</v>
      </c>
      <c r="F1792">
        <v>1007</v>
      </c>
      <c r="G1792" t="s">
        <v>127</v>
      </c>
      <c r="J1792" t="s">
        <v>128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845"/>
        <v>14:44:16.570</v>
      </c>
      <c r="T1792" t="str">
        <f t="shared" si="845"/>
        <v>14:44:16.570</v>
      </c>
      <c r="U1792" t="str">
        <f t="shared" si="818"/>
        <v>A9808D</v>
      </c>
      <c r="V1792">
        <v>0</v>
      </c>
      <c r="W1792">
        <v>0</v>
      </c>
      <c r="X1792">
        <v>1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0</v>
      </c>
      <c r="AI1792" t="s">
        <v>473</v>
      </c>
      <c r="AJ1792">
        <v>28.273786999999999</v>
      </c>
      <c r="AK1792" t="s">
        <v>474</v>
      </c>
      <c r="AL1792">
        <v>-82.360296000000005</v>
      </c>
      <c r="AM1792">
        <v>100</v>
      </c>
      <c r="AN1792">
        <v>1900</v>
      </c>
      <c r="AO1792" t="s">
        <v>118</v>
      </c>
      <c r="AP1792">
        <v>69</v>
      </c>
      <c r="AQ1792">
        <v>-71</v>
      </c>
      <c r="AR1792">
        <v>320</v>
      </c>
      <c r="AZ1792">
        <v>1200</v>
      </c>
      <c r="BA1792">
        <v>1</v>
      </c>
      <c r="BB1792" t="str">
        <f t="shared" si="828"/>
        <v xml:space="preserve">N711JA  </v>
      </c>
      <c r="BC1792">
        <v>1</v>
      </c>
      <c r="BE1792">
        <v>0</v>
      </c>
      <c r="BF1792">
        <v>0</v>
      </c>
      <c r="BG1792">
        <v>0</v>
      </c>
      <c r="BH1792">
        <v>1950</v>
      </c>
      <c r="BI1792">
        <v>1</v>
      </c>
      <c r="BJ1792">
        <v>1</v>
      </c>
      <c r="BK1792">
        <v>0</v>
      </c>
      <c r="BL1792">
        <v>0</v>
      </c>
      <c r="BO1792">
        <v>0</v>
      </c>
      <c r="BP1792">
        <v>0</v>
      </c>
      <c r="BW1792" t="str">
        <f t="shared" si="846"/>
        <v>14:44:16.571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8</v>
      </c>
      <c r="CR1792">
        <v>3</v>
      </c>
      <c r="CW1792">
        <v>8835931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 t="shared" si="844"/>
        <v>05/12/2020 14:43:58.735</v>
      </c>
      <c r="C1793" t="str">
        <f t="shared" si="827"/>
        <v>FFDFD3C0</v>
      </c>
      <c r="D1793" t="s">
        <v>131</v>
      </c>
      <c r="E1793">
        <v>12</v>
      </c>
      <c r="F1793">
        <v>2012</v>
      </c>
      <c r="G1793" t="s">
        <v>137</v>
      </c>
      <c r="J1793" t="s">
        <v>133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845"/>
        <v>14:44:16.570</v>
      </c>
      <c r="T1793" t="str">
        <f t="shared" si="845"/>
        <v>14:44:16.570</v>
      </c>
      <c r="U1793" t="str">
        <f t="shared" si="818"/>
        <v>A9808D</v>
      </c>
      <c r="V1793">
        <v>0</v>
      </c>
      <c r="W1793">
        <v>0</v>
      </c>
      <c r="X1793">
        <v>1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0</v>
      </c>
      <c r="AI1793" t="s">
        <v>473</v>
      </c>
      <c r="AJ1793">
        <v>28.273786999999999</v>
      </c>
      <c r="AK1793" t="s">
        <v>474</v>
      </c>
      <c r="AL1793">
        <v>-82.360296000000005</v>
      </c>
      <c r="AM1793">
        <v>100</v>
      </c>
      <c r="AN1793">
        <v>1900</v>
      </c>
      <c r="AO1793" t="s">
        <v>118</v>
      </c>
      <c r="AP1793">
        <v>69</v>
      </c>
      <c r="AQ1793">
        <v>-71</v>
      </c>
      <c r="AR1793">
        <v>320</v>
      </c>
      <c r="AZ1793">
        <v>1200</v>
      </c>
      <c r="BA1793">
        <v>1</v>
      </c>
      <c r="BB1793" t="str">
        <f t="shared" si="828"/>
        <v xml:space="preserve">N711JA  </v>
      </c>
      <c r="BC1793">
        <v>1</v>
      </c>
      <c r="BE1793">
        <v>0</v>
      </c>
      <c r="BF1793">
        <v>0</v>
      </c>
      <c r="BG1793">
        <v>0</v>
      </c>
      <c r="BH1793">
        <v>1950</v>
      </c>
      <c r="BI1793">
        <v>1</v>
      </c>
      <c r="BJ1793">
        <v>1</v>
      </c>
      <c r="BK1793">
        <v>0</v>
      </c>
      <c r="BL1793">
        <v>0</v>
      </c>
      <c r="BO1793">
        <v>0</v>
      </c>
      <c r="BP1793">
        <v>0</v>
      </c>
      <c r="BW1793" t="str">
        <f t="shared" si="846"/>
        <v>14:44:16.571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8</v>
      </c>
      <c r="CR1793">
        <v>3</v>
      </c>
      <c r="CW1793">
        <v>8835931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 t="shared" si="844"/>
        <v>05/12/2020 14:43:58.735</v>
      </c>
      <c r="C1794" t="str">
        <f t="shared" si="827"/>
        <v>FFDFD3C0</v>
      </c>
      <c r="D1794" t="s">
        <v>131</v>
      </c>
      <c r="E1794">
        <v>18</v>
      </c>
      <c r="F1794">
        <v>2018</v>
      </c>
      <c r="G1794" t="s">
        <v>161</v>
      </c>
      <c r="J1794" t="s">
        <v>133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845"/>
        <v>14:44:16.570</v>
      </c>
      <c r="T1794" t="str">
        <f t="shared" si="845"/>
        <v>14:44:16.570</v>
      </c>
      <c r="U1794" t="str">
        <f t="shared" ref="U1794:U1857" si="847">"A9808D"</f>
        <v>A9808D</v>
      </c>
      <c r="V1794">
        <v>0</v>
      </c>
      <c r="W1794">
        <v>0</v>
      </c>
      <c r="X1794">
        <v>1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0</v>
      </c>
      <c r="AI1794" t="s">
        <v>473</v>
      </c>
      <c r="AJ1794">
        <v>28.273786999999999</v>
      </c>
      <c r="AK1794" t="s">
        <v>474</v>
      </c>
      <c r="AL1794">
        <v>-82.360296000000005</v>
      </c>
      <c r="AM1794">
        <v>100</v>
      </c>
      <c r="AN1794">
        <v>1900</v>
      </c>
      <c r="AO1794" t="s">
        <v>118</v>
      </c>
      <c r="AP1794">
        <v>69</v>
      </c>
      <c r="AQ1794">
        <v>-71</v>
      </c>
      <c r="AR1794">
        <v>320</v>
      </c>
      <c r="AZ1794">
        <v>1200</v>
      </c>
      <c r="BA1794">
        <v>1</v>
      </c>
      <c r="BB1794" t="str">
        <f t="shared" si="828"/>
        <v xml:space="preserve">N711JA  </v>
      </c>
      <c r="BC1794">
        <v>1</v>
      </c>
      <c r="BE1794">
        <v>0</v>
      </c>
      <c r="BF1794">
        <v>0</v>
      </c>
      <c r="BG1794">
        <v>0</v>
      </c>
      <c r="BH1794">
        <v>1950</v>
      </c>
      <c r="BI1794">
        <v>1</v>
      </c>
      <c r="BJ1794">
        <v>1</v>
      </c>
      <c r="BK1794">
        <v>0</v>
      </c>
      <c r="BL1794">
        <v>0</v>
      </c>
      <c r="BO1794">
        <v>0</v>
      </c>
      <c r="BP1794">
        <v>0</v>
      </c>
      <c r="BW1794" t="str">
        <f t="shared" si="846"/>
        <v>14:44:16.571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343</v>
      </c>
      <c r="CR1794">
        <v>1</v>
      </c>
      <c r="CW1794">
        <v>10711254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si="844"/>
        <v>05/12/2020 14:43:58.735</v>
      </c>
      <c r="C1795" t="str">
        <f t="shared" si="827"/>
        <v>FFDFD3C0</v>
      </c>
      <c r="D1795" t="s">
        <v>134</v>
      </c>
      <c r="E1795">
        <v>12</v>
      </c>
      <c r="H1795">
        <v>64</v>
      </c>
      <c r="I1795" t="s">
        <v>135</v>
      </c>
      <c r="J1795" t="s">
        <v>136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845"/>
        <v>14:44:16.570</v>
      </c>
      <c r="T1795" t="str">
        <f t="shared" si="845"/>
        <v>14:44:16.570</v>
      </c>
      <c r="U1795" t="str">
        <f t="shared" si="847"/>
        <v>A9808D</v>
      </c>
      <c r="V1795">
        <v>0</v>
      </c>
      <c r="W1795">
        <v>0</v>
      </c>
      <c r="X1795">
        <v>1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0</v>
      </c>
      <c r="AI1795" t="s">
        <v>473</v>
      </c>
      <c r="AJ1795">
        <v>28.273786999999999</v>
      </c>
      <c r="AK1795" t="s">
        <v>474</v>
      </c>
      <c r="AL1795">
        <v>-82.360296000000005</v>
      </c>
      <c r="AM1795">
        <v>100</v>
      </c>
      <c r="AN1795">
        <v>1900</v>
      </c>
      <c r="AO1795" t="s">
        <v>118</v>
      </c>
      <c r="AP1795">
        <v>69</v>
      </c>
      <c r="AQ1795">
        <v>-71</v>
      </c>
      <c r="AR1795">
        <v>320</v>
      </c>
      <c r="AZ1795">
        <v>1200</v>
      </c>
      <c r="BA1795">
        <v>1</v>
      </c>
      <c r="BB1795" t="str">
        <f t="shared" si="828"/>
        <v xml:space="preserve">N711JA  </v>
      </c>
      <c r="BC1795">
        <v>1</v>
      </c>
      <c r="BE1795">
        <v>0</v>
      </c>
      <c r="BF1795">
        <v>0</v>
      </c>
      <c r="BG1795">
        <v>0</v>
      </c>
      <c r="BH1795">
        <v>1950</v>
      </c>
      <c r="BI1795">
        <v>1</v>
      </c>
      <c r="BJ1795">
        <v>1</v>
      </c>
      <c r="BK1795">
        <v>0</v>
      </c>
      <c r="BL1795">
        <v>0</v>
      </c>
      <c r="BO1795">
        <v>0</v>
      </c>
      <c r="BP1795">
        <v>0</v>
      </c>
      <c r="BW1795" t="str">
        <f t="shared" si="846"/>
        <v>14:44:16.571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8</v>
      </c>
      <c r="CR1795">
        <v>3</v>
      </c>
      <c r="CW1795">
        <v>8835931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ref="A1796:A1804" si="848">"05/12/2020 14:43:59.750"</f>
        <v>05/12/2020 14:43:59.750</v>
      </c>
      <c r="C1796" t="str">
        <f t="shared" si="827"/>
        <v>FFDFD3C0</v>
      </c>
      <c r="D1796" t="s">
        <v>138</v>
      </c>
      <c r="E1796">
        <v>3</v>
      </c>
      <c r="H1796">
        <v>9</v>
      </c>
      <c r="I1796" t="s">
        <v>140</v>
      </c>
      <c r="J1796" t="s">
        <v>136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ref="S1796:S1804" si="849">"14:44:17.586"</f>
        <v>14:44:17.586</v>
      </c>
      <c r="T1796" t="str">
        <f t="shared" ref="T1796:T1804" si="850">"14:44:17.486"</f>
        <v>14:44:17.486</v>
      </c>
      <c r="U1796" t="str">
        <f t="shared" si="847"/>
        <v>A9808D</v>
      </c>
      <c r="V1796">
        <v>0</v>
      </c>
      <c r="W1796">
        <v>0</v>
      </c>
      <c r="X1796">
        <v>1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0</v>
      </c>
      <c r="AI1796" t="s">
        <v>475</v>
      </c>
      <c r="AJ1796">
        <v>28.273465999999999</v>
      </c>
      <c r="AK1796" t="s">
        <v>476</v>
      </c>
      <c r="AL1796">
        <v>-82.359931000000003</v>
      </c>
      <c r="AM1796">
        <v>100</v>
      </c>
      <c r="AN1796">
        <v>1900</v>
      </c>
      <c r="AO1796" t="s">
        <v>118</v>
      </c>
      <c r="AP1796">
        <v>70</v>
      </c>
      <c r="AQ1796">
        <v>-70</v>
      </c>
      <c r="AR1796">
        <v>256</v>
      </c>
      <c r="AZ1796">
        <v>1200</v>
      </c>
      <c r="BA1796">
        <v>1</v>
      </c>
      <c r="BB1796" t="str">
        <f t="shared" si="828"/>
        <v xml:space="preserve">N711JA  </v>
      </c>
      <c r="BC1796">
        <v>1</v>
      </c>
      <c r="BE1796">
        <v>0</v>
      </c>
      <c r="BF1796">
        <v>0</v>
      </c>
      <c r="BG1796">
        <v>0</v>
      </c>
      <c r="BH1796">
        <v>1950</v>
      </c>
      <c r="BI1796">
        <v>1</v>
      </c>
      <c r="BJ1796">
        <v>1</v>
      </c>
      <c r="BK1796">
        <v>0</v>
      </c>
      <c r="BL1796">
        <v>0</v>
      </c>
      <c r="BO1796">
        <v>0</v>
      </c>
      <c r="BP1796">
        <v>0</v>
      </c>
      <c r="BW1796" t="str">
        <f t="shared" ref="BW1796:BW1804" si="851">"14:44:17.593"</f>
        <v>14:44:17.593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343</v>
      </c>
      <c r="CR1796">
        <v>1</v>
      </c>
      <c r="CW1796">
        <v>10712325</v>
      </c>
      <c r="CY1796">
        <v>1</v>
      </c>
      <c r="CZ1796">
        <v>0</v>
      </c>
      <c r="DA1796">
        <v>0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si="848"/>
        <v>05/12/2020 14:43:59.750</v>
      </c>
      <c r="C1797" t="str">
        <f t="shared" si="827"/>
        <v>FFDFD3C0</v>
      </c>
      <c r="D1797" t="s">
        <v>138</v>
      </c>
      <c r="E1797">
        <v>2</v>
      </c>
      <c r="H1797">
        <v>8</v>
      </c>
      <c r="I1797" t="s">
        <v>139</v>
      </c>
      <c r="J1797" t="s">
        <v>136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849"/>
        <v>14:44:17.586</v>
      </c>
      <c r="T1797" t="str">
        <f t="shared" si="850"/>
        <v>14:44:17.486</v>
      </c>
      <c r="U1797" t="str">
        <f t="shared" si="847"/>
        <v>A9808D</v>
      </c>
      <c r="V1797">
        <v>0</v>
      </c>
      <c r="W1797">
        <v>0</v>
      </c>
      <c r="X1797">
        <v>1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0</v>
      </c>
      <c r="AI1797" t="s">
        <v>475</v>
      </c>
      <c r="AJ1797">
        <v>28.273465999999999</v>
      </c>
      <c r="AK1797" t="s">
        <v>476</v>
      </c>
      <c r="AL1797">
        <v>-82.359931000000003</v>
      </c>
      <c r="AM1797">
        <v>100</v>
      </c>
      <c r="AN1797">
        <v>1900</v>
      </c>
      <c r="AO1797" t="s">
        <v>118</v>
      </c>
      <c r="AP1797">
        <v>70</v>
      </c>
      <c r="AQ1797">
        <v>-70</v>
      </c>
      <c r="AR1797">
        <v>256</v>
      </c>
      <c r="AZ1797">
        <v>1200</v>
      </c>
      <c r="BA1797">
        <v>1</v>
      </c>
      <c r="BB1797" t="str">
        <f t="shared" si="828"/>
        <v xml:space="preserve">N711JA  </v>
      </c>
      <c r="BC1797">
        <v>1</v>
      </c>
      <c r="BE1797">
        <v>0</v>
      </c>
      <c r="BF1797">
        <v>0</v>
      </c>
      <c r="BG1797">
        <v>0</v>
      </c>
      <c r="BH1797">
        <v>1950</v>
      </c>
      <c r="BI1797">
        <v>1</v>
      </c>
      <c r="BJ1797">
        <v>1</v>
      </c>
      <c r="BK1797">
        <v>0</v>
      </c>
      <c r="BL1797">
        <v>0</v>
      </c>
      <c r="BO1797">
        <v>0</v>
      </c>
      <c r="BP1797">
        <v>0</v>
      </c>
      <c r="BW1797" t="str">
        <f t="shared" si="851"/>
        <v>14:44:17.593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343</v>
      </c>
      <c r="CR1797">
        <v>1</v>
      </c>
      <c r="CW1797">
        <v>10712325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848"/>
        <v>05/12/2020 14:43:59.750</v>
      </c>
      <c r="C1798" t="str">
        <f t="shared" si="827"/>
        <v>FFDFD3C0</v>
      </c>
      <c r="D1798" t="s">
        <v>131</v>
      </c>
      <c r="E1798">
        <v>10</v>
      </c>
      <c r="F1798">
        <v>2010</v>
      </c>
      <c r="G1798" t="s">
        <v>132</v>
      </c>
      <c r="J1798" t="s">
        <v>133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849"/>
        <v>14:44:17.586</v>
      </c>
      <c r="T1798" t="str">
        <f t="shared" si="850"/>
        <v>14:44:17.486</v>
      </c>
      <c r="U1798" t="str">
        <f t="shared" si="847"/>
        <v>A9808D</v>
      </c>
      <c r="V1798">
        <v>0</v>
      </c>
      <c r="W1798">
        <v>0</v>
      </c>
      <c r="X1798">
        <v>1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0</v>
      </c>
      <c r="AI1798" t="s">
        <v>475</v>
      </c>
      <c r="AJ1798">
        <v>28.273465999999999</v>
      </c>
      <c r="AK1798" t="s">
        <v>476</v>
      </c>
      <c r="AL1798">
        <v>-82.359931000000003</v>
      </c>
      <c r="AM1798">
        <v>100</v>
      </c>
      <c r="AN1798">
        <v>1900</v>
      </c>
      <c r="AO1798" t="s">
        <v>118</v>
      </c>
      <c r="AP1798">
        <v>70</v>
      </c>
      <c r="AQ1798">
        <v>-70</v>
      </c>
      <c r="AR1798">
        <v>256</v>
      </c>
      <c r="AZ1798">
        <v>1200</v>
      </c>
      <c r="BA1798">
        <v>1</v>
      </c>
      <c r="BB1798" t="str">
        <f t="shared" si="828"/>
        <v xml:space="preserve">N711JA  </v>
      </c>
      <c r="BC1798">
        <v>1</v>
      </c>
      <c r="BE1798">
        <v>0</v>
      </c>
      <c r="BF1798">
        <v>0</v>
      </c>
      <c r="BG1798">
        <v>0</v>
      </c>
      <c r="BH1798">
        <v>1950</v>
      </c>
      <c r="BI1798">
        <v>1</v>
      </c>
      <c r="BJ1798">
        <v>1</v>
      </c>
      <c r="BK1798">
        <v>0</v>
      </c>
      <c r="BL1798">
        <v>0</v>
      </c>
      <c r="BO1798">
        <v>0</v>
      </c>
      <c r="BP1798">
        <v>0</v>
      </c>
      <c r="BW1798" t="str">
        <f t="shared" si="851"/>
        <v>14:44:17.593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343</v>
      </c>
      <c r="CR1798">
        <v>1</v>
      </c>
      <c r="CW1798">
        <v>10712325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 t="shared" si="848"/>
        <v>05/12/2020 14:43:59.750</v>
      </c>
      <c r="C1799" t="str">
        <f t="shared" si="827"/>
        <v>FFDFD3C0</v>
      </c>
      <c r="D1799" t="s">
        <v>126</v>
      </c>
      <c r="E1799">
        <v>7</v>
      </c>
      <c r="F1799">
        <v>1007</v>
      </c>
      <c r="G1799" t="s">
        <v>127</v>
      </c>
      <c r="J1799" t="s">
        <v>128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849"/>
        <v>14:44:17.586</v>
      </c>
      <c r="T1799" t="str">
        <f t="shared" si="850"/>
        <v>14:44:17.486</v>
      </c>
      <c r="U1799" t="str">
        <f t="shared" si="847"/>
        <v>A9808D</v>
      </c>
      <c r="V1799">
        <v>0</v>
      </c>
      <c r="W1799">
        <v>0</v>
      </c>
      <c r="X1799">
        <v>1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0</v>
      </c>
      <c r="AI1799" t="s">
        <v>475</v>
      </c>
      <c r="AJ1799">
        <v>28.273465999999999</v>
      </c>
      <c r="AK1799" t="s">
        <v>476</v>
      </c>
      <c r="AL1799">
        <v>-82.359931000000003</v>
      </c>
      <c r="AM1799">
        <v>100</v>
      </c>
      <c r="AN1799">
        <v>1900</v>
      </c>
      <c r="AO1799" t="s">
        <v>118</v>
      </c>
      <c r="AP1799">
        <v>70</v>
      </c>
      <c r="AQ1799">
        <v>-70</v>
      </c>
      <c r="AR1799">
        <v>256</v>
      </c>
      <c r="AZ1799">
        <v>1200</v>
      </c>
      <c r="BA1799">
        <v>1</v>
      </c>
      <c r="BB1799" t="str">
        <f t="shared" si="828"/>
        <v xml:space="preserve">N711JA  </v>
      </c>
      <c r="BC1799">
        <v>1</v>
      </c>
      <c r="BE1799">
        <v>0</v>
      </c>
      <c r="BF1799">
        <v>0</v>
      </c>
      <c r="BG1799">
        <v>0</v>
      </c>
      <c r="BH1799">
        <v>1950</v>
      </c>
      <c r="BI1799">
        <v>1</v>
      </c>
      <c r="BJ1799">
        <v>1</v>
      </c>
      <c r="BK1799">
        <v>0</v>
      </c>
      <c r="BL1799">
        <v>0</v>
      </c>
      <c r="BO1799">
        <v>0</v>
      </c>
      <c r="BP1799">
        <v>0</v>
      </c>
      <c r="BW1799" t="str">
        <f t="shared" si="851"/>
        <v>14:44:17.593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343</v>
      </c>
      <c r="CR1799">
        <v>1</v>
      </c>
      <c r="CW1799">
        <v>10712325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 t="shared" si="848"/>
        <v>05/12/2020 14:43:59.750</v>
      </c>
      <c r="C1800" t="str">
        <f t="shared" si="827"/>
        <v>FFDFD3C0</v>
      </c>
      <c r="D1800" t="s">
        <v>131</v>
      </c>
      <c r="E1800">
        <v>12</v>
      </c>
      <c r="F1800">
        <v>2012</v>
      </c>
      <c r="G1800" t="s">
        <v>137</v>
      </c>
      <c r="J1800" t="s">
        <v>133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849"/>
        <v>14:44:17.586</v>
      </c>
      <c r="T1800" t="str">
        <f t="shared" si="850"/>
        <v>14:44:17.486</v>
      </c>
      <c r="U1800" t="str">
        <f t="shared" si="847"/>
        <v>A9808D</v>
      </c>
      <c r="V1800">
        <v>0</v>
      </c>
      <c r="W1800">
        <v>0</v>
      </c>
      <c r="X1800">
        <v>1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0</v>
      </c>
      <c r="AI1800" t="s">
        <v>475</v>
      </c>
      <c r="AJ1800">
        <v>28.273465999999999</v>
      </c>
      <c r="AK1800" t="s">
        <v>476</v>
      </c>
      <c r="AL1800">
        <v>-82.359931000000003</v>
      </c>
      <c r="AM1800">
        <v>100</v>
      </c>
      <c r="AN1800">
        <v>1900</v>
      </c>
      <c r="AO1800" t="s">
        <v>118</v>
      </c>
      <c r="AP1800">
        <v>70</v>
      </c>
      <c r="AQ1800">
        <v>-70</v>
      </c>
      <c r="AR1800">
        <v>256</v>
      </c>
      <c r="AZ1800">
        <v>1200</v>
      </c>
      <c r="BA1800">
        <v>1</v>
      </c>
      <c r="BB1800" t="str">
        <f t="shared" si="828"/>
        <v xml:space="preserve">N711JA  </v>
      </c>
      <c r="BC1800">
        <v>1</v>
      </c>
      <c r="BE1800">
        <v>0</v>
      </c>
      <c r="BF1800">
        <v>0</v>
      </c>
      <c r="BG1800">
        <v>0</v>
      </c>
      <c r="BH1800">
        <v>1950</v>
      </c>
      <c r="BI1800">
        <v>1</v>
      </c>
      <c r="BJ1800">
        <v>1</v>
      </c>
      <c r="BK1800">
        <v>0</v>
      </c>
      <c r="BL1800">
        <v>0</v>
      </c>
      <c r="BO1800">
        <v>0</v>
      </c>
      <c r="BP1800">
        <v>0</v>
      </c>
      <c r="BW1800" t="str">
        <f t="shared" si="851"/>
        <v>14:44:17.593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343</v>
      </c>
      <c r="CR1800">
        <v>1</v>
      </c>
      <c r="CW1800">
        <v>10712325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 t="shared" si="848"/>
        <v>05/12/2020 14:43:59.750</v>
      </c>
      <c r="C1801" t="str">
        <f t="shared" si="827"/>
        <v>FFDFD3C0</v>
      </c>
      <c r="D1801" t="s">
        <v>113</v>
      </c>
      <c r="E1801">
        <v>3</v>
      </c>
      <c r="H1801">
        <v>164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849"/>
        <v>14:44:17.586</v>
      </c>
      <c r="T1801" t="str">
        <f t="shared" si="850"/>
        <v>14:44:17.486</v>
      </c>
      <c r="U1801" t="str">
        <f t="shared" si="847"/>
        <v>A9808D</v>
      </c>
      <c r="V1801">
        <v>0</v>
      </c>
      <c r="W1801">
        <v>0</v>
      </c>
      <c r="X1801">
        <v>1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0</v>
      </c>
      <c r="AI1801" t="s">
        <v>475</v>
      </c>
      <c r="AJ1801">
        <v>28.273465999999999</v>
      </c>
      <c r="AK1801" t="s">
        <v>476</v>
      </c>
      <c r="AL1801">
        <v>-82.359931000000003</v>
      </c>
      <c r="AM1801">
        <v>100</v>
      </c>
      <c r="AN1801">
        <v>1900</v>
      </c>
      <c r="AO1801" t="s">
        <v>118</v>
      </c>
      <c r="AP1801">
        <v>70</v>
      </c>
      <c r="AQ1801">
        <v>-70</v>
      </c>
      <c r="AR1801">
        <v>256</v>
      </c>
      <c r="AZ1801">
        <v>1200</v>
      </c>
      <c r="BA1801">
        <v>1</v>
      </c>
      <c r="BB1801" t="str">
        <f t="shared" si="828"/>
        <v xml:space="preserve">N711JA  </v>
      </c>
      <c r="BC1801">
        <v>1</v>
      </c>
      <c r="BE1801">
        <v>0</v>
      </c>
      <c r="BF1801">
        <v>0</v>
      </c>
      <c r="BG1801">
        <v>0</v>
      </c>
      <c r="BH1801">
        <v>1950</v>
      </c>
      <c r="BI1801">
        <v>1</v>
      </c>
      <c r="BJ1801">
        <v>1</v>
      </c>
      <c r="BK1801">
        <v>0</v>
      </c>
      <c r="BL1801">
        <v>0</v>
      </c>
      <c r="BO1801">
        <v>0</v>
      </c>
      <c r="BP1801">
        <v>0</v>
      </c>
      <c r="BW1801" t="str">
        <f t="shared" si="851"/>
        <v>14:44:17.593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343</v>
      </c>
      <c r="CR1801">
        <v>1</v>
      </c>
      <c r="CW1801">
        <v>10712325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 t="shared" si="848"/>
        <v>05/12/2020 14:43:59.750</v>
      </c>
      <c r="C1802" t="str">
        <f t="shared" si="827"/>
        <v>FFDFD3C0</v>
      </c>
      <c r="D1802" t="s">
        <v>131</v>
      </c>
      <c r="E1802">
        <v>18</v>
      </c>
      <c r="F1802">
        <v>2018</v>
      </c>
      <c r="G1802" t="s">
        <v>161</v>
      </c>
      <c r="J1802" t="s">
        <v>133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849"/>
        <v>14:44:17.586</v>
      </c>
      <c r="T1802" t="str">
        <f t="shared" si="850"/>
        <v>14:44:17.486</v>
      </c>
      <c r="U1802" t="str">
        <f t="shared" si="847"/>
        <v>A9808D</v>
      </c>
      <c r="V1802">
        <v>0</v>
      </c>
      <c r="W1802">
        <v>0</v>
      </c>
      <c r="X1802">
        <v>1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0</v>
      </c>
      <c r="AI1802" t="s">
        <v>475</v>
      </c>
      <c r="AJ1802">
        <v>28.273465999999999</v>
      </c>
      <c r="AK1802" t="s">
        <v>476</v>
      </c>
      <c r="AL1802">
        <v>-82.359931000000003</v>
      </c>
      <c r="AM1802">
        <v>100</v>
      </c>
      <c r="AN1802">
        <v>1900</v>
      </c>
      <c r="AO1802" t="s">
        <v>118</v>
      </c>
      <c r="AP1802">
        <v>70</v>
      </c>
      <c r="AQ1802">
        <v>-70</v>
      </c>
      <c r="AR1802">
        <v>256</v>
      </c>
      <c r="AZ1802">
        <v>1200</v>
      </c>
      <c r="BA1802">
        <v>1</v>
      </c>
      <c r="BB1802" t="str">
        <f t="shared" si="828"/>
        <v xml:space="preserve">N711JA  </v>
      </c>
      <c r="BC1802">
        <v>1</v>
      </c>
      <c r="BE1802">
        <v>0</v>
      </c>
      <c r="BF1802">
        <v>0</v>
      </c>
      <c r="BG1802">
        <v>0</v>
      </c>
      <c r="BH1802">
        <v>1950</v>
      </c>
      <c r="BI1802">
        <v>1</v>
      </c>
      <c r="BJ1802">
        <v>1</v>
      </c>
      <c r="BK1802">
        <v>0</v>
      </c>
      <c r="BL1802">
        <v>0</v>
      </c>
      <c r="BO1802">
        <v>0</v>
      </c>
      <c r="BP1802">
        <v>0</v>
      </c>
      <c r="BW1802" t="str">
        <f t="shared" si="851"/>
        <v>14:44:17.593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343</v>
      </c>
      <c r="CR1802">
        <v>1</v>
      </c>
      <c r="CW1802">
        <v>10712325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 t="shared" si="848"/>
        <v>05/12/2020 14:43:59.750</v>
      </c>
      <c r="C1803" t="str">
        <f t="shared" si="827"/>
        <v>FFDFD3C0</v>
      </c>
      <c r="D1803" t="s">
        <v>126</v>
      </c>
      <c r="E1803">
        <v>6</v>
      </c>
      <c r="F1803">
        <v>1006</v>
      </c>
      <c r="G1803" t="s">
        <v>114</v>
      </c>
      <c r="J1803" t="s">
        <v>128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849"/>
        <v>14:44:17.586</v>
      </c>
      <c r="T1803" t="str">
        <f t="shared" si="850"/>
        <v>14:44:17.486</v>
      </c>
      <c r="U1803" t="str">
        <f t="shared" si="847"/>
        <v>A9808D</v>
      </c>
      <c r="V1803">
        <v>0</v>
      </c>
      <c r="W1803">
        <v>0</v>
      </c>
      <c r="X1803">
        <v>1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0</v>
      </c>
      <c r="AI1803" t="s">
        <v>475</v>
      </c>
      <c r="AJ1803">
        <v>28.273465999999999</v>
      </c>
      <c r="AK1803" t="s">
        <v>476</v>
      </c>
      <c r="AL1803">
        <v>-82.359931000000003</v>
      </c>
      <c r="AM1803">
        <v>100</v>
      </c>
      <c r="AN1803">
        <v>1900</v>
      </c>
      <c r="AO1803" t="s">
        <v>118</v>
      </c>
      <c r="AP1803">
        <v>70</v>
      </c>
      <c r="AQ1803">
        <v>-70</v>
      </c>
      <c r="AR1803">
        <v>256</v>
      </c>
      <c r="AZ1803">
        <v>1200</v>
      </c>
      <c r="BA1803">
        <v>1</v>
      </c>
      <c r="BB1803" t="str">
        <f t="shared" si="828"/>
        <v xml:space="preserve">N711JA  </v>
      </c>
      <c r="BC1803">
        <v>1</v>
      </c>
      <c r="BE1803">
        <v>0</v>
      </c>
      <c r="BF1803">
        <v>0</v>
      </c>
      <c r="BG1803">
        <v>0</v>
      </c>
      <c r="BH1803">
        <v>1950</v>
      </c>
      <c r="BI1803">
        <v>1</v>
      </c>
      <c r="BJ1803">
        <v>1</v>
      </c>
      <c r="BK1803">
        <v>0</v>
      </c>
      <c r="BL1803">
        <v>0</v>
      </c>
      <c r="BO1803">
        <v>0</v>
      </c>
      <c r="BP1803">
        <v>0</v>
      </c>
      <c r="BW1803" t="str">
        <f t="shared" si="851"/>
        <v>14:44:17.593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343</v>
      </c>
      <c r="CR1803">
        <v>1</v>
      </c>
      <c r="CW1803">
        <v>10712325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 t="shared" si="848"/>
        <v>05/12/2020 14:43:59.750</v>
      </c>
      <c r="C1804" t="str">
        <f t="shared" si="827"/>
        <v>FFDFD3C0</v>
      </c>
      <c r="D1804" t="s">
        <v>134</v>
      </c>
      <c r="E1804">
        <v>12</v>
      </c>
      <c r="H1804">
        <v>64</v>
      </c>
      <c r="I1804" t="s">
        <v>135</v>
      </c>
      <c r="J1804" t="s">
        <v>136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849"/>
        <v>14:44:17.586</v>
      </c>
      <c r="T1804" t="str">
        <f t="shared" si="850"/>
        <v>14:44:17.486</v>
      </c>
      <c r="U1804" t="str">
        <f t="shared" si="847"/>
        <v>A9808D</v>
      </c>
      <c r="V1804">
        <v>0</v>
      </c>
      <c r="W1804">
        <v>0</v>
      </c>
      <c r="X1804">
        <v>1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0</v>
      </c>
      <c r="AI1804" t="s">
        <v>475</v>
      </c>
      <c r="AJ1804">
        <v>28.273465999999999</v>
      </c>
      <c r="AK1804" t="s">
        <v>476</v>
      </c>
      <c r="AL1804">
        <v>-82.359931000000003</v>
      </c>
      <c r="AM1804">
        <v>100</v>
      </c>
      <c r="AN1804">
        <v>1900</v>
      </c>
      <c r="AO1804" t="s">
        <v>118</v>
      </c>
      <c r="AP1804">
        <v>70</v>
      </c>
      <c r="AQ1804">
        <v>-70</v>
      </c>
      <c r="AR1804">
        <v>256</v>
      </c>
      <c r="AZ1804">
        <v>1200</v>
      </c>
      <c r="BA1804">
        <v>1</v>
      </c>
      <c r="BB1804" t="str">
        <f t="shared" si="828"/>
        <v xml:space="preserve">N711JA  </v>
      </c>
      <c r="BC1804">
        <v>1</v>
      </c>
      <c r="BE1804">
        <v>0</v>
      </c>
      <c r="BF1804">
        <v>0</v>
      </c>
      <c r="BG1804">
        <v>0</v>
      </c>
      <c r="BH1804">
        <v>1950</v>
      </c>
      <c r="BI1804">
        <v>1</v>
      </c>
      <c r="BJ1804">
        <v>1</v>
      </c>
      <c r="BK1804">
        <v>0</v>
      </c>
      <c r="BL1804">
        <v>0</v>
      </c>
      <c r="BO1804">
        <v>0</v>
      </c>
      <c r="BP1804">
        <v>0</v>
      </c>
      <c r="BW1804" t="str">
        <f t="shared" si="851"/>
        <v>14:44:17.593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343</v>
      </c>
      <c r="CR1804">
        <v>1</v>
      </c>
      <c r="CW1804">
        <v>10712325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 t="shared" ref="A1805:A1813" si="852">"05/12/2020 14:44:00.657"</f>
        <v>05/12/2020 14:44:00.657</v>
      </c>
      <c r="C1805" t="str">
        <f t="shared" si="827"/>
        <v>FFDFD3C0</v>
      </c>
      <c r="D1805" t="s">
        <v>134</v>
      </c>
      <c r="E1805">
        <v>12</v>
      </c>
      <c r="H1805">
        <v>64</v>
      </c>
      <c r="I1805" t="s">
        <v>135</v>
      </c>
      <c r="J1805" t="s">
        <v>136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ref="S1805:S1813" si="853">"14:44:18.492"</f>
        <v>14:44:18.492</v>
      </c>
      <c r="T1805" t="str">
        <f t="shared" ref="T1805:T1813" si="854">"14:44:18.092"</f>
        <v>14:44:18.092</v>
      </c>
      <c r="U1805" t="str">
        <f t="shared" si="847"/>
        <v>A9808D</v>
      </c>
      <c r="V1805">
        <v>0</v>
      </c>
      <c r="W1805">
        <v>0</v>
      </c>
      <c r="X1805">
        <v>1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0</v>
      </c>
      <c r="AI1805" t="s">
        <v>477</v>
      </c>
      <c r="AJ1805">
        <v>28.273187</v>
      </c>
      <c r="AK1805" t="s">
        <v>478</v>
      </c>
      <c r="AL1805">
        <v>-82.359588000000002</v>
      </c>
      <c r="AM1805">
        <v>100</v>
      </c>
      <c r="AN1805">
        <v>1900</v>
      </c>
      <c r="AO1805" t="s">
        <v>118</v>
      </c>
      <c r="AP1805">
        <v>70</v>
      </c>
      <c r="AQ1805">
        <v>-70</v>
      </c>
      <c r="AR1805">
        <v>256</v>
      </c>
      <c r="AZ1805">
        <v>1200</v>
      </c>
      <c r="BA1805">
        <v>1</v>
      </c>
      <c r="BB1805" t="str">
        <f t="shared" si="828"/>
        <v xml:space="preserve">N711JA  </v>
      </c>
      <c r="BC1805">
        <v>1</v>
      </c>
      <c r="BE1805">
        <v>0</v>
      </c>
      <c r="BF1805">
        <v>0</v>
      </c>
      <c r="BG1805">
        <v>0</v>
      </c>
      <c r="BH1805">
        <v>1975</v>
      </c>
      <c r="BI1805">
        <v>1</v>
      </c>
      <c r="BJ1805">
        <v>1</v>
      </c>
      <c r="BK1805">
        <v>0</v>
      </c>
      <c r="BL1805">
        <v>0</v>
      </c>
      <c r="BO1805">
        <v>0</v>
      </c>
      <c r="BP1805">
        <v>0</v>
      </c>
      <c r="BW1805" t="str">
        <f t="shared" ref="BW1805:BW1813" si="855">"14:44:18.497"</f>
        <v>14:44:18.497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343</v>
      </c>
      <c r="CR1805">
        <v>1</v>
      </c>
      <c r="CW1805">
        <v>10713232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 t="shared" si="852"/>
        <v>05/12/2020 14:44:00.657</v>
      </c>
      <c r="C1806" t="str">
        <f t="shared" si="827"/>
        <v>FFDFD3C0</v>
      </c>
      <c r="D1806" t="s">
        <v>138</v>
      </c>
      <c r="E1806">
        <v>2</v>
      </c>
      <c r="H1806">
        <v>8</v>
      </c>
      <c r="I1806" t="s">
        <v>139</v>
      </c>
      <c r="J1806" t="s">
        <v>136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853"/>
        <v>14:44:18.492</v>
      </c>
      <c r="T1806" t="str">
        <f t="shared" si="854"/>
        <v>14:44:18.092</v>
      </c>
      <c r="U1806" t="str">
        <f t="shared" si="847"/>
        <v>A9808D</v>
      </c>
      <c r="V1806">
        <v>0</v>
      </c>
      <c r="W1806">
        <v>0</v>
      </c>
      <c r="X1806">
        <v>1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0</v>
      </c>
      <c r="AI1806" t="s">
        <v>477</v>
      </c>
      <c r="AJ1806">
        <v>28.273187</v>
      </c>
      <c r="AK1806" t="s">
        <v>478</v>
      </c>
      <c r="AL1806">
        <v>-82.359588000000002</v>
      </c>
      <c r="AM1806">
        <v>100</v>
      </c>
      <c r="AN1806">
        <v>1900</v>
      </c>
      <c r="AO1806" t="s">
        <v>118</v>
      </c>
      <c r="AP1806">
        <v>70</v>
      </c>
      <c r="AQ1806">
        <v>-70</v>
      </c>
      <c r="AR1806">
        <v>256</v>
      </c>
      <c r="AZ1806">
        <v>1200</v>
      </c>
      <c r="BA1806">
        <v>1</v>
      </c>
      <c r="BB1806" t="str">
        <f t="shared" si="828"/>
        <v xml:space="preserve">N711JA  </v>
      </c>
      <c r="BC1806">
        <v>1</v>
      </c>
      <c r="BE1806">
        <v>0</v>
      </c>
      <c r="BF1806">
        <v>0</v>
      </c>
      <c r="BG1806">
        <v>0</v>
      </c>
      <c r="BH1806">
        <v>1975</v>
      </c>
      <c r="BI1806">
        <v>1</v>
      </c>
      <c r="BJ1806">
        <v>1</v>
      </c>
      <c r="BK1806">
        <v>0</v>
      </c>
      <c r="BL1806">
        <v>0</v>
      </c>
      <c r="BO1806">
        <v>0</v>
      </c>
      <c r="BP1806">
        <v>0</v>
      </c>
      <c r="BW1806" t="str">
        <f t="shared" si="855"/>
        <v>14:44:18.497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56</v>
      </c>
      <c r="CR1806">
        <v>2</v>
      </c>
      <c r="CW1806">
        <v>4771858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 t="shared" si="852"/>
        <v>05/12/2020 14:44:00.657</v>
      </c>
      <c r="C1807" t="str">
        <f t="shared" si="827"/>
        <v>FFDFD3C0</v>
      </c>
      <c r="D1807" t="s">
        <v>138</v>
      </c>
      <c r="E1807">
        <v>3</v>
      </c>
      <c r="H1807">
        <v>9</v>
      </c>
      <c r="I1807" t="s">
        <v>140</v>
      </c>
      <c r="J1807" t="s">
        <v>136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853"/>
        <v>14:44:18.492</v>
      </c>
      <c r="T1807" t="str">
        <f t="shared" si="854"/>
        <v>14:44:18.092</v>
      </c>
      <c r="U1807" t="str">
        <f t="shared" si="847"/>
        <v>A9808D</v>
      </c>
      <c r="V1807">
        <v>0</v>
      </c>
      <c r="W1807">
        <v>0</v>
      </c>
      <c r="X1807">
        <v>1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0</v>
      </c>
      <c r="AI1807" t="s">
        <v>477</v>
      </c>
      <c r="AJ1807">
        <v>28.273187</v>
      </c>
      <c r="AK1807" t="s">
        <v>478</v>
      </c>
      <c r="AL1807">
        <v>-82.359588000000002</v>
      </c>
      <c r="AM1807">
        <v>100</v>
      </c>
      <c r="AN1807">
        <v>1900</v>
      </c>
      <c r="AO1807" t="s">
        <v>118</v>
      </c>
      <c r="AP1807">
        <v>70</v>
      </c>
      <c r="AQ1807">
        <v>-70</v>
      </c>
      <c r="AR1807">
        <v>256</v>
      </c>
      <c r="AZ1807">
        <v>1200</v>
      </c>
      <c r="BA1807">
        <v>1</v>
      </c>
      <c r="BB1807" t="str">
        <f t="shared" si="828"/>
        <v xml:space="preserve">N711JA  </v>
      </c>
      <c r="BC1807">
        <v>1</v>
      </c>
      <c r="BE1807">
        <v>0</v>
      </c>
      <c r="BF1807">
        <v>0</v>
      </c>
      <c r="BG1807">
        <v>0</v>
      </c>
      <c r="BH1807">
        <v>1975</v>
      </c>
      <c r="BI1807">
        <v>1</v>
      </c>
      <c r="BJ1807">
        <v>1</v>
      </c>
      <c r="BK1807">
        <v>0</v>
      </c>
      <c r="BL1807">
        <v>0</v>
      </c>
      <c r="BO1807">
        <v>0</v>
      </c>
      <c r="BP1807">
        <v>0</v>
      </c>
      <c r="BW1807" t="str">
        <f t="shared" si="855"/>
        <v>14:44:18.497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56</v>
      </c>
      <c r="CR1807">
        <v>2</v>
      </c>
      <c r="CW1807">
        <v>4771858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si="852"/>
        <v>05/12/2020 14:44:00.657</v>
      </c>
      <c r="C1808" t="str">
        <f t="shared" si="827"/>
        <v>FFDFD3C0</v>
      </c>
      <c r="D1808" t="s">
        <v>131</v>
      </c>
      <c r="E1808">
        <v>10</v>
      </c>
      <c r="F1808">
        <v>2010</v>
      </c>
      <c r="G1808" t="s">
        <v>132</v>
      </c>
      <c r="J1808" t="s">
        <v>133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853"/>
        <v>14:44:18.492</v>
      </c>
      <c r="T1808" t="str">
        <f t="shared" si="854"/>
        <v>14:44:18.092</v>
      </c>
      <c r="U1808" t="str">
        <f t="shared" si="847"/>
        <v>A9808D</v>
      </c>
      <c r="V1808">
        <v>0</v>
      </c>
      <c r="W1808">
        <v>0</v>
      </c>
      <c r="X1808">
        <v>1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0</v>
      </c>
      <c r="AI1808" t="s">
        <v>477</v>
      </c>
      <c r="AJ1808">
        <v>28.273187</v>
      </c>
      <c r="AK1808" t="s">
        <v>478</v>
      </c>
      <c r="AL1808">
        <v>-82.359588000000002</v>
      </c>
      <c r="AM1808">
        <v>100</v>
      </c>
      <c r="AN1808">
        <v>1900</v>
      </c>
      <c r="AO1808" t="s">
        <v>118</v>
      </c>
      <c r="AP1808">
        <v>70</v>
      </c>
      <c r="AQ1808">
        <v>-70</v>
      </c>
      <c r="AR1808">
        <v>256</v>
      </c>
      <c r="AZ1808">
        <v>1200</v>
      </c>
      <c r="BA1808">
        <v>1</v>
      </c>
      <c r="BB1808" t="str">
        <f t="shared" si="828"/>
        <v xml:space="preserve">N711JA  </v>
      </c>
      <c r="BC1808">
        <v>1</v>
      </c>
      <c r="BE1808">
        <v>0</v>
      </c>
      <c r="BF1808">
        <v>0</v>
      </c>
      <c r="BG1808">
        <v>0</v>
      </c>
      <c r="BH1808">
        <v>1975</v>
      </c>
      <c r="BI1808">
        <v>1</v>
      </c>
      <c r="BJ1808">
        <v>1</v>
      </c>
      <c r="BK1808">
        <v>0</v>
      </c>
      <c r="BL1808">
        <v>0</v>
      </c>
      <c r="BO1808">
        <v>0</v>
      </c>
      <c r="BP1808">
        <v>0</v>
      </c>
      <c r="BW1808" t="str">
        <f t="shared" si="855"/>
        <v>14:44:18.497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56</v>
      </c>
      <c r="CR1808">
        <v>2</v>
      </c>
      <c r="CW1808">
        <v>4771858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852"/>
        <v>05/12/2020 14:44:00.657</v>
      </c>
      <c r="C1809" t="str">
        <f t="shared" si="827"/>
        <v>FFDFD3C0</v>
      </c>
      <c r="D1809" t="s">
        <v>126</v>
      </c>
      <c r="E1809">
        <v>7</v>
      </c>
      <c r="F1809">
        <v>1007</v>
      </c>
      <c r="G1809" t="s">
        <v>127</v>
      </c>
      <c r="J1809" t="s">
        <v>128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853"/>
        <v>14:44:18.492</v>
      </c>
      <c r="T1809" t="str">
        <f t="shared" si="854"/>
        <v>14:44:18.092</v>
      </c>
      <c r="U1809" t="str">
        <f t="shared" si="847"/>
        <v>A9808D</v>
      </c>
      <c r="V1809">
        <v>0</v>
      </c>
      <c r="W1809">
        <v>0</v>
      </c>
      <c r="X1809">
        <v>1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0</v>
      </c>
      <c r="AI1809" t="s">
        <v>477</v>
      </c>
      <c r="AJ1809">
        <v>28.273187</v>
      </c>
      <c r="AK1809" t="s">
        <v>478</v>
      </c>
      <c r="AL1809">
        <v>-82.359588000000002</v>
      </c>
      <c r="AM1809">
        <v>100</v>
      </c>
      <c r="AN1809">
        <v>1900</v>
      </c>
      <c r="AO1809" t="s">
        <v>118</v>
      </c>
      <c r="AP1809">
        <v>70</v>
      </c>
      <c r="AQ1809">
        <v>-70</v>
      </c>
      <c r="AR1809">
        <v>256</v>
      </c>
      <c r="AZ1809">
        <v>1200</v>
      </c>
      <c r="BA1809">
        <v>1</v>
      </c>
      <c r="BB1809" t="str">
        <f t="shared" si="828"/>
        <v xml:space="preserve">N711JA  </v>
      </c>
      <c r="BC1809">
        <v>1</v>
      </c>
      <c r="BE1809">
        <v>0</v>
      </c>
      <c r="BF1809">
        <v>0</v>
      </c>
      <c r="BG1809">
        <v>0</v>
      </c>
      <c r="BH1809">
        <v>1975</v>
      </c>
      <c r="BI1809">
        <v>1</v>
      </c>
      <c r="BJ1809">
        <v>1</v>
      </c>
      <c r="BK1809">
        <v>0</v>
      </c>
      <c r="BL1809">
        <v>0</v>
      </c>
      <c r="BO1809">
        <v>0</v>
      </c>
      <c r="BP1809">
        <v>0</v>
      </c>
      <c r="BW1809" t="str">
        <f t="shared" si="855"/>
        <v>14:44:18.497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56</v>
      </c>
      <c r="CR1809">
        <v>2</v>
      </c>
      <c r="CW1809">
        <v>4771858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852"/>
        <v>05/12/2020 14:44:00.657</v>
      </c>
      <c r="C1810" t="str">
        <f t="shared" si="827"/>
        <v>FFDFD3C0</v>
      </c>
      <c r="D1810" t="s">
        <v>131</v>
      </c>
      <c r="E1810">
        <v>12</v>
      </c>
      <c r="F1810">
        <v>2012</v>
      </c>
      <c r="G1810" t="s">
        <v>137</v>
      </c>
      <c r="J1810" t="s">
        <v>133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853"/>
        <v>14:44:18.492</v>
      </c>
      <c r="T1810" t="str">
        <f t="shared" si="854"/>
        <v>14:44:18.092</v>
      </c>
      <c r="U1810" t="str">
        <f t="shared" si="847"/>
        <v>A9808D</v>
      </c>
      <c r="V1810">
        <v>0</v>
      </c>
      <c r="W1810">
        <v>0</v>
      </c>
      <c r="X1810">
        <v>1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0</v>
      </c>
      <c r="AI1810" t="s">
        <v>477</v>
      </c>
      <c r="AJ1810">
        <v>28.273187</v>
      </c>
      <c r="AK1810" t="s">
        <v>478</v>
      </c>
      <c r="AL1810">
        <v>-82.359588000000002</v>
      </c>
      <c r="AM1810">
        <v>100</v>
      </c>
      <c r="AN1810">
        <v>1900</v>
      </c>
      <c r="AO1810" t="s">
        <v>118</v>
      </c>
      <c r="AP1810">
        <v>70</v>
      </c>
      <c r="AQ1810">
        <v>-70</v>
      </c>
      <c r="AR1810">
        <v>256</v>
      </c>
      <c r="AZ1810">
        <v>1200</v>
      </c>
      <c r="BA1810">
        <v>1</v>
      </c>
      <c r="BB1810" t="str">
        <f t="shared" si="828"/>
        <v xml:space="preserve">N711JA  </v>
      </c>
      <c r="BC1810">
        <v>1</v>
      </c>
      <c r="BE1810">
        <v>0</v>
      </c>
      <c r="BF1810">
        <v>0</v>
      </c>
      <c r="BG1810">
        <v>0</v>
      </c>
      <c r="BH1810">
        <v>1975</v>
      </c>
      <c r="BI1810">
        <v>1</v>
      </c>
      <c r="BJ1810">
        <v>1</v>
      </c>
      <c r="BK1810">
        <v>0</v>
      </c>
      <c r="BL1810">
        <v>0</v>
      </c>
      <c r="BO1810">
        <v>0</v>
      </c>
      <c r="BP1810">
        <v>0</v>
      </c>
      <c r="BW1810" t="str">
        <f t="shared" si="855"/>
        <v>14:44:18.497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56</v>
      </c>
      <c r="CR1810">
        <v>2</v>
      </c>
      <c r="CW1810">
        <v>4771858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si="852"/>
        <v>05/12/2020 14:44:00.657</v>
      </c>
      <c r="C1811" t="str">
        <f t="shared" si="827"/>
        <v>FFDFD3C0</v>
      </c>
      <c r="D1811" t="s">
        <v>131</v>
      </c>
      <c r="E1811">
        <v>18</v>
      </c>
      <c r="F1811">
        <v>2018</v>
      </c>
      <c r="G1811" t="s">
        <v>161</v>
      </c>
      <c r="J1811" t="s">
        <v>133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853"/>
        <v>14:44:18.492</v>
      </c>
      <c r="T1811" t="str">
        <f t="shared" si="854"/>
        <v>14:44:18.092</v>
      </c>
      <c r="U1811" t="str">
        <f t="shared" si="847"/>
        <v>A9808D</v>
      </c>
      <c r="V1811">
        <v>0</v>
      </c>
      <c r="W1811">
        <v>0</v>
      </c>
      <c r="X1811">
        <v>1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0</v>
      </c>
      <c r="AI1811" t="s">
        <v>477</v>
      </c>
      <c r="AJ1811">
        <v>28.273187</v>
      </c>
      <c r="AK1811" t="s">
        <v>478</v>
      </c>
      <c r="AL1811">
        <v>-82.359588000000002</v>
      </c>
      <c r="AM1811">
        <v>100</v>
      </c>
      <c r="AN1811">
        <v>1900</v>
      </c>
      <c r="AO1811" t="s">
        <v>118</v>
      </c>
      <c r="AP1811">
        <v>70</v>
      </c>
      <c r="AQ1811">
        <v>-70</v>
      </c>
      <c r="AR1811">
        <v>256</v>
      </c>
      <c r="AZ1811">
        <v>1200</v>
      </c>
      <c r="BA1811">
        <v>1</v>
      </c>
      <c r="BB1811" t="str">
        <f t="shared" si="828"/>
        <v xml:space="preserve">N711JA  </v>
      </c>
      <c r="BC1811">
        <v>1</v>
      </c>
      <c r="BE1811">
        <v>0</v>
      </c>
      <c r="BF1811">
        <v>0</v>
      </c>
      <c r="BG1811">
        <v>0</v>
      </c>
      <c r="BH1811">
        <v>1975</v>
      </c>
      <c r="BI1811">
        <v>1</v>
      </c>
      <c r="BJ1811">
        <v>1</v>
      </c>
      <c r="BK1811">
        <v>0</v>
      </c>
      <c r="BL1811">
        <v>0</v>
      </c>
      <c r="BO1811">
        <v>0</v>
      </c>
      <c r="BP1811">
        <v>0</v>
      </c>
      <c r="BW1811" t="str">
        <f t="shared" si="855"/>
        <v>14:44:18.497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56</v>
      </c>
      <c r="CR1811">
        <v>2</v>
      </c>
      <c r="CW1811">
        <v>4771858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si="852"/>
        <v>05/12/2020 14:44:00.657</v>
      </c>
      <c r="C1812" t="str">
        <f t="shared" si="827"/>
        <v>FFDFD3C0</v>
      </c>
      <c r="D1812" t="s">
        <v>113</v>
      </c>
      <c r="E1812">
        <v>3</v>
      </c>
      <c r="H1812">
        <v>164</v>
      </c>
      <c r="I1812" t="s">
        <v>114</v>
      </c>
      <c r="J1812" t="s">
        <v>115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853"/>
        <v>14:44:18.492</v>
      </c>
      <c r="T1812" t="str">
        <f t="shared" si="854"/>
        <v>14:44:18.092</v>
      </c>
      <c r="U1812" t="str">
        <f t="shared" si="847"/>
        <v>A9808D</v>
      </c>
      <c r="V1812">
        <v>0</v>
      </c>
      <c r="W1812">
        <v>0</v>
      </c>
      <c r="X1812">
        <v>1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0</v>
      </c>
      <c r="AI1812" t="s">
        <v>477</v>
      </c>
      <c r="AJ1812">
        <v>28.273187</v>
      </c>
      <c r="AK1812" t="s">
        <v>478</v>
      </c>
      <c r="AL1812">
        <v>-82.359588000000002</v>
      </c>
      <c r="AM1812">
        <v>100</v>
      </c>
      <c r="AN1812">
        <v>1900</v>
      </c>
      <c r="AO1812" t="s">
        <v>118</v>
      </c>
      <c r="AP1812">
        <v>70</v>
      </c>
      <c r="AQ1812">
        <v>-70</v>
      </c>
      <c r="AR1812">
        <v>256</v>
      </c>
      <c r="AZ1812">
        <v>1200</v>
      </c>
      <c r="BA1812">
        <v>1</v>
      </c>
      <c r="BB1812" t="str">
        <f t="shared" si="828"/>
        <v xml:space="preserve">N711JA  </v>
      </c>
      <c r="BC1812">
        <v>1</v>
      </c>
      <c r="BE1812">
        <v>0</v>
      </c>
      <c r="BF1812">
        <v>0</v>
      </c>
      <c r="BG1812">
        <v>0</v>
      </c>
      <c r="BH1812">
        <v>1975</v>
      </c>
      <c r="BI1812">
        <v>1</v>
      </c>
      <c r="BJ1812">
        <v>1</v>
      </c>
      <c r="BK1812">
        <v>0</v>
      </c>
      <c r="BL1812">
        <v>0</v>
      </c>
      <c r="BO1812">
        <v>0</v>
      </c>
      <c r="BP1812">
        <v>0</v>
      </c>
      <c r="BW1812" t="str">
        <f t="shared" si="855"/>
        <v>14:44:18.497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56</v>
      </c>
      <c r="CR1812">
        <v>2</v>
      </c>
      <c r="CW1812">
        <v>4771858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si="852"/>
        <v>05/12/2020 14:44:00.657</v>
      </c>
      <c r="C1813" t="str">
        <f t="shared" si="827"/>
        <v>FFDFD3C0</v>
      </c>
      <c r="D1813" t="s">
        <v>126</v>
      </c>
      <c r="E1813">
        <v>6</v>
      </c>
      <c r="F1813">
        <v>1006</v>
      </c>
      <c r="G1813" t="s">
        <v>114</v>
      </c>
      <c r="J1813" t="s">
        <v>128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853"/>
        <v>14:44:18.492</v>
      </c>
      <c r="T1813" t="str">
        <f t="shared" si="854"/>
        <v>14:44:18.092</v>
      </c>
      <c r="U1813" t="str">
        <f t="shared" si="847"/>
        <v>A9808D</v>
      </c>
      <c r="V1813">
        <v>0</v>
      </c>
      <c r="W1813">
        <v>0</v>
      </c>
      <c r="X1813">
        <v>1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0</v>
      </c>
      <c r="AI1813" t="s">
        <v>477</v>
      </c>
      <c r="AJ1813">
        <v>28.273187</v>
      </c>
      <c r="AK1813" t="s">
        <v>478</v>
      </c>
      <c r="AL1813">
        <v>-82.359588000000002</v>
      </c>
      <c r="AM1813">
        <v>100</v>
      </c>
      <c r="AN1813">
        <v>1900</v>
      </c>
      <c r="AO1813" t="s">
        <v>118</v>
      </c>
      <c r="AP1813">
        <v>70</v>
      </c>
      <c r="AQ1813">
        <v>-70</v>
      </c>
      <c r="AR1813">
        <v>256</v>
      </c>
      <c r="AZ1813">
        <v>1200</v>
      </c>
      <c r="BA1813">
        <v>1</v>
      </c>
      <c r="BB1813" t="str">
        <f t="shared" si="828"/>
        <v xml:space="preserve">N711JA  </v>
      </c>
      <c r="BC1813">
        <v>1</v>
      </c>
      <c r="BE1813">
        <v>0</v>
      </c>
      <c r="BF1813">
        <v>0</v>
      </c>
      <c r="BG1813">
        <v>0</v>
      </c>
      <c r="BH1813">
        <v>1975</v>
      </c>
      <c r="BI1813">
        <v>1</v>
      </c>
      <c r="BJ1813">
        <v>1</v>
      </c>
      <c r="BK1813">
        <v>0</v>
      </c>
      <c r="BL1813">
        <v>0</v>
      </c>
      <c r="BO1813">
        <v>0</v>
      </c>
      <c r="BP1813">
        <v>0</v>
      </c>
      <c r="BW1813" t="str">
        <f t="shared" si="855"/>
        <v>14:44:18.497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56</v>
      </c>
      <c r="CR1813">
        <v>2</v>
      </c>
      <c r="CW1813">
        <v>4771858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ref="A1814:A1822" si="856">"05/12/2020 14:44:01.671"</f>
        <v>05/12/2020 14:44:01.671</v>
      </c>
      <c r="C1814" t="str">
        <f t="shared" ref="C1814:C1877" si="857">"FFDFD3C0"</f>
        <v>FFDFD3C0</v>
      </c>
      <c r="D1814" t="s">
        <v>134</v>
      </c>
      <c r="E1814">
        <v>12</v>
      </c>
      <c r="H1814">
        <v>64</v>
      </c>
      <c r="I1814" t="s">
        <v>135</v>
      </c>
      <c r="J1814" t="s">
        <v>136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ref="S1814:S1822" si="858">"14:44:19.492"</f>
        <v>14:44:19.492</v>
      </c>
      <c r="T1814" t="str">
        <f t="shared" ref="T1814:T1822" si="859">"14:44:19.092"</f>
        <v>14:44:19.092</v>
      </c>
      <c r="U1814" t="str">
        <f t="shared" si="847"/>
        <v>A9808D</v>
      </c>
      <c r="V1814">
        <v>0</v>
      </c>
      <c r="W1814">
        <v>0</v>
      </c>
      <c r="X1814">
        <v>1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0</v>
      </c>
      <c r="AI1814" t="s">
        <v>479</v>
      </c>
      <c r="AJ1814">
        <v>28.272864999999999</v>
      </c>
      <c r="AK1814" t="s">
        <v>480</v>
      </c>
      <c r="AL1814">
        <v>-82.359223</v>
      </c>
      <c r="AM1814">
        <v>100</v>
      </c>
      <c r="AN1814">
        <v>1900</v>
      </c>
      <c r="AO1814" t="s">
        <v>118</v>
      </c>
      <c r="AP1814">
        <v>71</v>
      </c>
      <c r="AQ1814">
        <v>-70</v>
      </c>
      <c r="AR1814">
        <v>320</v>
      </c>
      <c r="AZ1814">
        <v>1200</v>
      </c>
      <c r="BA1814">
        <v>1</v>
      </c>
      <c r="BB1814" t="str">
        <f t="shared" ref="BB1814:BB1877" si="860">"N711JA  "</f>
        <v xml:space="preserve">N711JA  </v>
      </c>
      <c r="BC1814">
        <v>1</v>
      </c>
      <c r="BE1814">
        <v>0</v>
      </c>
      <c r="BF1814">
        <v>0</v>
      </c>
      <c r="BG1814">
        <v>0</v>
      </c>
      <c r="BH1814">
        <v>1975</v>
      </c>
      <c r="BI1814">
        <v>1</v>
      </c>
      <c r="BJ1814">
        <v>1</v>
      </c>
      <c r="BK1814">
        <v>0</v>
      </c>
      <c r="BL1814">
        <v>0</v>
      </c>
      <c r="BO1814">
        <v>0</v>
      </c>
      <c r="BP1814">
        <v>0</v>
      </c>
      <c r="BW1814" t="str">
        <f t="shared" ref="BW1814:BW1822" si="861">"14:44:19.499"</f>
        <v>14:44:19.499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343</v>
      </c>
      <c r="CR1814">
        <v>1</v>
      </c>
      <c r="CW1814">
        <v>10714318</v>
      </c>
      <c r="CY1814">
        <v>1</v>
      </c>
      <c r="CZ1814">
        <v>0</v>
      </c>
      <c r="DA1814">
        <v>0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 t="shared" si="856"/>
        <v>05/12/2020 14:44:01.671</v>
      </c>
      <c r="C1815" t="str">
        <f t="shared" si="857"/>
        <v>FFDFD3C0</v>
      </c>
      <c r="D1815" t="s">
        <v>131</v>
      </c>
      <c r="E1815">
        <v>10</v>
      </c>
      <c r="F1815">
        <v>2010</v>
      </c>
      <c r="G1815" t="s">
        <v>132</v>
      </c>
      <c r="J1815" t="s">
        <v>133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858"/>
        <v>14:44:19.492</v>
      </c>
      <c r="T1815" t="str">
        <f t="shared" si="859"/>
        <v>14:44:19.092</v>
      </c>
      <c r="U1815" t="str">
        <f t="shared" si="847"/>
        <v>A9808D</v>
      </c>
      <c r="V1815">
        <v>0</v>
      </c>
      <c r="W1815">
        <v>0</v>
      </c>
      <c r="X1815">
        <v>1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0</v>
      </c>
      <c r="AI1815" t="s">
        <v>479</v>
      </c>
      <c r="AJ1815">
        <v>28.272864999999999</v>
      </c>
      <c r="AK1815" t="s">
        <v>480</v>
      </c>
      <c r="AL1815">
        <v>-82.359223</v>
      </c>
      <c r="AM1815">
        <v>100</v>
      </c>
      <c r="AN1815">
        <v>1900</v>
      </c>
      <c r="AO1815" t="s">
        <v>118</v>
      </c>
      <c r="AP1815">
        <v>71</v>
      </c>
      <c r="AQ1815">
        <v>-70</v>
      </c>
      <c r="AR1815">
        <v>320</v>
      </c>
      <c r="AZ1815">
        <v>1200</v>
      </c>
      <c r="BA1815">
        <v>1</v>
      </c>
      <c r="BB1815" t="str">
        <f t="shared" si="860"/>
        <v xml:space="preserve">N711JA  </v>
      </c>
      <c r="BC1815">
        <v>1</v>
      </c>
      <c r="BE1815">
        <v>0</v>
      </c>
      <c r="BF1815">
        <v>0</v>
      </c>
      <c r="BG1815">
        <v>0</v>
      </c>
      <c r="BH1815">
        <v>1975</v>
      </c>
      <c r="BI1815">
        <v>1</v>
      </c>
      <c r="BJ1815">
        <v>1</v>
      </c>
      <c r="BK1815">
        <v>0</v>
      </c>
      <c r="BL1815">
        <v>0</v>
      </c>
      <c r="BO1815">
        <v>0</v>
      </c>
      <c r="BP1815">
        <v>0</v>
      </c>
      <c r="BW1815" t="str">
        <f t="shared" si="861"/>
        <v>14:44:19.499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343</v>
      </c>
      <c r="CR1815">
        <v>1</v>
      </c>
      <c r="CW1815">
        <v>10714318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 t="shared" si="856"/>
        <v>05/12/2020 14:44:01.671</v>
      </c>
      <c r="C1816" t="str">
        <f t="shared" si="857"/>
        <v>FFDFD3C0</v>
      </c>
      <c r="D1816" t="s">
        <v>126</v>
      </c>
      <c r="E1816">
        <v>7</v>
      </c>
      <c r="F1816">
        <v>1007</v>
      </c>
      <c r="G1816" t="s">
        <v>127</v>
      </c>
      <c r="J1816" t="s">
        <v>128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858"/>
        <v>14:44:19.492</v>
      </c>
      <c r="T1816" t="str">
        <f t="shared" si="859"/>
        <v>14:44:19.092</v>
      </c>
      <c r="U1816" t="str">
        <f t="shared" si="847"/>
        <v>A9808D</v>
      </c>
      <c r="V1816">
        <v>0</v>
      </c>
      <c r="W1816">
        <v>0</v>
      </c>
      <c r="X1816">
        <v>1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0</v>
      </c>
      <c r="AI1816" t="s">
        <v>479</v>
      </c>
      <c r="AJ1816">
        <v>28.272864999999999</v>
      </c>
      <c r="AK1816" t="s">
        <v>480</v>
      </c>
      <c r="AL1816">
        <v>-82.359223</v>
      </c>
      <c r="AM1816">
        <v>100</v>
      </c>
      <c r="AN1816">
        <v>1900</v>
      </c>
      <c r="AO1816" t="s">
        <v>118</v>
      </c>
      <c r="AP1816">
        <v>71</v>
      </c>
      <c r="AQ1816">
        <v>-70</v>
      </c>
      <c r="AR1816">
        <v>320</v>
      </c>
      <c r="AZ1816">
        <v>1200</v>
      </c>
      <c r="BA1816">
        <v>1</v>
      </c>
      <c r="BB1816" t="str">
        <f t="shared" si="860"/>
        <v xml:space="preserve">N711JA  </v>
      </c>
      <c r="BC1816">
        <v>1</v>
      </c>
      <c r="BE1816">
        <v>0</v>
      </c>
      <c r="BF1816">
        <v>0</v>
      </c>
      <c r="BG1816">
        <v>0</v>
      </c>
      <c r="BH1816">
        <v>1975</v>
      </c>
      <c r="BI1816">
        <v>1</v>
      </c>
      <c r="BJ1816">
        <v>1</v>
      </c>
      <c r="BK1816">
        <v>0</v>
      </c>
      <c r="BL1816">
        <v>0</v>
      </c>
      <c r="BO1816">
        <v>0</v>
      </c>
      <c r="BP1816">
        <v>0</v>
      </c>
      <c r="BW1816" t="str">
        <f t="shared" si="861"/>
        <v>14:44:19.499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343</v>
      </c>
      <c r="CR1816">
        <v>1</v>
      </c>
      <c r="CW1816">
        <v>10714318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 t="shared" si="856"/>
        <v>05/12/2020 14:44:01.671</v>
      </c>
      <c r="C1817" t="str">
        <f t="shared" si="857"/>
        <v>FFDFD3C0</v>
      </c>
      <c r="D1817" t="s">
        <v>131</v>
      </c>
      <c r="E1817">
        <v>12</v>
      </c>
      <c r="F1817">
        <v>2012</v>
      </c>
      <c r="G1817" t="s">
        <v>137</v>
      </c>
      <c r="J1817" t="s">
        <v>133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858"/>
        <v>14:44:19.492</v>
      </c>
      <c r="T1817" t="str">
        <f t="shared" si="859"/>
        <v>14:44:19.092</v>
      </c>
      <c r="U1817" t="str">
        <f t="shared" si="847"/>
        <v>A9808D</v>
      </c>
      <c r="V1817">
        <v>0</v>
      </c>
      <c r="W1817">
        <v>0</v>
      </c>
      <c r="X1817">
        <v>1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0</v>
      </c>
      <c r="AI1817" t="s">
        <v>479</v>
      </c>
      <c r="AJ1817">
        <v>28.272864999999999</v>
      </c>
      <c r="AK1817" t="s">
        <v>480</v>
      </c>
      <c r="AL1817">
        <v>-82.359223</v>
      </c>
      <c r="AM1817">
        <v>100</v>
      </c>
      <c r="AN1817">
        <v>1900</v>
      </c>
      <c r="AO1817" t="s">
        <v>118</v>
      </c>
      <c r="AP1817">
        <v>71</v>
      </c>
      <c r="AQ1817">
        <v>-70</v>
      </c>
      <c r="AR1817">
        <v>320</v>
      </c>
      <c r="AZ1817">
        <v>1200</v>
      </c>
      <c r="BA1817">
        <v>1</v>
      </c>
      <c r="BB1817" t="str">
        <f t="shared" si="860"/>
        <v xml:space="preserve">N711JA  </v>
      </c>
      <c r="BC1817">
        <v>1</v>
      </c>
      <c r="BE1817">
        <v>0</v>
      </c>
      <c r="BF1817">
        <v>0</v>
      </c>
      <c r="BG1817">
        <v>0</v>
      </c>
      <c r="BH1817">
        <v>1975</v>
      </c>
      <c r="BI1817">
        <v>1</v>
      </c>
      <c r="BJ1817">
        <v>1</v>
      </c>
      <c r="BK1817">
        <v>0</v>
      </c>
      <c r="BL1817">
        <v>0</v>
      </c>
      <c r="BO1817">
        <v>0</v>
      </c>
      <c r="BP1817">
        <v>0</v>
      </c>
      <c r="BW1817" t="str">
        <f t="shared" si="861"/>
        <v>14:44:19.499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343</v>
      </c>
      <c r="CR1817">
        <v>1</v>
      </c>
      <c r="CW1817">
        <v>10714318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 t="shared" si="856"/>
        <v>05/12/2020 14:44:01.671</v>
      </c>
      <c r="C1818" t="str">
        <f t="shared" si="857"/>
        <v>FFDFD3C0</v>
      </c>
      <c r="D1818" t="s">
        <v>138</v>
      </c>
      <c r="E1818">
        <v>2</v>
      </c>
      <c r="H1818">
        <v>8</v>
      </c>
      <c r="I1818" t="s">
        <v>139</v>
      </c>
      <c r="J1818" t="s">
        <v>136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858"/>
        <v>14:44:19.492</v>
      </c>
      <c r="T1818" t="str">
        <f t="shared" si="859"/>
        <v>14:44:19.092</v>
      </c>
      <c r="U1818" t="str">
        <f t="shared" si="847"/>
        <v>A9808D</v>
      </c>
      <c r="V1818">
        <v>0</v>
      </c>
      <c r="W1818">
        <v>0</v>
      </c>
      <c r="X1818">
        <v>1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0</v>
      </c>
      <c r="AI1818" t="s">
        <v>479</v>
      </c>
      <c r="AJ1818">
        <v>28.272864999999999</v>
      </c>
      <c r="AK1818" t="s">
        <v>480</v>
      </c>
      <c r="AL1818">
        <v>-82.359223</v>
      </c>
      <c r="AM1818">
        <v>100</v>
      </c>
      <c r="AN1818">
        <v>1900</v>
      </c>
      <c r="AO1818" t="s">
        <v>118</v>
      </c>
      <c r="AP1818">
        <v>71</v>
      </c>
      <c r="AQ1818">
        <v>-70</v>
      </c>
      <c r="AR1818">
        <v>320</v>
      </c>
      <c r="AZ1818">
        <v>1200</v>
      </c>
      <c r="BA1818">
        <v>1</v>
      </c>
      <c r="BB1818" t="str">
        <f t="shared" si="860"/>
        <v xml:space="preserve">N711JA  </v>
      </c>
      <c r="BC1818">
        <v>1</v>
      </c>
      <c r="BE1818">
        <v>0</v>
      </c>
      <c r="BF1818">
        <v>0</v>
      </c>
      <c r="BG1818">
        <v>0</v>
      </c>
      <c r="BH1818">
        <v>1975</v>
      </c>
      <c r="BI1818">
        <v>1</v>
      </c>
      <c r="BJ1818">
        <v>1</v>
      </c>
      <c r="BK1818">
        <v>0</v>
      </c>
      <c r="BL1818">
        <v>0</v>
      </c>
      <c r="BO1818">
        <v>0</v>
      </c>
      <c r="BP1818">
        <v>0</v>
      </c>
      <c r="BW1818" t="str">
        <f t="shared" si="861"/>
        <v>14:44:19.499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343</v>
      </c>
      <c r="CR1818">
        <v>1</v>
      </c>
      <c r="CW1818">
        <v>10714318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 t="shared" si="856"/>
        <v>05/12/2020 14:44:01.671</v>
      </c>
      <c r="C1819" t="str">
        <f t="shared" si="857"/>
        <v>FFDFD3C0</v>
      </c>
      <c r="D1819" t="s">
        <v>138</v>
      </c>
      <c r="E1819">
        <v>3</v>
      </c>
      <c r="H1819">
        <v>9</v>
      </c>
      <c r="I1819" t="s">
        <v>140</v>
      </c>
      <c r="J1819" t="s">
        <v>136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858"/>
        <v>14:44:19.492</v>
      </c>
      <c r="T1819" t="str">
        <f t="shared" si="859"/>
        <v>14:44:19.092</v>
      </c>
      <c r="U1819" t="str">
        <f t="shared" si="847"/>
        <v>A9808D</v>
      </c>
      <c r="V1819">
        <v>0</v>
      </c>
      <c r="W1819">
        <v>0</v>
      </c>
      <c r="X1819">
        <v>1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0</v>
      </c>
      <c r="AI1819" t="s">
        <v>479</v>
      </c>
      <c r="AJ1819">
        <v>28.272864999999999</v>
      </c>
      <c r="AK1819" t="s">
        <v>480</v>
      </c>
      <c r="AL1819">
        <v>-82.359223</v>
      </c>
      <c r="AM1819">
        <v>100</v>
      </c>
      <c r="AN1819">
        <v>1900</v>
      </c>
      <c r="AO1819" t="s">
        <v>118</v>
      </c>
      <c r="AP1819">
        <v>71</v>
      </c>
      <c r="AQ1819">
        <v>-70</v>
      </c>
      <c r="AR1819">
        <v>320</v>
      </c>
      <c r="AZ1819">
        <v>1200</v>
      </c>
      <c r="BA1819">
        <v>1</v>
      </c>
      <c r="BB1819" t="str">
        <f t="shared" si="860"/>
        <v xml:space="preserve">N711JA  </v>
      </c>
      <c r="BC1819">
        <v>1</v>
      </c>
      <c r="BE1819">
        <v>0</v>
      </c>
      <c r="BF1819">
        <v>0</v>
      </c>
      <c r="BG1819">
        <v>0</v>
      </c>
      <c r="BH1819">
        <v>1975</v>
      </c>
      <c r="BI1819">
        <v>1</v>
      </c>
      <c r="BJ1819">
        <v>1</v>
      </c>
      <c r="BK1819">
        <v>0</v>
      </c>
      <c r="BL1819">
        <v>0</v>
      </c>
      <c r="BO1819">
        <v>0</v>
      </c>
      <c r="BP1819">
        <v>0</v>
      </c>
      <c r="BW1819" t="str">
        <f t="shared" si="861"/>
        <v>14:44:19.499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343</v>
      </c>
      <c r="CR1819">
        <v>1</v>
      </c>
      <c r="CW1819">
        <v>10714318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 t="shared" si="856"/>
        <v>05/12/2020 14:44:01.671</v>
      </c>
      <c r="C1820" t="str">
        <f t="shared" si="857"/>
        <v>FFDFD3C0</v>
      </c>
      <c r="D1820" t="s">
        <v>131</v>
      </c>
      <c r="E1820">
        <v>18</v>
      </c>
      <c r="F1820">
        <v>2018</v>
      </c>
      <c r="G1820" t="s">
        <v>161</v>
      </c>
      <c r="J1820" t="s">
        <v>133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858"/>
        <v>14:44:19.492</v>
      </c>
      <c r="T1820" t="str">
        <f t="shared" si="859"/>
        <v>14:44:19.092</v>
      </c>
      <c r="U1820" t="str">
        <f t="shared" si="847"/>
        <v>A9808D</v>
      </c>
      <c r="V1820">
        <v>0</v>
      </c>
      <c r="W1820">
        <v>0</v>
      </c>
      <c r="X1820">
        <v>1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0</v>
      </c>
      <c r="AI1820" t="s">
        <v>479</v>
      </c>
      <c r="AJ1820">
        <v>28.272864999999999</v>
      </c>
      <c r="AK1820" t="s">
        <v>480</v>
      </c>
      <c r="AL1820">
        <v>-82.359223</v>
      </c>
      <c r="AM1820">
        <v>100</v>
      </c>
      <c r="AN1820">
        <v>1900</v>
      </c>
      <c r="AO1820" t="s">
        <v>118</v>
      </c>
      <c r="AP1820">
        <v>71</v>
      </c>
      <c r="AQ1820">
        <v>-70</v>
      </c>
      <c r="AR1820">
        <v>320</v>
      </c>
      <c r="AZ1820">
        <v>1200</v>
      </c>
      <c r="BA1820">
        <v>1</v>
      </c>
      <c r="BB1820" t="str">
        <f t="shared" si="860"/>
        <v xml:space="preserve">N711JA  </v>
      </c>
      <c r="BC1820">
        <v>1</v>
      </c>
      <c r="BE1820">
        <v>0</v>
      </c>
      <c r="BF1820">
        <v>0</v>
      </c>
      <c r="BG1820">
        <v>0</v>
      </c>
      <c r="BH1820">
        <v>1975</v>
      </c>
      <c r="BI1820">
        <v>1</v>
      </c>
      <c r="BJ1820">
        <v>1</v>
      </c>
      <c r="BK1820">
        <v>0</v>
      </c>
      <c r="BL1820">
        <v>0</v>
      </c>
      <c r="BO1820">
        <v>0</v>
      </c>
      <c r="BP1820">
        <v>0</v>
      </c>
      <c r="BW1820" t="str">
        <f t="shared" si="861"/>
        <v>14:44:19.499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343</v>
      </c>
      <c r="CR1820">
        <v>1</v>
      </c>
      <c r="CW1820">
        <v>10714318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 t="shared" si="856"/>
        <v>05/12/2020 14:44:01.671</v>
      </c>
      <c r="C1821" t="str">
        <f t="shared" si="857"/>
        <v>FFDFD3C0</v>
      </c>
      <c r="D1821" t="s">
        <v>113</v>
      </c>
      <c r="E1821">
        <v>3</v>
      </c>
      <c r="H1821">
        <v>164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858"/>
        <v>14:44:19.492</v>
      </c>
      <c r="T1821" t="str">
        <f t="shared" si="859"/>
        <v>14:44:19.092</v>
      </c>
      <c r="U1821" t="str">
        <f t="shared" si="847"/>
        <v>A9808D</v>
      </c>
      <c r="V1821">
        <v>0</v>
      </c>
      <c r="W1821">
        <v>0</v>
      </c>
      <c r="X1821">
        <v>1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0</v>
      </c>
      <c r="AI1821" t="s">
        <v>479</v>
      </c>
      <c r="AJ1821">
        <v>28.272864999999999</v>
      </c>
      <c r="AK1821" t="s">
        <v>480</v>
      </c>
      <c r="AL1821">
        <v>-82.359223</v>
      </c>
      <c r="AM1821">
        <v>100</v>
      </c>
      <c r="AN1821">
        <v>1900</v>
      </c>
      <c r="AO1821" t="s">
        <v>118</v>
      </c>
      <c r="AP1821">
        <v>71</v>
      </c>
      <c r="AQ1821">
        <v>-70</v>
      </c>
      <c r="AR1821">
        <v>320</v>
      </c>
      <c r="AZ1821">
        <v>1200</v>
      </c>
      <c r="BA1821">
        <v>1</v>
      </c>
      <c r="BB1821" t="str">
        <f t="shared" si="860"/>
        <v xml:space="preserve">N711JA  </v>
      </c>
      <c r="BC1821">
        <v>1</v>
      </c>
      <c r="BE1821">
        <v>0</v>
      </c>
      <c r="BF1821">
        <v>0</v>
      </c>
      <c r="BG1821">
        <v>0</v>
      </c>
      <c r="BH1821">
        <v>1975</v>
      </c>
      <c r="BI1821">
        <v>1</v>
      </c>
      <c r="BJ1821">
        <v>1</v>
      </c>
      <c r="BK1821">
        <v>0</v>
      </c>
      <c r="BL1821">
        <v>0</v>
      </c>
      <c r="BO1821">
        <v>0</v>
      </c>
      <c r="BP1821">
        <v>0</v>
      </c>
      <c r="BW1821" t="str">
        <f t="shared" si="861"/>
        <v>14:44:19.499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343</v>
      </c>
      <c r="CR1821">
        <v>1</v>
      </c>
      <c r="CW1821">
        <v>10714318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 t="shared" si="856"/>
        <v>05/12/2020 14:44:01.671</v>
      </c>
      <c r="C1822" t="str">
        <f t="shared" si="857"/>
        <v>FFDFD3C0</v>
      </c>
      <c r="D1822" t="s">
        <v>126</v>
      </c>
      <c r="E1822">
        <v>6</v>
      </c>
      <c r="F1822">
        <v>1006</v>
      </c>
      <c r="G1822" t="s">
        <v>114</v>
      </c>
      <c r="J1822" t="s">
        <v>128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858"/>
        <v>14:44:19.492</v>
      </c>
      <c r="T1822" t="str">
        <f t="shared" si="859"/>
        <v>14:44:19.092</v>
      </c>
      <c r="U1822" t="str">
        <f t="shared" si="847"/>
        <v>A9808D</v>
      </c>
      <c r="V1822">
        <v>0</v>
      </c>
      <c r="W1822">
        <v>0</v>
      </c>
      <c r="X1822">
        <v>1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0</v>
      </c>
      <c r="AI1822" t="s">
        <v>479</v>
      </c>
      <c r="AJ1822">
        <v>28.272864999999999</v>
      </c>
      <c r="AK1822" t="s">
        <v>480</v>
      </c>
      <c r="AL1822">
        <v>-82.359223</v>
      </c>
      <c r="AM1822">
        <v>100</v>
      </c>
      <c r="AN1822">
        <v>1900</v>
      </c>
      <c r="AO1822" t="s">
        <v>118</v>
      </c>
      <c r="AP1822">
        <v>71</v>
      </c>
      <c r="AQ1822">
        <v>-70</v>
      </c>
      <c r="AR1822">
        <v>320</v>
      </c>
      <c r="AZ1822">
        <v>1200</v>
      </c>
      <c r="BA1822">
        <v>1</v>
      </c>
      <c r="BB1822" t="str">
        <f t="shared" si="860"/>
        <v xml:space="preserve">N711JA  </v>
      </c>
      <c r="BC1822">
        <v>1</v>
      </c>
      <c r="BE1822">
        <v>0</v>
      </c>
      <c r="BF1822">
        <v>0</v>
      </c>
      <c r="BG1822">
        <v>0</v>
      </c>
      <c r="BH1822">
        <v>1975</v>
      </c>
      <c r="BI1822">
        <v>1</v>
      </c>
      <c r="BJ1822">
        <v>1</v>
      </c>
      <c r="BK1822">
        <v>0</v>
      </c>
      <c r="BL1822">
        <v>0</v>
      </c>
      <c r="BO1822">
        <v>0</v>
      </c>
      <c r="BP1822">
        <v>0</v>
      </c>
      <c r="BW1822" t="str">
        <f t="shared" si="861"/>
        <v>14:44:19.499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343</v>
      </c>
      <c r="CR1822">
        <v>1</v>
      </c>
      <c r="CW1822">
        <v>10714318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 t="shared" ref="A1823:A1831" si="862">"05/12/2020 14:44:02.628"</f>
        <v>05/12/2020 14:44:02.628</v>
      </c>
      <c r="C1823" t="str">
        <f t="shared" si="857"/>
        <v>FFDFD3C0</v>
      </c>
      <c r="D1823" t="s">
        <v>131</v>
      </c>
      <c r="E1823">
        <v>10</v>
      </c>
      <c r="F1823">
        <v>2010</v>
      </c>
      <c r="G1823" t="s">
        <v>132</v>
      </c>
      <c r="J1823" t="s">
        <v>133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ref="S1823:S1831" si="863">"14:44:20.469"</f>
        <v>14:44:20.469</v>
      </c>
      <c r="T1823" t="str">
        <f t="shared" ref="T1823:T1831" si="864">"14:44:20.169"</f>
        <v>14:44:20.169</v>
      </c>
      <c r="U1823" t="str">
        <f t="shared" si="847"/>
        <v>A9808D</v>
      </c>
      <c r="V1823">
        <v>0</v>
      </c>
      <c r="W1823">
        <v>0</v>
      </c>
      <c r="X1823">
        <v>1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0</v>
      </c>
      <c r="AI1823" t="s">
        <v>481</v>
      </c>
      <c r="AJ1823">
        <v>28.272542999999999</v>
      </c>
      <c r="AK1823" t="s">
        <v>482</v>
      </c>
      <c r="AL1823">
        <v>-82.358858999999995</v>
      </c>
      <c r="AM1823">
        <v>100</v>
      </c>
      <c r="AN1823">
        <v>1900</v>
      </c>
      <c r="AO1823" t="s">
        <v>118</v>
      </c>
      <c r="AP1823">
        <v>71</v>
      </c>
      <c r="AQ1823">
        <v>-69</v>
      </c>
      <c r="AR1823">
        <v>320</v>
      </c>
      <c r="AZ1823">
        <v>1200</v>
      </c>
      <c r="BA1823">
        <v>1</v>
      </c>
      <c r="BB1823" t="str">
        <f t="shared" si="860"/>
        <v xml:space="preserve">N711JA  </v>
      </c>
      <c r="BC1823">
        <v>1</v>
      </c>
      <c r="BE1823">
        <v>0</v>
      </c>
      <c r="BF1823">
        <v>0</v>
      </c>
      <c r="BG1823">
        <v>0</v>
      </c>
      <c r="BH1823">
        <v>1975</v>
      </c>
      <c r="BI1823">
        <v>1</v>
      </c>
      <c r="BJ1823">
        <v>1</v>
      </c>
      <c r="BK1823">
        <v>0</v>
      </c>
      <c r="BL1823">
        <v>0</v>
      </c>
      <c r="BO1823">
        <v>0</v>
      </c>
      <c r="BP1823">
        <v>0</v>
      </c>
      <c r="BW1823" t="str">
        <f>"14:44:20.473"</f>
        <v>14:44:20.473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56</v>
      </c>
      <c r="CR1823">
        <v>2</v>
      </c>
      <c r="CW1823">
        <v>4774235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 t="shared" si="862"/>
        <v>05/12/2020 14:44:02.628</v>
      </c>
      <c r="C1824" t="str">
        <f t="shared" si="857"/>
        <v>FFDFD3C0</v>
      </c>
      <c r="D1824" t="s">
        <v>126</v>
      </c>
      <c r="E1824">
        <v>7</v>
      </c>
      <c r="F1824">
        <v>1007</v>
      </c>
      <c r="G1824" t="s">
        <v>127</v>
      </c>
      <c r="J1824" t="s">
        <v>128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863"/>
        <v>14:44:20.469</v>
      </c>
      <c r="T1824" t="str">
        <f t="shared" si="864"/>
        <v>14:44:20.169</v>
      </c>
      <c r="U1824" t="str">
        <f t="shared" si="847"/>
        <v>A9808D</v>
      </c>
      <c r="V1824">
        <v>0</v>
      </c>
      <c r="W1824">
        <v>0</v>
      </c>
      <c r="X1824">
        <v>1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0</v>
      </c>
      <c r="AI1824" t="s">
        <v>481</v>
      </c>
      <c r="AJ1824">
        <v>28.272542999999999</v>
      </c>
      <c r="AK1824" t="s">
        <v>482</v>
      </c>
      <c r="AL1824">
        <v>-82.358858999999995</v>
      </c>
      <c r="AM1824">
        <v>100</v>
      </c>
      <c r="AN1824">
        <v>1900</v>
      </c>
      <c r="AO1824" t="s">
        <v>118</v>
      </c>
      <c r="AP1824">
        <v>71</v>
      </c>
      <c r="AQ1824">
        <v>-69</v>
      </c>
      <c r="AR1824">
        <v>320</v>
      </c>
      <c r="AZ1824">
        <v>1200</v>
      </c>
      <c r="BA1824">
        <v>1</v>
      </c>
      <c r="BB1824" t="str">
        <f t="shared" si="860"/>
        <v xml:space="preserve">N711JA  </v>
      </c>
      <c r="BC1824">
        <v>1</v>
      </c>
      <c r="BE1824">
        <v>0</v>
      </c>
      <c r="BF1824">
        <v>0</v>
      </c>
      <c r="BG1824">
        <v>0</v>
      </c>
      <c r="BH1824">
        <v>1975</v>
      </c>
      <c r="BI1824">
        <v>1</v>
      </c>
      <c r="BJ1824">
        <v>1</v>
      </c>
      <c r="BK1824">
        <v>0</v>
      </c>
      <c r="BL1824">
        <v>0</v>
      </c>
      <c r="BO1824">
        <v>0</v>
      </c>
      <c r="BP1824">
        <v>0</v>
      </c>
      <c r="BW1824" t="str">
        <f>"14:44:20.473"</f>
        <v>14:44:20.473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56</v>
      </c>
      <c r="CR1824">
        <v>2</v>
      </c>
      <c r="CW1824">
        <v>4774235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 t="shared" si="862"/>
        <v>05/12/2020 14:44:02.628</v>
      </c>
      <c r="C1825" t="str">
        <f t="shared" si="857"/>
        <v>FFDFD3C0</v>
      </c>
      <c r="D1825" t="s">
        <v>131</v>
      </c>
      <c r="E1825">
        <v>12</v>
      </c>
      <c r="F1825">
        <v>2012</v>
      </c>
      <c r="G1825" t="s">
        <v>137</v>
      </c>
      <c r="J1825" t="s">
        <v>133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863"/>
        <v>14:44:20.469</v>
      </c>
      <c r="T1825" t="str">
        <f t="shared" si="864"/>
        <v>14:44:20.169</v>
      </c>
      <c r="U1825" t="str">
        <f t="shared" si="847"/>
        <v>A9808D</v>
      </c>
      <c r="V1825">
        <v>0</v>
      </c>
      <c r="W1825">
        <v>0</v>
      </c>
      <c r="X1825">
        <v>1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0</v>
      </c>
      <c r="AI1825" t="s">
        <v>481</v>
      </c>
      <c r="AJ1825">
        <v>28.272542999999999</v>
      </c>
      <c r="AK1825" t="s">
        <v>482</v>
      </c>
      <c r="AL1825">
        <v>-82.358858999999995</v>
      </c>
      <c r="AM1825">
        <v>100</v>
      </c>
      <c r="AN1825">
        <v>1900</v>
      </c>
      <c r="AO1825" t="s">
        <v>118</v>
      </c>
      <c r="AP1825">
        <v>71</v>
      </c>
      <c r="AQ1825">
        <v>-69</v>
      </c>
      <c r="AR1825">
        <v>320</v>
      </c>
      <c r="AZ1825">
        <v>1200</v>
      </c>
      <c r="BA1825">
        <v>1</v>
      </c>
      <c r="BB1825" t="str">
        <f t="shared" si="860"/>
        <v xml:space="preserve">N711JA  </v>
      </c>
      <c r="BC1825">
        <v>1</v>
      </c>
      <c r="BE1825">
        <v>0</v>
      </c>
      <c r="BF1825">
        <v>0</v>
      </c>
      <c r="BG1825">
        <v>0</v>
      </c>
      <c r="BH1825">
        <v>1975</v>
      </c>
      <c r="BI1825">
        <v>1</v>
      </c>
      <c r="BJ1825">
        <v>1</v>
      </c>
      <c r="BK1825">
        <v>0</v>
      </c>
      <c r="BL1825">
        <v>0</v>
      </c>
      <c r="BO1825">
        <v>0</v>
      </c>
      <c r="BP1825">
        <v>0</v>
      </c>
      <c r="BW1825" t="str">
        <f>"14:44:20.473"</f>
        <v>14:44:20.473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56</v>
      </c>
      <c r="CR1825">
        <v>2</v>
      </c>
      <c r="CW1825">
        <v>4774235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 t="shared" si="862"/>
        <v>05/12/2020 14:44:02.628</v>
      </c>
      <c r="C1826" t="str">
        <f t="shared" si="857"/>
        <v>FFDFD3C0</v>
      </c>
      <c r="D1826" t="s">
        <v>134</v>
      </c>
      <c r="E1826">
        <v>12</v>
      </c>
      <c r="H1826">
        <v>64</v>
      </c>
      <c r="I1826" t="s">
        <v>135</v>
      </c>
      <c r="J1826" t="s">
        <v>136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863"/>
        <v>14:44:20.469</v>
      </c>
      <c r="T1826" t="str">
        <f t="shared" si="864"/>
        <v>14:44:20.169</v>
      </c>
      <c r="U1826" t="str">
        <f t="shared" si="847"/>
        <v>A9808D</v>
      </c>
      <c r="V1826">
        <v>0</v>
      </c>
      <c r="W1826">
        <v>0</v>
      </c>
      <c r="X1826">
        <v>1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0</v>
      </c>
      <c r="AI1826" t="s">
        <v>481</v>
      </c>
      <c r="AJ1826">
        <v>28.272542999999999</v>
      </c>
      <c r="AK1826" t="s">
        <v>482</v>
      </c>
      <c r="AL1826">
        <v>-82.358858999999995</v>
      </c>
      <c r="AM1826">
        <v>100</v>
      </c>
      <c r="AN1826">
        <v>1900</v>
      </c>
      <c r="AO1826" t="s">
        <v>118</v>
      </c>
      <c r="AP1826">
        <v>71</v>
      </c>
      <c r="AQ1826">
        <v>-69</v>
      </c>
      <c r="AR1826">
        <v>320</v>
      </c>
      <c r="AZ1826">
        <v>1200</v>
      </c>
      <c r="BA1826">
        <v>1</v>
      </c>
      <c r="BB1826" t="str">
        <f t="shared" si="860"/>
        <v xml:space="preserve">N711JA  </v>
      </c>
      <c r="BC1826">
        <v>1</v>
      </c>
      <c r="BE1826">
        <v>0</v>
      </c>
      <c r="BF1826">
        <v>0</v>
      </c>
      <c r="BG1826">
        <v>0</v>
      </c>
      <c r="BH1826">
        <v>1975</v>
      </c>
      <c r="BI1826">
        <v>1</v>
      </c>
      <c r="BJ1826">
        <v>1</v>
      </c>
      <c r="BK1826">
        <v>0</v>
      </c>
      <c r="BL1826">
        <v>0</v>
      </c>
      <c r="BO1826">
        <v>0</v>
      </c>
      <c r="BP1826">
        <v>0</v>
      </c>
      <c r="BW1826" t="str">
        <f>"14:44:20.472"</f>
        <v>14:44:20.472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343</v>
      </c>
      <c r="CR1826">
        <v>1</v>
      </c>
      <c r="CW1826">
        <v>10715308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 t="shared" si="862"/>
        <v>05/12/2020 14:44:02.628</v>
      </c>
      <c r="C1827" t="str">
        <f t="shared" si="857"/>
        <v>FFDFD3C0</v>
      </c>
      <c r="D1827" t="s">
        <v>131</v>
      </c>
      <c r="E1827">
        <v>18</v>
      </c>
      <c r="F1827">
        <v>2018</v>
      </c>
      <c r="G1827" t="s">
        <v>161</v>
      </c>
      <c r="J1827" t="s">
        <v>133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863"/>
        <v>14:44:20.469</v>
      </c>
      <c r="T1827" t="str">
        <f t="shared" si="864"/>
        <v>14:44:20.169</v>
      </c>
      <c r="U1827" t="str">
        <f t="shared" si="847"/>
        <v>A9808D</v>
      </c>
      <c r="V1827">
        <v>0</v>
      </c>
      <c r="W1827">
        <v>0</v>
      </c>
      <c r="X1827">
        <v>1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0</v>
      </c>
      <c r="AI1827" t="s">
        <v>481</v>
      </c>
      <c r="AJ1827">
        <v>28.272542999999999</v>
      </c>
      <c r="AK1827" t="s">
        <v>482</v>
      </c>
      <c r="AL1827">
        <v>-82.358858999999995</v>
      </c>
      <c r="AM1827">
        <v>100</v>
      </c>
      <c r="AN1827">
        <v>1900</v>
      </c>
      <c r="AO1827" t="s">
        <v>118</v>
      </c>
      <c r="AP1827">
        <v>71</v>
      </c>
      <c r="AQ1827">
        <v>-69</v>
      </c>
      <c r="AR1827">
        <v>320</v>
      </c>
      <c r="AZ1827">
        <v>1200</v>
      </c>
      <c r="BA1827">
        <v>1</v>
      </c>
      <c r="BB1827" t="str">
        <f t="shared" si="860"/>
        <v xml:space="preserve">N711JA  </v>
      </c>
      <c r="BC1827">
        <v>1</v>
      </c>
      <c r="BE1827">
        <v>0</v>
      </c>
      <c r="BF1827">
        <v>0</v>
      </c>
      <c r="BG1827">
        <v>0</v>
      </c>
      <c r="BH1827">
        <v>1975</v>
      </c>
      <c r="BI1827">
        <v>1</v>
      </c>
      <c r="BJ1827">
        <v>1</v>
      </c>
      <c r="BK1827">
        <v>0</v>
      </c>
      <c r="BL1827">
        <v>0</v>
      </c>
      <c r="BO1827">
        <v>0</v>
      </c>
      <c r="BP1827">
        <v>0</v>
      </c>
      <c r="BW1827" t="str">
        <f>"14:44:20.473"</f>
        <v>14:44:20.473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56</v>
      </c>
      <c r="CR1827">
        <v>2</v>
      </c>
      <c r="CW1827">
        <v>4774235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 t="shared" si="862"/>
        <v>05/12/2020 14:44:02.628</v>
      </c>
      <c r="C1828" t="str">
        <f t="shared" si="857"/>
        <v>FFDFD3C0</v>
      </c>
      <c r="D1828" t="s">
        <v>138</v>
      </c>
      <c r="E1828">
        <v>2</v>
      </c>
      <c r="H1828">
        <v>8</v>
      </c>
      <c r="I1828" t="s">
        <v>139</v>
      </c>
      <c r="J1828" t="s">
        <v>136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863"/>
        <v>14:44:20.469</v>
      </c>
      <c r="T1828" t="str">
        <f t="shared" si="864"/>
        <v>14:44:20.169</v>
      </c>
      <c r="U1828" t="str">
        <f t="shared" si="847"/>
        <v>A9808D</v>
      </c>
      <c r="V1828">
        <v>0</v>
      </c>
      <c r="W1828">
        <v>0</v>
      </c>
      <c r="X1828">
        <v>1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0</v>
      </c>
      <c r="AI1828" t="s">
        <v>481</v>
      </c>
      <c r="AJ1828">
        <v>28.272542999999999</v>
      </c>
      <c r="AK1828" t="s">
        <v>482</v>
      </c>
      <c r="AL1828">
        <v>-82.358858999999995</v>
      </c>
      <c r="AM1828">
        <v>100</v>
      </c>
      <c r="AN1828">
        <v>1900</v>
      </c>
      <c r="AO1828" t="s">
        <v>118</v>
      </c>
      <c r="AP1828">
        <v>71</v>
      </c>
      <c r="AQ1828">
        <v>-69</v>
      </c>
      <c r="AR1828">
        <v>320</v>
      </c>
      <c r="AZ1828">
        <v>1200</v>
      </c>
      <c r="BA1828">
        <v>1</v>
      </c>
      <c r="BB1828" t="str">
        <f t="shared" si="860"/>
        <v xml:space="preserve">N711JA  </v>
      </c>
      <c r="BC1828">
        <v>1</v>
      </c>
      <c r="BE1828">
        <v>0</v>
      </c>
      <c r="BF1828">
        <v>0</v>
      </c>
      <c r="BG1828">
        <v>0</v>
      </c>
      <c r="BH1828">
        <v>1975</v>
      </c>
      <c r="BI1828">
        <v>1</v>
      </c>
      <c r="BJ1828">
        <v>1</v>
      </c>
      <c r="BK1828">
        <v>0</v>
      </c>
      <c r="BL1828">
        <v>0</v>
      </c>
      <c r="BO1828">
        <v>0</v>
      </c>
      <c r="BP1828">
        <v>0</v>
      </c>
      <c r="BW1828" t="str">
        <f>"14:44:20.473"</f>
        <v>14:44:20.473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56</v>
      </c>
      <c r="CR1828">
        <v>2</v>
      </c>
      <c r="CW1828">
        <v>4774235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 t="shared" si="862"/>
        <v>05/12/2020 14:44:02.628</v>
      </c>
      <c r="C1829" t="str">
        <f t="shared" si="857"/>
        <v>FFDFD3C0</v>
      </c>
      <c r="D1829" t="s">
        <v>138</v>
      </c>
      <c r="E1829">
        <v>3</v>
      </c>
      <c r="H1829">
        <v>9</v>
      </c>
      <c r="I1829" t="s">
        <v>140</v>
      </c>
      <c r="J1829" t="s">
        <v>136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863"/>
        <v>14:44:20.469</v>
      </c>
      <c r="T1829" t="str">
        <f t="shared" si="864"/>
        <v>14:44:20.169</v>
      </c>
      <c r="U1829" t="str">
        <f t="shared" si="847"/>
        <v>A9808D</v>
      </c>
      <c r="V1829">
        <v>0</v>
      </c>
      <c r="W1829">
        <v>0</v>
      </c>
      <c r="X1829">
        <v>1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0</v>
      </c>
      <c r="AI1829" t="s">
        <v>481</v>
      </c>
      <c r="AJ1829">
        <v>28.272542999999999</v>
      </c>
      <c r="AK1829" t="s">
        <v>482</v>
      </c>
      <c r="AL1829">
        <v>-82.358858999999995</v>
      </c>
      <c r="AM1829">
        <v>100</v>
      </c>
      <c r="AN1829">
        <v>1900</v>
      </c>
      <c r="AO1829" t="s">
        <v>118</v>
      </c>
      <c r="AP1829">
        <v>71</v>
      </c>
      <c r="AQ1829">
        <v>-69</v>
      </c>
      <c r="AR1829">
        <v>320</v>
      </c>
      <c r="AZ1829">
        <v>1200</v>
      </c>
      <c r="BA1829">
        <v>1</v>
      </c>
      <c r="BB1829" t="str">
        <f t="shared" si="860"/>
        <v xml:space="preserve">N711JA  </v>
      </c>
      <c r="BC1829">
        <v>1</v>
      </c>
      <c r="BE1829">
        <v>0</v>
      </c>
      <c r="BF1829">
        <v>0</v>
      </c>
      <c r="BG1829">
        <v>0</v>
      </c>
      <c r="BH1829">
        <v>1975</v>
      </c>
      <c r="BI1829">
        <v>1</v>
      </c>
      <c r="BJ1829">
        <v>1</v>
      </c>
      <c r="BK1829">
        <v>0</v>
      </c>
      <c r="BL1829">
        <v>0</v>
      </c>
      <c r="BO1829">
        <v>0</v>
      </c>
      <c r="BP1829">
        <v>0</v>
      </c>
      <c r="BW1829" t="str">
        <f>"14:44:20.473"</f>
        <v>14:44:20.473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56</v>
      </c>
      <c r="CR1829">
        <v>2</v>
      </c>
      <c r="CW1829">
        <v>4774235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 t="shared" si="862"/>
        <v>05/12/2020 14:44:02.628</v>
      </c>
      <c r="C1830" t="str">
        <f t="shared" si="857"/>
        <v>FFDFD3C0</v>
      </c>
      <c r="D1830" t="s">
        <v>113</v>
      </c>
      <c r="E1830">
        <v>3</v>
      </c>
      <c r="H1830">
        <v>164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863"/>
        <v>14:44:20.469</v>
      </c>
      <c r="T1830" t="str">
        <f t="shared" si="864"/>
        <v>14:44:20.169</v>
      </c>
      <c r="U1830" t="str">
        <f t="shared" si="847"/>
        <v>A9808D</v>
      </c>
      <c r="V1830">
        <v>0</v>
      </c>
      <c r="W1830">
        <v>0</v>
      </c>
      <c r="X1830">
        <v>1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0</v>
      </c>
      <c r="AI1830" t="s">
        <v>481</v>
      </c>
      <c r="AJ1830">
        <v>28.272542999999999</v>
      </c>
      <c r="AK1830" t="s">
        <v>482</v>
      </c>
      <c r="AL1830">
        <v>-82.358858999999995</v>
      </c>
      <c r="AM1830">
        <v>100</v>
      </c>
      <c r="AN1830">
        <v>1900</v>
      </c>
      <c r="AO1830" t="s">
        <v>118</v>
      </c>
      <c r="AP1830">
        <v>71</v>
      </c>
      <c r="AQ1830">
        <v>-69</v>
      </c>
      <c r="AR1830">
        <v>320</v>
      </c>
      <c r="AZ1830">
        <v>1200</v>
      </c>
      <c r="BA1830">
        <v>1</v>
      </c>
      <c r="BB1830" t="str">
        <f t="shared" si="860"/>
        <v xml:space="preserve">N711JA  </v>
      </c>
      <c r="BC1830">
        <v>1</v>
      </c>
      <c r="BE1830">
        <v>0</v>
      </c>
      <c r="BF1830">
        <v>0</v>
      </c>
      <c r="BG1830">
        <v>0</v>
      </c>
      <c r="BH1830">
        <v>1975</v>
      </c>
      <c r="BI1830">
        <v>1</v>
      </c>
      <c r="BJ1830">
        <v>1</v>
      </c>
      <c r="BK1830">
        <v>0</v>
      </c>
      <c r="BL1830">
        <v>0</v>
      </c>
      <c r="BO1830">
        <v>0</v>
      </c>
      <c r="BP1830">
        <v>0</v>
      </c>
      <c r="BW1830" t="str">
        <f>"14:44:20.473"</f>
        <v>14:44:20.473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56</v>
      </c>
      <c r="CR1830">
        <v>2</v>
      </c>
      <c r="CW1830">
        <v>4774235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si="862"/>
        <v>05/12/2020 14:44:02.628</v>
      </c>
      <c r="C1831" t="str">
        <f t="shared" si="857"/>
        <v>FFDFD3C0</v>
      </c>
      <c r="D1831" t="s">
        <v>126</v>
      </c>
      <c r="E1831">
        <v>6</v>
      </c>
      <c r="F1831">
        <v>1006</v>
      </c>
      <c r="G1831" t="s">
        <v>114</v>
      </c>
      <c r="J1831" t="s">
        <v>128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863"/>
        <v>14:44:20.469</v>
      </c>
      <c r="T1831" t="str">
        <f t="shared" si="864"/>
        <v>14:44:20.169</v>
      </c>
      <c r="U1831" t="str">
        <f t="shared" si="847"/>
        <v>A9808D</v>
      </c>
      <c r="V1831">
        <v>0</v>
      </c>
      <c r="W1831">
        <v>0</v>
      </c>
      <c r="X1831">
        <v>1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0</v>
      </c>
      <c r="AI1831" t="s">
        <v>481</v>
      </c>
      <c r="AJ1831">
        <v>28.272542999999999</v>
      </c>
      <c r="AK1831" t="s">
        <v>482</v>
      </c>
      <c r="AL1831">
        <v>-82.358858999999995</v>
      </c>
      <c r="AM1831">
        <v>100</v>
      </c>
      <c r="AN1831">
        <v>1900</v>
      </c>
      <c r="AO1831" t="s">
        <v>118</v>
      </c>
      <c r="AP1831">
        <v>71</v>
      </c>
      <c r="AQ1831">
        <v>-69</v>
      </c>
      <c r="AR1831">
        <v>320</v>
      </c>
      <c r="AZ1831">
        <v>1200</v>
      </c>
      <c r="BA1831">
        <v>1</v>
      </c>
      <c r="BB1831" t="str">
        <f t="shared" si="860"/>
        <v xml:space="preserve">N711JA  </v>
      </c>
      <c r="BC1831">
        <v>1</v>
      </c>
      <c r="BE1831">
        <v>0</v>
      </c>
      <c r="BF1831">
        <v>0</v>
      </c>
      <c r="BG1831">
        <v>0</v>
      </c>
      <c r="BH1831">
        <v>1975</v>
      </c>
      <c r="BI1831">
        <v>1</v>
      </c>
      <c r="BJ1831">
        <v>1</v>
      </c>
      <c r="BK1831">
        <v>0</v>
      </c>
      <c r="BL1831">
        <v>0</v>
      </c>
      <c r="BO1831">
        <v>0</v>
      </c>
      <c r="BP1831">
        <v>0</v>
      </c>
      <c r="BW1831" t="str">
        <f>"14:44:20.473"</f>
        <v>14:44:20.473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56</v>
      </c>
      <c r="CR1831">
        <v>2</v>
      </c>
      <c r="CW1831">
        <v>4774235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ref="A1832:A1840" si="865">"05/12/2020 14:44:03.492"</f>
        <v>05/12/2020 14:44:03.492</v>
      </c>
      <c r="C1832" t="str">
        <f t="shared" si="857"/>
        <v>FFDFD3C0</v>
      </c>
      <c r="D1832" t="s">
        <v>134</v>
      </c>
      <c r="E1832">
        <v>12</v>
      </c>
      <c r="H1832">
        <v>64</v>
      </c>
      <c r="I1832" t="s">
        <v>135</v>
      </c>
      <c r="J1832" t="s">
        <v>136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ref="S1832:S1840" si="866">"14:44:21.328"</f>
        <v>14:44:21.328</v>
      </c>
      <c r="T1832" t="str">
        <f t="shared" ref="T1832:T1840" si="867">"14:44:21.128"</f>
        <v>14:44:21.128</v>
      </c>
      <c r="U1832" t="str">
        <f t="shared" si="847"/>
        <v>A9808D</v>
      </c>
      <c r="V1832">
        <v>0</v>
      </c>
      <c r="W1832">
        <v>0</v>
      </c>
      <c r="X1832">
        <v>1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0</v>
      </c>
      <c r="AI1832" t="s">
        <v>483</v>
      </c>
      <c r="AJ1832">
        <v>28.272220999999998</v>
      </c>
      <c r="AK1832" t="s">
        <v>484</v>
      </c>
      <c r="AL1832">
        <v>-82.358536999999998</v>
      </c>
      <c r="AM1832">
        <v>100</v>
      </c>
      <c r="AN1832">
        <v>1900</v>
      </c>
      <c r="AO1832" t="s">
        <v>118</v>
      </c>
      <c r="AP1832">
        <v>71</v>
      </c>
      <c r="AQ1832">
        <v>-69</v>
      </c>
      <c r="AR1832">
        <v>256</v>
      </c>
      <c r="AZ1832">
        <v>1200</v>
      </c>
      <c r="BA1832">
        <v>1</v>
      </c>
      <c r="BB1832" t="str">
        <f t="shared" si="860"/>
        <v xml:space="preserve">N711JA  </v>
      </c>
      <c r="BC1832">
        <v>1</v>
      </c>
      <c r="BE1832">
        <v>0</v>
      </c>
      <c r="BF1832">
        <v>0</v>
      </c>
      <c r="BG1832">
        <v>0</v>
      </c>
      <c r="BH1832">
        <v>1975</v>
      </c>
      <c r="BI1832">
        <v>1</v>
      </c>
      <c r="BJ1832">
        <v>1</v>
      </c>
      <c r="BK1832">
        <v>0</v>
      </c>
      <c r="BL1832">
        <v>0</v>
      </c>
      <c r="BO1832">
        <v>0</v>
      </c>
      <c r="BP1832">
        <v>0</v>
      </c>
      <c r="BW1832" t="str">
        <f t="shared" ref="BW1832:BW1840" si="868">"14:44:21.328"</f>
        <v>14:44:21.328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343</v>
      </c>
      <c r="CR1832">
        <v>1</v>
      </c>
      <c r="CW1832">
        <v>10716199</v>
      </c>
      <c r="CY1832">
        <v>1</v>
      </c>
      <c r="CZ1832">
        <v>0</v>
      </c>
      <c r="DA1832">
        <v>0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865"/>
        <v>05/12/2020 14:44:03.492</v>
      </c>
      <c r="C1833" t="str">
        <f t="shared" si="857"/>
        <v>FFDFD3C0</v>
      </c>
      <c r="D1833" t="s">
        <v>138</v>
      </c>
      <c r="E1833">
        <v>2</v>
      </c>
      <c r="H1833">
        <v>8</v>
      </c>
      <c r="I1833" t="s">
        <v>139</v>
      </c>
      <c r="J1833" t="s">
        <v>136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866"/>
        <v>14:44:21.328</v>
      </c>
      <c r="T1833" t="str">
        <f t="shared" si="867"/>
        <v>14:44:21.128</v>
      </c>
      <c r="U1833" t="str">
        <f t="shared" si="847"/>
        <v>A9808D</v>
      </c>
      <c r="V1833">
        <v>0</v>
      </c>
      <c r="W1833">
        <v>0</v>
      </c>
      <c r="X1833">
        <v>1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0</v>
      </c>
      <c r="AI1833" t="s">
        <v>483</v>
      </c>
      <c r="AJ1833">
        <v>28.272220999999998</v>
      </c>
      <c r="AK1833" t="s">
        <v>484</v>
      </c>
      <c r="AL1833">
        <v>-82.358536999999998</v>
      </c>
      <c r="AM1833">
        <v>100</v>
      </c>
      <c r="AN1833">
        <v>1900</v>
      </c>
      <c r="AO1833" t="s">
        <v>118</v>
      </c>
      <c r="AP1833">
        <v>71</v>
      </c>
      <c r="AQ1833">
        <v>-69</v>
      </c>
      <c r="AR1833">
        <v>256</v>
      </c>
      <c r="AZ1833">
        <v>1200</v>
      </c>
      <c r="BA1833">
        <v>1</v>
      </c>
      <c r="BB1833" t="str">
        <f t="shared" si="860"/>
        <v xml:space="preserve">N711JA  </v>
      </c>
      <c r="BC1833">
        <v>1</v>
      </c>
      <c r="BE1833">
        <v>0</v>
      </c>
      <c r="BF1833">
        <v>0</v>
      </c>
      <c r="BG1833">
        <v>0</v>
      </c>
      <c r="BH1833">
        <v>1975</v>
      </c>
      <c r="BI1833">
        <v>1</v>
      </c>
      <c r="BJ1833">
        <v>1</v>
      </c>
      <c r="BK1833">
        <v>0</v>
      </c>
      <c r="BL1833">
        <v>0</v>
      </c>
      <c r="BO1833">
        <v>0</v>
      </c>
      <c r="BP1833">
        <v>0</v>
      </c>
      <c r="BW1833" t="str">
        <f t="shared" si="868"/>
        <v>14:44:21.328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56</v>
      </c>
      <c r="CR1833">
        <v>2</v>
      </c>
      <c r="CW1833">
        <v>4775305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865"/>
        <v>05/12/2020 14:44:03.492</v>
      </c>
      <c r="C1834" t="str">
        <f t="shared" si="857"/>
        <v>FFDFD3C0</v>
      </c>
      <c r="D1834" t="s">
        <v>138</v>
      </c>
      <c r="E1834">
        <v>3</v>
      </c>
      <c r="H1834">
        <v>9</v>
      </c>
      <c r="I1834" t="s">
        <v>140</v>
      </c>
      <c r="J1834" t="s">
        <v>136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866"/>
        <v>14:44:21.328</v>
      </c>
      <c r="T1834" t="str">
        <f t="shared" si="867"/>
        <v>14:44:21.128</v>
      </c>
      <c r="U1834" t="str">
        <f t="shared" si="847"/>
        <v>A9808D</v>
      </c>
      <c r="V1834">
        <v>0</v>
      </c>
      <c r="W1834">
        <v>0</v>
      </c>
      <c r="X1834">
        <v>1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0</v>
      </c>
      <c r="AI1834" t="s">
        <v>483</v>
      </c>
      <c r="AJ1834">
        <v>28.272220999999998</v>
      </c>
      <c r="AK1834" t="s">
        <v>484</v>
      </c>
      <c r="AL1834">
        <v>-82.358536999999998</v>
      </c>
      <c r="AM1834">
        <v>100</v>
      </c>
      <c r="AN1834">
        <v>1900</v>
      </c>
      <c r="AO1834" t="s">
        <v>118</v>
      </c>
      <c r="AP1834">
        <v>71</v>
      </c>
      <c r="AQ1834">
        <v>-69</v>
      </c>
      <c r="AR1834">
        <v>256</v>
      </c>
      <c r="AZ1834">
        <v>1200</v>
      </c>
      <c r="BA1834">
        <v>1</v>
      </c>
      <c r="BB1834" t="str">
        <f t="shared" si="860"/>
        <v xml:space="preserve">N711JA  </v>
      </c>
      <c r="BC1834">
        <v>1</v>
      </c>
      <c r="BE1834">
        <v>0</v>
      </c>
      <c r="BF1834">
        <v>0</v>
      </c>
      <c r="BG1834">
        <v>0</v>
      </c>
      <c r="BH1834">
        <v>1975</v>
      </c>
      <c r="BI1834">
        <v>1</v>
      </c>
      <c r="BJ1834">
        <v>1</v>
      </c>
      <c r="BK1834">
        <v>0</v>
      </c>
      <c r="BL1834">
        <v>0</v>
      </c>
      <c r="BO1834">
        <v>0</v>
      </c>
      <c r="BP1834">
        <v>0</v>
      </c>
      <c r="BW1834" t="str">
        <f t="shared" si="868"/>
        <v>14:44:21.328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56</v>
      </c>
      <c r="CR1834">
        <v>2</v>
      </c>
      <c r="CW1834">
        <v>4775305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 t="shared" si="865"/>
        <v>05/12/2020 14:44:03.492</v>
      </c>
      <c r="C1835" t="str">
        <f t="shared" si="857"/>
        <v>FFDFD3C0</v>
      </c>
      <c r="D1835" t="s">
        <v>113</v>
      </c>
      <c r="E1835">
        <v>3</v>
      </c>
      <c r="H1835">
        <v>164</v>
      </c>
      <c r="I1835" t="s">
        <v>114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866"/>
        <v>14:44:21.328</v>
      </c>
      <c r="T1835" t="str">
        <f t="shared" si="867"/>
        <v>14:44:21.128</v>
      </c>
      <c r="U1835" t="str">
        <f t="shared" si="847"/>
        <v>A9808D</v>
      </c>
      <c r="V1835">
        <v>0</v>
      </c>
      <c r="W1835">
        <v>0</v>
      </c>
      <c r="X1835">
        <v>1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0</v>
      </c>
      <c r="AI1835" t="s">
        <v>483</v>
      </c>
      <c r="AJ1835">
        <v>28.272220999999998</v>
      </c>
      <c r="AK1835" t="s">
        <v>484</v>
      </c>
      <c r="AL1835">
        <v>-82.358536999999998</v>
      </c>
      <c r="AM1835">
        <v>100</v>
      </c>
      <c r="AN1835">
        <v>1900</v>
      </c>
      <c r="AO1835" t="s">
        <v>118</v>
      </c>
      <c r="AP1835">
        <v>71</v>
      </c>
      <c r="AQ1835">
        <v>-69</v>
      </c>
      <c r="AR1835">
        <v>256</v>
      </c>
      <c r="AZ1835">
        <v>1200</v>
      </c>
      <c r="BA1835">
        <v>1</v>
      </c>
      <c r="BB1835" t="str">
        <f t="shared" si="860"/>
        <v xml:space="preserve">N711JA  </v>
      </c>
      <c r="BC1835">
        <v>1</v>
      </c>
      <c r="BE1835">
        <v>0</v>
      </c>
      <c r="BF1835">
        <v>0</v>
      </c>
      <c r="BG1835">
        <v>0</v>
      </c>
      <c r="BH1835">
        <v>1975</v>
      </c>
      <c r="BI1835">
        <v>1</v>
      </c>
      <c r="BJ1835">
        <v>1</v>
      </c>
      <c r="BK1835">
        <v>0</v>
      </c>
      <c r="BL1835">
        <v>0</v>
      </c>
      <c r="BO1835">
        <v>0</v>
      </c>
      <c r="BP1835">
        <v>0</v>
      </c>
      <c r="BW1835" t="str">
        <f t="shared" si="868"/>
        <v>14:44:21.328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56</v>
      </c>
      <c r="CR1835">
        <v>2</v>
      </c>
      <c r="CW1835">
        <v>4775305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 t="shared" si="865"/>
        <v>05/12/2020 14:44:03.492</v>
      </c>
      <c r="C1836" t="str">
        <f t="shared" si="857"/>
        <v>FFDFD3C0</v>
      </c>
      <c r="D1836" t="s">
        <v>126</v>
      </c>
      <c r="E1836">
        <v>6</v>
      </c>
      <c r="F1836">
        <v>1006</v>
      </c>
      <c r="G1836" t="s">
        <v>114</v>
      </c>
      <c r="J1836" t="s">
        <v>128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866"/>
        <v>14:44:21.328</v>
      </c>
      <c r="T1836" t="str">
        <f t="shared" si="867"/>
        <v>14:44:21.128</v>
      </c>
      <c r="U1836" t="str">
        <f t="shared" si="847"/>
        <v>A9808D</v>
      </c>
      <c r="V1836">
        <v>0</v>
      </c>
      <c r="W1836">
        <v>0</v>
      </c>
      <c r="X1836">
        <v>1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0</v>
      </c>
      <c r="AI1836" t="s">
        <v>483</v>
      </c>
      <c r="AJ1836">
        <v>28.272220999999998</v>
      </c>
      <c r="AK1836" t="s">
        <v>484</v>
      </c>
      <c r="AL1836">
        <v>-82.358536999999998</v>
      </c>
      <c r="AM1836">
        <v>100</v>
      </c>
      <c r="AN1836">
        <v>1900</v>
      </c>
      <c r="AO1836" t="s">
        <v>118</v>
      </c>
      <c r="AP1836">
        <v>71</v>
      </c>
      <c r="AQ1836">
        <v>-69</v>
      </c>
      <c r="AR1836">
        <v>256</v>
      </c>
      <c r="AZ1836">
        <v>1200</v>
      </c>
      <c r="BA1836">
        <v>1</v>
      </c>
      <c r="BB1836" t="str">
        <f t="shared" si="860"/>
        <v xml:space="preserve">N711JA  </v>
      </c>
      <c r="BC1836">
        <v>1</v>
      </c>
      <c r="BE1836">
        <v>0</v>
      </c>
      <c r="BF1836">
        <v>0</v>
      </c>
      <c r="BG1836">
        <v>0</v>
      </c>
      <c r="BH1836">
        <v>1975</v>
      </c>
      <c r="BI1836">
        <v>1</v>
      </c>
      <c r="BJ1836">
        <v>1</v>
      </c>
      <c r="BK1836">
        <v>0</v>
      </c>
      <c r="BL1836">
        <v>0</v>
      </c>
      <c r="BO1836">
        <v>0</v>
      </c>
      <c r="BP1836">
        <v>0</v>
      </c>
      <c r="BW1836" t="str">
        <f t="shared" si="868"/>
        <v>14:44:21.328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56</v>
      </c>
      <c r="CR1836">
        <v>2</v>
      </c>
      <c r="CW1836">
        <v>4775305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 t="shared" si="865"/>
        <v>05/12/2020 14:44:03.492</v>
      </c>
      <c r="C1837" t="str">
        <f t="shared" si="857"/>
        <v>FFDFD3C0</v>
      </c>
      <c r="D1837" t="s">
        <v>131</v>
      </c>
      <c r="E1837">
        <v>10</v>
      </c>
      <c r="F1837">
        <v>2010</v>
      </c>
      <c r="G1837" t="s">
        <v>132</v>
      </c>
      <c r="J1837" t="s">
        <v>133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866"/>
        <v>14:44:21.328</v>
      </c>
      <c r="T1837" t="str">
        <f t="shared" si="867"/>
        <v>14:44:21.128</v>
      </c>
      <c r="U1837" t="str">
        <f t="shared" si="847"/>
        <v>A9808D</v>
      </c>
      <c r="V1837">
        <v>0</v>
      </c>
      <c r="W1837">
        <v>0</v>
      </c>
      <c r="X1837">
        <v>1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0</v>
      </c>
      <c r="AI1837" t="s">
        <v>483</v>
      </c>
      <c r="AJ1837">
        <v>28.272220999999998</v>
      </c>
      <c r="AK1837" t="s">
        <v>484</v>
      </c>
      <c r="AL1837">
        <v>-82.358536999999998</v>
      </c>
      <c r="AM1837">
        <v>100</v>
      </c>
      <c r="AN1837">
        <v>1900</v>
      </c>
      <c r="AO1837" t="s">
        <v>118</v>
      </c>
      <c r="AP1837">
        <v>71</v>
      </c>
      <c r="AQ1837">
        <v>-69</v>
      </c>
      <c r="AR1837">
        <v>256</v>
      </c>
      <c r="AZ1837">
        <v>1200</v>
      </c>
      <c r="BA1837">
        <v>1</v>
      </c>
      <c r="BB1837" t="str">
        <f t="shared" si="860"/>
        <v xml:space="preserve">N711JA  </v>
      </c>
      <c r="BC1837">
        <v>1</v>
      </c>
      <c r="BE1837">
        <v>0</v>
      </c>
      <c r="BF1837">
        <v>0</v>
      </c>
      <c r="BG1837">
        <v>0</v>
      </c>
      <c r="BH1837">
        <v>1975</v>
      </c>
      <c r="BI1837">
        <v>1</v>
      </c>
      <c r="BJ1837">
        <v>1</v>
      </c>
      <c r="BK1837">
        <v>0</v>
      </c>
      <c r="BL1837">
        <v>0</v>
      </c>
      <c r="BO1837">
        <v>0</v>
      </c>
      <c r="BP1837">
        <v>0</v>
      </c>
      <c r="BW1837" t="str">
        <f t="shared" si="868"/>
        <v>14:44:21.328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56</v>
      </c>
      <c r="CR1837">
        <v>2</v>
      </c>
      <c r="CW1837">
        <v>4775305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 t="shared" si="865"/>
        <v>05/12/2020 14:44:03.492</v>
      </c>
      <c r="C1838" t="str">
        <f t="shared" si="857"/>
        <v>FFDFD3C0</v>
      </c>
      <c r="D1838" t="s">
        <v>131</v>
      </c>
      <c r="E1838">
        <v>12</v>
      </c>
      <c r="F1838">
        <v>2012</v>
      </c>
      <c r="G1838" t="s">
        <v>137</v>
      </c>
      <c r="J1838" t="s">
        <v>133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866"/>
        <v>14:44:21.328</v>
      </c>
      <c r="T1838" t="str">
        <f t="shared" si="867"/>
        <v>14:44:21.128</v>
      </c>
      <c r="U1838" t="str">
        <f t="shared" si="847"/>
        <v>A9808D</v>
      </c>
      <c r="V1838">
        <v>0</v>
      </c>
      <c r="W1838">
        <v>0</v>
      </c>
      <c r="X1838">
        <v>1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0</v>
      </c>
      <c r="AI1838" t="s">
        <v>483</v>
      </c>
      <c r="AJ1838">
        <v>28.272220999999998</v>
      </c>
      <c r="AK1838" t="s">
        <v>484</v>
      </c>
      <c r="AL1838">
        <v>-82.358536999999998</v>
      </c>
      <c r="AM1838">
        <v>100</v>
      </c>
      <c r="AN1838">
        <v>1900</v>
      </c>
      <c r="AO1838" t="s">
        <v>118</v>
      </c>
      <c r="AP1838">
        <v>71</v>
      </c>
      <c r="AQ1838">
        <v>-69</v>
      </c>
      <c r="AR1838">
        <v>256</v>
      </c>
      <c r="AZ1838">
        <v>1200</v>
      </c>
      <c r="BA1838">
        <v>1</v>
      </c>
      <c r="BB1838" t="str">
        <f t="shared" si="860"/>
        <v xml:space="preserve">N711JA  </v>
      </c>
      <c r="BC1838">
        <v>1</v>
      </c>
      <c r="BE1838">
        <v>0</v>
      </c>
      <c r="BF1838">
        <v>0</v>
      </c>
      <c r="BG1838">
        <v>0</v>
      </c>
      <c r="BH1838">
        <v>1975</v>
      </c>
      <c r="BI1838">
        <v>1</v>
      </c>
      <c r="BJ1838">
        <v>1</v>
      </c>
      <c r="BK1838">
        <v>0</v>
      </c>
      <c r="BL1838">
        <v>0</v>
      </c>
      <c r="BO1838">
        <v>0</v>
      </c>
      <c r="BP1838">
        <v>0</v>
      </c>
      <c r="BW1838" t="str">
        <f t="shared" si="868"/>
        <v>14:44:21.328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56</v>
      </c>
      <c r="CR1838">
        <v>2</v>
      </c>
      <c r="CW1838">
        <v>4775305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 t="shared" si="865"/>
        <v>05/12/2020 14:44:03.492</v>
      </c>
      <c r="C1839" t="str">
        <f t="shared" si="857"/>
        <v>FFDFD3C0</v>
      </c>
      <c r="D1839" t="s">
        <v>126</v>
      </c>
      <c r="E1839">
        <v>7</v>
      </c>
      <c r="F1839">
        <v>1007</v>
      </c>
      <c r="G1839" t="s">
        <v>127</v>
      </c>
      <c r="J1839" t="s">
        <v>128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866"/>
        <v>14:44:21.328</v>
      </c>
      <c r="T1839" t="str">
        <f t="shared" si="867"/>
        <v>14:44:21.128</v>
      </c>
      <c r="U1839" t="str">
        <f t="shared" si="847"/>
        <v>A9808D</v>
      </c>
      <c r="V1839">
        <v>0</v>
      </c>
      <c r="W1839">
        <v>0</v>
      </c>
      <c r="X1839">
        <v>1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0</v>
      </c>
      <c r="AI1839" t="s">
        <v>483</v>
      </c>
      <c r="AJ1839">
        <v>28.272220999999998</v>
      </c>
      <c r="AK1839" t="s">
        <v>484</v>
      </c>
      <c r="AL1839">
        <v>-82.358536999999998</v>
      </c>
      <c r="AM1839">
        <v>100</v>
      </c>
      <c r="AN1839">
        <v>1900</v>
      </c>
      <c r="AO1839" t="s">
        <v>118</v>
      </c>
      <c r="AP1839">
        <v>71</v>
      </c>
      <c r="AQ1839">
        <v>-69</v>
      </c>
      <c r="AR1839">
        <v>256</v>
      </c>
      <c r="AZ1839">
        <v>1200</v>
      </c>
      <c r="BA1839">
        <v>1</v>
      </c>
      <c r="BB1839" t="str">
        <f t="shared" si="860"/>
        <v xml:space="preserve">N711JA  </v>
      </c>
      <c r="BC1839">
        <v>1</v>
      </c>
      <c r="BE1839">
        <v>0</v>
      </c>
      <c r="BF1839">
        <v>0</v>
      </c>
      <c r="BG1839">
        <v>0</v>
      </c>
      <c r="BH1839">
        <v>1975</v>
      </c>
      <c r="BI1839">
        <v>1</v>
      </c>
      <c r="BJ1839">
        <v>1</v>
      </c>
      <c r="BK1839">
        <v>0</v>
      </c>
      <c r="BL1839">
        <v>0</v>
      </c>
      <c r="BO1839">
        <v>0</v>
      </c>
      <c r="BP1839">
        <v>0</v>
      </c>
      <c r="BW1839" t="str">
        <f t="shared" si="868"/>
        <v>14:44:21.328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56</v>
      </c>
      <c r="CR1839">
        <v>2</v>
      </c>
      <c r="CW1839">
        <v>4775305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 t="shared" si="865"/>
        <v>05/12/2020 14:44:03.492</v>
      </c>
      <c r="C1840" t="str">
        <f t="shared" si="857"/>
        <v>FFDFD3C0</v>
      </c>
      <c r="D1840" t="s">
        <v>131</v>
      </c>
      <c r="E1840">
        <v>18</v>
      </c>
      <c r="F1840">
        <v>2018</v>
      </c>
      <c r="G1840" t="s">
        <v>161</v>
      </c>
      <c r="J1840" t="s">
        <v>133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866"/>
        <v>14:44:21.328</v>
      </c>
      <c r="T1840" t="str">
        <f t="shared" si="867"/>
        <v>14:44:21.128</v>
      </c>
      <c r="U1840" t="str">
        <f t="shared" si="847"/>
        <v>A9808D</v>
      </c>
      <c r="V1840">
        <v>0</v>
      </c>
      <c r="W1840">
        <v>0</v>
      </c>
      <c r="X1840">
        <v>1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0</v>
      </c>
      <c r="AI1840" t="s">
        <v>483</v>
      </c>
      <c r="AJ1840">
        <v>28.272220999999998</v>
      </c>
      <c r="AK1840" t="s">
        <v>484</v>
      </c>
      <c r="AL1840">
        <v>-82.358536999999998</v>
      </c>
      <c r="AM1840">
        <v>100</v>
      </c>
      <c r="AN1840">
        <v>1900</v>
      </c>
      <c r="AO1840" t="s">
        <v>118</v>
      </c>
      <c r="AP1840">
        <v>71</v>
      </c>
      <c r="AQ1840">
        <v>-69</v>
      </c>
      <c r="AR1840">
        <v>256</v>
      </c>
      <c r="AZ1840">
        <v>1200</v>
      </c>
      <c r="BA1840">
        <v>1</v>
      </c>
      <c r="BB1840" t="str">
        <f t="shared" si="860"/>
        <v xml:space="preserve">N711JA  </v>
      </c>
      <c r="BC1840">
        <v>1</v>
      </c>
      <c r="BE1840">
        <v>0</v>
      </c>
      <c r="BF1840">
        <v>0</v>
      </c>
      <c r="BG1840">
        <v>0</v>
      </c>
      <c r="BH1840">
        <v>1975</v>
      </c>
      <c r="BI1840">
        <v>1</v>
      </c>
      <c r="BJ1840">
        <v>1</v>
      </c>
      <c r="BK1840">
        <v>0</v>
      </c>
      <c r="BL1840">
        <v>0</v>
      </c>
      <c r="BO1840">
        <v>0</v>
      </c>
      <c r="BP1840">
        <v>0</v>
      </c>
      <c r="BW1840" t="str">
        <f t="shared" si="868"/>
        <v>14:44:21.328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56</v>
      </c>
      <c r="CR1840">
        <v>2</v>
      </c>
      <c r="CW1840">
        <v>4775305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 t="shared" ref="A1841:A1849" si="869">"05/12/2020 14:44:04.554"</f>
        <v>05/12/2020 14:44:04.554</v>
      </c>
      <c r="C1841" t="str">
        <f t="shared" si="857"/>
        <v>FFDFD3C0</v>
      </c>
      <c r="D1841" t="s">
        <v>134</v>
      </c>
      <c r="E1841">
        <v>12</v>
      </c>
      <c r="H1841">
        <v>64</v>
      </c>
      <c r="I1841" t="s">
        <v>135</v>
      </c>
      <c r="J1841" t="s">
        <v>136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ref="S1841:S1849" si="870">"14:44:22.367"</f>
        <v>14:44:22.367</v>
      </c>
      <c r="T1841" t="str">
        <f t="shared" ref="T1841:T1849" si="871">"14:44:22.267"</f>
        <v>14:44:22.267</v>
      </c>
      <c r="U1841" t="str">
        <f t="shared" si="847"/>
        <v>A9808D</v>
      </c>
      <c r="V1841">
        <v>0</v>
      </c>
      <c r="W1841">
        <v>0</v>
      </c>
      <c r="X1841">
        <v>1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0</v>
      </c>
      <c r="AI1841" t="s">
        <v>485</v>
      </c>
      <c r="AJ1841">
        <v>28.271920999999999</v>
      </c>
      <c r="AK1841" t="s">
        <v>486</v>
      </c>
      <c r="AL1841">
        <v>-82.358149999999995</v>
      </c>
      <c r="AM1841">
        <v>100</v>
      </c>
      <c r="AN1841">
        <v>1900</v>
      </c>
      <c r="AO1841" t="s">
        <v>118</v>
      </c>
      <c r="AP1841">
        <v>72</v>
      </c>
      <c r="AQ1841">
        <v>-69</v>
      </c>
      <c r="AR1841">
        <v>256</v>
      </c>
      <c r="AZ1841">
        <v>1200</v>
      </c>
      <c r="BA1841">
        <v>1</v>
      </c>
      <c r="BB1841" t="str">
        <f t="shared" si="860"/>
        <v xml:space="preserve">N711JA  </v>
      </c>
      <c r="BC1841">
        <v>1</v>
      </c>
      <c r="BE1841">
        <v>0</v>
      </c>
      <c r="BF1841">
        <v>0</v>
      </c>
      <c r="BG1841">
        <v>0</v>
      </c>
      <c r="BH1841">
        <v>1975</v>
      </c>
      <c r="BI1841">
        <v>1</v>
      </c>
      <c r="BJ1841">
        <v>1</v>
      </c>
      <c r="BK1841">
        <v>0</v>
      </c>
      <c r="BL1841">
        <v>0</v>
      </c>
      <c r="BO1841">
        <v>0</v>
      </c>
      <c r="BP1841">
        <v>0</v>
      </c>
      <c r="BW1841" t="str">
        <f t="shared" ref="BW1841:BW1849" si="872">"14:44:22.374"</f>
        <v>14:44:22.374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343</v>
      </c>
      <c r="CR1841">
        <v>1</v>
      </c>
      <c r="CW1841">
        <v>10717311</v>
      </c>
      <c r="CY1841">
        <v>1</v>
      </c>
      <c r="CZ1841">
        <v>0</v>
      </c>
      <c r="DA1841">
        <v>0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si="869"/>
        <v>05/12/2020 14:44:04.554</v>
      </c>
      <c r="C1842" t="str">
        <f t="shared" si="857"/>
        <v>FFDFD3C0</v>
      </c>
      <c r="D1842" t="s">
        <v>138</v>
      </c>
      <c r="E1842">
        <v>2</v>
      </c>
      <c r="H1842">
        <v>8</v>
      </c>
      <c r="I1842" t="s">
        <v>139</v>
      </c>
      <c r="J1842" t="s">
        <v>136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870"/>
        <v>14:44:22.367</v>
      </c>
      <c r="T1842" t="str">
        <f t="shared" si="871"/>
        <v>14:44:22.267</v>
      </c>
      <c r="U1842" t="str">
        <f t="shared" si="847"/>
        <v>A9808D</v>
      </c>
      <c r="V1842">
        <v>0</v>
      </c>
      <c r="W1842">
        <v>0</v>
      </c>
      <c r="X1842">
        <v>1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0</v>
      </c>
      <c r="AI1842" t="s">
        <v>485</v>
      </c>
      <c r="AJ1842">
        <v>28.271920999999999</v>
      </c>
      <c r="AK1842" t="s">
        <v>486</v>
      </c>
      <c r="AL1842">
        <v>-82.358149999999995</v>
      </c>
      <c r="AM1842">
        <v>100</v>
      </c>
      <c r="AN1842">
        <v>1900</v>
      </c>
      <c r="AO1842" t="s">
        <v>118</v>
      </c>
      <c r="AP1842">
        <v>72</v>
      </c>
      <c r="AQ1842">
        <v>-69</v>
      </c>
      <c r="AR1842">
        <v>256</v>
      </c>
      <c r="AZ1842">
        <v>1200</v>
      </c>
      <c r="BA1842">
        <v>1</v>
      </c>
      <c r="BB1842" t="str">
        <f t="shared" si="860"/>
        <v xml:space="preserve">N711JA  </v>
      </c>
      <c r="BC1842">
        <v>1</v>
      </c>
      <c r="BE1842">
        <v>0</v>
      </c>
      <c r="BF1842">
        <v>0</v>
      </c>
      <c r="BG1842">
        <v>0</v>
      </c>
      <c r="BH1842">
        <v>1975</v>
      </c>
      <c r="BI1842">
        <v>1</v>
      </c>
      <c r="BJ1842">
        <v>1</v>
      </c>
      <c r="BK1842">
        <v>0</v>
      </c>
      <c r="BL1842">
        <v>0</v>
      </c>
      <c r="BO1842">
        <v>0</v>
      </c>
      <c r="BP1842">
        <v>0</v>
      </c>
      <c r="BW1842" t="str">
        <f t="shared" si="872"/>
        <v>14:44:22.374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343</v>
      </c>
      <c r="CR1842">
        <v>1</v>
      </c>
      <c r="CW1842">
        <v>10717311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si="869"/>
        <v>05/12/2020 14:44:04.554</v>
      </c>
      <c r="C1843" t="str">
        <f t="shared" si="857"/>
        <v>FFDFD3C0</v>
      </c>
      <c r="D1843" t="s">
        <v>138</v>
      </c>
      <c r="E1843">
        <v>3</v>
      </c>
      <c r="H1843">
        <v>9</v>
      </c>
      <c r="I1843" t="s">
        <v>140</v>
      </c>
      <c r="J1843" t="s">
        <v>136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870"/>
        <v>14:44:22.367</v>
      </c>
      <c r="T1843" t="str">
        <f t="shared" si="871"/>
        <v>14:44:22.267</v>
      </c>
      <c r="U1843" t="str">
        <f t="shared" si="847"/>
        <v>A9808D</v>
      </c>
      <c r="V1843">
        <v>0</v>
      </c>
      <c r="W1843">
        <v>0</v>
      </c>
      <c r="X1843">
        <v>1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0</v>
      </c>
      <c r="AI1843" t="s">
        <v>485</v>
      </c>
      <c r="AJ1843">
        <v>28.271920999999999</v>
      </c>
      <c r="AK1843" t="s">
        <v>486</v>
      </c>
      <c r="AL1843">
        <v>-82.358149999999995</v>
      </c>
      <c r="AM1843">
        <v>100</v>
      </c>
      <c r="AN1843">
        <v>1900</v>
      </c>
      <c r="AO1843" t="s">
        <v>118</v>
      </c>
      <c r="AP1843">
        <v>72</v>
      </c>
      <c r="AQ1843">
        <v>-69</v>
      </c>
      <c r="AR1843">
        <v>256</v>
      </c>
      <c r="AZ1843">
        <v>1200</v>
      </c>
      <c r="BA1843">
        <v>1</v>
      </c>
      <c r="BB1843" t="str">
        <f t="shared" si="860"/>
        <v xml:space="preserve">N711JA  </v>
      </c>
      <c r="BC1843">
        <v>1</v>
      </c>
      <c r="BE1843">
        <v>0</v>
      </c>
      <c r="BF1843">
        <v>0</v>
      </c>
      <c r="BG1843">
        <v>0</v>
      </c>
      <c r="BH1843">
        <v>1975</v>
      </c>
      <c r="BI1843">
        <v>1</v>
      </c>
      <c r="BJ1843">
        <v>1</v>
      </c>
      <c r="BK1843">
        <v>0</v>
      </c>
      <c r="BL1843">
        <v>0</v>
      </c>
      <c r="BO1843">
        <v>0</v>
      </c>
      <c r="BP1843">
        <v>0</v>
      </c>
      <c r="BW1843" t="str">
        <f t="shared" si="872"/>
        <v>14:44:22.374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343</v>
      </c>
      <c r="CR1843">
        <v>1</v>
      </c>
      <c r="CW1843">
        <v>10717311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869"/>
        <v>05/12/2020 14:44:04.554</v>
      </c>
      <c r="C1844" t="str">
        <f t="shared" si="857"/>
        <v>FFDFD3C0</v>
      </c>
      <c r="D1844" t="s">
        <v>113</v>
      </c>
      <c r="E1844">
        <v>3</v>
      </c>
      <c r="H1844">
        <v>164</v>
      </c>
      <c r="I1844" t="s">
        <v>114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870"/>
        <v>14:44:22.367</v>
      </c>
      <c r="T1844" t="str">
        <f t="shared" si="871"/>
        <v>14:44:22.267</v>
      </c>
      <c r="U1844" t="str">
        <f t="shared" si="847"/>
        <v>A9808D</v>
      </c>
      <c r="V1844">
        <v>0</v>
      </c>
      <c r="W1844">
        <v>0</v>
      </c>
      <c r="X1844">
        <v>1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0</v>
      </c>
      <c r="AI1844" t="s">
        <v>485</v>
      </c>
      <c r="AJ1844">
        <v>28.271920999999999</v>
      </c>
      <c r="AK1844" t="s">
        <v>486</v>
      </c>
      <c r="AL1844">
        <v>-82.358149999999995</v>
      </c>
      <c r="AM1844">
        <v>100</v>
      </c>
      <c r="AN1844">
        <v>1900</v>
      </c>
      <c r="AO1844" t="s">
        <v>118</v>
      </c>
      <c r="AP1844">
        <v>72</v>
      </c>
      <c r="AQ1844">
        <v>-69</v>
      </c>
      <c r="AR1844">
        <v>256</v>
      </c>
      <c r="AZ1844">
        <v>1200</v>
      </c>
      <c r="BA1844">
        <v>1</v>
      </c>
      <c r="BB1844" t="str">
        <f t="shared" si="860"/>
        <v xml:space="preserve">N711JA  </v>
      </c>
      <c r="BC1844">
        <v>1</v>
      </c>
      <c r="BE1844">
        <v>0</v>
      </c>
      <c r="BF1844">
        <v>0</v>
      </c>
      <c r="BG1844">
        <v>0</v>
      </c>
      <c r="BH1844">
        <v>1975</v>
      </c>
      <c r="BI1844">
        <v>1</v>
      </c>
      <c r="BJ1844">
        <v>1</v>
      </c>
      <c r="BK1844">
        <v>0</v>
      </c>
      <c r="BL1844">
        <v>0</v>
      </c>
      <c r="BO1844">
        <v>0</v>
      </c>
      <c r="BP1844">
        <v>0</v>
      </c>
      <c r="BW1844" t="str">
        <f t="shared" si="872"/>
        <v>14:44:22.374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343</v>
      </c>
      <c r="CR1844">
        <v>1</v>
      </c>
      <c r="CW1844">
        <v>10717311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si="869"/>
        <v>05/12/2020 14:44:04.554</v>
      </c>
      <c r="C1845" t="str">
        <f t="shared" si="857"/>
        <v>FFDFD3C0</v>
      </c>
      <c r="D1845" t="s">
        <v>126</v>
      </c>
      <c r="E1845">
        <v>6</v>
      </c>
      <c r="F1845">
        <v>1006</v>
      </c>
      <c r="G1845" t="s">
        <v>114</v>
      </c>
      <c r="J1845" t="s">
        <v>128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870"/>
        <v>14:44:22.367</v>
      </c>
      <c r="T1845" t="str">
        <f t="shared" si="871"/>
        <v>14:44:22.267</v>
      </c>
      <c r="U1845" t="str">
        <f t="shared" si="847"/>
        <v>A9808D</v>
      </c>
      <c r="V1845">
        <v>0</v>
      </c>
      <c r="W1845">
        <v>0</v>
      </c>
      <c r="X1845">
        <v>1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0</v>
      </c>
      <c r="AI1845" t="s">
        <v>485</v>
      </c>
      <c r="AJ1845">
        <v>28.271920999999999</v>
      </c>
      <c r="AK1845" t="s">
        <v>486</v>
      </c>
      <c r="AL1845">
        <v>-82.358149999999995</v>
      </c>
      <c r="AM1845">
        <v>100</v>
      </c>
      <c r="AN1845">
        <v>1900</v>
      </c>
      <c r="AO1845" t="s">
        <v>118</v>
      </c>
      <c r="AP1845">
        <v>72</v>
      </c>
      <c r="AQ1845">
        <v>-69</v>
      </c>
      <c r="AR1845">
        <v>256</v>
      </c>
      <c r="AZ1845">
        <v>1200</v>
      </c>
      <c r="BA1845">
        <v>1</v>
      </c>
      <c r="BB1845" t="str">
        <f t="shared" si="860"/>
        <v xml:space="preserve">N711JA  </v>
      </c>
      <c r="BC1845">
        <v>1</v>
      </c>
      <c r="BE1845">
        <v>0</v>
      </c>
      <c r="BF1845">
        <v>0</v>
      </c>
      <c r="BG1845">
        <v>0</v>
      </c>
      <c r="BH1845">
        <v>1975</v>
      </c>
      <c r="BI1845">
        <v>1</v>
      </c>
      <c r="BJ1845">
        <v>1</v>
      </c>
      <c r="BK1845">
        <v>0</v>
      </c>
      <c r="BL1845">
        <v>0</v>
      </c>
      <c r="BO1845">
        <v>0</v>
      </c>
      <c r="BP1845">
        <v>0</v>
      </c>
      <c r="BW1845" t="str">
        <f t="shared" si="872"/>
        <v>14:44:22.374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343</v>
      </c>
      <c r="CR1845">
        <v>1</v>
      </c>
      <c r="CW1845">
        <v>10717311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si="869"/>
        <v>05/12/2020 14:44:04.554</v>
      </c>
      <c r="C1846" t="str">
        <f t="shared" si="857"/>
        <v>FFDFD3C0</v>
      </c>
      <c r="D1846" t="s">
        <v>126</v>
      </c>
      <c r="E1846">
        <v>7</v>
      </c>
      <c r="F1846">
        <v>1007</v>
      </c>
      <c r="G1846" t="s">
        <v>127</v>
      </c>
      <c r="J1846" t="s">
        <v>128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870"/>
        <v>14:44:22.367</v>
      </c>
      <c r="T1846" t="str">
        <f t="shared" si="871"/>
        <v>14:44:22.267</v>
      </c>
      <c r="U1846" t="str">
        <f t="shared" si="847"/>
        <v>A9808D</v>
      </c>
      <c r="V1846">
        <v>0</v>
      </c>
      <c r="W1846">
        <v>0</v>
      </c>
      <c r="X1846">
        <v>1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0</v>
      </c>
      <c r="AI1846" t="s">
        <v>485</v>
      </c>
      <c r="AJ1846">
        <v>28.271920999999999</v>
      </c>
      <c r="AK1846" t="s">
        <v>486</v>
      </c>
      <c r="AL1846">
        <v>-82.358149999999995</v>
      </c>
      <c r="AM1846">
        <v>100</v>
      </c>
      <c r="AN1846">
        <v>1900</v>
      </c>
      <c r="AO1846" t="s">
        <v>118</v>
      </c>
      <c r="AP1846">
        <v>72</v>
      </c>
      <c r="AQ1846">
        <v>-69</v>
      </c>
      <c r="AR1846">
        <v>256</v>
      </c>
      <c r="AZ1846">
        <v>1200</v>
      </c>
      <c r="BA1846">
        <v>1</v>
      </c>
      <c r="BB1846" t="str">
        <f t="shared" si="860"/>
        <v xml:space="preserve">N711JA  </v>
      </c>
      <c r="BC1846">
        <v>1</v>
      </c>
      <c r="BE1846">
        <v>0</v>
      </c>
      <c r="BF1846">
        <v>0</v>
      </c>
      <c r="BG1846">
        <v>0</v>
      </c>
      <c r="BH1846">
        <v>1975</v>
      </c>
      <c r="BI1846">
        <v>1</v>
      </c>
      <c r="BJ1846">
        <v>1</v>
      </c>
      <c r="BK1846">
        <v>0</v>
      </c>
      <c r="BL1846">
        <v>0</v>
      </c>
      <c r="BO1846">
        <v>0</v>
      </c>
      <c r="BP1846">
        <v>0</v>
      </c>
      <c r="BW1846" t="str">
        <f t="shared" si="872"/>
        <v>14:44:22.374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343</v>
      </c>
      <c r="CR1846">
        <v>1</v>
      </c>
      <c r="CW1846">
        <v>10717311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si="869"/>
        <v>05/12/2020 14:44:04.554</v>
      </c>
      <c r="C1847" t="str">
        <f t="shared" si="857"/>
        <v>FFDFD3C0</v>
      </c>
      <c r="D1847" t="s">
        <v>131</v>
      </c>
      <c r="E1847">
        <v>10</v>
      </c>
      <c r="F1847">
        <v>2010</v>
      </c>
      <c r="G1847" t="s">
        <v>132</v>
      </c>
      <c r="J1847" t="s">
        <v>133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870"/>
        <v>14:44:22.367</v>
      </c>
      <c r="T1847" t="str">
        <f t="shared" si="871"/>
        <v>14:44:22.267</v>
      </c>
      <c r="U1847" t="str">
        <f t="shared" si="847"/>
        <v>A9808D</v>
      </c>
      <c r="V1847">
        <v>0</v>
      </c>
      <c r="W1847">
        <v>0</v>
      </c>
      <c r="X1847">
        <v>1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0</v>
      </c>
      <c r="AI1847" t="s">
        <v>485</v>
      </c>
      <c r="AJ1847">
        <v>28.271920999999999</v>
      </c>
      <c r="AK1847" t="s">
        <v>486</v>
      </c>
      <c r="AL1847">
        <v>-82.358149999999995</v>
      </c>
      <c r="AM1847">
        <v>100</v>
      </c>
      <c r="AN1847">
        <v>1900</v>
      </c>
      <c r="AO1847" t="s">
        <v>118</v>
      </c>
      <c r="AP1847">
        <v>72</v>
      </c>
      <c r="AQ1847">
        <v>-69</v>
      </c>
      <c r="AR1847">
        <v>256</v>
      </c>
      <c r="AZ1847">
        <v>1200</v>
      </c>
      <c r="BA1847">
        <v>1</v>
      </c>
      <c r="BB1847" t="str">
        <f t="shared" si="860"/>
        <v xml:space="preserve">N711JA  </v>
      </c>
      <c r="BC1847">
        <v>1</v>
      </c>
      <c r="BE1847">
        <v>0</v>
      </c>
      <c r="BF1847">
        <v>0</v>
      </c>
      <c r="BG1847">
        <v>0</v>
      </c>
      <c r="BH1847">
        <v>1975</v>
      </c>
      <c r="BI1847">
        <v>1</v>
      </c>
      <c r="BJ1847">
        <v>1</v>
      </c>
      <c r="BK1847">
        <v>0</v>
      </c>
      <c r="BL1847">
        <v>0</v>
      </c>
      <c r="BO1847">
        <v>0</v>
      </c>
      <c r="BP1847">
        <v>0</v>
      </c>
      <c r="BW1847" t="str">
        <f t="shared" si="872"/>
        <v>14:44:22.374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343</v>
      </c>
      <c r="CR1847">
        <v>1</v>
      </c>
      <c r="CW1847">
        <v>10717311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869"/>
        <v>05/12/2020 14:44:04.554</v>
      </c>
      <c r="C1848" t="str">
        <f t="shared" si="857"/>
        <v>FFDFD3C0</v>
      </c>
      <c r="D1848" t="s">
        <v>131</v>
      </c>
      <c r="E1848">
        <v>12</v>
      </c>
      <c r="F1848">
        <v>2012</v>
      </c>
      <c r="G1848" t="s">
        <v>137</v>
      </c>
      <c r="J1848" t="s">
        <v>133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870"/>
        <v>14:44:22.367</v>
      </c>
      <c r="T1848" t="str">
        <f t="shared" si="871"/>
        <v>14:44:22.267</v>
      </c>
      <c r="U1848" t="str">
        <f t="shared" si="847"/>
        <v>A9808D</v>
      </c>
      <c r="V1848">
        <v>0</v>
      </c>
      <c r="W1848">
        <v>0</v>
      </c>
      <c r="X1848">
        <v>1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0</v>
      </c>
      <c r="AI1848" t="s">
        <v>485</v>
      </c>
      <c r="AJ1848">
        <v>28.271920999999999</v>
      </c>
      <c r="AK1848" t="s">
        <v>486</v>
      </c>
      <c r="AL1848">
        <v>-82.358149999999995</v>
      </c>
      <c r="AM1848">
        <v>100</v>
      </c>
      <c r="AN1848">
        <v>1900</v>
      </c>
      <c r="AO1848" t="s">
        <v>118</v>
      </c>
      <c r="AP1848">
        <v>72</v>
      </c>
      <c r="AQ1848">
        <v>-69</v>
      </c>
      <c r="AR1848">
        <v>256</v>
      </c>
      <c r="AZ1848">
        <v>1200</v>
      </c>
      <c r="BA1848">
        <v>1</v>
      </c>
      <c r="BB1848" t="str">
        <f t="shared" si="860"/>
        <v xml:space="preserve">N711JA  </v>
      </c>
      <c r="BC1848">
        <v>1</v>
      </c>
      <c r="BE1848">
        <v>0</v>
      </c>
      <c r="BF1848">
        <v>0</v>
      </c>
      <c r="BG1848">
        <v>0</v>
      </c>
      <c r="BH1848">
        <v>1975</v>
      </c>
      <c r="BI1848">
        <v>1</v>
      </c>
      <c r="BJ1848">
        <v>1</v>
      </c>
      <c r="BK1848">
        <v>0</v>
      </c>
      <c r="BL1848">
        <v>0</v>
      </c>
      <c r="BO1848">
        <v>0</v>
      </c>
      <c r="BP1848">
        <v>0</v>
      </c>
      <c r="BW1848" t="str">
        <f t="shared" si="872"/>
        <v>14:44:22.374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343</v>
      </c>
      <c r="CR1848">
        <v>1</v>
      </c>
      <c r="CW1848">
        <v>10717311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 t="shared" si="869"/>
        <v>05/12/2020 14:44:04.554</v>
      </c>
      <c r="C1849" t="str">
        <f t="shared" si="857"/>
        <v>FFDFD3C0</v>
      </c>
      <c r="D1849" t="s">
        <v>131</v>
      </c>
      <c r="E1849">
        <v>18</v>
      </c>
      <c r="F1849">
        <v>2018</v>
      </c>
      <c r="G1849" t="s">
        <v>161</v>
      </c>
      <c r="J1849" t="s">
        <v>133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870"/>
        <v>14:44:22.367</v>
      </c>
      <c r="T1849" t="str">
        <f t="shared" si="871"/>
        <v>14:44:22.267</v>
      </c>
      <c r="U1849" t="str">
        <f t="shared" si="847"/>
        <v>A9808D</v>
      </c>
      <c r="V1849">
        <v>0</v>
      </c>
      <c r="W1849">
        <v>0</v>
      </c>
      <c r="X1849">
        <v>1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0</v>
      </c>
      <c r="AI1849" t="s">
        <v>485</v>
      </c>
      <c r="AJ1849">
        <v>28.271920999999999</v>
      </c>
      <c r="AK1849" t="s">
        <v>486</v>
      </c>
      <c r="AL1849">
        <v>-82.358149999999995</v>
      </c>
      <c r="AM1849">
        <v>100</v>
      </c>
      <c r="AN1849">
        <v>1900</v>
      </c>
      <c r="AO1849" t="s">
        <v>118</v>
      </c>
      <c r="AP1849">
        <v>72</v>
      </c>
      <c r="AQ1849">
        <v>-69</v>
      </c>
      <c r="AR1849">
        <v>256</v>
      </c>
      <c r="AZ1849">
        <v>1200</v>
      </c>
      <c r="BA1849">
        <v>1</v>
      </c>
      <c r="BB1849" t="str">
        <f t="shared" si="860"/>
        <v xml:space="preserve">N711JA  </v>
      </c>
      <c r="BC1849">
        <v>1</v>
      </c>
      <c r="BE1849">
        <v>0</v>
      </c>
      <c r="BF1849">
        <v>0</v>
      </c>
      <c r="BG1849">
        <v>0</v>
      </c>
      <c r="BH1849">
        <v>1975</v>
      </c>
      <c r="BI1849">
        <v>1</v>
      </c>
      <c r="BJ1849">
        <v>1</v>
      </c>
      <c r="BK1849">
        <v>0</v>
      </c>
      <c r="BL1849">
        <v>0</v>
      </c>
      <c r="BO1849">
        <v>0</v>
      </c>
      <c r="BP1849">
        <v>0</v>
      </c>
      <c r="BW1849" t="str">
        <f t="shared" si="872"/>
        <v>14:44:22.374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343</v>
      </c>
      <c r="CR1849">
        <v>1</v>
      </c>
      <c r="CW1849">
        <v>10717311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 t="shared" ref="A1850:A1858" si="873">"05/12/2020 14:44:05.521"</f>
        <v>05/12/2020 14:44:05.521</v>
      </c>
      <c r="C1850" t="str">
        <f t="shared" si="857"/>
        <v>FFDFD3C0</v>
      </c>
      <c r="D1850" t="s">
        <v>138</v>
      </c>
      <c r="E1850">
        <v>2</v>
      </c>
      <c r="H1850">
        <v>8</v>
      </c>
      <c r="I1850" t="s">
        <v>139</v>
      </c>
      <c r="J1850" t="s">
        <v>136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ref="S1850:S1858" si="874">"14:44:23.367"</f>
        <v>14:44:23.367</v>
      </c>
      <c r="T1850" t="str">
        <f t="shared" ref="T1850:T1858" si="875">"14:44:23.267"</f>
        <v>14:44:23.267</v>
      </c>
      <c r="U1850" t="str">
        <f t="shared" si="847"/>
        <v>A9808D</v>
      </c>
      <c r="V1850">
        <v>0</v>
      </c>
      <c r="W1850">
        <v>0</v>
      </c>
      <c r="X1850">
        <v>1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0</v>
      </c>
      <c r="AI1850" t="s">
        <v>487</v>
      </c>
      <c r="AJ1850">
        <v>28.271598999999998</v>
      </c>
      <c r="AK1850" t="s">
        <v>488</v>
      </c>
      <c r="AL1850">
        <v>-82.357764000000003</v>
      </c>
      <c r="AM1850">
        <v>100</v>
      </c>
      <c r="AN1850">
        <v>1900</v>
      </c>
      <c r="AO1850" t="s">
        <v>118</v>
      </c>
      <c r="AP1850">
        <v>72</v>
      </c>
      <c r="AQ1850">
        <v>-69</v>
      </c>
      <c r="AR1850">
        <v>256</v>
      </c>
      <c r="AZ1850">
        <v>1200</v>
      </c>
      <c r="BA1850">
        <v>1</v>
      </c>
      <c r="BB1850" t="str">
        <f t="shared" si="860"/>
        <v xml:space="preserve">N711JA  </v>
      </c>
      <c r="BC1850">
        <v>1</v>
      </c>
      <c r="BE1850">
        <v>0</v>
      </c>
      <c r="BF1850">
        <v>0</v>
      </c>
      <c r="BG1850">
        <v>0</v>
      </c>
      <c r="BH1850">
        <v>2000</v>
      </c>
      <c r="BI1850">
        <v>1</v>
      </c>
      <c r="BJ1850">
        <v>1</v>
      </c>
      <c r="BK1850">
        <v>0</v>
      </c>
      <c r="BL1850">
        <v>0</v>
      </c>
      <c r="BO1850">
        <v>0</v>
      </c>
      <c r="BP1850">
        <v>0</v>
      </c>
      <c r="BW1850" t="str">
        <f t="shared" ref="BW1850:BW1858" si="876">"14:44:23.368"</f>
        <v>14:44:23.368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343</v>
      </c>
      <c r="CR1850">
        <v>1</v>
      </c>
      <c r="CW1850">
        <v>10718357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 t="shared" si="873"/>
        <v>05/12/2020 14:44:05.521</v>
      </c>
      <c r="C1851" t="str">
        <f t="shared" si="857"/>
        <v>FFDFD3C0</v>
      </c>
      <c r="D1851" t="s">
        <v>138</v>
      </c>
      <c r="E1851">
        <v>3</v>
      </c>
      <c r="H1851">
        <v>9</v>
      </c>
      <c r="I1851" t="s">
        <v>140</v>
      </c>
      <c r="J1851" t="s">
        <v>136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874"/>
        <v>14:44:23.367</v>
      </c>
      <c r="T1851" t="str">
        <f t="shared" si="875"/>
        <v>14:44:23.267</v>
      </c>
      <c r="U1851" t="str">
        <f t="shared" si="847"/>
        <v>A9808D</v>
      </c>
      <c r="V1851">
        <v>0</v>
      </c>
      <c r="W1851">
        <v>0</v>
      </c>
      <c r="X1851">
        <v>1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0</v>
      </c>
      <c r="AI1851" t="s">
        <v>487</v>
      </c>
      <c r="AJ1851">
        <v>28.271598999999998</v>
      </c>
      <c r="AK1851" t="s">
        <v>488</v>
      </c>
      <c r="AL1851">
        <v>-82.357764000000003</v>
      </c>
      <c r="AM1851">
        <v>100</v>
      </c>
      <c r="AN1851">
        <v>1900</v>
      </c>
      <c r="AO1851" t="s">
        <v>118</v>
      </c>
      <c r="AP1851">
        <v>72</v>
      </c>
      <c r="AQ1851">
        <v>-69</v>
      </c>
      <c r="AR1851">
        <v>256</v>
      </c>
      <c r="AZ1851">
        <v>1200</v>
      </c>
      <c r="BA1851">
        <v>1</v>
      </c>
      <c r="BB1851" t="str">
        <f t="shared" si="860"/>
        <v xml:space="preserve">N711JA  </v>
      </c>
      <c r="BC1851">
        <v>1</v>
      </c>
      <c r="BE1851">
        <v>0</v>
      </c>
      <c r="BF1851">
        <v>0</v>
      </c>
      <c r="BG1851">
        <v>0</v>
      </c>
      <c r="BH1851">
        <v>2000</v>
      </c>
      <c r="BI1851">
        <v>1</v>
      </c>
      <c r="BJ1851">
        <v>1</v>
      </c>
      <c r="BK1851">
        <v>0</v>
      </c>
      <c r="BL1851">
        <v>0</v>
      </c>
      <c r="BO1851">
        <v>0</v>
      </c>
      <c r="BP1851">
        <v>0</v>
      </c>
      <c r="BW1851" t="str">
        <f t="shared" si="876"/>
        <v>14:44:23.368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343</v>
      </c>
      <c r="CR1851">
        <v>1</v>
      </c>
      <c r="CW1851">
        <v>10718357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 t="shared" si="873"/>
        <v>05/12/2020 14:44:05.521</v>
      </c>
      <c r="C1852" t="str">
        <f t="shared" si="857"/>
        <v>FFDFD3C0</v>
      </c>
      <c r="D1852" t="s">
        <v>126</v>
      </c>
      <c r="E1852">
        <v>6</v>
      </c>
      <c r="F1852">
        <v>1006</v>
      </c>
      <c r="G1852" t="s">
        <v>114</v>
      </c>
      <c r="J1852" t="s">
        <v>128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874"/>
        <v>14:44:23.367</v>
      </c>
      <c r="T1852" t="str">
        <f t="shared" si="875"/>
        <v>14:44:23.267</v>
      </c>
      <c r="U1852" t="str">
        <f t="shared" si="847"/>
        <v>A9808D</v>
      </c>
      <c r="V1852">
        <v>0</v>
      </c>
      <c r="W1852">
        <v>0</v>
      </c>
      <c r="X1852">
        <v>1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0</v>
      </c>
      <c r="AI1852" t="s">
        <v>487</v>
      </c>
      <c r="AJ1852">
        <v>28.271598999999998</v>
      </c>
      <c r="AK1852" t="s">
        <v>488</v>
      </c>
      <c r="AL1852">
        <v>-82.357764000000003</v>
      </c>
      <c r="AM1852">
        <v>100</v>
      </c>
      <c r="AN1852">
        <v>1900</v>
      </c>
      <c r="AO1852" t="s">
        <v>118</v>
      </c>
      <c r="AP1852">
        <v>72</v>
      </c>
      <c r="AQ1852">
        <v>-69</v>
      </c>
      <c r="AR1852">
        <v>256</v>
      </c>
      <c r="AZ1852">
        <v>1200</v>
      </c>
      <c r="BA1852">
        <v>1</v>
      </c>
      <c r="BB1852" t="str">
        <f t="shared" si="860"/>
        <v xml:space="preserve">N711JA  </v>
      </c>
      <c r="BC1852">
        <v>1</v>
      </c>
      <c r="BE1852">
        <v>0</v>
      </c>
      <c r="BF1852">
        <v>0</v>
      </c>
      <c r="BG1852">
        <v>0</v>
      </c>
      <c r="BH1852">
        <v>2000</v>
      </c>
      <c r="BI1852">
        <v>1</v>
      </c>
      <c r="BJ1852">
        <v>1</v>
      </c>
      <c r="BK1852">
        <v>0</v>
      </c>
      <c r="BL1852">
        <v>0</v>
      </c>
      <c r="BO1852">
        <v>0</v>
      </c>
      <c r="BP1852">
        <v>0</v>
      </c>
      <c r="BW1852" t="str">
        <f t="shared" si="876"/>
        <v>14:44:23.368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343</v>
      </c>
      <c r="CR1852">
        <v>1</v>
      </c>
      <c r="CW1852">
        <v>10718357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 t="shared" si="873"/>
        <v>05/12/2020 14:44:05.521</v>
      </c>
      <c r="C1853" t="str">
        <f t="shared" si="857"/>
        <v>FFDFD3C0</v>
      </c>
      <c r="D1853" t="s">
        <v>113</v>
      </c>
      <c r="E1853">
        <v>3</v>
      </c>
      <c r="H1853">
        <v>164</v>
      </c>
      <c r="I1853" t="s">
        <v>114</v>
      </c>
      <c r="J1853" t="s">
        <v>115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874"/>
        <v>14:44:23.367</v>
      </c>
      <c r="T1853" t="str">
        <f t="shared" si="875"/>
        <v>14:44:23.267</v>
      </c>
      <c r="U1853" t="str">
        <f t="shared" si="847"/>
        <v>A9808D</v>
      </c>
      <c r="V1853">
        <v>0</v>
      </c>
      <c r="W1853">
        <v>0</v>
      </c>
      <c r="X1853">
        <v>1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0</v>
      </c>
      <c r="AI1853" t="s">
        <v>487</v>
      </c>
      <c r="AJ1853">
        <v>28.271598999999998</v>
      </c>
      <c r="AK1853" t="s">
        <v>488</v>
      </c>
      <c r="AL1853">
        <v>-82.357764000000003</v>
      </c>
      <c r="AM1853">
        <v>100</v>
      </c>
      <c r="AN1853">
        <v>1900</v>
      </c>
      <c r="AO1853" t="s">
        <v>118</v>
      </c>
      <c r="AP1853">
        <v>72</v>
      </c>
      <c r="AQ1853">
        <v>-69</v>
      </c>
      <c r="AR1853">
        <v>256</v>
      </c>
      <c r="AZ1853">
        <v>1200</v>
      </c>
      <c r="BA1853">
        <v>1</v>
      </c>
      <c r="BB1853" t="str">
        <f t="shared" si="860"/>
        <v xml:space="preserve">N711JA  </v>
      </c>
      <c r="BC1853">
        <v>1</v>
      </c>
      <c r="BE1853">
        <v>0</v>
      </c>
      <c r="BF1853">
        <v>0</v>
      </c>
      <c r="BG1853">
        <v>0</v>
      </c>
      <c r="BH1853">
        <v>2000</v>
      </c>
      <c r="BI1853">
        <v>1</v>
      </c>
      <c r="BJ1853">
        <v>1</v>
      </c>
      <c r="BK1853">
        <v>0</v>
      </c>
      <c r="BL1853">
        <v>0</v>
      </c>
      <c r="BO1853">
        <v>0</v>
      </c>
      <c r="BP1853">
        <v>0</v>
      </c>
      <c r="BW1853" t="str">
        <f t="shared" si="876"/>
        <v>14:44:23.368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343</v>
      </c>
      <c r="CR1853">
        <v>1</v>
      </c>
      <c r="CW1853">
        <v>10718357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 t="shared" si="873"/>
        <v>05/12/2020 14:44:05.521</v>
      </c>
      <c r="C1854" t="str">
        <f t="shared" si="857"/>
        <v>FFDFD3C0</v>
      </c>
      <c r="D1854" t="s">
        <v>126</v>
      </c>
      <c r="E1854">
        <v>7</v>
      </c>
      <c r="F1854">
        <v>1007</v>
      </c>
      <c r="G1854" t="s">
        <v>127</v>
      </c>
      <c r="J1854" t="s">
        <v>128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874"/>
        <v>14:44:23.367</v>
      </c>
      <c r="T1854" t="str">
        <f t="shared" si="875"/>
        <v>14:44:23.267</v>
      </c>
      <c r="U1854" t="str">
        <f t="shared" si="847"/>
        <v>A9808D</v>
      </c>
      <c r="V1854">
        <v>0</v>
      </c>
      <c r="W1854">
        <v>0</v>
      </c>
      <c r="X1854">
        <v>1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0</v>
      </c>
      <c r="AI1854" t="s">
        <v>487</v>
      </c>
      <c r="AJ1854">
        <v>28.271598999999998</v>
      </c>
      <c r="AK1854" t="s">
        <v>488</v>
      </c>
      <c r="AL1854">
        <v>-82.357764000000003</v>
      </c>
      <c r="AM1854">
        <v>100</v>
      </c>
      <c r="AN1854">
        <v>1900</v>
      </c>
      <c r="AO1854" t="s">
        <v>118</v>
      </c>
      <c r="AP1854">
        <v>72</v>
      </c>
      <c r="AQ1854">
        <v>-69</v>
      </c>
      <c r="AR1854">
        <v>256</v>
      </c>
      <c r="AZ1854">
        <v>1200</v>
      </c>
      <c r="BA1854">
        <v>1</v>
      </c>
      <c r="BB1854" t="str">
        <f t="shared" si="860"/>
        <v xml:space="preserve">N711JA  </v>
      </c>
      <c r="BC1854">
        <v>1</v>
      </c>
      <c r="BE1854">
        <v>0</v>
      </c>
      <c r="BF1854">
        <v>0</v>
      </c>
      <c r="BG1854">
        <v>0</v>
      </c>
      <c r="BH1854">
        <v>2000</v>
      </c>
      <c r="BI1854">
        <v>1</v>
      </c>
      <c r="BJ1854">
        <v>1</v>
      </c>
      <c r="BK1854">
        <v>0</v>
      </c>
      <c r="BL1854">
        <v>0</v>
      </c>
      <c r="BO1854">
        <v>0</v>
      </c>
      <c r="BP1854">
        <v>0</v>
      </c>
      <c r="BW1854" t="str">
        <f t="shared" si="876"/>
        <v>14:44:23.368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343</v>
      </c>
      <c r="CR1854">
        <v>1</v>
      </c>
      <c r="CW1854">
        <v>10718357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 t="shared" si="873"/>
        <v>05/12/2020 14:44:05.521</v>
      </c>
      <c r="C1855" t="str">
        <f t="shared" si="857"/>
        <v>FFDFD3C0</v>
      </c>
      <c r="D1855" t="s">
        <v>131</v>
      </c>
      <c r="E1855">
        <v>10</v>
      </c>
      <c r="F1855">
        <v>2010</v>
      </c>
      <c r="G1855" t="s">
        <v>132</v>
      </c>
      <c r="J1855" t="s">
        <v>133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874"/>
        <v>14:44:23.367</v>
      </c>
      <c r="T1855" t="str">
        <f t="shared" si="875"/>
        <v>14:44:23.267</v>
      </c>
      <c r="U1855" t="str">
        <f t="shared" si="847"/>
        <v>A9808D</v>
      </c>
      <c r="V1855">
        <v>0</v>
      </c>
      <c r="W1855">
        <v>0</v>
      </c>
      <c r="X1855">
        <v>1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0</v>
      </c>
      <c r="AI1855" t="s">
        <v>487</v>
      </c>
      <c r="AJ1855">
        <v>28.271598999999998</v>
      </c>
      <c r="AK1855" t="s">
        <v>488</v>
      </c>
      <c r="AL1855">
        <v>-82.357764000000003</v>
      </c>
      <c r="AM1855">
        <v>100</v>
      </c>
      <c r="AN1855">
        <v>1900</v>
      </c>
      <c r="AO1855" t="s">
        <v>118</v>
      </c>
      <c r="AP1855">
        <v>72</v>
      </c>
      <c r="AQ1855">
        <v>-69</v>
      </c>
      <c r="AR1855">
        <v>256</v>
      </c>
      <c r="AZ1855">
        <v>1200</v>
      </c>
      <c r="BA1855">
        <v>1</v>
      </c>
      <c r="BB1855" t="str">
        <f t="shared" si="860"/>
        <v xml:space="preserve">N711JA  </v>
      </c>
      <c r="BC1855">
        <v>1</v>
      </c>
      <c r="BE1855">
        <v>0</v>
      </c>
      <c r="BF1855">
        <v>0</v>
      </c>
      <c r="BG1855">
        <v>0</v>
      </c>
      <c r="BH1855">
        <v>2000</v>
      </c>
      <c r="BI1855">
        <v>1</v>
      </c>
      <c r="BJ1855">
        <v>1</v>
      </c>
      <c r="BK1855">
        <v>0</v>
      </c>
      <c r="BL1855">
        <v>0</v>
      </c>
      <c r="BO1855">
        <v>0</v>
      </c>
      <c r="BP1855">
        <v>0</v>
      </c>
      <c r="BW1855" t="str">
        <f t="shared" si="876"/>
        <v>14:44:23.368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343</v>
      </c>
      <c r="CR1855">
        <v>1</v>
      </c>
      <c r="CW1855">
        <v>10718357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 t="shared" si="873"/>
        <v>05/12/2020 14:44:05.521</v>
      </c>
      <c r="C1856" t="str">
        <f t="shared" si="857"/>
        <v>FFDFD3C0</v>
      </c>
      <c r="D1856" t="s">
        <v>131</v>
      </c>
      <c r="E1856">
        <v>12</v>
      </c>
      <c r="F1856">
        <v>2012</v>
      </c>
      <c r="G1856" t="s">
        <v>137</v>
      </c>
      <c r="J1856" t="s">
        <v>133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874"/>
        <v>14:44:23.367</v>
      </c>
      <c r="T1856" t="str">
        <f t="shared" si="875"/>
        <v>14:44:23.267</v>
      </c>
      <c r="U1856" t="str">
        <f t="shared" si="847"/>
        <v>A9808D</v>
      </c>
      <c r="V1856">
        <v>0</v>
      </c>
      <c r="W1856">
        <v>0</v>
      </c>
      <c r="X1856">
        <v>1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0</v>
      </c>
      <c r="AI1856" t="s">
        <v>487</v>
      </c>
      <c r="AJ1856">
        <v>28.271598999999998</v>
      </c>
      <c r="AK1856" t="s">
        <v>488</v>
      </c>
      <c r="AL1856">
        <v>-82.357764000000003</v>
      </c>
      <c r="AM1856">
        <v>100</v>
      </c>
      <c r="AN1856">
        <v>1900</v>
      </c>
      <c r="AO1856" t="s">
        <v>118</v>
      </c>
      <c r="AP1856">
        <v>72</v>
      </c>
      <c r="AQ1856">
        <v>-69</v>
      </c>
      <c r="AR1856">
        <v>256</v>
      </c>
      <c r="AZ1856">
        <v>1200</v>
      </c>
      <c r="BA1856">
        <v>1</v>
      </c>
      <c r="BB1856" t="str">
        <f t="shared" si="860"/>
        <v xml:space="preserve">N711JA  </v>
      </c>
      <c r="BC1856">
        <v>1</v>
      </c>
      <c r="BE1856">
        <v>0</v>
      </c>
      <c r="BF1856">
        <v>0</v>
      </c>
      <c r="BG1856">
        <v>0</v>
      </c>
      <c r="BH1856">
        <v>2000</v>
      </c>
      <c r="BI1856">
        <v>1</v>
      </c>
      <c r="BJ1856">
        <v>1</v>
      </c>
      <c r="BK1856">
        <v>0</v>
      </c>
      <c r="BL1856">
        <v>0</v>
      </c>
      <c r="BO1856">
        <v>0</v>
      </c>
      <c r="BP1856">
        <v>0</v>
      </c>
      <c r="BW1856" t="str">
        <f t="shared" si="876"/>
        <v>14:44:23.368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343</v>
      </c>
      <c r="CR1856">
        <v>1</v>
      </c>
      <c r="CW1856">
        <v>10718357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 t="shared" si="873"/>
        <v>05/12/2020 14:44:05.521</v>
      </c>
      <c r="C1857" t="str">
        <f t="shared" si="857"/>
        <v>FFDFD3C0</v>
      </c>
      <c r="D1857" t="s">
        <v>131</v>
      </c>
      <c r="E1857">
        <v>18</v>
      </c>
      <c r="F1857">
        <v>2018</v>
      </c>
      <c r="G1857" t="s">
        <v>161</v>
      </c>
      <c r="J1857" t="s">
        <v>133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874"/>
        <v>14:44:23.367</v>
      </c>
      <c r="T1857" t="str">
        <f t="shared" si="875"/>
        <v>14:44:23.267</v>
      </c>
      <c r="U1857" t="str">
        <f t="shared" si="847"/>
        <v>A9808D</v>
      </c>
      <c r="V1857">
        <v>0</v>
      </c>
      <c r="W1857">
        <v>0</v>
      </c>
      <c r="X1857">
        <v>1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0</v>
      </c>
      <c r="AI1857" t="s">
        <v>487</v>
      </c>
      <c r="AJ1857">
        <v>28.271598999999998</v>
      </c>
      <c r="AK1857" t="s">
        <v>488</v>
      </c>
      <c r="AL1857">
        <v>-82.357764000000003</v>
      </c>
      <c r="AM1857">
        <v>100</v>
      </c>
      <c r="AN1857">
        <v>1900</v>
      </c>
      <c r="AO1857" t="s">
        <v>118</v>
      </c>
      <c r="AP1857">
        <v>72</v>
      </c>
      <c r="AQ1857">
        <v>-69</v>
      </c>
      <c r="AR1857">
        <v>256</v>
      </c>
      <c r="AZ1857">
        <v>1200</v>
      </c>
      <c r="BA1857">
        <v>1</v>
      </c>
      <c r="BB1857" t="str">
        <f t="shared" si="860"/>
        <v xml:space="preserve">N711JA  </v>
      </c>
      <c r="BC1857">
        <v>1</v>
      </c>
      <c r="BE1857">
        <v>0</v>
      </c>
      <c r="BF1857">
        <v>0</v>
      </c>
      <c r="BG1857">
        <v>0</v>
      </c>
      <c r="BH1857">
        <v>2000</v>
      </c>
      <c r="BI1857">
        <v>1</v>
      </c>
      <c r="BJ1857">
        <v>1</v>
      </c>
      <c r="BK1857">
        <v>0</v>
      </c>
      <c r="BL1857">
        <v>0</v>
      </c>
      <c r="BO1857">
        <v>0</v>
      </c>
      <c r="BP1857">
        <v>0</v>
      </c>
      <c r="BW1857" t="str">
        <f t="shared" si="876"/>
        <v>14:44:23.368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343</v>
      </c>
      <c r="CR1857">
        <v>1</v>
      </c>
      <c r="CW1857">
        <v>10718357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 t="shared" si="873"/>
        <v>05/12/2020 14:44:05.521</v>
      </c>
      <c r="C1858" t="str">
        <f t="shared" si="857"/>
        <v>FFDFD3C0</v>
      </c>
      <c r="D1858" t="s">
        <v>134</v>
      </c>
      <c r="E1858">
        <v>12</v>
      </c>
      <c r="H1858">
        <v>64</v>
      </c>
      <c r="I1858" t="s">
        <v>135</v>
      </c>
      <c r="J1858" t="s">
        <v>136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874"/>
        <v>14:44:23.367</v>
      </c>
      <c r="T1858" t="str">
        <f t="shared" si="875"/>
        <v>14:44:23.267</v>
      </c>
      <c r="U1858" t="str">
        <f t="shared" ref="U1858:U1921" si="877">"A9808D"</f>
        <v>A9808D</v>
      </c>
      <c r="V1858">
        <v>0</v>
      </c>
      <c r="W1858">
        <v>0</v>
      </c>
      <c r="X1858">
        <v>1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0</v>
      </c>
      <c r="AI1858" t="s">
        <v>487</v>
      </c>
      <c r="AJ1858">
        <v>28.271598999999998</v>
      </c>
      <c r="AK1858" t="s">
        <v>488</v>
      </c>
      <c r="AL1858">
        <v>-82.357764000000003</v>
      </c>
      <c r="AM1858">
        <v>100</v>
      </c>
      <c r="AN1858">
        <v>1900</v>
      </c>
      <c r="AO1858" t="s">
        <v>118</v>
      </c>
      <c r="AP1858">
        <v>72</v>
      </c>
      <c r="AQ1858">
        <v>-69</v>
      </c>
      <c r="AR1858">
        <v>256</v>
      </c>
      <c r="AZ1858">
        <v>1200</v>
      </c>
      <c r="BA1858">
        <v>1</v>
      </c>
      <c r="BB1858" t="str">
        <f t="shared" si="860"/>
        <v xml:space="preserve">N711JA  </v>
      </c>
      <c r="BC1858">
        <v>1</v>
      </c>
      <c r="BE1858">
        <v>0</v>
      </c>
      <c r="BF1858">
        <v>0</v>
      </c>
      <c r="BG1858">
        <v>0</v>
      </c>
      <c r="BH1858">
        <v>2000</v>
      </c>
      <c r="BI1858">
        <v>1</v>
      </c>
      <c r="BJ1858">
        <v>1</v>
      </c>
      <c r="BK1858">
        <v>0</v>
      </c>
      <c r="BL1858">
        <v>0</v>
      </c>
      <c r="BO1858">
        <v>0</v>
      </c>
      <c r="BP1858">
        <v>0</v>
      </c>
      <c r="BW1858" t="str">
        <f t="shared" si="876"/>
        <v>14:44:23.368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343</v>
      </c>
      <c r="CR1858">
        <v>1</v>
      </c>
      <c r="CW1858">
        <v>10718357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 t="shared" ref="A1859:A1867" si="878">"05/12/2020 14:44:06.600"</f>
        <v>05/12/2020 14:44:06.600</v>
      </c>
      <c r="C1859" t="str">
        <f t="shared" si="857"/>
        <v>FFDFD3C0</v>
      </c>
      <c r="D1859" t="s">
        <v>126</v>
      </c>
      <c r="E1859">
        <v>7</v>
      </c>
      <c r="F1859">
        <v>1007</v>
      </c>
      <c r="G1859" t="s">
        <v>127</v>
      </c>
      <c r="J1859" t="s">
        <v>128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ref="S1859:S1867" si="879">"14:44:24.445"</f>
        <v>14:44:24.445</v>
      </c>
      <c r="T1859" t="str">
        <f t="shared" ref="T1859:T1867" si="880">"14:44:24.245"</f>
        <v>14:44:24.245</v>
      </c>
      <c r="U1859" t="str">
        <f t="shared" si="877"/>
        <v>A9808D</v>
      </c>
      <c r="V1859">
        <v>0</v>
      </c>
      <c r="W1859">
        <v>0</v>
      </c>
      <c r="X1859">
        <v>1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0</v>
      </c>
      <c r="AI1859" t="s">
        <v>489</v>
      </c>
      <c r="AJ1859">
        <v>28.271255</v>
      </c>
      <c r="AK1859" t="s">
        <v>490</v>
      </c>
      <c r="AL1859">
        <v>-82.357377999999997</v>
      </c>
      <c r="AM1859">
        <v>100</v>
      </c>
      <c r="AN1859">
        <v>1900</v>
      </c>
      <c r="AO1859" t="s">
        <v>118</v>
      </c>
      <c r="AP1859">
        <v>73</v>
      </c>
      <c r="AQ1859">
        <v>-68</v>
      </c>
      <c r="AR1859">
        <v>192</v>
      </c>
      <c r="AZ1859">
        <v>1200</v>
      </c>
      <c r="BA1859">
        <v>1</v>
      </c>
      <c r="BB1859" t="str">
        <f t="shared" si="860"/>
        <v xml:space="preserve">N711JA  </v>
      </c>
      <c r="BC1859">
        <v>1</v>
      </c>
      <c r="BE1859">
        <v>0</v>
      </c>
      <c r="BF1859">
        <v>0</v>
      </c>
      <c r="BG1859">
        <v>0</v>
      </c>
      <c r="BH1859">
        <v>2000</v>
      </c>
      <c r="BI1859">
        <v>1</v>
      </c>
      <c r="BJ1859">
        <v>1</v>
      </c>
      <c r="BK1859">
        <v>0</v>
      </c>
      <c r="BL1859">
        <v>0</v>
      </c>
      <c r="BO1859">
        <v>0</v>
      </c>
      <c r="BP1859">
        <v>0</v>
      </c>
      <c r="BW1859" t="str">
        <f>"14:44:24.448"</f>
        <v>14:44:24.448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56</v>
      </c>
      <c r="CR1859">
        <v>2</v>
      </c>
      <c r="CW1859">
        <v>4779184</v>
      </c>
      <c r="CY1859">
        <v>1</v>
      </c>
      <c r="CZ1859">
        <v>0</v>
      </c>
      <c r="DA1859">
        <v>0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 t="shared" si="878"/>
        <v>05/12/2020 14:44:06.600</v>
      </c>
      <c r="C1860" t="str">
        <f t="shared" si="857"/>
        <v>FFDFD3C0</v>
      </c>
      <c r="D1860" t="s">
        <v>131</v>
      </c>
      <c r="E1860">
        <v>10</v>
      </c>
      <c r="F1860">
        <v>2010</v>
      </c>
      <c r="G1860" t="s">
        <v>132</v>
      </c>
      <c r="J1860" t="s">
        <v>133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879"/>
        <v>14:44:24.445</v>
      </c>
      <c r="T1860" t="str">
        <f t="shared" si="880"/>
        <v>14:44:24.245</v>
      </c>
      <c r="U1860" t="str">
        <f t="shared" si="877"/>
        <v>A9808D</v>
      </c>
      <c r="V1860">
        <v>0</v>
      </c>
      <c r="W1860">
        <v>0</v>
      </c>
      <c r="X1860">
        <v>1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0</v>
      </c>
      <c r="AI1860" t="s">
        <v>489</v>
      </c>
      <c r="AJ1860">
        <v>28.271255</v>
      </c>
      <c r="AK1860" t="s">
        <v>490</v>
      </c>
      <c r="AL1860">
        <v>-82.357377999999997</v>
      </c>
      <c r="AM1860">
        <v>100</v>
      </c>
      <c r="AN1860">
        <v>1900</v>
      </c>
      <c r="AO1860" t="s">
        <v>118</v>
      </c>
      <c r="AP1860">
        <v>73</v>
      </c>
      <c r="AQ1860">
        <v>-68</v>
      </c>
      <c r="AR1860">
        <v>192</v>
      </c>
      <c r="AZ1860">
        <v>1200</v>
      </c>
      <c r="BA1860">
        <v>1</v>
      </c>
      <c r="BB1860" t="str">
        <f t="shared" si="860"/>
        <v xml:space="preserve">N711JA  </v>
      </c>
      <c r="BC1860">
        <v>1</v>
      </c>
      <c r="BE1860">
        <v>0</v>
      </c>
      <c r="BF1860">
        <v>0</v>
      </c>
      <c r="BG1860">
        <v>0</v>
      </c>
      <c r="BH1860">
        <v>2000</v>
      </c>
      <c r="BI1860">
        <v>1</v>
      </c>
      <c r="BJ1860">
        <v>1</v>
      </c>
      <c r="BK1860">
        <v>0</v>
      </c>
      <c r="BL1860">
        <v>0</v>
      </c>
      <c r="BO1860">
        <v>0</v>
      </c>
      <c r="BP1860">
        <v>0</v>
      </c>
      <c r="BW1860" t="str">
        <f>"14:44:24.448"</f>
        <v>14:44:24.448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56</v>
      </c>
      <c r="CR1860">
        <v>2</v>
      </c>
      <c r="CW1860">
        <v>4779184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 t="shared" si="878"/>
        <v>05/12/2020 14:44:06.600</v>
      </c>
      <c r="C1861" t="str">
        <f t="shared" si="857"/>
        <v>FFDFD3C0</v>
      </c>
      <c r="D1861" t="s">
        <v>131</v>
      </c>
      <c r="E1861">
        <v>12</v>
      </c>
      <c r="F1861">
        <v>2012</v>
      </c>
      <c r="G1861" t="s">
        <v>137</v>
      </c>
      <c r="J1861" t="s">
        <v>133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879"/>
        <v>14:44:24.445</v>
      </c>
      <c r="T1861" t="str">
        <f t="shared" si="880"/>
        <v>14:44:24.245</v>
      </c>
      <c r="U1861" t="str">
        <f t="shared" si="877"/>
        <v>A9808D</v>
      </c>
      <c r="V1861">
        <v>0</v>
      </c>
      <c r="W1861">
        <v>0</v>
      </c>
      <c r="X1861">
        <v>1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0</v>
      </c>
      <c r="AI1861" t="s">
        <v>489</v>
      </c>
      <c r="AJ1861">
        <v>28.271255</v>
      </c>
      <c r="AK1861" t="s">
        <v>490</v>
      </c>
      <c r="AL1861">
        <v>-82.357377999999997</v>
      </c>
      <c r="AM1861">
        <v>100</v>
      </c>
      <c r="AN1861">
        <v>1900</v>
      </c>
      <c r="AO1861" t="s">
        <v>118</v>
      </c>
      <c r="AP1861">
        <v>73</v>
      </c>
      <c r="AQ1861">
        <v>-68</v>
      </c>
      <c r="AR1861">
        <v>192</v>
      </c>
      <c r="AZ1861">
        <v>1200</v>
      </c>
      <c r="BA1861">
        <v>1</v>
      </c>
      <c r="BB1861" t="str">
        <f t="shared" si="860"/>
        <v xml:space="preserve">N711JA  </v>
      </c>
      <c r="BC1861">
        <v>1</v>
      </c>
      <c r="BE1861">
        <v>0</v>
      </c>
      <c r="BF1861">
        <v>0</v>
      </c>
      <c r="BG1861">
        <v>0</v>
      </c>
      <c r="BH1861">
        <v>2000</v>
      </c>
      <c r="BI1861">
        <v>1</v>
      </c>
      <c r="BJ1861">
        <v>1</v>
      </c>
      <c r="BK1861">
        <v>0</v>
      </c>
      <c r="BL1861">
        <v>0</v>
      </c>
      <c r="BO1861">
        <v>0</v>
      </c>
      <c r="BP1861">
        <v>0</v>
      </c>
      <c r="BW1861" t="str">
        <f>"14:44:24.448"</f>
        <v>14:44:24.448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56</v>
      </c>
      <c r="CR1861">
        <v>2</v>
      </c>
      <c r="CW1861">
        <v>4779184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 t="shared" si="878"/>
        <v>05/12/2020 14:44:06.600</v>
      </c>
      <c r="C1862" t="str">
        <f t="shared" si="857"/>
        <v>FFDFD3C0</v>
      </c>
      <c r="D1862" t="s">
        <v>131</v>
      </c>
      <c r="E1862">
        <v>18</v>
      </c>
      <c r="F1862">
        <v>2018</v>
      </c>
      <c r="G1862" t="s">
        <v>161</v>
      </c>
      <c r="J1862" t="s">
        <v>133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879"/>
        <v>14:44:24.445</v>
      </c>
      <c r="T1862" t="str">
        <f t="shared" si="880"/>
        <v>14:44:24.245</v>
      </c>
      <c r="U1862" t="str">
        <f t="shared" si="877"/>
        <v>A9808D</v>
      </c>
      <c r="V1862">
        <v>0</v>
      </c>
      <c r="W1862">
        <v>0</v>
      </c>
      <c r="X1862">
        <v>1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0</v>
      </c>
      <c r="AI1862" t="s">
        <v>489</v>
      </c>
      <c r="AJ1862">
        <v>28.271255</v>
      </c>
      <c r="AK1862" t="s">
        <v>490</v>
      </c>
      <c r="AL1862">
        <v>-82.357377999999997</v>
      </c>
      <c r="AM1862">
        <v>100</v>
      </c>
      <c r="AN1862">
        <v>1900</v>
      </c>
      <c r="AO1862" t="s">
        <v>118</v>
      </c>
      <c r="AP1862">
        <v>73</v>
      </c>
      <c r="AQ1862">
        <v>-68</v>
      </c>
      <c r="AR1862">
        <v>192</v>
      </c>
      <c r="AZ1862">
        <v>1200</v>
      </c>
      <c r="BA1862">
        <v>1</v>
      </c>
      <c r="BB1862" t="str">
        <f t="shared" si="860"/>
        <v xml:space="preserve">N711JA  </v>
      </c>
      <c r="BC1862">
        <v>1</v>
      </c>
      <c r="BE1862">
        <v>0</v>
      </c>
      <c r="BF1862">
        <v>0</v>
      </c>
      <c r="BG1862">
        <v>0</v>
      </c>
      <c r="BH1862">
        <v>2000</v>
      </c>
      <c r="BI1862">
        <v>1</v>
      </c>
      <c r="BJ1862">
        <v>1</v>
      </c>
      <c r="BK1862">
        <v>0</v>
      </c>
      <c r="BL1862">
        <v>0</v>
      </c>
      <c r="BO1862">
        <v>0</v>
      </c>
      <c r="BP1862">
        <v>0</v>
      </c>
      <c r="BW1862" t="str">
        <f>"14:44:24.448"</f>
        <v>14:44:24.448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56</v>
      </c>
      <c r="CR1862">
        <v>2</v>
      </c>
      <c r="CW1862">
        <v>4779184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 t="shared" si="878"/>
        <v>05/12/2020 14:44:06.600</v>
      </c>
      <c r="C1863" t="str">
        <f t="shared" si="857"/>
        <v>FFDFD3C0</v>
      </c>
      <c r="D1863" t="s">
        <v>134</v>
      </c>
      <c r="E1863">
        <v>12</v>
      </c>
      <c r="H1863">
        <v>64</v>
      </c>
      <c r="I1863" t="s">
        <v>135</v>
      </c>
      <c r="J1863" t="s">
        <v>136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879"/>
        <v>14:44:24.445</v>
      </c>
      <c r="T1863" t="str">
        <f t="shared" si="880"/>
        <v>14:44:24.245</v>
      </c>
      <c r="U1863" t="str">
        <f t="shared" si="877"/>
        <v>A9808D</v>
      </c>
      <c r="V1863">
        <v>0</v>
      </c>
      <c r="W1863">
        <v>0</v>
      </c>
      <c r="X1863">
        <v>1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0</v>
      </c>
      <c r="AI1863" t="s">
        <v>489</v>
      </c>
      <c r="AJ1863">
        <v>28.271255</v>
      </c>
      <c r="AK1863" t="s">
        <v>490</v>
      </c>
      <c r="AL1863">
        <v>-82.357377999999997</v>
      </c>
      <c r="AM1863">
        <v>100</v>
      </c>
      <c r="AN1863">
        <v>1900</v>
      </c>
      <c r="AO1863" t="s">
        <v>118</v>
      </c>
      <c r="AP1863">
        <v>73</v>
      </c>
      <c r="AQ1863">
        <v>-68</v>
      </c>
      <c r="AR1863">
        <v>192</v>
      </c>
      <c r="AZ1863">
        <v>1200</v>
      </c>
      <c r="BA1863">
        <v>1</v>
      </c>
      <c r="BB1863" t="str">
        <f t="shared" si="860"/>
        <v xml:space="preserve">N711JA  </v>
      </c>
      <c r="BC1863">
        <v>1</v>
      </c>
      <c r="BE1863">
        <v>0</v>
      </c>
      <c r="BF1863">
        <v>0</v>
      </c>
      <c r="BG1863">
        <v>0</v>
      </c>
      <c r="BH1863">
        <v>2000</v>
      </c>
      <c r="BI1863">
        <v>1</v>
      </c>
      <c r="BJ1863">
        <v>1</v>
      </c>
      <c r="BK1863">
        <v>0</v>
      </c>
      <c r="BL1863">
        <v>0</v>
      </c>
      <c r="BO1863">
        <v>0</v>
      </c>
      <c r="BP1863">
        <v>0</v>
      </c>
      <c r="BW1863" t="str">
        <f>"14:44:24.447"</f>
        <v>14:44:24.447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343</v>
      </c>
      <c r="CR1863">
        <v>1</v>
      </c>
      <c r="CW1863">
        <v>10719567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si="878"/>
        <v>05/12/2020 14:44:06.600</v>
      </c>
      <c r="C1864" t="str">
        <f t="shared" si="857"/>
        <v>FFDFD3C0</v>
      </c>
      <c r="D1864" t="s">
        <v>126</v>
      </c>
      <c r="E1864">
        <v>6</v>
      </c>
      <c r="F1864">
        <v>1006</v>
      </c>
      <c r="G1864" t="s">
        <v>114</v>
      </c>
      <c r="J1864" t="s">
        <v>128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879"/>
        <v>14:44:24.445</v>
      </c>
      <c r="T1864" t="str">
        <f t="shared" si="880"/>
        <v>14:44:24.245</v>
      </c>
      <c r="U1864" t="str">
        <f t="shared" si="877"/>
        <v>A9808D</v>
      </c>
      <c r="V1864">
        <v>0</v>
      </c>
      <c r="W1864">
        <v>0</v>
      </c>
      <c r="X1864">
        <v>1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0</v>
      </c>
      <c r="AI1864" t="s">
        <v>489</v>
      </c>
      <c r="AJ1864">
        <v>28.271255</v>
      </c>
      <c r="AK1864" t="s">
        <v>490</v>
      </c>
      <c r="AL1864">
        <v>-82.357377999999997</v>
      </c>
      <c r="AM1864">
        <v>100</v>
      </c>
      <c r="AN1864">
        <v>1900</v>
      </c>
      <c r="AO1864" t="s">
        <v>118</v>
      </c>
      <c r="AP1864">
        <v>73</v>
      </c>
      <c r="AQ1864">
        <v>-68</v>
      </c>
      <c r="AR1864">
        <v>192</v>
      </c>
      <c r="AZ1864">
        <v>1200</v>
      </c>
      <c r="BA1864">
        <v>1</v>
      </c>
      <c r="BB1864" t="str">
        <f t="shared" si="860"/>
        <v xml:space="preserve">N711JA  </v>
      </c>
      <c r="BC1864">
        <v>1</v>
      </c>
      <c r="BE1864">
        <v>0</v>
      </c>
      <c r="BF1864">
        <v>0</v>
      </c>
      <c r="BG1864">
        <v>0</v>
      </c>
      <c r="BH1864">
        <v>2000</v>
      </c>
      <c r="BI1864">
        <v>1</v>
      </c>
      <c r="BJ1864">
        <v>1</v>
      </c>
      <c r="BK1864">
        <v>0</v>
      </c>
      <c r="BL1864">
        <v>0</v>
      </c>
      <c r="BO1864">
        <v>0</v>
      </c>
      <c r="BP1864">
        <v>0</v>
      </c>
      <c r="BW1864" t="str">
        <f>"14:44:24.448"</f>
        <v>14:44:24.448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56</v>
      </c>
      <c r="CR1864">
        <v>2</v>
      </c>
      <c r="CW1864">
        <v>4779184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si="878"/>
        <v>05/12/2020 14:44:06.600</v>
      </c>
      <c r="C1865" t="str">
        <f t="shared" si="857"/>
        <v>FFDFD3C0</v>
      </c>
      <c r="D1865" t="s">
        <v>138</v>
      </c>
      <c r="E1865">
        <v>2</v>
      </c>
      <c r="H1865">
        <v>8</v>
      </c>
      <c r="I1865" t="s">
        <v>139</v>
      </c>
      <c r="J1865" t="s">
        <v>136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879"/>
        <v>14:44:24.445</v>
      </c>
      <c r="T1865" t="str">
        <f t="shared" si="880"/>
        <v>14:44:24.245</v>
      </c>
      <c r="U1865" t="str">
        <f t="shared" si="877"/>
        <v>A9808D</v>
      </c>
      <c r="V1865">
        <v>0</v>
      </c>
      <c r="W1865">
        <v>0</v>
      </c>
      <c r="X1865">
        <v>1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0</v>
      </c>
      <c r="AI1865" t="s">
        <v>489</v>
      </c>
      <c r="AJ1865">
        <v>28.271255</v>
      </c>
      <c r="AK1865" t="s">
        <v>490</v>
      </c>
      <c r="AL1865">
        <v>-82.357377999999997</v>
      </c>
      <c r="AM1865">
        <v>100</v>
      </c>
      <c r="AN1865">
        <v>1900</v>
      </c>
      <c r="AO1865" t="s">
        <v>118</v>
      </c>
      <c r="AP1865">
        <v>73</v>
      </c>
      <c r="AQ1865">
        <v>-68</v>
      </c>
      <c r="AR1865">
        <v>192</v>
      </c>
      <c r="AZ1865">
        <v>1200</v>
      </c>
      <c r="BA1865">
        <v>1</v>
      </c>
      <c r="BB1865" t="str">
        <f t="shared" si="860"/>
        <v xml:space="preserve">N711JA  </v>
      </c>
      <c r="BC1865">
        <v>1</v>
      </c>
      <c r="BE1865">
        <v>0</v>
      </c>
      <c r="BF1865">
        <v>0</v>
      </c>
      <c r="BG1865">
        <v>0</v>
      </c>
      <c r="BH1865">
        <v>2000</v>
      </c>
      <c r="BI1865">
        <v>1</v>
      </c>
      <c r="BJ1865">
        <v>1</v>
      </c>
      <c r="BK1865">
        <v>0</v>
      </c>
      <c r="BL1865">
        <v>0</v>
      </c>
      <c r="BO1865">
        <v>0</v>
      </c>
      <c r="BP1865">
        <v>0</v>
      </c>
      <c r="BW1865" t="str">
        <f>"14:44:24.448"</f>
        <v>14:44:24.448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56</v>
      </c>
      <c r="CR1865">
        <v>2</v>
      </c>
      <c r="CW1865">
        <v>4779184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878"/>
        <v>05/12/2020 14:44:06.600</v>
      </c>
      <c r="C1866" t="str">
        <f t="shared" si="857"/>
        <v>FFDFD3C0</v>
      </c>
      <c r="D1866" t="s">
        <v>138</v>
      </c>
      <c r="E1866">
        <v>3</v>
      </c>
      <c r="H1866">
        <v>9</v>
      </c>
      <c r="I1866" t="s">
        <v>140</v>
      </c>
      <c r="J1866" t="s">
        <v>136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879"/>
        <v>14:44:24.445</v>
      </c>
      <c r="T1866" t="str">
        <f t="shared" si="880"/>
        <v>14:44:24.245</v>
      </c>
      <c r="U1866" t="str">
        <f t="shared" si="877"/>
        <v>A9808D</v>
      </c>
      <c r="V1866">
        <v>0</v>
      </c>
      <c r="W1866">
        <v>0</v>
      </c>
      <c r="X1866">
        <v>1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0</v>
      </c>
      <c r="AI1866" t="s">
        <v>489</v>
      </c>
      <c r="AJ1866">
        <v>28.271255</v>
      </c>
      <c r="AK1866" t="s">
        <v>490</v>
      </c>
      <c r="AL1866">
        <v>-82.357377999999997</v>
      </c>
      <c r="AM1866">
        <v>100</v>
      </c>
      <c r="AN1866">
        <v>1900</v>
      </c>
      <c r="AO1866" t="s">
        <v>118</v>
      </c>
      <c r="AP1866">
        <v>73</v>
      </c>
      <c r="AQ1866">
        <v>-68</v>
      </c>
      <c r="AR1866">
        <v>192</v>
      </c>
      <c r="AZ1866">
        <v>1200</v>
      </c>
      <c r="BA1866">
        <v>1</v>
      </c>
      <c r="BB1866" t="str">
        <f t="shared" si="860"/>
        <v xml:space="preserve">N711JA  </v>
      </c>
      <c r="BC1866">
        <v>1</v>
      </c>
      <c r="BE1866">
        <v>0</v>
      </c>
      <c r="BF1866">
        <v>0</v>
      </c>
      <c r="BG1866">
        <v>0</v>
      </c>
      <c r="BH1866">
        <v>2000</v>
      </c>
      <c r="BI1866">
        <v>1</v>
      </c>
      <c r="BJ1866">
        <v>1</v>
      </c>
      <c r="BK1866">
        <v>0</v>
      </c>
      <c r="BL1866">
        <v>0</v>
      </c>
      <c r="BO1866">
        <v>0</v>
      </c>
      <c r="BP1866">
        <v>0</v>
      </c>
      <c r="BW1866" t="str">
        <f>"14:44:24.448"</f>
        <v>14:44:24.448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56</v>
      </c>
      <c r="CR1866">
        <v>2</v>
      </c>
      <c r="CW1866">
        <v>4779184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si="878"/>
        <v>05/12/2020 14:44:06.600</v>
      </c>
      <c r="C1867" t="str">
        <f t="shared" si="857"/>
        <v>FFDFD3C0</v>
      </c>
      <c r="D1867" t="s">
        <v>113</v>
      </c>
      <c r="E1867">
        <v>3</v>
      </c>
      <c r="H1867">
        <v>164</v>
      </c>
      <c r="I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879"/>
        <v>14:44:24.445</v>
      </c>
      <c r="T1867" t="str">
        <f t="shared" si="880"/>
        <v>14:44:24.245</v>
      </c>
      <c r="U1867" t="str">
        <f t="shared" si="877"/>
        <v>A9808D</v>
      </c>
      <c r="V1867">
        <v>0</v>
      </c>
      <c r="W1867">
        <v>0</v>
      </c>
      <c r="X1867">
        <v>1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0</v>
      </c>
      <c r="AI1867" t="s">
        <v>489</v>
      </c>
      <c r="AJ1867">
        <v>28.271255</v>
      </c>
      <c r="AK1867" t="s">
        <v>490</v>
      </c>
      <c r="AL1867">
        <v>-82.357377999999997</v>
      </c>
      <c r="AM1867">
        <v>100</v>
      </c>
      <c r="AN1867">
        <v>1900</v>
      </c>
      <c r="AO1867" t="s">
        <v>118</v>
      </c>
      <c r="AP1867">
        <v>73</v>
      </c>
      <c r="AQ1867">
        <v>-68</v>
      </c>
      <c r="AR1867">
        <v>192</v>
      </c>
      <c r="AZ1867">
        <v>1200</v>
      </c>
      <c r="BA1867">
        <v>1</v>
      </c>
      <c r="BB1867" t="str">
        <f t="shared" si="860"/>
        <v xml:space="preserve">N711JA  </v>
      </c>
      <c r="BC1867">
        <v>1</v>
      </c>
      <c r="BE1867">
        <v>0</v>
      </c>
      <c r="BF1867">
        <v>0</v>
      </c>
      <c r="BG1867">
        <v>0</v>
      </c>
      <c r="BH1867">
        <v>2000</v>
      </c>
      <c r="BI1867">
        <v>1</v>
      </c>
      <c r="BJ1867">
        <v>1</v>
      </c>
      <c r="BK1867">
        <v>0</v>
      </c>
      <c r="BL1867">
        <v>0</v>
      </c>
      <c r="BO1867">
        <v>0</v>
      </c>
      <c r="BP1867">
        <v>0</v>
      </c>
      <c r="BW1867" t="str">
        <f>"14:44:24.448"</f>
        <v>14:44:24.448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56</v>
      </c>
      <c r="CR1867">
        <v>2</v>
      </c>
      <c r="CW1867">
        <v>4779184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ref="A1868:A1876" si="881">"05/12/2020 14:44:07.689"</f>
        <v>05/12/2020 14:44:07.689</v>
      </c>
      <c r="C1868" t="str">
        <f t="shared" si="857"/>
        <v>FFDFD3C0</v>
      </c>
      <c r="D1868" t="s">
        <v>126</v>
      </c>
      <c r="E1868">
        <v>6</v>
      </c>
      <c r="F1868">
        <v>1006</v>
      </c>
      <c r="G1868" t="s">
        <v>114</v>
      </c>
      <c r="J1868" t="s">
        <v>128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ref="S1868:S1876" si="882">"14:44:25.516"</f>
        <v>14:44:25.516</v>
      </c>
      <c r="T1868" t="str">
        <f t="shared" ref="T1868:T1876" si="883">"14:44:25.116"</f>
        <v>14:44:25.116</v>
      </c>
      <c r="U1868" t="str">
        <f t="shared" si="877"/>
        <v>A9808D</v>
      </c>
      <c r="V1868">
        <v>0</v>
      </c>
      <c r="W1868">
        <v>0</v>
      </c>
      <c r="X1868">
        <v>1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0</v>
      </c>
      <c r="AI1868" t="s">
        <v>491</v>
      </c>
      <c r="AJ1868">
        <v>28.270934</v>
      </c>
      <c r="AK1868" t="s">
        <v>492</v>
      </c>
      <c r="AL1868">
        <v>-82.356949</v>
      </c>
      <c r="AM1868">
        <v>100</v>
      </c>
      <c r="AN1868">
        <v>1900</v>
      </c>
      <c r="AO1868" t="s">
        <v>118</v>
      </c>
      <c r="AP1868">
        <v>73</v>
      </c>
      <c r="AQ1868">
        <v>-68</v>
      </c>
      <c r="AR1868">
        <v>128</v>
      </c>
      <c r="AZ1868">
        <v>1200</v>
      </c>
      <c r="BA1868">
        <v>1</v>
      </c>
      <c r="BB1868" t="str">
        <f t="shared" si="860"/>
        <v xml:space="preserve">N711JA  </v>
      </c>
      <c r="BC1868">
        <v>1</v>
      </c>
      <c r="BE1868">
        <v>0</v>
      </c>
      <c r="BF1868">
        <v>0</v>
      </c>
      <c r="BG1868">
        <v>0</v>
      </c>
      <c r="BH1868">
        <v>2000</v>
      </c>
      <c r="BI1868">
        <v>1</v>
      </c>
      <c r="BJ1868">
        <v>1</v>
      </c>
      <c r="BK1868">
        <v>0</v>
      </c>
      <c r="BL1868">
        <v>0</v>
      </c>
      <c r="BO1868">
        <v>0</v>
      </c>
      <c r="BP1868">
        <v>0</v>
      </c>
      <c r="BW1868" t="str">
        <f t="shared" ref="BW1868:BW1876" si="884">"14:44:25.517"</f>
        <v>14:44:25.517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56</v>
      </c>
      <c r="CR1868">
        <v>2</v>
      </c>
      <c r="CW1868">
        <v>4780515</v>
      </c>
      <c r="CY1868">
        <v>1</v>
      </c>
      <c r="CZ1868">
        <v>0</v>
      </c>
      <c r="DA1868">
        <v>0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881"/>
        <v>05/12/2020 14:44:07.689</v>
      </c>
      <c r="C1869" t="str">
        <f t="shared" si="857"/>
        <v>FFDFD3C0</v>
      </c>
      <c r="D1869" t="s">
        <v>134</v>
      </c>
      <c r="E1869">
        <v>12</v>
      </c>
      <c r="H1869">
        <v>64</v>
      </c>
      <c r="I1869" t="s">
        <v>135</v>
      </c>
      <c r="J1869" t="s">
        <v>136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882"/>
        <v>14:44:25.516</v>
      </c>
      <c r="T1869" t="str">
        <f t="shared" si="883"/>
        <v>14:44:25.116</v>
      </c>
      <c r="U1869" t="str">
        <f t="shared" si="877"/>
        <v>A9808D</v>
      </c>
      <c r="V1869">
        <v>0</v>
      </c>
      <c r="W1869">
        <v>0</v>
      </c>
      <c r="X1869">
        <v>1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0</v>
      </c>
      <c r="AI1869" t="s">
        <v>491</v>
      </c>
      <c r="AJ1869">
        <v>28.270934</v>
      </c>
      <c r="AK1869" t="s">
        <v>492</v>
      </c>
      <c r="AL1869">
        <v>-82.356949</v>
      </c>
      <c r="AM1869">
        <v>100</v>
      </c>
      <c r="AN1869">
        <v>1900</v>
      </c>
      <c r="AO1869" t="s">
        <v>118</v>
      </c>
      <c r="AP1869">
        <v>73</v>
      </c>
      <c r="AQ1869">
        <v>-68</v>
      </c>
      <c r="AR1869">
        <v>128</v>
      </c>
      <c r="AZ1869">
        <v>1200</v>
      </c>
      <c r="BA1869">
        <v>1</v>
      </c>
      <c r="BB1869" t="str">
        <f t="shared" si="860"/>
        <v xml:space="preserve">N711JA  </v>
      </c>
      <c r="BC1869">
        <v>1</v>
      </c>
      <c r="BE1869">
        <v>0</v>
      </c>
      <c r="BF1869">
        <v>0</v>
      </c>
      <c r="BG1869">
        <v>0</v>
      </c>
      <c r="BH1869">
        <v>2000</v>
      </c>
      <c r="BI1869">
        <v>1</v>
      </c>
      <c r="BJ1869">
        <v>1</v>
      </c>
      <c r="BK1869">
        <v>0</v>
      </c>
      <c r="BL1869">
        <v>0</v>
      </c>
      <c r="BO1869">
        <v>0</v>
      </c>
      <c r="BP1869">
        <v>0</v>
      </c>
      <c r="BW1869" t="str">
        <f t="shared" si="884"/>
        <v>14:44:25.517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343</v>
      </c>
      <c r="CR1869">
        <v>1</v>
      </c>
      <c r="CW1869">
        <v>10720717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881"/>
        <v>05/12/2020 14:44:07.689</v>
      </c>
      <c r="C1870" t="str">
        <f t="shared" si="857"/>
        <v>FFDFD3C0</v>
      </c>
      <c r="D1870" t="s">
        <v>138</v>
      </c>
      <c r="E1870">
        <v>2</v>
      </c>
      <c r="H1870">
        <v>8</v>
      </c>
      <c r="I1870" t="s">
        <v>139</v>
      </c>
      <c r="J1870" t="s">
        <v>136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882"/>
        <v>14:44:25.516</v>
      </c>
      <c r="T1870" t="str">
        <f t="shared" si="883"/>
        <v>14:44:25.116</v>
      </c>
      <c r="U1870" t="str">
        <f t="shared" si="877"/>
        <v>A9808D</v>
      </c>
      <c r="V1870">
        <v>0</v>
      </c>
      <c r="W1870">
        <v>0</v>
      </c>
      <c r="X1870">
        <v>1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0</v>
      </c>
      <c r="AI1870" t="s">
        <v>491</v>
      </c>
      <c r="AJ1870">
        <v>28.270934</v>
      </c>
      <c r="AK1870" t="s">
        <v>492</v>
      </c>
      <c r="AL1870">
        <v>-82.356949</v>
      </c>
      <c r="AM1870">
        <v>100</v>
      </c>
      <c r="AN1870">
        <v>1900</v>
      </c>
      <c r="AO1870" t="s">
        <v>118</v>
      </c>
      <c r="AP1870">
        <v>73</v>
      </c>
      <c r="AQ1870">
        <v>-68</v>
      </c>
      <c r="AR1870">
        <v>128</v>
      </c>
      <c r="AZ1870">
        <v>1200</v>
      </c>
      <c r="BA1870">
        <v>1</v>
      </c>
      <c r="BB1870" t="str">
        <f t="shared" si="860"/>
        <v xml:space="preserve">N711JA  </v>
      </c>
      <c r="BC1870">
        <v>1</v>
      </c>
      <c r="BE1870">
        <v>0</v>
      </c>
      <c r="BF1870">
        <v>0</v>
      </c>
      <c r="BG1870">
        <v>0</v>
      </c>
      <c r="BH1870">
        <v>2000</v>
      </c>
      <c r="BI1870">
        <v>1</v>
      </c>
      <c r="BJ1870">
        <v>1</v>
      </c>
      <c r="BK1870">
        <v>0</v>
      </c>
      <c r="BL1870">
        <v>0</v>
      </c>
      <c r="BO1870">
        <v>0</v>
      </c>
      <c r="BP1870">
        <v>0</v>
      </c>
      <c r="BW1870" t="str">
        <f t="shared" si="884"/>
        <v>14:44:25.517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56</v>
      </c>
      <c r="CR1870">
        <v>2</v>
      </c>
      <c r="CW1870">
        <v>4780515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 t="shared" si="881"/>
        <v>05/12/2020 14:44:07.689</v>
      </c>
      <c r="C1871" t="str">
        <f t="shared" si="857"/>
        <v>FFDFD3C0</v>
      </c>
      <c r="D1871" t="s">
        <v>138</v>
      </c>
      <c r="E1871">
        <v>3</v>
      </c>
      <c r="H1871">
        <v>9</v>
      </c>
      <c r="I1871" t="s">
        <v>140</v>
      </c>
      <c r="J1871" t="s">
        <v>136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882"/>
        <v>14:44:25.516</v>
      </c>
      <c r="T1871" t="str">
        <f t="shared" si="883"/>
        <v>14:44:25.116</v>
      </c>
      <c r="U1871" t="str">
        <f t="shared" si="877"/>
        <v>A9808D</v>
      </c>
      <c r="V1871">
        <v>0</v>
      </c>
      <c r="W1871">
        <v>0</v>
      </c>
      <c r="X1871">
        <v>1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0</v>
      </c>
      <c r="AI1871" t="s">
        <v>491</v>
      </c>
      <c r="AJ1871">
        <v>28.270934</v>
      </c>
      <c r="AK1871" t="s">
        <v>492</v>
      </c>
      <c r="AL1871">
        <v>-82.356949</v>
      </c>
      <c r="AM1871">
        <v>100</v>
      </c>
      <c r="AN1871">
        <v>1900</v>
      </c>
      <c r="AO1871" t="s">
        <v>118</v>
      </c>
      <c r="AP1871">
        <v>73</v>
      </c>
      <c r="AQ1871">
        <v>-68</v>
      </c>
      <c r="AR1871">
        <v>128</v>
      </c>
      <c r="AZ1871">
        <v>1200</v>
      </c>
      <c r="BA1871">
        <v>1</v>
      </c>
      <c r="BB1871" t="str">
        <f t="shared" si="860"/>
        <v xml:space="preserve">N711JA  </v>
      </c>
      <c r="BC1871">
        <v>1</v>
      </c>
      <c r="BE1871">
        <v>0</v>
      </c>
      <c r="BF1871">
        <v>0</v>
      </c>
      <c r="BG1871">
        <v>0</v>
      </c>
      <c r="BH1871">
        <v>2000</v>
      </c>
      <c r="BI1871">
        <v>1</v>
      </c>
      <c r="BJ1871">
        <v>1</v>
      </c>
      <c r="BK1871">
        <v>0</v>
      </c>
      <c r="BL1871">
        <v>0</v>
      </c>
      <c r="BO1871">
        <v>0</v>
      </c>
      <c r="BP1871">
        <v>0</v>
      </c>
      <c r="BW1871" t="str">
        <f t="shared" si="884"/>
        <v>14:44:25.517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56</v>
      </c>
      <c r="CR1871">
        <v>2</v>
      </c>
      <c r="CW1871">
        <v>4780515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 t="shared" si="881"/>
        <v>05/12/2020 14:44:07.689</v>
      </c>
      <c r="C1872" t="str">
        <f t="shared" si="857"/>
        <v>FFDFD3C0</v>
      </c>
      <c r="D1872" t="s">
        <v>126</v>
      </c>
      <c r="E1872">
        <v>7</v>
      </c>
      <c r="F1872">
        <v>1007</v>
      </c>
      <c r="G1872" t="s">
        <v>127</v>
      </c>
      <c r="J1872" t="s">
        <v>128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882"/>
        <v>14:44:25.516</v>
      </c>
      <c r="T1872" t="str">
        <f t="shared" si="883"/>
        <v>14:44:25.116</v>
      </c>
      <c r="U1872" t="str">
        <f t="shared" si="877"/>
        <v>A9808D</v>
      </c>
      <c r="V1872">
        <v>0</v>
      </c>
      <c r="W1872">
        <v>0</v>
      </c>
      <c r="X1872">
        <v>1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0</v>
      </c>
      <c r="AI1872" t="s">
        <v>491</v>
      </c>
      <c r="AJ1872">
        <v>28.270934</v>
      </c>
      <c r="AK1872" t="s">
        <v>492</v>
      </c>
      <c r="AL1872">
        <v>-82.356949</v>
      </c>
      <c r="AM1872">
        <v>100</v>
      </c>
      <c r="AN1872">
        <v>1900</v>
      </c>
      <c r="AO1872" t="s">
        <v>118</v>
      </c>
      <c r="AP1872">
        <v>73</v>
      </c>
      <c r="AQ1872">
        <v>-68</v>
      </c>
      <c r="AR1872">
        <v>128</v>
      </c>
      <c r="AZ1872">
        <v>1200</v>
      </c>
      <c r="BA1872">
        <v>1</v>
      </c>
      <c r="BB1872" t="str">
        <f t="shared" si="860"/>
        <v xml:space="preserve">N711JA  </v>
      </c>
      <c r="BC1872">
        <v>1</v>
      </c>
      <c r="BE1872">
        <v>0</v>
      </c>
      <c r="BF1872">
        <v>0</v>
      </c>
      <c r="BG1872">
        <v>0</v>
      </c>
      <c r="BH1872">
        <v>2000</v>
      </c>
      <c r="BI1872">
        <v>1</v>
      </c>
      <c r="BJ1872">
        <v>1</v>
      </c>
      <c r="BK1872">
        <v>0</v>
      </c>
      <c r="BL1872">
        <v>0</v>
      </c>
      <c r="BO1872">
        <v>0</v>
      </c>
      <c r="BP1872">
        <v>0</v>
      </c>
      <c r="BW1872" t="str">
        <f t="shared" si="884"/>
        <v>14:44:25.517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56</v>
      </c>
      <c r="CR1872">
        <v>2</v>
      </c>
      <c r="CW1872">
        <v>4780515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 t="shared" si="881"/>
        <v>05/12/2020 14:44:07.689</v>
      </c>
      <c r="C1873" t="str">
        <f t="shared" si="857"/>
        <v>FFDFD3C0</v>
      </c>
      <c r="D1873" t="s">
        <v>131</v>
      </c>
      <c r="E1873">
        <v>10</v>
      </c>
      <c r="F1873">
        <v>2010</v>
      </c>
      <c r="G1873" t="s">
        <v>132</v>
      </c>
      <c r="J1873" t="s">
        <v>133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882"/>
        <v>14:44:25.516</v>
      </c>
      <c r="T1873" t="str">
        <f t="shared" si="883"/>
        <v>14:44:25.116</v>
      </c>
      <c r="U1873" t="str">
        <f t="shared" si="877"/>
        <v>A9808D</v>
      </c>
      <c r="V1873">
        <v>0</v>
      </c>
      <c r="W1873">
        <v>0</v>
      </c>
      <c r="X1873">
        <v>1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0</v>
      </c>
      <c r="AI1873" t="s">
        <v>491</v>
      </c>
      <c r="AJ1873">
        <v>28.270934</v>
      </c>
      <c r="AK1873" t="s">
        <v>492</v>
      </c>
      <c r="AL1873">
        <v>-82.356949</v>
      </c>
      <c r="AM1873">
        <v>100</v>
      </c>
      <c r="AN1873">
        <v>1900</v>
      </c>
      <c r="AO1873" t="s">
        <v>118</v>
      </c>
      <c r="AP1873">
        <v>73</v>
      </c>
      <c r="AQ1873">
        <v>-68</v>
      </c>
      <c r="AR1873">
        <v>128</v>
      </c>
      <c r="AZ1873">
        <v>1200</v>
      </c>
      <c r="BA1873">
        <v>1</v>
      </c>
      <c r="BB1873" t="str">
        <f t="shared" si="860"/>
        <v xml:space="preserve">N711JA  </v>
      </c>
      <c r="BC1873">
        <v>1</v>
      </c>
      <c r="BE1873">
        <v>0</v>
      </c>
      <c r="BF1873">
        <v>0</v>
      </c>
      <c r="BG1873">
        <v>0</v>
      </c>
      <c r="BH1873">
        <v>2000</v>
      </c>
      <c r="BI1873">
        <v>1</v>
      </c>
      <c r="BJ1873">
        <v>1</v>
      </c>
      <c r="BK1873">
        <v>0</v>
      </c>
      <c r="BL1873">
        <v>0</v>
      </c>
      <c r="BO1873">
        <v>0</v>
      </c>
      <c r="BP1873">
        <v>0</v>
      </c>
      <c r="BW1873" t="str">
        <f t="shared" si="884"/>
        <v>14:44:25.517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56</v>
      </c>
      <c r="CR1873">
        <v>2</v>
      </c>
      <c r="CW1873">
        <v>4780515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 t="shared" si="881"/>
        <v>05/12/2020 14:44:07.689</v>
      </c>
      <c r="C1874" t="str">
        <f t="shared" si="857"/>
        <v>FFDFD3C0</v>
      </c>
      <c r="D1874" t="s">
        <v>131</v>
      </c>
      <c r="E1874">
        <v>12</v>
      </c>
      <c r="F1874">
        <v>2012</v>
      </c>
      <c r="G1874" t="s">
        <v>137</v>
      </c>
      <c r="J1874" t="s">
        <v>133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882"/>
        <v>14:44:25.516</v>
      </c>
      <c r="T1874" t="str">
        <f t="shared" si="883"/>
        <v>14:44:25.116</v>
      </c>
      <c r="U1874" t="str">
        <f t="shared" si="877"/>
        <v>A9808D</v>
      </c>
      <c r="V1874">
        <v>0</v>
      </c>
      <c r="W1874">
        <v>0</v>
      </c>
      <c r="X1874">
        <v>1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0</v>
      </c>
      <c r="AI1874" t="s">
        <v>491</v>
      </c>
      <c r="AJ1874">
        <v>28.270934</v>
      </c>
      <c r="AK1874" t="s">
        <v>492</v>
      </c>
      <c r="AL1874">
        <v>-82.356949</v>
      </c>
      <c r="AM1874">
        <v>100</v>
      </c>
      <c r="AN1874">
        <v>1900</v>
      </c>
      <c r="AO1874" t="s">
        <v>118</v>
      </c>
      <c r="AP1874">
        <v>73</v>
      </c>
      <c r="AQ1874">
        <v>-68</v>
      </c>
      <c r="AR1874">
        <v>128</v>
      </c>
      <c r="AZ1874">
        <v>1200</v>
      </c>
      <c r="BA1874">
        <v>1</v>
      </c>
      <c r="BB1874" t="str">
        <f t="shared" si="860"/>
        <v xml:space="preserve">N711JA  </v>
      </c>
      <c r="BC1874">
        <v>1</v>
      </c>
      <c r="BE1874">
        <v>0</v>
      </c>
      <c r="BF1874">
        <v>0</v>
      </c>
      <c r="BG1874">
        <v>0</v>
      </c>
      <c r="BH1874">
        <v>2000</v>
      </c>
      <c r="BI1874">
        <v>1</v>
      </c>
      <c r="BJ1874">
        <v>1</v>
      </c>
      <c r="BK1874">
        <v>0</v>
      </c>
      <c r="BL1874">
        <v>0</v>
      </c>
      <c r="BO1874">
        <v>0</v>
      </c>
      <c r="BP1874">
        <v>0</v>
      </c>
      <c r="BW1874" t="str">
        <f t="shared" si="884"/>
        <v>14:44:25.517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56</v>
      </c>
      <c r="CR1874">
        <v>2</v>
      </c>
      <c r="CW1874">
        <v>4780515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 t="shared" si="881"/>
        <v>05/12/2020 14:44:07.689</v>
      </c>
      <c r="C1875" t="str">
        <f t="shared" si="857"/>
        <v>FFDFD3C0</v>
      </c>
      <c r="D1875" t="s">
        <v>113</v>
      </c>
      <c r="E1875">
        <v>3</v>
      </c>
      <c r="H1875">
        <v>164</v>
      </c>
      <c r="I1875" t="s">
        <v>114</v>
      </c>
      <c r="J1875" t="s">
        <v>115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882"/>
        <v>14:44:25.516</v>
      </c>
      <c r="T1875" t="str">
        <f t="shared" si="883"/>
        <v>14:44:25.116</v>
      </c>
      <c r="U1875" t="str">
        <f t="shared" si="877"/>
        <v>A9808D</v>
      </c>
      <c r="V1875">
        <v>0</v>
      </c>
      <c r="W1875">
        <v>0</v>
      </c>
      <c r="X1875">
        <v>1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0</v>
      </c>
      <c r="AI1875" t="s">
        <v>491</v>
      </c>
      <c r="AJ1875">
        <v>28.270934</v>
      </c>
      <c r="AK1875" t="s">
        <v>492</v>
      </c>
      <c r="AL1875">
        <v>-82.356949</v>
      </c>
      <c r="AM1875">
        <v>100</v>
      </c>
      <c r="AN1875">
        <v>1900</v>
      </c>
      <c r="AO1875" t="s">
        <v>118</v>
      </c>
      <c r="AP1875">
        <v>73</v>
      </c>
      <c r="AQ1875">
        <v>-68</v>
      </c>
      <c r="AR1875">
        <v>128</v>
      </c>
      <c r="AZ1875">
        <v>1200</v>
      </c>
      <c r="BA1875">
        <v>1</v>
      </c>
      <c r="BB1875" t="str">
        <f t="shared" si="860"/>
        <v xml:space="preserve">N711JA  </v>
      </c>
      <c r="BC1875">
        <v>1</v>
      </c>
      <c r="BE1875">
        <v>0</v>
      </c>
      <c r="BF1875">
        <v>0</v>
      </c>
      <c r="BG1875">
        <v>0</v>
      </c>
      <c r="BH1875">
        <v>2000</v>
      </c>
      <c r="BI1875">
        <v>1</v>
      </c>
      <c r="BJ1875">
        <v>1</v>
      </c>
      <c r="BK1875">
        <v>0</v>
      </c>
      <c r="BL1875">
        <v>0</v>
      </c>
      <c r="BO1875">
        <v>0</v>
      </c>
      <c r="BP1875">
        <v>0</v>
      </c>
      <c r="BW1875" t="str">
        <f t="shared" si="884"/>
        <v>14:44:25.517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56</v>
      </c>
      <c r="CR1875">
        <v>2</v>
      </c>
      <c r="CW1875">
        <v>4780515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 t="shared" si="881"/>
        <v>05/12/2020 14:44:07.689</v>
      </c>
      <c r="C1876" t="str">
        <f t="shared" si="857"/>
        <v>FFDFD3C0</v>
      </c>
      <c r="D1876" t="s">
        <v>131</v>
      </c>
      <c r="E1876">
        <v>18</v>
      </c>
      <c r="F1876">
        <v>2018</v>
      </c>
      <c r="G1876" t="s">
        <v>161</v>
      </c>
      <c r="J1876" t="s">
        <v>133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882"/>
        <v>14:44:25.516</v>
      </c>
      <c r="T1876" t="str">
        <f t="shared" si="883"/>
        <v>14:44:25.116</v>
      </c>
      <c r="U1876" t="str">
        <f t="shared" si="877"/>
        <v>A9808D</v>
      </c>
      <c r="V1876">
        <v>0</v>
      </c>
      <c r="W1876">
        <v>0</v>
      </c>
      <c r="X1876">
        <v>1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0</v>
      </c>
      <c r="AI1876" t="s">
        <v>491</v>
      </c>
      <c r="AJ1876">
        <v>28.270934</v>
      </c>
      <c r="AK1876" t="s">
        <v>492</v>
      </c>
      <c r="AL1876">
        <v>-82.356949</v>
      </c>
      <c r="AM1876">
        <v>100</v>
      </c>
      <c r="AN1876">
        <v>1900</v>
      </c>
      <c r="AO1876" t="s">
        <v>118</v>
      </c>
      <c r="AP1876">
        <v>73</v>
      </c>
      <c r="AQ1876">
        <v>-68</v>
      </c>
      <c r="AR1876">
        <v>128</v>
      </c>
      <c r="AZ1876">
        <v>1200</v>
      </c>
      <c r="BA1876">
        <v>1</v>
      </c>
      <c r="BB1876" t="str">
        <f t="shared" si="860"/>
        <v xml:space="preserve">N711JA  </v>
      </c>
      <c r="BC1876">
        <v>1</v>
      </c>
      <c r="BE1876">
        <v>0</v>
      </c>
      <c r="BF1876">
        <v>0</v>
      </c>
      <c r="BG1876">
        <v>0</v>
      </c>
      <c r="BH1876">
        <v>2000</v>
      </c>
      <c r="BI1876">
        <v>1</v>
      </c>
      <c r="BJ1876">
        <v>1</v>
      </c>
      <c r="BK1876">
        <v>0</v>
      </c>
      <c r="BL1876">
        <v>0</v>
      </c>
      <c r="BO1876">
        <v>0</v>
      </c>
      <c r="BP1876">
        <v>0</v>
      </c>
      <c r="BW1876" t="str">
        <f t="shared" si="884"/>
        <v>14:44:25.517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56</v>
      </c>
      <c r="CR1876">
        <v>2</v>
      </c>
      <c r="CW1876">
        <v>4780515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 t="shared" ref="A1877:A1885" si="885">"05/12/2020 14:44:08.697"</f>
        <v>05/12/2020 14:44:08.697</v>
      </c>
      <c r="C1877" t="str">
        <f t="shared" si="857"/>
        <v>FFDFD3C0</v>
      </c>
      <c r="D1877" t="s">
        <v>126</v>
      </c>
      <c r="E1877">
        <v>6</v>
      </c>
      <c r="F1877">
        <v>1006</v>
      </c>
      <c r="G1877" t="s">
        <v>114</v>
      </c>
      <c r="J1877" t="s">
        <v>128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ref="S1877:S1885" si="886">"14:44:26.500"</f>
        <v>14:44:26.500</v>
      </c>
      <c r="T1877" t="str">
        <f t="shared" ref="T1877:T1885" si="887">"14:44:26.000"</f>
        <v>14:44:26.000</v>
      </c>
      <c r="U1877" t="str">
        <f t="shared" si="877"/>
        <v>A9808D</v>
      </c>
      <c r="V1877">
        <v>0</v>
      </c>
      <c r="W1877">
        <v>0</v>
      </c>
      <c r="X1877">
        <v>1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0</v>
      </c>
      <c r="AI1877" t="s">
        <v>493</v>
      </c>
      <c r="AJ1877">
        <v>28.270612</v>
      </c>
      <c r="AK1877" t="s">
        <v>494</v>
      </c>
      <c r="AL1877">
        <v>-82.356583999999998</v>
      </c>
      <c r="AM1877">
        <v>100</v>
      </c>
      <c r="AN1877">
        <v>1900</v>
      </c>
      <c r="AO1877" t="s">
        <v>118</v>
      </c>
      <c r="AP1877">
        <v>73</v>
      </c>
      <c r="AQ1877">
        <v>-68</v>
      </c>
      <c r="AR1877">
        <v>192</v>
      </c>
      <c r="AZ1877">
        <v>1200</v>
      </c>
      <c r="BA1877">
        <v>1</v>
      </c>
      <c r="BB1877" t="str">
        <f t="shared" si="860"/>
        <v xml:space="preserve">N711JA  </v>
      </c>
      <c r="BC1877">
        <v>1</v>
      </c>
      <c r="BE1877">
        <v>0</v>
      </c>
      <c r="BF1877">
        <v>0</v>
      </c>
      <c r="BG1877">
        <v>0</v>
      </c>
      <c r="BH1877">
        <v>2000</v>
      </c>
      <c r="BI1877">
        <v>1</v>
      </c>
      <c r="BJ1877">
        <v>1</v>
      </c>
      <c r="BK1877">
        <v>0</v>
      </c>
      <c r="BL1877">
        <v>0</v>
      </c>
      <c r="BO1877">
        <v>0</v>
      </c>
      <c r="BP1877">
        <v>0</v>
      </c>
      <c r="BW1877" t="str">
        <f t="shared" ref="BW1877:BW1885" si="888">"14:44:26.503"</f>
        <v>14:44:26.503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56</v>
      </c>
      <c r="CR1877">
        <v>2</v>
      </c>
      <c r="CW1877">
        <v>4781700</v>
      </c>
      <c r="CY1877">
        <v>1</v>
      </c>
      <c r="CZ1877">
        <v>0</v>
      </c>
      <c r="DA1877">
        <v>0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 t="shared" si="885"/>
        <v>05/12/2020 14:44:08.697</v>
      </c>
      <c r="C1878" t="str">
        <f t="shared" ref="C1878:C1941" si="889">"FFDFD3C0"</f>
        <v>FFDFD3C0</v>
      </c>
      <c r="D1878" t="s">
        <v>134</v>
      </c>
      <c r="E1878">
        <v>12</v>
      </c>
      <c r="H1878">
        <v>64</v>
      </c>
      <c r="I1878" t="s">
        <v>135</v>
      </c>
      <c r="J1878" t="s">
        <v>136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886"/>
        <v>14:44:26.500</v>
      </c>
      <c r="T1878" t="str">
        <f t="shared" si="887"/>
        <v>14:44:26.000</v>
      </c>
      <c r="U1878" t="str">
        <f t="shared" si="877"/>
        <v>A9808D</v>
      </c>
      <c r="V1878">
        <v>0</v>
      </c>
      <c r="W1878">
        <v>0</v>
      </c>
      <c r="X1878">
        <v>1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0</v>
      </c>
      <c r="AI1878" t="s">
        <v>493</v>
      </c>
      <c r="AJ1878">
        <v>28.270612</v>
      </c>
      <c r="AK1878" t="s">
        <v>494</v>
      </c>
      <c r="AL1878">
        <v>-82.356583999999998</v>
      </c>
      <c r="AM1878">
        <v>100</v>
      </c>
      <c r="AN1878">
        <v>1900</v>
      </c>
      <c r="AO1878" t="s">
        <v>118</v>
      </c>
      <c r="AP1878">
        <v>73</v>
      </c>
      <c r="AQ1878">
        <v>-68</v>
      </c>
      <c r="AR1878">
        <v>192</v>
      </c>
      <c r="AZ1878">
        <v>1200</v>
      </c>
      <c r="BA1878">
        <v>1</v>
      </c>
      <c r="BB1878" t="str">
        <f t="shared" ref="BB1878:BB1941" si="890">"N711JA  "</f>
        <v xml:space="preserve">N711JA  </v>
      </c>
      <c r="BC1878">
        <v>1</v>
      </c>
      <c r="BE1878">
        <v>0</v>
      </c>
      <c r="BF1878">
        <v>0</v>
      </c>
      <c r="BG1878">
        <v>0</v>
      </c>
      <c r="BH1878">
        <v>2000</v>
      </c>
      <c r="BI1878">
        <v>1</v>
      </c>
      <c r="BJ1878">
        <v>1</v>
      </c>
      <c r="BK1878">
        <v>0</v>
      </c>
      <c r="BL1878">
        <v>0</v>
      </c>
      <c r="BO1878">
        <v>0</v>
      </c>
      <c r="BP1878">
        <v>0</v>
      </c>
      <c r="BW1878" t="str">
        <f t="shared" si="888"/>
        <v>14:44:26.503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343</v>
      </c>
      <c r="CR1878">
        <v>1</v>
      </c>
      <c r="CW1878">
        <v>10721799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 t="shared" si="885"/>
        <v>05/12/2020 14:44:08.697</v>
      </c>
      <c r="C1879" t="str">
        <f t="shared" si="889"/>
        <v>FFDFD3C0</v>
      </c>
      <c r="D1879" t="s">
        <v>138</v>
      </c>
      <c r="E1879">
        <v>2</v>
      </c>
      <c r="H1879">
        <v>8</v>
      </c>
      <c r="I1879" t="s">
        <v>139</v>
      </c>
      <c r="J1879" t="s">
        <v>136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886"/>
        <v>14:44:26.500</v>
      </c>
      <c r="T1879" t="str">
        <f t="shared" si="887"/>
        <v>14:44:26.000</v>
      </c>
      <c r="U1879" t="str">
        <f t="shared" si="877"/>
        <v>A9808D</v>
      </c>
      <c r="V1879">
        <v>0</v>
      </c>
      <c r="W1879">
        <v>0</v>
      </c>
      <c r="X1879">
        <v>1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0</v>
      </c>
      <c r="AI1879" t="s">
        <v>493</v>
      </c>
      <c r="AJ1879">
        <v>28.270612</v>
      </c>
      <c r="AK1879" t="s">
        <v>494</v>
      </c>
      <c r="AL1879">
        <v>-82.356583999999998</v>
      </c>
      <c r="AM1879">
        <v>100</v>
      </c>
      <c r="AN1879">
        <v>1900</v>
      </c>
      <c r="AO1879" t="s">
        <v>118</v>
      </c>
      <c r="AP1879">
        <v>73</v>
      </c>
      <c r="AQ1879">
        <v>-68</v>
      </c>
      <c r="AR1879">
        <v>192</v>
      </c>
      <c r="AZ1879">
        <v>1200</v>
      </c>
      <c r="BA1879">
        <v>1</v>
      </c>
      <c r="BB1879" t="str">
        <f t="shared" si="890"/>
        <v xml:space="preserve">N711JA  </v>
      </c>
      <c r="BC1879">
        <v>1</v>
      </c>
      <c r="BE1879">
        <v>0</v>
      </c>
      <c r="BF1879">
        <v>0</v>
      </c>
      <c r="BG1879">
        <v>0</v>
      </c>
      <c r="BH1879">
        <v>2000</v>
      </c>
      <c r="BI1879">
        <v>1</v>
      </c>
      <c r="BJ1879">
        <v>1</v>
      </c>
      <c r="BK1879">
        <v>0</v>
      </c>
      <c r="BL1879">
        <v>0</v>
      </c>
      <c r="BO1879">
        <v>0</v>
      </c>
      <c r="BP1879">
        <v>0</v>
      </c>
      <c r="BW1879" t="str">
        <f t="shared" si="888"/>
        <v>14:44:26.503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56</v>
      </c>
      <c r="CR1879">
        <v>2</v>
      </c>
      <c r="CW1879">
        <v>4781700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 t="shared" si="885"/>
        <v>05/12/2020 14:44:08.697</v>
      </c>
      <c r="C1880" t="str">
        <f t="shared" si="889"/>
        <v>FFDFD3C0</v>
      </c>
      <c r="D1880" t="s">
        <v>138</v>
      </c>
      <c r="E1880">
        <v>3</v>
      </c>
      <c r="H1880">
        <v>9</v>
      </c>
      <c r="I1880" t="s">
        <v>140</v>
      </c>
      <c r="J1880" t="s">
        <v>136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886"/>
        <v>14:44:26.500</v>
      </c>
      <c r="T1880" t="str">
        <f t="shared" si="887"/>
        <v>14:44:26.000</v>
      </c>
      <c r="U1880" t="str">
        <f t="shared" si="877"/>
        <v>A9808D</v>
      </c>
      <c r="V1880">
        <v>0</v>
      </c>
      <c r="W1880">
        <v>0</v>
      </c>
      <c r="X1880">
        <v>1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0</v>
      </c>
      <c r="AI1880" t="s">
        <v>493</v>
      </c>
      <c r="AJ1880">
        <v>28.270612</v>
      </c>
      <c r="AK1880" t="s">
        <v>494</v>
      </c>
      <c r="AL1880">
        <v>-82.356583999999998</v>
      </c>
      <c r="AM1880">
        <v>100</v>
      </c>
      <c r="AN1880">
        <v>1900</v>
      </c>
      <c r="AO1880" t="s">
        <v>118</v>
      </c>
      <c r="AP1880">
        <v>73</v>
      </c>
      <c r="AQ1880">
        <v>-68</v>
      </c>
      <c r="AR1880">
        <v>192</v>
      </c>
      <c r="AZ1880">
        <v>1200</v>
      </c>
      <c r="BA1880">
        <v>1</v>
      </c>
      <c r="BB1880" t="str">
        <f t="shared" si="890"/>
        <v xml:space="preserve">N711JA  </v>
      </c>
      <c r="BC1880">
        <v>1</v>
      </c>
      <c r="BE1880">
        <v>0</v>
      </c>
      <c r="BF1880">
        <v>0</v>
      </c>
      <c r="BG1880">
        <v>0</v>
      </c>
      <c r="BH1880">
        <v>2000</v>
      </c>
      <c r="BI1880">
        <v>1</v>
      </c>
      <c r="BJ1880">
        <v>1</v>
      </c>
      <c r="BK1880">
        <v>0</v>
      </c>
      <c r="BL1880">
        <v>0</v>
      </c>
      <c r="BO1880">
        <v>0</v>
      </c>
      <c r="BP1880">
        <v>0</v>
      </c>
      <c r="BW1880" t="str">
        <f t="shared" si="888"/>
        <v>14:44:26.503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56</v>
      </c>
      <c r="CR1880">
        <v>2</v>
      </c>
      <c r="CW1880">
        <v>4781700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 t="shared" si="885"/>
        <v>05/12/2020 14:44:08.697</v>
      </c>
      <c r="C1881" t="str">
        <f t="shared" si="889"/>
        <v>FFDFD3C0</v>
      </c>
      <c r="D1881" t="s">
        <v>126</v>
      </c>
      <c r="E1881">
        <v>7</v>
      </c>
      <c r="F1881">
        <v>1007</v>
      </c>
      <c r="G1881" t="s">
        <v>127</v>
      </c>
      <c r="J1881" t="s">
        <v>128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886"/>
        <v>14:44:26.500</v>
      </c>
      <c r="T1881" t="str">
        <f t="shared" si="887"/>
        <v>14:44:26.000</v>
      </c>
      <c r="U1881" t="str">
        <f t="shared" si="877"/>
        <v>A9808D</v>
      </c>
      <c r="V1881">
        <v>0</v>
      </c>
      <c r="W1881">
        <v>0</v>
      </c>
      <c r="X1881">
        <v>1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0</v>
      </c>
      <c r="AI1881" t="s">
        <v>493</v>
      </c>
      <c r="AJ1881">
        <v>28.270612</v>
      </c>
      <c r="AK1881" t="s">
        <v>494</v>
      </c>
      <c r="AL1881">
        <v>-82.356583999999998</v>
      </c>
      <c r="AM1881">
        <v>100</v>
      </c>
      <c r="AN1881">
        <v>1900</v>
      </c>
      <c r="AO1881" t="s">
        <v>118</v>
      </c>
      <c r="AP1881">
        <v>73</v>
      </c>
      <c r="AQ1881">
        <v>-68</v>
      </c>
      <c r="AR1881">
        <v>192</v>
      </c>
      <c r="AZ1881">
        <v>1200</v>
      </c>
      <c r="BA1881">
        <v>1</v>
      </c>
      <c r="BB1881" t="str">
        <f t="shared" si="890"/>
        <v xml:space="preserve">N711JA  </v>
      </c>
      <c r="BC1881">
        <v>1</v>
      </c>
      <c r="BE1881">
        <v>0</v>
      </c>
      <c r="BF1881">
        <v>0</v>
      </c>
      <c r="BG1881">
        <v>0</v>
      </c>
      <c r="BH1881">
        <v>2000</v>
      </c>
      <c r="BI1881">
        <v>1</v>
      </c>
      <c r="BJ1881">
        <v>1</v>
      </c>
      <c r="BK1881">
        <v>0</v>
      </c>
      <c r="BL1881">
        <v>0</v>
      </c>
      <c r="BO1881">
        <v>0</v>
      </c>
      <c r="BP1881">
        <v>0</v>
      </c>
      <c r="BW1881" t="str">
        <f t="shared" si="888"/>
        <v>14:44:26.503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56</v>
      </c>
      <c r="CR1881">
        <v>2</v>
      </c>
      <c r="CW1881">
        <v>4781700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 t="shared" si="885"/>
        <v>05/12/2020 14:44:08.697</v>
      </c>
      <c r="C1882" t="str">
        <f t="shared" si="889"/>
        <v>FFDFD3C0</v>
      </c>
      <c r="D1882" t="s">
        <v>131</v>
      </c>
      <c r="E1882">
        <v>10</v>
      </c>
      <c r="F1882">
        <v>2010</v>
      </c>
      <c r="G1882" t="s">
        <v>132</v>
      </c>
      <c r="J1882" t="s">
        <v>133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886"/>
        <v>14:44:26.500</v>
      </c>
      <c r="T1882" t="str">
        <f t="shared" si="887"/>
        <v>14:44:26.000</v>
      </c>
      <c r="U1882" t="str">
        <f t="shared" si="877"/>
        <v>A9808D</v>
      </c>
      <c r="V1882">
        <v>0</v>
      </c>
      <c r="W1882">
        <v>0</v>
      </c>
      <c r="X1882">
        <v>1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0</v>
      </c>
      <c r="AI1882" t="s">
        <v>493</v>
      </c>
      <c r="AJ1882">
        <v>28.270612</v>
      </c>
      <c r="AK1882" t="s">
        <v>494</v>
      </c>
      <c r="AL1882">
        <v>-82.356583999999998</v>
      </c>
      <c r="AM1882">
        <v>100</v>
      </c>
      <c r="AN1882">
        <v>1900</v>
      </c>
      <c r="AO1882" t="s">
        <v>118</v>
      </c>
      <c r="AP1882">
        <v>73</v>
      </c>
      <c r="AQ1882">
        <v>-68</v>
      </c>
      <c r="AR1882">
        <v>192</v>
      </c>
      <c r="AZ1882">
        <v>1200</v>
      </c>
      <c r="BA1882">
        <v>1</v>
      </c>
      <c r="BB1882" t="str">
        <f t="shared" si="890"/>
        <v xml:space="preserve">N711JA  </v>
      </c>
      <c r="BC1882">
        <v>1</v>
      </c>
      <c r="BE1882">
        <v>0</v>
      </c>
      <c r="BF1882">
        <v>0</v>
      </c>
      <c r="BG1882">
        <v>0</v>
      </c>
      <c r="BH1882">
        <v>2000</v>
      </c>
      <c r="BI1882">
        <v>1</v>
      </c>
      <c r="BJ1882">
        <v>1</v>
      </c>
      <c r="BK1882">
        <v>0</v>
      </c>
      <c r="BL1882">
        <v>0</v>
      </c>
      <c r="BO1882">
        <v>0</v>
      </c>
      <c r="BP1882">
        <v>0</v>
      </c>
      <c r="BW1882" t="str">
        <f t="shared" si="888"/>
        <v>14:44:26.503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56</v>
      </c>
      <c r="CR1882">
        <v>2</v>
      </c>
      <c r="CW1882">
        <v>4781700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 t="shared" si="885"/>
        <v>05/12/2020 14:44:08.697</v>
      </c>
      <c r="C1883" t="str">
        <f t="shared" si="889"/>
        <v>FFDFD3C0</v>
      </c>
      <c r="D1883" t="s">
        <v>131</v>
      </c>
      <c r="E1883">
        <v>12</v>
      </c>
      <c r="F1883">
        <v>2012</v>
      </c>
      <c r="G1883" t="s">
        <v>137</v>
      </c>
      <c r="J1883" t="s">
        <v>133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886"/>
        <v>14:44:26.500</v>
      </c>
      <c r="T1883" t="str">
        <f t="shared" si="887"/>
        <v>14:44:26.000</v>
      </c>
      <c r="U1883" t="str">
        <f t="shared" si="877"/>
        <v>A9808D</v>
      </c>
      <c r="V1883">
        <v>0</v>
      </c>
      <c r="W1883">
        <v>0</v>
      </c>
      <c r="X1883">
        <v>1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0</v>
      </c>
      <c r="AI1883" t="s">
        <v>493</v>
      </c>
      <c r="AJ1883">
        <v>28.270612</v>
      </c>
      <c r="AK1883" t="s">
        <v>494</v>
      </c>
      <c r="AL1883">
        <v>-82.356583999999998</v>
      </c>
      <c r="AM1883">
        <v>100</v>
      </c>
      <c r="AN1883">
        <v>1900</v>
      </c>
      <c r="AO1883" t="s">
        <v>118</v>
      </c>
      <c r="AP1883">
        <v>73</v>
      </c>
      <c r="AQ1883">
        <v>-68</v>
      </c>
      <c r="AR1883">
        <v>192</v>
      </c>
      <c r="AZ1883">
        <v>1200</v>
      </c>
      <c r="BA1883">
        <v>1</v>
      </c>
      <c r="BB1883" t="str">
        <f t="shared" si="890"/>
        <v xml:space="preserve">N711JA  </v>
      </c>
      <c r="BC1883">
        <v>1</v>
      </c>
      <c r="BE1883">
        <v>0</v>
      </c>
      <c r="BF1883">
        <v>0</v>
      </c>
      <c r="BG1883">
        <v>0</v>
      </c>
      <c r="BH1883">
        <v>2000</v>
      </c>
      <c r="BI1883">
        <v>1</v>
      </c>
      <c r="BJ1883">
        <v>1</v>
      </c>
      <c r="BK1883">
        <v>0</v>
      </c>
      <c r="BL1883">
        <v>0</v>
      </c>
      <c r="BO1883">
        <v>0</v>
      </c>
      <c r="BP1883">
        <v>0</v>
      </c>
      <c r="BW1883" t="str">
        <f t="shared" si="888"/>
        <v>14:44:26.503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56</v>
      </c>
      <c r="CR1883">
        <v>2</v>
      </c>
      <c r="CW1883">
        <v>4781700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 t="shared" si="885"/>
        <v>05/12/2020 14:44:08.697</v>
      </c>
      <c r="C1884" t="str">
        <f t="shared" si="889"/>
        <v>FFDFD3C0</v>
      </c>
      <c r="D1884" t="s">
        <v>131</v>
      </c>
      <c r="E1884">
        <v>18</v>
      </c>
      <c r="F1884">
        <v>2018</v>
      </c>
      <c r="G1884" t="s">
        <v>161</v>
      </c>
      <c r="J1884" t="s">
        <v>133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886"/>
        <v>14:44:26.500</v>
      </c>
      <c r="T1884" t="str">
        <f t="shared" si="887"/>
        <v>14:44:26.000</v>
      </c>
      <c r="U1884" t="str">
        <f t="shared" si="877"/>
        <v>A9808D</v>
      </c>
      <c r="V1884">
        <v>0</v>
      </c>
      <c r="W1884">
        <v>0</v>
      </c>
      <c r="X1884">
        <v>1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0</v>
      </c>
      <c r="AI1884" t="s">
        <v>493</v>
      </c>
      <c r="AJ1884">
        <v>28.270612</v>
      </c>
      <c r="AK1884" t="s">
        <v>494</v>
      </c>
      <c r="AL1884">
        <v>-82.356583999999998</v>
      </c>
      <c r="AM1884">
        <v>100</v>
      </c>
      <c r="AN1884">
        <v>1900</v>
      </c>
      <c r="AO1884" t="s">
        <v>118</v>
      </c>
      <c r="AP1884">
        <v>73</v>
      </c>
      <c r="AQ1884">
        <v>-68</v>
      </c>
      <c r="AR1884">
        <v>192</v>
      </c>
      <c r="AZ1884">
        <v>1200</v>
      </c>
      <c r="BA1884">
        <v>1</v>
      </c>
      <c r="BB1884" t="str">
        <f t="shared" si="890"/>
        <v xml:space="preserve">N711JA  </v>
      </c>
      <c r="BC1884">
        <v>1</v>
      </c>
      <c r="BE1884">
        <v>0</v>
      </c>
      <c r="BF1884">
        <v>0</v>
      </c>
      <c r="BG1884">
        <v>0</v>
      </c>
      <c r="BH1884">
        <v>2000</v>
      </c>
      <c r="BI1884">
        <v>1</v>
      </c>
      <c r="BJ1884">
        <v>1</v>
      </c>
      <c r="BK1884">
        <v>0</v>
      </c>
      <c r="BL1884">
        <v>0</v>
      </c>
      <c r="BO1884">
        <v>0</v>
      </c>
      <c r="BP1884">
        <v>0</v>
      </c>
      <c r="BW1884" t="str">
        <f t="shared" si="888"/>
        <v>14:44:26.503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56</v>
      </c>
      <c r="CR1884">
        <v>2</v>
      </c>
      <c r="CW1884">
        <v>4781700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 t="shared" si="885"/>
        <v>05/12/2020 14:44:08.697</v>
      </c>
      <c r="C1885" t="str">
        <f t="shared" si="889"/>
        <v>FFDFD3C0</v>
      </c>
      <c r="D1885" t="s">
        <v>113</v>
      </c>
      <c r="E1885">
        <v>3</v>
      </c>
      <c r="H1885">
        <v>164</v>
      </c>
      <c r="I1885" t="s">
        <v>114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886"/>
        <v>14:44:26.500</v>
      </c>
      <c r="T1885" t="str">
        <f t="shared" si="887"/>
        <v>14:44:26.000</v>
      </c>
      <c r="U1885" t="str">
        <f t="shared" si="877"/>
        <v>A9808D</v>
      </c>
      <c r="V1885">
        <v>0</v>
      </c>
      <c r="W1885">
        <v>0</v>
      </c>
      <c r="X1885">
        <v>1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0</v>
      </c>
      <c r="AI1885" t="s">
        <v>493</v>
      </c>
      <c r="AJ1885">
        <v>28.270612</v>
      </c>
      <c r="AK1885" t="s">
        <v>494</v>
      </c>
      <c r="AL1885">
        <v>-82.356583999999998</v>
      </c>
      <c r="AM1885">
        <v>100</v>
      </c>
      <c r="AN1885">
        <v>1900</v>
      </c>
      <c r="AO1885" t="s">
        <v>118</v>
      </c>
      <c r="AP1885">
        <v>73</v>
      </c>
      <c r="AQ1885">
        <v>-68</v>
      </c>
      <c r="AR1885">
        <v>192</v>
      </c>
      <c r="AZ1885">
        <v>1200</v>
      </c>
      <c r="BA1885">
        <v>1</v>
      </c>
      <c r="BB1885" t="str">
        <f t="shared" si="890"/>
        <v xml:space="preserve">N711JA  </v>
      </c>
      <c r="BC1885">
        <v>1</v>
      </c>
      <c r="BE1885">
        <v>0</v>
      </c>
      <c r="BF1885">
        <v>0</v>
      </c>
      <c r="BG1885">
        <v>0</v>
      </c>
      <c r="BH1885">
        <v>2000</v>
      </c>
      <c r="BI1885">
        <v>1</v>
      </c>
      <c r="BJ1885">
        <v>1</v>
      </c>
      <c r="BK1885">
        <v>0</v>
      </c>
      <c r="BL1885">
        <v>0</v>
      </c>
      <c r="BO1885">
        <v>0</v>
      </c>
      <c r="BP1885">
        <v>0</v>
      </c>
      <c r="BW1885" t="str">
        <f t="shared" si="888"/>
        <v>14:44:26.503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56</v>
      </c>
      <c r="CR1885">
        <v>2</v>
      </c>
      <c r="CW1885">
        <v>4781700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 t="shared" ref="A1886:A1894" si="891">"05/12/2020 14:44:09.668"</f>
        <v>05/12/2020 14:44:09.668</v>
      </c>
      <c r="C1886" t="str">
        <f t="shared" si="889"/>
        <v>FFDFD3C0</v>
      </c>
      <c r="D1886" t="s">
        <v>126</v>
      </c>
      <c r="E1886">
        <v>7</v>
      </c>
      <c r="F1886">
        <v>1007</v>
      </c>
      <c r="G1886" t="s">
        <v>127</v>
      </c>
      <c r="J1886" t="s">
        <v>128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ref="S1886:S1894" si="892">"14:44:27.500"</f>
        <v>14:44:27.500</v>
      </c>
      <c r="T1886" t="str">
        <f t="shared" ref="T1886:T1894" si="893">"14:44:27.200"</f>
        <v>14:44:27.200</v>
      </c>
      <c r="U1886" t="str">
        <f t="shared" si="877"/>
        <v>A9808D</v>
      </c>
      <c r="V1886">
        <v>0</v>
      </c>
      <c r="W1886">
        <v>0</v>
      </c>
      <c r="X1886">
        <v>1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0</v>
      </c>
      <c r="AI1886" t="s">
        <v>495</v>
      </c>
      <c r="AJ1886">
        <v>28.270289999999999</v>
      </c>
      <c r="AK1886" t="s">
        <v>496</v>
      </c>
      <c r="AL1886">
        <v>-82.356218999999996</v>
      </c>
      <c r="AM1886">
        <v>100</v>
      </c>
      <c r="AN1886">
        <v>1900</v>
      </c>
      <c r="AO1886" t="s">
        <v>118</v>
      </c>
      <c r="AP1886">
        <v>74</v>
      </c>
      <c r="AQ1886">
        <v>-68</v>
      </c>
      <c r="AR1886">
        <v>256</v>
      </c>
      <c r="AZ1886">
        <v>1200</v>
      </c>
      <c r="BA1886">
        <v>1</v>
      </c>
      <c r="BB1886" t="str">
        <f t="shared" si="890"/>
        <v xml:space="preserve">N711JA  </v>
      </c>
      <c r="BC1886">
        <v>1</v>
      </c>
      <c r="BE1886">
        <v>0</v>
      </c>
      <c r="BF1886">
        <v>0</v>
      </c>
      <c r="BG1886">
        <v>0</v>
      </c>
      <c r="BH1886">
        <v>2000</v>
      </c>
      <c r="BI1886">
        <v>1</v>
      </c>
      <c r="BJ1886">
        <v>1</v>
      </c>
      <c r="BK1886">
        <v>0</v>
      </c>
      <c r="BL1886">
        <v>0</v>
      </c>
      <c r="BO1886">
        <v>0</v>
      </c>
      <c r="BP1886">
        <v>0</v>
      </c>
      <c r="BW1886" t="str">
        <f t="shared" ref="BW1886:BW1894" si="894">"14:44:27.505"</f>
        <v>14:44:27.505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56</v>
      </c>
      <c r="CR1886">
        <v>2</v>
      </c>
      <c r="CW1886">
        <v>4782890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 t="shared" si="891"/>
        <v>05/12/2020 14:44:09.668</v>
      </c>
      <c r="C1887" t="str">
        <f t="shared" si="889"/>
        <v>FFDFD3C0</v>
      </c>
      <c r="D1887" t="s">
        <v>134</v>
      </c>
      <c r="E1887">
        <v>12</v>
      </c>
      <c r="H1887">
        <v>64</v>
      </c>
      <c r="I1887" t="s">
        <v>135</v>
      </c>
      <c r="J1887" t="s">
        <v>136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892"/>
        <v>14:44:27.500</v>
      </c>
      <c r="T1887" t="str">
        <f t="shared" si="893"/>
        <v>14:44:27.200</v>
      </c>
      <c r="U1887" t="str">
        <f t="shared" si="877"/>
        <v>A9808D</v>
      </c>
      <c r="V1887">
        <v>0</v>
      </c>
      <c r="W1887">
        <v>0</v>
      </c>
      <c r="X1887">
        <v>1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0</v>
      </c>
      <c r="AI1887" t="s">
        <v>495</v>
      </c>
      <c r="AJ1887">
        <v>28.270289999999999</v>
      </c>
      <c r="AK1887" t="s">
        <v>496</v>
      </c>
      <c r="AL1887">
        <v>-82.356218999999996</v>
      </c>
      <c r="AM1887">
        <v>100</v>
      </c>
      <c r="AN1887">
        <v>1900</v>
      </c>
      <c r="AO1887" t="s">
        <v>118</v>
      </c>
      <c r="AP1887">
        <v>74</v>
      </c>
      <c r="AQ1887">
        <v>-68</v>
      </c>
      <c r="AR1887">
        <v>256</v>
      </c>
      <c r="AZ1887">
        <v>1200</v>
      </c>
      <c r="BA1887">
        <v>1</v>
      </c>
      <c r="BB1887" t="str">
        <f t="shared" si="890"/>
        <v xml:space="preserve">N711JA  </v>
      </c>
      <c r="BC1887">
        <v>1</v>
      </c>
      <c r="BE1887">
        <v>0</v>
      </c>
      <c r="BF1887">
        <v>0</v>
      </c>
      <c r="BG1887">
        <v>0</v>
      </c>
      <c r="BH1887">
        <v>2000</v>
      </c>
      <c r="BI1887">
        <v>1</v>
      </c>
      <c r="BJ1887">
        <v>1</v>
      </c>
      <c r="BK1887">
        <v>0</v>
      </c>
      <c r="BL1887">
        <v>0</v>
      </c>
      <c r="BO1887">
        <v>0</v>
      </c>
      <c r="BP1887">
        <v>0</v>
      </c>
      <c r="BW1887" t="str">
        <f t="shared" si="894"/>
        <v>14:44:27.505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3</v>
      </c>
      <c r="CP1887" t="s">
        <v>119</v>
      </c>
      <c r="CQ1887">
        <v>9</v>
      </c>
      <c r="CR1887">
        <v>0</v>
      </c>
      <c r="CW1887">
        <v>12594801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 t="shared" si="891"/>
        <v>05/12/2020 14:44:09.668</v>
      </c>
      <c r="C1888" t="str">
        <f t="shared" si="889"/>
        <v>FFDFD3C0</v>
      </c>
      <c r="D1888" t="s">
        <v>131</v>
      </c>
      <c r="E1888">
        <v>10</v>
      </c>
      <c r="F1888">
        <v>2010</v>
      </c>
      <c r="G1888" t="s">
        <v>132</v>
      </c>
      <c r="J1888" t="s">
        <v>133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892"/>
        <v>14:44:27.500</v>
      </c>
      <c r="T1888" t="str">
        <f t="shared" si="893"/>
        <v>14:44:27.200</v>
      </c>
      <c r="U1888" t="str">
        <f t="shared" si="877"/>
        <v>A9808D</v>
      </c>
      <c r="V1888">
        <v>0</v>
      </c>
      <c r="W1888">
        <v>0</v>
      </c>
      <c r="X1888">
        <v>1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0</v>
      </c>
      <c r="AI1888" t="s">
        <v>495</v>
      </c>
      <c r="AJ1888">
        <v>28.270289999999999</v>
      </c>
      <c r="AK1888" t="s">
        <v>496</v>
      </c>
      <c r="AL1888">
        <v>-82.356218999999996</v>
      </c>
      <c r="AM1888">
        <v>100</v>
      </c>
      <c r="AN1888">
        <v>1900</v>
      </c>
      <c r="AO1888" t="s">
        <v>118</v>
      </c>
      <c r="AP1888">
        <v>74</v>
      </c>
      <c r="AQ1888">
        <v>-68</v>
      </c>
      <c r="AR1888">
        <v>256</v>
      </c>
      <c r="AZ1888">
        <v>1200</v>
      </c>
      <c r="BA1888">
        <v>1</v>
      </c>
      <c r="BB1888" t="str">
        <f t="shared" si="890"/>
        <v xml:space="preserve">N711JA  </v>
      </c>
      <c r="BC1888">
        <v>1</v>
      </c>
      <c r="BE1888">
        <v>0</v>
      </c>
      <c r="BF1888">
        <v>0</v>
      </c>
      <c r="BG1888">
        <v>0</v>
      </c>
      <c r="BH1888">
        <v>2000</v>
      </c>
      <c r="BI1888">
        <v>1</v>
      </c>
      <c r="BJ1888">
        <v>1</v>
      </c>
      <c r="BK1888">
        <v>0</v>
      </c>
      <c r="BL1888">
        <v>0</v>
      </c>
      <c r="BO1888">
        <v>0</v>
      </c>
      <c r="BP1888">
        <v>0</v>
      </c>
      <c r="BW1888" t="str">
        <f t="shared" si="894"/>
        <v>14:44:27.505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7</v>
      </c>
      <c r="CP1888" t="s">
        <v>119</v>
      </c>
      <c r="CQ1888">
        <v>56</v>
      </c>
      <c r="CR1888">
        <v>2</v>
      </c>
      <c r="CW1888">
        <v>4782890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 t="shared" si="891"/>
        <v>05/12/2020 14:44:09.668</v>
      </c>
      <c r="C1889" t="str">
        <f t="shared" si="889"/>
        <v>FFDFD3C0</v>
      </c>
      <c r="D1889" t="s">
        <v>131</v>
      </c>
      <c r="E1889">
        <v>12</v>
      </c>
      <c r="F1889">
        <v>2012</v>
      </c>
      <c r="G1889" t="s">
        <v>137</v>
      </c>
      <c r="J1889" t="s">
        <v>133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892"/>
        <v>14:44:27.500</v>
      </c>
      <c r="T1889" t="str">
        <f t="shared" si="893"/>
        <v>14:44:27.200</v>
      </c>
      <c r="U1889" t="str">
        <f t="shared" si="877"/>
        <v>A9808D</v>
      </c>
      <c r="V1889">
        <v>0</v>
      </c>
      <c r="W1889">
        <v>0</v>
      </c>
      <c r="X1889">
        <v>1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0</v>
      </c>
      <c r="AI1889" t="s">
        <v>495</v>
      </c>
      <c r="AJ1889">
        <v>28.270289999999999</v>
      </c>
      <c r="AK1889" t="s">
        <v>496</v>
      </c>
      <c r="AL1889">
        <v>-82.356218999999996</v>
      </c>
      <c r="AM1889">
        <v>100</v>
      </c>
      <c r="AN1889">
        <v>1900</v>
      </c>
      <c r="AO1889" t="s">
        <v>118</v>
      </c>
      <c r="AP1889">
        <v>74</v>
      </c>
      <c r="AQ1889">
        <v>-68</v>
      </c>
      <c r="AR1889">
        <v>256</v>
      </c>
      <c r="AZ1889">
        <v>1200</v>
      </c>
      <c r="BA1889">
        <v>1</v>
      </c>
      <c r="BB1889" t="str">
        <f t="shared" si="890"/>
        <v xml:space="preserve">N711JA  </v>
      </c>
      <c r="BC1889">
        <v>1</v>
      </c>
      <c r="BE1889">
        <v>0</v>
      </c>
      <c r="BF1889">
        <v>0</v>
      </c>
      <c r="BG1889">
        <v>0</v>
      </c>
      <c r="BH1889">
        <v>2000</v>
      </c>
      <c r="BI1889">
        <v>1</v>
      </c>
      <c r="BJ1889">
        <v>1</v>
      </c>
      <c r="BK1889">
        <v>0</v>
      </c>
      <c r="BL1889">
        <v>0</v>
      </c>
      <c r="BO1889">
        <v>0</v>
      </c>
      <c r="BP1889">
        <v>0</v>
      </c>
      <c r="BW1889" t="str">
        <f t="shared" si="894"/>
        <v>14:44:27.505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7</v>
      </c>
      <c r="CP1889" t="s">
        <v>119</v>
      </c>
      <c r="CQ1889">
        <v>56</v>
      </c>
      <c r="CR1889">
        <v>2</v>
      </c>
      <c r="CW1889">
        <v>4782890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 t="shared" si="891"/>
        <v>05/12/2020 14:44:09.668</v>
      </c>
      <c r="C1890" t="str">
        <f t="shared" si="889"/>
        <v>FFDFD3C0</v>
      </c>
      <c r="D1890" t="s">
        <v>138</v>
      </c>
      <c r="E1890">
        <v>2</v>
      </c>
      <c r="H1890">
        <v>8</v>
      </c>
      <c r="I1890" t="s">
        <v>139</v>
      </c>
      <c r="J1890" t="s">
        <v>136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892"/>
        <v>14:44:27.500</v>
      </c>
      <c r="T1890" t="str">
        <f t="shared" si="893"/>
        <v>14:44:27.200</v>
      </c>
      <c r="U1890" t="str">
        <f t="shared" si="877"/>
        <v>A9808D</v>
      </c>
      <c r="V1890">
        <v>0</v>
      </c>
      <c r="W1890">
        <v>0</v>
      </c>
      <c r="X1890">
        <v>1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0</v>
      </c>
      <c r="AI1890" t="s">
        <v>495</v>
      </c>
      <c r="AJ1890">
        <v>28.270289999999999</v>
      </c>
      <c r="AK1890" t="s">
        <v>496</v>
      </c>
      <c r="AL1890">
        <v>-82.356218999999996</v>
      </c>
      <c r="AM1890">
        <v>100</v>
      </c>
      <c r="AN1890">
        <v>1900</v>
      </c>
      <c r="AO1890" t="s">
        <v>118</v>
      </c>
      <c r="AP1890">
        <v>74</v>
      </c>
      <c r="AQ1890">
        <v>-68</v>
      </c>
      <c r="AR1890">
        <v>256</v>
      </c>
      <c r="AZ1890">
        <v>1200</v>
      </c>
      <c r="BA1890">
        <v>1</v>
      </c>
      <c r="BB1890" t="str">
        <f t="shared" si="890"/>
        <v xml:space="preserve">N711JA  </v>
      </c>
      <c r="BC1890">
        <v>1</v>
      </c>
      <c r="BE1890">
        <v>0</v>
      </c>
      <c r="BF1890">
        <v>0</v>
      </c>
      <c r="BG1890">
        <v>0</v>
      </c>
      <c r="BH1890">
        <v>2000</v>
      </c>
      <c r="BI1890">
        <v>1</v>
      </c>
      <c r="BJ1890">
        <v>1</v>
      </c>
      <c r="BK1890">
        <v>0</v>
      </c>
      <c r="BL1890">
        <v>0</v>
      </c>
      <c r="BO1890">
        <v>0</v>
      </c>
      <c r="BP1890">
        <v>0</v>
      </c>
      <c r="BW1890" t="str">
        <f t="shared" si="894"/>
        <v>14:44:27.505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7</v>
      </c>
      <c r="CP1890" t="s">
        <v>119</v>
      </c>
      <c r="CQ1890">
        <v>56</v>
      </c>
      <c r="CR1890">
        <v>2</v>
      </c>
      <c r="CW1890">
        <v>4782890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 t="shared" si="891"/>
        <v>05/12/2020 14:44:09.668</v>
      </c>
      <c r="C1891" t="str">
        <f t="shared" si="889"/>
        <v>FFDFD3C0</v>
      </c>
      <c r="D1891" t="s">
        <v>138</v>
      </c>
      <c r="E1891">
        <v>3</v>
      </c>
      <c r="H1891">
        <v>9</v>
      </c>
      <c r="I1891" t="s">
        <v>140</v>
      </c>
      <c r="J1891" t="s">
        <v>136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892"/>
        <v>14:44:27.500</v>
      </c>
      <c r="T1891" t="str">
        <f t="shared" si="893"/>
        <v>14:44:27.200</v>
      </c>
      <c r="U1891" t="str">
        <f t="shared" si="877"/>
        <v>A9808D</v>
      </c>
      <c r="V1891">
        <v>0</v>
      </c>
      <c r="W1891">
        <v>0</v>
      </c>
      <c r="X1891">
        <v>1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0</v>
      </c>
      <c r="AI1891" t="s">
        <v>495</v>
      </c>
      <c r="AJ1891">
        <v>28.270289999999999</v>
      </c>
      <c r="AK1891" t="s">
        <v>496</v>
      </c>
      <c r="AL1891">
        <v>-82.356218999999996</v>
      </c>
      <c r="AM1891">
        <v>100</v>
      </c>
      <c r="AN1891">
        <v>1900</v>
      </c>
      <c r="AO1891" t="s">
        <v>118</v>
      </c>
      <c r="AP1891">
        <v>74</v>
      </c>
      <c r="AQ1891">
        <v>-68</v>
      </c>
      <c r="AR1891">
        <v>256</v>
      </c>
      <c r="AZ1891">
        <v>1200</v>
      </c>
      <c r="BA1891">
        <v>1</v>
      </c>
      <c r="BB1891" t="str">
        <f t="shared" si="890"/>
        <v xml:space="preserve">N711JA  </v>
      </c>
      <c r="BC1891">
        <v>1</v>
      </c>
      <c r="BE1891">
        <v>0</v>
      </c>
      <c r="BF1891">
        <v>0</v>
      </c>
      <c r="BG1891">
        <v>0</v>
      </c>
      <c r="BH1891">
        <v>2000</v>
      </c>
      <c r="BI1891">
        <v>1</v>
      </c>
      <c r="BJ1891">
        <v>1</v>
      </c>
      <c r="BK1891">
        <v>0</v>
      </c>
      <c r="BL1891">
        <v>0</v>
      </c>
      <c r="BO1891">
        <v>0</v>
      </c>
      <c r="BP1891">
        <v>0</v>
      </c>
      <c r="BW1891" t="str">
        <f t="shared" si="894"/>
        <v>14:44:27.505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7</v>
      </c>
      <c r="CP1891" t="s">
        <v>119</v>
      </c>
      <c r="CQ1891">
        <v>56</v>
      </c>
      <c r="CR1891">
        <v>2</v>
      </c>
      <c r="CW1891">
        <v>4782890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 t="shared" si="891"/>
        <v>05/12/2020 14:44:09.668</v>
      </c>
      <c r="C1892" t="str">
        <f t="shared" si="889"/>
        <v>FFDFD3C0</v>
      </c>
      <c r="D1892" t="s">
        <v>131</v>
      </c>
      <c r="E1892">
        <v>18</v>
      </c>
      <c r="F1892">
        <v>2018</v>
      </c>
      <c r="G1892" t="s">
        <v>161</v>
      </c>
      <c r="J1892" t="s">
        <v>133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892"/>
        <v>14:44:27.500</v>
      </c>
      <c r="T1892" t="str">
        <f t="shared" si="893"/>
        <v>14:44:27.200</v>
      </c>
      <c r="U1892" t="str">
        <f t="shared" si="877"/>
        <v>A9808D</v>
      </c>
      <c r="V1892">
        <v>0</v>
      </c>
      <c r="W1892">
        <v>0</v>
      </c>
      <c r="X1892">
        <v>1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0</v>
      </c>
      <c r="AI1892" t="s">
        <v>495</v>
      </c>
      <c r="AJ1892">
        <v>28.270289999999999</v>
      </c>
      <c r="AK1892" t="s">
        <v>496</v>
      </c>
      <c r="AL1892">
        <v>-82.356218999999996</v>
      </c>
      <c r="AM1892">
        <v>100</v>
      </c>
      <c r="AN1892">
        <v>1900</v>
      </c>
      <c r="AO1892" t="s">
        <v>118</v>
      </c>
      <c r="AP1892">
        <v>74</v>
      </c>
      <c r="AQ1892">
        <v>-68</v>
      </c>
      <c r="AR1892">
        <v>256</v>
      </c>
      <c r="AZ1892">
        <v>1200</v>
      </c>
      <c r="BA1892">
        <v>1</v>
      </c>
      <c r="BB1892" t="str">
        <f t="shared" si="890"/>
        <v xml:space="preserve">N711JA  </v>
      </c>
      <c r="BC1892">
        <v>1</v>
      </c>
      <c r="BE1892">
        <v>0</v>
      </c>
      <c r="BF1892">
        <v>0</v>
      </c>
      <c r="BG1892">
        <v>0</v>
      </c>
      <c r="BH1892">
        <v>2000</v>
      </c>
      <c r="BI1892">
        <v>1</v>
      </c>
      <c r="BJ1892">
        <v>1</v>
      </c>
      <c r="BK1892">
        <v>0</v>
      </c>
      <c r="BL1892">
        <v>0</v>
      </c>
      <c r="BO1892">
        <v>0</v>
      </c>
      <c r="BP1892">
        <v>0</v>
      </c>
      <c r="BW1892" t="str">
        <f t="shared" si="894"/>
        <v>14:44:27.505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7</v>
      </c>
      <c r="CP1892" t="s">
        <v>119</v>
      </c>
      <c r="CQ1892">
        <v>56</v>
      </c>
      <c r="CR1892">
        <v>2</v>
      </c>
      <c r="CW1892">
        <v>4782890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 t="shared" si="891"/>
        <v>05/12/2020 14:44:09.668</v>
      </c>
      <c r="C1893" t="str">
        <f t="shared" si="889"/>
        <v>FFDFD3C0</v>
      </c>
      <c r="D1893" t="s">
        <v>113</v>
      </c>
      <c r="E1893">
        <v>3</v>
      </c>
      <c r="H1893">
        <v>164</v>
      </c>
      <c r="I1893" t="s">
        <v>114</v>
      </c>
      <c r="J1893" t="s">
        <v>115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892"/>
        <v>14:44:27.500</v>
      </c>
      <c r="T1893" t="str">
        <f t="shared" si="893"/>
        <v>14:44:27.200</v>
      </c>
      <c r="U1893" t="str">
        <f t="shared" si="877"/>
        <v>A9808D</v>
      </c>
      <c r="V1893">
        <v>0</v>
      </c>
      <c r="W1893">
        <v>0</v>
      </c>
      <c r="X1893">
        <v>1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0</v>
      </c>
      <c r="AI1893" t="s">
        <v>495</v>
      </c>
      <c r="AJ1893">
        <v>28.270289999999999</v>
      </c>
      <c r="AK1893" t="s">
        <v>496</v>
      </c>
      <c r="AL1893">
        <v>-82.356218999999996</v>
      </c>
      <c r="AM1893">
        <v>100</v>
      </c>
      <c r="AN1893">
        <v>1900</v>
      </c>
      <c r="AO1893" t="s">
        <v>118</v>
      </c>
      <c r="AP1893">
        <v>74</v>
      </c>
      <c r="AQ1893">
        <v>-68</v>
      </c>
      <c r="AR1893">
        <v>256</v>
      </c>
      <c r="AZ1893">
        <v>1200</v>
      </c>
      <c r="BA1893">
        <v>1</v>
      </c>
      <c r="BB1893" t="str">
        <f t="shared" si="890"/>
        <v xml:space="preserve">N711JA  </v>
      </c>
      <c r="BC1893">
        <v>1</v>
      </c>
      <c r="BE1893">
        <v>0</v>
      </c>
      <c r="BF1893">
        <v>0</v>
      </c>
      <c r="BG1893">
        <v>0</v>
      </c>
      <c r="BH1893">
        <v>2000</v>
      </c>
      <c r="BI1893">
        <v>1</v>
      </c>
      <c r="BJ1893">
        <v>1</v>
      </c>
      <c r="BK1893">
        <v>0</v>
      </c>
      <c r="BL1893">
        <v>0</v>
      </c>
      <c r="BO1893">
        <v>0</v>
      </c>
      <c r="BP1893">
        <v>0</v>
      </c>
      <c r="BW1893" t="str">
        <f t="shared" si="894"/>
        <v>14:44:27.505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56</v>
      </c>
      <c r="CR1893">
        <v>2</v>
      </c>
      <c r="CW1893">
        <v>4782890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 t="shared" si="891"/>
        <v>05/12/2020 14:44:09.668</v>
      </c>
      <c r="C1894" t="str">
        <f t="shared" si="889"/>
        <v>FFDFD3C0</v>
      </c>
      <c r="D1894" t="s">
        <v>126</v>
      </c>
      <c r="E1894">
        <v>6</v>
      </c>
      <c r="F1894">
        <v>1006</v>
      </c>
      <c r="G1894" t="s">
        <v>114</v>
      </c>
      <c r="J1894" t="s">
        <v>128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892"/>
        <v>14:44:27.500</v>
      </c>
      <c r="T1894" t="str">
        <f t="shared" si="893"/>
        <v>14:44:27.200</v>
      </c>
      <c r="U1894" t="str">
        <f t="shared" si="877"/>
        <v>A9808D</v>
      </c>
      <c r="V1894">
        <v>0</v>
      </c>
      <c r="W1894">
        <v>0</v>
      </c>
      <c r="X1894">
        <v>1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0</v>
      </c>
      <c r="AI1894" t="s">
        <v>495</v>
      </c>
      <c r="AJ1894">
        <v>28.270289999999999</v>
      </c>
      <c r="AK1894" t="s">
        <v>496</v>
      </c>
      <c r="AL1894">
        <v>-82.356218999999996</v>
      </c>
      <c r="AM1894">
        <v>100</v>
      </c>
      <c r="AN1894">
        <v>1900</v>
      </c>
      <c r="AO1894" t="s">
        <v>118</v>
      </c>
      <c r="AP1894">
        <v>74</v>
      </c>
      <c r="AQ1894">
        <v>-68</v>
      </c>
      <c r="AR1894">
        <v>256</v>
      </c>
      <c r="AZ1894">
        <v>1200</v>
      </c>
      <c r="BA1894">
        <v>1</v>
      </c>
      <c r="BB1894" t="str">
        <f t="shared" si="890"/>
        <v xml:space="preserve">N711JA  </v>
      </c>
      <c r="BC1894">
        <v>1</v>
      </c>
      <c r="BE1894">
        <v>0</v>
      </c>
      <c r="BF1894">
        <v>0</v>
      </c>
      <c r="BG1894">
        <v>0</v>
      </c>
      <c r="BH1894">
        <v>2000</v>
      </c>
      <c r="BI1894">
        <v>1</v>
      </c>
      <c r="BJ1894">
        <v>1</v>
      </c>
      <c r="BK1894">
        <v>0</v>
      </c>
      <c r="BL1894">
        <v>0</v>
      </c>
      <c r="BO1894">
        <v>0</v>
      </c>
      <c r="BP1894">
        <v>0</v>
      </c>
      <c r="BW1894" t="str">
        <f t="shared" si="894"/>
        <v>14:44:27.505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56</v>
      </c>
      <c r="CR1894">
        <v>2</v>
      </c>
      <c r="CW1894">
        <v>4782890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 t="shared" ref="A1895:A1903" si="895">"05/12/2020 14:44:10.625"</f>
        <v>05/12/2020 14:44:10.625</v>
      </c>
      <c r="C1895" t="str">
        <f t="shared" si="889"/>
        <v>FFDFD3C0</v>
      </c>
      <c r="D1895" t="s">
        <v>126</v>
      </c>
      <c r="E1895">
        <v>7</v>
      </c>
      <c r="F1895">
        <v>1007</v>
      </c>
      <c r="G1895" t="s">
        <v>127</v>
      </c>
      <c r="J1895" t="s">
        <v>128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ref="S1895:S1903" si="896">"14:44:28.453"</f>
        <v>14:44:28.453</v>
      </c>
      <c r="T1895" t="str">
        <f t="shared" ref="T1895:T1903" si="897">"14:44:28.153"</f>
        <v>14:44:28.153</v>
      </c>
      <c r="U1895" t="str">
        <f t="shared" si="877"/>
        <v>A9808D</v>
      </c>
      <c r="V1895">
        <v>0</v>
      </c>
      <c r="W1895">
        <v>0</v>
      </c>
      <c r="X1895">
        <v>1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0</v>
      </c>
      <c r="AI1895" t="s">
        <v>316</v>
      </c>
      <c r="AJ1895">
        <v>28.269967999999999</v>
      </c>
      <c r="AK1895" t="s">
        <v>497</v>
      </c>
      <c r="AL1895">
        <v>-82.355789999999999</v>
      </c>
      <c r="AM1895">
        <v>100</v>
      </c>
      <c r="AN1895">
        <v>1900</v>
      </c>
      <c r="AO1895" t="s">
        <v>118</v>
      </c>
      <c r="AP1895">
        <v>74</v>
      </c>
      <c r="AQ1895">
        <v>-68</v>
      </c>
      <c r="AR1895">
        <v>320</v>
      </c>
      <c r="AZ1895">
        <v>1200</v>
      </c>
      <c r="BA1895">
        <v>1</v>
      </c>
      <c r="BB1895" t="str">
        <f t="shared" si="890"/>
        <v xml:space="preserve">N711JA  </v>
      </c>
      <c r="BC1895">
        <v>1</v>
      </c>
      <c r="BE1895">
        <v>0</v>
      </c>
      <c r="BF1895">
        <v>0</v>
      </c>
      <c r="BG1895">
        <v>0</v>
      </c>
      <c r="BH1895">
        <v>2000</v>
      </c>
      <c r="BI1895">
        <v>1</v>
      </c>
      <c r="BJ1895">
        <v>1</v>
      </c>
      <c r="BK1895">
        <v>0</v>
      </c>
      <c r="BL1895">
        <v>0</v>
      </c>
      <c r="BO1895">
        <v>0</v>
      </c>
      <c r="BP1895">
        <v>0</v>
      </c>
      <c r="BW1895" t="str">
        <f t="shared" ref="BW1895:BW1903" si="898">"14:44:28.457"</f>
        <v>14:44:28.457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56</v>
      </c>
      <c r="CR1895">
        <v>2</v>
      </c>
      <c r="CW1895">
        <v>4784091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 t="shared" si="895"/>
        <v>05/12/2020 14:44:10.625</v>
      </c>
      <c r="C1896" t="str">
        <f t="shared" si="889"/>
        <v>FFDFD3C0</v>
      </c>
      <c r="D1896" t="s">
        <v>131</v>
      </c>
      <c r="E1896">
        <v>10</v>
      </c>
      <c r="F1896">
        <v>2010</v>
      </c>
      <c r="G1896" t="s">
        <v>132</v>
      </c>
      <c r="J1896" t="s">
        <v>133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896"/>
        <v>14:44:28.453</v>
      </c>
      <c r="T1896" t="str">
        <f t="shared" si="897"/>
        <v>14:44:28.153</v>
      </c>
      <c r="U1896" t="str">
        <f t="shared" si="877"/>
        <v>A9808D</v>
      </c>
      <c r="V1896">
        <v>0</v>
      </c>
      <c r="W1896">
        <v>0</v>
      </c>
      <c r="X1896">
        <v>1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0</v>
      </c>
      <c r="AI1896" t="s">
        <v>316</v>
      </c>
      <c r="AJ1896">
        <v>28.269967999999999</v>
      </c>
      <c r="AK1896" t="s">
        <v>497</v>
      </c>
      <c r="AL1896">
        <v>-82.355789999999999</v>
      </c>
      <c r="AM1896">
        <v>100</v>
      </c>
      <c r="AN1896">
        <v>1900</v>
      </c>
      <c r="AO1896" t="s">
        <v>118</v>
      </c>
      <c r="AP1896">
        <v>74</v>
      </c>
      <c r="AQ1896">
        <v>-68</v>
      </c>
      <c r="AR1896">
        <v>320</v>
      </c>
      <c r="AZ1896">
        <v>1200</v>
      </c>
      <c r="BA1896">
        <v>1</v>
      </c>
      <c r="BB1896" t="str">
        <f t="shared" si="890"/>
        <v xml:space="preserve">N711JA  </v>
      </c>
      <c r="BC1896">
        <v>1</v>
      </c>
      <c r="BE1896">
        <v>0</v>
      </c>
      <c r="BF1896">
        <v>0</v>
      </c>
      <c r="BG1896">
        <v>0</v>
      </c>
      <c r="BH1896">
        <v>2000</v>
      </c>
      <c r="BI1896">
        <v>1</v>
      </c>
      <c r="BJ1896">
        <v>1</v>
      </c>
      <c r="BK1896">
        <v>0</v>
      </c>
      <c r="BL1896">
        <v>0</v>
      </c>
      <c r="BO1896">
        <v>0</v>
      </c>
      <c r="BP1896">
        <v>0</v>
      </c>
      <c r="BW1896" t="str">
        <f t="shared" si="898"/>
        <v>14:44:28.457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56</v>
      </c>
      <c r="CR1896">
        <v>2</v>
      </c>
      <c r="CW1896">
        <v>4784091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 t="shared" si="895"/>
        <v>05/12/2020 14:44:10.625</v>
      </c>
      <c r="C1897" t="str">
        <f t="shared" si="889"/>
        <v>FFDFD3C0</v>
      </c>
      <c r="D1897" t="s">
        <v>131</v>
      </c>
      <c r="E1897">
        <v>12</v>
      </c>
      <c r="F1897">
        <v>2012</v>
      </c>
      <c r="G1897" t="s">
        <v>137</v>
      </c>
      <c r="J1897" t="s">
        <v>133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896"/>
        <v>14:44:28.453</v>
      </c>
      <c r="T1897" t="str">
        <f t="shared" si="897"/>
        <v>14:44:28.153</v>
      </c>
      <c r="U1897" t="str">
        <f t="shared" si="877"/>
        <v>A9808D</v>
      </c>
      <c r="V1897">
        <v>0</v>
      </c>
      <c r="W1897">
        <v>0</v>
      </c>
      <c r="X1897">
        <v>1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0</v>
      </c>
      <c r="AI1897" t="s">
        <v>316</v>
      </c>
      <c r="AJ1897">
        <v>28.269967999999999</v>
      </c>
      <c r="AK1897" t="s">
        <v>497</v>
      </c>
      <c r="AL1897">
        <v>-82.355789999999999</v>
      </c>
      <c r="AM1897">
        <v>100</v>
      </c>
      <c r="AN1897">
        <v>1900</v>
      </c>
      <c r="AO1897" t="s">
        <v>118</v>
      </c>
      <c r="AP1897">
        <v>74</v>
      </c>
      <c r="AQ1897">
        <v>-68</v>
      </c>
      <c r="AR1897">
        <v>320</v>
      </c>
      <c r="AZ1897">
        <v>1200</v>
      </c>
      <c r="BA1897">
        <v>1</v>
      </c>
      <c r="BB1897" t="str">
        <f t="shared" si="890"/>
        <v xml:space="preserve">N711JA  </v>
      </c>
      <c r="BC1897">
        <v>1</v>
      </c>
      <c r="BE1897">
        <v>0</v>
      </c>
      <c r="BF1897">
        <v>0</v>
      </c>
      <c r="BG1897">
        <v>0</v>
      </c>
      <c r="BH1897">
        <v>2000</v>
      </c>
      <c r="BI1897">
        <v>1</v>
      </c>
      <c r="BJ1897">
        <v>1</v>
      </c>
      <c r="BK1897">
        <v>0</v>
      </c>
      <c r="BL1897">
        <v>0</v>
      </c>
      <c r="BO1897">
        <v>0</v>
      </c>
      <c r="BP1897">
        <v>0</v>
      </c>
      <c r="BW1897" t="str">
        <f t="shared" si="898"/>
        <v>14:44:28.457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56</v>
      </c>
      <c r="CR1897">
        <v>2</v>
      </c>
      <c r="CW1897">
        <v>4784091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 t="shared" si="895"/>
        <v>05/12/2020 14:44:10.625</v>
      </c>
      <c r="C1898" t="str">
        <f t="shared" si="889"/>
        <v>FFDFD3C0</v>
      </c>
      <c r="D1898" t="s">
        <v>134</v>
      </c>
      <c r="E1898">
        <v>12</v>
      </c>
      <c r="H1898">
        <v>64</v>
      </c>
      <c r="I1898" t="s">
        <v>135</v>
      </c>
      <c r="J1898" t="s">
        <v>136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896"/>
        <v>14:44:28.453</v>
      </c>
      <c r="T1898" t="str">
        <f t="shared" si="897"/>
        <v>14:44:28.153</v>
      </c>
      <c r="U1898" t="str">
        <f t="shared" si="877"/>
        <v>A9808D</v>
      </c>
      <c r="V1898">
        <v>0</v>
      </c>
      <c r="W1898">
        <v>0</v>
      </c>
      <c r="X1898">
        <v>1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0</v>
      </c>
      <c r="AI1898" t="s">
        <v>316</v>
      </c>
      <c r="AJ1898">
        <v>28.269967999999999</v>
      </c>
      <c r="AK1898" t="s">
        <v>497</v>
      </c>
      <c r="AL1898">
        <v>-82.355789999999999</v>
      </c>
      <c r="AM1898">
        <v>100</v>
      </c>
      <c r="AN1898">
        <v>1900</v>
      </c>
      <c r="AO1898" t="s">
        <v>118</v>
      </c>
      <c r="AP1898">
        <v>74</v>
      </c>
      <c r="AQ1898">
        <v>-68</v>
      </c>
      <c r="AR1898">
        <v>320</v>
      </c>
      <c r="AZ1898">
        <v>1200</v>
      </c>
      <c r="BA1898">
        <v>1</v>
      </c>
      <c r="BB1898" t="str">
        <f t="shared" si="890"/>
        <v xml:space="preserve">N711JA  </v>
      </c>
      <c r="BC1898">
        <v>1</v>
      </c>
      <c r="BE1898">
        <v>0</v>
      </c>
      <c r="BF1898">
        <v>0</v>
      </c>
      <c r="BG1898">
        <v>0</v>
      </c>
      <c r="BH1898">
        <v>2000</v>
      </c>
      <c r="BI1898">
        <v>1</v>
      </c>
      <c r="BJ1898">
        <v>1</v>
      </c>
      <c r="BK1898">
        <v>0</v>
      </c>
      <c r="BL1898">
        <v>0</v>
      </c>
      <c r="BO1898">
        <v>0</v>
      </c>
      <c r="BP1898">
        <v>0</v>
      </c>
      <c r="BW1898" t="str">
        <f t="shared" si="898"/>
        <v>14:44:28.457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343</v>
      </c>
      <c r="CR1898">
        <v>2</v>
      </c>
      <c r="CW1898">
        <v>13091340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 t="shared" si="895"/>
        <v>05/12/2020 14:44:10.625</v>
      </c>
      <c r="C1899" t="str">
        <f t="shared" si="889"/>
        <v>FFDFD3C0</v>
      </c>
      <c r="D1899" t="s">
        <v>131</v>
      </c>
      <c r="E1899">
        <v>18</v>
      </c>
      <c r="F1899">
        <v>2018</v>
      </c>
      <c r="G1899" t="s">
        <v>161</v>
      </c>
      <c r="J1899" t="s">
        <v>133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896"/>
        <v>14:44:28.453</v>
      </c>
      <c r="T1899" t="str">
        <f t="shared" si="897"/>
        <v>14:44:28.153</v>
      </c>
      <c r="U1899" t="str">
        <f t="shared" si="877"/>
        <v>A9808D</v>
      </c>
      <c r="V1899">
        <v>0</v>
      </c>
      <c r="W1899">
        <v>0</v>
      </c>
      <c r="X1899">
        <v>1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0</v>
      </c>
      <c r="AI1899" t="s">
        <v>316</v>
      </c>
      <c r="AJ1899">
        <v>28.269967999999999</v>
      </c>
      <c r="AK1899" t="s">
        <v>497</v>
      </c>
      <c r="AL1899">
        <v>-82.355789999999999</v>
      </c>
      <c r="AM1899">
        <v>100</v>
      </c>
      <c r="AN1899">
        <v>1900</v>
      </c>
      <c r="AO1899" t="s">
        <v>118</v>
      </c>
      <c r="AP1899">
        <v>74</v>
      </c>
      <c r="AQ1899">
        <v>-68</v>
      </c>
      <c r="AR1899">
        <v>320</v>
      </c>
      <c r="AZ1899">
        <v>1200</v>
      </c>
      <c r="BA1899">
        <v>1</v>
      </c>
      <c r="BB1899" t="str">
        <f t="shared" si="890"/>
        <v xml:space="preserve">N711JA  </v>
      </c>
      <c r="BC1899">
        <v>1</v>
      </c>
      <c r="BE1899">
        <v>0</v>
      </c>
      <c r="BF1899">
        <v>0</v>
      </c>
      <c r="BG1899">
        <v>0</v>
      </c>
      <c r="BH1899">
        <v>2000</v>
      </c>
      <c r="BI1899">
        <v>1</v>
      </c>
      <c r="BJ1899">
        <v>1</v>
      </c>
      <c r="BK1899">
        <v>0</v>
      </c>
      <c r="BL1899">
        <v>0</v>
      </c>
      <c r="BO1899">
        <v>0</v>
      </c>
      <c r="BP1899">
        <v>0</v>
      </c>
      <c r="BW1899" t="str">
        <f t="shared" si="898"/>
        <v>14:44:28.457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56</v>
      </c>
      <c r="CR1899">
        <v>2</v>
      </c>
      <c r="CW1899">
        <v>4784091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 t="shared" si="895"/>
        <v>05/12/2020 14:44:10.625</v>
      </c>
      <c r="C1900" t="str">
        <f t="shared" si="889"/>
        <v>FFDFD3C0</v>
      </c>
      <c r="D1900" t="s">
        <v>138</v>
      </c>
      <c r="E1900">
        <v>2</v>
      </c>
      <c r="H1900">
        <v>8</v>
      </c>
      <c r="I1900" t="s">
        <v>139</v>
      </c>
      <c r="J1900" t="s">
        <v>136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896"/>
        <v>14:44:28.453</v>
      </c>
      <c r="T1900" t="str">
        <f t="shared" si="897"/>
        <v>14:44:28.153</v>
      </c>
      <c r="U1900" t="str">
        <f t="shared" si="877"/>
        <v>A9808D</v>
      </c>
      <c r="V1900">
        <v>0</v>
      </c>
      <c r="W1900">
        <v>0</v>
      </c>
      <c r="X1900">
        <v>1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0</v>
      </c>
      <c r="AI1900" t="s">
        <v>316</v>
      </c>
      <c r="AJ1900">
        <v>28.269967999999999</v>
      </c>
      <c r="AK1900" t="s">
        <v>497</v>
      </c>
      <c r="AL1900">
        <v>-82.355789999999999</v>
      </c>
      <c r="AM1900">
        <v>100</v>
      </c>
      <c r="AN1900">
        <v>1900</v>
      </c>
      <c r="AO1900" t="s">
        <v>118</v>
      </c>
      <c r="AP1900">
        <v>74</v>
      </c>
      <c r="AQ1900">
        <v>-68</v>
      </c>
      <c r="AR1900">
        <v>320</v>
      </c>
      <c r="AZ1900">
        <v>1200</v>
      </c>
      <c r="BA1900">
        <v>1</v>
      </c>
      <c r="BB1900" t="str">
        <f t="shared" si="890"/>
        <v xml:space="preserve">N711JA  </v>
      </c>
      <c r="BC1900">
        <v>1</v>
      </c>
      <c r="BE1900">
        <v>0</v>
      </c>
      <c r="BF1900">
        <v>0</v>
      </c>
      <c r="BG1900">
        <v>0</v>
      </c>
      <c r="BH1900">
        <v>2000</v>
      </c>
      <c r="BI1900">
        <v>1</v>
      </c>
      <c r="BJ1900">
        <v>1</v>
      </c>
      <c r="BK1900">
        <v>0</v>
      </c>
      <c r="BL1900">
        <v>0</v>
      </c>
      <c r="BO1900">
        <v>0</v>
      </c>
      <c r="BP1900">
        <v>0</v>
      </c>
      <c r="BW1900" t="str">
        <f t="shared" si="898"/>
        <v>14:44:28.457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7</v>
      </c>
      <c r="CP1900" t="s">
        <v>119</v>
      </c>
      <c r="CQ1900">
        <v>56</v>
      </c>
      <c r="CR1900">
        <v>2</v>
      </c>
      <c r="CW1900">
        <v>4784091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 t="shared" si="895"/>
        <v>05/12/2020 14:44:10.625</v>
      </c>
      <c r="C1901" t="str">
        <f t="shared" si="889"/>
        <v>FFDFD3C0</v>
      </c>
      <c r="D1901" t="s">
        <v>138</v>
      </c>
      <c r="E1901">
        <v>3</v>
      </c>
      <c r="H1901">
        <v>9</v>
      </c>
      <c r="I1901" t="s">
        <v>140</v>
      </c>
      <c r="J1901" t="s">
        <v>136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896"/>
        <v>14:44:28.453</v>
      </c>
      <c r="T1901" t="str">
        <f t="shared" si="897"/>
        <v>14:44:28.153</v>
      </c>
      <c r="U1901" t="str">
        <f t="shared" si="877"/>
        <v>A9808D</v>
      </c>
      <c r="V1901">
        <v>0</v>
      </c>
      <c r="W1901">
        <v>0</v>
      </c>
      <c r="X1901">
        <v>1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0</v>
      </c>
      <c r="AI1901" t="s">
        <v>316</v>
      </c>
      <c r="AJ1901">
        <v>28.269967999999999</v>
      </c>
      <c r="AK1901" t="s">
        <v>497</v>
      </c>
      <c r="AL1901">
        <v>-82.355789999999999</v>
      </c>
      <c r="AM1901">
        <v>100</v>
      </c>
      <c r="AN1901">
        <v>1900</v>
      </c>
      <c r="AO1901" t="s">
        <v>118</v>
      </c>
      <c r="AP1901">
        <v>74</v>
      </c>
      <c r="AQ1901">
        <v>-68</v>
      </c>
      <c r="AR1901">
        <v>320</v>
      </c>
      <c r="AZ1901">
        <v>1200</v>
      </c>
      <c r="BA1901">
        <v>1</v>
      </c>
      <c r="BB1901" t="str">
        <f t="shared" si="890"/>
        <v xml:space="preserve">N711JA  </v>
      </c>
      <c r="BC1901">
        <v>1</v>
      </c>
      <c r="BE1901">
        <v>0</v>
      </c>
      <c r="BF1901">
        <v>0</v>
      </c>
      <c r="BG1901">
        <v>0</v>
      </c>
      <c r="BH1901">
        <v>2000</v>
      </c>
      <c r="BI1901">
        <v>1</v>
      </c>
      <c r="BJ1901">
        <v>1</v>
      </c>
      <c r="BK1901">
        <v>0</v>
      </c>
      <c r="BL1901">
        <v>0</v>
      </c>
      <c r="BO1901">
        <v>0</v>
      </c>
      <c r="BP1901">
        <v>0</v>
      </c>
      <c r="BW1901" t="str">
        <f t="shared" si="898"/>
        <v>14:44:28.457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56</v>
      </c>
      <c r="CR1901">
        <v>2</v>
      </c>
      <c r="CW1901">
        <v>4784091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 t="shared" si="895"/>
        <v>05/12/2020 14:44:10.625</v>
      </c>
      <c r="C1902" t="str">
        <f t="shared" si="889"/>
        <v>FFDFD3C0</v>
      </c>
      <c r="D1902" t="s">
        <v>113</v>
      </c>
      <c r="E1902">
        <v>3</v>
      </c>
      <c r="H1902">
        <v>164</v>
      </c>
      <c r="I1902" t="s">
        <v>114</v>
      </c>
      <c r="J1902" t="s">
        <v>115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896"/>
        <v>14:44:28.453</v>
      </c>
      <c r="T1902" t="str">
        <f t="shared" si="897"/>
        <v>14:44:28.153</v>
      </c>
      <c r="U1902" t="str">
        <f t="shared" si="877"/>
        <v>A9808D</v>
      </c>
      <c r="V1902">
        <v>0</v>
      </c>
      <c r="W1902">
        <v>0</v>
      </c>
      <c r="X1902">
        <v>1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0</v>
      </c>
      <c r="AI1902" t="s">
        <v>316</v>
      </c>
      <c r="AJ1902">
        <v>28.269967999999999</v>
      </c>
      <c r="AK1902" t="s">
        <v>497</v>
      </c>
      <c r="AL1902">
        <v>-82.355789999999999</v>
      </c>
      <c r="AM1902">
        <v>100</v>
      </c>
      <c r="AN1902">
        <v>1900</v>
      </c>
      <c r="AO1902" t="s">
        <v>118</v>
      </c>
      <c r="AP1902">
        <v>74</v>
      </c>
      <c r="AQ1902">
        <v>-68</v>
      </c>
      <c r="AR1902">
        <v>320</v>
      </c>
      <c r="AZ1902">
        <v>1200</v>
      </c>
      <c r="BA1902">
        <v>1</v>
      </c>
      <c r="BB1902" t="str">
        <f t="shared" si="890"/>
        <v xml:space="preserve">N711JA  </v>
      </c>
      <c r="BC1902">
        <v>1</v>
      </c>
      <c r="BE1902">
        <v>0</v>
      </c>
      <c r="BF1902">
        <v>0</v>
      </c>
      <c r="BG1902">
        <v>0</v>
      </c>
      <c r="BH1902">
        <v>2000</v>
      </c>
      <c r="BI1902">
        <v>1</v>
      </c>
      <c r="BJ1902">
        <v>1</v>
      </c>
      <c r="BK1902">
        <v>0</v>
      </c>
      <c r="BL1902">
        <v>0</v>
      </c>
      <c r="BO1902">
        <v>0</v>
      </c>
      <c r="BP1902">
        <v>0</v>
      </c>
      <c r="BW1902" t="str">
        <f t="shared" si="898"/>
        <v>14:44:28.457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56</v>
      </c>
      <c r="CR1902">
        <v>2</v>
      </c>
      <c r="CW1902">
        <v>4784091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 t="shared" si="895"/>
        <v>05/12/2020 14:44:10.625</v>
      </c>
      <c r="C1903" t="str">
        <f t="shared" si="889"/>
        <v>FFDFD3C0</v>
      </c>
      <c r="D1903" t="s">
        <v>126</v>
      </c>
      <c r="E1903">
        <v>6</v>
      </c>
      <c r="F1903">
        <v>1006</v>
      </c>
      <c r="G1903" t="s">
        <v>114</v>
      </c>
      <c r="J1903" t="s">
        <v>128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896"/>
        <v>14:44:28.453</v>
      </c>
      <c r="T1903" t="str">
        <f t="shared" si="897"/>
        <v>14:44:28.153</v>
      </c>
      <c r="U1903" t="str">
        <f t="shared" si="877"/>
        <v>A9808D</v>
      </c>
      <c r="V1903">
        <v>0</v>
      </c>
      <c r="W1903">
        <v>0</v>
      </c>
      <c r="X1903">
        <v>1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0</v>
      </c>
      <c r="AI1903" t="s">
        <v>316</v>
      </c>
      <c r="AJ1903">
        <v>28.269967999999999</v>
      </c>
      <c r="AK1903" t="s">
        <v>497</v>
      </c>
      <c r="AL1903">
        <v>-82.355789999999999</v>
      </c>
      <c r="AM1903">
        <v>100</v>
      </c>
      <c r="AN1903">
        <v>1900</v>
      </c>
      <c r="AO1903" t="s">
        <v>118</v>
      </c>
      <c r="AP1903">
        <v>74</v>
      </c>
      <c r="AQ1903">
        <v>-68</v>
      </c>
      <c r="AR1903">
        <v>320</v>
      </c>
      <c r="AZ1903">
        <v>1200</v>
      </c>
      <c r="BA1903">
        <v>1</v>
      </c>
      <c r="BB1903" t="str">
        <f t="shared" si="890"/>
        <v xml:space="preserve">N711JA  </v>
      </c>
      <c r="BC1903">
        <v>1</v>
      </c>
      <c r="BE1903">
        <v>0</v>
      </c>
      <c r="BF1903">
        <v>0</v>
      </c>
      <c r="BG1903">
        <v>0</v>
      </c>
      <c r="BH1903">
        <v>2000</v>
      </c>
      <c r="BI1903">
        <v>1</v>
      </c>
      <c r="BJ1903">
        <v>1</v>
      </c>
      <c r="BK1903">
        <v>0</v>
      </c>
      <c r="BL1903">
        <v>0</v>
      </c>
      <c r="BO1903">
        <v>0</v>
      </c>
      <c r="BP1903">
        <v>0</v>
      </c>
      <c r="BW1903" t="str">
        <f t="shared" si="898"/>
        <v>14:44:28.457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56</v>
      </c>
      <c r="CR1903">
        <v>2</v>
      </c>
      <c r="CW1903">
        <v>4784091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 t="shared" ref="A1904:A1912" si="899">"05/12/2020 14:44:11.483"</f>
        <v>05/12/2020 14:44:11.483</v>
      </c>
      <c r="C1904" t="str">
        <f t="shared" si="889"/>
        <v>FFDFD3C0</v>
      </c>
      <c r="D1904" t="s">
        <v>131</v>
      </c>
      <c r="E1904">
        <v>10</v>
      </c>
      <c r="F1904">
        <v>2010</v>
      </c>
      <c r="G1904" t="s">
        <v>132</v>
      </c>
      <c r="J1904" t="s">
        <v>133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ref="S1904:S1912" si="900">"14:44:29.320"</f>
        <v>14:44:29.320</v>
      </c>
      <c r="T1904" t="str">
        <f t="shared" ref="T1904:T1912" si="901">"14:44:29.120"</f>
        <v>14:44:29.120</v>
      </c>
      <c r="U1904" t="str">
        <f t="shared" si="877"/>
        <v>A9808D</v>
      </c>
      <c r="V1904">
        <v>0</v>
      </c>
      <c r="W1904">
        <v>0</v>
      </c>
      <c r="X1904">
        <v>1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0</v>
      </c>
      <c r="AI1904" t="s">
        <v>498</v>
      </c>
      <c r="AJ1904">
        <v>28.269689</v>
      </c>
      <c r="AK1904" t="s">
        <v>499</v>
      </c>
      <c r="AL1904">
        <v>-82.355468000000002</v>
      </c>
      <c r="AM1904">
        <v>100</v>
      </c>
      <c r="AN1904">
        <v>1900</v>
      </c>
      <c r="AO1904" t="s">
        <v>118</v>
      </c>
      <c r="AP1904">
        <v>75</v>
      </c>
      <c r="AQ1904">
        <v>-68</v>
      </c>
      <c r="AR1904">
        <v>384</v>
      </c>
      <c r="AZ1904">
        <v>1200</v>
      </c>
      <c r="BA1904">
        <v>1</v>
      </c>
      <c r="BB1904" t="str">
        <f t="shared" si="890"/>
        <v xml:space="preserve">N711JA  </v>
      </c>
      <c r="BC1904">
        <v>1</v>
      </c>
      <c r="BE1904">
        <v>0</v>
      </c>
      <c r="BF1904">
        <v>0</v>
      </c>
      <c r="BG1904">
        <v>0</v>
      </c>
      <c r="BH1904">
        <v>2000</v>
      </c>
      <c r="BI1904">
        <v>1</v>
      </c>
      <c r="BJ1904">
        <v>1</v>
      </c>
      <c r="BK1904">
        <v>0</v>
      </c>
      <c r="BL1904">
        <v>0</v>
      </c>
      <c r="BO1904">
        <v>0</v>
      </c>
      <c r="BP1904">
        <v>0</v>
      </c>
      <c r="BW1904" t="str">
        <f t="shared" ref="BW1904:BW1912" si="902">"14:44:29.326"</f>
        <v>14:44:29.326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343</v>
      </c>
      <c r="CR1904">
        <v>1</v>
      </c>
      <c r="CW1904">
        <v>10724786</v>
      </c>
      <c r="CY1904">
        <v>1</v>
      </c>
      <c r="CZ1904">
        <v>0</v>
      </c>
      <c r="DA1904">
        <v>0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si="899"/>
        <v>05/12/2020 14:44:11.483</v>
      </c>
      <c r="C1905" t="str">
        <f t="shared" si="889"/>
        <v>FFDFD3C0</v>
      </c>
      <c r="D1905" t="s">
        <v>131</v>
      </c>
      <c r="E1905">
        <v>12</v>
      </c>
      <c r="F1905">
        <v>2012</v>
      </c>
      <c r="G1905" t="s">
        <v>137</v>
      </c>
      <c r="J1905" t="s">
        <v>133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900"/>
        <v>14:44:29.320</v>
      </c>
      <c r="T1905" t="str">
        <f t="shared" si="901"/>
        <v>14:44:29.120</v>
      </c>
      <c r="U1905" t="str">
        <f t="shared" si="877"/>
        <v>A9808D</v>
      </c>
      <c r="V1905">
        <v>0</v>
      </c>
      <c r="W1905">
        <v>0</v>
      </c>
      <c r="X1905">
        <v>1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0</v>
      </c>
      <c r="AI1905" t="s">
        <v>498</v>
      </c>
      <c r="AJ1905">
        <v>28.269689</v>
      </c>
      <c r="AK1905" t="s">
        <v>499</v>
      </c>
      <c r="AL1905">
        <v>-82.355468000000002</v>
      </c>
      <c r="AM1905">
        <v>100</v>
      </c>
      <c r="AN1905">
        <v>1900</v>
      </c>
      <c r="AO1905" t="s">
        <v>118</v>
      </c>
      <c r="AP1905">
        <v>75</v>
      </c>
      <c r="AQ1905">
        <v>-68</v>
      </c>
      <c r="AR1905">
        <v>384</v>
      </c>
      <c r="AZ1905">
        <v>1200</v>
      </c>
      <c r="BA1905">
        <v>1</v>
      </c>
      <c r="BB1905" t="str">
        <f t="shared" si="890"/>
        <v xml:space="preserve">N711JA  </v>
      </c>
      <c r="BC1905">
        <v>1</v>
      </c>
      <c r="BE1905">
        <v>0</v>
      </c>
      <c r="BF1905">
        <v>0</v>
      </c>
      <c r="BG1905">
        <v>0</v>
      </c>
      <c r="BH1905">
        <v>2000</v>
      </c>
      <c r="BI1905">
        <v>1</v>
      </c>
      <c r="BJ1905">
        <v>1</v>
      </c>
      <c r="BK1905">
        <v>0</v>
      </c>
      <c r="BL1905">
        <v>0</v>
      </c>
      <c r="BO1905">
        <v>0</v>
      </c>
      <c r="BP1905">
        <v>0</v>
      </c>
      <c r="BW1905" t="str">
        <f t="shared" si="902"/>
        <v>14:44:29.326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343</v>
      </c>
      <c r="CR1905">
        <v>1</v>
      </c>
      <c r="CW1905">
        <v>10724786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899"/>
        <v>05/12/2020 14:44:11.483</v>
      </c>
      <c r="C1906" t="str">
        <f t="shared" si="889"/>
        <v>FFDFD3C0</v>
      </c>
      <c r="D1906" t="s">
        <v>131</v>
      </c>
      <c r="E1906">
        <v>18</v>
      </c>
      <c r="F1906">
        <v>2018</v>
      </c>
      <c r="G1906" t="s">
        <v>161</v>
      </c>
      <c r="J1906" t="s">
        <v>133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900"/>
        <v>14:44:29.320</v>
      </c>
      <c r="T1906" t="str">
        <f t="shared" si="901"/>
        <v>14:44:29.120</v>
      </c>
      <c r="U1906" t="str">
        <f t="shared" si="877"/>
        <v>A9808D</v>
      </c>
      <c r="V1906">
        <v>0</v>
      </c>
      <c r="W1906">
        <v>0</v>
      </c>
      <c r="X1906">
        <v>1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0</v>
      </c>
      <c r="AI1906" t="s">
        <v>498</v>
      </c>
      <c r="AJ1906">
        <v>28.269689</v>
      </c>
      <c r="AK1906" t="s">
        <v>499</v>
      </c>
      <c r="AL1906">
        <v>-82.355468000000002</v>
      </c>
      <c r="AM1906">
        <v>100</v>
      </c>
      <c r="AN1906">
        <v>1900</v>
      </c>
      <c r="AO1906" t="s">
        <v>118</v>
      </c>
      <c r="AP1906">
        <v>75</v>
      </c>
      <c r="AQ1906">
        <v>-68</v>
      </c>
      <c r="AR1906">
        <v>384</v>
      </c>
      <c r="AZ1906">
        <v>1200</v>
      </c>
      <c r="BA1906">
        <v>1</v>
      </c>
      <c r="BB1906" t="str">
        <f t="shared" si="890"/>
        <v xml:space="preserve">N711JA  </v>
      </c>
      <c r="BC1906">
        <v>1</v>
      </c>
      <c r="BE1906">
        <v>0</v>
      </c>
      <c r="BF1906">
        <v>0</v>
      </c>
      <c r="BG1906">
        <v>0</v>
      </c>
      <c r="BH1906">
        <v>2000</v>
      </c>
      <c r="BI1906">
        <v>1</v>
      </c>
      <c r="BJ1906">
        <v>1</v>
      </c>
      <c r="BK1906">
        <v>0</v>
      </c>
      <c r="BL1906">
        <v>0</v>
      </c>
      <c r="BO1906">
        <v>0</v>
      </c>
      <c r="BP1906">
        <v>0</v>
      </c>
      <c r="BW1906" t="str">
        <f t="shared" si="902"/>
        <v>14:44:29.326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343</v>
      </c>
      <c r="CR1906">
        <v>1</v>
      </c>
      <c r="CW1906">
        <v>10724786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 t="shared" si="899"/>
        <v>05/12/2020 14:44:11.483</v>
      </c>
      <c r="C1907" t="str">
        <f t="shared" si="889"/>
        <v>FFDFD3C0</v>
      </c>
      <c r="D1907" t="s">
        <v>134</v>
      </c>
      <c r="E1907">
        <v>12</v>
      </c>
      <c r="H1907">
        <v>64</v>
      </c>
      <c r="I1907" t="s">
        <v>135</v>
      </c>
      <c r="J1907" t="s">
        <v>136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900"/>
        <v>14:44:29.320</v>
      </c>
      <c r="T1907" t="str">
        <f t="shared" si="901"/>
        <v>14:44:29.120</v>
      </c>
      <c r="U1907" t="str">
        <f t="shared" si="877"/>
        <v>A9808D</v>
      </c>
      <c r="V1907">
        <v>0</v>
      </c>
      <c r="W1907">
        <v>0</v>
      </c>
      <c r="X1907">
        <v>1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0</v>
      </c>
      <c r="AI1907" t="s">
        <v>498</v>
      </c>
      <c r="AJ1907">
        <v>28.269689</v>
      </c>
      <c r="AK1907" t="s">
        <v>499</v>
      </c>
      <c r="AL1907">
        <v>-82.355468000000002</v>
      </c>
      <c r="AM1907">
        <v>100</v>
      </c>
      <c r="AN1907">
        <v>1900</v>
      </c>
      <c r="AO1907" t="s">
        <v>118</v>
      </c>
      <c r="AP1907">
        <v>75</v>
      </c>
      <c r="AQ1907">
        <v>-68</v>
      </c>
      <c r="AR1907">
        <v>384</v>
      </c>
      <c r="AZ1907">
        <v>1200</v>
      </c>
      <c r="BA1907">
        <v>1</v>
      </c>
      <c r="BB1907" t="str">
        <f t="shared" si="890"/>
        <v xml:space="preserve">N711JA  </v>
      </c>
      <c r="BC1907">
        <v>1</v>
      </c>
      <c r="BE1907">
        <v>0</v>
      </c>
      <c r="BF1907">
        <v>0</v>
      </c>
      <c r="BG1907">
        <v>0</v>
      </c>
      <c r="BH1907">
        <v>2000</v>
      </c>
      <c r="BI1907">
        <v>1</v>
      </c>
      <c r="BJ1907">
        <v>1</v>
      </c>
      <c r="BK1907">
        <v>0</v>
      </c>
      <c r="BL1907">
        <v>0</v>
      </c>
      <c r="BO1907">
        <v>0</v>
      </c>
      <c r="BP1907">
        <v>0</v>
      </c>
      <c r="BW1907" t="str">
        <f t="shared" si="902"/>
        <v>14:44:29.326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343</v>
      </c>
      <c r="CR1907">
        <v>1</v>
      </c>
      <c r="CW1907">
        <v>10724786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 t="shared" si="899"/>
        <v>05/12/2020 14:44:11.483</v>
      </c>
      <c r="C1908" t="str">
        <f t="shared" si="889"/>
        <v>FFDFD3C0</v>
      </c>
      <c r="D1908" t="s">
        <v>138</v>
      </c>
      <c r="E1908">
        <v>2</v>
      </c>
      <c r="H1908">
        <v>8</v>
      </c>
      <c r="I1908" t="s">
        <v>139</v>
      </c>
      <c r="J1908" t="s">
        <v>136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900"/>
        <v>14:44:29.320</v>
      </c>
      <c r="T1908" t="str">
        <f t="shared" si="901"/>
        <v>14:44:29.120</v>
      </c>
      <c r="U1908" t="str">
        <f t="shared" si="877"/>
        <v>A9808D</v>
      </c>
      <c r="V1908">
        <v>0</v>
      </c>
      <c r="W1908">
        <v>0</v>
      </c>
      <c r="X1908">
        <v>1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0</v>
      </c>
      <c r="AI1908" t="s">
        <v>498</v>
      </c>
      <c r="AJ1908">
        <v>28.269689</v>
      </c>
      <c r="AK1908" t="s">
        <v>499</v>
      </c>
      <c r="AL1908">
        <v>-82.355468000000002</v>
      </c>
      <c r="AM1908">
        <v>100</v>
      </c>
      <c r="AN1908">
        <v>1900</v>
      </c>
      <c r="AO1908" t="s">
        <v>118</v>
      </c>
      <c r="AP1908">
        <v>75</v>
      </c>
      <c r="AQ1908">
        <v>-68</v>
      </c>
      <c r="AR1908">
        <v>384</v>
      </c>
      <c r="AZ1908">
        <v>1200</v>
      </c>
      <c r="BA1908">
        <v>1</v>
      </c>
      <c r="BB1908" t="str">
        <f t="shared" si="890"/>
        <v xml:space="preserve">N711JA  </v>
      </c>
      <c r="BC1908">
        <v>1</v>
      </c>
      <c r="BE1908">
        <v>0</v>
      </c>
      <c r="BF1908">
        <v>0</v>
      </c>
      <c r="BG1908">
        <v>0</v>
      </c>
      <c r="BH1908">
        <v>2000</v>
      </c>
      <c r="BI1908">
        <v>1</v>
      </c>
      <c r="BJ1908">
        <v>1</v>
      </c>
      <c r="BK1908">
        <v>0</v>
      </c>
      <c r="BL1908">
        <v>0</v>
      </c>
      <c r="BO1908">
        <v>0</v>
      </c>
      <c r="BP1908">
        <v>0</v>
      </c>
      <c r="BW1908" t="str">
        <f t="shared" si="902"/>
        <v>14:44:29.326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343</v>
      </c>
      <c r="CR1908">
        <v>1</v>
      </c>
      <c r="CW1908">
        <v>10724786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 t="shared" si="899"/>
        <v>05/12/2020 14:44:11.483</v>
      </c>
      <c r="C1909" t="str">
        <f t="shared" si="889"/>
        <v>FFDFD3C0</v>
      </c>
      <c r="D1909" t="s">
        <v>138</v>
      </c>
      <c r="E1909">
        <v>3</v>
      </c>
      <c r="H1909">
        <v>9</v>
      </c>
      <c r="I1909" t="s">
        <v>140</v>
      </c>
      <c r="J1909" t="s">
        <v>136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900"/>
        <v>14:44:29.320</v>
      </c>
      <c r="T1909" t="str">
        <f t="shared" si="901"/>
        <v>14:44:29.120</v>
      </c>
      <c r="U1909" t="str">
        <f t="shared" si="877"/>
        <v>A9808D</v>
      </c>
      <c r="V1909">
        <v>0</v>
      </c>
      <c r="W1909">
        <v>0</v>
      </c>
      <c r="X1909">
        <v>1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0</v>
      </c>
      <c r="AI1909" t="s">
        <v>498</v>
      </c>
      <c r="AJ1909">
        <v>28.269689</v>
      </c>
      <c r="AK1909" t="s">
        <v>499</v>
      </c>
      <c r="AL1909">
        <v>-82.355468000000002</v>
      </c>
      <c r="AM1909">
        <v>100</v>
      </c>
      <c r="AN1909">
        <v>1900</v>
      </c>
      <c r="AO1909" t="s">
        <v>118</v>
      </c>
      <c r="AP1909">
        <v>75</v>
      </c>
      <c r="AQ1909">
        <v>-68</v>
      </c>
      <c r="AR1909">
        <v>384</v>
      </c>
      <c r="AZ1909">
        <v>1200</v>
      </c>
      <c r="BA1909">
        <v>1</v>
      </c>
      <c r="BB1909" t="str">
        <f t="shared" si="890"/>
        <v xml:space="preserve">N711JA  </v>
      </c>
      <c r="BC1909">
        <v>1</v>
      </c>
      <c r="BE1909">
        <v>0</v>
      </c>
      <c r="BF1909">
        <v>0</v>
      </c>
      <c r="BG1909">
        <v>0</v>
      </c>
      <c r="BH1909">
        <v>2000</v>
      </c>
      <c r="BI1909">
        <v>1</v>
      </c>
      <c r="BJ1909">
        <v>1</v>
      </c>
      <c r="BK1909">
        <v>0</v>
      </c>
      <c r="BL1909">
        <v>0</v>
      </c>
      <c r="BO1909">
        <v>0</v>
      </c>
      <c r="BP1909">
        <v>0</v>
      </c>
      <c r="BW1909" t="str">
        <f t="shared" si="902"/>
        <v>14:44:29.326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343</v>
      </c>
      <c r="CR1909">
        <v>1</v>
      </c>
      <c r="CW1909">
        <v>10724786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 t="shared" si="899"/>
        <v>05/12/2020 14:44:11.483</v>
      </c>
      <c r="C1910" t="str">
        <f t="shared" si="889"/>
        <v>FFDFD3C0</v>
      </c>
      <c r="D1910" t="s">
        <v>113</v>
      </c>
      <c r="E1910">
        <v>3</v>
      </c>
      <c r="H1910">
        <v>164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900"/>
        <v>14:44:29.320</v>
      </c>
      <c r="T1910" t="str">
        <f t="shared" si="901"/>
        <v>14:44:29.120</v>
      </c>
      <c r="U1910" t="str">
        <f t="shared" si="877"/>
        <v>A9808D</v>
      </c>
      <c r="V1910">
        <v>0</v>
      </c>
      <c r="W1910">
        <v>0</v>
      </c>
      <c r="X1910">
        <v>1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0</v>
      </c>
      <c r="AI1910" t="s">
        <v>498</v>
      </c>
      <c r="AJ1910">
        <v>28.269689</v>
      </c>
      <c r="AK1910" t="s">
        <v>499</v>
      </c>
      <c r="AL1910">
        <v>-82.355468000000002</v>
      </c>
      <c r="AM1910">
        <v>100</v>
      </c>
      <c r="AN1910">
        <v>1900</v>
      </c>
      <c r="AO1910" t="s">
        <v>118</v>
      </c>
      <c r="AP1910">
        <v>75</v>
      </c>
      <c r="AQ1910">
        <v>-68</v>
      </c>
      <c r="AR1910">
        <v>384</v>
      </c>
      <c r="AZ1910">
        <v>1200</v>
      </c>
      <c r="BA1910">
        <v>1</v>
      </c>
      <c r="BB1910" t="str">
        <f t="shared" si="890"/>
        <v xml:space="preserve">N711JA  </v>
      </c>
      <c r="BC1910">
        <v>1</v>
      </c>
      <c r="BE1910">
        <v>0</v>
      </c>
      <c r="BF1910">
        <v>0</v>
      </c>
      <c r="BG1910">
        <v>0</v>
      </c>
      <c r="BH1910">
        <v>2000</v>
      </c>
      <c r="BI1910">
        <v>1</v>
      </c>
      <c r="BJ1910">
        <v>1</v>
      </c>
      <c r="BK1910">
        <v>0</v>
      </c>
      <c r="BL1910">
        <v>0</v>
      </c>
      <c r="BO1910">
        <v>0</v>
      </c>
      <c r="BP1910">
        <v>0</v>
      </c>
      <c r="BW1910" t="str">
        <f t="shared" si="902"/>
        <v>14:44:29.326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343</v>
      </c>
      <c r="CR1910">
        <v>1</v>
      </c>
      <c r="CW1910">
        <v>10724786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 t="shared" si="899"/>
        <v>05/12/2020 14:44:11.483</v>
      </c>
      <c r="C1911" t="str">
        <f t="shared" si="889"/>
        <v>FFDFD3C0</v>
      </c>
      <c r="D1911" t="s">
        <v>126</v>
      </c>
      <c r="E1911">
        <v>6</v>
      </c>
      <c r="F1911">
        <v>1006</v>
      </c>
      <c r="G1911" t="s">
        <v>114</v>
      </c>
      <c r="J1911" t="s">
        <v>128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900"/>
        <v>14:44:29.320</v>
      </c>
      <c r="T1911" t="str">
        <f t="shared" si="901"/>
        <v>14:44:29.120</v>
      </c>
      <c r="U1911" t="str">
        <f t="shared" si="877"/>
        <v>A9808D</v>
      </c>
      <c r="V1911">
        <v>0</v>
      </c>
      <c r="W1911">
        <v>0</v>
      </c>
      <c r="X1911">
        <v>1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0</v>
      </c>
      <c r="AI1911" t="s">
        <v>498</v>
      </c>
      <c r="AJ1911">
        <v>28.269689</v>
      </c>
      <c r="AK1911" t="s">
        <v>499</v>
      </c>
      <c r="AL1911">
        <v>-82.355468000000002</v>
      </c>
      <c r="AM1911">
        <v>100</v>
      </c>
      <c r="AN1911">
        <v>1900</v>
      </c>
      <c r="AO1911" t="s">
        <v>118</v>
      </c>
      <c r="AP1911">
        <v>75</v>
      </c>
      <c r="AQ1911">
        <v>-68</v>
      </c>
      <c r="AR1911">
        <v>384</v>
      </c>
      <c r="AZ1911">
        <v>1200</v>
      </c>
      <c r="BA1911">
        <v>1</v>
      </c>
      <c r="BB1911" t="str">
        <f t="shared" si="890"/>
        <v xml:space="preserve">N711JA  </v>
      </c>
      <c r="BC1911">
        <v>1</v>
      </c>
      <c r="BE1911">
        <v>0</v>
      </c>
      <c r="BF1911">
        <v>0</v>
      </c>
      <c r="BG1911">
        <v>0</v>
      </c>
      <c r="BH1911">
        <v>2000</v>
      </c>
      <c r="BI1911">
        <v>1</v>
      </c>
      <c r="BJ1911">
        <v>1</v>
      </c>
      <c r="BK1911">
        <v>0</v>
      </c>
      <c r="BL1911">
        <v>0</v>
      </c>
      <c r="BO1911">
        <v>0</v>
      </c>
      <c r="BP1911">
        <v>0</v>
      </c>
      <c r="BW1911" t="str">
        <f t="shared" si="902"/>
        <v>14:44:29.326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343</v>
      </c>
      <c r="CR1911">
        <v>1</v>
      </c>
      <c r="CW1911">
        <v>10724786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 t="shared" si="899"/>
        <v>05/12/2020 14:44:11.483</v>
      </c>
      <c r="C1912" t="str">
        <f t="shared" si="889"/>
        <v>FFDFD3C0</v>
      </c>
      <c r="D1912" t="s">
        <v>126</v>
      </c>
      <c r="E1912">
        <v>7</v>
      </c>
      <c r="F1912">
        <v>1007</v>
      </c>
      <c r="G1912" t="s">
        <v>127</v>
      </c>
      <c r="J1912" t="s">
        <v>128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900"/>
        <v>14:44:29.320</v>
      </c>
      <c r="T1912" t="str">
        <f t="shared" si="901"/>
        <v>14:44:29.120</v>
      </c>
      <c r="U1912" t="str">
        <f t="shared" si="877"/>
        <v>A9808D</v>
      </c>
      <c r="V1912">
        <v>0</v>
      </c>
      <c r="W1912">
        <v>0</v>
      </c>
      <c r="X1912">
        <v>1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0</v>
      </c>
      <c r="AI1912" t="s">
        <v>498</v>
      </c>
      <c r="AJ1912">
        <v>28.269689</v>
      </c>
      <c r="AK1912" t="s">
        <v>499</v>
      </c>
      <c r="AL1912">
        <v>-82.355468000000002</v>
      </c>
      <c r="AM1912">
        <v>100</v>
      </c>
      <c r="AN1912">
        <v>1900</v>
      </c>
      <c r="AO1912" t="s">
        <v>118</v>
      </c>
      <c r="AP1912">
        <v>75</v>
      </c>
      <c r="AQ1912">
        <v>-68</v>
      </c>
      <c r="AR1912">
        <v>384</v>
      </c>
      <c r="AZ1912">
        <v>1200</v>
      </c>
      <c r="BA1912">
        <v>1</v>
      </c>
      <c r="BB1912" t="str">
        <f t="shared" si="890"/>
        <v xml:space="preserve">N711JA  </v>
      </c>
      <c r="BC1912">
        <v>1</v>
      </c>
      <c r="BE1912">
        <v>0</v>
      </c>
      <c r="BF1912">
        <v>0</v>
      </c>
      <c r="BG1912">
        <v>0</v>
      </c>
      <c r="BH1912">
        <v>2000</v>
      </c>
      <c r="BI1912">
        <v>1</v>
      </c>
      <c r="BJ1912">
        <v>1</v>
      </c>
      <c r="BK1912">
        <v>0</v>
      </c>
      <c r="BL1912">
        <v>0</v>
      </c>
      <c r="BO1912">
        <v>0</v>
      </c>
      <c r="BP1912">
        <v>0</v>
      </c>
      <c r="BW1912" t="str">
        <f t="shared" si="902"/>
        <v>14:44:29.326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343</v>
      </c>
      <c r="CR1912">
        <v>1</v>
      </c>
      <c r="CW1912">
        <v>10724786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 t="shared" ref="A1913:A1921" si="903">"05/12/2020 14:44:12.421"</f>
        <v>05/12/2020 14:44:12.421</v>
      </c>
      <c r="C1913" t="str">
        <f t="shared" si="889"/>
        <v>FFDFD3C0</v>
      </c>
      <c r="D1913" t="s">
        <v>113</v>
      </c>
      <c r="E1913">
        <v>3</v>
      </c>
      <c r="H1913">
        <v>164</v>
      </c>
      <c r="I1913" t="s">
        <v>114</v>
      </c>
      <c r="J1913" t="s">
        <v>115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ref="S1913:S1921" si="904">"14:44:30.250"</f>
        <v>14:44:30.250</v>
      </c>
      <c r="T1913" t="str">
        <f t="shared" ref="T1913:T1921" si="905">"14:44:30.150"</f>
        <v>14:44:30.150</v>
      </c>
      <c r="U1913" t="str">
        <f t="shared" si="877"/>
        <v>A9808D</v>
      </c>
      <c r="V1913">
        <v>0</v>
      </c>
      <c r="W1913">
        <v>0</v>
      </c>
      <c r="X1913">
        <v>1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0</v>
      </c>
      <c r="AI1913" t="s">
        <v>500</v>
      </c>
      <c r="AJ1913">
        <v>28.269431999999998</v>
      </c>
      <c r="AK1913" t="s">
        <v>501</v>
      </c>
      <c r="AL1913">
        <v>-82.355103</v>
      </c>
      <c r="AM1913">
        <v>100</v>
      </c>
      <c r="AN1913">
        <v>1900</v>
      </c>
      <c r="AO1913" t="s">
        <v>118</v>
      </c>
      <c r="AP1913">
        <v>76</v>
      </c>
      <c r="AQ1913">
        <v>-67</v>
      </c>
      <c r="AR1913">
        <v>448</v>
      </c>
      <c r="AZ1913">
        <v>1200</v>
      </c>
      <c r="BA1913">
        <v>1</v>
      </c>
      <c r="BB1913" t="str">
        <f t="shared" si="890"/>
        <v xml:space="preserve">N711JA  </v>
      </c>
      <c r="BC1913">
        <v>1</v>
      </c>
      <c r="BE1913">
        <v>0</v>
      </c>
      <c r="BF1913">
        <v>0</v>
      </c>
      <c r="BG1913">
        <v>0</v>
      </c>
      <c r="BH1913">
        <v>2025</v>
      </c>
      <c r="BI1913">
        <v>1</v>
      </c>
      <c r="BJ1913">
        <v>1</v>
      </c>
      <c r="BK1913">
        <v>0</v>
      </c>
      <c r="BL1913">
        <v>0</v>
      </c>
      <c r="BO1913">
        <v>0</v>
      </c>
      <c r="BP1913">
        <v>0</v>
      </c>
      <c r="BW1913" t="str">
        <f t="shared" ref="BW1913:BW1921" si="906">"14:44:30.256"</f>
        <v>14:44:30.256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343</v>
      </c>
      <c r="CR1913">
        <v>1</v>
      </c>
      <c r="CW1913">
        <v>10725727</v>
      </c>
      <c r="CY1913">
        <v>1</v>
      </c>
      <c r="CZ1913">
        <v>0</v>
      </c>
      <c r="DA1913">
        <v>0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 t="shared" si="903"/>
        <v>05/12/2020 14:44:12.421</v>
      </c>
      <c r="C1914" t="str">
        <f t="shared" si="889"/>
        <v>FFDFD3C0</v>
      </c>
      <c r="D1914" t="s">
        <v>126</v>
      </c>
      <c r="E1914">
        <v>6</v>
      </c>
      <c r="F1914">
        <v>1006</v>
      </c>
      <c r="G1914" t="s">
        <v>114</v>
      </c>
      <c r="J1914" t="s">
        <v>128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904"/>
        <v>14:44:30.250</v>
      </c>
      <c r="T1914" t="str">
        <f t="shared" si="905"/>
        <v>14:44:30.150</v>
      </c>
      <c r="U1914" t="str">
        <f t="shared" si="877"/>
        <v>A9808D</v>
      </c>
      <c r="V1914">
        <v>0</v>
      </c>
      <c r="W1914">
        <v>0</v>
      </c>
      <c r="X1914">
        <v>1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0</v>
      </c>
      <c r="AI1914" t="s">
        <v>500</v>
      </c>
      <c r="AJ1914">
        <v>28.269431999999998</v>
      </c>
      <c r="AK1914" t="s">
        <v>501</v>
      </c>
      <c r="AL1914">
        <v>-82.355103</v>
      </c>
      <c r="AM1914">
        <v>100</v>
      </c>
      <c r="AN1914">
        <v>1900</v>
      </c>
      <c r="AO1914" t="s">
        <v>118</v>
      </c>
      <c r="AP1914">
        <v>76</v>
      </c>
      <c r="AQ1914">
        <v>-67</v>
      </c>
      <c r="AR1914">
        <v>448</v>
      </c>
      <c r="AZ1914">
        <v>1200</v>
      </c>
      <c r="BA1914">
        <v>1</v>
      </c>
      <c r="BB1914" t="str">
        <f t="shared" si="890"/>
        <v xml:space="preserve">N711JA  </v>
      </c>
      <c r="BC1914">
        <v>1</v>
      </c>
      <c r="BE1914">
        <v>0</v>
      </c>
      <c r="BF1914">
        <v>0</v>
      </c>
      <c r="BG1914">
        <v>0</v>
      </c>
      <c r="BH1914">
        <v>2025</v>
      </c>
      <c r="BI1914">
        <v>1</v>
      </c>
      <c r="BJ1914">
        <v>1</v>
      </c>
      <c r="BK1914">
        <v>0</v>
      </c>
      <c r="BL1914">
        <v>0</v>
      </c>
      <c r="BO1914">
        <v>0</v>
      </c>
      <c r="BP1914">
        <v>0</v>
      </c>
      <c r="BW1914" t="str">
        <f t="shared" si="906"/>
        <v>14:44:30.256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343</v>
      </c>
      <c r="CR1914">
        <v>1</v>
      </c>
      <c r="CW1914">
        <v>10725727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 t="shared" si="903"/>
        <v>05/12/2020 14:44:12.421</v>
      </c>
      <c r="C1915" t="str">
        <f t="shared" si="889"/>
        <v>FFDFD3C0</v>
      </c>
      <c r="D1915" t="s">
        <v>126</v>
      </c>
      <c r="E1915">
        <v>7</v>
      </c>
      <c r="F1915">
        <v>1007</v>
      </c>
      <c r="G1915" t="s">
        <v>127</v>
      </c>
      <c r="J1915" t="s">
        <v>128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904"/>
        <v>14:44:30.250</v>
      </c>
      <c r="T1915" t="str">
        <f t="shared" si="905"/>
        <v>14:44:30.150</v>
      </c>
      <c r="U1915" t="str">
        <f t="shared" si="877"/>
        <v>A9808D</v>
      </c>
      <c r="V1915">
        <v>0</v>
      </c>
      <c r="W1915">
        <v>0</v>
      </c>
      <c r="X1915">
        <v>1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0</v>
      </c>
      <c r="AI1915" t="s">
        <v>500</v>
      </c>
      <c r="AJ1915">
        <v>28.269431999999998</v>
      </c>
      <c r="AK1915" t="s">
        <v>501</v>
      </c>
      <c r="AL1915">
        <v>-82.355103</v>
      </c>
      <c r="AM1915">
        <v>100</v>
      </c>
      <c r="AN1915">
        <v>1900</v>
      </c>
      <c r="AO1915" t="s">
        <v>118</v>
      </c>
      <c r="AP1915">
        <v>76</v>
      </c>
      <c r="AQ1915">
        <v>-67</v>
      </c>
      <c r="AR1915">
        <v>448</v>
      </c>
      <c r="AZ1915">
        <v>1200</v>
      </c>
      <c r="BA1915">
        <v>1</v>
      </c>
      <c r="BB1915" t="str">
        <f t="shared" si="890"/>
        <v xml:space="preserve">N711JA  </v>
      </c>
      <c r="BC1915">
        <v>1</v>
      </c>
      <c r="BE1915">
        <v>0</v>
      </c>
      <c r="BF1915">
        <v>0</v>
      </c>
      <c r="BG1915">
        <v>0</v>
      </c>
      <c r="BH1915">
        <v>2025</v>
      </c>
      <c r="BI1915">
        <v>1</v>
      </c>
      <c r="BJ1915">
        <v>1</v>
      </c>
      <c r="BK1915">
        <v>0</v>
      </c>
      <c r="BL1915">
        <v>0</v>
      </c>
      <c r="BO1915">
        <v>0</v>
      </c>
      <c r="BP1915">
        <v>0</v>
      </c>
      <c r="BW1915" t="str">
        <f t="shared" si="906"/>
        <v>14:44:30.256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343</v>
      </c>
      <c r="CR1915">
        <v>1</v>
      </c>
      <c r="CW1915">
        <v>10725727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 t="shared" si="903"/>
        <v>05/12/2020 14:44:12.421</v>
      </c>
      <c r="C1916" t="str">
        <f t="shared" si="889"/>
        <v>FFDFD3C0</v>
      </c>
      <c r="D1916" t="s">
        <v>131</v>
      </c>
      <c r="E1916">
        <v>10</v>
      </c>
      <c r="F1916">
        <v>2010</v>
      </c>
      <c r="G1916" t="s">
        <v>132</v>
      </c>
      <c r="J1916" t="s">
        <v>133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904"/>
        <v>14:44:30.250</v>
      </c>
      <c r="T1916" t="str">
        <f t="shared" si="905"/>
        <v>14:44:30.150</v>
      </c>
      <c r="U1916" t="str">
        <f t="shared" si="877"/>
        <v>A9808D</v>
      </c>
      <c r="V1916">
        <v>0</v>
      </c>
      <c r="W1916">
        <v>0</v>
      </c>
      <c r="X1916">
        <v>1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0</v>
      </c>
      <c r="AI1916" t="s">
        <v>500</v>
      </c>
      <c r="AJ1916">
        <v>28.269431999999998</v>
      </c>
      <c r="AK1916" t="s">
        <v>501</v>
      </c>
      <c r="AL1916">
        <v>-82.355103</v>
      </c>
      <c r="AM1916">
        <v>100</v>
      </c>
      <c r="AN1916">
        <v>1900</v>
      </c>
      <c r="AO1916" t="s">
        <v>118</v>
      </c>
      <c r="AP1916">
        <v>76</v>
      </c>
      <c r="AQ1916">
        <v>-67</v>
      </c>
      <c r="AR1916">
        <v>448</v>
      </c>
      <c r="AZ1916">
        <v>1200</v>
      </c>
      <c r="BA1916">
        <v>1</v>
      </c>
      <c r="BB1916" t="str">
        <f t="shared" si="890"/>
        <v xml:space="preserve">N711JA  </v>
      </c>
      <c r="BC1916">
        <v>1</v>
      </c>
      <c r="BE1916">
        <v>0</v>
      </c>
      <c r="BF1916">
        <v>0</v>
      </c>
      <c r="BG1916">
        <v>0</v>
      </c>
      <c r="BH1916">
        <v>2025</v>
      </c>
      <c r="BI1916">
        <v>1</v>
      </c>
      <c r="BJ1916">
        <v>1</v>
      </c>
      <c r="BK1916">
        <v>0</v>
      </c>
      <c r="BL1916">
        <v>0</v>
      </c>
      <c r="BO1916">
        <v>0</v>
      </c>
      <c r="BP1916">
        <v>0</v>
      </c>
      <c r="BW1916" t="str">
        <f t="shared" si="906"/>
        <v>14:44:30.256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343</v>
      </c>
      <c r="CR1916">
        <v>1</v>
      </c>
      <c r="CW1916">
        <v>10725727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 t="shared" si="903"/>
        <v>05/12/2020 14:44:12.421</v>
      </c>
      <c r="C1917" t="str">
        <f t="shared" si="889"/>
        <v>FFDFD3C0</v>
      </c>
      <c r="D1917" t="s">
        <v>131</v>
      </c>
      <c r="E1917">
        <v>12</v>
      </c>
      <c r="F1917">
        <v>2012</v>
      </c>
      <c r="G1917" t="s">
        <v>137</v>
      </c>
      <c r="J1917" t="s">
        <v>133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904"/>
        <v>14:44:30.250</v>
      </c>
      <c r="T1917" t="str">
        <f t="shared" si="905"/>
        <v>14:44:30.150</v>
      </c>
      <c r="U1917" t="str">
        <f t="shared" si="877"/>
        <v>A9808D</v>
      </c>
      <c r="V1917">
        <v>0</v>
      </c>
      <c r="W1917">
        <v>0</v>
      </c>
      <c r="X1917">
        <v>1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0</v>
      </c>
      <c r="AI1917" t="s">
        <v>500</v>
      </c>
      <c r="AJ1917">
        <v>28.269431999999998</v>
      </c>
      <c r="AK1917" t="s">
        <v>501</v>
      </c>
      <c r="AL1917">
        <v>-82.355103</v>
      </c>
      <c r="AM1917">
        <v>100</v>
      </c>
      <c r="AN1917">
        <v>1900</v>
      </c>
      <c r="AO1917" t="s">
        <v>118</v>
      </c>
      <c r="AP1917">
        <v>76</v>
      </c>
      <c r="AQ1917">
        <v>-67</v>
      </c>
      <c r="AR1917">
        <v>448</v>
      </c>
      <c r="AZ1917">
        <v>1200</v>
      </c>
      <c r="BA1917">
        <v>1</v>
      </c>
      <c r="BB1917" t="str">
        <f t="shared" si="890"/>
        <v xml:space="preserve">N711JA  </v>
      </c>
      <c r="BC1917">
        <v>1</v>
      </c>
      <c r="BE1917">
        <v>0</v>
      </c>
      <c r="BF1917">
        <v>0</v>
      </c>
      <c r="BG1917">
        <v>0</v>
      </c>
      <c r="BH1917">
        <v>2025</v>
      </c>
      <c r="BI1917">
        <v>1</v>
      </c>
      <c r="BJ1917">
        <v>1</v>
      </c>
      <c r="BK1917">
        <v>0</v>
      </c>
      <c r="BL1917">
        <v>0</v>
      </c>
      <c r="BO1917">
        <v>0</v>
      </c>
      <c r="BP1917">
        <v>0</v>
      </c>
      <c r="BW1917" t="str">
        <f t="shared" si="906"/>
        <v>14:44:30.256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343</v>
      </c>
      <c r="CR1917">
        <v>1</v>
      </c>
      <c r="CW1917">
        <v>10725727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 t="shared" si="903"/>
        <v>05/12/2020 14:44:12.421</v>
      </c>
      <c r="C1918" t="str">
        <f t="shared" si="889"/>
        <v>FFDFD3C0</v>
      </c>
      <c r="D1918" t="s">
        <v>131</v>
      </c>
      <c r="E1918">
        <v>18</v>
      </c>
      <c r="F1918">
        <v>2018</v>
      </c>
      <c r="G1918" t="s">
        <v>161</v>
      </c>
      <c r="J1918" t="s">
        <v>133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904"/>
        <v>14:44:30.250</v>
      </c>
      <c r="T1918" t="str">
        <f t="shared" si="905"/>
        <v>14:44:30.150</v>
      </c>
      <c r="U1918" t="str">
        <f t="shared" si="877"/>
        <v>A9808D</v>
      </c>
      <c r="V1918">
        <v>0</v>
      </c>
      <c r="W1918">
        <v>0</v>
      </c>
      <c r="X1918">
        <v>1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0</v>
      </c>
      <c r="AI1918" t="s">
        <v>500</v>
      </c>
      <c r="AJ1918">
        <v>28.269431999999998</v>
      </c>
      <c r="AK1918" t="s">
        <v>501</v>
      </c>
      <c r="AL1918">
        <v>-82.355103</v>
      </c>
      <c r="AM1918">
        <v>100</v>
      </c>
      <c r="AN1918">
        <v>1900</v>
      </c>
      <c r="AO1918" t="s">
        <v>118</v>
      </c>
      <c r="AP1918">
        <v>76</v>
      </c>
      <c r="AQ1918">
        <v>-67</v>
      </c>
      <c r="AR1918">
        <v>448</v>
      </c>
      <c r="AZ1918">
        <v>1200</v>
      </c>
      <c r="BA1918">
        <v>1</v>
      </c>
      <c r="BB1918" t="str">
        <f t="shared" si="890"/>
        <v xml:space="preserve">N711JA  </v>
      </c>
      <c r="BC1918">
        <v>1</v>
      </c>
      <c r="BE1918">
        <v>0</v>
      </c>
      <c r="BF1918">
        <v>0</v>
      </c>
      <c r="BG1918">
        <v>0</v>
      </c>
      <c r="BH1918">
        <v>2025</v>
      </c>
      <c r="BI1918">
        <v>1</v>
      </c>
      <c r="BJ1918">
        <v>1</v>
      </c>
      <c r="BK1918">
        <v>0</v>
      </c>
      <c r="BL1918">
        <v>0</v>
      </c>
      <c r="BO1918">
        <v>0</v>
      </c>
      <c r="BP1918">
        <v>0</v>
      </c>
      <c r="BW1918" t="str">
        <f t="shared" si="906"/>
        <v>14:44:30.256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343</v>
      </c>
      <c r="CR1918">
        <v>1</v>
      </c>
      <c r="CW1918">
        <v>10725727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 t="shared" si="903"/>
        <v>05/12/2020 14:44:12.421</v>
      </c>
      <c r="C1919" t="str">
        <f t="shared" si="889"/>
        <v>FFDFD3C0</v>
      </c>
      <c r="D1919" t="s">
        <v>134</v>
      </c>
      <c r="E1919">
        <v>12</v>
      </c>
      <c r="H1919">
        <v>64</v>
      </c>
      <c r="I1919" t="s">
        <v>135</v>
      </c>
      <c r="J1919" t="s">
        <v>136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904"/>
        <v>14:44:30.250</v>
      </c>
      <c r="T1919" t="str">
        <f t="shared" si="905"/>
        <v>14:44:30.150</v>
      </c>
      <c r="U1919" t="str">
        <f t="shared" si="877"/>
        <v>A9808D</v>
      </c>
      <c r="V1919">
        <v>0</v>
      </c>
      <c r="W1919">
        <v>0</v>
      </c>
      <c r="X1919">
        <v>1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0</v>
      </c>
      <c r="AI1919" t="s">
        <v>500</v>
      </c>
      <c r="AJ1919">
        <v>28.269431999999998</v>
      </c>
      <c r="AK1919" t="s">
        <v>501</v>
      </c>
      <c r="AL1919">
        <v>-82.355103</v>
      </c>
      <c r="AM1919">
        <v>100</v>
      </c>
      <c r="AN1919">
        <v>1900</v>
      </c>
      <c r="AO1919" t="s">
        <v>118</v>
      </c>
      <c r="AP1919">
        <v>76</v>
      </c>
      <c r="AQ1919">
        <v>-67</v>
      </c>
      <c r="AR1919">
        <v>448</v>
      </c>
      <c r="AZ1919">
        <v>1200</v>
      </c>
      <c r="BA1919">
        <v>1</v>
      </c>
      <c r="BB1919" t="str">
        <f t="shared" si="890"/>
        <v xml:space="preserve">N711JA  </v>
      </c>
      <c r="BC1919">
        <v>1</v>
      </c>
      <c r="BE1919">
        <v>0</v>
      </c>
      <c r="BF1919">
        <v>0</v>
      </c>
      <c r="BG1919">
        <v>0</v>
      </c>
      <c r="BH1919">
        <v>2025</v>
      </c>
      <c r="BI1919">
        <v>1</v>
      </c>
      <c r="BJ1919">
        <v>1</v>
      </c>
      <c r="BK1919">
        <v>0</v>
      </c>
      <c r="BL1919">
        <v>0</v>
      </c>
      <c r="BO1919">
        <v>0</v>
      </c>
      <c r="BP1919">
        <v>0</v>
      </c>
      <c r="BW1919" t="str">
        <f t="shared" si="906"/>
        <v>14:44:30.256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343</v>
      </c>
      <c r="CR1919">
        <v>1</v>
      </c>
      <c r="CW1919">
        <v>10725727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 t="shared" si="903"/>
        <v>05/12/2020 14:44:12.421</v>
      </c>
      <c r="C1920" t="str">
        <f t="shared" si="889"/>
        <v>FFDFD3C0</v>
      </c>
      <c r="D1920" t="s">
        <v>138</v>
      </c>
      <c r="E1920">
        <v>2</v>
      </c>
      <c r="H1920">
        <v>8</v>
      </c>
      <c r="I1920" t="s">
        <v>139</v>
      </c>
      <c r="J1920" t="s">
        <v>136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904"/>
        <v>14:44:30.250</v>
      </c>
      <c r="T1920" t="str">
        <f t="shared" si="905"/>
        <v>14:44:30.150</v>
      </c>
      <c r="U1920" t="str">
        <f t="shared" si="877"/>
        <v>A9808D</v>
      </c>
      <c r="V1920">
        <v>0</v>
      </c>
      <c r="W1920">
        <v>0</v>
      </c>
      <c r="X1920">
        <v>1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0</v>
      </c>
      <c r="AI1920" t="s">
        <v>500</v>
      </c>
      <c r="AJ1920">
        <v>28.269431999999998</v>
      </c>
      <c r="AK1920" t="s">
        <v>501</v>
      </c>
      <c r="AL1920">
        <v>-82.355103</v>
      </c>
      <c r="AM1920">
        <v>100</v>
      </c>
      <c r="AN1920">
        <v>1900</v>
      </c>
      <c r="AO1920" t="s">
        <v>118</v>
      </c>
      <c r="AP1920">
        <v>76</v>
      </c>
      <c r="AQ1920">
        <v>-67</v>
      </c>
      <c r="AR1920">
        <v>448</v>
      </c>
      <c r="AZ1920">
        <v>1200</v>
      </c>
      <c r="BA1920">
        <v>1</v>
      </c>
      <c r="BB1920" t="str">
        <f t="shared" si="890"/>
        <v xml:space="preserve">N711JA  </v>
      </c>
      <c r="BC1920">
        <v>1</v>
      </c>
      <c r="BE1920">
        <v>0</v>
      </c>
      <c r="BF1920">
        <v>0</v>
      </c>
      <c r="BG1920">
        <v>0</v>
      </c>
      <c r="BH1920">
        <v>2025</v>
      </c>
      <c r="BI1920">
        <v>1</v>
      </c>
      <c r="BJ1920">
        <v>1</v>
      </c>
      <c r="BK1920">
        <v>0</v>
      </c>
      <c r="BL1920">
        <v>0</v>
      </c>
      <c r="BO1920">
        <v>0</v>
      </c>
      <c r="BP1920">
        <v>0</v>
      </c>
      <c r="BW1920" t="str">
        <f t="shared" si="906"/>
        <v>14:44:30.256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343</v>
      </c>
      <c r="CR1920">
        <v>1</v>
      </c>
      <c r="CW1920">
        <v>10725727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 t="shared" si="903"/>
        <v>05/12/2020 14:44:12.421</v>
      </c>
      <c r="C1921" t="str">
        <f t="shared" si="889"/>
        <v>FFDFD3C0</v>
      </c>
      <c r="D1921" t="s">
        <v>138</v>
      </c>
      <c r="E1921">
        <v>3</v>
      </c>
      <c r="H1921">
        <v>9</v>
      </c>
      <c r="I1921" t="s">
        <v>140</v>
      </c>
      <c r="J1921" t="s">
        <v>136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904"/>
        <v>14:44:30.250</v>
      </c>
      <c r="T1921" t="str">
        <f t="shared" si="905"/>
        <v>14:44:30.150</v>
      </c>
      <c r="U1921" t="str">
        <f t="shared" si="877"/>
        <v>A9808D</v>
      </c>
      <c r="V1921">
        <v>0</v>
      </c>
      <c r="W1921">
        <v>0</v>
      </c>
      <c r="X1921">
        <v>1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0</v>
      </c>
      <c r="AI1921" t="s">
        <v>500</v>
      </c>
      <c r="AJ1921">
        <v>28.269431999999998</v>
      </c>
      <c r="AK1921" t="s">
        <v>501</v>
      </c>
      <c r="AL1921">
        <v>-82.355103</v>
      </c>
      <c r="AM1921">
        <v>100</v>
      </c>
      <c r="AN1921">
        <v>1900</v>
      </c>
      <c r="AO1921" t="s">
        <v>118</v>
      </c>
      <c r="AP1921">
        <v>76</v>
      </c>
      <c r="AQ1921">
        <v>-67</v>
      </c>
      <c r="AR1921">
        <v>448</v>
      </c>
      <c r="AZ1921">
        <v>1200</v>
      </c>
      <c r="BA1921">
        <v>1</v>
      </c>
      <c r="BB1921" t="str">
        <f t="shared" si="890"/>
        <v xml:space="preserve">N711JA  </v>
      </c>
      <c r="BC1921">
        <v>1</v>
      </c>
      <c r="BE1921">
        <v>0</v>
      </c>
      <c r="BF1921">
        <v>0</v>
      </c>
      <c r="BG1921">
        <v>0</v>
      </c>
      <c r="BH1921">
        <v>2025</v>
      </c>
      <c r="BI1921">
        <v>1</v>
      </c>
      <c r="BJ1921">
        <v>1</v>
      </c>
      <c r="BK1921">
        <v>0</v>
      </c>
      <c r="BL1921">
        <v>0</v>
      </c>
      <c r="BO1921">
        <v>0</v>
      </c>
      <c r="BP1921">
        <v>0</v>
      </c>
      <c r="BW1921" t="str">
        <f t="shared" si="906"/>
        <v>14:44:30.256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343</v>
      </c>
      <c r="CR1921">
        <v>1</v>
      </c>
      <c r="CW1921">
        <v>10725727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 t="shared" ref="A1922:A1930" si="907">"05/12/2020 14:44:13.482"</f>
        <v>05/12/2020 14:44:13.482</v>
      </c>
      <c r="C1922" t="str">
        <f t="shared" si="889"/>
        <v>FFDFD3C0</v>
      </c>
      <c r="D1922" t="s">
        <v>113</v>
      </c>
      <c r="E1922">
        <v>3</v>
      </c>
      <c r="H1922">
        <v>164</v>
      </c>
      <c r="I1922" t="s">
        <v>114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ref="S1922:S1930" si="908">"14:44:31.320"</f>
        <v>14:44:31.320</v>
      </c>
      <c r="T1922" t="str">
        <f t="shared" ref="T1922:T1930" si="909">"14:44:31.120"</f>
        <v>14:44:31.120</v>
      </c>
      <c r="U1922" t="str">
        <f t="shared" ref="U1922:U1985" si="910">"A9808D"</f>
        <v>A9808D</v>
      </c>
      <c r="V1922">
        <v>0</v>
      </c>
      <c r="W1922">
        <v>0</v>
      </c>
      <c r="X1922">
        <v>1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0</v>
      </c>
      <c r="AI1922" t="s">
        <v>502</v>
      </c>
      <c r="AJ1922">
        <v>28.269067</v>
      </c>
      <c r="AK1922" t="s">
        <v>503</v>
      </c>
      <c r="AL1922">
        <v>-82.354630999999998</v>
      </c>
      <c r="AM1922">
        <v>100</v>
      </c>
      <c r="AN1922">
        <v>1900</v>
      </c>
      <c r="AO1922" t="s">
        <v>118</v>
      </c>
      <c r="AP1922">
        <v>76</v>
      </c>
      <c r="AQ1922">
        <v>-67</v>
      </c>
      <c r="AR1922">
        <v>384</v>
      </c>
      <c r="AZ1922">
        <v>1200</v>
      </c>
      <c r="BA1922">
        <v>1</v>
      </c>
      <c r="BB1922" t="str">
        <f t="shared" si="890"/>
        <v xml:space="preserve">N711JA  </v>
      </c>
      <c r="BC1922">
        <v>1</v>
      </c>
      <c r="BE1922">
        <v>0</v>
      </c>
      <c r="BF1922">
        <v>0</v>
      </c>
      <c r="BG1922">
        <v>0</v>
      </c>
      <c r="BH1922">
        <v>2025</v>
      </c>
      <c r="BI1922">
        <v>1</v>
      </c>
      <c r="BJ1922">
        <v>1</v>
      </c>
      <c r="BK1922">
        <v>0</v>
      </c>
      <c r="BL1922">
        <v>0</v>
      </c>
      <c r="BO1922">
        <v>0</v>
      </c>
      <c r="BP1922">
        <v>0</v>
      </c>
      <c r="BW1922" t="str">
        <f t="shared" ref="BW1922:BW1930" si="911">"14:44:31.326"</f>
        <v>14:44:31.326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56</v>
      </c>
      <c r="CR1922">
        <v>2</v>
      </c>
      <c r="CW1922">
        <v>4787659</v>
      </c>
      <c r="CY1922">
        <v>1</v>
      </c>
      <c r="CZ1922">
        <v>0</v>
      </c>
      <c r="DA1922">
        <v>0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 t="shared" si="907"/>
        <v>05/12/2020 14:44:13.482</v>
      </c>
      <c r="C1923" t="str">
        <f t="shared" si="889"/>
        <v>FFDFD3C0</v>
      </c>
      <c r="D1923" t="s">
        <v>126</v>
      </c>
      <c r="E1923">
        <v>6</v>
      </c>
      <c r="F1923">
        <v>1006</v>
      </c>
      <c r="G1923" t="s">
        <v>114</v>
      </c>
      <c r="J1923" t="s">
        <v>128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908"/>
        <v>14:44:31.320</v>
      </c>
      <c r="T1923" t="str">
        <f t="shared" si="909"/>
        <v>14:44:31.120</v>
      </c>
      <c r="U1923" t="str">
        <f t="shared" si="910"/>
        <v>A9808D</v>
      </c>
      <c r="V1923">
        <v>0</v>
      </c>
      <c r="W1923">
        <v>0</v>
      </c>
      <c r="X1923">
        <v>1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0</v>
      </c>
      <c r="AI1923" t="s">
        <v>502</v>
      </c>
      <c r="AJ1923">
        <v>28.269067</v>
      </c>
      <c r="AK1923" t="s">
        <v>503</v>
      </c>
      <c r="AL1923">
        <v>-82.354630999999998</v>
      </c>
      <c r="AM1923">
        <v>100</v>
      </c>
      <c r="AN1923">
        <v>1900</v>
      </c>
      <c r="AO1923" t="s">
        <v>118</v>
      </c>
      <c r="AP1923">
        <v>76</v>
      </c>
      <c r="AQ1923">
        <v>-67</v>
      </c>
      <c r="AR1923">
        <v>384</v>
      </c>
      <c r="AZ1923">
        <v>1200</v>
      </c>
      <c r="BA1923">
        <v>1</v>
      </c>
      <c r="BB1923" t="str">
        <f t="shared" si="890"/>
        <v xml:space="preserve">N711JA  </v>
      </c>
      <c r="BC1923">
        <v>1</v>
      </c>
      <c r="BE1923">
        <v>0</v>
      </c>
      <c r="BF1923">
        <v>0</v>
      </c>
      <c r="BG1923">
        <v>0</v>
      </c>
      <c r="BH1923">
        <v>2025</v>
      </c>
      <c r="BI1923">
        <v>1</v>
      </c>
      <c r="BJ1923">
        <v>1</v>
      </c>
      <c r="BK1923">
        <v>0</v>
      </c>
      <c r="BL1923">
        <v>0</v>
      </c>
      <c r="BO1923">
        <v>0</v>
      </c>
      <c r="BP1923">
        <v>0</v>
      </c>
      <c r="BW1923" t="str">
        <f t="shared" si="911"/>
        <v>14:44:31.326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56</v>
      </c>
      <c r="CR1923">
        <v>2</v>
      </c>
      <c r="CW1923">
        <v>4787659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 t="shared" si="907"/>
        <v>05/12/2020 14:44:13.482</v>
      </c>
      <c r="C1924" t="str">
        <f t="shared" si="889"/>
        <v>FFDFD3C0</v>
      </c>
      <c r="D1924" t="s">
        <v>126</v>
      </c>
      <c r="E1924">
        <v>7</v>
      </c>
      <c r="F1924">
        <v>1007</v>
      </c>
      <c r="G1924" t="s">
        <v>127</v>
      </c>
      <c r="J1924" t="s">
        <v>128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908"/>
        <v>14:44:31.320</v>
      </c>
      <c r="T1924" t="str">
        <f t="shared" si="909"/>
        <v>14:44:31.120</v>
      </c>
      <c r="U1924" t="str">
        <f t="shared" si="910"/>
        <v>A9808D</v>
      </c>
      <c r="V1924">
        <v>0</v>
      </c>
      <c r="W1924">
        <v>0</v>
      </c>
      <c r="X1924">
        <v>1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0</v>
      </c>
      <c r="AI1924" t="s">
        <v>502</v>
      </c>
      <c r="AJ1924">
        <v>28.269067</v>
      </c>
      <c r="AK1924" t="s">
        <v>503</v>
      </c>
      <c r="AL1924">
        <v>-82.354630999999998</v>
      </c>
      <c r="AM1924">
        <v>100</v>
      </c>
      <c r="AN1924">
        <v>1900</v>
      </c>
      <c r="AO1924" t="s">
        <v>118</v>
      </c>
      <c r="AP1924">
        <v>76</v>
      </c>
      <c r="AQ1924">
        <v>-67</v>
      </c>
      <c r="AR1924">
        <v>384</v>
      </c>
      <c r="AZ1924">
        <v>1200</v>
      </c>
      <c r="BA1924">
        <v>1</v>
      </c>
      <c r="BB1924" t="str">
        <f t="shared" si="890"/>
        <v xml:space="preserve">N711JA  </v>
      </c>
      <c r="BC1924">
        <v>1</v>
      </c>
      <c r="BE1924">
        <v>0</v>
      </c>
      <c r="BF1924">
        <v>0</v>
      </c>
      <c r="BG1924">
        <v>0</v>
      </c>
      <c r="BH1924">
        <v>2025</v>
      </c>
      <c r="BI1924">
        <v>1</v>
      </c>
      <c r="BJ1924">
        <v>1</v>
      </c>
      <c r="BK1924">
        <v>0</v>
      </c>
      <c r="BL1924">
        <v>0</v>
      </c>
      <c r="BO1924">
        <v>0</v>
      </c>
      <c r="BP1924">
        <v>0</v>
      </c>
      <c r="BW1924" t="str">
        <f t="shared" si="911"/>
        <v>14:44:31.326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56</v>
      </c>
      <c r="CR1924">
        <v>2</v>
      </c>
      <c r="CW1924">
        <v>4787659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 t="shared" si="907"/>
        <v>05/12/2020 14:44:13.482</v>
      </c>
      <c r="C1925" t="str">
        <f t="shared" si="889"/>
        <v>FFDFD3C0</v>
      </c>
      <c r="D1925" t="s">
        <v>131</v>
      </c>
      <c r="E1925">
        <v>10</v>
      </c>
      <c r="F1925">
        <v>2010</v>
      </c>
      <c r="G1925" t="s">
        <v>132</v>
      </c>
      <c r="J1925" t="s">
        <v>133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908"/>
        <v>14:44:31.320</v>
      </c>
      <c r="T1925" t="str">
        <f t="shared" si="909"/>
        <v>14:44:31.120</v>
      </c>
      <c r="U1925" t="str">
        <f t="shared" si="910"/>
        <v>A9808D</v>
      </c>
      <c r="V1925">
        <v>0</v>
      </c>
      <c r="W1925">
        <v>0</v>
      </c>
      <c r="X1925">
        <v>1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0</v>
      </c>
      <c r="AI1925" t="s">
        <v>502</v>
      </c>
      <c r="AJ1925">
        <v>28.269067</v>
      </c>
      <c r="AK1925" t="s">
        <v>503</v>
      </c>
      <c r="AL1925">
        <v>-82.354630999999998</v>
      </c>
      <c r="AM1925">
        <v>100</v>
      </c>
      <c r="AN1925">
        <v>1900</v>
      </c>
      <c r="AO1925" t="s">
        <v>118</v>
      </c>
      <c r="AP1925">
        <v>76</v>
      </c>
      <c r="AQ1925">
        <v>-67</v>
      </c>
      <c r="AR1925">
        <v>384</v>
      </c>
      <c r="AZ1925">
        <v>1200</v>
      </c>
      <c r="BA1925">
        <v>1</v>
      </c>
      <c r="BB1925" t="str">
        <f t="shared" si="890"/>
        <v xml:space="preserve">N711JA  </v>
      </c>
      <c r="BC1925">
        <v>1</v>
      </c>
      <c r="BE1925">
        <v>0</v>
      </c>
      <c r="BF1925">
        <v>0</v>
      </c>
      <c r="BG1925">
        <v>0</v>
      </c>
      <c r="BH1925">
        <v>2025</v>
      </c>
      <c r="BI1925">
        <v>1</v>
      </c>
      <c r="BJ1925">
        <v>1</v>
      </c>
      <c r="BK1925">
        <v>0</v>
      </c>
      <c r="BL1925">
        <v>0</v>
      </c>
      <c r="BO1925">
        <v>0</v>
      </c>
      <c r="BP1925">
        <v>0</v>
      </c>
      <c r="BW1925" t="str">
        <f t="shared" si="911"/>
        <v>14:44:31.326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56</v>
      </c>
      <c r="CR1925">
        <v>2</v>
      </c>
      <c r="CW1925">
        <v>4787659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 t="shared" si="907"/>
        <v>05/12/2020 14:44:13.482</v>
      </c>
      <c r="C1926" t="str">
        <f t="shared" si="889"/>
        <v>FFDFD3C0</v>
      </c>
      <c r="D1926" t="s">
        <v>131</v>
      </c>
      <c r="E1926">
        <v>12</v>
      </c>
      <c r="F1926">
        <v>2012</v>
      </c>
      <c r="G1926" t="s">
        <v>137</v>
      </c>
      <c r="J1926" t="s">
        <v>133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908"/>
        <v>14:44:31.320</v>
      </c>
      <c r="T1926" t="str">
        <f t="shared" si="909"/>
        <v>14:44:31.120</v>
      </c>
      <c r="U1926" t="str">
        <f t="shared" si="910"/>
        <v>A9808D</v>
      </c>
      <c r="V1926">
        <v>0</v>
      </c>
      <c r="W1926">
        <v>0</v>
      </c>
      <c r="X1926">
        <v>1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0</v>
      </c>
      <c r="AI1926" t="s">
        <v>502</v>
      </c>
      <c r="AJ1926">
        <v>28.269067</v>
      </c>
      <c r="AK1926" t="s">
        <v>503</v>
      </c>
      <c r="AL1926">
        <v>-82.354630999999998</v>
      </c>
      <c r="AM1926">
        <v>100</v>
      </c>
      <c r="AN1926">
        <v>1900</v>
      </c>
      <c r="AO1926" t="s">
        <v>118</v>
      </c>
      <c r="AP1926">
        <v>76</v>
      </c>
      <c r="AQ1926">
        <v>-67</v>
      </c>
      <c r="AR1926">
        <v>384</v>
      </c>
      <c r="AZ1926">
        <v>1200</v>
      </c>
      <c r="BA1926">
        <v>1</v>
      </c>
      <c r="BB1926" t="str">
        <f t="shared" si="890"/>
        <v xml:space="preserve">N711JA  </v>
      </c>
      <c r="BC1926">
        <v>1</v>
      </c>
      <c r="BE1926">
        <v>0</v>
      </c>
      <c r="BF1926">
        <v>0</v>
      </c>
      <c r="BG1926">
        <v>0</v>
      </c>
      <c r="BH1926">
        <v>2025</v>
      </c>
      <c r="BI1926">
        <v>1</v>
      </c>
      <c r="BJ1926">
        <v>1</v>
      </c>
      <c r="BK1926">
        <v>0</v>
      </c>
      <c r="BL1926">
        <v>0</v>
      </c>
      <c r="BO1926">
        <v>0</v>
      </c>
      <c r="BP1926">
        <v>0</v>
      </c>
      <c r="BW1926" t="str">
        <f t="shared" si="911"/>
        <v>14:44:31.326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56</v>
      </c>
      <c r="CR1926">
        <v>2</v>
      </c>
      <c r="CW1926">
        <v>4787659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 t="shared" si="907"/>
        <v>05/12/2020 14:44:13.482</v>
      </c>
      <c r="C1927" t="str">
        <f t="shared" si="889"/>
        <v>FFDFD3C0</v>
      </c>
      <c r="D1927" t="s">
        <v>131</v>
      </c>
      <c r="E1927">
        <v>18</v>
      </c>
      <c r="F1927">
        <v>2018</v>
      </c>
      <c r="G1927" t="s">
        <v>161</v>
      </c>
      <c r="J1927" t="s">
        <v>133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908"/>
        <v>14:44:31.320</v>
      </c>
      <c r="T1927" t="str">
        <f t="shared" si="909"/>
        <v>14:44:31.120</v>
      </c>
      <c r="U1927" t="str">
        <f t="shared" si="910"/>
        <v>A9808D</v>
      </c>
      <c r="V1927">
        <v>0</v>
      </c>
      <c r="W1927">
        <v>0</v>
      </c>
      <c r="X1927">
        <v>1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0</v>
      </c>
      <c r="AI1927" t="s">
        <v>502</v>
      </c>
      <c r="AJ1927">
        <v>28.269067</v>
      </c>
      <c r="AK1927" t="s">
        <v>503</v>
      </c>
      <c r="AL1927">
        <v>-82.354630999999998</v>
      </c>
      <c r="AM1927">
        <v>100</v>
      </c>
      <c r="AN1927">
        <v>1900</v>
      </c>
      <c r="AO1927" t="s">
        <v>118</v>
      </c>
      <c r="AP1927">
        <v>76</v>
      </c>
      <c r="AQ1927">
        <v>-67</v>
      </c>
      <c r="AR1927">
        <v>384</v>
      </c>
      <c r="AZ1927">
        <v>1200</v>
      </c>
      <c r="BA1927">
        <v>1</v>
      </c>
      <c r="BB1927" t="str">
        <f t="shared" si="890"/>
        <v xml:space="preserve">N711JA  </v>
      </c>
      <c r="BC1927">
        <v>1</v>
      </c>
      <c r="BE1927">
        <v>0</v>
      </c>
      <c r="BF1927">
        <v>0</v>
      </c>
      <c r="BG1927">
        <v>0</v>
      </c>
      <c r="BH1927">
        <v>2025</v>
      </c>
      <c r="BI1927">
        <v>1</v>
      </c>
      <c r="BJ1927">
        <v>1</v>
      </c>
      <c r="BK1927">
        <v>0</v>
      </c>
      <c r="BL1927">
        <v>0</v>
      </c>
      <c r="BO1927">
        <v>0</v>
      </c>
      <c r="BP1927">
        <v>0</v>
      </c>
      <c r="BW1927" t="str">
        <f t="shared" si="911"/>
        <v>14:44:31.326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56</v>
      </c>
      <c r="CR1927">
        <v>2</v>
      </c>
      <c r="CW1927">
        <v>4787659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 t="shared" si="907"/>
        <v>05/12/2020 14:44:13.482</v>
      </c>
      <c r="C1928" t="str">
        <f t="shared" si="889"/>
        <v>FFDFD3C0</v>
      </c>
      <c r="D1928" t="s">
        <v>134</v>
      </c>
      <c r="E1928">
        <v>12</v>
      </c>
      <c r="H1928">
        <v>64</v>
      </c>
      <c r="I1928" t="s">
        <v>135</v>
      </c>
      <c r="J1928" t="s">
        <v>136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908"/>
        <v>14:44:31.320</v>
      </c>
      <c r="T1928" t="str">
        <f t="shared" si="909"/>
        <v>14:44:31.120</v>
      </c>
      <c r="U1928" t="str">
        <f t="shared" si="910"/>
        <v>A9808D</v>
      </c>
      <c r="V1928">
        <v>0</v>
      </c>
      <c r="W1928">
        <v>0</v>
      </c>
      <c r="X1928">
        <v>1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0</v>
      </c>
      <c r="AI1928" t="s">
        <v>502</v>
      </c>
      <c r="AJ1928">
        <v>28.269067</v>
      </c>
      <c r="AK1928" t="s">
        <v>503</v>
      </c>
      <c r="AL1928">
        <v>-82.354630999999998</v>
      </c>
      <c r="AM1928">
        <v>100</v>
      </c>
      <c r="AN1928">
        <v>1900</v>
      </c>
      <c r="AO1928" t="s">
        <v>118</v>
      </c>
      <c r="AP1928">
        <v>76</v>
      </c>
      <c r="AQ1928">
        <v>-67</v>
      </c>
      <c r="AR1928">
        <v>384</v>
      </c>
      <c r="AZ1928">
        <v>1200</v>
      </c>
      <c r="BA1928">
        <v>1</v>
      </c>
      <c r="BB1928" t="str">
        <f t="shared" si="890"/>
        <v xml:space="preserve">N711JA  </v>
      </c>
      <c r="BC1928">
        <v>1</v>
      </c>
      <c r="BE1928">
        <v>0</v>
      </c>
      <c r="BF1928">
        <v>0</v>
      </c>
      <c r="BG1928">
        <v>0</v>
      </c>
      <c r="BH1928">
        <v>2025</v>
      </c>
      <c r="BI1928">
        <v>1</v>
      </c>
      <c r="BJ1928">
        <v>1</v>
      </c>
      <c r="BK1928">
        <v>0</v>
      </c>
      <c r="BL1928">
        <v>0</v>
      </c>
      <c r="BO1928">
        <v>0</v>
      </c>
      <c r="BP1928">
        <v>0</v>
      </c>
      <c r="BW1928" t="str">
        <f t="shared" si="911"/>
        <v>14:44:31.326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343</v>
      </c>
      <c r="CR1928">
        <v>2</v>
      </c>
      <c r="CW1928">
        <v>13093531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 t="shared" si="907"/>
        <v>05/12/2020 14:44:13.482</v>
      </c>
      <c r="C1929" t="str">
        <f t="shared" si="889"/>
        <v>FFDFD3C0</v>
      </c>
      <c r="D1929" t="s">
        <v>138</v>
      </c>
      <c r="E1929">
        <v>2</v>
      </c>
      <c r="H1929">
        <v>8</v>
      </c>
      <c r="I1929" t="s">
        <v>139</v>
      </c>
      <c r="J1929" t="s">
        <v>136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908"/>
        <v>14:44:31.320</v>
      </c>
      <c r="T1929" t="str">
        <f t="shared" si="909"/>
        <v>14:44:31.120</v>
      </c>
      <c r="U1929" t="str">
        <f t="shared" si="910"/>
        <v>A9808D</v>
      </c>
      <c r="V1929">
        <v>0</v>
      </c>
      <c r="W1929">
        <v>0</v>
      </c>
      <c r="X1929">
        <v>1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0</v>
      </c>
      <c r="AI1929" t="s">
        <v>502</v>
      </c>
      <c r="AJ1929">
        <v>28.269067</v>
      </c>
      <c r="AK1929" t="s">
        <v>503</v>
      </c>
      <c r="AL1929">
        <v>-82.354630999999998</v>
      </c>
      <c r="AM1929">
        <v>100</v>
      </c>
      <c r="AN1929">
        <v>1900</v>
      </c>
      <c r="AO1929" t="s">
        <v>118</v>
      </c>
      <c r="AP1929">
        <v>76</v>
      </c>
      <c r="AQ1929">
        <v>-67</v>
      </c>
      <c r="AR1929">
        <v>384</v>
      </c>
      <c r="AZ1929">
        <v>1200</v>
      </c>
      <c r="BA1929">
        <v>1</v>
      </c>
      <c r="BB1929" t="str">
        <f t="shared" si="890"/>
        <v xml:space="preserve">N711JA  </v>
      </c>
      <c r="BC1929">
        <v>1</v>
      </c>
      <c r="BE1929">
        <v>0</v>
      </c>
      <c r="BF1929">
        <v>0</v>
      </c>
      <c r="BG1929">
        <v>0</v>
      </c>
      <c r="BH1929">
        <v>2025</v>
      </c>
      <c r="BI1929">
        <v>1</v>
      </c>
      <c r="BJ1929">
        <v>1</v>
      </c>
      <c r="BK1929">
        <v>0</v>
      </c>
      <c r="BL1929">
        <v>0</v>
      </c>
      <c r="BO1929">
        <v>0</v>
      </c>
      <c r="BP1929">
        <v>0</v>
      </c>
      <c r="BW1929" t="str">
        <f t="shared" si="911"/>
        <v>14:44:31.326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56</v>
      </c>
      <c r="CR1929">
        <v>2</v>
      </c>
      <c r="CW1929">
        <v>4787659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 t="shared" si="907"/>
        <v>05/12/2020 14:44:13.482</v>
      </c>
      <c r="C1930" t="str">
        <f t="shared" si="889"/>
        <v>FFDFD3C0</v>
      </c>
      <c r="D1930" t="s">
        <v>138</v>
      </c>
      <c r="E1930">
        <v>3</v>
      </c>
      <c r="H1930">
        <v>9</v>
      </c>
      <c r="I1930" t="s">
        <v>140</v>
      </c>
      <c r="J1930" t="s">
        <v>136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908"/>
        <v>14:44:31.320</v>
      </c>
      <c r="T1930" t="str">
        <f t="shared" si="909"/>
        <v>14:44:31.120</v>
      </c>
      <c r="U1930" t="str">
        <f t="shared" si="910"/>
        <v>A9808D</v>
      </c>
      <c r="V1930">
        <v>0</v>
      </c>
      <c r="W1930">
        <v>0</v>
      </c>
      <c r="X1930">
        <v>1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0</v>
      </c>
      <c r="AI1930" t="s">
        <v>502</v>
      </c>
      <c r="AJ1930">
        <v>28.269067</v>
      </c>
      <c r="AK1930" t="s">
        <v>503</v>
      </c>
      <c r="AL1930">
        <v>-82.354630999999998</v>
      </c>
      <c r="AM1930">
        <v>100</v>
      </c>
      <c r="AN1930">
        <v>1900</v>
      </c>
      <c r="AO1930" t="s">
        <v>118</v>
      </c>
      <c r="AP1930">
        <v>76</v>
      </c>
      <c r="AQ1930">
        <v>-67</v>
      </c>
      <c r="AR1930">
        <v>384</v>
      </c>
      <c r="AZ1930">
        <v>1200</v>
      </c>
      <c r="BA1930">
        <v>1</v>
      </c>
      <c r="BB1930" t="str">
        <f t="shared" si="890"/>
        <v xml:space="preserve">N711JA  </v>
      </c>
      <c r="BC1930">
        <v>1</v>
      </c>
      <c r="BE1930">
        <v>0</v>
      </c>
      <c r="BF1930">
        <v>0</v>
      </c>
      <c r="BG1930">
        <v>0</v>
      </c>
      <c r="BH1930">
        <v>2025</v>
      </c>
      <c r="BI1930">
        <v>1</v>
      </c>
      <c r="BJ1930">
        <v>1</v>
      </c>
      <c r="BK1930">
        <v>0</v>
      </c>
      <c r="BL1930">
        <v>0</v>
      </c>
      <c r="BO1930">
        <v>0</v>
      </c>
      <c r="BP1930">
        <v>0</v>
      </c>
      <c r="BW1930" t="str">
        <f t="shared" si="911"/>
        <v>14:44:31.326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56</v>
      </c>
      <c r="CR1930">
        <v>2</v>
      </c>
      <c r="CW1930">
        <v>4787659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 t="shared" ref="A1931:A1939" si="912">"05/12/2020 14:44:14.633"</f>
        <v>05/12/2020 14:44:14.633</v>
      </c>
      <c r="C1931" t="str">
        <f t="shared" si="889"/>
        <v>FFDFD3C0</v>
      </c>
      <c r="D1931" t="s">
        <v>134</v>
      </c>
      <c r="E1931">
        <v>12</v>
      </c>
      <c r="H1931">
        <v>64</v>
      </c>
      <c r="I1931" t="s">
        <v>135</v>
      </c>
      <c r="J1931" t="s">
        <v>136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ref="S1931:S1939" si="913">"14:44:32.461"</f>
        <v>14:44:32.461</v>
      </c>
      <c r="T1931" t="str">
        <f t="shared" ref="T1931:T1939" si="914">"14:44:32.161"</f>
        <v>14:44:32.161</v>
      </c>
      <c r="U1931" t="str">
        <f t="shared" si="910"/>
        <v>A9808D</v>
      </c>
      <c r="V1931">
        <v>0</v>
      </c>
      <c r="W1931">
        <v>0</v>
      </c>
      <c r="X1931">
        <v>1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0</v>
      </c>
      <c r="AI1931" t="s">
        <v>504</v>
      </c>
      <c r="AJ1931">
        <v>28.268744999999999</v>
      </c>
      <c r="AK1931" t="s">
        <v>505</v>
      </c>
      <c r="AL1931">
        <v>-82.354202000000001</v>
      </c>
      <c r="AM1931">
        <v>100</v>
      </c>
      <c r="AN1931">
        <v>1900</v>
      </c>
      <c r="AO1931" t="s">
        <v>118</v>
      </c>
      <c r="AP1931">
        <v>77</v>
      </c>
      <c r="AQ1931">
        <v>-67</v>
      </c>
      <c r="AR1931">
        <v>320</v>
      </c>
      <c r="AZ1931">
        <v>1200</v>
      </c>
      <c r="BA1931">
        <v>1</v>
      </c>
      <c r="BB1931" t="str">
        <f t="shared" si="890"/>
        <v xml:space="preserve">N711JA  </v>
      </c>
      <c r="BC1931">
        <v>1</v>
      </c>
      <c r="BE1931">
        <v>0</v>
      </c>
      <c r="BF1931">
        <v>0</v>
      </c>
      <c r="BG1931">
        <v>0</v>
      </c>
      <c r="BH1931">
        <v>2025</v>
      </c>
      <c r="BI1931">
        <v>1</v>
      </c>
      <c r="BJ1931">
        <v>1</v>
      </c>
      <c r="BK1931">
        <v>0</v>
      </c>
      <c r="BL1931">
        <v>0</v>
      </c>
      <c r="BO1931">
        <v>0</v>
      </c>
      <c r="BP1931">
        <v>0</v>
      </c>
      <c r="BW1931" t="str">
        <f t="shared" ref="BW1931:BW1939" si="915">"14:44:32.462"</f>
        <v>14:44:32.462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343</v>
      </c>
      <c r="CR1931">
        <v>2</v>
      </c>
      <c r="CW1931">
        <v>13094346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 t="shared" si="912"/>
        <v>05/12/2020 14:44:14.633</v>
      </c>
      <c r="C1932" t="str">
        <f t="shared" si="889"/>
        <v>FFDFD3C0</v>
      </c>
      <c r="D1932" t="s">
        <v>138</v>
      </c>
      <c r="E1932">
        <v>2</v>
      </c>
      <c r="H1932">
        <v>8</v>
      </c>
      <c r="I1932" t="s">
        <v>139</v>
      </c>
      <c r="J1932" t="s">
        <v>136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913"/>
        <v>14:44:32.461</v>
      </c>
      <c r="T1932" t="str">
        <f t="shared" si="914"/>
        <v>14:44:32.161</v>
      </c>
      <c r="U1932" t="str">
        <f t="shared" si="910"/>
        <v>A9808D</v>
      </c>
      <c r="V1932">
        <v>0</v>
      </c>
      <c r="W1932">
        <v>0</v>
      </c>
      <c r="X1932">
        <v>1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0</v>
      </c>
      <c r="AI1932" t="s">
        <v>504</v>
      </c>
      <c r="AJ1932">
        <v>28.268744999999999</v>
      </c>
      <c r="AK1932" t="s">
        <v>505</v>
      </c>
      <c r="AL1932">
        <v>-82.354202000000001</v>
      </c>
      <c r="AM1932">
        <v>100</v>
      </c>
      <c r="AN1932">
        <v>1900</v>
      </c>
      <c r="AO1932" t="s">
        <v>118</v>
      </c>
      <c r="AP1932">
        <v>77</v>
      </c>
      <c r="AQ1932">
        <v>-67</v>
      </c>
      <c r="AR1932">
        <v>320</v>
      </c>
      <c r="AZ1932">
        <v>1200</v>
      </c>
      <c r="BA1932">
        <v>1</v>
      </c>
      <c r="BB1932" t="str">
        <f t="shared" si="890"/>
        <v xml:space="preserve">N711JA  </v>
      </c>
      <c r="BC1932">
        <v>1</v>
      </c>
      <c r="BE1932">
        <v>0</v>
      </c>
      <c r="BF1932">
        <v>0</v>
      </c>
      <c r="BG1932">
        <v>0</v>
      </c>
      <c r="BH1932">
        <v>2025</v>
      </c>
      <c r="BI1932">
        <v>1</v>
      </c>
      <c r="BJ1932">
        <v>1</v>
      </c>
      <c r="BK1932">
        <v>0</v>
      </c>
      <c r="BL1932">
        <v>0</v>
      </c>
      <c r="BO1932">
        <v>0</v>
      </c>
      <c r="BP1932">
        <v>0</v>
      </c>
      <c r="BW1932" t="str">
        <f t="shared" si="915"/>
        <v>14:44:32.462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343</v>
      </c>
      <c r="CR1932">
        <v>2</v>
      </c>
      <c r="CW1932">
        <v>13094346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 t="shared" si="912"/>
        <v>05/12/2020 14:44:14.633</v>
      </c>
      <c r="C1933" t="str">
        <f t="shared" si="889"/>
        <v>FFDFD3C0</v>
      </c>
      <c r="D1933" t="s">
        <v>138</v>
      </c>
      <c r="E1933">
        <v>3</v>
      </c>
      <c r="H1933">
        <v>9</v>
      </c>
      <c r="I1933" t="s">
        <v>140</v>
      </c>
      <c r="J1933" t="s">
        <v>136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si="913"/>
        <v>14:44:32.461</v>
      </c>
      <c r="T1933" t="str">
        <f t="shared" si="914"/>
        <v>14:44:32.161</v>
      </c>
      <c r="U1933" t="str">
        <f t="shared" si="910"/>
        <v>A9808D</v>
      </c>
      <c r="V1933">
        <v>0</v>
      </c>
      <c r="W1933">
        <v>0</v>
      </c>
      <c r="X1933">
        <v>1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0</v>
      </c>
      <c r="AI1933" t="s">
        <v>504</v>
      </c>
      <c r="AJ1933">
        <v>28.268744999999999</v>
      </c>
      <c r="AK1933" t="s">
        <v>505</v>
      </c>
      <c r="AL1933">
        <v>-82.354202000000001</v>
      </c>
      <c r="AM1933">
        <v>100</v>
      </c>
      <c r="AN1933">
        <v>1900</v>
      </c>
      <c r="AO1933" t="s">
        <v>118</v>
      </c>
      <c r="AP1933">
        <v>77</v>
      </c>
      <c r="AQ1933">
        <v>-67</v>
      </c>
      <c r="AR1933">
        <v>320</v>
      </c>
      <c r="AZ1933">
        <v>1200</v>
      </c>
      <c r="BA1933">
        <v>1</v>
      </c>
      <c r="BB1933" t="str">
        <f t="shared" si="890"/>
        <v xml:space="preserve">N711JA  </v>
      </c>
      <c r="BC1933">
        <v>1</v>
      </c>
      <c r="BE1933">
        <v>0</v>
      </c>
      <c r="BF1933">
        <v>0</v>
      </c>
      <c r="BG1933">
        <v>0</v>
      </c>
      <c r="BH1933">
        <v>2025</v>
      </c>
      <c r="BI1933">
        <v>1</v>
      </c>
      <c r="BJ1933">
        <v>1</v>
      </c>
      <c r="BK1933">
        <v>0</v>
      </c>
      <c r="BL1933">
        <v>0</v>
      </c>
      <c r="BO1933">
        <v>0</v>
      </c>
      <c r="BP1933">
        <v>0</v>
      </c>
      <c r="BW1933" t="str">
        <f t="shared" si="915"/>
        <v>14:44:32.462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343</v>
      </c>
      <c r="CR1933">
        <v>2</v>
      </c>
      <c r="CW1933">
        <v>13094346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 t="shared" si="912"/>
        <v>05/12/2020 14:44:14.633</v>
      </c>
      <c r="C1934" t="str">
        <f t="shared" si="889"/>
        <v>FFDFD3C0</v>
      </c>
      <c r="D1934" t="s">
        <v>126</v>
      </c>
      <c r="E1934">
        <v>6</v>
      </c>
      <c r="F1934">
        <v>1006</v>
      </c>
      <c r="G1934" t="s">
        <v>114</v>
      </c>
      <c r="J1934" t="s">
        <v>128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913"/>
        <v>14:44:32.461</v>
      </c>
      <c r="T1934" t="str">
        <f t="shared" si="914"/>
        <v>14:44:32.161</v>
      </c>
      <c r="U1934" t="str">
        <f t="shared" si="910"/>
        <v>A9808D</v>
      </c>
      <c r="V1934">
        <v>0</v>
      </c>
      <c r="W1934">
        <v>0</v>
      </c>
      <c r="X1934">
        <v>1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0</v>
      </c>
      <c r="AI1934" t="s">
        <v>504</v>
      </c>
      <c r="AJ1934">
        <v>28.268744999999999</v>
      </c>
      <c r="AK1934" t="s">
        <v>505</v>
      </c>
      <c r="AL1934">
        <v>-82.354202000000001</v>
      </c>
      <c r="AM1934">
        <v>100</v>
      </c>
      <c r="AN1934">
        <v>1900</v>
      </c>
      <c r="AO1934" t="s">
        <v>118</v>
      </c>
      <c r="AP1934">
        <v>77</v>
      </c>
      <c r="AQ1934">
        <v>-67</v>
      </c>
      <c r="AR1934">
        <v>320</v>
      </c>
      <c r="AZ1934">
        <v>1200</v>
      </c>
      <c r="BA1934">
        <v>1</v>
      </c>
      <c r="BB1934" t="str">
        <f t="shared" si="890"/>
        <v xml:space="preserve">N711JA  </v>
      </c>
      <c r="BC1934">
        <v>1</v>
      </c>
      <c r="BE1934">
        <v>0</v>
      </c>
      <c r="BF1934">
        <v>0</v>
      </c>
      <c r="BG1934">
        <v>0</v>
      </c>
      <c r="BH1934">
        <v>2025</v>
      </c>
      <c r="BI1934">
        <v>1</v>
      </c>
      <c r="BJ1934">
        <v>1</v>
      </c>
      <c r="BK1934">
        <v>0</v>
      </c>
      <c r="BL1934">
        <v>0</v>
      </c>
      <c r="BO1934">
        <v>0</v>
      </c>
      <c r="BP1934">
        <v>0</v>
      </c>
      <c r="BW1934" t="str">
        <f t="shared" si="915"/>
        <v>14:44:32.462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343</v>
      </c>
      <c r="CR1934">
        <v>2</v>
      </c>
      <c r="CW1934">
        <v>13094346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 t="shared" si="912"/>
        <v>05/12/2020 14:44:14.633</v>
      </c>
      <c r="C1935" t="str">
        <f t="shared" si="889"/>
        <v>FFDFD3C0</v>
      </c>
      <c r="D1935" t="s">
        <v>113</v>
      </c>
      <c r="E1935">
        <v>3</v>
      </c>
      <c r="H1935">
        <v>164</v>
      </c>
      <c r="I1935" t="s">
        <v>114</v>
      </c>
      <c r="J1935" t="s">
        <v>115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913"/>
        <v>14:44:32.461</v>
      </c>
      <c r="T1935" t="str">
        <f t="shared" si="914"/>
        <v>14:44:32.161</v>
      </c>
      <c r="U1935" t="str">
        <f t="shared" si="910"/>
        <v>A9808D</v>
      </c>
      <c r="V1935">
        <v>0</v>
      </c>
      <c r="W1935">
        <v>0</v>
      </c>
      <c r="X1935">
        <v>1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0</v>
      </c>
      <c r="AI1935" t="s">
        <v>504</v>
      </c>
      <c r="AJ1935">
        <v>28.268744999999999</v>
      </c>
      <c r="AK1935" t="s">
        <v>505</v>
      </c>
      <c r="AL1935">
        <v>-82.354202000000001</v>
      </c>
      <c r="AM1935">
        <v>100</v>
      </c>
      <c r="AN1935">
        <v>1900</v>
      </c>
      <c r="AO1935" t="s">
        <v>118</v>
      </c>
      <c r="AP1935">
        <v>77</v>
      </c>
      <c r="AQ1935">
        <v>-67</v>
      </c>
      <c r="AR1935">
        <v>320</v>
      </c>
      <c r="AZ1935">
        <v>1200</v>
      </c>
      <c r="BA1935">
        <v>1</v>
      </c>
      <c r="BB1935" t="str">
        <f t="shared" si="890"/>
        <v xml:space="preserve">N711JA  </v>
      </c>
      <c r="BC1935">
        <v>1</v>
      </c>
      <c r="BE1935">
        <v>0</v>
      </c>
      <c r="BF1935">
        <v>0</v>
      </c>
      <c r="BG1935">
        <v>0</v>
      </c>
      <c r="BH1935">
        <v>2025</v>
      </c>
      <c r="BI1935">
        <v>1</v>
      </c>
      <c r="BJ1935">
        <v>1</v>
      </c>
      <c r="BK1935">
        <v>0</v>
      </c>
      <c r="BL1935">
        <v>0</v>
      </c>
      <c r="BO1935">
        <v>0</v>
      </c>
      <c r="BP1935">
        <v>0</v>
      </c>
      <c r="BW1935" t="str">
        <f t="shared" si="915"/>
        <v>14:44:32.462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343</v>
      </c>
      <c r="CR1935">
        <v>2</v>
      </c>
      <c r="CW1935">
        <v>13094346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 t="shared" si="912"/>
        <v>05/12/2020 14:44:14.633</v>
      </c>
      <c r="C1936" t="str">
        <f t="shared" si="889"/>
        <v>FFDFD3C0</v>
      </c>
      <c r="D1936" t="s">
        <v>126</v>
      </c>
      <c r="E1936">
        <v>7</v>
      </c>
      <c r="F1936">
        <v>1007</v>
      </c>
      <c r="G1936" t="s">
        <v>127</v>
      </c>
      <c r="J1936" t="s">
        <v>128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913"/>
        <v>14:44:32.461</v>
      </c>
      <c r="T1936" t="str">
        <f t="shared" si="914"/>
        <v>14:44:32.161</v>
      </c>
      <c r="U1936" t="str">
        <f t="shared" si="910"/>
        <v>A9808D</v>
      </c>
      <c r="V1936">
        <v>0</v>
      </c>
      <c r="W1936">
        <v>0</v>
      </c>
      <c r="X1936">
        <v>1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0</v>
      </c>
      <c r="AI1936" t="s">
        <v>504</v>
      </c>
      <c r="AJ1936">
        <v>28.268744999999999</v>
      </c>
      <c r="AK1936" t="s">
        <v>505</v>
      </c>
      <c r="AL1936">
        <v>-82.354202000000001</v>
      </c>
      <c r="AM1936">
        <v>100</v>
      </c>
      <c r="AN1936">
        <v>1900</v>
      </c>
      <c r="AO1936" t="s">
        <v>118</v>
      </c>
      <c r="AP1936">
        <v>77</v>
      </c>
      <c r="AQ1936">
        <v>-67</v>
      </c>
      <c r="AR1936">
        <v>320</v>
      </c>
      <c r="AZ1936">
        <v>1200</v>
      </c>
      <c r="BA1936">
        <v>1</v>
      </c>
      <c r="BB1936" t="str">
        <f t="shared" si="890"/>
        <v xml:space="preserve">N711JA  </v>
      </c>
      <c r="BC1936">
        <v>1</v>
      </c>
      <c r="BE1936">
        <v>0</v>
      </c>
      <c r="BF1936">
        <v>0</v>
      </c>
      <c r="BG1936">
        <v>0</v>
      </c>
      <c r="BH1936">
        <v>2025</v>
      </c>
      <c r="BI1936">
        <v>1</v>
      </c>
      <c r="BJ1936">
        <v>1</v>
      </c>
      <c r="BK1936">
        <v>0</v>
      </c>
      <c r="BL1936">
        <v>0</v>
      </c>
      <c r="BO1936">
        <v>0</v>
      </c>
      <c r="BP1936">
        <v>0</v>
      </c>
      <c r="BW1936" t="str">
        <f t="shared" si="915"/>
        <v>14:44:32.462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343</v>
      </c>
      <c r="CR1936">
        <v>2</v>
      </c>
      <c r="CW1936">
        <v>13094346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 t="shared" si="912"/>
        <v>05/12/2020 14:44:14.633</v>
      </c>
      <c r="C1937" t="str">
        <f t="shared" si="889"/>
        <v>FFDFD3C0</v>
      </c>
      <c r="D1937" t="s">
        <v>131</v>
      </c>
      <c r="E1937">
        <v>10</v>
      </c>
      <c r="F1937">
        <v>2010</v>
      </c>
      <c r="G1937" t="s">
        <v>132</v>
      </c>
      <c r="J1937" t="s">
        <v>133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913"/>
        <v>14:44:32.461</v>
      </c>
      <c r="T1937" t="str">
        <f t="shared" si="914"/>
        <v>14:44:32.161</v>
      </c>
      <c r="U1937" t="str">
        <f t="shared" si="910"/>
        <v>A9808D</v>
      </c>
      <c r="V1937">
        <v>0</v>
      </c>
      <c r="W1937">
        <v>0</v>
      </c>
      <c r="X1937">
        <v>1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0</v>
      </c>
      <c r="AI1937" t="s">
        <v>504</v>
      </c>
      <c r="AJ1937">
        <v>28.268744999999999</v>
      </c>
      <c r="AK1937" t="s">
        <v>505</v>
      </c>
      <c r="AL1937">
        <v>-82.354202000000001</v>
      </c>
      <c r="AM1937">
        <v>100</v>
      </c>
      <c r="AN1937">
        <v>1900</v>
      </c>
      <c r="AO1937" t="s">
        <v>118</v>
      </c>
      <c r="AP1937">
        <v>77</v>
      </c>
      <c r="AQ1937">
        <v>-67</v>
      </c>
      <c r="AR1937">
        <v>320</v>
      </c>
      <c r="AZ1937">
        <v>1200</v>
      </c>
      <c r="BA1937">
        <v>1</v>
      </c>
      <c r="BB1937" t="str">
        <f t="shared" si="890"/>
        <v xml:space="preserve">N711JA  </v>
      </c>
      <c r="BC1937">
        <v>1</v>
      </c>
      <c r="BE1937">
        <v>0</v>
      </c>
      <c r="BF1937">
        <v>0</v>
      </c>
      <c r="BG1937">
        <v>0</v>
      </c>
      <c r="BH1937">
        <v>2025</v>
      </c>
      <c r="BI1937">
        <v>1</v>
      </c>
      <c r="BJ1937">
        <v>1</v>
      </c>
      <c r="BK1937">
        <v>0</v>
      </c>
      <c r="BL1937">
        <v>0</v>
      </c>
      <c r="BO1937">
        <v>0</v>
      </c>
      <c r="BP1937">
        <v>0</v>
      </c>
      <c r="BW1937" t="str">
        <f t="shared" si="915"/>
        <v>14:44:32.462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119</v>
      </c>
      <c r="CQ1937">
        <v>343</v>
      </c>
      <c r="CR1937">
        <v>2</v>
      </c>
      <c r="CW1937">
        <v>13094346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 t="shared" si="912"/>
        <v>05/12/2020 14:44:14.633</v>
      </c>
      <c r="C1938" t="str">
        <f t="shared" si="889"/>
        <v>FFDFD3C0</v>
      </c>
      <c r="D1938" t="s">
        <v>131</v>
      </c>
      <c r="E1938">
        <v>12</v>
      </c>
      <c r="F1938">
        <v>2012</v>
      </c>
      <c r="G1938" t="s">
        <v>137</v>
      </c>
      <c r="J1938" t="s">
        <v>133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913"/>
        <v>14:44:32.461</v>
      </c>
      <c r="T1938" t="str">
        <f t="shared" si="914"/>
        <v>14:44:32.161</v>
      </c>
      <c r="U1938" t="str">
        <f t="shared" si="910"/>
        <v>A9808D</v>
      </c>
      <c r="V1938">
        <v>0</v>
      </c>
      <c r="W1938">
        <v>0</v>
      </c>
      <c r="X1938">
        <v>1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0</v>
      </c>
      <c r="AI1938" t="s">
        <v>504</v>
      </c>
      <c r="AJ1938">
        <v>28.268744999999999</v>
      </c>
      <c r="AK1938" t="s">
        <v>505</v>
      </c>
      <c r="AL1938">
        <v>-82.354202000000001</v>
      </c>
      <c r="AM1938">
        <v>100</v>
      </c>
      <c r="AN1938">
        <v>1900</v>
      </c>
      <c r="AO1938" t="s">
        <v>118</v>
      </c>
      <c r="AP1938">
        <v>77</v>
      </c>
      <c r="AQ1938">
        <v>-67</v>
      </c>
      <c r="AR1938">
        <v>320</v>
      </c>
      <c r="AZ1938">
        <v>1200</v>
      </c>
      <c r="BA1938">
        <v>1</v>
      </c>
      <c r="BB1938" t="str">
        <f t="shared" si="890"/>
        <v xml:space="preserve">N711JA  </v>
      </c>
      <c r="BC1938">
        <v>1</v>
      </c>
      <c r="BE1938">
        <v>0</v>
      </c>
      <c r="BF1938">
        <v>0</v>
      </c>
      <c r="BG1938">
        <v>0</v>
      </c>
      <c r="BH1938">
        <v>2025</v>
      </c>
      <c r="BI1938">
        <v>1</v>
      </c>
      <c r="BJ1938">
        <v>1</v>
      </c>
      <c r="BK1938">
        <v>0</v>
      </c>
      <c r="BL1938">
        <v>0</v>
      </c>
      <c r="BO1938">
        <v>0</v>
      </c>
      <c r="BP1938">
        <v>0</v>
      </c>
      <c r="BW1938" t="str">
        <f t="shared" si="915"/>
        <v>14:44:32.462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7</v>
      </c>
      <c r="CP1938" t="s">
        <v>119</v>
      </c>
      <c r="CQ1938">
        <v>343</v>
      </c>
      <c r="CR1938">
        <v>2</v>
      </c>
      <c r="CW1938">
        <v>13094346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 t="shared" si="912"/>
        <v>05/12/2020 14:44:14.633</v>
      </c>
      <c r="C1939" t="str">
        <f t="shared" si="889"/>
        <v>FFDFD3C0</v>
      </c>
      <c r="D1939" t="s">
        <v>131</v>
      </c>
      <c r="E1939">
        <v>18</v>
      </c>
      <c r="F1939">
        <v>2018</v>
      </c>
      <c r="G1939" t="s">
        <v>161</v>
      </c>
      <c r="J1939" t="s">
        <v>133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913"/>
        <v>14:44:32.461</v>
      </c>
      <c r="T1939" t="str">
        <f t="shared" si="914"/>
        <v>14:44:32.161</v>
      </c>
      <c r="U1939" t="str">
        <f t="shared" si="910"/>
        <v>A9808D</v>
      </c>
      <c r="V1939">
        <v>0</v>
      </c>
      <c r="W1939">
        <v>0</v>
      </c>
      <c r="X1939">
        <v>1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0</v>
      </c>
      <c r="AI1939" t="s">
        <v>504</v>
      </c>
      <c r="AJ1939">
        <v>28.268744999999999</v>
      </c>
      <c r="AK1939" t="s">
        <v>505</v>
      </c>
      <c r="AL1939">
        <v>-82.354202000000001</v>
      </c>
      <c r="AM1939">
        <v>100</v>
      </c>
      <c r="AN1939">
        <v>1900</v>
      </c>
      <c r="AO1939" t="s">
        <v>118</v>
      </c>
      <c r="AP1939">
        <v>77</v>
      </c>
      <c r="AQ1939">
        <v>-67</v>
      </c>
      <c r="AR1939">
        <v>320</v>
      </c>
      <c r="AZ1939">
        <v>1200</v>
      </c>
      <c r="BA1939">
        <v>1</v>
      </c>
      <c r="BB1939" t="str">
        <f t="shared" si="890"/>
        <v xml:space="preserve">N711JA  </v>
      </c>
      <c r="BC1939">
        <v>1</v>
      </c>
      <c r="BE1939">
        <v>0</v>
      </c>
      <c r="BF1939">
        <v>0</v>
      </c>
      <c r="BG1939">
        <v>0</v>
      </c>
      <c r="BH1939">
        <v>2025</v>
      </c>
      <c r="BI1939">
        <v>1</v>
      </c>
      <c r="BJ1939">
        <v>1</v>
      </c>
      <c r="BK1939">
        <v>0</v>
      </c>
      <c r="BL1939">
        <v>0</v>
      </c>
      <c r="BO1939">
        <v>0</v>
      </c>
      <c r="BP1939">
        <v>0</v>
      </c>
      <c r="BW1939" t="str">
        <f t="shared" si="915"/>
        <v>14:44:32.462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343</v>
      </c>
      <c r="CR1939">
        <v>2</v>
      </c>
      <c r="CW1939">
        <v>13094346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 t="shared" ref="A1940:A1948" si="916">"05/12/2020 14:44:15.593"</f>
        <v>05/12/2020 14:44:15.593</v>
      </c>
      <c r="C1940" t="str">
        <f t="shared" si="889"/>
        <v>FFDFD3C0</v>
      </c>
      <c r="D1940" t="s">
        <v>134</v>
      </c>
      <c r="E1940">
        <v>12</v>
      </c>
      <c r="H1940">
        <v>64</v>
      </c>
      <c r="I1940" t="s">
        <v>135</v>
      </c>
      <c r="J1940" t="s">
        <v>136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ref="S1940:S1948" si="917">"14:44:33.414"</f>
        <v>14:44:33.414</v>
      </c>
      <c r="T1940" t="str">
        <f t="shared" ref="T1940:T1948" si="918">"14:44:33.014"</f>
        <v>14:44:33.014</v>
      </c>
      <c r="U1940" t="str">
        <f t="shared" si="910"/>
        <v>A9808D</v>
      </c>
      <c r="V1940">
        <v>0</v>
      </c>
      <c r="W1940">
        <v>0</v>
      </c>
      <c r="X1940">
        <v>1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0</v>
      </c>
      <c r="AI1940" t="s">
        <v>506</v>
      </c>
      <c r="AJ1940">
        <v>28.268466</v>
      </c>
      <c r="AK1940" t="s">
        <v>507</v>
      </c>
      <c r="AL1940">
        <v>-82.353836999999999</v>
      </c>
      <c r="AM1940">
        <v>100</v>
      </c>
      <c r="AN1940">
        <v>1900</v>
      </c>
      <c r="AO1940" t="s">
        <v>118</v>
      </c>
      <c r="AP1940">
        <v>77</v>
      </c>
      <c r="AQ1940">
        <v>-66</v>
      </c>
      <c r="AR1940">
        <v>320</v>
      </c>
      <c r="AZ1940">
        <v>1200</v>
      </c>
      <c r="BA1940">
        <v>1</v>
      </c>
      <c r="BB1940" t="str">
        <f t="shared" si="890"/>
        <v xml:space="preserve">N711JA  </v>
      </c>
      <c r="BC1940">
        <v>1</v>
      </c>
      <c r="BE1940">
        <v>0</v>
      </c>
      <c r="BF1940">
        <v>0</v>
      </c>
      <c r="BG1940">
        <v>0</v>
      </c>
      <c r="BH1940">
        <v>2025</v>
      </c>
      <c r="BI1940">
        <v>1</v>
      </c>
      <c r="BJ1940">
        <v>1</v>
      </c>
      <c r="BK1940">
        <v>0</v>
      </c>
      <c r="BL1940">
        <v>0</v>
      </c>
      <c r="BO1940">
        <v>0</v>
      </c>
      <c r="BP1940">
        <v>0</v>
      </c>
      <c r="BW1940" t="str">
        <f>"14:44:33.417"</f>
        <v>14:44:33.417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119</v>
      </c>
      <c r="CQ1940">
        <v>343</v>
      </c>
      <c r="CR1940">
        <v>1</v>
      </c>
      <c r="CW1940">
        <v>10729002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 t="shared" si="916"/>
        <v>05/12/2020 14:44:15.593</v>
      </c>
      <c r="C1941" t="str">
        <f t="shared" si="889"/>
        <v>FFDFD3C0</v>
      </c>
      <c r="D1941" t="s">
        <v>138</v>
      </c>
      <c r="E1941">
        <v>2</v>
      </c>
      <c r="H1941">
        <v>8</v>
      </c>
      <c r="I1941" t="s">
        <v>139</v>
      </c>
      <c r="J1941" t="s">
        <v>136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917"/>
        <v>14:44:33.414</v>
      </c>
      <c r="T1941" t="str">
        <f t="shared" si="918"/>
        <v>14:44:33.014</v>
      </c>
      <c r="U1941" t="str">
        <f t="shared" si="910"/>
        <v>A9808D</v>
      </c>
      <c r="V1941">
        <v>0</v>
      </c>
      <c r="W1941">
        <v>0</v>
      </c>
      <c r="X1941">
        <v>1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0</v>
      </c>
      <c r="AI1941" t="s">
        <v>506</v>
      </c>
      <c r="AJ1941">
        <v>28.268466</v>
      </c>
      <c r="AK1941" t="s">
        <v>507</v>
      </c>
      <c r="AL1941">
        <v>-82.353836999999999</v>
      </c>
      <c r="AM1941">
        <v>100</v>
      </c>
      <c r="AN1941">
        <v>1900</v>
      </c>
      <c r="AO1941" t="s">
        <v>118</v>
      </c>
      <c r="AP1941">
        <v>77</v>
      </c>
      <c r="AQ1941">
        <v>-66</v>
      </c>
      <c r="AR1941">
        <v>320</v>
      </c>
      <c r="AZ1941">
        <v>1200</v>
      </c>
      <c r="BA1941">
        <v>1</v>
      </c>
      <c r="BB1941" t="str">
        <f t="shared" si="890"/>
        <v xml:space="preserve">N711JA  </v>
      </c>
      <c r="BC1941">
        <v>1</v>
      </c>
      <c r="BE1941">
        <v>0</v>
      </c>
      <c r="BF1941">
        <v>0</v>
      </c>
      <c r="BG1941">
        <v>0</v>
      </c>
      <c r="BH1941">
        <v>2025</v>
      </c>
      <c r="BI1941">
        <v>1</v>
      </c>
      <c r="BJ1941">
        <v>1</v>
      </c>
      <c r="BK1941">
        <v>0</v>
      </c>
      <c r="BL1941">
        <v>0</v>
      </c>
      <c r="BO1941">
        <v>0</v>
      </c>
      <c r="BP1941">
        <v>0</v>
      </c>
      <c r="BW1941" t="str">
        <f t="shared" ref="BW1941:BW1948" si="919">"14:44:33.418"</f>
        <v>14:44:33.418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119</v>
      </c>
      <c r="CQ1941">
        <v>56</v>
      </c>
      <c r="CR1941">
        <v>2</v>
      </c>
      <c r="CW1941">
        <v>4790181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 t="shared" si="916"/>
        <v>05/12/2020 14:44:15.593</v>
      </c>
      <c r="C1942" t="str">
        <f t="shared" ref="C1942:C2005" si="920">"FFDFD3C0"</f>
        <v>FFDFD3C0</v>
      </c>
      <c r="D1942" t="s">
        <v>138</v>
      </c>
      <c r="E1942">
        <v>3</v>
      </c>
      <c r="H1942">
        <v>9</v>
      </c>
      <c r="I1942" t="s">
        <v>140</v>
      </c>
      <c r="J1942" t="s">
        <v>136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917"/>
        <v>14:44:33.414</v>
      </c>
      <c r="T1942" t="str">
        <f t="shared" si="918"/>
        <v>14:44:33.014</v>
      </c>
      <c r="U1942" t="str">
        <f t="shared" si="910"/>
        <v>A9808D</v>
      </c>
      <c r="V1942">
        <v>0</v>
      </c>
      <c r="W1942">
        <v>0</v>
      </c>
      <c r="X1942">
        <v>1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0</v>
      </c>
      <c r="AI1942" t="s">
        <v>506</v>
      </c>
      <c r="AJ1942">
        <v>28.268466</v>
      </c>
      <c r="AK1942" t="s">
        <v>507</v>
      </c>
      <c r="AL1942">
        <v>-82.353836999999999</v>
      </c>
      <c r="AM1942">
        <v>100</v>
      </c>
      <c r="AN1942">
        <v>1900</v>
      </c>
      <c r="AO1942" t="s">
        <v>118</v>
      </c>
      <c r="AP1942">
        <v>77</v>
      </c>
      <c r="AQ1942">
        <v>-66</v>
      </c>
      <c r="AR1942">
        <v>320</v>
      </c>
      <c r="AZ1942">
        <v>1200</v>
      </c>
      <c r="BA1942">
        <v>1</v>
      </c>
      <c r="BB1942" t="str">
        <f t="shared" ref="BB1942:BB2005" si="921">"N711JA  "</f>
        <v xml:space="preserve">N711JA  </v>
      </c>
      <c r="BC1942">
        <v>1</v>
      </c>
      <c r="BE1942">
        <v>0</v>
      </c>
      <c r="BF1942">
        <v>0</v>
      </c>
      <c r="BG1942">
        <v>0</v>
      </c>
      <c r="BH1942">
        <v>2025</v>
      </c>
      <c r="BI1942">
        <v>1</v>
      </c>
      <c r="BJ1942">
        <v>1</v>
      </c>
      <c r="BK1942">
        <v>0</v>
      </c>
      <c r="BL1942">
        <v>0</v>
      </c>
      <c r="BO1942">
        <v>0</v>
      </c>
      <c r="BP1942">
        <v>0</v>
      </c>
      <c r="BW1942" t="str">
        <f t="shared" si="919"/>
        <v>14:44:33.418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56</v>
      </c>
      <c r="CR1942">
        <v>2</v>
      </c>
      <c r="CW1942">
        <v>4790181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 t="shared" si="916"/>
        <v>05/12/2020 14:44:15.593</v>
      </c>
      <c r="C1943" t="str">
        <f t="shared" si="920"/>
        <v>FFDFD3C0</v>
      </c>
      <c r="D1943" t="s">
        <v>126</v>
      </c>
      <c r="E1943">
        <v>6</v>
      </c>
      <c r="F1943">
        <v>1006</v>
      </c>
      <c r="G1943" t="s">
        <v>114</v>
      </c>
      <c r="J1943" t="s">
        <v>128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917"/>
        <v>14:44:33.414</v>
      </c>
      <c r="T1943" t="str">
        <f t="shared" si="918"/>
        <v>14:44:33.014</v>
      </c>
      <c r="U1943" t="str">
        <f t="shared" si="910"/>
        <v>A9808D</v>
      </c>
      <c r="V1943">
        <v>0</v>
      </c>
      <c r="W1943">
        <v>0</v>
      </c>
      <c r="X1943">
        <v>1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0</v>
      </c>
      <c r="AI1943" t="s">
        <v>506</v>
      </c>
      <c r="AJ1943">
        <v>28.268466</v>
      </c>
      <c r="AK1943" t="s">
        <v>507</v>
      </c>
      <c r="AL1943">
        <v>-82.353836999999999</v>
      </c>
      <c r="AM1943">
        <v>100</v>
      </c>
      <c r="AN1943">
        <v>1900</v>
      </c>
      <c r="AO1943" t="s">
        <v>118</v>
      </c>
      <c r="AP1943">
        <v>77</v>
      </c>
      <c r="AQ1943">
        <v>-66</v>
      </c>
      <c r="AR1943">
        <v>320</v>
      </c>
      <c r="AZ1943">
        <v>1200</v>
      </c>
      <c r="BA1943">
        <v>1</v>
      </c>
      <c r="BB1943" t="str">
        <f t="shared" si="921"/>
        <v xml:space="preserve">N711JA  </v>
      </c>
      <c r="BC1943">
        <v>1</v>
      </c>
      <c r="BE1943">
        <v>0</v>
      </c>
      <c r="BF1943">
        <v>0</v>
      </c>
      <c r="BG1943">
        <v>0</v>
      </c>
      <c r="BH1943">
        <v>2025</v>
      </c>
      <c r="BI1943">
        <v>1</v>
      </c>
      <c r="BJ1943">
        <v>1</v>
      </c>
      <c r="BK1943">
        <v>0</v>
      </c>
      <c r="BL1943">
        <v>0</v>
      </c>
      <c r="BO1943">
        <v>0</v>
      </c>
      <c r="BP1943">
        <v>0</v>
      </c>
      <c r="BW1943" t="str">
        <f t="shared" si="919"/>
        <v>14:44:33.418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56</v>
      </c>
      <c r="CR1943">
        <v>2</v>
      </c>
      <c r="CW1943">
        <v>4790181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 t="shared" si="916"/>
        <v>05/12/2020 14:44:15.593</v>
      </c>
      <c r="C1944" t="str">
        <f t="shared" si="920"/>
        <v>FFDFD3C0</v>
      </c>
      <c r="D1944" t="s">
        <v>131</v>
      </c>
      <c r="E1944">
        <v>10</v>
      </c>
      <c r="F1944">
        <v>2010</v>
      </c>
      <c r="G1944" t="s">
        <v>132</v>
      </c>
      <c r="J1944" t="s">
        <v>133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917"/>
        <v>14:44:33.414</v>
      </c>
      <c r="T1944" t="str">
        <f t="shared" si="918"/>
        <v>14:44:33.014</v>
      </c>
      <c r="U1944" t="str">
        <f t="shared" si="910"/>
        <v>A9808D</v>
      </c>
      <c r="V1944">
        <v>0</v>
      </c>
      <c r="W1944">
        <v>0</v>
      </c>
      <c r="X1944">
        <v>1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0</v>
      </c>
      <c r="AI1944" t="s">
        <v>506</v>
      </c>
      <c r="AJ1944">
        <v>28.268466</v>
      </c>
      <c r="AK1944" t="s">
        <v>507</v>
      </c>
      <c r="AL1944">
        <v>-82.353836999999999</v>
      </c>
      <c r="AM1944">
        <v>100</v>
      </c>
      <c r="AN1944">
        <v>1900</v>
      </c>
      <c r="AO1944" t="s">
        <v>118</v>
      </c>
      <c r="AP1944">
        <v>77</v>
      </c>
      <c r="AQ1944">
        <v>-66</v>
      </c>
      <c r="AR1944">
        <v>320</v>
      </c>
      <c r="AZ1944">
        <v>1200</v>
      </c>
      <c r="BA1944">
        <v>1</v>
      </c>
      <c r="BB1944" t="str">
        <f t="shared" si="921"/>
        <v xml:space="preserve">N711JA  </v>
      </c>
      <c r="BC1944">
        <v>1</v>
      </c>
      <c r="BE1944">
        <v>0</v>
      </c>
      <c r="BF1944">
        <v>0</v>
      </c>
      <c r="BG1944">
        <v>0</v>
      </c>
      <c r="BH1944">
        <v>2025</v>
      </c>
      <c r="BI1944">
        <v>1</v>
      </c>
      <c r="BJ1944">
        <v>1</v>
      </c>
      <c r="BK1944">
        <v>0</v>
      </c>
      <c r="BL1944">
        <v>0</v>
      </c>
      <c r="BO1944">
        <v>0</v>
      </c>
      <c r="BP1944">
        <v>0</v>
      </c>
      <c r="BW1944" t="str">
        <f t="shared" si="919"/>
        <v>14:44:33.418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56</v>
      </c>
      <c r="CR1944">
        <v>2</v>
      </c>
      <c r="CW1944">
        <v>4790181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 t="shared" si="916"/>
        <v>05/12/2020 14:44:15.593</v>
      </c>
      <c r="C1945" t="str">
        <f t="shared" si="920"/>
        <v>FFDFD3C0</v>
      </c>
      <c r="D1945" t="s">
        <v>131</v>
      </c>
      <c r="E1945">
        <v>12</v>
      </c>
      <c r="F1945">
        <v>2012</v>
      </c>
      <c r="G1945" t="s">
        <v>137</v>
      </c>
      <c r="J1945" t="s">
        <v>133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917"/>
        <v>14:44:33.414</v>
      </c>
      <c r="T1945" t="str">
        <f t="shared" si="918"/>
        <v>14:44:33.014</v>
      </c>
      <c r="U1945" t="str">
        <f t="shared" si="910"/>
        <v>A9808D</v>
      </c>
      <c r="V1945">
        <v>0</v>
      </c>
      <c r="W1945">
        <v>0</v>
      </c>
      <c r="X1945">
        <v>1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0</v>
      </c>
      <c r="AI1945" t="s">
        <v>506</v>
      </c>
      <c r="AJ1945">
        <v>28.268466</v>
      </c>
      <c r="AK1945" t="s">
        <v>507</v>
      </c>
      <c r="AL1945">
        <v>-82.353836999999999</v>
      </c>
      <c r="AM1945">
        <v>100</v>
      </c>
      <c r="AN1945">
        <v>1900</v>
      </c>
      <c r="AO1945" t="s">
        <v>118</v>
      </c>
      <c r="AP1945">
        <v>77</v>
      </c>
      <c r="AQ1945">
        <v>-66</v>
      </c>
      <c r="AR1945">
        <v>320</v>
      </c>
      <c r="AZ1945">
        <v>1200</v>
      </c>
      <c r="BA1945">
        <v>1</v>
      </c>
      <c r="BB1945" t="str">
        <f t="shared" si="921"/>
        <v xml:space="preserve">N711JA  </v>
      </c>
      <c r="BC1945">
        <v>1</v>
      </c>
      <c r="BE1945">
        <v>0</v>
      </c>
      <c r="BF1945">
        <v>0</v>
      </c>
      <c r="BG1945">
        <v>0</v>
      </c>
      <c r="BH1945">
        <v>2025</v>
      </c>
      <c r="BI1945">
        <v>1</v>
      </c>
      <c r="BJ1945">
        <v>1</v>
      </c>
      <c r="BK1945">
        <v>0</v>
      </c>
      <c r="BL1945">
        <v>0</v>
      </c>
      <c r="BO1945">
        <v>0</v>
      </c>
      <c r="BP1945">
        <v>0</v>
      </c>
      <c r="BW1945" t="str">
        <f t="shared" si="919"/>
        <v>14:44:33.418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56</v>
      </c>
      <c r="CR1945">
        <v>2</v>
      </c>
      <c r="CW1945">
        <v>4790181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 t="shared" si="916"/>
        <v>05/12/2020 14:44:15.593</v>
      </c>
      <c r="C1946" t="str">
        <f t="shared" si="920"/>
        <v>FFDFD3C0</v>
      </c>
      <c r="D1946" t="s">
        <v>113</v>
      </c>
      <c r="E1946">
        <v>3</v>
      </c>
      <c r="H1946">
        <v>164</v>
      </c>
      <c r="I1946" t="s">
        <v>114</v>
      </c>
      <c r="J1946" t="s">
        <v>115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917"/>
        <v>14:44:33.414</v>
      </c>
      <c r="T1946" t="str">
        <f t="shared" si="918"/>
        <v>14:44:33.014</v>
      </c>
      <c r="U1946" t="str">
        <f t="shared" si="910"/>
        <v>A9808D</v>
      </c>
      <c r="V1946">
        <v>0</v>
      </c>
      <c r="W1946">
        <v>0</v>
      </c>
      <c r="X1946">
        <v>1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0</v>
      </c>
      <c r="AI1946" t="s">
        <v>506</v>
      </c>
      <c r="AJ1946">
        <v>28.268466</v>
      </c>
      <c r="AK1946" t="s">
        <v>507</v>
      </c>
      <c r="AL1946">
        <v>-82.353836999999999</v>
      </c>
      <c r="AM1946">
        <v>100</v>
      </c>
      <c r="AN1946">
        <v>1900</v>
      </c>
      <c r="AO1946" t="s">
        <v>118</v>
      </c>
      <c r="AP1946">
        <v>77</v>
      </c>
      <c r="AQ1946">
        <v>-66</v>
      </c>
      <c r="AR1946">
        <v>320</v>
      </c>
      <c r="AZ1946">
        <v>1200</v>
      </c>
      <c r="BA1946">
        <v>1</v>
      </c>
      <c r="BB1946" t="str">
        <f t="shared" si="921"/>
        <v xml:space="preserve">N711JA  </v>
      </c>
      <c r="BC1946">
        <v>1</v>
      </c>
      <c r="BE1946">
        <v>0</v>
      </c>
      <c r="BF1946">
        <v>0</v>
      </c>
      <c r="BG1946">
        <v>0</v>
      </c>
      <c r="BH1946">
        <v>2025</v>
      </c>
      <c r="BI1946">
        <v>1</v>
      </c>
      <c r="BJ1946">
        <v>1</v>
      </c>
      <c r="BK1946">
        <v>0</v>
      </c>
      <c r="BL1946">
        <v>0</v>
      </c>
      <c r="BO1946">
        <v>0</v>
      </c>
      <c r="BP1946">
        <v>0</v>
      </c>
      <c r="BW1946" t="str">
        <f t="shared" si="919"/>
        <v>14:44:33.418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56</v>
      </c>
      <c r="CR1946">
        <v>2</v>
      </c>
      <c r="CW1946">
        <v>4790181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 t="shared" si="916"/>
        <v>05/12/2020 14:44:15.593</v>
      </c>
      <c r="C1947" t="str">
        <f t="shared" si="920"/>
        <v>FFDFD3C0</v>
      </c>
      <c r="D1947" t="s">
        <v>131</v>
      </c>
      <c r="E1947">
        <v>18</v>
      </c>
      <c r="F1947">
        <v>2018</v>
      </c>
      <c r="G1947" t="s">
        <v>161</v>
      </c>
      <c r="J1947" t="s">
        <v>133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917"/>
        <v>14:44:33.414</v>
      </c>
      <c r="T1947" t="str">
        <f t="shared" si="918"/>
        <v>14:44:33.014</v>
      </c>
      <c r="U1947" t="str">
        <f t="shared" si="910"/>
        <v>A9808D</v>
      </c>
      <c r="V1947">
        <v>0</v>
      </c>
      <c r="W1947">
        <v>0</v>
      </c>
      <c r="X1947">
        <v>1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0</v>
      </c>
      <c r="AI1947" t="s">
        <v>506</v>
      </c>
      <c r="AJ1947">
        <v>28.268466</v>
      </c>
      <c r="AK1947" t="s">
        <v>507</v>
      </c>
      <c r="AL1947">
        <v>-82.353836999999999</v>
      </c>
      <c r="AM1947">
        <v>100</v>
      </c>
      <c r="AN1947">
        <v>1900</v>
      </c>
      <c r="AO1947" t="s">
        <v>118</v>
      </c>
      <c r="AP1947">
        <v>77</v>
      </c>
      <c r="AQ1947">
        <v>-66</v>
      </c>
      <c r="AR1947">
        <v>320</v>
      </c>
      <c r="AZ1947">
        <v>1200</v>
      </c>
      <c r="BA1947">
        <v>1</v>
      </c>
      <c r="BB1947" t="str">
        <f t="shared" si="921"/>
        <v xml:space="preserve">N711JA  </v>
      </c>
      <c r="BC1947">
        <v>1</v>
      </c>
      <c r="BE1947">
        <v>0</v>
      </c>
      <c r="BF1947">
        <v>0</v>
      </c>
      <c r="BG1947">
        <v>0</v>
      </c>
      <c r="BH1947">
        <v>2025</v>
      </c>
      <c r="BI1947">
        <v>1</v>
      </c>
      <c r="BJ1947">
        <v>1</v>
      </c>
      <c r="BK1947">
        <v>0</v>
      </c>
      <c r="BL1947">
        <v>0</v>
      </c>
      <c r="BO1947">
        <v>0</v>
      </c>
      <c r="BP1947">
        <v>0</v>
      </c>
      <c r="BW1947" t="str">
        <f t="shared" si="919"/>
        <v>14:44:33.418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56</v>
      </c>
      <c r="CR1947">
        <v>2</v>
      </c>
      <c r="CW1947">
        <v>4790181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 t="shared" si="916"/>
        <v>05/12/2020 14:44:15.593</v>
      </c>
      <c r="C1948" t="str">
        <f t="shared" si="920"/>
        <v>FFDFD3C0</v>
      </c>
      <c r="D1948" t="s">
        <v>126</v>
      </c>
      <c r="E1948">
        <v>7</v>
      </c>
      <c r="F1948">
        <v>1007</v>
      </c>
      <c r="G1948" t="s">
        <v>127</v>
      </c>
      <c r="J1948" t="s">
        <v>128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917"/>
        <v>14:44:33.414</v>
      </c>
      <c r="T1948" t="str">
        <f t="shared" si="918"/>
        <v>14:44:33.014</v>
      </c>
      <c r="U1948" t="str">
        <f t="shared" si="910"/>
        <v>A9808D</v>
      </c>
      <c r="V1948">
        <v>0</v>
      </c>
      <c r="W1948">
        <v>0</v>
      </c>
      <c r="X1948">
        <v>1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0</v>
      </c>
      <c r="AI1948" t="s">
        <v>506</v>
      </c>
      <c r="AJ1948">
        <v>28.268466</v>
      </c>
      <c r="AK1948" t="s">
        <v>507</v>
      </c>
      <c r="AL1948">
        <v>-82.353836999999999</v>
      </c>
      <c r="AM1948">
        <v>100</v>
      </c>
      <c r="AN1948">
        <v>1900</v>
      </c>
      <c r="AO1948" t="s">
        <v>118</v>
      </c>
      <c r="AP1948">
        <v>77</v>
      </c>
      <c r="AQ1948">
        <v>-66</v>
      </c>
      <c r="AR1948">
        <v>320</v>
      </c>
      <c r="AZ1948">
        <v>1200</v>
      </c>
      <c r="BA1948">
        <v>1</v>
      </c>
      <c r="BB1948" t="str">
        <f t="shared" si="921"/>
        <v xml:space="preserve">N711JA  </v>
      </c>
      <c r="BC1948">
        <v>1</v>
      </c>
      <c r="BE1948">
        <v>0</v>
      </c>
      <c r="BF1948">
        <v>0</v>
      </c>
      <c r="BG1948">
        <v>0</v>
      </c>
      <c r="BH1948">
        <v>2025</v>
      </c>
      <c r="BI1948">
        <v>1</v>
      </c>
      <c r="BJ1948">
        <v>1</v>
      </c>
      <c r="BK1948">
        <v>0</v>
      </c>
      <c r="BL1948">
        <v>0</v>
      </c>
      <c r="BO1948">
        <v>0</v>
      </c>
      <c r="BP1948">
        <v>0</v>
      </c>
      <c r="BW1948" t="str">
        <f t="shared" si="919"/>
        <v>14:44:33.418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56</v>
      </c>
      <c r="CR1948">
        <v>2</v>
      </c>
      <c r="CW1948">
        <v>4790181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 t="shared" ref="A1949:A1957" si="922">"05/12/2020 14:44:16.553"</f>
        <v>05/12/2020 14:44:16.553</v>
      </c>
      <c r="C1949" t="str">
        <f t="shared" si="920"/>
        <v>FFDFD3C0</v>
      </c>
      <c r="D1949" t="s">
        <v>126</v>
      </c>
      <c r="E1949">
        <v>6</v>
      </c>
      <c r="F1949">
        <v>1006</v>
      </c>
      <c r="G1949" t="s">
        <v>114</v>
      </c>
      <c r="J1949" t="s">
        <v>128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ref="S1949:S1957" si="923">"14:44:34.359"</f>
        <v>14:44:34.359</v>
      </c>
      <c r="T1949" t="str">
        <f t="shared" ref="T1949:T1957" si="924">"14:44:34.059"</f>
        <v>14:44:34.059</v>
      </c>
      <c r="U1949" t="str">
        <f t="shared" si="910"/>
        <v>A9808D</v>
      </c>
      <c r="V1949">
        <v>0</v>
      </c>
      <c r="W1949">
        <v>0</v>
      </c>
      <c r="X1949">
        <v>1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0</v>
      </c>
      <c r="AI1949" t="s">
        <v>508</v>
      </c>
      <c r="AJ1949">
        <v>28.268143999999999</v>
      </c>
      <c r="AK1949" t="s">
        <v>509</v>
      </c>
      <c r="AL1949">
        <v>-82.353451000000007</v>
      </c>
      <c r="AM1949">
        <v>100</v>
      </c>
      <c r="AN1949">
        <v>2000</v>
      </c>
      <c r="AO1949" t="s">
        <v>118</v>
      </c>
      <c r="AP1949">
        <v>78</v>
      </c>
      <c r="AQ1949">
        <v>-66</v>
      </c>
      <c r="AR1949">
        <v>320</v>
      </c>
      <c r="AZ1949">
        <v>1200</v>
      </c>
      <c r="BA1949">
        <v>1</v>
      </c>
      <c r="BB1949" t="str">
        <f t="shared" si="921"/>
        <v xml:space="preserve">N711JA  </v>
      </c>
      <c r="BC1949">
        <v>1</v>
      </c>
      <c r="BE1949">
        <v>0</v>
      </c>
      <c r="BF1949">
        <v>0</v>
      </c>
      <c r="BG1949">
        <v>0</v>
      </c>
      <c r="BH1949">
        <v>2050</v>
      </c>
      <c r="BI1949">
        <v>1</v>
      </c>
      <c r="BJ1949">
        <v>1</v>
      </c>
      <c r="BK1949">
        <v>0</v>
      </c>
      <c r="BL1949">
        <v>0</v>
      </c>
      <c r="BO1949">
        <v>0</v>
      </c>
      <c r="BP1949">
        <v>0</v>
      </c>
      <c r="BW1949" t="str">
        <f t="shared" ref="BW1949:BW1957" si="925">"14:44:34.361"</f>
        <v>14:44:34.361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343</v>
      </c>
      <c r="CR1949">
        <v>1</v>
      </c>
      <c r="CW1949">
        <v>10729990</v>
      </c>
      <c r="CY1949">
        <v>1</v>
      </c>
      <c r="CZ1949">
        <v>0</v>
      </c>
      <c r="DA1949">
        <v>0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 t="shared" si="922"/>
        <v>05/12/2020 14:44:16.553</v>
      </c>
      <c r="C1950" t="str">
        <f t="shared" si="920"/>
        <v>FFDFD3C0</v>
      </c>
      <c r="D1950" t="s">
        <v>138</v>
      </c>
      <c r="E1950">
        <v>2</v>
      </c>
      <c r="H1950">
        <v>8</v>
      </c>
      <c r="I1950" t="s">
        <v>139</v>
      </c>
      <c r="J1950" t="s">
        <v>136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923"/>
        <v>14:44:34.359</v>
      </c>
      <c r="T1950" t="str">
        <f t="shared" si="924"/>
        <v>14:44:34.059</v>
      </c>
      <c r="U1950" t="str">
        <f t="shared" si="910"/>
        <v>A9808D</v>
      </c>
      <c r="V1950">
        <v>0</v>
      </c>
      <c r="W1950">
        <v>0</v>
      </c>
      <c r="X1950">
        <v>1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0</v>
      </c>
      <c r="AI1950" t="s">
        <v>508</v>
      </c>
      <c r="AJ1950">
        <v>28.268143999999999</v>
      </c>
      <c r="AK1950" t="s">
        <v>509</v>
      </c>
      <c r="AL1950">
        <v>-82.353451000000007</v>
      </c>
      <c r="AM1950">
        <v>100</v>
      </c>
      <c r="AN1950">
        <v>2000</v>
      </c>
      <c r="AO1950" t="s">
        <v>118</v>
      </c>
      <c r="AP1950">
        <v>78</v>
      </c>
      <c r="AQ1950">
        <v>-66</v>
      </c>
      <c r="AR1950">
        <v>320</v>
      </c>
      <c r="AZ1950">
        <v>1200</v>
      </c>
      <c r="BA1950">
        <v>1</v>
      </c>
      <c r="BB1950" t="str">
        <f t="shared" si="921"/>
        <v xml:space="preserve">N711JA  </v>
      </c>
      <c r="BC1950">
        <v>1</v>
      </c>
      <c r="BE1950">
        <v>0</v>
      </c>
      <c r="BF1950">
        <v>0</v>
      </c>
      <c r="BG1950">
        <v>0</v>
      </c>
      <c r="BH1950">
        <v>2050</v>
      </c>
      <c r="BI1950">
        <v>1</v>
      </c>
      <c r="BJ1950">
        <v>1</v>
      </c>
      <c r="BK1950">
        <v>0</v>
      </c>
      <c r="BL1950">
        <v>0</v>
      </c>
      <c r="BO1950">
        <v>0</v>
      </c>
      <c r="BP1950">
        <v>0</v>
      </c>
      <c r="BW1950" t="str">
        <f t="shared" si="925"/>
        <v>14:44:34.361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343</v>
      </c>
      <c r="CR1950">
        <v>1</v>
      </c>
      <c r="CW1950">
        <v>10729990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 t="shared" si="922"/>
        <v>05/12/2020 14:44:16.553</v>
      </c>
      <c r="C1951" t="str">
        <f t="shared" si="920"/>
        <v>FFDFD3C0</v>
      </c>
      <c r="D1951" t="s">
        <v>134</v>
      </c>
      <c r="E1951">
        <v>12</v>
      </c>
      <c r="H1951">
        <v>64</v>
      </c>
      <c r="I1951" t="s">
        <v>135</v>
      </c>
      <c r="J1951" t="s">
        <v>136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923"/>
        <v>14:44:34.359</v>
      </c>
      <c r="T1951" t="str">
        <f t="shared" si="924"/>
        <v>14:44:34.059</v>
      </c>
      <c r="U1951" t="str">
        <f t="shared" si="910"/>
        <v>A9808D</v>
      </c>
      <c r="V1951">
        <v>0</v>
      </c>
      <c r="W1951">
        <v>0</v>
      </c>
      <c r="X1951">
        <v>1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0</v>
      </c>
      <c r="AI1951" t="s">
        <v>508</v>
      </c>
      <c r="AJ1951">
        <v>28.268143999999999</v>
      </c>
      <c r="AK1951" t="s">
        <v>509</v>
      </c>
      <c r="AL1951">
        <v>-82.353451000000007</v>
      </c>
      <c r="AM1951">
        <v>100</v>
      </c>
      <c r="AN1951">
        <v>2000</v>
      </c>
      <c r="AO1951" t="s">
        <v>118</v>
      </c>
      <c r="AP1951">
        <v>78</v>
      </c>
      <c r="AQ1951">
        <v>-66</v>
      </c>
      <c r="AR1951">
        <v>320</v>
      </c>
      <c r="AZ1951">
        <v>1200</v>
      </c>
      <c r="BA1951">
        <v>1</v>
      </c>
      <c r="BB1951" t="str">
        <f t="shared" si="921"/>
        <v xml:space="preserve">N711JA  </v>
      </c>
      <c r="BC1951">
        <v>1</v>
      </c>
      <c r="BE1951">
        <v>0</v>
      </c>
      <c r="BF1951">
        <v>0</v>
      </c>
      <c r="BG1951">
        <v>0</v>
      </c>
      <c r="BH1951">
        <v>2050</v>
      </c>
      <c r="BI1951">
        <v>1</v>
      </c>
      <c r="BJ1951">
        <v>1</v>
      </c>
      <c r="BK1951">
        <v>0</v>
      </c>
      <c r="BL1951">
        <v>0</v>
      </c>
      <c r="BO1951">
        <v>0</v>
      </c>
      <c r="BP1951">
        <v>0</v>
      </c>
      <c r="BW1951" t="str">
        <f t="shared" si="925"/>
        <v>14:44:34.361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343</v>
      </c>
      <c r="CR1951">
        <v>1</v>
      </c>
      <c r="CW1951">
        <v>10729990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 t="shared" si="922"/>
        <v>05/12/2020 14:44:16.553</v>
      </c>
      <c r="C1952" t="str">
        <f t="shared" si="920"/>
        <v>FFDFD3C0</v>
      </c>
      <c r="D1952" t="s">
        <v>138</v>
      </c>
      <c r="E1952">
        <v>3</v>
      </c>
      <c r="H1952">
        <v>9</v>
      </c>
      <c r="I1952" t="s">
        <v>140</v>
      </c>
      <c r="J1952" t="s">
        <v>136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923"/>
        <v>14:44:34.359</v>
      </c>
      <c r="T1952" t="str">
        <f t="shared" si="924"/>
        <v>14:44:34.059</v>
      </c>
      <c r="U1952" t="str">
        <f t="shared" si="910"/>
        <v>A9808D</v>
      </c>
      <c r="V1952">
        <v>0</v>
      </c>
      <c r="W1952">
        <v>0</v>
      </c>
      <c r="X1952">
        <v>1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0</v>
      </c>
      <c r="AI1952" t="s">
        <v>508</v>
      </c>
      <c r="AJ1952">
        <v>28.268143999999999</v>
      </c>
      <c r="AK1952" t="s">
        <v>509</v>
      </c>
      <c r="AL1952">
        <v>-82.353451000000007</v>
      </c>
      <c r="AM1952">
        <v>100</v>
      </c>
      <c r="AN1952">
        <v>2000</v>
      </c>
      <c r="AO1952" t="s">
        <v>118</v>
      </c>
      <c r="AP1952">
        <v>78</v>
      </c>
      <c r="AQ1952">
        <v>-66</v>
      </c>
      <c r="AR1952">
        <v>320</v>
      </c>
      <c r="AZ1952">
        <v>1200</v>
      </c>
      <c r="BA1952">
        <v>1</v>
      </c>
      <c r="BB1952" t="str">
        <f t="shared" si="921"/>
        <v xml:space="preserve">N711JA  </v>
      </c>
      <c r="BC1952">
        <v>1</v>
      </c>
      <c r="BE1952">
        <v>0</v>
      </c>
      <c r="BF1952">
        <v>0</v>
      </c>
      <c r="BG1952">
        <v>0</v>
      </c>
      <c r="BH1952">
        <v>2050</v>
      </c>
      <c r="BI1952">
        <v>1</v>
      </c>
      <c r="BJ1952">
        <v>1</v>
      </c>
      <c r="BK1952">
        <v>0</v>
      </c>
      <c r="BL1952">
        <v>0</v>
      </c>
      <c r="BO1952">
        <v>0</v>
      </c>
      <c r="BP1952">
        <v>0</v>
      </c>
      <c r="BW1952" t="str">
        <f t="shared" si="925"/>
        <v>14:44:34.361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343</v>
      </c>
      <c r="CR1952">
        <v>1</v>
      </c>
      <c r="CW1952">
        <v>10729990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 t="shared" si="922"/>
        <v>05/12/2020 14:44:16.553</v>
      </c>
      <c r="C1953" t="str">
        <f t="shared" si="920"/>
        <v>FFDFD3C0</v>
      </c>
      <c r="D1953" t="s">
        <v>126</v>
      </c>
      <c r="E1953">
        <v>7</v>
      </c>
      <c r="F1953">
        <v>1007</v>
      </c>
      <c r="G1953" t="s">
        <v>127</v>
      </c>
      <c r="J1953" t="s">
        <v>128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923"/>
        <v>14:44:34.359</v>
      </c>
      <c r="T1953" t="str">
        <f t="shared" si="924"/>
        <v>14:44:34.059</v>
      </c>
      <c r="U1953" t="str">
        <f t="shared" si="910"/>
        <v>A9808D</v>
      </c>
      <c r="V1953">
        <v>0</v>
      </c>
      <c r="W1953">
        <v>0</v>
      </c>
      <c r="X1953">
        <v>1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0</v>
      </c>
      <c r="AI1953" t="s">
        <v>508</v>
      </c>
      <c r="AJ1953">
        <v>28.268143999999999</v>
      </c>
      <c r="AK1953" t="s">
        <v>509</v>
      </c>
      <c r="AL1953">
        <v>-82.353451000000007</v>
      </c>
      <c r="AM1953">
        <v>100</v>
      </c>
      <c r="AN1953">
        <v>2000</v>
      </c>
      <c r="AO1953" t="s">
        <v>118</v>
      </c>
      <c r="AP1953">
        <v>78</v>
      </c>
      <c r="AQ1953">
        <v>-66</v>
      </c>
      <c r="AR1953">
        <v>320</v>
      </c>
      <c r="AZ1953">
        <v>1200</v>
      </c>
      <c r="BA1953">
        <v>1</v>
      </c>
      <c r="BB1953" t="str">
        <f t="shared" si="921"/>
        <v xml:space="preserve">N711JA  </v>
      </c>
      <c r="BC1953">
        <v>1</v>
      </c>
      <c r="BE1953">
        <v>0</v>
      </c>
      <c r="BF1953">
        <v>0</v>
      </c>
      <c r="BG1953">
        <v>0</v>
      </c>
      <c r="BH1953">
        <v>2050</v>
      </c>
      <c r="BI1953">
        <v>1</v>
      </c>
      <c r="BJ1953">
        <v>1</v>
      </c>
      <c r="BK1953">
        <v>0</v>
      </c>
      <c r="BL1953">
        <v>0</v>
      </c>
      <c r="BO1953">
        <v>0</v>
      </c>
      <c r="BP1953">
        <v>0</v>
      </c>
      <c r="BW1953" t="str">
        <f t="shared" si="925"/>
        <v>14:44:34.361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343</v>
      </c>
      <c r="CR1953">
        <v>1</v>
      </c>
      <c r="CW1953">
        <v>10729990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 t="shared" si="922"/>
        <v>05/12/2020 14:44:16.553</v>
      </c>
      <c r="C1954" t="str">
        <f t="shared" si="920"/>
        <v>FFDFD3C0</v>
      </c>
      <c r="D1954" t="s">
        <v>131</v>
      </c>
      <c r="E1954">
        <v>10</v>
      </c>
      <c r="F1954">
        <v>2010</v>
      </c>
      <c r="G1954" t="s">
        <v>132</v>
      </c>
      <c r="J1954" t="s">
        <v>133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923"/>
        <v>14:44:34.359</v>
      </c>
      <c r="T1954" t="str">
        <f t="shared" si="924"/>
        <v>14:44:34.059</v>
      </c>
      <c r="U1954" t="str">
        <f t="shared" si="910"/>
        <v>A9808D</v>
      </c>
      <c r="V1954">
        <v>0</v>
      </c>
      <c r="W1954">
        <v>0</v>
      </c>
      <c r="X1954">
        <v>1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0</v>
      </c>
      <c r="AI1954" t="s">
        <v>508</v>
      </c>
      <c r="AJ1954">
        <v>28.268143999999999</v>
      </c>
      <c r="AK1954" t="s">
        <v>509</v>
      </c>
      <c r="AL1954">
        <v>-82.353451000000007</v>
      </c>
      <c r="AM1954">
        <v>100</v>
      </c>
      <c r="AN1954">
        <v>2000</v>
      </c>
      <c r="AO1954" t="s">
        <v>118</v>
      </c>
      <c r="AP1954">
        <v>78</v>
      </c>
      <c r="AQ1954">
        <v>-66</v>
      </c>
      <c r="AR1954">
        <v>320</v>
      </c>
      <c r="AZ1954">
        <v>1200</v>
      </c>
      <c r="BA1954">
        <v>1</v>
      </c>
      <c r="BB1954" t="str">
        <f t="shared" si="921"/>
        <v xml:space="preserve">N711JA  </v>
      </c>
      <c r="BC1954">
        <v>1</v>
      </c>
      <c r="BE1954">
        <v>0</v>
      </c>
      <c r="BF1954">
        <v>0</v>
      </c>
      <c r="BG1954">
        <v>0</v>
      </c>
      <c r="BH1954">
        <v>2050</v>
      </c>
      <c r="BI1954">
        <v>1</v>
      </c>
      <c r="BJ1954">
        <v>1</v>
      </c>
      <c r="BK1954">
        <v>0</v>
      </c>
      <c r="BL1954">
        <v>0</v>
      </c>
      <c r="BO1954">
        <v>0</v>
      </c>
      <c r="BP1954">
        <v>0</v>
      </c>
      <c r="BW1954" t="str">
        <f t="shared" si="925"/>
        <v>14:44:34.361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343</v>
      </c>
      <c r="CR1954">
        <v>1</v>
      </c>
      <c r="CW1954">
        <v>10729990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 t="shared" si="922"/>
        <v>05/12/2020 14:44:16.553</v>
      </c>
      <c r="C1955" t="str">
        <f t="shared" si="920"/>
        <v>FFDFD3C0</v>
      </c>
      <c r="D1955" t="s">
        <v>131</v>
      </c>
      <c r="E1955">
        <v>12</v>
      </c>
      <c r="F1955">
        <v>2012</v>
      </c>
      <c r="G1955" t="s">
        <v>137</v>
      </c>
      <c r="J1955" t="s">
        <v>133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923"/>
        <v>14:44:34.359</v>
      </c>
      <c r="T1955" t="str">
        <f t="shared" si="924"/>
        <v>14:44:34.059</v>
      </c>
      <c r="U1955" t="str">
        <f t="shared" si="910"/>
        <v>A9808D</v>
      </c>
      <c r="V1955">
        <v>0</v>
      </c>
      <c r="W1955">
        <v>0</v>
      </c>
      <c r="X1955">
        <v>1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0</v>
      </c>
      <c r="AI1955" t="s">
        <v>508</v>
      </c>
      <c r="AJ1955">
        <v>28.268143999999999</v>
      </c>
      <c r="AK1955" t="s">
        <v>509</v>
      </c>
      <c r="AL1955">
        <v>-82.353451000000007</v>
      </c>
      <c r="AM1955">
        <v>100</v>
      </c>
      <c r="AN1955">
        <v>2000</v>
      </c>
      <c r="AO1955" t="s">
        <v>118</v>
      </c>
      <c r="AP1955">
        <v>78</v>
      </c>
      <c r="AQ1955">
        <v>-66</v>
      </c>
      <c r="AR1955">
        <v>320</v>
      </c>
      <c r="AZ1955">
        <v>1200</v>
      </c>
      <c r="BA1955">
        <v>1</v>
      </c>
      <c r="BB1955" t="str">
        <f t="shared" si="921"/>
        <v xml:space="preserve">N711JA  </v>
      </c>
      <c r="BC1955">
        <v>1</v>
      </c>
      <c r="BE1955">
        <v>0</v>
      </c>
      <c r="BF1955">
        <v>0</v>
      </c>
      <c r="BG1955">
        <v>0</v>
      </c>
      <c r="BH1955">
        <v>2050</v>
      </c>
      <c r="BI1955">
        <v>1</v>
      </c>
      <c r="BJ1955">
        <v>1</v>
      </c>
      <c r="BK1955">
        <v>0</v>
      </c>
      <c r="BL1955">
        <v>0</v>
      </c>
      <c r="BO1955">
        <v>0</v>
      </c>
      <c r="BP1955">
        <v>0</v>
      </c>
      <c r="BW1955" t="str">
        <f t="shared" si="925"/>
        <v>14:44:34.361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343</v>
      </c>
      <c r="CR1955">
        <v>1</v>
      </c>
      <c r="CW1955">
        <v>10729990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 t="shared" si="922"/>
        <v>05/12/2020 14:44:16.553</v>
      </c>
      <c r="C1956" t="str">
        <f t="shared" si="920"/>
        <v>FFDFD3C0</v>
      </c>
      <c r="D1956" t="s">
        <v>131</v>
      </c>
      <c r="E1956">
        <v>18</v>
      </c>
      <c r="F1956">
        <v>2018</v>
      </c>
      <c r="G1956" t="s">
        <v>161</v>
      </c>
      <c r="J1956" t="s">
        <v>133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923"/>
        <v>14:44:34.359</v>
      </c>
      <c r="T1956" t="str">
        <f t="shared" si="924"/>
        <v>14:44:34.059</v>
      </c>
      <c r="U1956" t="str">
        <f t="shared" si="910"/>
        <v>A9808D</v>
      </c>
      <c r="V1956">
        <v>0</v>
      </c>
      <c r="W1956">
        <v>0</v>
      </c>
      <c r="X1956">
        <v>1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0</v>
      </c>
      <c r="AI1956" t="s">
        <v>508</v>
      </c>
      <c r="AJ1956">
        <v>28.268143999999999</v>
      </c>
      <c r="AK1956" t="s">
        <v>509</v>
      </c>
      <c r="AL1956">
        <v>-82.353451000000007</v>
      </c>
      <c r="AM1956">
        <v>100</v>
      </c>
      <c r="AN1956">
        <v>2000</v>
      </c>
      <c r="AO1956" t="s">
        <v>118</v>
      </c>
      <c r="AP1956">
        <v>78</v>
      </c>
      <c r="AQ1956">
        <v>-66</v>
      </c>
      <c r="AR1956">
        <v>320</v>
      </c>
      <c r="AZ1956">
        <v>1200</v>
      </c>
      <c r="BA1956">
        <v>1</v>
      </c>
      <c r="BB1956" t="str">
        <f t="shared" si="921"/>
        <v xml:space="preserve">N711JA  </v>
      </c>
      <c r="BC1956">
        <v>1</v>
      </c>
      <c r="BE1956">
        <v>0</v>
      </c>
      <c r="BF1956">
        <v>0</v>
      </c>
      <c r="BG1956">
        <v>0</v>
      </c>
      <c r="BH1956">
        <v>2050</v>
      </c>
      <c r="BI1956">
        <v>1</v>
      </c>
      <c r="BJ1956">
        <v>1</v>
      </c>
      <c r="BK1956">
        <v>0</v>
      </c>
      <c r="BL1956">
        <v>0</v>
      </c>
      <c r="BO1956">
        <v>0</v>
      </c>
      <c r="BP1956">
        <v>0</v>
      </c>
      <c r="BW1956" t="str">
        <f t="shared" si="925"/>
        <v>14:44:34.361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343</v>
      </c>
      <c r="CR1956">
        <v>1</v>
      </c>
      <c r="CW1956">
        <v>10729990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 t="shared" si="922"/>
        <v>05/12/2020 14:44:16.553</v>
      </c>
      <c r="C1957" t="str">
        <f t="shared" si="920"/>
        <v>FFDFD3C0</v>
      </c>
      <c r="D1957" t="s">
        <v>113</v>
      </c>
      <c r="E1957">
        <v>3</v>
      </c>
      <c r="H1957">
        <v>164</v>
      </c>
      <c r="I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923"/>
        <v>14:44:34.359</v>
      </c>
      <c r="T1957" t="str">
        <f t="shared" si="924"/>
        <v>14:44:34.059</v>
      </c>
      <c r="U1957" t="str">
        <f t="shared" si="910"/>
        <v>A9808D</v>
      </c>
      <c r="V1957">
        <v>0</v>
      </c>
      <c r="W1957">
        <v>0</v>
      </c>
      <c r="X1957">
        <v>1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0</v>
      </c>
      <c r="AI1957" t="s">
        <v>508</v>
      </c>
      <c r="AJ1957">
        <v>28.268143999999999</v>
      </c>
      <c r="AK1957" t="s">
        <v>509</v>
      </c>
      <c r="AL1957">
        <v>-82.353451000000007</v>
      </c>
      <c r="AM1957">
        <v>100</v>
      </c>
      <c r="AN1957">
        <v>2000</v>
      </c>
      <c r="AO1957" t="s">
        <v>118</v>
      </c>
      <c r="AP1957">
        <v>78</v>
      </c>
      <c r="AQ1957">
        <v>-66</v>
      </c>
      <c r="AR1957">
        <v>320</v>
      </c>
      <c r="AZ1957">
        <v>1200</v>
      </c>
      <c r="BA1957">
        <v>1</v>
      </c>
      <c r="BB1957" t="str">
        <f t="shared" si="921"/>
        <v xml:space="preserve">N711JA  </v>
      </c>
      <c r="BC1957">
        <v>1</v>
      </c>
      <c r="BE1957">
        <v>0</v>
      </c>
      <c r="BF1957">
        <v>0</v>
      </c>
      <c r="BG1957">
        <v>0</v>
      </c>
      <c r="BH1957">
        <v>2050</v>
      </c>
      <c r="BI1957">
        <v>1</v>
      </c>
      <c r="BJ1957">
        <v>1</v>
      </c>
      <c r="BK1957">
        <v>0</v>
      </c>
      <c r="BL1957">
        <v>0</v>
      </c>
      <c r="BO1957">
        <v>0</v>
      </c>
      <c r="BP1957">
        <v>0</v>
      </c>
      <c r="BW1957" t="str">
        <f t="shared" si="925"/>
        <v>14:44:34.361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343</v>
      </c>
      <c r="CR1957">
        <v>1</v>
      </c>
      <c r="CW1957">
        <v>10729990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 t="shared" ref="A1958:A1966" si="926">"05/12/2020 14:44:17.660"</f>
        <v>05/12/2020 14:44:17.660</v>
      </c>
      <c r="C1958" t="str">
        <f t="shared" si="920"/>
        <v>FFDFD3C0</v>
      </c>
      <c r="D1958" t="s">
        <v>126</v>
      </c>
      <c r="E1958">
        <v>6</v>
      </c>
      <c r="F1958">
        <v>1006</v>
      </c>
      <c r="G1958" t="s">
        <v>114</v>
      </c>
      <c r="J1958" t="s">
        <v>128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ref="S1958:S1966" si="927">"14:44:35.461"</f>
        <v>14:44:35.461</v>
      </c>
      <c r="T1958" t="str">
        <f t="shared" ref="T1958:T1966" si="928">"14:44:35.261"</f>
        <v>14:44:35.261</v>
      </c>
      <c r="U1958" t="str">
        <f t="shared" si="910"/>
        <v>A9808D</v>
      </c>
      <c r="V1958">
        <v>0</v>
      </c>
      <c r="W1958">
        <v>0</v>
      </c>
      <c r="X1958">
        <v>1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0</v>
      </c>
      <c r="AI1958" t="s">
        <v>510</v>
      </c>
      <c r="AJ1958">
        <v>28.267821999999999</v>
      </c>
      <c r="AK1958" t="s">
        <v>511</v>
      </c>
      <c r="AL1958">
        <v>-82.352979000000005</v>
      </c>
      <c r="AM1958">
        <v>100</v>
      </c>
      <c r="AN1958">
        <v>2000</v>
      </c>
      <c r="AO1958" t="s">
        <v>118</v>
      </c>
      <c r="AP1958">
        <v>78</v>
      </c>
      <c r="AQ1958">
        <v>-66</v>
      </c>
      <c r="AR1958">
        <v>320</v>
      </c>
      <c r="AZ1958">
        <v>1200</v>
      </c>
      <c r="BA1958">
        <v>1</v>
      </c>
      <c r="BB1958" t="str">
        <f t="shared" si="921"/>
        <v xml:space="preserve">N711JA  </v>
      </c>
      <c r="BC1958">
        <v>1</v>
      </c>
      <c r="BE1958">
        <v>0</v>
      </c>
      <c r="BF1958">
        <v>0</v>
      </c>
      <c r="BG1958">
        <v>0</v>
      </c>
      <c r="BH1958">
        <v>2050</v>
      </c>
      <c r="BI1958">
        <v>1</v>
      </c>
      <c r="BJ1958">
        <v>1</v>
      </c>
      <c r="BK1958">
        <v>0</v>
      </c>
      <c r="BL1958">
        <v>0</v>
      </c>
      <c r="BO1958">
        <v>0</v>
      </c>
      <c r="BP1958">
        <v>0</v>
      </c>
      <c r="BW1958" t="str">
        <f t="shared" ref="BW1958:BW1966" si="929">"14:44:35.465"</f>
        <v>14:44:35.465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343</v>
      </c>
      <c r="CR1958">
        <v>2</v>
      </c>
      <c r="CW1958">
        <v>13096713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 t="shared" si="926"/>
        <v>05/12/2020 14:44:17.660</v>
      </c>
      <c r="C1959" t="str">
        <f t="shared" si="920"/>
        <v>FFDFD3C0</v>
      </c>
      <c r="D1959" t="s">
        <v>126</v>
      </c>
      <c r="E1959">
        <v>7</v>
      </c>
      <c r="F1959">
        <v>1007</v>
      </c>
      <c r="G1959" t="s">
        <v>127</v>
      </c>
      <c r="J1959" t="s">
        <v>128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927"/>
        <v>14:44:35.461</v>
      </c>
      <c r="T1959" t="str">
        <f t="shared" si="928"/>
        <v>14:44:35.261</v>
      </c>
      <c r="U1959" t="str">
        <f t="shared" si="910"/>
        <v>A9808D</v>
      </c>
      <c r="V1959">
        <v>0</v>
      </c>
      <c r="W1959">
        <v>0</v>
      </c>
      <c r="X1959">
        <v>1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0</v>
      </c>
      <c r="AI1959" t="s">
        <v>510</v>
      </c>
      <c r="AJ1959">
        <v>28.267821999999999</v>
      </c>
      <c r="AK1959" t="s">
        <v>511</v>
      </c>
      <c r="AL1959">
        <v>-82.352979000000005</v>
      </c>
      <c r="AM1959">
        <v>100</v>
      </c>
      <c r="AN1959">
        <v>2000</v>
      </c>
      <c r="AO1959" t="s">
        <v>118</v>
      </c>
      <c r="AP1959">
        <v>78</v>
      </c>
      <c r="AQ1959">
        <v>-66</v>
      </c>
      <c r="AR1959">
        <v>320</v>
      </c>
      <c r="AZ1959">
        <v>1200</v>
      </c>
      <c r="BA1959">
        <v>1</v>
      </c>
      <c r="BB1959" t="str">
        <f t="shared" si="921"/>
        <v xml:space="preserve">N711JA  </v>
      </c>
      <c r="BC1959">
        <v>1</v>
      </c>
      <c r="BE1959">
        <v>0</v>
      </c>
      <c r="BF1959">
        <v>0</v>
      </c>
      <c r="BG1959">
        <v>0</v>
      </c>
      <c r="BH1959">
        <v>2050</v>
      </c>
      <c r="BI1959">
        <v>1</v>
      </c>
      <c r="BJ1959">
        <v>1</v>
      </c>
      <c r="BK1959">
        <v>0</v>
      </c>
      <c r="BL1959">
        <v>0</v>
      </c>
      <c r="BO1959">
        <v>0</v>
      </c>
      <c r="BP1959">
        <v>0</v>
      </c>
      <c r="BW1959" t="str">
        <f t="shared" si="929"/>
        <v>14:44:35.465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343</v>
      </c>
      <c r="CR1959">
        <v>2</v>
      </c>
      <c r="CW1959">
        <v>13096713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 t="shared" si="926"/>
        <v>05/12/2020 14:44:17.660</v>
      </c>
      <c r="C1960" t="str">
        <f t="shared" si="920"/>
        <v>FFDFD3C0</v>
      </c>
      <c r="D1960" t="s">
        <v>138</v>
      </c>
      <c r="E1960">
        <v>2</v>
      </c>
      <c r="H1960">
        <v>8</v>
      </c>
      <c r="I1960" t="s">
        <v>139</v>
      </c>
      <c r="J1960" t="s">
        <v>136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927"/>
        <v>14:44:35.461</v>
      </c>
      <c r="T1960" t="str">
        <f t="shared" si="928"/>
        <v>14:44:35.261</v>
      </c>
      <c r="U1960" t="str">
        <f t="shared" si="910"/>
        <v>A9808D</v>
      </c>
      <c r="V1960">
        <v>0</v>
      </c>
      <c r="W1960">
        <v>0</v>
      </c>
      <c r="X1960">
        <v>1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0</v>
      </c>
      <c r="AI1960" t="s">
        <v>510</v>
      </c>
      <c r="AJ1960">
        <v>28.267821999999999</v>
      </c>
      <c r="AK1960" t="s">
        <v>511</v>
      </c>
      <c r="AL1960">
        <v>-82.352979000000005</v>
      </c>
      <c r="AM1960">
        <v>100</v>
      </c>
      <c r="AN1960">
        <v>2000</v>
      </c>
      <c r="AO1960" t="s">
        <v>118</v>
      </c>
      <c r="AP1960">
        <v>78</v>
      </c>
      <c r="AQ1960">
        <v>-66</v>
      </c>
      <c r="AR1960">
        <v>320</v>
      </c>
      <c r="AZ1960">
        <v>1200</v>
      </c>
      <c r="BA1960">
        <v>1</v>
      </c>
      <c r="BB1960" t="str">
        <f t="shared" si="921"/>
        <v xml:space="preserve">N711JA  </v>
      </c>
      <c r="BC1960">
        <v>1</v>
      </c>
      <c r="BE1960">
        <v>0</v>
      </c>
      <c r="BF1960">
        <v>0</v>
      </c>
      <c r="BG1960">
        <v>0</v>
      </c>
      <c r="BH1960">
        <v>2050</v>
      </c>
      <c r="BI1960">
        <v>1</v>
      </c>
      <c r="BJ1960">
        <v>1</v>
      </c>
      <c r="BK1960">
        <v>0</v>
      </c>
      <c r="BL1960">
        <v>0</v>
      </c>
      <c r="BO1960">
        <v>0</v>
      </c>
      <c r="BP1960">
        <v>0</v>
      </c>
      <c r="BW1960" t="str">
        <f t="shared" si="929"/>
        <v>14:44:35.465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343</v>
      </c>
      <c r="CR1960">
        <v>2</v>
      </c>
      <c r="CW1960">
        <v>13096713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 t="shared" si="926"/>
        <v>05/12/2020 14:44:17.660</v>
      </c>
      <c r="C1961" t="str">
        <f t="shared" si="920"/>
        <v>FFDFD3C0</v>
      </c>
      <c r="D1961" t="s">
        <v>131</v>
      </c>
      <c r="E1961">
        <v>10</v>
      </c>
      <c r="F1961">
        <v>2010</v>
      </c>
      <c r="G1961" t="s">
        <v>132</v>
      </c>
      <c r="J1961" t="s">
        <v>133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927"/>
        <v>14:44:35.461</v>
      </c>
      <c r="T1961" t="str">
        <f t="shared" si="928"/>
        <v>14:44:35.261</v>
      </c>
      <c r="U1961" t="str">
        <f t="shared" si="910"/>
        <v>A9808D</v>
      </c>
      <c r="V1961">
        <v>0</v>
      </c>
      <c r="W1961">
        <v>0</v>
      </c>
      <c r="X1961">
        <v>1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0</v>
      </c>
      <c r="AI1961" t="s">
        <v>510</v>
      </c>
      <c r="AJ1961">
        <v>28.267821999999999</v>
      </c>
      <c r="AK1961" t="s">
        <v>511</v>
      </c>
      <c r="AL1961">
        <v>-82.352979000000005</v>
      </c>
      <c r="AM1961">
        <v>100</v>
      </c>
      <c r="AN1961">
        <v>2000</v>
      </c>
      <c r="AO1961" t="s">
        <v>118</v>
      </c>
      <c r="AP1961">
        <v>78</v>
      </c>
      <c r="AQ1961">
        <v>-66</v>
      </c>
      <c r="AR1961">
        <v>320</v>
      </c>
      <c r="AZ1961">
        <v>1200</v>
      </c>
      <c r="BA1961">
        <v>1</v>
      </c>
      <c r="BB1961" t="str">
        <f t="shared" si="921"/>
        <v xml:space="preserve">N711JA  </v>
      </c>
      <c r="BC1961">
        <v>1</v>
      </c>
      <c r="BE1961">
        <v>0</v>
      </c>
      <c r="BF1961">
        <v>0</v>
      </c>
      <c r="BG1961">
        <v>0</v>
      </c>
      <c r="BH1961">
        <v>2050</v>
      </c>
      <c r="BI1961">
        <v>1</v>
      </c>
      <c r="BJ1961">
        <v>1</v>
      </c>
      <c r="BK1961">
        <v>0</v>
      </c>
      <c r="BL1961">
        <v>0</v>
      </c>
      <c r="BO1961">
        <v>0</v>
      </c>
      <c r="BP1961">
        <v>0</v>
      </c>
      <c r="BW1961" t="str">
        <f t="shared" si="929"/>
        <v>14:44:35.465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343</v>
      </c>
      <c r="CR1961">
        <v>2</v>
      </c>
      <c r="CW1961">
        <v>13096713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 t="shared" si="926"/>
        <v>05/12/2020 14:44:17.660</v>
      </c>
      <c r="C1962" t="str">
        <f t="shared" si="920"/>
        <v>FFDFD3C0</v>
      </c>
      <c r="D1962" t="s">
        <v>134</v>
      </c>
      <c r="E1962">
        <v>12</v>
      </c>
      <c r="H1962">
        <v>64</v>
      </c>
      <c r="I1962" t="s">
        <v>135</v>
      </c>
      <c r="J1962" t="s">
        <v>136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927"/>
        <v>14:44:35.461</v>
      </c>
      <c r="T1962" t="str">
        <f t="shared" si="928"/>
        <v>14:44:35.261</v>
      </c>
      <c r="U1962" t="str">
        <f t="shared" si="910"/>
        <v>A9808D</v>
      </c>
      <c r="V1962">
        <v>0</v>
      </c>
      <c r="W1962">
        <v>0</v>
      </c>
      <c r="X1962">
        <v>1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0</v>
      </c>
      <c r="AI1962" t="s">
        <v>510</v>
      </c>
      <c r="AJ1962">
        <v>28.267821999999999</v>
      </c>
      <c r="AK1962" t="s">
        <v>511</v>
      </c>
      <c r="AL1962">
        <v>-82.352979000000005</v>
      </c>
      <c r="AM1962">
        <v>100</v>
      </c>
      <c r="AN1962">
        <v>2000</v>
      </c>
      <c r="AO1962" t="s">
        <v>118</v>
      </c>
      <c r="AP1962">
        <v>78</v>
      </c>
      <c r="AQ1962">
        <v>-66</v>
      </c>
      <c r="AR1962">
        <v>320</v>
      </c>
      <c r="AZ1962">
        <v>1200</v>
      </c>
      <c r="BA1962">
        <v>1</v>
      </c>
      <c r="BB1962" t="str">
        <f t="shared" si="921"/>
        <v xml:space="preserve">N711JA  </v>
      </c>
      <c r="BC1962">
        <v>1</v>
      </c>
      <c r="BE1962">
        <v>0</v>
      </c>
      <c r="BF1962">
        <v>0</v>
      </c>
      <c r="BG1962">
        <v>0</v>
      </c>
      <c r="BH1962">
        <v>2050</v>
      </c>
      <c r="BI1962">
        <v>1</v>
      </c>
      <c r="BJ1962">
        <v>1</v>
      </c>
      <c r="BK1962">
        <v>0</v>
      </c>
      <c r="BL1962">
        <v>0</v>
      </c>
      <c r="BO1962">
        <v>0</v>
      </c>
      <c r="BP1962">
        <v>0</v>
      </c>
      <c r="BW1962" t="str">
        <f t="shared" si="929"/>
        <v>14:44:35.465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343</v>
      </c>
      <c r="CR1962">
        <v>2</v>
      </c>
      <c r="CW1962">
        <v>13096713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 t="shared" si="926"/>
        <v>05/12/2020 14:44:17.660</v>
      </c>
      <c r="C1963" t="str">
        <f t="shared" si="920"/>
        <v>FFDFD3C0</v>
      </c>
      <c r="D1963" t="s">
        <v>131</v>
      </c>
      <c r="E1963">
        <v>12</v>
      </c>
      <c r="F1963">
        <v>2012</v>
      </c>
      <c r="G1963" t="s">
        <v>137</v>
      </c>
      <c r="J1963" t="s">
        <v>133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927"/>
        <v>14:44:35.461</v>
      </c>
      <c r="T1963" t="str">
        <f t="shared" si="928"/>
        <v>14:44:35.261</v>
      </c>
      <c r="U1963" t="str">
        <f t="shared" si="910"/>
        <v>A9808D</v>
      </c>
      <c r="V1963">
        <v>0</v>
      </c>
      <c r="W1963">
        <v>0</v>
      </c>
      <c r="X1963">
        <v>1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0</v>
      </c>
      <c r="AI1963" t="s">
        <v>510</v>
      </c>
      <c r="AJ1963">
        <v>28.267821999999999</v>
      </c>
      <c r="AK1963" t="s">
        <v>511</v>
      </c>
      <c r="AL1963">
        <v>-82.352979000000005</v>
      </c>
      <c r="AM1963">
        <v>100</v>
      </c>
      <c r="AN1963">
        <v>2000</v>
      </c>
      <c r="AO1963" t="s">
        <v>118</v>
      </c>
      <c r="AP1963">
        <v>78</v>
      </c>
      <c r="AQ1963">
        <v>-66</v>
      </c>
      <c r="AR1963">
        <v>320</v>
      </c>
      <c r="AZ1963">
        <v>1200</v>
      </c>
      <c r="BA1963">
        <v>1</v>
      </c>
      <c r="BB1963" t="str">
        <f t="shared" si="921"/>
        <v xml:space="preserve">N711JA  </v>
      </c>
      <c r="BC1963">
        <v>1</v>
      </c>
      <c r="BE1963">
        <v>0</v>
      </c>
      <c r="BF1963">
        <v>0</v>
      </c>
      <c r="BG1963">
        <v>0</v>
      </c>
      <c r="BH1963">
        <v>2050</v>
      </c>
      <c r="BI1963">
        <v>1</v>
      </c>
      <c r="BJ1963">
        <v>1</v>
      </c>
      <c r="BK1963">
        <v>0</v>
      </c>
      <c r="BL1963">
        <v>0</v>
      </c>
      <c r="BO1963">
        <v>0</v>
      </c>
      <c r="BP1963">
        <v>0</v>
      </c>
      <c r="BW1963" t="str">
        <f t="shared" si="929"/>
        <v>14:44:35.465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343</v>
      </c>
      <c r="CR1963">
        <v>2</v>
      </c>
      <c r="CW1963">
        <v>13096713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 t="shared" si="926"/>
        <v>05/12/2020 14:44:17.660</v>
      </c>
      <c r="C1964" t="str">
        <f t="shared" si="920"/>
        <v>FFDFD3C0</v>
      </c>
      <c r="D1964" t="s">
        <v>138</v>
      </c>
      <c r="E1964">
        <v>3</v>
      </c>
      <c r="H1964">
        <v>9</v>
      </c>
      <c r="I1964" t="s">
        <v>140</v>
      </c>
      <c r="J1964" t="s">
        <v>136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927"/>
        <v>14:44:35.461</v>
      </c>
      <c r="T1964" t="str">
        <f t="shared" si="928"/>
        <v>14:44:35.261</v>
      </c>
      <c r="U1964" t="str">
        <f t="shared" si="910"/>
        <v>A9808D</v>
      </c>
      <c r="V1964">
        <v>0</v>
      </c>
      <c r="W1964">
        <v>0</v>
      </c>
      <c r="X1964">
        <v>1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0</v>
      </c>
      <c r="AI1964" t="s">
        <v>510</v>
      </c>
      <c r="AJ1964">
        <v>28.267821999999999</v>
      </c>
      <c r="AK1964" t="s">
        <v>511</v>
      </c>
      <c r="AL1964">
        <v>-82.352979000000005</v>
      </c>
      <c r="AM1964">
        <v>100</v>
      </c>
      <c r="AN1964">
        <v>2000</v>
      </c>
      <c r="AO1964" t="s">
        <v>118</v>
      </c>
      <c r="AP1964">
        <v>78</v>
      </c>
      <c r="AQ1964">
        <v>-66</v>
      </c>
      <c r="AR1964">
        <v>320</v>
      </c>
      <c r="AZ1964">
        <v>1200</v>
      </c>
      <c r="BA1964">
        <v>1</v>
      </c>
      <c r="BB1964" t="str">
        <f t="shared" si="921"/>
        <v xml:space="preserve">N711JA  </v>
      </c>
      <c r="BC1964">
        <v>1</v>
      </c>
      <c r="BE1964">
        <v>0</v>
      </c>
      <c r="BF1964">
        <v>0</v>
      </c>
      <c r="BG1964">
        <v>0</v>
      </c>
      <c r="BH1964">
        <v>2050</v>
      </c>
      <c r="BI1964">
        <v>1</v>
      </c>
      <c r="BJ1964">
        <v>1</v>
      </c>
      <c r="BK1964">
        <v>0</v>
      </c>
      <c r="BL1964">
        <v>0</v>
      </c>
      <c r="BO1964">
        <v>0</v>
      </c>
      <c r="BP1964">
        <v>0</v>
      </c>
      <c r="BW1964" t="str">
        <f t="shared" si="929"/>
        <v>14:44:35.465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343</v>
      </c>
      <c r="CR1964">
        <v>2</v>
      </c>
      <c r="CW1964">
        <v>13096713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 t="shared" si="926"/>
        <v>05/12/2020 14:44:17.660</v>
      </c>
      <c r="C1965" t="str">
        <f t="shared" si="920"/>
        <v>FFDFD3C0</v>
      </c>
      <c r="D1965" t="s">
        <v>131</v>
      </c>
      <c r="E1965">
        <v>18</v>
      </c>
      <c r="F1965">
        <v>2018</v>
      </c>
      <c r="G1965" t="s">
        <v>161</v>
      </c>
      <c r="J1965" t="s">
        <v>133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927"/>
        <v>14:44:35.461</v>
      </c>
      <c r="T1965" t="str">
        <f t="shared" si="928"/>
        <v>14:44:35.261</v>
      </c>
      <c r="U1965" t="str">
        <f t="shared" si="910"/>
        <v>A9808D</v>
      </c>
      <c r="V1965">
        <v>0</v>
      </c>
      <c r="W1965">
        <v>0</v>
      </c>
      <c r="X1965">
        <v>1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0</v>
      </c>
      <c r="AI1965" t="s">
        <v>510</v>
      </c>
      <c r="AJ1965">
        <v>28.267821999999999</v>
      </c>
      <c r="AK1965" t="s">
        <v>511</v>
      </c>
      <c r="AL1965">
        <v>-82.352979000000005</v>
      </c>
      <c r="AM1965">
        <v>100</v>
      </c>
      <c r="AN1965">
        <v>2000</v>
      </c>
      <c r="AO1965" t="s">
        <v>118</v>
      </c>
      <c r="AP1965">
        <v>78</v>
      </c>
      <c r="AQ1965">
        <v>-66</v>
      </c>
      <c r="AR1965">
        <v>320</v>
      </c>
      <c r="AZ1965">
        <v>1200</v>
      </c>
      <c r="BA1965">
        <v>1</v>
      </c>
      <c r="BB1965" t="str">
        <f t="shared" si="921"/>
        <v xml:space="preserve">N711JA  </v>
      </c>
      <c r="BC1965">
        <v>1</v>
      </c>
      <c r="BE1965">
        <v>0</v>
      </c>
      <c r="BF1965">
        <v>0</v>
      </c>
      <c r="BG1965">
        <v>0</v>
      </c>
      <c r="BH1965">
        <v>2050</v>
      </c>
      <c r="BI1965">
        <v>1</v>
      </c>
      <c r="BJ1965">
        <v>1</v>
      </c>
      <c r="BK1965">
        <v>0</v>
      </c>
      <c r="BL1965">
        <v>0</v>
      </c>
      <c r="BO1965">
        <v>0</v>
      </c>
      <c r="BP1965">
        <v>0</v>
      </c>
      <c r="BW1965" t="str">
        <f t="shared" si="929"/>
        <v>14:44:35.465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343</v>
      </c>
      <c r="CR1965">
        <v>2</v>
      </c>
      <c r="CW1965">
        <v>13096713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 t="shared" si="926"/>
        <v>05/12/2020 14:44:17.660</v>
      </c>
      <c r="C1966" t="str">
        <f t="shared" si="920"/>
        <v>FFDFD3C0</v>
      </c>
      <c r="D1966" t="s">
        <v>113</v>
      </c>
      <c r="E1966">
        <v>3</v>
      </c>
      <c r="H1966">
        <v>164</v>
      </c>
      <c r="I1966" t="s">
        <v>114</v>
      </c>
      <c r="J1966" t="s">
        <v>115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927"/>
        <v>14:44:35.461</v>
      </c>
      <c r="T1966" t="str">
        <f t="shared" si="928"/>
        <v>14:44:35.261</v>
      </c>
      <c r="U1966" t="str">
        <f t="shared" si="910"/>
        <v>A9808D</v>
      </c>
      <c r="V1966">
        <v>0</v>
      </c>
      <c r="W1966">
        <v>0</v>
      </c>
      <c r="X1966">
        <v>1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0</v>
      </c>
      <c r="AI1966" t="s">
        <v>510</v>
      </c>
      <c r="AJ1966">
        <v>28.267821999999999</v>
      </c>
      <c r="AK1966" t="s">
        <v>511</v>
      </c>
      <c r="AL1966">
        <v>-82.352979000000005</v>
      </c>
      <c r="AM1966">
        <v>100</v>
      </c>
      <c r="AN1966">
        <v>2000</v>
      </c>
      <c r="AO1966" t="s">
        <v>118</v>
      </c>
      <c r="AP1966">
        <v>78</v>
      </c>
      <c r="AQ1966">
        <v>-66</v>
      </c>
      <c r="AR1966">
        <v>320</v>
      </c>
      <c r="AZ1966">
        <v>1200</v>
      </c>
      <c r="BA1966">
        <v>1</v>
      </c>
      <c r="BB1966" t="str">
        <f t="shared" si="921"/>
        <v xml:space="preserve">N711JA  </v>
      </c>
      <c r="BC1966">
        <v>1</v>
      </c>
      <c r="BE1966">
        <v>0</v>
      </c>
      <c r="BF1966">
        <v>0</v>
      </c>
      <c r="BG1966">
        <v>0</v>
      </c>
      <c r="BH1966">
        <v>2050</v>
      </c>
      <c r="BI1966">
        <v>1</v>
      </c>
      <c r="BJ1966">
        <v>1</v>
      </c>
      <c r="BK1966">
        <v>0</v>
      </c>
      <c r="BL1966">
        <v>0</v>
      </c>
      <c r="BO1966">
        <v>0</v>
      </c>
      <c r="BP1966">
        <v>0</v>
      </c>
      <c r="BW1966" t="str">
        <f t="shared" si="929"/>
        <v>14:44:35.465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343</v>
      </c>
      <c r="CR1966">
        <v>2</v>
      </c>
      <c r="CW1966">
        <v>13096713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 t="shared" ref="A1967:A1975" si="930">"05/12/2020 14:44:18.779"</f>
        <v>05/12/2020 14:44:18.779</v>
      </c>
      <c r="C1967" t="str">
        <f t="shared" si="920"/>
        <v>FFDFD3C0</v>
      </c>
      <c r="D1967" t="s">
        <v>131</v>
      </c>
      <c r="E1967">
        <v>12</v>
      </c>
      <c r="F1967">
        <v>2012</v>
      </c>
      <c r="G1967" t="s">
        <v>137</v>
      </c>
      <c r="J1967" t="s">
        <v>133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ref="S1967:S1975" si="931">"14:44:36.609"</f>
        <v>14:44:36.609</v>
      </c>
      <c r="T1967" t="str">
        <f t="shared" ref="T1967:T1975" si="932">"14:44:36.309"</f>
        <v>14:44:36.309</v>
      </c>
      <c r="U1967" t="str">
        <f t="shared" si="910"/>
        <v>A9808D</v>
      </c>
      <c r="V1967">
        <v>0</v>
      </c>
      <c r="W1967">
        <v>0</v>
      </c>
      <c r="X1967">
        <v>1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0</v>
      </c>
      <c r="AI1967" t="s">
        <v>512</v>
      </c>
      <c r="AJ1967">
        <v>28.267499999999998</v>
      </c>
      <c r="AK1967" t="s">
        <v>513</v>
      </c>
      <c r="AL1967">
        <v>-82.352549999999994</v>
      </c>
      <c r="AM1967">
        <v>100</v>
      </c>
      <c r="AN1967">
        <v>2000</v>
      </c>
      <c r="AO1967" t="s">
        <v>118</v>
      </c>
      <c r="AP1967">
        <v>79</v>
      </c>
      <c r="AQ1967">
        <v>-65</v>
      </c>
      <c r="AR1967">
        <v>384</v>
      </c>
      <c r="AZ1967">
        <v>1200</v>
      </c>
      <c r="BA1967">
        <v>1</v>
      </c>
      <c r="BB1967" t="str">
        <f t="shared" si="921"/>
        <v xml:space="preserve">N711JA  </v>
      </c>
      <c r="BC1967">
        <v>1</v>
      </c>
      <c r="BE1967">
        <v>0</v>
      </c>
      <c r="BF1967">
        <v>0</v>
      </c>
      <c r="BG1967">
        <v>0</v>
      </c>
      <c r="BH1967">
        <v>2050</v>
      </c>
      <c r="BI1967">
        <v>1</v>
      </c>
      <c r="BJ1967">
        <v>1</v>
      </c>
      <c r="BK1967">
        <v>0</v>
      </c>
      <c r="BL1967">
        <v>0</v>
      </c>
      <c r="BO1967">
        <v>0</v>
      </c>
      <c r="BP1967">
        <v>0</v>
      </c>
      <c r="BW1967" t="str">
        <f t="shared" ref="BW1967:BW1975" si="933">"14:44:36.615"</f>
        <v>14:44:36.615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343</v>
      </c>
      <c r="CR1967">
        <v>1</v>
      </c>
      <c r="CW1967">
        <v>10732363</v>
      </c>
      <c r="CY1967">
        <v>1</v>
      </c>
      <c r="CZ1967">
        <v>0</v>
      </c>
      <c r="DA1967">
        <v>0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 t="shared" si="930"/>
        <v>05/12/2020 14:44:18.779</v>
      </c>
      <c r="C1968" t="str">
        <f t="shared" si="920"/>
        <v>FFDFD3C0</v>
      </c>
      <c r="D1968" t="s">
        <v>138</v>
      </c>
      <c r="E1968">
        <v>2</v>
      </c>
      <c r="H1968">
        <v>8</v>
      </c>
      <c r="I1968" t="s">
        <v>139</v>
      </c>
      <c r="J1968" t="s">
        <v>136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931"/>
        <v>14:44:36.609</v>
      </c>
      <c r="T1968" t="str">
        <f t="shared" si="932"/>
        <v>14:44:36.309</v>
      </c>
      <c r="U1968" t="str">
        <f t="shared" si="910"/>
        <v>A9808D</v>
      </c>
      <c r="V1968">
        <v>0</v>
      </c>
      <c r="W1968">
        <v>0</v>
      </c>
      <c r="X1968">
        <v>1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0</v>
      </c>
      <c r="AI1968" t="s">
        <v>512</v>
      </c>
      <c r="AJ1968">
        <v>28.267499999999998</v>
      </c>
      <c r="AK1968" t="s">
        <v>513</v>
      </c>
      <c r="AL1968">
        <v>-82.352549999999994</v>
      </c>
      <c r="AM1968">
        <v>100</v>
      </c>
      <c r="AN1968">
        <v>2000</v>
      </c>
      <c r="AO1968" t="s">
        <v>118</v>
      </c>
      <c r="AP1968">
        <v>79</v>
      </c>
      <c r="AQ1968">
        <v>-65</v>
      </c>
      <c r="AR1968">
        <v>384</v>
      </c>
      <c r="AZ1968">
        <v>1200</v>
      </c>
      <c r="BA1968">
        <v>1</v>
      </c>
      <c r="BB1968" t="str">
        <f t="shared" si="921"/>
        <v xml:space="preserve">N711JA  </v>
      </c>
      <c r="BC1968">
        <v>1</v>
      </c>
      <c r="BE1968">
        <v>0</v>
      </c>
      <c r="BF1968">
        <v>0</v>
      </c>
      <c r="BG1968">
        <v>0</v>
      </c>
      <c r="BH1968">
        <v>2050</v>
      </c>
      <c r="BI1968">
        <v>1</v>
      </c>
      <c r="BJ1968">
        <v>1</v>
      </c>
      <c r="BK1968">
        <v>0</v>
      </c>
      <c r="BL1968">
        <v>0</v>
      </c>
      <c r="BO1968">
        <v>0</v>
      </c>
      <c r="BP1968">
        <v>0</v>
      </c>
      <c r="BW1968" t="str">
        <f t="shared" si="933"/>
        <v>14:44:36.615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119</v>
      </c>
      <c r="CQ1968">
        <v>343</v>
      </c>
      <c r="CR1968">
        <v>1</v>
      </c>
      <c r="CW1968">
        <v>10732363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 t="shared" si="930"/>
        <v>05/12/2020 14:44:18.779</v>
      </c>
      <c r="C1969" t="str">
        <f t="shared" si="920"/>
        <v>FFDFD3C0</v>
      </c>
      <c r="D1969" t="s">
        <v>131</v>
      </c>
      <c r="E1969">
        <v>18</v>
      </c>
      <c r="F1969">
        <v>2018</v>
      </c>
      <c r="G1969" t="s">
        <v>161</v>
      </c>
      <c r="J1969" t="s">
        <v>133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931"/>
        <v>14:44:36.609</v>
      </c>
      <c r="T1969" t="str">
        <f t="shared" si="932"/>
        <v>14:44:36.309</v>
      </c>
      <c r="U1969" t="str">
        <f t="shared" si="910"/>
        <v>A9808D</v>
      </c>
      <c r="V1969">
        <v>0</v>
      </c>
      <c r="W1969">
        <v>0</v>
      </c>
      <c r="X1969">
        <v>1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0</v>
      </c>
      <c r="AI1969" t="s">
        <v>512</v>
      </c>
      <c r="AJ1969">
        <v>28.267499999999998</v>
      </c>
      <c r="AK1969" t="s">
        <v>513</v>
      </c>
      <c r="AL1969">
        <v>-82.352549999999994</v>
      </c>
      <c r="AM1969">
        <v>100</v>
      </c>
      <c r="AN1969">
        <v>2000</v>
      </c>
      <c r="AO1969" t="s">
        <v>118</v>
      </c>
      <c r="AP1969">
        <v>79</v>
      </c>
      <c r="AQ1969">
        <v>-65</v>
      </c>
      <c r="AR1969">
        <v>384</v>
      </c>
      <c r="AZ1969">
        <v>1200</v>
      </c>
      <c r="BA1969">
        <v>1</v>
      </c>
      <c r="BB1969" t="str">
        <f t="shared" si="921"/>
        <v xml:space="preserve">N711JA  </v>
      </c>
      <c r="BC1969">
        <v>1</v>
      </c>
      <c r="BE1969">
        <v>0</v>
      </c>
      <c r="BF1969">
        <v>0</v>
      </c>
      <c r="BG1969">
        <v>0</v>
      </c>
      <c r="BH1969">
        <v>2050</v>
      </c>
      <c r="BI1969">
        <v>1</v>
      </c>
      <c r="BJ1969">
        <v>1</v>
      </c>
      <c r="BK1969">
        <v>0</v>
      </c>
      <c r="BL1969">
        <v>0</v>
      </c>
      <c r="BO1969">
        <v>0</v>
      </c>
      <c r="BP1969">
        <v>0</v>
      </c>
      <c r="BW1969" t="str">
        <f t="shared" si="933"/>
        <v>14:44:36.615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119</v>
      </c>
      <c r="CQ1969">
        <v>343</v>
      </c>
      <c r="CR1969">
        <v>1</v>
      </c>
      <c r="CW1969">
        <v>10732363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 t="shared" si="930"/>
        <v>05/12/2020 14:44:18.779</v>
      </c>
      <c r="C1970" t="str">
        <f t="shared" si="920"/>
        <v>FFDFD3C0</v>
      </c>
      <c r="D1970" t="s">
        <v>138</v>
      </c>
      <c r="E1970">
        <v>3</v>
      </c>
      <c r="H1970">
        <v>9</v>
      </c>
      <c r="I1970" t="s">
        <v>140</v>
      </c>
      <c r="J1970" t="s">
        <v>136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931"/>
        <v>14:44:36.609</v>
      </c>
      <c r="T1970" t="str">
        <f t="shared" si="932"/>
        <v>14:44:36.309</v>
      </c>
      <c r="U1970" t="str">
        <f t="shared" si="910"/>
        <v>A9808D</v>
      </c>
      <c r="V1970">
        <v>0</v>
      </c>
      <c r="W1970">
        <v>0</v>
      </c>
      <c r="X1970">
        <v>1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0</v>
      </c>
      <c r="AI1970" t="s">
        <v>512</v>
      </c>
      <c r="AJ1970">
        <v>28.267499999999998</v>
      </c>
      <c r="AK1970" t="s">
        <v>513</v>
      </c>
      <c r="AL1970">
        <v>-82.352549999999994</v>
      </c>
      <c r="AM1970">
        <v>100</v>
      </c>
      <c r="AN1970">
        <v>2000</v>
      </c>
      <c r="AO1970" t="s">
        <v>118</v>
      </c>
      <c r="AP1970">
        <v>79</v>
      </c>
      <c r="AQ1970">
        <v>-65</v>
      </c>
      <c r="AR1970">
        <v>384</v>
      </c>
      <c r="AZ1970">
        <v>1200</v>
      </c>
      <c r="BA1970">
        <v>1</v>
      </c>
      <c r="BB1970" t="str">
        <f t="shared" si="921"/>
        <v xml:space="preserve">N711JA  </v>
      </c>
      <c r="BC1970">
        <v>1</v>
      </c>
      <c r="BE1970">
        <v>0</v>
      </c>
      <c r="BF1970">
        <v>0</v>
      </c>
      <c r="BG1970">
        <v>0</v>
      </c>
      <c r="BH1970">
        <v>2050</v>
      </c>
      <c r="BI1970">
        <v>1</v>
      </c>
      <c r="BJ1970">
        <v>1</v>
      </c>
      <c r="BK1970">
        <v>0</v>
      </c>
      <c r="BL1970">
        <v>0</v>
      </c>
      <c r="BO1970">
        <v>0</v>
      </c>
      <c r="BP1970">
        <v>0</v>
      </c>
      <c r="BW1970" t="str">
        <f t="shared" si="933"/>
        <v>14:44:36.615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343</v>
      </c>
      <c r="CR1970">
        <v>1</v>
      </c>
      <c r="CW1970">
        <v>10732363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 t="shared" si="930"/>
        <v>05/12/2020 14:44:18.779</v>
      </c>
      <c r="C1971" t="str">
        <f t="shared" si="920"/>
        <v>FFDFD3C0</v>
      </c>
      <c r="D1971" t="s">
        <v>134</v>
      </c>
      <c r="E1971">
        <v>12</v>
      </c>
      <c r="H1971">
        <v>64</v>
      </c>
      <c r="I1971" t="s">
        <v>135</v>
      </c>
      <c r="J1971" t="s">
        <v>136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931"/>
        <v>14:44:36.609</v>
      </c>
      <c r="T1971" t="str">
        <f t="shared" si="932"/>
        <v>14:44:36.309</v>
      </c>
      <c r="U1971" t="str">
        <f t="shared" si="910"/>
        <v>A9808D</v>
      </c>
      <c r="V1971">
        <v>0</v>
      </c>
      <c r="W1971">
        <v>0</v>
      </c>
      <c r="X1971">
        <v>1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0</v>
      </c>
      <c r="AI1971" t="s">
        <v>512</v>
      </c>
      <c r="AJ1971">
        <v>28.267499999999998</v>
      </c>
      <c r="AK1971" t="s">
        <v>513</v>
      </c>
      <c r="AL1971">
        <v>-82.352549999999994</v>
      </c>
      <c r="AM1971">
        <v>100</v>
      </c>
      <c r="AN1971">
        <v>2000</v>
      </c>
      <c r="AO1971" t="s">
        <v>118</v>
      </c>
      <c r="AP1971">
        <v>79</v>
      </c>
      <c r="AQ1971">
        <v>-65</v>
      </c>
      <c r="AR1971">
        <v>384</v>
      </c>
      <c r="AZ1971">
        <v>1200</v>
      </c>
      <c r="BA1971">
        <v>1</v>
      </c>
      <c r="BB1971" t="str">
        <f t="shared" si="921"/>
        <v xml:space="preserve">N711JA  </v>
      </c>
      <c r="BC1971">
        <v>1</v>
      </c>
      <c r="BE1971">
        <v>0</v>
      </c>
      <c r="BF1971">
        <v>0</v>
      </c>
      <c r="BG1971">
        <v>0</v>
      </c>
      <c r="BH1971">
        <v>2050</v>
      </c>
      <c r="BI1971">
        <v>1</v>
      </c>
      <c r="BJ1971">
        <v>1</v>
      </c>
      <c r="BK1971">
        <v>0</v>
      </c>
      <c r="BL1971">
        <v>0</v>
      </c>
      <c r="BO1971">
        <v>0</v>
      </c>
      <c r="BP1971">
        <v>0</v>
      </c>
      <c r="BW1971" t="str">
        <f t="shared" si="933"/>
        <v>14:44:36.615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119</v>
      </c>
      <c r="CQ1971">
        <v>343</v>
      </c>
      <c r="CR1971">
        <v>1</v>
      </c>
      <c r="CW1971">
        <v>10732363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 t="shared" si="930"/>
        <v>05/12/2020 14:44:18.779</v>
      </c>
      <c r="C1972" t="str">
        <f t="shared" si="920"/>
        <v>FFDFD3C0</v>
      </c>
      <c r="D1972" t="s">
        <v>113</v>
      </c>
      <c r="E1972">
        <v>3</v>
      </c>
      <c r="H1972">
        <v>164</v>
      </c>
      <c r="I1972" t="s">
        <v>114</v>
      </c>
      <c r="J1972" t="s">
        <v>115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931"/>
        <v>14:44:36.609</v>
      </c>
      <c r="T1972" t="str">
        <f t="shared" si="932"/>
        <v>14:44:36.309</v>
      </c>
      <c r="U1972" t="str">
        <f t="shared" si="910"/>
        <v>A9808D</v>
      </c>
      <c r="V1972">
        <v>0</v>
      </c>
      <c r="W1972">
        <v>0</v>
      </c>
      <c r="X1972">
        <v>1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0</v>
      </c>
      <c r="AI1972" t="s">
        <v>512</v>
      </c>
      <c r="AJ1972">
        <v>28.267499999999998</v>
      </c>
      <c r="AK1972" t="s">
        <v>513</v>
      </c>
      <c r="AL1972">
        <v>-82.352549999999994</v>
      </c>
      <c r="AM1972">
        <v>100</v>
      </c>
      <c r="AN1972">
        <v>2000</v>
      </c>
      <c r="AO1972" t="s">
        <v>118</v>
      </c>
      <c r="AP1972">
        <v>79</v>
      </c>
      <c r="AQ1972">
        <v>-65</v>
      </c>
      <c r="AR1972">
        <v>384</v>
      </c>
      <c r="AZ1972">
        <v>1200</v>
      </c>
      <c r="BA1972">
        <v>1</v>
      </c>
      <c r="BB1972" t="str">
        <f t="shared" si="921"/>
        <v xml:space="preserve">N711JA  </v>
      </c>
      <c r="BC1972">
        <v>1</v>
      </c>
      <c r="BE1972">
        <v>0</v>
      </c>
      <c r="BF1972">
        <v>0</v>
      </c>
      <c r="BG1972">
        <v>0</v>
      </c>
      <c r="BH1972">
        <v>2050</v>
      </c>
      <c r="BI1972">
        <v>1</v>
      </c>
      <c r="BJ1972">
        <v>1</v>
      </c>
      <c r="BK1972">
        <v>0</v>
      </c>
      <c r="BL1972">
        <v>0</v>
      </c>
      <c r="BO1972">
        <v>0</v>
      </c>
      <c r="BP1972">
        <v>0</v>
      </c>
      <c r="BW1972" t="str">
        <f t="shared" si="933"/>
        <v>14:44:36.615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119</v>
      </c>
      <c r="CQ1972">
        <v>343</v>
      </c>
      <c r="CR1972">
        <v>1</v>
      </c>
      <c r="CW1972">
        <v>10732363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 t="shared" si="930"/>
        <v>05/12/2020 14:44:18.779</v>
      </c>
      <c r="C1973" t="str">
        <f t="shared" si="920"/>
        <v>FFDFD3C0</v>
      </c>
      <c r="D1973" t="s">
        <v>126</v>
      </c>
      <c r="E1973">
        <v>6</v>
      </c>
      <c r="F1973">
        <v>1006</v>
      </c>
      <c r="G1973" t="s">
        <v>114</v>
      </c>
      <c r="J1973" t="s">
        <v>128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931"/>
        <v>14:44:36.609</v>
      </c>
      <c r="T1973" t="str">
        <f t="shared" si="932"/>
        <v>14:44:36.309</v>
      </c>
      <c r="U1973" t="str">
        <f t="shared" si="910"/>
        <v>A9808D</v>
      </c>
      <c r="V1973">
        <v>0</v>
      </c>
      <c r="W1973">
        <v>0</v>
      </c>
      <c r="X1973">
        <v>1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0</v>
      </c>
      <c r="AI1973" t="s">
        <v>512</v>
      </c>
      <c r="AJ1973">
        <v>28.267499999999998</v>
      </c>
      <c r="AK1973" t="s">
        <v>513</v>
      </c>
      <c r="AL1973">
        <v>-82.352549999999994</v>
      </c>
      <c r="AM1973">
        <v>100</v>
      </c>
      <c r="AN1973">
        <v>2000</v>
      </c>
      <c r="AO1973" t="s">
        <v>118</v>
      </c>
      <c r="AP1973">
        <v>79</v>
      </c>
      <c r="AQ1973">
        <v>-65</v>
      </c>
      <c r="AR1973">
        <v>384</v>
      </c>
      <c r="AZ1973">
        <v>1200</v>
      </c>
      <c r="BA1973">
        <v>1</v>
      </c>
      <c r="BB1973" t="str">
        <f t="shared" si="921"/>
        <v xml:space="preserve">N711JA  </v>
      </c>
      <c r="BC1973">
        <v>1</v>
      </c>
      <c r="BE1973">
        <v>0</v>
      </c>
      <c r="BF1973">
        <v>0</v>
      </c>
      <c r="BG1973">
        <v>0</v>
      </c>
      <c r="BH1973">
        <v>2050</v>
      </c>
      <c r="BI1973">
        <v>1</v>
      </c>
      <c r="BJ1973">
        <v>1</v>
      </c>
      <c r="BK1973">
        <v>0</v>
      </c>
      <c r="BL1973">
        <v>0</v>
      </c>
      <c r="BO1973">
        <v>0</v>
      </c>
      <c r="BP1973">
        <v>0</v>
      </c>
      <c r="BW1973" t="str">
        <f t="shared" si="933"/>
        <v>14:44:36.615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343</v>
      </c>
      <c r="CR1973">
        <v>1</v>
      </c>
      <c r="CW1973">
        <v>10732363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 t="shared" si="930"/>
        <v>05/12/2020 14:44:18.779</v>
      </c>
      <c r="C1974" t="str">
        <f t="shared" si="920"/>
        <v>FFDFD3C0</v>
      </c>
      <c r="D1974" t="s">
        <v>126</v>
      </c>
      <c r="E1974">
        <v>7</v>
      </c>
      <c r="F1974">
        <v>1007</v>
      </c>
      <c r="G1974" t="s">
        <v>127</v>
      </c>
      <c r="J1974" t="s">
        <v>128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931"/>
        <v>14:44:36.609</v>
      </c>
      <c r="T1974" t="str">
        <f t="shared" si="932"/>
        <v>14:44:36.309</v>
      </c>
      <c r="U1974" t="str">
        <f t="shared" si="910"/>
        <v>A9808D</v>
      </c>
      <c r="V1974">
        <v>0</v>
      </c>
      <c r="W1974">
        <v>0</v>
      </c>
      <c r="X1974">
        <v>1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0</v>
      </c>
      <c r="AI1974" t="s">
        <v>512</v>
      </c>
      <c r="AJ1974">
        <v>28.267499999999998</v>
      </c>
      <c r="AK1974" t="s">
        <v>513</v>
      </c>
      <c r="AL1974">
        <v>-82.352549999999994</v>
      </c>
      <c r="AM1974">
        <v>100</v>
      </c>
      <c r="AN1974">
        <v>2000</v>
      </c>
      <c r="AO1974" t="s">
        <v>118</v>
      </c>
      <c r="AP1974">
        <v>79</v>
      </c>
      <c r="AQ1974">
        <v>-65</v>
      </c>
      <c r="AR1974">
        <v>384</v>
      </c>
      <c r="AZ1974">
        <v>1200</v>
      </c>
      <c r="BA1974">
        <v>1</v>
      </c>
      <c r="BB1974" t="str">
        <f t="shared" si="921"/>
        <v xml:space="preserve">N711JA  </v>
      </c>
      <c r="BC1974">
        <v>1</v>
      </c>
      <c r="BE1974">
        <v>0</v>
      </c>
      <c r="BF1974">
        <v>0</v>
      </c>
      <c r="BG1974">
        <v>0</v>
      </c>
      <c r="BH1974">
        <v>2050</v>
      </c>
      <c r="BI1974">
        <v>1</v>
      </c>
      <c r="BJ1974">
        <v>1</v>
      </c>
      <c r="BK1974">
        <v>0</v>
      </c>
      <c r="BL1974">
        <v>0</v>
      </c>
      <c r="BO1974">
        <v>0</v>
      </c>
      <c r="BP1974">
        <v>0</v>
      </c>
      <c r="BW1974" t="str">
        <f t="shared" si="933"/>
        <v>14:44:36.615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343</v>
      </c>
      <c r="CR1974">
        <v>1</v>
      </c>
      <c r="CW1974">
        <v>10732363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 t="shared" si="930"/>
        <v>05/12/2020 14:44:18.779</v>
      </c>
      <c r="C1975" t="str">
        <f t="shared" si="920"/>
        <v>FFDFD3C0</v>
      </c>
      <c r="D1975" t="s">
        <v>131</v>
      </c>
      <c r="E1975">
        <v>10</v>
      </c>
      <c r="F1975">
        <v>2010</v>
      </c>
      <c r="G1975" t="s">
        <v>132</v>
      </c>
      <c r="J1975" t="s">
        <v>133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931"/>
        <v>14:44:36.609</v>
      </c>
      <c r="T1975" t="str">
        <f t="shared" si="932"/>
        <v>14:44:36.309</v>
      </c>
      <c r="U1975" t="str">
        <f t="shared" si="910"/>
        <v>A9808D</v>
      </c>
      <c r="V1975">
        <v>0</v>
      </c>
      <c r="W1975">
        <v>0</v>
      </c>
      <c r="X1975">
        <v>1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0</v>
      </c>
      <c r="AI1975" t="s">
        <v>512</v>
      </c>
      <c r="AJ1975">
        <v>28.267499999999998</v>
      </c>
      <c r="AK1975" t="s">
        <v>513</v>
      </c>
      <c r="AL1975">
        <v>-82.352549999999994</v>
      </c>
      <c r="AM1975">
        <v>100</v>
      </c>
      <c r="AN1975">
        <v>2000</v>
      </c>
      <c r="AO1975" t="s">
        <v>118</v>
      </c>
      <c r="AP1975">
        <v>79</v>
      </c>
      <c r="AQ1975">
        <v>-65</v>
      </c>
      <c r="AR1975">
        <v>384</v>
      </c>
      <c r="AZ1975">
        <v>1200</v>
      </c>
      <c r="BA1975">
        <v>1</v>
      </c>
      <c r="BB1975" t="str">
        <f t="shared" si="921"/>
        <v xml:space="preserve">N711JA  </v>
      </c>
      <c r="BC1975">
        <v>1</v>
      </c>
      <c r="BE1975">
        <v>0</v>
      </c>
      <c r="BF1975">
        <v>0</v>
      </c>
      <c r="BG1975">
        <v>0</v>
      </c>
      <c r="BH1975">
        <v>2050</v>
      </c>
      <c r="BI1975">
        <v>1</v>
      </c>
      <c r="BJ1975">
        <v>1</v>
      </c>
      <c r="BK1975">
        <v>0</v>
      </c>
      <c r="BL1975">
        <v>0</v>
      </c>
      <c r="BO1975">
        <v>0</v>
      </c>
      <c r="BP1975">
        <v>0</v>
      </c>
      <c r="BW1975" t="str">
        <f t="shared" si="933"/>
        <v>14:44:36.615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343</v>
      </c>
      <c r="CR1975">
        <v>1</v>
      </c>
      <c r="CW1975">
        <v>10732363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 t="shared" ref="A1976:A1984" si="934">"05/12/2020 14:44:19.725"</f>
        <v>05/12/2020 14:44:19.725</v>
      </c>
      <c r="C1976" t="str">
        <f t="shared" si="920"/>
        <v>FFDFD3C0</v>
      </c>
      <c r="D1976" t="s">
        <v>126</v>
      </c>
      <c r="E1976">
        <v>6</v>
      </c>
      <c r="F1976">
        <v>1006</v>
      </c>
      <c r="G1976" t="s">
        <v>114</v>
      </c>
      <c r="J1976" t="s">
        <v>128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ref="S1976:S1984" si="935">"14:44:37.523"</f>
        <v>14:44:37.523</v>
      </c>
      <c r="T1976" t="str">
        <f t="shared" ref="T1976:T1984" si="936">"14:44:37.323"</f>
        <v>14:44:37.323</v>
      </c>
      <c r="U1976" t="str">
        <f t="shared" si="910"/>
        <v>A9808D</v>
      </c>
      <c r="V1976">
        <v>0</v>
      </c>
      <c r="W1976">
        <v>0</v>
      </c>
      <c r="X1976">
        <v>1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0</v>
      </c>
      <c r="AI1976" t="s">
        <v>514</v>
      </c>
      <c r="AJ1976">
        <v>28.267178999999999</v>
      </c>
      <c r="AK1976" t="s">
        <v>515</v>
      </c>
      <c r="AL1976">
        <v>-82.352142000000001</v>
      </c>
      <c r="AM1976">
        <v>100</v>
      </c>
      <c r="AN1976">
        <v>2000</v>
      </c>
      <c r="AO1976" t="s">
        <v>118</v>
      </c>
      <c r="AP1976">
        <v>79</v>
      </c>
      <c r="AQ1976">
        <v>-65</v>
      </c>
      <c r="AR1976">
        <v>448</v>
      </c>
      <c r="AZ1976">
        <v>1200</v>
      </c>
      <c r="BA1976">
        <v>1</v>
      </c>
      <c r="BB1976" t="str">
        <f t="shared" si="921"/>
        <v xml:space="preserve">N711JA  </v>
      </c>
      <c r="BC1976">
        <v>1</v>
      </c>
      <c r="BE1976">
        <v>0</v>
      </c>
      <c r="BF1976">
        <v>0</v>
      </c>
      <c r="BG1976">
        <v>0</v>
      </c>
      <c r="BH1976">
        <v>2050</v>
      </c>
      <c r="BI1976">
        <v>1</v>
      </c>
      <c r="BJ1976">
        <v>1</v>
      </c>
      <c r="BK1976">
        <v>0</v>
      </c>
      <c r="BL1976">
        <v>0</v>
      </c>
      <c r="BO1976">
        <v>0</v>
      </c>
      <c r="BP1976">
        <v>0</v>
      </c>
      <c r="BW1976" t="str">
        <f t="shared" ref="BW1976:BW1984" si="937">"14:44:37.530"</f>
        <v>14:44:37.530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343</v>
      </c>
      <c r="CR1976">
        <v>2</v>
      </c>
      <c r="CW1976">
        <v>13098300</v>
      </c>
      <c r="CY1976">
        <v>1</v>
      </c>
      <c r="CZ1976">
        <v>0</v>
      </c>
      <c r="DA1976">
        <v>0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 t="shared" si="934"/>
        <v>05/12/2020 14:44:19.725</v>
      </c>
      <c r="C1977" t="str">
        <f t="shared" si="920"/>
        <v>FFDFD3C0</v>
      </c>
      <c r="D1977" t="s">
        <v>126</v>
      </c>
      <c r="E1977">
        <v>7</v>
      </c>
      <c r="F1977">
        <v>1007</v>
      </c>
      <c r="G1977" t="s">
        <v>127</v>
      </c>
      <c r="J1977" t="s">
        <v>128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935"/>
        <v>14:44:37.523</v>
      </c>
      <c r="T1977" t="str">
        <f t="shared" si="936"/>
        <v>14:44:37.323</v>
      </c>
      <c r="U1977" t="str">
        <f t="shared" si="910"/>
        <v>A9808D</v>
      </c>
      <c r="V1977">
        <v>0</v>
      </c>
      <c r="W1977">
        <v>0</v>
      </c>
      <c r="X1977">
        <v>1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0</v>
      </c>
      <c r="AI1977" t="s">
        <v>514</v>
      </c>
      <c r="AJ1977">
        <v>28.267178999999999</v>
      </c>
      <c r="AK1977" t="s">
        <v>515</v>
      </c>
      <c r="AL1977">
        <v>-82.352142000000001</v>
      </c>
      <c r="AM1977">
        <v>100</v>
      </c>
      <c r="AN1977">
        <v>2000</v>
      </c>
      <c r="AO1977" t="s">
        <v>118</v>
      </c>
      <c r="AP1977">
        <v>79</v>
      </c>
      <c r="AQ1977">
        <v>-65</v>
      </c>
      <c r="AR1977">
        <v>448</v>
      </c>
      <c r="AZ1977">
        <v>1200</v>
      </c>
      <c r="BA1977">
        <v>1</v>
      </c>
      <c r="BB1977" t="str">
        <f t="shared" si="921"/>
        <v xml:space="preserve">N711JA  </v>
      </c>
      <c r="BC1977">
        <v>1</v>
      </c>
      <c r="BE1977">
        <v>0</v>
      </c>
      <c r="BF1977">
        <v>0</v>
      </c>
      <c r="BG1977">
        <v>0</v>
      </c>
      <c r="BH1977">
        <v>2050</v>
      </c>
      <c r="BI1977">
        <v>1</v>
      </c>
      <c r="BJ1977">
        <v>1</v>
      </c>
      <c r="BK1977">
        <v>0</v>
      </c>
      <c r="BL1977">
        <v>0</v>
      </c>
      <c r="BO1977">
        <v>0</v>
      </c>
      <c r="BP1977">
        <v>0</v>
      </c>
      <c r="BW1977" t="str">
        <f t="shared" si="937"/>
        <v>14:44:37.530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343</v>
      </c>
      <c r="CR1977">
        <v>2</v>
      </c>
      <c r="CW1977">
        <v>13098300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 t="shared" si="934"/>
        <v>05/12/2020 14:44:19.725</v>
      </c>
      <c r="C1978" t="str">
        <f t="shared" si="920"/>
        <v>FFDFD3C0</v>
      </c>
      <c r="D1978" t="s">
        <v>131</v>
      </c>
      <c r="E1978">
        <v>10</v>
      </c>
      <c r="F1978">
        <v>2010</v>
      </c>
      <c r="G1978" t="s">
        <v>132</v>
      </c>
      <c r="J1978" t="s">
        <v>133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935"/>
        <v>14:44:37.523</v>
      </c>
      <c r="T1978" t="str">
        <f t="shared" si="936"/>
        <v>14:44:37.323</v>
      </c>
      <c r="U1978" t="str">
        <f t="shared" si="910"/>
        <v>A9808D</v>
      </c>
      <c r="V1978">
        <v>0</v>
      </c>
      <c r="W1978">
        <v>0</v>
      </c>
      <c r="X1978">
        <v>1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0</v>
      </c>
      <c r="AI1978" t="s">
        <v>514</v>
      </c>
      <c r="AJ1978">
        <v>28.267178999999999</v>
      </c>
      <c r="AK1978" t="s">
        <v>515</v>
      </c>
      <c r="AL1978">
        <v>-82.352142000000001</v>
      </c>
      <c r="AM1978">
        <v>100</v>
      </c>
      <c r="AN1978">
        <v>2000</v>
      </c>
      <c r="AO1978" t="s">
        <v>118</v>
      </c>
      <c r="AP1978">
        <v>79</v>
      </c>
      <c r="AQ1978">
        <v>-65</v>
      </c>
      <c r="AR1978">
        <v>448</v>
      </c>
      <c r="AZ1978">
        <v>1200</v>
      </c>
      <c r="BA1978">
        <v>1</v>
      </c>
      <c r="BB1978" t="str">
        <f t="shared" si="921"/>
        <v xml:space="preserve">N711JA  </v>
      </c>
      <c r="BC1978">
        <v>1</v>
      </c>
      <c r="BE1978">
        <v>0</v>
      </c>
      <c r="BF1978">
        <v>0</v>
      </c>
      <c r="BG1978">
        <v>0</v>
      </c>
      <c r="BH1978">
        <v>2050</v>
      </c>
      <c r="BI1978">
        <v>1</v>
      </c>
      <c r="BJ1978">
        <v>1</v>
      </c>
      <c r="BK1978">
        <v>0</v>
      </c>
      <c r="BL1978">
        <v>0</v>
      </c>
      <c r="BO1978">
        <v>0</v>
      </c>
      <c r="BP1978">
        <v>0</v>
      </c>
      <c r="BW1978" t="str">
        <f t="shared" si="937"/>
        <v>14:44:37.530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343</v>
      </c>
      <c r="CR1978">
        <v>2</v>
      </c>
      <c r="CW1978">
        <v>13098300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 t="shared" si="934"/>
        <v>05/12/2020 14:44:19.725</v>
      </c>
      <c r="C1979" t="str">
        <f t="shared" si="920"/>
        <v>FFDFD3C0</v>
      </c>
      <c r="D1979" t="s">
        <v>131</v>
      </c>
      <c r="E1979">
        <v>12</v>
      </c>
      <c r="F1979">
        <v>2012</v>
      </c>
      <c r="G1979" t="s">
        <v>137</v>
      </c>
      <c r="J1979" t="s">
        <v>133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935"/>
        <v>14:44:37.523</v>
      </c>
      <c r="T1979" t="str">
        <f t="shared" si="936"/>
        <v>14:44:37.323</v>
      </c>
      <c r="U1979" t="str">
        <f t="shared" si="910"/>
        <v>A9808D</v>
      </c>
      <c r="V1979">
        <v>0</v>
      </c>
      <c r="W1979">
        <v>0</v>
      </c>
      <c r="X1979">
        <v>1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0</v>
      </c>
      <c r="AI1979" t="s">
        <v>514</v>
      </c>
      <c r="AJ1979">
        <v>28.267178999999999</v>
      </c>
      <c r="AK1979" t="s">
        <v>515</v>
      </c>
      <c r="AL1979">
        <v>-82.352142000000001</v>
      </c>
      <c r="AM1979">
        <v>100</v>
      </c>
      <c r="AN1979">
        <v>2000</v>
      </c>
      <c r="AO1979" t="s">
        <v>118</v>
      </c>
      <c r="AP1979">
        <v>79</v>
      </c>
      <c r="AQ1979">
        <v>-65</v>
      </c>
      <c r="AR1979">
        <v>448</v>
      </c>
      <c r="AZ1979">
        <v>1200</v>
      </c>
      <c r="BA1979">
        <v>1</v>
      </c>
      <c r="BB1979" t="str">
        <f t="shared" si="921"/>
        <v xml:space="preserve">N711JA  </v>
      </c>
      <c r="BC1979">
        <v>1</v>
      </c>
      <c r="BE1979">
        <v>0</v>
      </c>
      <c r="BF1979">
        <v>0</v>
      </c>
      <c r="BG1979">
        <v>0</v>
      </c>
      <c r="BH1979">
        <v>2050</v>
      </c>
      <c r="BI1979">
        <v>1</v>
      </c>
      <c r="BJ1979">
        <v>1</v>
      </c>
      <c r="BK1979">
        <v>0</v>
      </c>
      <c r="BL1979">
        <v>0</v>
      </c>
      <c r="BO1979">
        <v>0</v>
      </c>
      <c r="BP1979">
        <v>0</v>
      </c>
      <c r="BW1979" t="str">
        <f t="shared" si="937"/>
        <v>14:44:37.530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343</v>
      </c>
      <c r="CR1979">
        <v>2</v>
      </c>
      <c r="CW1979">
        <v>13098300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 t="shared" si="934"/>
        <v>05/12/2020 14:44:19.725</v>
      </c>
      <c r="C1980" t="str">
        <f t="shared" si="920"/>
        <v>FFDFD3C0</v>
      </c>
      <c r="D1980" t="s">
        <v>131</v>
      </c>
      <c r="E1980">
        <v>18</v>
      </c>
      <c r="F1980">
        <v>2018</v>
      </c>
      <c r="G1980" t="s">
        <v>161</v>
      </c>
      <c r="J1980" t="s">
        <v>133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935"/>
        <v>14:44:37.523</v>
      </c>
      <c r="T1980" t="str">
        <f t="shared" si="936"/>
        <v>14:44:37.323</v>
      </c>
      <c r="U1980" t="str">
        <f t="shared" si="910"/>
        <v>A9808D</v>
      </c>
      <c r="V1980">
        <v>0</v>
      </c>
      <c r="W1980">
        <v>0</v>
      </c>
      <c r="X1980">
        <v>1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0</v>
      </c>
      <c r="AI1980" t="s">
        <v>514</v>
      </c>
      <c r="AJ1980">
        <v>28.267178999999999</v>
      </c>
      <c r="AK1980" t="s">
        <v>515</v>
      </c>
      <c r="AL1980">
        <v>-82.352142000000001</v>
      </c>
      <c r="AM1980">
        <v>100</v>
      </c>
      <c r="AN1980">
        <v>2000</v>
      </c>
      <c r="AO1980" t="s">
        <v>118</v>
      </c>
      <c r="AP1980">
        <v>79</v>
      </c>
      <c r="AQ1980">
        <v>-65</v>
      </c>
      <c r="AR1980">
        <v>448</v>
      </c>
      <c r="AZ1980">
        <v>1200</v>
      </c>
      <c r="BA1980">
        <v>1</v>
      </c>
      <c r="BB1980" t="str">
        <f t="shared" si="921"/>
        <v xml:space="preserve">N711JA  </v>
      </c>
      <c r="BC1980">
        <v>1</v>
      </c>
      <c r="BE1980">
        <v>0</v>
      </c>
      <c r="BF1980">
        <v>0</v>
      </c>
      <c r="BG1980">
        <v>0</v>
      </c>
      <c r="BH1980">
        <v>2050</v>
      </c>
      <c r="BI1980">
        <v>1</v>
      </c>
      <c r="BJ1980">
        <v>1</v>
      </c>
      <c r="BK1980">
        <v>0</v>
      </c>
      <c r="BL1980">
        <v>0</v>
      </c>
      <c r="BO1980">
        <v>0</v>
      </c>
      <c r="BP1980">
        <v>0</v>
      </c>
      <c r="BW1980" t="str">
        <f t="shared" si="937"/>
        <v>14:44:37.530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343</v>
      </c>
      <c r="CR1980">
        <v>2</v>
      </c>
      <c r="CW1980">
        <v>13098300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 t="shared" si="934"/>
        <v>05/12/2020 14:44:19.725</v>
      </c>
      <c r="C1981" t="str">
        <f t="shared" si="920"/>
        <v>FFDFD3C0</v>
      </c>
      <c r="D1981" t="s">
        <v>138</v>
      </c>
      <c r="E1981">
        <v>2</v>
      </c>
      <c r="H1981">
        <v>8</v>
      </c>
      <c r="I1981" t="s">
        <v>139</v>
      </c>
      <c r="J1981" t="s">
        <v>136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935"/>
        <v>14:44:37.523</v>
      </c>
      <c r="T1981" t="str">
        <f t="shared" si="936"/>
        <v>14:44:37.323</v>
      </c>
      <c r="U1981" t="str">
        <f t="shared" si="910"/>
        <v>A9808D</v>
      </c>
      <c r="V1981">
        <v>0</v>
      </c>
      <c r="W1981">
        <v>0</v>
      </c>
      <c r="X1981">
        <v>1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0</v>
      </c>
      <c r="AI1981" t="s">
        <v>514</v>
      </c>
      <c r="AJ1981">
        <v>28.267178999999999</v>
      </c>
      <c r="AK1981" t="s">
        <v>515</v>
      </c>
      <c r="AL1981">
        <v>-82.352142000000001</v>
      </c>
      <c r="AM1981">
        <v>100</v>
      </c>
      <c r="AN1981">
        <v>2000</v>
      </c>
      <c r="AO1981" t="s">
        <v>118</v>
      </c>
      <c r="AP1981">
        <v>79</v>
      </c>
      <c r="AQ1981">
        <v>-65</v>
      </c>
      <c r="AR1981">
        <v>448</v>
      </c>
      <c r="AZ1981">
        <v>1200</v>
      </c>
      <c r="BA1981">
        <v>1</v>
      </c>
      <c r="BB1981" t="str">
        <f t="shared" si="921"/>
        <v xml:space="preserve">N711JA  </v>
      </c>
      <c r="BC1981">
        <v>1</v>
      </c>
      <c r="BE1981">
        <v>0</v>
      </c>
      <c r="BF1981">
        <v>0</v>
      </c>
      <c r="BG1981">
        <v>0</v>
      </c>
      <c r="BH1981">
        <v>2050</v>
      </c>
      <c r="BI1981">
        <v>1</v>
      </c>
      <c r="BJ1981">
        <v>1</v>
      </c>
      <c r="BK1981">
        <v>0</v>
      </c>
      <c r="BL1981">
        <v>0</v>
      </c>
      <c r="BO1981">
        <v>0</v>
      </c>
      <c r="BP1981">
        <v>0</v>
      </c>
      <c r="BW1981" t="str">
        <f t="shared" si="937"/>
        <v>14:44:37.530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343</v>
      </c>
      <c r="CR1981">
        <v>2</v>
      </c>
      <c r="CW1981">
        <v>13098300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 t="shared" si="934"/>
        <v>05/12/2020 14:44:19.725</v>
      </c>
      <c r="C1982" t="str">
        <f t="shared" si="920"/>
        <v>FFDFD3C0</v>
      </c>
      <c r="D1982" t="s">
        <v>134</v>
      </c>
      <c r="E1982">
        <v>12</v>
      </c>
      <c r="H1982">
        <v>64</v>
      </c>
      <c r="I1982" t="s">
        <v>135</v>
      </c>
      <c r="J1982" t="s">
        <v>136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935"/>
        <v>14:44:37.523</v>
      </c>
      <c r="T1982" t="str">
        <f t="shared" si="936"/>
        <v>14:44:37.323</v>
      </c>
      <c r="U1982" t="str">
        <f t="shared" si="910"/>
        <v>A9808D</v>
      </c>
      <c r="V1982">
        <v>0</v>
      </c>
      <c r="W1982">
        <v>0</v>
      </c>
      <c r="X1982">
        <v>1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0</v>
      </c>
      <c r="AI1982" t="s">
        <v>514</v>
      </c>
      <c r="AJ1982">
        <v>28.267178999999999</v>
      </c>
      <c r="AK1982" t="s">
        <v>515</v>
      </c>
      <c r="AL1982">
        <v>-82.352142000000001</v>
      </c>
      <c r="AM1982">
        <v>100</v>
      </c>
      <c r="AN1982">
        <v>2000</v>
      </c>
      <c r="AO1982" t="s">
        <v>118</v>
      </c>
      <c r="AP1982">
        <v>79</v>
      </c>
      <c r="AQ1982">
        <v>-65</v>
      </c>
      <c r="AR1982">
        <v>448</v>
      </c>
      <c r="AZ1982">
        <v>1200</v>
      </c>
      <c r="BA1982">
        <v>1</v>
      </c>
      <c r="BB1982" t="str">
        <f t="shared" si="921"/>
        <v xml:space="preserve">N711JA  </v>
      </c>
      <c r="BC1982">
        <v>1</v>
      </c>
      <c r="BE1982">
        <v>0</v>
      </c>
      <c r="BF1982">
        <v>0</v>
      </c>
      <c r="BG1982">
        <v>0</v>
      </c>
      <c r="BH1982">
        <v>2050</v>
      </c>
      <c r="BI1982">
        <v>1</v>
      </c>
      <c r="BJ1982">
        <v>1</v>
      </c>
      <c r="BK1982">
        <v>0</v>
      </c>
      <c r="BL1982">
        <v>0</v>
      </c>
      <c r="BO1982">
        <v>0</v>
      </c>
      <c r="BP1982">
        <v>0</v>
      </c>
      <c r="BW1982" t="str">
        <f t="shared" si="937"/>
        <v>14:44:37.530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343</v>
      </c>
      <c r="CR1982">
        <v>2</v>
      </c>
      <c r="CW1982">
        <v>13098300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 t="shared" si="934"/>
        <v>05/12/2020 14:44:19.725</v>
      </c>
      <c r="C1983" t="str">
        <f t="shared" si="920"/>
        <v>FFDFD3C0</v>
      </c>
      <c r="D1983" t="s">
        <v>138</v>
      </c>
      <c r="E1983">
        <v>3</v>
      </c>
      <c r="H1983">
        <v>9</v>
      </c>
      <c r="I1983" t="s">
        <v>140</v>
      </c>
      <c r="J1983" t="s">
        <v>136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935"/>
        <v>14:44:37.523</v>
      </c>
      <c r="T1983" t="str">
        <f t="shared" si="936"/>
        <v>14:44:37.323</v>
      </c>
      <c r="U1983" t="str">
        <f t="shared" si="910"/>
        <v>A9808D</v>
      </c>
      <c r="V1983">
        <v>0</v>
      </c>
      <c r="W1983">
        <v>0</v>
      </c>
      <c r="X1983">
        <v>1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0</v>
      </c>
      <c r="AI1983" t="s">
        <v>514</v>
      </c>
      <c r="AJ1983">
        <v>28.267178999999999</v>
      </c>
      <c r="AK1983" t="s">
        <v>515</v>
      </c>
      <c r="AL1983">
        <v>-82.352142000000001</v>
      </c>
      <c r="AM1983">
        <v>100</v>
      </c>
      <c r="AN1983">
        <v>2000</v>
      </c>
      <c r="AO1983" t="s">
        <v>118</v>
      </c>
      <c r="AP1983">
        <v>79</v>
      </c>
      <c r="AQ1983">
        <v>-65</v>
      </c>
      <c r="AR1983">
        <v>448</v>
      </c>
      <c r="AZ1983">
        <v>1200</v>
      </c>
      <c r="BA1983">
        <v>1</v>
      </c>
      <c r="BB1983" t="str">
        <f t="shared" si="921"/>
        <v xml:space="preserve">N711JA  </v>
      </c>
      <c r="BC1983">
        <v>1</v>
      </c>
      <c r="BE1983">
        <v>0</v>
      </c>
      <c r="BF1983">
        <v>0</v>
      </c>
      <c r="BG1983">
        <v>0</v>
      </c>
      <c r="BH1983">
        <v>2050</v>
      </c>
      <c r="BI1983">
        <v>1</v>
      </c>
      <c r="BJ1983">
        <v>1</v>
      </c>
      <c r="BK1983">
        <v>0</v>
      </c>
      <c r="BL1983">
        <v>0</v>
      </c>
      <c r="BO1983">
        <v>0</v>
      </c>
      <c r="BP1983">
        <v>0</v>
      </c>
      <c r="BW1983" t="str">
        <f t="shared" si="937"/>
        <v>14:44:37.530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343</v>
      </c>
      <c r="CR1983">
        <v>2</v>
      </c>
      <c r="CW1983">
        <v>13098300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 t="shared" si="934"/>
        <v>05/12/2020 14:44:19.725</v>
      </c>
      <c r="C1984" t="str">
        <f t="shared" si="920"/>
        <v>FFDFD3C0</v>
      </c>
      <c r="D1984" t="s">
        <v>113</v>
      </c>
      <c r="E1984">
        <v>3</v>
      </c>
      <c r="H1984">
        <v>164</v>
      </c>
      <c r="I1984" t="s">
        <v>114</v>
      </c>
      <c r="J1984" t="s">
        <v>115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935"/>
        <v>14:44:37.523</v>
      </c>
      <c r="T1984" t="str">
        <f t="shared" si="936"/>
        <v>14:44:37.323</v>
      </c>
      <c r="U1984" t="str">
        <f t="shared" si="910"/>
        <v>A9808D</v>
      </c>
      <c r="V1984">
        <v>0</v>
      </c>
      <c r="W1984">
        <v>0</v>
      </c>
      <c r="X1984">
        <v>1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0</v>
      </c>
      <c r="AI1984" t="s">
        <v>514</v>
      </c>
      <c r="AJ1984">
        <v>28.267178999999999</v>
      </c>
      <c r="AK1984" t="s">
        <v>515</v>
      </c>
      <c r="AL1984">
        <v>-82.352142000000001</v>
      </c>
      <c r="AM1984">
        <v>100</v>
      </c>
      <c r="AN1984">
        <v>2000</v>
      </c>
      <c r="AO1984" t="s">
        <v>118</v>
      </c>
      <c r="AP1984">
        <v>79</v>
      </c>
      <c r="AQ1984">
        <v>-65</v>
      </c>
      <c r="AR1984">
        <v>448</v>
      </c>
      <c r="AZ1984">
        <v>1200</v>
      </c>
      <c r="BA1984">
        <v>1</v>
      </c>
      <c r="BB1984" t="str">
        <f t="shared" si="921"/>
        <v xml:space="preserve">N711JA  </v>
      </c>
      <c r="BC1984">
        <v>1</v>
      </c>
      <c r="BE1984">
        <v>0</v>
      </c>
      <c r="BF1984">
        <v>0</v>
      </c>
      <c r="BG1984">
        <v>0</v>
      </c>
      <c r="BH1984">
        <v>2050</v>
      </c>
      <c r="BI1984">
        <v>1</v>
      </c>
      <c r="BJ1984">
        <v>1</v>
      </c>
      <c r="BK1984">
        <v>0</v>
      </c>
      <c r="BL1984">
        <v>0</v>
      </c>
      <c r="BO1984">
        <v>0</v>
      </c>
      <c r="BP1984">
        <v>0</v>
      </c>
      <c r="BW1984" t="str">
        <f t="shared" si="937"/>
        <v>14:44:37.530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343</v>
      </c>
      <c r="CR1984">
        <v>2</v>
      </c>
      <c r="CW1984">
        <v>13098300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 t="shared" ref="A1985:A1993" si="938">"05/12/2020 14:44:20.555"</f>
        <v>05/12/2020 14:44:20.555</v>
      </c>
      <c r="C1985" t="str">
        <f t="shared" si="920"/>
        <v>FFDFD3C0</v>
      </c>
      <c r="D1985" t="s">
        <v>138</v>
      </c>
      <c r="E1985">
        <v>2</v>
      </c>
      <c r="H1985">
        <v>8</v>
      </c>
      <c r="I1985" t="s">
        <v>139</v>
      </c>
      <c r="J1985" t="s">
        <v>136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ref="S1985:S1993" si="939">"14:44:38.375"</f>
        <v>14:44:38.375</v>
      </c>
      <c r="T1985" t="str">
        <f t="shared" ref="T1985:T1993" si="940">"14:44:38.275"</f>
        <v>14:44:38.275</v>
      </c>
      <c r="U1985" t="str">
        <f t="shared" si="910"/>
        <v>A9808D</v>
      </c>
      <c r="V1985">
        <v>0</v>
      </c>
      <c r="W1985">
        <v>0</v>
      </c>
      <c r="X1985">
        <v>1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0</v>
      </c>
      <c r="AI1985" t="s">
        <v>516</v>
      </c>
      <c r="AJ1985">
        <v>28.266943000000001</v>
      </c>
      <c r="AK1985" t="s">
        <v>517</v>
      </c>
      <c r="AL1985">
        <v>-82.351799</v>
      </c>
      <c r="AM1985">
        <v>100</v>
      </c>
      <c r="AN1985">
        <v>2000</v>
      </c>
      <c r="AO1985" t="s">
        <v>118</v>
      </c>
      <c r="AP1985">
        <v>80</v>
      </c>
      <c r="AQ1985">
        <v>-65</v>
      </c>
      <c r="AR1985">
        <v>448</v>
      </c>
      <c r="AZ1985">
        <v>1200</v>
      </c>
      <c r="BA1985">
        <v>1</v>
      </c>
      <c r="BB1985" t="str">
        <f t="shared" si="921"/>
        <v xml:space="preserve">N711JA  </v>
      </c>
      <c r="BC1985">
        <v>1</v>
      </c>
      <c r="BE1985">
        <v>0</v>
      </c>
      <c r="BF1985">
        <v>0</v>
      </c>
      <c r="BG1985">
        <v>0</v>
      </c>
      <c r="BH1985">
        <v>2075</v>
      </c>
      <c r="BI1985">
        <v>1</v>
      </c>
      <c r="BJ1985">
        <v>1</v>
      </c>
      <c r="BK1985">
        <v>0</v>
      </c>
      <c r="BL1985">
        <v>0</v>
      </c>
      <c r="BO1985">
        <v>0</v>
      </c>
      <c r="BP1985">
        <v>0</v>
      </c>
      <c r="BW1985" t="str">
        <f t="shared" ref="BW1985:BW1993" si="941">"14:44:38.380"</f>
        <v>14:44:38.380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343</v>
      </c>
      <c r="CR1985">
        <v>1</v>
      </c>
      <c r="CW1985">
        <v>10734262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 t="shared" si="938"/>
        <v>05/12/2020 14:44:20.555</v>
      </c>
      <c r="C1986" t="str">
        <f t="shared" si="920"/>
        <v>FFDFD3C0</v>
      </c>
      <c r="D1986" t="s">
        <v>138</v>
      </c>
      <c r="E1986">
        <v>3</v>
      </c>
      <c r="H1986">
        <v>9</v>
      </c>
      <c r="I1986" t="s">
        <v>140</v>
      </c>
      <c r="J1986" t="s">
        <v>136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939"/>
        <v>14:44:38.375</v>
      </c>
      <c r="T1986" t="str">
        <f t="shared" si="940"/>
        <v>14:44:38.275</v>
      </c>
      <c r="U1986" t="str">
        <f t="shared" ref="U1986:U2049" si="942">"A9808D"</f>
        <v>A9808D</v>
      </c>
      <c r="V1986">
        <v>0</v>
      </c>
      <c r="W1986">
        <v>0</v>
      </c>
      <c r="X1986">
        <v>1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0</v>
      </c>
      <c r="AI1986" t="s">
        <v>516</v>
      </c>
      <c r="AJ1986">
        <v>28.266943000000001</v>
      </c>
      <c r="AK1986" t="s">
        <v>517</v>
      </c>
      <c r="AL1986">
        <v>-82.351799</v>
      </c>
      <c r="AM1986">
        <v>100</v>
      </c>
      <c r="AN1986">
        <v>2000</v>
      </c>
      <c r="AO1986" t="s">
        <v>118</v>
      </c>
      <c r="AP1986">
        <v>80</v>
      </c>
      <c r="AQ1986">
        <v>-65</v>
      </c>
      <c r="AR1986">
        <v>448</v>
      </c>
      <c r="AZ1986">
        <v>1200</v>
      </c>
      <c r="BA1986">
        <v>1</v>
      </c>
      <c r="BB1986" t="str">
        <f t="shared" si="921"/>
        <v xml:space="preserve">N711JA  </v>
      </c>
      <c r="BC1986">
        <v>1</v>
      </c>
      <c r="BE1986">
        <v>0</v>
      </c>
      <c r="BF1986">
        <v>0</v>
      </c>
      <c r="BG1986">
        <v>0</v>
      </c>
      <c r="BH1986">
        <v>2075</v>
      </c>
      <c r="BI1986">
        <v>1</v>
      </c>
      <c r="BJ1986">
        <v>1</v>
      </c>
      <c r="BK1986">
        <v>0</v>
      </c>
      <c r="BL1986">
        <v>0</v>
      </c>
      <c r="BO1986">
        <v>0</v>
      </c>
      <c r="BP1986">
        <v>0</v>
      </c>
      <c r="BW1986" t="str">
        <f t="shared" si="941"/>
        <v>14:44:38.380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343</v>
      </c>
      <c r="CR1986">
        <v>1</v>
      </c>
      <c r="CW1986">
        <v>10734262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 t="shared" si="938"/>
        <v>05/12/2020 14:44:20.555</v>
      </c>
      <c r="C1987" t="str">
        <f t="shared" si="920"/>
        <v>FFDFD3C0</v>
      </c>
      <c r="D1987" t="s">
        <v>134</v>
      </c>
      <c r="E1987">
        <v>12</v>
      </c>
      <c r="H1987">
        <v>64</v>
      </c>
      <c r="I1987" t="s">
        <v>135</v>
      </c>
      <c r="J1987" t="s">
        <v>136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939"/>
        <v>14:44:38.375</v>
      </c>
      <c r="T1987" t="str">
        <f t="shared" si="940"/>
        <v>14:44:38.275</v>
      </c>
      <c r="U1987" t="str">
        <f t="shared" si="942"/>
        <v>A9808D</v>
      </c>
      <c r="V1987">
        <v>0</v>
      </c>
      <c r="W1987">
        <v>0</v>
      </c>
      <c r="X1987">
        <v>1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0</v>
      </c>
      <c r="AI1987" t="s">
        <v>516</v>
      </c>
      <c r="AJ1987">
        <v>28.266943000000001</v>
      </c>
      <c r="AK1987" t="s">
        <v>517</v>
      </c>
      <c r="AL1987">
        <v>-82.351799</v>
      </c>
      <c r="AM1987">
        <v>100</v>
      </c>
      <c r="AN1987">
        <v>2000</v>
      </c>
      <c r="AO1987" t="s">
        <v>118</v>
      </c>
      <c r="AP1987">
        <v>80</v>
      </c>
      <c r="AQ1987">
        <v>-65</v>
      </c>
      <c r="AR1987">
        <v>448</v>
      </c>
      <c r="AZ1987">
        <v>1200</v>
      </c>
      <c r="BA1987">
        <v>1</v>
      </c>
      <c r="BB1987" t="str">
        <f t="shared" si="921"/>
        <v xml:space="preserve">N711JA  </v>
      </c>
      <c r="BC1987">
        <v>1</v>
      </c>
      <c r="BE1987">
        <v>0</v>
      </c>
      <c r="BF1987">
        <v>0</v>
      </c>
      <c r="BG1987">
        <v>0</v>
      </c>
      <c r="BH1987">
        <v>2075</v>
      </c>
      <c r="BI1987">
        <v>1</v>
      </c>
      <c r="BJ1987">
        <v>1</v>
      </c>
      <c r="BK1987">
        <v>0</v>
      </c>
      <c r="BL1987">
        <v>0</v>
      </c>
      <c r="BO1987">
        <v>0</v>
      </c>
      <c r="BP1987">
        <v>0</v>
      </c>
      <c r="BW1987" t="str">
        <f t="shared" si="941"/>
        <v>14:44:38.380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343</v>
      </c>
      <c r="CR1987">
        <v>1</v>
      </c>
      <c r="CW1987">
        <v>10734262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 t="shared" si="938"/>
        <v>05/12/2020 14:44:20.555</v>
      </c>
      <c r="C1988" t="str">
        <f t="shared" si="920"/>
        <v>FFDFD3C0</v>
      </c>
      <c r="D1988" t="s">
        <v>113</v>
      </c>
      <c r="E1988">
        <v>3</v>
      </c>
      <c r="H1988">
        <v>164</v>
      </c>
      <c r="I1988" t="s">
        <v>114</v>
      </c>
      <c r="J1988" t="s">
        <v>115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939"/>
        <v>14:44:38.375</v>
      </c>
      <c r="T1988" t="str">
        <f t="shared" si="940"/>
        <v>14:44:38.275</v>
      </c>
      <c r="U1988" t="str">
        <f t="shared" si="942"/>
        <v>A9808D</v>
      </c>
      <c r="V1988">
        <v>0</v>
      </c>
      <c r="W1988">
        <v>0</v>
      </c>
      <c r="X1988">
        <v>1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0</v>
      </c>
      <c r="AI1988" t="s">
        <v>516</v>
      </c>
      <c r="AJ1988">
        <v>28.266943000000001</v>
      </c>
      <c r="AK1988" t="s">
        <v>517</v>
      </c>
      <c r="AL1988">
        <v>-82.351799</v>
      </c>
      <c r="AM1988">
        <v>100</v>
      </c>
      <c r="AN1988">
        <v>2000</v>
      </c>
      <c r="AO1988" t="s">
        <v>118</v>
      </c>
      <c r="AP1988">
        <v>80</v>
      </c>
      <c r="AQ1988">
        <v>-65</v>
      </c>
      <c r="AR1988">
        <v>448</v>
      </c>
      <c r="AZ1988">
        <v>1200</v>
      </c>
      <c r="BA1988">
        <v>1</v>
      </c>
      <c r="BB1988" t="str">
        <f t="shared" si="921"/>
        <v xml:space="preserve">N711JA  </v>
      </c>
      <c r="BC1988">
        <v>1</v>
      </c>
      <c r="BE1988">
        <v>0</v>
      </c>
      <c r="BF1988">
        <v>0</v>
      </c>
      <c r="BG1988">
        <v>0</v>
      </c>
      <c r="BH1988">
        <v>2075</v>
      </c>
      <c r="BI1988">
        <v>1</v>
      </c>
      <c r="BJ1988">
        <v>1</v>
      </c>
      <c r="BK1988">
        <v>0</v>
      </c>
      <c r="BL1988">
        <v>0</v>
      </c>
      <c r="BO1988">
        <v>0</v>
      </c>
      <c r="BP1988">
        <v>0</v>
      </c>
      <c r="BW1988" t="str">
        <f t="shared" si="941"/>
        <v>14:44:38.380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343</v>
      </c>
      <c r="CR1988">
        <v>1</v>
      </c>
      <c r="CW1988">
        <v>10734262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 t="shared" si="938"/>
        <v>05/12/2020 14:44:20.555</v>
      </c>
      <c r="C1989" t="str">
        <f t="shared" si="920"/>
        <v>FFDFD3C0</v>
      </c>
      <c r="D1989" t="s">
        <v>126</v>
      </c>
      <c r="E1989">
        <v>6</v>
      </c>
      <c r="F1989">
        <v>1006</v>
      </c>
      <c r="G1989" t="s">
        <v>114</v>
      </c>
      <c r="J1989" t="s">
        <v>128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939"/>
        <v>14:44:38.375</v>
      </c>
      <c r="T1989" t="str">
        <f t="shared" si="940"/>
        <v>14:44:38.275</v>
      </c>
      <c r="U1989" t="str">
        <f t="shared" si="942"/>
        <v>A9808D</v>
      </c>
      <c r="V1989">
        <v>0</v>
      </c>
      <c r="W1989">
        <v>0</v>
      </c>
      <c r="X1989">
        <v>1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0</v>
      </c>
      <c r="AI1989" t="s">
        <v>516</v>
      </c>
      <c r="AJ1989">
        <v>28.266943000000001</v>
      </c>
      <c r="AK1989" t="s">
        <v>517</v>
      </c>
      <c r="AL1989">
        <v>-82.351799</v>
      </c>
      <c r="AM1989">
        <v>100</v>
      </c>
      <c r="AN1989">
        <v>2000</v>
      </c>
      <c r="AO1989" t="s">
        <v>118</v>
      </c>
      <c r="AP1989">
        <v>80</v>
      </c>
      <c r="AQ1989">
        <v>-65</v>
      </c>
      <c r="AR1989">
        <v>448</v>
      </c>
      <c r="AZ1989">
        <v>1200</v>
      </c>
      <c r="BA1989">
        <v>1</v>
      </c>
      <c r="BB1989" t="str">
        <f t="shared" si="921"/>
        <v xml:space="preserve">N711JA  </v>
      </c>
      <c r="BC1989">
        <v>1</v>
      </c>
      <c r="BE1989">
        <v>0</v>
      </c>
      <c r="BF1989">
        <v>0</v>
      </c>
      <c r="BG1989">
        <v>0</v>
      </c>
      <c r="BH1989">
        <v>2075</v>
      </c>
      <c r="BI1989">
        <v>1</v>
      </c>
      <c r="BJ1989">
        <v>1</v>
      </c>
      <c r="BK1989">
        <v>0</v>
      </c>
      <c r="BL1989">
        <v>0</v>
      </c>
      <c r="BO1989">
        <v>0</v>
      </c>
      <c r="BP1989">
        <v>0</v>
      </c>
      <c r="BW1989" t="str">
        <f t="shared" si="941"/>
        <v>14:44:38.380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343</v>
      </c>
      <c r="CR1989">
        <v>1</v>
      </c>
      <c r="CW1989">
        <v>10734262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 t="shared" si="938"/>
        <v>05/12/2020 14:44:20.555</v>
      </c>
      <c r="C1990" t="str">
        <f t="shared" si="920"/>
        <v>FFDFD3C0</v>
      </c>
      <c r="D1990" t="s">
        <v>126</v>
      </c>
      <c r="E1990">
        <v>7</v>
      </c>
      <c r="F1990">
        <v>1007</v>
      </c>
      <c r="G1990" t="s">
        <v>127</v>
      </c>
      <c r="J1990" t="s">
        <v>128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939"/>
        <v>14:44:38.375</v>
      </c>
      <c r="T1990" t="str">
        <f t="shared" si="940"/>
        <v>14:44:38.275</v>
      </c>
      <c r="U1990" t="str">
        <f t="shared" si="942"/>
        <v>A9808D</v>
      </c>
      <c r="V1990">
        <v>0</v>
      </c>
      <c r="W1990">
        <v>0</v>
      </c>
      <c r="X1990">
        <v>1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0</v>
      </c>
      <c r="AI1990" t="s">
        <v>516</v>
      </c>
      <c r="AJ1990">
        <v>28.266943000000001</v>
      </c>
      <c r="AK1990" t="s">
        <v>517</v>
      </c>
      <c r="AL1990">
        <v>-82.351799</v>
      </c>
      <c r="AM1990">
        <v>100</v>
      </c>
      <c r="AN1990">
        <v>2000</v>
      </c>
      <c r="AO1990" t="s">
        <v>118</v>
      </c>
      <c r="AP1990">
        <v>80</v>
      </c>
      <c r="AQ1990">
        <v>-65</v>
      </c>
      <c r="AR1990">
        <v>448</v>
      </c>
      <c r="AZ1990">
        <v>1200</v>
      </c>
      <c r="BA1990">
        <v>1</v>
      </c>
      <c r="BB1990" t="str">
        <f t="shared" si="921"/>
        <v xml:space="preserve">N711JA  </v>
      </c>
      <c r="BC1990">
        <v>1</v>
      </c>
      <c r="BE1990">
        <v>0</v>
      </c>
      <c r="BF1990">
        <v>0</v>
      </c>
      <c r="BG1990">
        <v>0</v>
      </c>
      <c r="BH1990">
        <v>2075</v>
      </c>
      <c r="BI1990">
        <v>1</v>
      </c>
      <c r="BJ1990">
        <v>1</v>
      </c>
      <c r="BK1990">
        <v>0</v>
      </c>
      <c r="BL1990">
        <v>0</v>
      </c>
      <c r="BO1990">
        <v>0</v>
      </c>
      <c r="BP1990">
        <v>0</v>
      </c>
      <c r="BW1990" t="str">
        <f t="shared" si="941"/>
        <v>14:44:38.380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343</v>
      </c>
      <c r="CR1990">
        <v>1</v>
      </c>
      <c r="CW1990">
        <v>10734262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 t="shared" si="938"/>
        <v>05/12/2020 14:44:20.555</v>
      </c>
      <c r="C1991" t="str">
        <f t="shared" si="920"/>
        <v>FFDFD3C0</v>
      </c>
      <c r="D1991" t="s">
        <v>131</v>
      </c>
      <c r="E1991">
        <v>10</v>
      </c>
      <c r="F1991">
        <v>2010</v>
      </c>
      <c r="G1991" t="s">
        <v>132</v>
      </c>
      <c r="J1991" t="s">
        <v>133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939"/>
        <v>14:44:38.375</v>
      </c>
      <c r="T1991" t="str">
        <f t="shared" si="940"/>
        <v>14:44:38.275</v>
      </c>
      <c r="U1991" t="str">
        <f t="shared" si="942"/>
        <v>A9808D</v>
      </c>
      <c r="V1991">
        <v>0</v>
      </c>
      <c r="W1991">
        <v>0</v>
      </c>
      <c r="X1991">
        <v>1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0</v>
      </c>
      <c r="AI1991" t="s">
        <v>516</v>
      </c>
      <c r="AJ1991">
        <v>28.266943000000001</v>
      </c>
      <c r="AK1991" t="s">
        <v>517</v>
      </c>
      <c r="AL1991">
        <v>-82.351799</v>
      </c>
      <c r="AM1991">
        <v>100</v>
      </c>
      <c r="AN1991">
        <v>2000</v>
      </c>
      <c r="AO1991" t="s">
        <v>118</v>
      </c>
      <c r="AP1991">
        <v>80</v>
      </c>
      <c r="AQ1991">
        <v>-65</v>
      </c>
      <c r="AR1991">
        <v>448</v>
      </c>
      <c r="AZ1991">
        <v>1200</v>
      </c>
      <c r="BA1991">
        <v>1</v>
      </c>
      <c r="BB1991" t="str">
        <f t="shared" si="921"/>
        <v xml:space="preserve">N711JA  </v>
      </c>
      <c r="BC1991">
        <v>1</v>
      </c>
      <c r="BE1991">
        <v>0</v>
      </c>
      <c r="BF1991">
        <v>0</v>
      </c>
      <c r="BG1991">
        <v>0</v>
      </c>
      <c r="BH1991">
        <v>2075</v>
      </c>
      <c r="BI1991">
        <v>1</v>
      </c>
      <c r="BJ1991">
        <v>1</v>
      </c>
      <c r="BK1991">
        <v>0</v>
      </c>
      <c r="BL1991">
        <v>0</v>
      </c>
      <c r="BO1991">
        <v>0</v>
      </c>
      <c r="BP1991">
        <v>0</v>
      </c>
      <c r="BW1991" t="str">
        <f t="shared" si="941"/>
        <v>14:44:38.380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343</v>
      </c>
      <c r="CR1991">
        <v>1</v>
      </c>
      <c r="CW1991">
        <v>10734262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 t="shared" si="938"/>
        <v>05/12/2020 14:44:20.555</v>
      </c>
      <c r="C1992" t="str">
        <f t="shared" si="920"/>
        <v>FFDFD3C0</v>
      </c>
      <c r="D1992" t="s">
        <v>131</v>
      </c>
      <c r="E1992">
        <v>12</v>
      </c>
      <c r="F1992">
        <v>2012</v>
      </c>
      <c r="G1992" t="s">
        <v>137</v>
      </c>
      <c r="J1992" t="s">
        <v>133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939"/>
        <v>14:44:38.375</v>
      </c>
      <c r="T1992" t="str">
        <f t="shared" si="940"/>
        <v>14:44:38.275</v>
      </c>
      <c r="U1992" t="str">
        <f t="shared" si="942"/>
        <v>A9808D</v>
      </c>
      <c r="V1992">
        <v>0</v>
      </c>
      <c r="W1992">
        <v>0</v>
      </c>
      <c r="X1992">
        <v>1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0</v>
      </c>
      <c r="AI1992" t="s">
        <v>516</v>
      </c>
      <c r="AJ1992">
        <v>28.266943000000001</v>
      </c>
      <c r="AK1992" t="s">
        <v>517</v>
      </c>
      <c r="AL1992">
        <v>-82.351799</v>
      </c>
      <c r="AM1992">
        <v>100</v>
      </c>
      <c r="AN1992">
        <v>2000</v>
      </c>
      <c r="AO1992" t="s">
        <v>118</v>
      </c>
      <c r="AP1992">
        <v>80</v>
      </c>
      <c r="AQ1992">
        <v>-65</v>
      </c>
      <c r="AR1992">
        <v>448</v>
      </c>
      <c r="AZ1992">
        <v>1200</v>
      </c>
      <c r="BA1992">
        <v>1</v>
      </c>
      <c r="BB1992" t="str">
        <f t="shared" si="921"/>
        <v xml:space="preserve">N711JA  </v>
      </c>
      <c r="BC1992">
        <v>1</v>
      </c>
      <c r="BE1992">
        <v>0</v>
      </c>
      <c r="BF1992">
        <v>0</v>
      </c>
      <c r="BG1992">
        <v>0</v>
      </c>
      <c r="BH1992">
        <v>2075</v>
      </c>
      <c r="BI1992">
        <v>1</v>
      </c>
      <c r="BJ1992">
        <v>1</v>
      </c>
      <c r="BK1992">
        <v>0</v>
      </c>
      <c r="BL1992">
        <v>0</v>
      </c>
      <c r="BO1992">
        <v>0</v>
      </c>
      <c r="BP1992">
        <v>0</v>
      </c>
      <c r="BW1992" t="str">
        <f t="shared" si="941"/>
        <v>14:44:38.380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343</v>
      </c>
      <c r="CR1992">
        <v>1</v>
      </c>
      <c r="CW1992">
        <v>10734262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 t="shared" si="938"/>
        <v>05/12/2020 14:44:20.555</v>
      </c>
      <c r="C1993" t="str">
        <f t="shared" si="920"/>
        <v>FFDFD3C0</v>
      </c>
      <c r="D1993" t="s">
        <v>131</v>
      </c>
      <c r="E1993">
        <v>18</v>
      </c>
      <c r="F1993">
        <v>2018</v>
      </c>
      <c r="G1993" t="s">
        <v>161</v>
      </c>
      <c r="J1993" t="s">
        <v>133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939"/>
        <v>14:44:38.375</v>
      </c>
      <c r="T1993" t="str">
        <f t="shared" si="940"/>
        <v>14:44:38.275</v>
      </c>
      <c r="U1993" t="str">
        <f t="shared" si="942"/>
        <v>A9808D</v>
      </c>
      <c r="V1993">
        <v>0</v>
      </c>
      <c r="W1993">
        <v>0</v>
      </c>
      <c r="X1993">
        <v>1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0</v>
      </c>
      <c r="AI1993" t="s">
        <v>516</v>
      </c>
      <c r="AJ1993">
        <v>28.266943000000001</v>
      </c>
      <c r="AK1993" t="s">
        <v>517</v>
      </c>
      <c r="AL1993">
        <v>-82.351799</v>
      </c>
      <c r="AM1993">
        <v>100</v>
      </c>
      <c r="AN1993">
        <v>2000</v>
      </c>
      <c r="AO1993" t="s">
        <v>118</v>
      </c>
      <c r="AP1993">
        <v>80</v>
      </c>
      <c r="AQ1993">
        <v>-65</v>
      </c>
      <c r="AR1993">
        <v>448</v>
      </c>
      <c r="AZ1993">
        <v>1200</v>
      </c>
      <c r="BA1993">
        <v>1</v>
      </c>
      <c r="BB1993" t="str">
        <f t="shared" si="921"/>
        <v xml:space="preserve">N711JA  </v>
      </c>
      <c r="BC1993">
        <v>1</v>
      </c>
      <c r="BE1993">
        <v>0</v>
      </c>
      <c r="BF1993">
        <v>0</v>
      </c>
      <c r="BG1993">
        <v>0</v>
      </c>
      <c r="BH1993">
        <v>2075</v>
      </c>
      <c r="BI1993">
        <v>1</v>
      </c>
      <c r="BJ1993">
        <v>1</v>
      </c>
      <c r="BK1993">
        <v>0</v>
      </c>
      <c r="BL1993">
        <v>0</v>
      </c>
      <c r="BO1993">
        <v>0</v>
      </c>
      <c r="BP1993">
        <v>0</v>
      </c>
      <c r="BW1993" t="str">
        <f t="shared" si="941"/>
        <v>14:44:38.380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343</v>
      </c>
      <c r="CR1993">
        <v>1</v>
      </c>
      <c r="CW1993">
        <v>10734262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 t="shared" ref="A1994:A2002" si="943">"05/12/2020 14:44:21.438"</f>
        <v>05/12/2020 14:44:21.438</v>
      </c>
      <c r="C1994" t="str">
        <f t="shared" si="920"/>
        <v>FFDFD3C0</v>
      </c>
      <c r="D1994" t="s">
        <v>126</v>
      </c>
      <c r="E1994">
        <v>6</v>
      </c>
      <c r="F1994">
        <v>1006</v>
      </c>
      <c r="G1994" t="s">
        <v>114</v>
      </c>
      <c r="J1994" t="s">
        <v>128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ref="S1994:T2002" si="944">"14:44:39.258"</f>
        <v>14:44:39.258</v>
      </c>
      <c r="T1994" t="str">
        <f t="shared" si="944"/>
        <v>14:44:39.258</v>
      </c>
      <c r="U1994" t="str">
        <f t="shared" si="942"/>
        <v>A9808D</v>
      </c>
      <c r="V1994">
        <v>0</v>
      </c>
      <c r="W1994">
        <v>0</v>
      </c>
      <c r="X1994">
        <v>1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0</v>
      </c>
      <c r="AI1994" t="s">
        <v>307</v>
      </c>
      <c r="AJ1994">
        <v>28.266684999999999</v>
      </c>
      <c r="AK1994" t="s">
        <v>518</v>
      </c>
      <c r="AL1994">
        <v>-82.351412999999994</v>
      </c>
      <c r="AM1994">
        <v>100</v>
      </c>
      <c r="AN1994">
        <v>2000</v>
      </c>
      <c r="AO1994" t="s">
        <v>118</v>
      </c>
      <c r="AP1994">
        <v>80</v>
      </c>
      <c r="AQ1994">
        <v>-64</v>
      </c>
      <c r="AR1994">
        <v>384</v>
      </c>
      <c r="AZ1994">
        <v>1200</v>
      </c>
      <c r="BA1994">
        <v>1</v>
      </c>
      <c r="BB1994" t="str">
        <f t="shared" si="921"/>
        <v xml:space="preserve">N711JA  </v>
      </c>
      <c r="BC1994">
        <v>1</v>
      </c>
      <c r="BE1994">
        <v>0</v>
      </c>
      <c r="BF1994">
        <v>0</v>
      </c>
      <c r="BG1994">
        <v>0</v>
      </c>
      <c r="BH1994">
        <v>2075</v>
      </c>
      <c r="BI1994">
        <v>1</v>
      </c>
      <c r="BJ1994">
        <v>1</v>
      </c>
      <c r="BK1994">
        <v>0</v>
      </c>
      <c r="BL1994">
        <v>0</v>
      </c>
      <c r="BO1994">
        <v>0</v>
      </c>
      <c r="BP1994">
        <v>0</v>
      </c>
      <c r="BW1994" t="str">
        <f t="shared" ref="BW1994:BW2002" si="945">"14:44:39.262"</f>
        <v>14:44:39.262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56</v>
      </c>
      <c r="CR1994">
        <v>2</v>
      </c>
      <c r="CW1994">
        <v>4797458</v>
      </c>
      <c r="CY1994">
        <v>1</v>
      </c>
      <c r="CZ1994">
        <v>0</v>
      </c>
      <c r="DA1994">
        <v>0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 t="shared" si="943"/>
        <v>05/12/2020 14:44:21.438</v>
      </c>
      <c r="C1995" t="str">
        <f t="shared" si="920"/>
        <v>FFDFD3C0</v>
      </c>
      <c r="D1995" t="s">
        <v>126</v>
      </c>
      <c r="E1995">
        <v>7</v>
      </c>
      <c r="F1995">
        <v>1007</v>
      </c>
      <c r="G1995" t="s">
        <v>127</v>
      </c>
      <c r="J1995" t="s">
        <v>128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944"/>
        <v>14:44:39.258</v>
      </c>
      <c r="T1995" t="str">
        <f t="shared" si="944"/>
        <v>14:44:39.258</v>
      </c>
      <c r="U1995" t="str">
        <f t="shared" si="942"/>
        <v>A9808D</v>
      </c>
      <c r="V1995">
        <v>0</v>
      </c>
      <c r="W1995">
        <v>0</v>
      </c>
      <c r="X1995">
        <v>1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0</v>
      </c>
      <c r="AI1995" t="s">
        <v>307</v>
      </c>
      <c r="AJ1995">
        <v>28.266684999999999</v>
      </c>
      <c r="AK1995" t="s">
        <v>518</v>
      </c>
      <c r="AL1995">
        <v>-82.351412999999994</v>
      </c>
      <c r="AM1995">
        <v>100</v>
      </c>
      <c r="AN1995">
        <v>2000</v>
      </c>
      <c r="AO1995" t="s">
        <v>118</v>
      </c>
      <c r="AP1995">
        <v>80</v>
      </c>
      <c r="AQ1995">
        <v>-64</v>
      </c>
      <c r="AR1995">
        <v>384</v>
      </c>
      <c r="AZ1995">
        <v>1200</v>
      </c>
      <c r="BA1995">
        <v>1</v>
      </c>
      <c r="BB1995" t="str">
        <f t="shared" si="921"/>
        <v xml:space="preserve">N711JA  </v>
      </c>
      <c r="BC1995">
        <v>1</v>
      </c>
      <c r="BE1995">
        <v>0</v>
      </c>
      <c r="BF1995">
        <v>0</v>
      </c>
      <c r="BG1995">
        <v>0</v>
      </c>
      <c r="BH1995">
        <v>2075</v>
      </c>
      <c r="BI1995">
        <v>1</v>
      </c>
      <c r="BJ1995">
        <v>1</v>
      </c>
      <c r="BK1995">
        <v>0</v>
      </c>
      <c r="BL1995">
        <v>0</v>
      </c>
      <c r="BO1995">
        <v>0</v>
      </c>
      <c r="BP1995">
        <v>0</v>
      </c>
      <c r="BW1995" t="str">
        <f t="shared" si="945"/>
        <v>14:44:39.262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56</v>
      </c>
      <c r="CR1995">
        <v>2</v>
      </c>
      <c r="CW1995">
        <v>4797458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 t="shared" si="943"/>
        <v>05/12/2020 14:44:21.438</v>
      </c>
      <c r="C1996" t="str">
        <f t="shared" si="920"/>
        <v>FFDFD3C0</v>
      </c>
      <c r="D1996" t="s">
        <v>131</v>
      </c>
      <c r="E1996">
        <v>10</v>
      </c>
      <c r="F1996">
        <v>2010</v>
      </c>
      <c r="G1996" t="s">
        <v>132</v>
      </c>
      <c r="J1996" t="s">
        <v>133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944"/>
        <v>14:44:39.258</v>
      </c>
      <c r="T1996" t="str">
        <f t="shared" si="944"/>
        <v>14:44:39.258</v>
      </c>
      <c r="U1996" t="str">
        <f t="shared" si="942"/>
        <v>A9808D</v>
      </c>
      <c r="V1996">
        <v>0</v>
      </c>
      <c r="W1996">
        <v>0</v>
      </c>
      <c r="X1996">
        <v>1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0</v>
      </c>
      <c r="AI1996" t="s">
        <v>307</v>
      </c>
      <c r="AJ1996">
        <v>28.266684999999999</v>
      </c>
      <c r="AK1996" t="s">
        <v>518</v>
      </c>
      <c r="AL1996">
        <v>-82.351412999999994</v>
      </c>
      <c r="AM1996">
        <v>100</v>
      </c>
      <c r="AN1996">
        <v>2000</v>
      </c>
      <c r="AO1996" t="s">
        <v>118</v>
      </c>
      <c r="AP1996">
        <v>80</v>
      </c>
      <c r="AQ1996">
        <v>-64</v>
      </c>
      <c r="AR1996">
        <v>384</v>
      </c>
      <c r="AZ1996">
        <v>1200</v>
      </c>
      <c r="BA1996">
        <v>1</v>
      </c>
      <c r="BB1996" t="str">
        <f t="shared" si="921"/>
        <v xml:space="preserve">N711JA  </v>
      </c>
      <c r="BC1996">
        <v>1</v>
      </c>
      <c r="BE1996">
        <v>0</v>
      </c>
      <c r="BF1996">
        <v>0</v>
      </c>
      <c r="BG1996">
        <v>0</v>
      </c>
      <c r="BH1996">
        <v>2075</v>
      </c>
      <c r="BI1996">
        <v>1</v>
      </c>
      <c r="BJ1996">
        <v>1</v>
      </c>
      <c r="BK1996">
        <v>0</v>
      </c>
      <c r="BL1996">
        <v>0</v>
      </c>
      <c r="BO1996">
        <v>0</v>
      </c>
      <c r="BP1996">
        <v>0</v>
      </c>
      <c r="BW1996" t="str">
        <f t="shared" si="945"/>
        <v>14:44:39.262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56</v>
      </c>
      <c r="CR1996">
        <v>2</v>
      </c>
      <c r="CW1996">
        <v>4797458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 t="shared" si="943"/>
        <v>05/12/2020 14:44:21.438</v>
      </c>
      <c r="C1997" t="str">
        <f t="shared" si="920"/>
        <v>FFDFD3C0</v>
      </c>
      <c r="D1997" t="s">
        <v>131</v>
      </c>
      <c r="E1997">
        <v>12</v>
      </c>
      <c r="F1997">
        <v>2012</v>
      </c>
      <c r="G1997" t="s">
        <v>137</v>
      </c>
      <c r="J1997" t="s">
        <v>133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944"/>
        <v>14:44:39.258</v>
      </c>
      <c r="T1997" t="str">
        <f t="shared" si="944"/>
        <v>14:44:39.258</v>
      </c>
      <c r="U1997" t="str">
        <f t="shared" si="942"/>
        <v>A9808D</v>
      </c>
      <c r="V1997">
        <v>0</v>
      </c>
      <c r="W1997">
        <v>0</v>
      </c>
      <c r="X1997">
        <v>1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0</v>
      </c>
      <c r="AI1997" t="s">
        <v>307</v>
      </c>
      <c r="AJ1997">
        <v>28.266684999999999</v>
      </c>
      <c r="AK1997" t="s">
        <v>518</v>
      </c>
      <c r="AL1997">
        <v>-82.351412999999994</v>
      </c>
      <c r="AM1997">
        <v>100</v>
      </c>
      <c r="AN1997">
        <v>2000</v>
      </c>
      <c r="AO1997" t="s">
        <v>118</v>
      </c>
      <c r="AP1997">
        <v>80</v>
      </c>
      <c r="AQ1997">
        <v>-64</v>
      </c>
      <c r="AR1997">
        <v>384</v>
      </c>
      <c r="AZ1997">
        <v>1200</v>
      </c>
      <c r="BA1997">
        <v>1</v>
      </c>
      <c r="BB1997" t="str">
        <f t="shared" si="921"/>
        <v xml:space="preserve">N711JA  </v>
      </c>
      <c r="BC1997">
        <v>1</v>
      </c>
      <c r="BE1997">
        <v>0</v>
      </c>
      <c r="BF1997">
        <v>0</v>
      </c>
      <c r="BG1997">
        <v>0</v>
      </c>
      <c r="BH1997">
        <v>2075</v>
      </c>
      <c r="BI1997">
        <v>1</v>
      </c>
      <c r="BJ1997">
        <v>1</v>
      </c>
      <c r="BK1997">
        <v>0</v>
      </c>
      <c r="BL1997">
        <v>0</v>
      </c>
      <c r="BO1997">
        <v>0</v>
      </c>
      <c r="BP1997">
        <v>0</v>
      </c>
      <c r="BW1997" t="str">
        <f t="shared" si="945"/>
        <v>14:44:39.262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56</v>
      </c>
      <c r="CR1997">
        <v>2</v>
      </c>
      <c r="CW1997">
        <v>4797458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 t="shared" si="943"/>
        <v>05/12/2020 14:44:21.438</v>
      </c>
      <c r="C1998" t="str">
        <f t="shared" si="920"/>
        <v>FFDFD3C0</v>
      </c>
      <c r="D1998" t="s">
        <v>131</v>
      </c>
      <c r="E1998">
        <v>18</v>
      </c>
      <c r="F1998">
        <v>2018</v>
      </c>
      <c r="G1998" t="s">
        <v>161</v>
      </c>
      <c r="J1998" t="s">
        <v>133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944"/>
        <v>14:44:39.258</v>
      </c>
      <c r="T1998" t="str">
        <f t="shared" si="944"/>
        <v>14:44:39.258</v>
      </c>
      <c r="U1998" t="str">
        <f t="shared" si="942"/>
        <v>A9808D</v>
      </c>
      <c r="V1998">
        <v>0</v>
      </c>
      <c r="W1998">
        <v>0</v>
      </c>
      <c r="X1998">
        <v>1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0</v>
      </c>
      <c r="AI1998" t="s">
        <v>307</v>
      </c>
      <c r="AJ1998">
        <v>28.266684999999999</v>
      </c>
      <c r="AK1998" t="s">
        <v>518</v>
      </c>
      <c r="AL1998">
        <v>-82.351412999999994</v>
      </c>
      <c r="AM1998">
        <v>100</v>
      </c>
      <c r="AN1998">
        <v>2000</v>
      </c>
      <c r="AO1998" t="s">
        <v>118</v>
      </c>
      <c r="AP1998">
        <v>80</v>
      </c>
      <c r="AQ1998">
        <v>-64</v>
      </c>
      <c r="AR1998">
        <v>384</v>
      </c>
      <c r="AZ1998">
        <v>1200</v>
      </c>
      <c r="BA1998">
        <v>1</v>
      </c>
      <c r="BB1998" t="str">
        <f t="shared" si="921"/>
        <v xml:space="preserve">N711JA  </v>
      </c>
      <c r="BC1998">
        <v>1</v>
      </c>
      <c r="BE1998">
        <v>0</v>
      </c>
      <c r="BF1998">
        <v>0</v>
      </c>
      <c r="BG1998">
        <v>0</v>
      </c>
      <c r="BH1998">
        <v>2075</v>
      </c>
      <c r="BI1998">
        <v>1</v>
      </c>
      <c r="BJ1998">
        <v>1</v>
      </c>
      <c r="BK1998">
        <v>0</v>
      </c>
      <c r="BL1998">
        <v>0</v>
      </c>
      <c r="BO1998">
        <v>0</v>
      </c>
      <c r="BP1998">
        <v>0</v>
      </c>
      <c r="BW1998" t="str">
        <f t="shared" si="945"/>
        <v>14:44:39.262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56</v>
      </c>
      <c r="CR1998">
        <v>2</v>
      </c>
      <c r="CW1998">
        <v>4797458</v>
      </c>
      <c r="CY1998">
        <v>1</v>
      </c>
      <c r="CZ1998">
        <v>0</v>
      </c>
      <c r="DA1998">
        <v>1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 t="shared" si="943"/>
        <v>05/12/2020 14:44:21.438</v>
      </c>
      <c r="C1999" t="str">
        <f t="shared" si="920"/>
        <v>FFDFD3C0</v>
      </c>
      <c r="D1999" t="s">
        <v>138</v>
      </c>
      <c r="E1999">
        <v>2</v>
      </c>
      <c r="H1999">
        <v>8</v>
      </c>
      <c r="I1999" t="s">
        <v>139</v>
      </c>
      <c r="J1999" t="s">
        <v>136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944"/>
        <v>14:44:39.258</v>
      </c>
      <c r="T1999" t="str">
        <f t="shared" si="944"/>
        <v>14:44:39.258</v>
      </c>
      <c r="U1999" t="str">
        <f t="shared" si="942"/>
        <v>A9808D</v>
      </c>
      <c r="V1999">
        <v>0</v>
      </c>
      <c r="W1999">
        <v>0</v>
      </c>
      <c r="X1999">
        <v>1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0</v>
      </c>
      <c r="AI1999" t="s">
        <v>307</v>
      </c>
      <c r="AJ1999">
        <v>28.266684999999999</v>
      </c>
      <c r="AK1999" t="s">
        <v>518</v>
      </c>
      <c r="AL1999">
        <v>-82.351412999999994</v>
      </c>
      <c r="AM1999">
        <v>100</v>
      </c>
      <c r="AN1999">
        <v>2000</v>
      </c>
      <c r="AO1999" t="s">
        <v>118</v>
      </c>
      <c r="AP1999">
        <v>80</v>
      </c>
      <c r="AQ1999">
        <v>-64</v>
      </c>
      <c r="AR1999">
        <v>384</v>
      </c>
      <c r="AZ1999">
        <v>1200</v>
      </c>
      <c r="BA1999">
        <v>1</v>
      </c>
      <c r="BB1999" t="str">
        <f t="shared" si="921"/>
        <v xml:space="preserve">N711JA  </v>
      </c>
      <c r="BC1999">
        <v>1</v>
      </c>
      <c r="BE1999">
        <v>0</v>
      </c>
      <c r="BF1999">
        <v>0</v>
      </c>
      <c r="BG1999">
        <v>0</v>
      </c>
      <c r="BH1999">
        <v>2075</v>
      </c>
      <c r="BI1999">
        <v>1</v>
      </c>
      <c r="BJ1999">
        <v>1</v>
      </c>
      <c r="BK1999">
        <v>0</v>
      </c>
      <c r="BL1999">
        <v>0</v>
      </c>
      <c r="BO1999">
        <v>0</v>
      </c>
      <c r="BP1999">
        <v>0</v>
      </c>
      <c r="BW1999" t="str">
        <f t="shared" si="945"/>
        <v>14:44:39.262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56</v>
      </c>
      <c r="CR1999">
        <v>2</v>
      </c>
      <c r="CW1999">
        <v>4797458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 t="shared" si="943"/>
        <v>05/12/2020 14:44:21.438</v>
      </c>
      <c r="C2000" t="str">
        <f t="shared" si="920"/>
        <v>FFDFD3C0</v>
      </c>
      <c r="D2000" t="s">
        <v>138</v>
      </c>
      <c r="E2000">
        <v>3</v>
      </c>
      <c r="H2000">
        <v>9</v>
      </c>
      <c r="I2000" t="s">
        <v>140</v>
      </c>
      <c r="J2000" t="s">
        <v>136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944"/>
        <v>14:44:39.258</v>
      </c>
      <c r="T2000" t="str">
        <f t="shared" si="944"/>
        <v>14:44:39.258</v>
      </c>
      <c r="U2000" t="str">
        <f t="shared" si="942"/>
        <v>A9808D</v>
      </c>
      <c r="V2000">
        <v>0</v>
      </c>
      <c r="W2000">
        <v>0</v>
      </c>
      <c r="X2000">
        <v>1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0</v>
      </c>
      <c r="AI2000" t="s">
        <v>307</v>
      </c>
      <c r="AJ2000">
        <v>28.266684999999999</v>
      </c>
      <c r="AK2000" t="s">
        <v>518</v>
      </c>
      <c r="AL2000">
        <v>-82.351412999999994</v>
      </c>
      <c r="AM2000">
        <v>100</v>
      </c>
      <c r="AN2000">
        <v>2000</v>
      </c>
      <c r="AO2000" t="s">
        <v>118</v>
      </c>
      <c r="AP2000">
        <v>80</v>
      </c>
      <c r="AQ2000">
        <v>-64</v>
      </c>
      <c r="AR2000">
        <v>384</v>
      </c>
      <c r="AZ2000">
        <v>1200</v>
      </c>
      <c r="BA2000">
        <v>1</v>
      </c>
      <c r="BB2000" t="str">
        <f t="shared" si="921"/>
        <v xml:space="preserve">N711JA  </v>
      </c>
      <c r="BC2000">
        <v>1</v>
      </c>
      <c r="BE2000">
        <v>0</v>
      </c>
      <c r="BF2000">
        <v>0</v>
      </c>
      <c r="BG2000">
        <v>0</v>
      </c>
      <c r="BH2000">
        <v>2075</v>
      </c>
      <c r="BI2000">
        <v>1</v>
      </c>
      <c r="BJ2000">
        <v>1</v>
      </c>
      <c r="BK2000">
        <v>0</v>
      </c>
      <c r="BL2000">
        <v>0</v>
      </c>
      <c r="BO2000">
        <v>0</v>
      </c>
      <c r="BP2000">
        <v>0</v>
      </c>
      <c r="BW2000" t="str">
        <f t="shared" si="945"/>
        <v>14:44:39.262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56</v>
      </c>
      <c r="CR2000">
        <v>2</v>
      </c>
      <c r="CW2000">
        <v>4797458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 t="shared" si="943"/>
        <v>05/12/2020 14:44:21.438</v>
      </c>
      <c r="C2001" t="str">
        <f t="shared" si="920"/>
        <v>FFDFD3C0</v>
      </c>
      <c r="D2001" t="s">
        <v>134</v>
      </c>
      <c r="E2001">
        <v>12</v>
      </c>
      <c r="H2001">
        <v>64</v>
      </c>
      <c r="I2001" t="s">
        <v>135</v>
      </c>
      <c r="J2001" t="s">
        <v>136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944"/>
        <v>14:44:39.258</v>
      </c>
      <c r="T2001" t="str">
        <f t="shared" si="944"/>
        <v>14:44:39.258</v>
      </c>
      <c r="U2001" t="str">
        <f t="shared" si="942"/>
        <v>A9808D</v>
      </c>
      <c r="V2001">
        <v>0</v>
      </c>
      <c r="W2001">
        <v>0</v>
      </c>
      <c r="X2001">
        <v>1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0</v>
      </c>
      <c r="AI2001" t="s">
        <v>307</v>
      </c>
      <c r="AJ2001">
        <v>28.266684999999999</v>
      </c>
      <c r="AK2001" t="s">
        <v>518</v>
      </c>
      <c r="AL2001">
        <v>-82.351412999999994</v>
      </c>
      <c r="AM2001">
        <v>100</v>
      </c>
      <c r="AN2001">
        <v>2000</v>
      </c>
      <c r="AO2001" t="s">
        <v>118</v>
      </c>
      <c r="AP2001">
        <v>80</v>
      </c>
      <c r="AQ2001">
        <v>-64</v>
      </c>
      <c r="AR2001">
        <v>384</v>
      </c>
      <c r="AZ2001">
        <v>1200</v>
      </c>
      <c r="BA2001">
        <v>1</v>
      </c>
      <c r="BB2001" t="str">
        <f t="shared" si="921"/>
        <v xml:space="preserve">N711JA  </v>
      </c>
      <c r="BC2001">
        <v>1</v>
      </c>
      <c r="BE2001">
        <v>0</v>
      </c>
      <c r="BF2001">
        <v>0</v>
      </c>
      <c r="BG2001">
        <v>0</v>
      </c>
      <c r="BH2001">
        <v>2075</v>
      </c>
      <c r="BI2001">
        <v>1</v>
      </c>
      <c r="BJ2001">
        <v>1</v>
      </c>
      <c r="BK2001">
        <v>0</v>
      </c>
      <c r="BL2001">
        <v>0</v>
      </c>
      <c r="BO2001">
        <v>0</v>
      </c>
      <c r="BP2001">
        <v>0</v>
      </c>
      <c r="BW2001" t="str">
        <f t="shared" si="945"/>
        <v>14:44:39.262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8</v>
      </c>
      <c r="CR2001">
        <v>3</v>
      </c>
      <c r="CW2001">
        <v>8860139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si="943"/>
        <v>05/12/2020 14:44:21.438</v>
      </c>
      <c r="C2002" t="str">
        <f t="shared" si="920"/>
        <v>FFDFD3C0</v>
      </c>
      <c r="D2002" t="s">
        <v>113</v>
      </c>
      <c r="E2002">
        <v>3</v>
      </c>
      <c r="H2002">
        <v>164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944"/>
        <v>14:44:39.258</v>
      </c>
      <c r="T2002" t="str">
        <f t="shared" si="944"/>
        <v>14:44:39.258</v>
      </c>
      <c r="U2002" t="str">
        <f t="shared" si="942"/>
        <v>A9808D</v>
      </c>
      <c r="V2002">
        <v>0</v>
      </c>
      <c r="W2002">
        <v>0</v>
      </c>
      <c r="X2002">
        <v>1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0</v>
      </c>
      <c r="AI2002" t="s">
        <v>307</v>
      </c>
      <c r="AJ2002">
        <v>28.266684999999999</v>
      </c>
      <c r="AK2002" t="s">
        <v>518</v>
      </c>
      <c r="AL2002">
        <v>-82.351412999999994</v>
      </c>
      <c r="AM2002">
        <v>100</v>
      </c>
      <c r="AN2002">
        <v>2000</v>
      </c>
      <c r="AO2002" t="s">
        <v>118</v>
      </c>
      <c r="AP2002">
        <v>80</v>
      </c>
      <c r="AQ2002">
        <v>-64</v>
      </c>
      <c r="AR2002">
        <v>384</v>
      </c>
      <c r="AZ2002">
        <v>1200</v>
      </c>
      <c r="BA2002">
        <v>1</v>
      </c>
      <c r="BB2002" t="str">
        <f t="shared" si="921"/>
        <v xml:space="preserve">N711JA  </v>
      </c>
      <c r="BC2002">
        <v>1</v>
      </c>
      <c r="BE2002">
        <v>0</v>
      </c>
      <c r="BF2002">
        <v>0</v>
      </c>
      <c r="BG2002">
        <v>0</v>
      </c>
      <c r="BH2002">
        <v>2075</v>
      </c>
      <c r="BI2002">
        <v>1</v>
      </c>
      <c r="BJ2002">
        <v>1</v>
      </c>
      <c r="BK2002">
        <v>0</v>
      </c>
      <c r="BL2002">
        <v>0</v>
      </c>
      <c r="BO2002">
        <v>0</v>
      </c>
      <c r="BP2002">
        <v>0</v>
      </c>
      <c r="BW2002" t="str">
        <f t="shared" si="945"/>
        <v>14:44:39.262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56</v>
      </c>
      <c r="CR2002">
        <v>2</v>
      </c>
      <c r="CW2002">
        <v>4797458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ref="A2003:A2011" si="946">"05/12/2020 14:44:22.325"</f>
        <v>05/12/2020 14:44:22.325</v>
      </c>
      <c r="C2003" t="str">
        <f t="shared" si="920"/>
        <v>FFDFD3C0</v>
      </c>
      <c r="D2003" t="s">
        <v>138</v>
      </c>
      <c r="E2003">
        <v>2</v>
      </c>
      <c r="H2003">
        <v>8</v>
      </c>
      <c r="I2003" t="s">
        <v>139</v>
      </c>
      <c r="J2003" t="s">
        <v>136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ref="S2003:T2011" si="947">"14:44:40.133"</f>
        <v>14:44:40.133</v>
      </c>
      <c r="T2003" t="str">
        <f t="shared" si="947"/>
        <v>14:44:40.133</v>
      </c>
      <c r="U2003" t="str">
        <f t="shared" si="942"/>
        <v>A9808D</v>
      </c>
      <c r="V2003">
        <v>0</v>
      </c>
      <c r="W2003">
        <v>0</v>
      </c>
      <c r="X2003">
        <v>1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0</v>
      </c>
      <c r="AI2003" t="s">
        <v>519</v>
      </c>
      <c r="AJ2003">
        <v>28.266385</v>
      </c>
      <c r="AK2003" t="s">
        <v>520</v>
      </c>
      <c r="AL2003">
        <v>-82.351048000000006</v>
      </c>
      <c r="AM2003">
        <v>100</v>
      </c>
      <c r="AN2003">
        <v>2000</v>
      </c>
      <c r="AO2003" t="s">
        <v>118</v>
      </c>
      <c r="AP2003">
        <v>80</v>
      </c>
      <c r="AQ2003">
        <v>-64</v>
      </c>
      <c r="AR2003">
        <v>384</v>
      </c>
      <c r="AZ2003">
        <v>1200</v>
      </c>
      <c r="BA2003">
        <v>1</v>
      </c>
      <c r="BB2003" t="str">
        <f t="shared" si="921"/>
        <v xml:space="preserve">N711JA  </v>
      </c>
      <c r="BC2003">
        <v>1</v>
      </c>
      <c r="BE2003">
        <v>0</v>
      </c>
      <c r="BF2003">
        <v>0</v>
      </c>
      <c r="BG2003">
        <v>0</v>
      </c>
      <c r="BH2003">
        <v>2075</v>
      </c>
      <c r="BI2003">
        <v>1</v>
      </c>
      <c r="BJ2003">
        <v>1</v>
      </c>
      <c r="BK2003">
        <v>0</v>
      </c>
      <c r="BL2003">
        <v>0</v>
      </c>
      <c r="BO2003">
        <v>0</v>
      </c>
      <c r="BP2003">
        <v>0</v>
      </c>
      <c r="BW2003" t="str">
        <f t="shared" ref="BW2003:BW2011" si="948">"14:44:40.140"</f>
        <v>14:44:40.140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8</v>
      </c>
      <c r="CR2003">
        <v>3</v>
      </c>
      <c r="CW2003">
        <v>8861131</v>
      </c>
      <c r="CY2003">
        <v>1</v>
      </c>
      <c r="CZ2003">
        <v>0</v>
      </c>
      <c r="DA2003">
        <v>0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 t="shared" si="946"/>
        <v>05/12/2020 14:44:22.325</v>
      </c>
      <c r="C2004" t="str">
        <f t="shared" si="920"/>
        <v>FFDFD3C0</v>
      </c>
      <c r="D2004" t="s">
        <v>138</v>
      </c>
      <c r="E2004">
        <v>3</v>
      </c>
      <c r="H2004">
        <v>9</v>
      </c>
      <c r="I2004" t="s">
        <v>140</v>
      </c>
      <c r="J2004" t="s">
        <v>136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947"/>
        <v>14:44:40.133</v>
      </c>
      <c r="T2004" t="str">
        <f t="shared" si="947"/>
        <v>14:44:40.133</v>
      </c>
      <c r="U2004" t="str">
        <f t="shared" si="942"/>
        <v>A9808D</v>
      </c>
      <c r="V2004">
        <v>0</v>
      </c>
      <c r="W2004">
        <v>0</v>
      </c>
      <c r="X2004">
        <v>1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0</v>
      </c>
      <c r="AI2004" t="s">
        <v>519</v>
      </c>
      <c r="AJ2004">
        <v>28.266385</v>
      </c>
      <c r="AK2004" t="s">
        <v>520</v>
      </c>
      <c r="AL2004">
        <v>-82.351048000000006</v>
      </c>
      <c r="AM2004">
        <v>100</v>
      </c>
      <c r="AN2004">
        <v>2000</v>
      </c>
      <c r="AO2004" t="s">
        <v>118</v>
      </c>
      <c r="AP2004">
        <v>80</v>
      </c>
      <c r="AQ2004">
        <v>-64</v>
      </c>
      <c r="AR2004">
        <v>384</v>
      </c>
      <c r="AZ2004">
        <v>1200</v>
      </c>
      <c r="BA2004">
        <v>1</v>
      </c>
      <c r="BB2004" t="str">
        <f t="shared" si="921"/>
        <v xml:space="preserve">N711JA  </v>
      </c>
      <c r="BC2004">
        <v>1</v>
      </c>
      <c r="BE2004">
        <v>0</v>
      </c>
      <c r="BF2004">
        <v>0</v>
      </c>
      <c r="BG2004">
        <v>0</v>
      </c>
      <c r="BH2004">
        <v>2075</v>
      </c>
      <c r="BI2004">
        <v>1</v>
      </c>
      <c r="BJ2004">
        <v>1</v>
      </c>
      <c r="BK2004">
        <v>0</v>
      </c>
      <c r="BL2004">
        <v>0</v>
      </c>
      <c r="BO2004">
        <v>0</v>
      </c>
      <c r="BP2004">
        <v>0</v>
      </c>
      <c r="BW2004" t="str">
        <f t="shared" si="948"/>
        <v>14:44:40.140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8</v>
      </c>
      <c r="CR2004">
        <v>3</v>
      </c>
      <c r="CW2004">
        <v>8861131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 t="shared" si="946"/>
        <v>05/12/2020 14:44:22.325</v>
      </c>
      <c r="C2005" t="str">
        <f t="shared" si="920"/>
        <v>FFDFD3C0</v>
      </c>
      <c r="D2005" t="s">
        <v>134</v>
      </c>
      <c r="E2005">
        <v>12</v>
      </c>
      <c r="H2005">
        <v>64</v>
      </c>
      <c r="I2005" t="s">
        <v>135</v>
      </c>
      <c r="J2005" t="s">
        <v>136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947"/>
        <v>14:44:40.133</v>
      </c>
      <c r="T2005" t="str">
        <f t="shared" si="947"/>
        <v>14:44:40.133</v>
      </c>
      <c r="U2005" t="str">
        <f t="shared" si="942"/>
        <v>A9808D</v>
      </c>
      <c r="V2005">
        <v>0</v>
      </c>
      <c r="W2005">
        <v>0</v>
      </c>
      <c r="X2005">
        <v>1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0</v>
      </c>
      <c r="AI2005" t="s">
        <v>519</v>
      </c>
      <c r="AJ2005">
        <v>28.266385</v>
      </c>
      <c r="AK2005" t="s">
        <v>520</v>
      </c>
      <c r="AL2005">
        <v>-82.351048000000006</v>
      </c>
      <c r="AM2005">
        <v>100</v>
      </c>
      <c r="AN2005">
        <v>2000</v>
      </c>
      <c r="AO2005" t="s">
        <v>118</v>
      </c>
      <c r="AP2005">
        <v>80</v>
      </c>
      <c r="AQ2005">
        <v>-64</v>
      </c>
      <c r="AR2005">
        <v>384</v>
      </c>
      <c r="AZ2005">
        <v>1200</v>
      </c>
      <c r="BA2005">
        <v>1</v>
      </c>
      <c r="BB2005" t="str">
        <f t="shared" si="921"/>
        <v xml:space="preserve">N711JA  </v>
      </c>
      <c r="BC2005">
        <v>1</v>
      </c>
      <c r="BE2005">
        <v>0</v>
      </c>
      <c r="BF2005">
        <v>0</v>
      </c>
      <c r="BG2005">
        <v>0</v>
      </c>
      <c r="BH2005">
        <v>2075</v>
      </c>
      <c r="BI2005">
        <v>1</v>
      </c>
      <c r="BJ2005">
        <v>1</v>
      </c>
      <c r="BK2005">
        <v>0</v>
      </c>
      <c r="BL2005">
        <v>0</v>
      </c>
      <c r="BO2005">
        <v>0</v>
      </c>
      <c r="BP2005">
        <v>0</v>
      </c>
      <c r="BW2005" t="str">
        <f t="shared" si="948"/>
        <v>14:44:40.140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8</v>
      </c>
      <c r="CR2005">
        <v>3</v>
      </c>
      <c r="CW2005">
        <v>8861131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 t="shared" si="946"/>
        <v>05/12/2020 14:44:22.325</v>
      </c>
      <c r="C2006" t="str">
        <f t="shared" ref="C2006:C2069" si="949">"FFDFD3C0"</f>
        <v>FFDFD3C0</v>
      </c>
      <c r="D2006" t="s">
        <v>113</v>
      </c>
      <c r="E2006">
        <v>3</v>
      </c>
      <c r="H2006">
        <v>164</v>
      </c>
      <c r="I2006" t="s">
        <v>114</v>
      </c>
      <c r="J2006" t="s">
        <v>115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947"/>
        <v>14:44:40.133</v>
      </c>
      <c r="T2006" t="str">
        <f t="shared" si="947"/>
        <v>14:44:40.133</v>
      </c>
      <c r="U2006" t="str">
        <f t="shared" si="942"/>
        <v>A9808D</v>
      </c>
      <c r="V2006">
        <v>0</v>
      </c>
      <c r="W2006">
        <v>0</v>
      </c>
      <c r="X2006">
        <v>1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0</v>
      </c>
      <c r="AI2006" t="s">
        <v>519</v>
      </c>
      <c r="AJ2006">
        <v>28.266385</v>
      </c>
      <c r="AK2006" t="s">
        <v>520</v>
      </c>
      <c r="AL2006">
        <v>-82.351048000000006</v>
      </c>
      <c r="AM2006">
        <v>100</v>
      </c>
      <c r="AN2006">
        <v>2000</v>
      </c>
      <c r="AO2006" t="s">
        <v>118</v>
      </c>
      <c r="AP2006">
        <v>80</v>
      </c>
      <c r="AQ2006">
        <v>-64</v>
      </c>
      <c r="AR2006">
        <v>384</v>
      </c>
      <c r="AZ2006">
        <v>1200</v>
      </c>
      <c r="BA2006">
        <v>1</v>
      </c>
      <c r="BB2006" t="str">
        <f t="shared" ref="BB2006:BB2069" si="950">"N711JA  "</f>
        <v xml:space="preserve">N711JA  </v>
      </c>
      <c r="BC2006">
        <v>1</v>
      </c>
      <c r="BE2006">
        <v>0</v>
      </c>
      <c r="BF2006">
        <v>0</v>
      </c>
      <c r="BG2006">
        <v>0</v>
      </c>
      <c r="BH2006">
        <v>2075</v>
      </c>
      <c r="BI2006">
        <v>1</v>
      </c>
      <c r="BJ2006">
        <v>1</v>
      </c>
      <c r="BK2006">
        <v>0</v>
      </c>
      <c r="BL2006">
        <v>0</v>
      </c>
      <c r="BO2006">
        <v>0</v>
      </c>
      <c r="BP2006">
        <v>0</v>
      </c>
      <c r="BW2006" t="str">
        <f t="shared" si="948"/>
        <v>14:44:40.140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8</v>
      </c>
      <c r="CR2006">
        <v>3</v>
      </c>
      <c r="CW2006">
        <v>8861131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 t="shared" si="946"/>
        <v>05/12/2020 14:44:22.325</v>
      </c>
      <c r="C2007" t="str">
        <f t="shared" si="949"/>
        <v>FFDFD3C0</v>
      </c>
      <c r="D2007" t="s">
        <v>126</v>
      </c>
      <c r="E2007">
        <v>6</v>
      </c>
      <c r="F2007">
        <v>1006</v>
      </c>
      <c r="G2007" t="s">
        <v>114</v>
      </c>
      <c r="J2007" t="s">
        <v>128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947"/>
        <v>14:44:40.133</v>
      </c>
      <c r="T2007" t="str">
        <f t="shared" si="947"/>
        <v>14:44:40.133</v>
      </c>
      <c r="U2007" t="str">
        <f t="shared" si="942"/>
        <v>A9808D</v>
      </c>
      <c r="V2007">
        <v>0</v>
      </c>
      <c r="W2007">
        <v>0</v>
      </c>
      <c r="X2007">
        <v>1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0</v>
      </c>
      <c r="AI2007" t="s">
        <v>519</v>
      </c>
      <c r="AJ2007">
        <v>28.266385</v>
      </c>
      <c r="AK2007" t="s">
        <v>520</v>
      </c>
      <c r="AL2007">
        <v>-82.351048000000006</v>
      </c>
      <c r="AM2007">
        <v>100</v>
      </c>
      <c r="AN2007">
        <v>2000</v>
      </c>
      <c r="AO2007" t="s">
        <v>118</v>
      </c>
      <c r="AP2007">
        <v>80</v>
      </c>
      <c r="AQ2007">
        <v>-64</v>
      </c>
      <c r="AR2007">
        <v>384</v>
      </c>
      <c r="AZ2007">
        <v>1200</v>
      </c>
      <c r="BA2007">
        <v>1</v>
      </c>
      <c r="BB2007" t="str">
        <f t="shared" si="950"/>
        <v xml:space="preserve">N711JA  </v>
      </c>
      <c r="BC2007">
        <v>1</v>
      </c>
      <c r="BE2007">
        <v>0</v>
      </c>
      <c r="BF2007">
        <v>0</v>
      </c>
      <c r="BG2007">
        <v>0</v>
      </c>
      <c r="BH2007">
        <v>2075</v>
      </c>
      <c r="BI2007">
        <v>1</v>
      </c>
      <c r="BJ2007">
        <v>1</v>
      </c>
      <c r="BK2007">
        <v>0</v>
      </c>
      <c r="BL2007">
        <v>0</v>
      </c>
      <c r="BO2007">
        <v>0</v>
      </c>
      <c r="BP2007">
        <v>0</v>
      </c>
      <c r="BW2007" t="str">
        <f t="shared" si="948"/>
        <v>14:44:40.140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8</v>
      </c>
      <c r="CR2007">
        <v>3</v>
      </c>
      <c r="CW2007">
        <v>8861131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 t="shared" si="946"/>
        <v>05/12/2020 14:44:22.325</v>
      </c>
      <c r="C2008" t="str">
        <f t="shared" si="949"/>
        <v>FFDFD3C0</v>
      </c>
      <c r="D2008" t="s">
        <v>126</v>
      </c>
      <c r="E2008">
        <v>7</v>
      </c>
      <c r="F2008">
        <v>1007</v>
      </c>
      <c r="G2008" t="s">
        <v>127</v>
      </c>
      <c r="J2008" t="s">
        <v>128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947"/>
        <v>14:44:40.133</v>
      </c>
      <c r="T2008" t="str">
        <f t="shared" si="947"/>
        <v>14:44:40.133</v>
      </c>
      <c r="U2008" t="str">
        <f t="shared" si="942"/>
        <v>A9808D</v>
      </c>
      <c r="V2008">
        <v>0</v>
      </c>
      <c r="W2008">
        <v>0</v>
      </c>
      <c r="X2008">
        <v>1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0</v>
      </c>
      <c r="AI2008" t="s">
        <v>519</v>
      </c>
      <c r="AJ2008">
        <v>28.266385</v>
      </c>
      <c r="AK2008" t="s">
        <v>520</v>
      </c>
      <c r="AL2008">
        <v>-82.351048000000006</v>
      </c>
      <c r="AM2008">
        <v>100</v>
      </c>
      <c r="AN2008">
        <v>2000</v>
      </c>
      <c r="AO2008" t="s">
        <v>118</v>
      </c>
      <c r="AP2008">
        <v>80</v>
      </c>
      <c r="AQ2008">
        <v>-64</v>
      </c>
      <c r="AR2008">
        <v>384</v>
      </c>
      <c r="AZ2008">
        <v>1200</v>
      </c>
      <c r="BA2008">
        <v>1</v>
      </c>
      <c r="BB2008" t="str">
        <f t="shared" si="950"/>
        <v xml:space="preserve">N711JA  </v>
      </c>
      <c r="BC2008">
        <v>1</v>
      </c>
      <c r="BE2008">
        <v>0</v>
      </c>
      <c r="BF2008">
        <v>0</v>
      </c>
      <c r="BG2008">
        <v>0</v>
      </c>
      <c r="BH2008">
        <v>2075</v>
      </c>
      <c r="BI2008">
        <v>1</v>
      </c>
      <c r="BJ2008">
        <v>1</v>
      </c>
      <c r="BK2008">
        <v>0</v>
      </c>
      <c r="BL2008">
        <v>0</v>
      </c>
      <c r="BO2008">
        <v>0</v>
      </c>
      <c r="BP2008">
        <v>0</v>
      </c>
      <c r="BW2008" t="str">
        <f t="shared" si="948"/>
        <v>14:44:40.140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8</v>
      </c>
      <c r="CR2008">
        <v>3</v>
      </c>
      <c r="CW2008">
        <v>8861131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 t="shared" si="946"/>
        <v>05/12/2020 14:44:22.325</v>
      </c>
      <c r="C2009" t="str">
        <f t="shared" si="949"/>
        <v>FFDFD3C0</v>
      </c>
      <c r="D2009" t="s">
        <v>131</v>
      </c>
      <c r="E2009">
        <v>10</v>
      </c>
      <c r="F2009">
        <v>2010</v>
      </c>
      <c r="G2009" t="s">
        <v>132</v>
      </c>
      <c r="J2009" t="s">
        <v>133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947"/>
        <v>14:44:40.133</v>
      </c>
      <c r="T2009" t="str">
        <f t="shared" si="947"/>
        <v>14:44:40.133</v>
      </c>
      <c r="U2009" t="str">
        <f t="shared" si="942"/>
        <v>A9808D</v>
      </c>
      <c r="V2009">
        <v>0</v>
      </c>
      <c r="W2009">
        <v>0</v>
      </c>
      <c r="X2009">
        <v>1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0</v>
      </c>
      <c r="AI2009" t="s">
        <v>519</v>
      </c>
      <c r="AJ2009">
        <v>28.266385</v>
      </c>
      <c r="AK2009" t="s">
        <v>520</v>
      </c>
      <c r="AL2009">
        <v>-82.351048000000006</v>
      </c>
      <c r="AM2009">
        <v>100</v>
      </c>
      <c r="AN2009">
        <v>2000</v>
      </c>
      <c r="AO2009" t="s">
        <v>118</v>
      </c>
      <c r="AP2009">
        <v>80</v>
      </c>
      <c r="AQ2009">
        <v>-64</v>
      </c>
      <c r="AR2009">
        <v>384</v>
      </c>
      <c r="AZ2009">
        <v>1200</v>
      </c>
      <c r="BA2009">
        <v>1</v>
      </c>
      <c r="BB2009" t="str">
        <f t="shared" si="950"/>
        <v xml:space="preserve">N711JA  </v>
      </c>
      <c r="BC2009">
        <v>1</v>
      </c>
      <c r="BE2009">
        <v>0</v>
      </c>
      <c r="BF2009">
        <v>0</v>
      </c>
      <c r="BG2009">
        <v>0</v>
      </c>
      <c r="BH2009">
        <v>2075</v>
      </c>
      <c r="BI2009">
        <v>1</v>
      </c>
      <c r="BJ2009">
        <v>1</v>
      </c>
      <c r="BK2009">
        <v>0</v>
      </c>
      <c r="BL2009">
        <v>0</v>
      </c>
      <c r="BO2009">
        <v>0</v>
      </c>
      <c r="BP2009">
        <v>0</v>
      </c>
      <c r="BW2009" t="str">
        <f t="shared" si="948"/>
        <v>14:44:40.140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8</v>
      </c>
      <c r="CR2009">
        <v>3</v>
      </c>
      <c r="CW2009">
        <v>8861131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 t="shared" si="946"/>
        <v>05/12/2020 14:44:22.325</v>
      </c>
      <c r="C2010" t="str">
        <f t="shared" si="949"/>
        <v>FFDFD3C0</v>
      </c>
      <c r="D2010" t="s">
        <v>131</v>
      </c>
      <c r="E2010">
        <v>12</v>
      </c>
      <c r="F2010">
        <v>2012</v>
      </c>
      <c r="G2010" t="s">
        <v>137</v>
      </c>
      <c r="J2010" t="s">
        <v>133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947"/>
        <v>14:44:40.133</v>
      </c>
      <c r="T2010" t="str">
        <f t="shared" si="947"/>
        <v>14:44:40.133</v>
      </c>
      <c r="U2010" t="str">
        <f t="shared" si="942"/>
        <v>A9808D</v>
      </c>
      <c r="V2010">
        <v>0</v>
      </c>
      <c r="W2010">
        <v>0</v>
      </c>
      <c r="X2010">
        <v>1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0</v>
      </c>
      <c r="AI2010" t="s">
        <v>519</v>
      </c>
      <c r="AJ2010">
        <v>28.266385</v>
      </c>
      <c r="AK2010" t="s">
        <v>520</v>
      </c>
      <c r="AL2010">
        <v>-82.351048000000006</v>
      </c>
      <c r="AM2010">
        <v>100</v>
      </c>
      <c r="AN2010">
        <v>2000</v>
      </c>
      <c r="AO2010" t="s">
        <v>118</v>
      </c>
      <c r="AP2010">
        <v>80</v>
      </c>
      <c r="AQ2010">
        <v>-64</v>
      </c>
      <c r="AR2010">
        <v>384</v>
      </c>
      <c r="AZ2010">
        <v>1200</v>
      </c>
      <c r="BA2010">
        <v>1</v>
      </c>
      <c r="BB2010" t="str">
        <f t="shared" si="950"/>
        <v xml:space="preserve">N711JA  </v>
      </c>
      <c r="BC2010">
        <v>1</v>
      </c>
      <c r="BE2010">
        <v>0</v>
      </c>
      <c r="BF2010">
        <v>0</v>
      </c>
      <c r="BG2010">
        <v>0</v>
      </c>
      <c r="BH2010">
        <v>2075</v>
      </c>
      <c r="BI2010">
        <v>1</v>
      </c>
      <c r="BJ2010">
        <v>1</v>
      </c>
      <c r="BK2010">
        <v>0</v>
      </c>
      <c r="BL2010">
        <v>0</v>
      </c>
      <c r="BO2010">
        <v>0</v>
      </c>
      <c r="BP2010">
        <v>0</v>
      </c>
      <c r="BW2010" t="str">
        <f t="shared" si="948"/>
        <v>14:44:40.140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8</v>
      </c>
      <c r="CR2010">
        <v>3</v>
      </c>
      <c r="CW2010">
        <v>8861131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 t="shared" si="946"/>
        <v>05/12/2020 14:44:22.325</v>
      </c>
      <c r="C2011" t="str">
        <f t="shared" si="949"/>
        <v>FFDFD3C0</v>
      </c>
      <c r="D2011" t="s">
        <v>131</v>
      </c>
      <c r="E2011">
        <v>18</v>
      </c>
      <c r="F2011">
        <v>2018</v>
      </c>
      <c r="G2011" t="s">
        <v>161</v>
      </c>
      <c r="J2011" t="s">
        <v>133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947"/>
        <v>14:44:40.133</v>
      </c>
      <c r="T2011" t="str">
        <f t="shared" si="947"/>
        <v>14:44:40.133</v>
      </c>
      <c r="U2011" t="str">
        <f t="shared" si="942"/>
        <v>A9808D</v>
      </c>
      <c r="V2011">
        <v>0</v>
      </c>
      <c r="W2011">
        <v>0</v>
      </c>
      <c r="X2011">
        <v>1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0</v>
      </c>
      <c r="AI2011" t="s">
        <v>519</v>
      </c>
      <c r="AJ2011">
        <v>28.266385</v>
      </c>
      <c r="AK2011" t="s">
        <v>520</v>
      </c>
      <c r="AL2011">
        <v>-82.351048000000006</v>
      </c>
      <c r="AM2011">
        <v>100</v>
      </c>
      <c r="AN2011">
        <v>2000</v>
      </c>
      <c r="AO2011" t="s">
        <v>118</v>
      </c>
      <c r="AP2011">
        <v>80</v>
      </c>
      <c r="AQ2011">
        <v>-64</v>
      </c>
      <c r="AR2011">
        <v>384</v>
      </c>
      <c r="AZ2011">
        <v>1200</v>
      </c>
      <c r="BA2011">
        <v>1</v>
      </c>
      <c r="BB2011" t="str">
        <f t="shared" si="950"/>
        <v xml:space="preserve">N711JA  </v>
      </c>
      <c r="BC2011">
        <v>1</v>
      </c>
      <c r="BE2011">
        <v>0</v>
      </c>
      <c r="BF2011">
        <v>0</v>
      </c>
      <c r="BG2011">
        <v>0</v>
      </c>
      <c r="BH2011">
        <v>2075</v>
      </c>
      <c r="BI2011">
        <v>1</v>
      </c>
      <c r="BJ2011">
        <v>1</v>
      </c>
      <c r="BK2011">
        <v>0</v>
      </c>
      <c r="BL2011">
        <v>0</v>
      </c>
      <c r="BO2011">
        <v>0</v>
      </c>
      <c r="BP2011">
        <v>0</v>
      </c>
      <c r="BW2011" t="str">
        <f t="shared" si="948"/>
        <v>14:44:40.140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343</v>
      </c>
      <c r="CR2011">
        <v>2</v>
      </c>
      <c r="CW2011">
        <v>13100385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 t="shared" ref="A2012:A2020" si="951">"05/12/2020 14:44:23.249"</f>
        <v>05/12/2020 14:44:23.249</v>
      </c>
      <c r="C2012" t="str">
        <f t="shared" si="949"/>
        <v>FFDFD3C0</v>
      </c>
      <c r="D2012" t="s">
        <v>126</v>
      </c>
      <c r="E2012">
        <v>6</v>
      </c>
      <c r="F2012">
        <v>1006</v>
      </c>
      <c r="G2012" t="s">
        <v>114</v>
      </c>
      <c r="J2012" t="s">
        <v>128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ref="S2012:T2020" si="952">"14:44:41.086"</f>
        <v>14:44:41.086</v>
      </c>
      <c r="T2012" t="str">
        <f t="shared" si="952"/>
        <v>14:44:41.086</v>
      </c>
      <c r="U2012" t="str">
        <f t="shared" si="942"/>
        <v>A9808D</v>
      </c>
      <c r="V2012">
        <v>0</v>
      </c>
      <c r="W2012">
        <v>0</v>
      </c>
      <c r="X2012">
        <v>1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0</v>
      </c>
      <c r="AI2012" t="s">
        <v>521</v>
      </c>
      <c r="AJ2012">
        <v>28.266127000000001</v>
      </c>
      <c r="AK2012" t="s">
        <v>522</v>
      </c>
      <c r="AL2012">
        <v>-82.350662</v>
      </c>
      <c r="AM2012">
        <v>100</v>
      </c>
      <c r="AN2012">
        <v>2000</v>
      </c>
      <c r="AO2012" t="s">
        <v>118</v>
      </c>
      <c r="AP2012">
        <v>81</v>
      </c>
      <c r="AQ2012">
        <v>-64</v>
      </c>
      <c r="AR2012">
        <v>320</v>
      </c>
      <c r="AZ2012">
        <v>1200</v>
      </c>
      <c r="BA2012">
        <v>1</v>
      </c>
      <c r="BB2012" t="str">
        <f t="shared" si="950"/>
        <v xml:space="preserve">N711JA  </v>
      </c>
      <c r="BC2012">
        <v>1</v>
      </c>
      <c r="BE2012">
        <v>0</v>
      </c>
      <c r="BF2012">
        <v>0</v>
      </c>
      <c r="BG2012">
        <v>0</v>
      </c>
      <c r="BH2012">
        <v>2075</v>
      </c>
      <c r="BI2012">
        <v>1</v>
      </c>
      <c r="BJ2012">
        <v>1</v>
      </c>
      <c r="BK2012">
        <v>0</v>
      </c>
      <c r="BL2012">
        <v>0</v>
      </c>
      <c r="BO2012">
        <v>0</v>
      </c>
      <c r="BP2012">
        <v>0</v>
      </c>
      <c r="BW2012" t="str">
        <f t="shared" ref="BW2012:BW2020" si="953">"14:44:41.094"</f>
        <v>14:44:41.094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343</v>
      </c>
      <c r="CR2012">
        <v>1</v>
      </c>
      <c r="CW2012">
        <v>10737063</v>
      </c>
      <c r="CY2012">
        <v>1</v>
      </c>
      <c r="CZ2012">
        <v>0</v>
      </c>
      <c r="DA2012">
        <v>0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 t="shared" si="951"/>
        <v>05/12/2020 14:44:23.249</v>
      </c>
      <c r="C2013" t="str">
        <f t="shared" si="949"/>
        <v>FFDFD3C0</v>
      </c>
      <c r="D2013" t="s">
        <v>134</v>
      </c>
      <c r="E2013">
        <v>12</v>
      </c>
      <c r="H2013">
        <v>64</v>
      </c>
      <c r="I2013" t="s">
        <v>135</v>
      </c>
      <c r="J2013" t="s">
        <v>136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952"/>
        <v>14:44:41.086</v>
      </c>
      <c r="T2013" t="str">
        <f t="shared" si="952"/>
        <v>14:44:41.086</v>
      </c>
      <c r="U2013" t="str">
        <f t="shared" si="942"/>
        <v>A9808D</v>
      </c>
      <c r="V2013">
        <v>0</v>
      </c>
      <c r="W2013">
        <v>0</v>
      </c>
      <c r="X2013">
        <v>1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0</v>
      </c>
      <c r="AI2013" t="s">
        <v>521</v>
      </c>
      <c r="AJ2013">
        <v>28.266127000000001</v>
      </c>
      <c r="AK2013" t="s">
        <v>522</v>
      </c>
      <c r="AL2013">
        <v>-82.350662</v>
      </c>
      <c r="AM2013">
        <v>100</v>
      </c>
      <c r="AN2013">
        <v>2000</v>
      </c>
      <c r="AO2013" t="s">
        <v>118</v>
      </c>
      <c r="AP2013">
        <v>81</v>
      </c>
      <c r="AQ2013">
        <v>-64</v>
      </c>
      <c r="AR2013">
        <v>320</v>
      </c>
      <c r="AZ2013">
        <v>1200</v>
      </c>
      <c r="BA2013">
        <v>1</v>
      </c>
      <c r="BB2013" t="str">
        <f t="shared" si="950"/>
        <v xml:space="preserve">N711JA  </v>
      </c>
      <c r="BC2013">
        <v>1</v>
      </c>
      <c r="BE2013">
        <v>0</v>
      </c>
      <c r="BF2013">
        <v>0</v>
      </c>
      <c r="BG2013">
        <v>0</v>
      </c>
      <c r="BH2013">
        <v>2075</v>
      </c>
      <c r="BI2013">
        <v>1</v>
      </c>
      <c r="BJ2013">
        <v>1</v>
      </c>
      <c r="BK2013">
        <v>0</v>
      </c>
      <c r="BL2013">
        <v>0</v>
      </c>
      <c r="BO2013">
        <v>0</v>
      </c>
      <c r="BP2013">
        <v>0</v>
      </c>
      <c r="BW2013" t="str">
        <f t="shared" si="953"/>
        <v>14:44:41.094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343</v>
      </c>
      <c r="CR2013">
        <v>1</v>
      </c>
      <c r="CW2013">
        <v>10737063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 t="shared" si="951"/>
        <v>05/12/2020 14:44:23.249</v>
      </c>
      <c r="C2014" t="str">
        <f t="shared" si="949"/>
        <v>FFDFD3C0</v>
      </c>
      <c r="D2014" t="s">
        <v>113</v>
      </c>
      <c r="E2014">
        <v>3</v>
      </c>
      <c r="H2014">
        <v>164</v>
      </c>
      <c r="I2014" t="s">
        <v>114</v>
      </c>
      <c r="J2014" t="s">
        <v>115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952"/>
        <v>14:44:41.086</v>
      </c>
      <c r="T2014" t="str">
        <f t="shared" si="952"/>
        <v>14:44:41.086</v>
      </c>
      <c r="U2014" t="str">
        <f t="shared" si="942"/>
        <v>A9808D</v>
      </c>
      <c r="V2014">
        <v>0</v>
      </c>
      <c r="W2014">
        <v>0</v>
      </c>
      <c r="X2014">
        <v>1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0</v>
      </c>
      <c r="AI2014" t="s">
        <v>521</v>
      </c>
      <c r="AJ2014">
        <v>28.266127000000001</v>
      </c>
      <c r="AK2014" t="s">
        <v>522</v>
      </c>
      <c r="AL2014">
        <v>-82.350662</v>
      </c>
      <c r="AM2014">
        <v>100</v>
      </c>
      <c r="AN2014">
        <v>2000</v>
      </c>
      <c r="AO2014" t="s">
        <v>118</v>
      </c>
      <c r="AP2014">
        <v>81</v>
      </c>
      <c r="AQ2014">
        <v>-64</v>
      </c>
      <c r="AR2014">
        <v>320</v>
      </c>
      <c r="AZ2014">
        <v>1200</v>
      </c>
      <c r="BA2014">
        <v>1</v>
      </c>
      <c r="BB2014" t="str">
        <f t="shared" si="950"/>
        <v xml:space="preserve">N711JA  </v>
      </c>
      <c r="BC2014">
        <v>1</v>
      </c>
      <c r="BE2014">
        <v>0</v>
      </c>
      <c r="BF2014">
        <v>0</v>
      </c>
      <c r="BG2014">
        <v>0</v>
      </c>
      <c r="BH2014">
        <v>2075</v>
      </c>
      <c r="BI2014">
        <v>1</v>
      </c>
      <c r="BJ2014">
        <v>1</v>
      </c>
      <c r="BK2014">
        <v>0</v>
      </c>
      <c r="BL2014">
        <v>0</v>
      </c>
      <c r="BO2014">
        <v>0</v>
      </c>
      <c r="BP2014">
        <v>0</v>
      </c>
      <c r="BW2014" t="str">
        <f t="shared" si="953"/>
        <v>14:44:41.094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343</v>
      </c>
      <c r="CR2014">
        <v>1</v>
      </c>
      <c r="CW2014">
        <v>10737063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 t="shared" si="951"/>
        <v>05/12/2020 14:44:23.249</v>
      </c>
      <c r="C2015" t="str">
        <f t="shared" si="949"/>
        <v>FFDFD3C0</v>
      </c>
      <c r="D2015" t="s">
        <v>126</v>
      </c>
      <c r="E2015">
        <v>7</v>
      </c>
      <c r="F2015">
        <v>1007</v>
      </c>
      <c r="G2015" t="s">
        <v>127</v>
      </c>
      <c r="J2015" t="s">
        <v>128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952"/>
        <v>14:44:41.086</v>
      </c>
      <c r="T2015" t="str">
        <f t="shared" si="952"/>
        <v>14:44:41.086</v>
      </c>
      <c r="U2015" t="str">
        <f t="shared" si="942"/>
        <v>A9808D</v>
      </c>
      <c r="V2015">
        <v>0</v>
      </c>
      <c r="W2015">
        <v>0</v>
      </c>
      <c r="X2015">
        <v>1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0</v>
      </c>
      <c r="AI2015" t="s">
        <v>521</v>
      </c>
      <c r="AJ2015">
        <v>28.266127000000001</v>
      </c>
      <c r="AK2015" t="s">
        <v>522</v>
      </c>
      <c r="AL2015">
        <v>-82.350662</v>
      </c>
      <c r="AM2015">
        <v>100</v>
      </c>
      <c r="AN2015">
        <v>2000</v>
      </c>
      <c r="AO2015" t="s">
        <v>118</v>
      </c>
      <c r="AP2015">
        <v>81</v>
      </c>
      <c r="AQ2015">
        <v>-64</v>
      </c>
      <c r="AR2015">
        <v>320</v>
      </c>
      <c r="AZ2015">
        <v>1200</v>
      </c>
      <c r="BA2015">
        <v>1</v>
      </c>
      <c r="BB2015" t="str">
        <f t="shared" si="950"/>
        <v xml:space="preserve">N711JA  </v>
      </c>
      <c r="BC2015">
        <v>1</v>
      </c>
      <c r="BE2015">
        <v>0</v>
      </c>
      <c r="BF2015">
        <v>0</v>
      </c>
      <c r="BG2015">
        <v>0</v>
      </c>
      <c r="BH2015">
        <v>2075</v>
      </c>
      <c r="BI2015">
        <v>1</v>
      </c>
      <c r="BJ2015">
        <v>1</v>
      </c>
      <c r="BK2015">
        <v>0</v>
      </c>
      <c r="BL2015">
        <v>0</v>
      </c>
      <c r="BO2015">
        <v>0</v>
      </c>
      <c r="BP2015">
        <v>0</v>
      </c>
      <c r="BW2015" t="str">
        <f t="shared" si="953"/>
        <v>14:44:41.094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343</v>
      </c>
      <c r="CR2015">
        <v>1</v>
      </c>
      <c r="CW2015">
        <v>10737063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 t="shared" si="951"/>
        <v>05/12/2020 14:44:23.249</v>
      </c>
      <c r="C2016" t="str">
        <f t="shared" si="949"/>
        <v>FFDFD3C0</v>
      </c>
      <c r="D2016" t="s">
        <v>131</v>
      </c>
      <c r="E2016">
        <v>10</v>
      </c>
      <c r="F2016">
        <v>2010</v>
      </c>
      <c r="G2016" t="s">
        <v>132</v>
      </c>
      <c r="J2016" t="s">
        <v>133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952"/>
        <v>14:44:41.086</v>
      </c>
      <c r="T2016" t="str">
        <f t="shared" si="952"/>
        <v>14:44:41.086</v>
      </c>
      <c r="U2016" t="str">
        <f t="shared" si="942"/>
        <v>A9808D</v>
      </c>
      <c r="V2016">
        <v>0</v>
      </c>
      <c r="W2016">
        <v>0</v>
      </c>
      <c r="X2016">
        <v>1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0</v>
      </c>
      <c r="AI2016" t="s">
        <v>521</v>
      </c>
      <c r="AJ2016">
        <v>28.266127000000001</v>
      </c>
      <c r="AK2016" t="s">
        <v>522</v>
      </c>
      <c r="AL2016">
        <v>-82.350662</v>
      </c>
      <c r="AM2016">
        <v>100</v>
      </c>
      <c r="AN2016">
        <v>2000</v>
      </c>
      <c r="AO2016" t="s">
        <v>118</v>
      </c>
      <c r="AP2016">
        <v>81</v>
      </c>
      <c r="AQ2016">
        <v>-64</v>
      </c>
      <c r="AR2016">
        <v>320</v>
      </c>
      <c r="AZ2016">
        <v>1200</v>
      </c>
      <c r="BA2016">
        <v>1</v>
      </c>
      <c r="BB2016" t="str">
        <f t="shared" si="950"/>
        <v xml:space="preserve">N711JA  </v>
      </c>
      <c r="BC2016">
        <v>1</v>
      </c>
      <c r="BE2016">
        <v>0</v>
      </c>
      <c r="BF2016">
        <v>0</v>
      </c>
      <c r="BG2016">
        <v>0</v>
      </c>
      <c r="BH2016">
        <v>2075</v>
      </c>
      <c r="BI2016">
        <v>1</v>
      </c>
      <c r="BJ2016">
        <v>1</v>
      </c>
      <c r="BK2016">
        <v>0</v>
      </c>
      <c r="BL2016">
        <v>0</v>
      </c>
      <c r="BO2016">
        <v>0</v>
      </c>
      <c r="BP2016">
        <v>0</v>
      </c>
      <c r="BW2016" t="str">
        <f t="shared" si="953"/>
        <v>14:44:41.094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343</v>
      </c>
      <c r="CR2016">
        <v>1</v>
      </c>
      <c r="CW2016">
        <v>10737063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 t="shared" si="951"/>
        <v>05/12/2020 14:44:23.249</v>
      </c>
      <c r="C2017" t="str">
        <f t="shared" si="949"/>
        <v>FFDFD3C0</v>
      </c>
      <c r="D2017" t="s">
        <v>131</v>
      </c>
      <c r="E2017">
        <v>12</v>
      </c>
      <c r="F2017">
        <v>2012</v>
      </c>
      <c r="G2017" t="s">
        <v>137</v>
      </c>
      <c r="J2017" t="s">
        <v>133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952"/>
        <v>14:44:41.086</v>
      </c>
      <c r="T2017" t="str">
        <f t="shared" si="952"/>
        <v>14:44:41.086</v>
      </c>
      <c r="U2017" t="str">
        <f t="shared" si="942"/>
        <v>A9808D</v>
      </c>
      <c r="V2017">
        <v>0</v>
      </c>
      <c r="W2017">
        <v>0</v>
      </c>
      <c r="X2017">
        <v>1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0</v>
      </c>
      <c r="AI2017" t="s">
        <v>521</v>
      </c>
      <c r="AJ2017">
        <v>28.266127000000001</v>
      </c>
      <c r="AK2017" t="s">
        <v>522</v>
      </c>
      <c r="AL2017">
        <v>-82.350662</v>
      </c>
      <c r="AM2017">
        <v>100</v>
      </c>
      <c r="AN2017">
        <v>2000</v>
      </c>
      <c r="AO2017" t="s">
        <v>118</v>
      </c>
      <c r="AP2017">
        <v>81</v>
      </c>
      <c r="AQ2017">
        <v>-64</v>
      </c>
      <c r="AR2017">
        <v>320</v>
      </c>
      <c r="AZ2017">
        <v>1200</v>
      </c>
      <c r="BA2017">
        <v>1</v>
      </c>
      <c r="BB2017" t="str">
        <f t="shared" si="950"/>
        <v xml:space="preserve">N711JA  </v>
      </c>
      <c r="BC2017">
        <v>1</v>
      </c>
      <c r="BE2017">
        <v>0</v>
      </c>
      <c r="BF2017">
        <v>0</v>
      </c>
      <c r="BG2017">
        <v>0</v>
      </c>
      <c r="BH2017">
        <v>2075</v>
      </c>
      <c r="BI2017">
        <v>1</v>
      </c>
      <c r="BJ2017">
        <v>1</v>
      </c>
      <c r="BK2017">
        <v>0</v>
      </c>
      <c r="BL2017">
        <v>0</v>
      </c>
      <c r="BO2017">
        <v>0</v>
      </c>
      <c r="BP2017">
        <v>0</v>
      </c>
      <c r="BW2017" t="str">
        <f t="shared" si="953"/>
        <v>14:44:41.094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343</v>
      </c>
      <c r="CR2017">
        <v>1</v>
      </c>
      <c r="CW2017">
        <v>10737063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 t="shared" si="951"/>
        <v>05/12/2020 14:44:23.249</v>
      </c>
      <c r="C2018" t="str">
        <f t="shared" si="949"/>
        <v>FFDFD3C0</v>
      </c>
      <c r="D2018" t="s">
        <v>131</v>
      </c>
      <c r="E2018">
        <v>18</v>
      </c>
      <c r="F2018">
        <v>2018</v>
      </c>
      <c r="G2018" t="s">
        <v>161</v>
      </c>
      <c r="J2018" t="s">
        <v>133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952"/>
        <v>14:44:41.086</v>
      </c>
      <c r="T2018" t="str">
        <f t="shared" si="952"/>
        <v>14:44:41.086</v>
      </c>
      <c r="U2018" t="str">
        <f t="shared" si="942"/>
        <v>A9808D</v>
      </c>
      <c r="V2018">
        <v>0</v>
      </c>
      <c r="W2018">
        <v>0</v>
      </c>
      <c r="X2018">
        <v>1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0</v>
      </c>
      <c r="AI2018" t="s">
        <v>521</v>
      </c>
      <c r="AJ2018">
        <v>28.266127000000001</v>
      </c>
      <c r="AK2018" t="s">
        <v>522</v>
      </c>
      <c r="AL2018">
        <v>-82.350662</v>
      </c>
      <c r="AM2018">
        <v>100</v>
      </c>
      <c r="AN2018">
        <v>2000</v>
      </c>
      <c r="AO2018" t="s">
        <v>118</v>
      </c>
      <c r="AP2018">
        <v>81</v>
      </c>
      <c r="AQ2018">
        <v>-64</v>
      </c>
      <c r="AR2018">
        <v>320</v>
      </c>
      <c r="AZ2018">
        <v>1200</v>
      </c>
      <c r="BA2018">
        <v>1</v>
      </c>
      <c r="BB2018" t="str">
        <f t="shared" si="950"/>
        <v xml:space="preserve">N711JA  </v>
      </c>
      <c r="BC2018">
        <v>1</v>
      </c>
      <c r="BE2018">
        <v>0</v>
      </c>
      <c r="BF2018">
        <v>0</v>
      </c>
      <c r="BG2018">
        <v>0</v>
      </c>
      <c r="BH2018">
        <v>2075</v>
      </c>
      <c r="BI2018">
        <v>1</v>
      </c>
      <c r="BJ2018">
        <v>1</v>
      </c>
      <c r="BK2018">
        <v>0</v>
      </c>
      <c r="BL2018">
        <v>0</v>
      </c>
      <c r="BO2018">
        <v>0</v>
      </c>
      <c r="BP2018">
        <v>0</v>
      </c>
      <c r="BW2018" t="str">
        <f t="shared" si="953"/>
        <v>14:44:41.094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343</v>
      </c>
      <c r="CR2018">
        <v>1</v>
      </c>
      <c r="CW2018">
        <v>10737063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 t="shared" si="951"/>
        <v>05/12/2020 14:44:23.249</v>
      </c>
      <c r="C2019" t="str">
        <f t="shared" si="949"/>
        <v>FFDFD3C0</v>
      </c>
      <c r="D2019" t="s">
        <v>138</v>
      </c>
      <c r="E2019">
        <v>2</v>
      </c>
      <c r="H2019">
        <v>8</v>
      </c>
      <c r="I2019" t="s">
        <v>139</v>
      </c>
      <c r="J2019" t="s">
        <v>136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952"/>
        <v>14:44:41.086</v>
      </c>
      <c r="T2019" t="str">
        <f t="shared" si="952"/>
        <v>14:44:41.086</v>
      </c>
      <c r="U2019" t="str">
        <f t="shared" si="942"/>
        <v>A9808D</v>
      </c>
      <c r="V2019">
        <v>0</v>
      </c>
      <c r="W2019">
        <v>0</v>
      </c>
      <c r="X2019">
        <v>1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0</v>
      </c>
      <c r="AI2019" t="s">
        <v>521</v>
      </c>
      <c r="AJ2019">
        <v>28.266127000000001</v>
      </c>
      <c r="AK2019" t="s">
        <v>522</v>
      </c>
      <c r="AL2019">
        <v>-82.350662</v>
      </c>
      <c r="AM2019">
        <v>100</v>
      </c>
      <c r="AN2019">
        <v>2000</v>
      </c>
      <c r="AO2019" t="s">
        <v>118</v>
      </c>
      <c r="AP2019">
        <v>81</v>
      </c>
      <c r="AQ2019">
        <v>-64</v>
      </c>
      <c r="AR2019">
        <v>320</v>
      </c>
      <c r="AZ2019">
        <v>1200</v>
      </c>
      <c r="BA2019">
        <v>1</v>
      </c>
      <c r="BB2019" t="str">
        <f t="shared" si="950"/>
        <v xml:space="preserve">N711JA  </v>
      </c>
      <c r="BC2019">
        <v>1</v>
      </c>
      <c r="BE2019">
        <v>0</v>
      </c>
      <c r="BF2019">
        <v>0</v>
      </c>
      <c r="BG2019">
        <v>0</v>
      </c>
      <c r="BH2019">
        <v>2075</v>
      </c>
      <c r="BI2019">
        <v>1</v>
      </c>
      <c r="BJ2019">
        <v>1</v>
      </c>
      <c r="BK2019">
        <v>0</v>
      </c>
      <c r="BL2019">
        <v>0</v>
      </c>
      <c r="BO2019">
        <v>0</v>
      </c>
      <c r="BP2019">
        <v>0</v>
      </c>
      <c r="BW2019" t="str">
        <f t="shared" si="953"/>
        <v>14:44:41.094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343</v>
      </c>
      <c r="CR2019">
        <v>1</v>
      </c>
      <c r="CW2019">
        <v>10737063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 t="shared" si="951"/>
        <v>05/12/2020 14:44:23.249</v>
      </c>
      <c r="C2020" t="str">
        <f t="shared" si="949"/>
        <v>FFDFD3C0</v>
      </c>
      <c r="D2020" t="s">
        <v>138</v>
      </c>
      <c r="E2020">
        <v>3</v>
      </c>
      <c r="H2020">
        <v>9</v>
      </c>
      <c r="I2020" t="s">
        <v>140</v>
      </c>
      <c r="J2020" t="s">
        <v>136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952"/>
        <v>14:44:41.086</v>
      </c>
      <c r="T2020" t="str">
        <f t="shared" si="952"/>
        <v>14:44:41.086</v>
      </c>
      <c r="U2020" t="str">
        <f t="shared" si="942"/>
        <v>A9808D</v>
      </c>
      <c r="V2020">
        <v>0</v>
      </c>
      <c r="W2020">
        <v>0</v>
      </c>
      <c r="X2020">
        <v>1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0</v>
      </c>
      <c r="AI2020" t="s">
        <v>521</v>
      </c>
      <c r="AJ2020">
        <v>28.266127000000001</v>
      </c>
      <c r="AK2020" t="s">
        <v>522</v>
      </c>
      <c r="AL2020">
        <v>-82.350662</v>
      </c>
      <c r="AM2020">
        <v>100</v>
      </c>
      <c r="AN2020">
        <v>2000</v>
      </c>
      <c r="AO2020" t="s">
        <v>118</v>
      </c>
      <c r="AP2020">
        <v>81</v>
      </c>
      <c r="AQ2020">
        <v>-64</v>
      </c>
      <c r="AR2020">
        <v>320</v>
      </c>
      <c r="AZ2020">
        <v>1200</v>
      </c>
      <c r="BA2020">
        <v>1</v>
      </c>
      <c r="BB2020" t="str">
        <f t="shared" si="950"/>
        <v xml:space="preserve">N711JA  </v>
      </c>
      <c r="BC2020">
        <v>1</v>
      </c>
      <c r="BE2020">
        <v>0</v>
      </c>
      <c r="BF2020">
        <v>0</v>
      </c>
      <c r="BG2020">
        <v>0</v>
      </c>
      <c r="BH2020">
        <v>2075</v>
      </c>
      <c r="BI2020">
        <v>1</v>
      </c>
      <c r="BJ2020">
        <v>1</v>
      </c>
      <c r="BK2020">
        <v>0</v>
      </c>
      <c r="BL2020">
        <v>0</v>
      </c>
      <c r="BO2020">
        <v>0</v>
      </c>
      <c r="BP2020">
        <v>0</v>
      </c>
      <c r="BW2020" t="str">
        <f t="shared" si="953"/>
        <v>14:44:41.094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343</v>
      </c>
      <c r="CR2020">
        <v>1</v>
      </c>
      <c r="CW2020">
        <v>10737063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 t="shared" ref="A2021:A2029" si="954">"05/12/2020 14:44:24.349"</f>
        <v>05/12/2020 14:44:24.349</v>
      </c>
      <c r="C2021" t="str">
        <f t="shared" si="949"/>
        <v>FFDFD3C0</v>
      </c>
      <c r="D2021" t="s">
        <v>138</v>
      </c>
      <c r="E2021">
        <v>2</v>
      </c>
      <c r="H2021">
        <v>8</v>
      </c>
      <c r="I2021" t="s">
        <v>139</v>
      </c>
      <c r="J2021" t="s">
        <v>136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ref="S2021:S2029" si="955">"14:44:42.148"</f>
        <v>14:44:42.148</v>
      </c>
      <c r="T2021" t="str">
        <f t="shared" ref="T2021:T2029" si="956">"14:44:42.048"</f>
        <v>14:44:42.048</v>
      </c>
      <c r="U2021" t="str">
        <f t="shared" si="942"/>
        <v>A9808D</v>
      </c>
      <c r="V2021">
        <v>0</v>
      </c>
      <c r="W2021">
        <v>0</v>
      </c>
      <c r="X2021">
        <v>1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0</v>
      </c>
      <c r="AI2021" t="s">
        <v>523</v>
      </c>
      <c r="AJ2021">
        <v>28.265827000000002</v>
      </c>
      <c r="AK2021" t="s">
        <v>524</v>
      </c>
      <c r="AL2021">
        <v>-82.350167999999996</v>
      </c>
      <c r="AM2021">
        <v>100</v>
      </c>
      <c r="AN2021">
        <v>2000</v>
      </c>
      <c r="AO2021" t="s">
        <v>118</v>
      </c>
      <c r="AP2021">
        <v>81</v>
      </c>
      <c r="AQ2021">
        <v>-63</v>
      </c>
      <c r="AR2021">
        <v>320</v>
      </c>
      <c r="AZ2021">
        <v>1200</v>
      </c>
      <c r="BA2021">
        <v>1</v>
      </c>
      <c r="BB2021" t="str">
        <f t="shared" si="950"/>
        <v xml:space="preserve">N711JA  </v>
      </c>
      <c r="BC2021">
        <v>1</v>
      </c>
      <c r="BE2021">
        <v>0</v>
      </c>
      <c r="BF2021">
        <v>0</v>
      </c>
      <c r="BG2021">
        <v>0</v>
      </c>
      <c r="BH2021">
        <v>2100</v>
      </c>
      <c r="BI2021">
        <v>1</v>
      </c>
      <c r="BJ2021">
        <v>1</v>
      </c>
      <c r="BK2021">
        <v>0</v>
      </c>
      <c r="BL2021">
        <v>0</v>
      </c>
      <c r="BO2021">
        <v>0</v>
      </c>
      <c r="BP2021">
        <v>0</v>
      </c>
      <c r="BW2021" t="str">
        <f t="shared" ref="BW2021:BW2029" si="957">"14:44:42.155"</f>
        <v>14:44:42.155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343</v>
      </c>
      <c r="CR2021">
        <v>1</v>
      </c>
      <c r="CW2021">
        <v>10738205</v>
      </c>
      <c r="CY2021">
        <v>1</v>
      </c>
      <c r="CZ2021">
        <v>0</v>
      </c>
      <c r="DA2021">
        <v>0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 t="shared" si="954"/>
        <v>05/12/2020 14:44:24.349</v>
      </c>
      <c r="C2022" t="str">
        <f t="shared" si="949"/>
        <v>FFDFD3C0</v>
      </c>
      <c r="D2022" t="s">
        <v>138</v>
      </c>
      <c r="E2022">
        <v>3</v>
      </c>
      <c r="H2022">
        <v>9</v>
      </c>
      <c r="I2022" t="s">
        <v>140</v>
      </c>
      <c r="J2022" t="s">
        <v>136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955"/>
        <v>14:44:42.148</v>
      </c>
      <c r="T2022" t="str">
        <f t="shared" si="956"/>
        <v>14:44:42.048</v>
      </c>
      <c r="U2022" t="str">
        <f t="shared" si="942"/>
        <v>A9808D</v>
      </c>
      <c r="V2022">
        <v>0</v>
      </c>
      <c r="W2022">
        <v>0</v>
      </c>
      <c r="X2022">
        <v>1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0</v>
      </c>
      <c r="AI2022" t="s">
        <v>523</v>
      </c>
      <c r="AJ2022">
        <v>28.265827000000002</v>
      </c>
      <c r="AK2022" t="s">
        <v>524</v>
      </c>
      <c r="AL2022">
        <v>-82.350167999999996</v>
      </c>
      <c r="AM2022">
        <v>100</v>
      </c>
      <c r="AN2022">
        <v>2000</v>
      </c>
      <c r="AO2022" t="s">
        <v>118</v>
      </c>
      <c r="AP2022">
        <v>81</v>
      </c>
      <c r="AQ2022">
        <v>-63</v>
      </c>
      <c r="AR2022">
        <v>320</v>
      </c>
      <c r="AZ2022">
        <v>1200</v>
      </c>
      <c r="BA2022">
        <v>1</v>
      </c>
      <c r="BB2022" t="str">
        <f t="shared" si="950"/>
        <v xml:space="preserve">N711JA  </v>
      </c>
      <c r="BC2022">
        <v>1</v>
      </c>
      <c r="BE2022">
        <v>0</v>
      </c>
      <c r="BF2022">
        <v>0</v>
      </c>
      <c r="BG2022">
        <v>0</v>
      </c>
      <c r="BH2022">
        <v>2100</v>
      </c>
      <c r="BI2022">
        <v>1</v>
      </c>
      <c r="BJ2022">
        <v>1</v>
      </c>
      <c r="BK2022">
        <v>0</v>
      </c>
      <c r="BL2022">
        <v>0</v>
      </c>
      <c r="BO2022">
        <v>0</v>
      </c>
      <c r="BP2022">
        <v>0</v>
      </c>
      <c r="BW2022" t="str">
        <f t="shared" si="957"/>
        <v>14:44:42.155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343</v>
      </c>
      <c r="CR2022">
        <v>1</v>
      </c>
      <c r="CW2022">
        <v>10738205</v>
      </c>
      <c r="CY2022">
        <v>1</v>
      </c>
      <c r="CZ2022">
        <v>0</v>
      </c>
      <c r="DA2022">
        <v>1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 t="shared" si="954"/>
        <v>05/12/2020 14:44:24.349</v>
      </c>
      <c r="C2023" t="str">
        <f t="shared" si="949"/>
        <v>FFDFD3C0</v>
      </c>
      <c r="D2023" t="s">
        <v>126</v>
      </c>
      <c r="E2023">
        <v>6</v>
      </c>
      <c r="F2023">
        <v>1006</v>
      </c>
      <c r="G2023" t="s">
        <v>114</v>
      </c>
      <c r="J2023" t="s">
        <v>128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955"/>
        <v>14:44:42.148</v>
      </c>
      <c r="T2023" t="str">
        <f t="shared" si="956"/>
        <v>14:44:42.048</v>
      </c>
      <c r="U2023" t="str">
        <f t="shared" si="942"/>
        <v>A9808D</v>
      </c>
      <c r="V2023">
        <v>0</v>
      </c>
      <c r="W2023">
        <v>0</v>
      </c>
      <c r="X2023">
        <v>1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0</v>
      </c>
      <c r="AI2023" t="s">
        <v>523</v>
      </c>
      <c r="AJ2023">
        <v>28.265827000000002</v>
      </c>
      <c r="AK2023" t="s">
        <v>524</v>
      </c>
      <c r="AL2023">
        <v>-82.350167999999996</v>
      </c>
      <c r="AM2023">
        <v>100</v>
      </c>
      <c r="AN2023">
        <v>2000</v>
      </c>
      <c r="AO2023" t="s">
        <v>118</v>
      </c>
      <c r="AP2023">
        <v>81</v>
      </c>
      <c r="AQ2023">
        <v>-63</v>
      </c>
      <c r="AR2023">
        <v>320</v>
      </c>
      <c r="AZ2023">
        <v>1200</v>
      </c>
      <c r="BA2023">
        <v>1</v>
      </c>
      <c r="BB2023" t="str">
        <f t="shared" si="950"/>
        <v xml:space="preserve">N711JA  </v>
      </c>
      <c r="BC2023">
        <v>1</v>
      </c>
      <c r="BE2023">
        <v>0</v>
      </c>
      <c r="BF2023">
        <v>0</v>
      </c>
      <c r="BG2023">
        <v>0</v>
      </c>
      <c r="BH2023">
        <v>2100</v>
      </c>
      <c r="BI2023">
        <v>1</v>
      </c>
      <c r="BJ2023">
        <v>1</v>
      </c>
      <c r="BK2023">
        <v>0</v>
      </c>
      <c r="BL2023">
        <v>0</v>
      </c>
      <c r="BO2023">
        <v>0</v>
      </c>
      <c r="BP2023">
        <v>0</v>
      </c>
      <c r="BW2023" t="str">
        <f t="shared" si="957"/>
        <v>14:44:42.155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343</v>
      </c>
      <c r="CR2023">
        <v>1</v>
      </c>
      <c r="CW2023">
        <v>10738205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 t="shared" si="954"/>
        <v>05/12/2020 14:44:24.349</v>
      </c>
      <c r="C2024" t="str">
        <f t="shared" si="949"/>
        <v>FFDFD3C0</v>
      </c>
      <c r="D2024" t="s">
        <v>126</v>
      </c>
      <c r="E2024">
        <v>7</v>
      </c>
      <c r="F2024">
        <v>1007</v>
      </c>
      <c r="G2024" t="s">
        <v>127</v>
      </c>
      <c r="J2024" t="s">
        <v>128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955"/>
        <v>14:44:42.148</v>
      </c>
      <c r="T2024" t="str">
        <f t="shared" si="956"/>
        <v>14:44:42.048</v>
      </c>
      <c r="U2024" t="str">
        <f t="shared" si="942"/>
        <v>A9808D</v>
      </c>
      <c r="V2024">
        <v>0</v>
      </c>
      <c r="W2024">
        <v>0</v>
      </c>
      <c r="X2024">
        <v>1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0</v>
      </c>
      <c r="AI2024" t="s">
        <v>523</v>
      </c>
      <c r="AJ2024">
        <v>28.265827000000002</v>
      </c>
      <c r="AK2024" t="s">
        <v>524</v>
      </c>
      <c r="AL2024">
        <v>-82.350167999999996</v>
      </c>
      <c r="AM2024">
        <v>100</v>
      </c>
      <c r="AN2024">
        <v>2000</v>
      </c>
      <c r="AO2024" t="s">
        <v>118</v>
      </c>
      <c r="AP2024">
        <v>81</v>
      </c>
      <c r="AQ2024">
        <v>-63</v>
      </c>
      <c r="AR2024">
        <v>320</v>
      </c>
      <c r="AZ2024">
        <v>1200</v>
      </c>
      <c r="BA2024">
        <v>1</v>
      </c>
      <c r="BB2024" t="str">
        <f t="shared" si="950"/>
        <v xml:space="preserve">N711JA  </v>
      </c>
      <c r="BC2024">
        <v>1</v>
      </c>
      <c r="BE2024">
        <v>0</v>
      </c>
      <c r="BF2024">
        <v>0</v>
      </c>
      <c r="BG2024">
        <v>0</v>
      </c>
      <c r="BH2024">
        <v>2100</v>
      </c>
      <c r="BI2024">
        <v>1</v>
      </c>
      <c r="BJ2024">
        <v>1</v>
      </c>
      <c r="BK2024">
        <v>0</v>
      </c>
      <c r="BL2024">
        <v>0</v>
      </c>
      <c r="BO2024">
        <v>0</v>
      </c>
      <c r="BP2024">
        <v>0</v>
      </c>
      <c r="BW2024" t="str">
        <f t="shared" si="957"/>
        <v>14:44:42.155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343</v>
      </c>
      <c r="CR2024">
        <v>1</v>
      </c>
      <c r="CW2024">
        <v>10738205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 t="shared" si="954"/>
        <v>05/12/2020 14:44:24.349</v>
      </c>
      <c r="C2025" t="str">
        <f t="shared" si="949"/>
        <v>FFDFD3C0</v>
      </c>
      <c r="D2025" t="s">
        <v>131</v>
      </c>
      <c r="E2025">
        <v>10</v>
      </c>
      <c r="F2025">
        <v>2010</v>
      </c>
      <c r="G2025" t="s">
        <v>132</v>
      </c>
      <c r="J2025" t="s">
        <v>133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955"/>
        <v>14:44:42.148</v>
      </c>
      <c r="T2025" t="str">
        <f t="shared" si="956"/>
        <v>14:44:42.048</v>
      </c>
      <c r="U2025" t="str">
        <f t="shared" si="942"/>
        <v>A9808D</v>
      </c>
      <c r="V2025">
        <v>0</v>
      </c>
      <c r="W2025">
        <v>0</v>
      </c>
      <c r="X2025">
        <v>1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0</v>
      </c>
      <c r="AI2025" t="s">
        <v>523</v>
      </c>
      <c r="AJ2025">
        <v>28.265827000000002</v>
      </c>
      <c r="AK2025" t="s">
        <v>524</v>
      </c>
      <c r="AL2025">
        <v>-82.350167999999996</v>
      </c>
      <c r="AM2025">
        <v>100</v>
      </c>
      <c r="AN2025">
        <v>2000</v>
      </c>
      <c r="AO2025" t="s">
        <v>118</v>
      </c>
      <c r="AP2025">
        <v>81</v>
      </c>
      <c r="AQ2025">
        <v>-63</v>
      </c>
      <c r="AR2025">
        <v>320</v>
      </c>
      <c r="AZ2025">
        <v>1200</v>
      </c>
      <c r="BA2025">
        <v>1</v>
      </c>
      <c r="BB2025" t="str">
        <f t="shared" si="950"/>
        <v xml:space="preserve">N711JA  </v>
      </c>
      <c r="BC2025">
        <v>1</v>
      </c>
      <c r="BE2025">
        <v>0</v>
      </c>
      <c r="BF2025">
        <v>0</v>
      </c>
      <c r="BG2025">
        <v>0</v>
      </c>
      <c r="BH2025">
        <v>2100</v>
      </c>
      <c r="BI2025">
        <v>1</v>
      </c>
      <c r="BJ2025">
        <v>1</v>
      </c>
      <c r="BK2025">
        <v>0</v>
      </c>
      <c r="BL2025">
        <v>0</v>
      </c>
      <c r="BO2025">
        <v>0</v>
      </c>
      <c r="BP2025">
        <v>0</v>
      </c>
      <c r="BW2025" t="str">
        <f t="shared" si="957"/>
        <v>14:44:42.155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343</v>
      </c>
      <c r="CR2025">
        <v>1</v>
      </c>
      <c r="CW2025">
        <v>10738205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 t="shared" si="954"/>
        <v>05/12/2020 14:44:24.349</v>
      </c>
      <c r="C2026" t="str">
        <f t="shared" si="949"/>
        <v>FFDFD3C0</v>
      </c>
      <c r="D2026" t="s">
        <v>131</v>
      </c>
      <c r="E2026">
        <v>12</v>
      </c>
      <c r="F2026">
        <v>2012</v>
      </c>
      <c r="G2026" t="s">
        <v>137</v>
      </c>
      <c r="J2026" t="s">
        <v>133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955"/>
        <v>14:44:42.148</v>
      </c>
      <c r="T2026" t="str">
        <f t="shared" si="956"/>
        <v>14:44:42.048</v>
      </c>
      <c r="U2026" t="str">
        <f t="shared" si="942"/>
        <v>A9808D</v>
      </c>
      <c r="V2026">
        <v>0</v>
      </c>
      <c r="W2026">
        <v>0</v>
      </c>
      <c r="X2026">
        <v>1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0</v>
      </c>
      <c r="AI2026" t="s">
        <v>523</v>
      </c>
      <c r="AJ2026">
        <v>28.265827000000002</v>
      </c>
      <c r="AK2026" t="s">
        <v>524</v>
      </c>
      <c r="AL2026">
        <v>-82.350167999999996</v>
      </c>
      <c r="AM2026">
        <v>100</v>
      </c>
      <c r="AN2026">
        <v>2000</v>
      </c>
      <c r="AO2026" t="s">
        <v>118</v>
      </c>
      <c r="AP2026">
        <v>81</v>
      </c>
      <c r="AQ2026">
        <v>-63</v>
      </c>
      <c r="AR2026">
        <v>320</v>
      </c>
      <c r="AZ2026">
        <v>1200</v>
      </c>
      <c r="BA2026">
        <v>1</v>
      </c>
      <c r="BB2026" t="str">
        <f t="shared" si="950"/>
        <v xml:space="preserve">N711JA  </v>
      </c>
      <c r="BC2026">
        <v>1</v>
      </c>
      <c r="BE2026">
        <v>0</v>
      </c>
      <c r="BF2026">
        <v>0</v>
      </c>
      <c r="BG2026">
        <v>0</v>
      </c>
      <c r="BH2026">
        <v>2100</v>
      </c>
      <c r="BI2026">
        <v>1</v>
      </c>
      <c r="BJ2026">
        <v>1</v>
      </c>
      <c r="BK2026">
        <v>0</v>
      </c>
      <c r="BL2026">
        <v>0</v>
      </c>
      <c r="BO2026">
        <v>0</v>
      </c>
      <c r="BP2026">
        <v>0</v>
      </c>
      <c r="BW2026" t="str">
        <f t="shared" si="957"/>
        <v>14:44:42.155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343</v>
      </c>
      <c r="CR2026">
        <v>1</v>
      </c>
      <c r="CW2026">
        <v>10738205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 t="shared" si="954"/>
        <v>05/12/2020 14:44:24.349</v>
      </c>
      <c r="C2027" t="str">
        <f t="shared" si="949"/>
        <v>FFDFD3C0</v>
      </c>
      <c r="D2027" t="s">
        <v>134</v>
      </c>
      <c r="E2027">
        <v>12</v>
      </c>
      <c r="H2027">
        <v>64</v>
      </c>
      <c r="I2027" t="s">
        <v>135</v>
      </c>
      <c r="J2027" t="s">
        <v>136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955"/>
        <v>14:44:42.148</v>
      </c>
      <c r="T2027" t="str">
        <f t="shared" si="956"/>
        <v>14:44:42.048</v>
      </c>
      <c r="U2027" t="str">
        <f t="shared" si="942"/>
        <v>A9808D</v>
      </c>
      <c r="V2027">
        <v>0</v>
      </c>
      <c r="W2027">
        <v>0</v>
      </c>
      <c r="X2027">
        <v>1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0</v>
      </c>
      <c r="AI2027" t="s">
        <v>523</v>
      </c>
      <c r="AJ2027">
        <v>28.265827000000002</v>
      </c>
      <c r="AK2027" t="s">
        <v>524</v>
      </c>
      <c r="AL2027">
        <v>-82.350167999999996</v>
      </c>
      <c r="AM2027">
        <v>100</v>
      </c>
      <c r="AN2027">
        <v>2000</v>
      </c>
      <c r="AO2027" t="s">
        <v>118</v>
      </c>
      <c r="AP2027">
        <v>81</v>
      </c>
      <c r="AQ2027">
        <v>-63</v>
      </c>
      <c r="AR2027">
        <v>320</v>
      </c>
      <c r="AZ2027">
        <v>1200</v>
      </c>
      <c r="BA2027">
        <v>1</v>
      </c>
      <c r="BB2027" t="str">
        <f t="shared" si="950"/>
        <v xml:space="preserve">N711JA  </v>
      </c>
      <c r="BC2027">
        <v>1</v>
      </c>
      <c r="BE2027">
        <v>0</v>
      </c>
      <c r="BF2027">
        <v>0</v>
      </c>
      <c r="BG2027">
        <v>0</v>
      </c>
      <c r="BH2027">
        <v>2100</v>
      </c>
      <c r="BI2027">
        <v>1</v>
      </c>
      <c r="BJ2027">
        <v>1</v>
      </c>
      <c r="BK2027">
        <v>0</v>
      </c>
      <c r="BL2027">
        <v>0</v>
      </c>
      <c r="BO2027">
        <v>0</v>
      </c>
      <c r="BP2027">
        <v>0</v>
      </c>
      <c r="BW2027" t="str">
        <f t="shared" si="957"/>
        <v>14:44:42.155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343</v>
      </c>
      <c r="CR2027">
        <v>1</v>
      </c>
      <c r="CW2027">
        <v>10738205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 t="shared" si="954"/>
        <v>05/12/2020 14:44:24.349</v>
      </c>
      <c r="C2028" t="str">
        <f t="shared" si="949"/>
        <v>FFDFD3C0</v>
      </c>
      <c r="D2028" t="s">
        <v>113</v>
      </c>
      <c r="E2028">
        <v>3</v>
      </c>
      <c r="H2028">
        <v>164</v>
      </c>
      <c r="I2028" t="s">
        <v>114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955"/>
        <v>14:44:42.148</v>
      </c>
      <c r="T2028" t="str">
        <f t="shared" si="956"/>
        <v>14:44:42.048</v>
      </c>
      <c r="U2028" t="str">
        <f t="shared" si="942"/>
        <v>A9808D</v>
      </c>
      <c r="V2028">
        <v>0</v>
      </c>
      <c r="W2028">
        <v>0</v>
      </c>
      <c r="X2028">
        <v>1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0</v>
      </c>
      <c r="AI2028" t="s">
        <v>523</v>
      </c>
      <c r="AJ2028">
        <v>28.265827000000002</v>
      </c>
      <c r="AK2028" t="s">
        <v>524</v>
      </c>
      <c r="AL2028">
        <v>-82.350167999999996</v>
      </c>
      <c r="AM2028">
        <v>100</v>
      </c>
      <c r="AN2028">
        <v>2000</v>
      </c>
      <c r="AO2028" t="s">
        <v>118</v>
      </c>
      <c r="AP2028">
        <v>81</v>
      </c>
      <c r="AQ2028">
        <v>-63</v>
      </c>
      <c r="AR2028">
        <v>320</v>
      </c>
      <c r="AZ2028">
        <v>1200</v>
      </c>
      <c r="BA2028">
        <v>1</v>
      </c>
      <c r="BB2028" t="str">
        <f t="shared" si="950"/>
        <v xml:space="preserve">N711JA  </v>
      </c>
      <c r="BC2028">
        <v>1</v>
      </c>
      <c r="BE2028">
        <v>0</v>
      </c>
      <c r="BF2028">
        <v>0</v>
      </c>
      <c r="BG2028">
        <v>0</v>
      </c>
      <c r="BH2028">
        <v>2100</v>
      </c>
      <c r="BI2028">
        <v>1</v>
      </c>
      <c r="BJ2028">
        <v>1</v>
      </c>
      <c r="BK2028">
        <v>0</v>
      </c>
      <c r="BL2028">
        <v>0</v>
      </c>
      <c r="BO2028">
        <v>0</v>
      </c>
      <c r="BP2028">
        <v>0</v>
      </c>
      <c r="BW2028" t="str">
        <f t="shared" si="957"/>
        <v>14:44:42.155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343</v>
      </c>
      <c r="CR2028">
        <v>1</v>
      </c>
      <c r="CW2028">
        <v>10738205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 t="shared" si="954"/>
        <v>05/12/2020 14:44:24.349</v>
      </c>
      <c r="C2029" t="str">
        <f t="shared" si="949"/>
        <v>FFDFD3C0</v>
      </c>
      <c r="D2029" t="s">
        <v>131</v>
      </c>
      <c r="E2029">
        <v>18</v>
      </c>
      <c r="F2029">
        <v>2018</v>
      </c>
      <c r="G2029" t="s">
        <v>161</v>
      </c>
      <c r="J2029" t="s">
        <v>133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955"/>
        <v>14:44:42.148</v>
      </c>
      <c r="T2029" t="str">
        <f t="shared" si="956"/>
        <v>14:44:42.048</v>
      </c>
      <c r="U2029" t="str">
        <f t="shared" si="942"/>
        <v>A9808D</v>
      </c>
      <c r="V2029">
        <v>0</v>
      </c>
      <c r="W2029">
        <v>0</v>
      </c>
      <c r="X2029">
        <v>1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0</v>
      </c>
      <c r="AI2029" t="s">
        <v>523</v>
      </c>
      <c r="AJ2029">
        <v>28.265827000000002</v>
      </c>
      <c r="AK2029" t="s">
        <v>524</v>
      </c>
      <c r="AL2029">
        <v>-82.350167999999996</v>
      </c>
      <c r="AM2029">
        <v>100</v>
      </c>
      <c r="AN2029">
        <v>2000</v>
      </c>
      <c r="AO2029" t="s">
        <v>118</v>
      </c>
      <c r="AP2029">
        <v>81</v>
      </c>
      <c r="AQ2029">
        <v>-63</v>
      </c>
      <c r="AR2029">
        <v>320</v>
      </c>
      <c r="AZ2029">
        <v>1200</v>
      </c>
      <c r="BA2029">
        <v>1</v>
      </c>
      <c r="BB2029" t="str">
        <f t="shared" si="950"/>
        <v xml:space="preserve">N711JA  </v>
      </c>
      <c r="BC2029">
        <v>1</v>
      </c>
      <c r="BE2029">
        <v>0</v>
      </c>
      <c r="BF2029">
        <v>0</v>
      </c>
      <c r="BG2029">
        <v>0</v>
      </c>
      <c r="BH2029">
        <v>2100</v>
      </c>
      <c r="BI2029">
        <v>1</v>
      </c>
      <c r="BJ2029">
        <v>1</v>
      </c>
      <c r="BK2029">
        <v>0</v>
      </c>
      <c r="BL2029">
        <v>0</v>
      </c>
      <c r="BO2029">
        <v>0</v>
      </c>
      <c r="BP2029">
        <v>0</v>
      </c>
      <c r="BW2029" t="str">
        <f t="shared" si="957"/>
        <v>14:44:42.155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343</v>
      </c>
      <c r="CR2029">
        <v>1</v>
      </c>
      <c r="CW2029">
        <v>10738205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 t="shared" ref="A2030:A2038" si="958">"05/12/2020 14:44:25.373"</f>
        <v>05/12/2020 14:44:25.373</v>
      </c>
      <c r="C2030" t="str">
        <f t="shared" si="949"/>
        <v>FFDFD3C0</v>
      </c>
      <c r="D2030" t="s">
        <v>131</v>
      </c>
      <c r="E2030">
        <v>18</v>
      </c>
      <c r="F2030">
        <v>2018</v>
      </c>
      <c r="G2030" t="s">
        <v>161</v>
      </c>
      <c r="J2030" t="s">
        <v>133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ref="S2030:S2038" si="959">"14:44:43.188"</f>
        <v>14:44:43.188</v>
      </c>
      <c r="T2030" t="str">
        <f t="shared" ref="T2030:T2038" si="960">"14:44:43.088"</f>
        <v>14:44:43.088</v>
      </c>
      <c r="U2030" t="str">
        <f t="shared" si="942"/>
        <v>A9808D</v>
      </c>
      <c r="V2030">
        <v>0</v>
      </c>
      <c r="W2030">
        <v>0</v>
      </c>
      <c r="X2030">
        <v>1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0</v>
      </c>
      <c r="AI2030" t="s">
        <v>525</v>
      </c>
      <c r="AJ2030">
        <v>28.265505000000001</v>
      </c>
      <c r="AK2030" t="s">
        <v>526</v>
      </c>
      <c r="AL2030">
        <v>-82.349739</v>
      </c>
      <c r="AM2030">
        <v>100</v>
      </c>
      <c r="AN2030">
        <v>2000</v>
      </c>
      <c r="AO2030" t="s">
        <v>118</v>
      </c>
      <c r="AP2030">
        <v>82</v>
      </c>
      <c r="AQ2030">
        <v>-63</v>
      </c>
      <c r="AR2030">
        <v>384</v>
      </c>
      <c r="AZ2030">
        <v>1200</v>
      </c>
      <c r="BA2030">
        <v>1</v>
      </c>
      <c r="BB2030" t="str">
        <f t="shared" si="950"/>
        <v xml:space="preserve">N711JA  </v>
      </c>
      <c r="BC2030">
        <v>1</v>
      </c>
      <c r="BE2030">
        <v>0</v>
      </c>
      <c r="BF2030">
        <v>0</v>
      </c>
      <c r="BG2030">
        <v>0</v>
      </c>
      <c r="BH2030">
        <v>2100</v>
      </c>
      <c r="BI2030">
        <v>1</v>
      </c>
      <c r="BJ2030">
        <v>1</v>
      </c>
      <c r="BK2030">
        <v>0</v>
      </c>
      <c r="BL2030">
        <v>0</v>
      </c>
      <c r="BO2030">
        <v>0</v>
      </c>
      <c r="BP2030">
        <v>0</v>
      </c>
      <c r="BW2030" t="str">
        <f t="shared" ref="BW2030:BW2038" si="961">"14:44:43.195"</f>
        <v>14:44:43.195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56</v>
      </c>
      <c r="CR2030">
        <v>2</v>
      </c>
      <c r="CW2030">
        <v>4802414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 t="shared" si="958"/>
        <v>05/12/2020 14:44:25.373</v>
      </c>
      <c r="C2031" t="str">
        <f t="shared" si="949"/>
        <v>FFDFD3C0</v>
      </c>
      <c r="D2031" t="s">
        <v>134</v>
      </c>
      <c r="E2031">
        <v>12</v>
      </c>
      <c r="H2031">
        <v>64</v>
      </c>
      <c r="I2031" t="s">
        <v>135</v>
      </c>
      <c r="J2031" t="s">
        <v>136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959"/>
        <v>14:44:43.188</v>
      </c>
      <c r="T2031" t="str">
        <f t="shared" si="960"/>
        <v>14:44:43.088</v>
      </c>
      <c r="U2031" t="str">
        <f t="shared" si="942"/>
        <v>A9808D</v>
      </c>
      <c r="V2031">
        <v>0</v>
      </c>
      <c r="W2031">
        <v>0</v>
      </c>
      <c r="X2031">
        <v>1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0</v>
      </c>
      <c r="AI2031" t="s">
        <v>525</v>
      </c>
      <c r="AJ2031">
        <v>28.265505000000001</v>
      </c>
      <c r="AK2031" t="s">
        <v>526</v>
      </c>
      <c r="AL2031">
        <v>-82.349739</v>
      </c>
      <c r="AM2031">
        <v>100</v>
      </c>
      <c r="AN2031">
        <v>2000</v>
      </c>
      <c r="AO2031" t="s">
        <v>118</v>
      </c>
      <c r="AP2031">
        <v>82</v>
      </c>
      <c r="AQ2031">
        <v>-63</v>
      </c>
      <c r="AR2031">
        <v>384</v>
      </c>
      <c r="AZ2031">
        <v>1200</v>
      </c>
      <c r="BA2031">
        <v>1</v>
      </c>
      <c r="BB2031" t="str">
        <f t="shared" si="950"/>
        <v xml:space="preserve">N711JA  </v>
      </c>
      <c r="BC2031">
        <v>1</v>
      </c>
      <c r="BE2031">
        <v>0</v>
      </c>
      <c r="BF2031">
        <v>0</v>
      </c>
      <c r="BG2031">
        <v>0</v>
      </c>
      <c r="BH2031">
        <v>2100</v>
      </c>
      <c r="BI2031">
        <v>1</v>
      </c>
      <c r="BJ2031">
        <v>1</v>
      </c>
      <c r="BK2031">
        <v>0</v>
      </c>
      <c r="BL2031">
        <v>0</v>
      </c>
      <c r="BO2031">
        <v>0</v>
      </c>
      <c r="BP2031">
        <v>0</v>
      </c>
      <c r="BW2031" t="str">
        <f t="shared" si="961"/>
        <v>14:44:43.195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343</v>
      </c>
      <c r="CR2031">
        <v>1</v>
      </c>
      <c r="CW2031">
        <v>10739287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 t="shared" si="958"/>
        <v>05/12/2020 14:44:25.373</v>
      </c>
      <c r="C2032" t="str">
        <f t="shared" si="949"/>
        <v>FFDFD3C0</v>
      </c>
      <c r="D2032" t="s">
        <v>113</v>
      </c>
      <c r="E2032">
        <v>3</v>
      </c>
      <c r="H2032">
        <v>164</v>
      </c>
      <c r="I2032" t="s">
        <v>114</v>
      </c>
      <c r="J2032" t="s">
        <v>115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959"/>
        <v>14:44:43.188</v>
      </c>
      <c r="T2032" t="str">
        <f t="shared" si="960"/>
        <v>14:44:43.088</v>
      </c>
      <c r="U2032" t="str">
        <f t="shared" si="942"/>
        <v>A9808D</v>
      </c>
      <c r="V2032">
        <v>0</v>
      </c>
      <c r="W2032">
        <v>0</v>
      </c>
      <c r="X2032">
        <v>1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0</v>
      </c>
      <c r="AI2032" t="s">
        <v>525</v>
      </c>
      <c r="AJ2032">
        <v>28.265505000000001</v>
      </c>
      <c r="AK2032" t="s">
        <v>526</v>
      </c>
      <c r="AL2032">
        <v>-82.349739</v>
      </c>
      <c r="AM2032">
        <v>100</v>
      </c>
      <c r="AN2032">
        <v>2000</v>
      </c>
      <c r="AO2032" t="s">
        <v>118</v>
      </c>
      <c r="AP2032">
        <v>82</v>
      </c>
      <c r="AQ2032">
        <v>-63</v>
      </c>
      <c r="AR2032">
        <v>384</v>
      </c>
      <c r="AZ2032">
        <v>1200</v>
      </c>
      <c r="BA2032">
        <v>1</v>
      </c>
      <c r="BB2032" t="str">
        <f t="shared" si="950"/>
        <v xml:space="preserve">N711JA  </v>
      </c>
      <c r="BC2032">
        <v>1</v>
      </c>
      <c r="BE2032">
        <v>0</v>
      </c>
      <c r="BF2032">
        <v>0</v>
      </c>
      <c r="BG2032">
        <v>0</v>
      </c>
      <c r="BH2032">
        <v>2100</v>
      </c>
      <c r="BI2032">
        <v>1</v>
      </c>
      <c r="BJ2032">
        <v>1</v>
      </c>
      <c r="BK2032">
        <v>0</v>
      </c>
      <c r="BL2032">
        <v>0</v>
      </c>
      <c r="BO2032">
        <v>0</v>
      </c>
      <c r="BP2032">
        <v>0</v>
      </c>
      <c r="BW2032" t="str">
        <f t="shared" si="961"/>
        <v>14:44:43.195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56</v>
      </c>
      <c r="CR2032">
        <v>2</v>
      </c>
      <c r="CW2032">
        <v>4802414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 t="shared" si="958"/>
        <v>05/12/2020 14:44:25.373</v>
      </c>
      <c r="C2033" t="str">
        <f t="shared" si="949"/>
        <v>FFDFD3C0</v>
      </c>
      <c r="D2033" t="s">
        <v>138</v>
      </c>
      <c r="E2033">
        <v>2</v>
      </c>
      <c r="H2033">
        <v>8</v>
      </c>
      <c r="I2033" t="s">
        <v>139</v>
      </c>
      <c r="J2033" t="s">
        <v>136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959"/>
        <v>14:44:43.188</v>
      </c>
      <c r="T2033" t="str">
        <f t="shared" si="960"/>
        <v>14:44:43.088</v>
      </c>
      <c r="U2033" t="str">
        <f t="shared" si="942"/>
        <v>A9808D</v>
      </c>
      <c r="V2033">
        <v>0</v>
      </c>
      <c r="W2033">
        <v>0</v>
      </c>
      <c r="X2033">
        <v>1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0</v>
      </c>
      <c r="AI2033" t="s">
        <v>525</v>
      </c>
      <c r="AJ2033">
        <v>28.265505000000001</v>
      </c>
      <c r="AK2033" t="s">
        <v>526</v>
      </c>
      <c r="AL2033">
        <v>-82.349739</v>
      </c>
      <c r="AM2033">
        <v>100</v>
      </c>
      <c r="AN2033">
        <v>2000</v>
      </c>
      <c r="AO2033" t="s">
        <v>118</v>
      </c>
      <c r="AP2033">
        <v>82</v>
      </c>
      <c r="AQ2033">
        <v>-63</v>
      </c>
      <c r="AR2033">
        <v>384</v>
      </c>
      <c r="AZ2033">
        <v>1200</v>
      </c>
      <c r="BA2033">
        <v>1</v>
      </c>
      <c r="BB2033" t="str">
        <f t="shared" si="950"/>
        <v xml:space="preserve">N711JA  </v>
      </c>
      <c r="BC2033">
        <v>1</v>
      </c>
      <c r="BE2033">
        <v>0</v>
      </c>
      <c r="BF2033">
        <v>0</v>
      </c>
      <c r="BG2033">
        <v>0</v>
      </c>
      <c r="BH2033">
        <v>2100</v>
      </c>
      <c r="BI2033">
        <v>1</v>
      </c>
      <c r="BJ2033">
        <v>1</v>
      </c>
      <c r="BK2033">
        <v>0</v>
      </c>
      <c r="BL2033">
        <v>0</v>
      </c>
      <c r="BO2033">
        <v>0</v>
      </c>
      <c r="BP2033">
        <v>0</v>
      </c>
      <c r="BW2033" t="str">
        <f t="shared" si="961"/>
        <v>14:44:43.195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56</v>
      </c>
      <c r="CR2033">
        <v>2</v>
      </c>
      <c r="CW2033">
        <v>4802414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 t="shared" si="958"/>
        <v>05/12/2020 14:44:25.373</v>
      </c>
      <c r="C2034" t="str">
        <f t="shared" si="949"/>
        <v>FFDFD3C0</v>
      </c>
      <c r="D2034" t="s">
        <v>126</v>
      </c>
      <c r="E2034">
        <v>6</v>
      </c>
      <c r="F2034">
        <v>1006</v>
      </c>
      <c r="G2034" t="s">
        <v>114</v>
      </c>
      <c r="J2034" t="s">
        <v>128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959"/>
        <v>14:44:43.188</v>
      </c>
      <c r="T2034" t="str">
        <f t="shared" si="960"/>
        <v>14:44:43.088</v>
      </c>
      <c r="U2034" t="str">
        <f t="shared" si="942"/>
        <v>A9808D</v>
      </c>
      <c r="V2034">
        <v>0</v>
      </c>
      <c r="W2034">
        <v>0</v>
      </c>
      <c r="X2034">
        <v>1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0</v>
      </c>
      <c r="AI2034" t="s">
        <v>525</v>
      </c>
      <c r="AJ2034">
        <v>28.265505000000001</v>
      </c>
      <c r="AK2034" t="s">
        <v>526</v>
      </c>
      <c r="AL2034">
        <v>-82.349739</v>
      </c>
      <c r="AM2034">
        <v>100</v>
      </c>
      <c r="AN2034">
        <v>2000</v>
      </c>
      <c r="AO2034" t="s">
        <v>118</v>
      </c>
      <c r="AP2034">
        <v>82</v>
      </c>
      <c r="AQ2034">
        <v>-63</v>
      </c>
      <c r="AR2034">
        <v>384</v>
      </c>
      <c r="AZ2034">
        <v>1200</v>
      </c>
      <c r="BA2034">
        <v>1</v>
      </c>
      <c r="BB2034" t="str">
        <f t="shared" si="950"/>
        <v xml:space="preserve">N711JA  </v>
      </c>
      <c r="BC2034">
        <v>1</v>
      </c>
      <c r="BE2034">
        <v>0</v>
      </c>
      <c r="BF2034">
        <v>0</v>
      </c>
      <c r="BG2034">
        <v>0</v>
      </c>
      <c r="BH2034">
        <v>2100</v>
      </c>
      <c r="BI2034">
        <v>1</v>
      </c>
      <c r="BJ2034">
        <v>1</v>
      </c>
      <c r="BK2034">
        <v>0</v>
      </c>
      <c r="BL2034">
        <v>0</v>
      </c>
      <c r="BO2034">
        <v>0</v>
      </c>
      <c r="BP2034">
        <v>0</v>
      </c>
      <c r="BW2034" t="str">
        <f t="shared" si="961"/>
        <v>14:44:43.195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56</v>
      </c>
      <c r="CR2034">
        <v>2</v>
      </c>
      <c r="CW2034">
        <v>4802414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 t="shared" si="958"/>
        <v>05/12/2020 14:44:25.373</v>
      </c>
      <c r="C2035" t="str">
        <f t="shared" si="949"/>
        <v>FFDFD3C0</v>
      </c>
      <c r="D2035" t="s">
        <v>131</v>
      </c>
      <c r="E2035">
        <v>10</v>
      </c>
      <c r="F2035">
        <v>2010</v>
      </c>
      <c r="G2035" t="s">
        <v>132</v>
      </c>
      <c r="J2035" t="s">
        <v>133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959"/>
        <v>14:44:43.188</v>
      </c>
      <c r="T2035" t="str">
        <f t="shared" si="960"/>
        <v>14:44:43.088</v>
      </c>
      <c r="U2035" t="str">
        <f t="shared" si="942"/>
        <v>A9808D</v>
      </c>
      <c r="V2035">
        <v>0</v>
      </c>
      <c r="W2035">
        <v>0</v>
      </c>
      <c r="X2035">
        <v>1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0</v>
      </c>
      <c r="AI2035" t="s">
        <v>525</v>
      </c>
      <c r="AJ2035">
        <v>28.265505000000001</v>
      </c>
      <c r="AK2035" t="s">
        <v>526</v>
      </c>
      <c r="AL2035">
        <v>-82.349739</v>
      </c>
      <c r="AM2035">
        <v>100</v>
      </c>
      <c r="AN2035">
        <v>2000</v>
      </c>
      <c r="AO2035" t="s">
        <v>118</v>
      </c>
      <c r="AP2035">
        <v>82</v>
      </c>
      <c r="AQ2035">
        <v>-63</v>
      </c>
      <c r="AR2035">
        <v>384</v>
      </c>
      <c r="AZ2035">
        <v>1200</v>
      </c>
      <c r="BA2035">
        <v>1</v>
      </c>
      <c r="BB2035" t="str">
        <f t="shared" si="950"/>
        <v xml:space="preserve">N711JA  </v>
      </c>
      <c r="BC2035">
        <v>1</v>
      </c>
      <c r="BE2035">
        <v>0</v>
      </c>
      <c r="BF2035">
        <v>0</v>
      </c>
      <c r="BG2035">
        <v>0</v>
      </c>
      <c r="BH2035">
        <v>2100</v>
      </c>
      <c r="BI2035">
        <v>1</v>
      </c>
      <c r="BJ2035">
        <v>1</v>
      </c>
      <c r="BK2035">
        <v>0</v>
      </c>
      <c r="BL2035">
        <v>0</v>
      </c>
      <c r="BO2035">
        <v>0</v>
      </c>
      <c r="BP2035">
        <v>0</v>
      </c>
      <c r="BW2035" t="str">
        <f t="shared" si="961"/>
        <v>14:44:43.195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56</v>
      </c>
      <c r="CR2035">
        <v>2</v>
      </c>
      <c r="CW2035">
        <v>4802414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 t="shared" si="958"/>
        <v>05/12/2020 14:44:25.373</v>
      </c>
      <c r="C2036" t="str">
        <f t="shared" si="949"/>
        <v>FFDFD3C0</v>
      </c>
      <c r="D2036" t="s">
        <v>126</v>
      </c>
      <c r="E2036">
        <v>7</v>
      </c>
      <c r="F2036">
        <v>1007</v>
      </c>
      <c r="G2036" t="s">
        <v>127</v>
      </c>
      <c r="J2036" t="s">
        <v>128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959"/>
        <v>14:44:43.188</v>
      </c>
      <c r="T2036" t="str">
        <f t="shared" si="960"/>
        <v>14:44:43.088</v>
      </c>
      <c r="U2036" t="str">
        <f t="shared" si="942"/>
        <v>A9808D</v>
      </c>
      <c r="V2036">
        <v>0</v>
      </c>
      <c r="W2036">
        <v>0</v>
      </c>
      <c r="X2036">
        <v>1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0</v>
      </c>
      <c r="AI2036" t="s">
        <v>525</v>
      </c>
      <c r="AJ2036">
        <v>28.265505000000001</v>
      </c>
      <c r="AK2036" t="s">
        <v>526</v>
      </c>
      <c r="AL2036">
        <v>-82.349739</v>
      </c>
      <c r="AM2036">
        <v>100</v>
      </c>
      <c r="AN2036">
        <v>2000</v>
      </c>
      <c r="AO2036" t="s">
        <v>118</v>
      </c>
      <c r="AP2036">
        <v>82</v>
      </c>
      <c r="AQ2036">
        <v>-63</v>
      </c>
      <c r="AR2036">
        <v>384</v>
      </c>
      <c r="AZ2036">
        <v>1200</v>
      </c>
      <c r="BA2036">
        <v>1</v>
      </c>
      <c r="BB2036" t="str">
        <f t="shared" si="950"/>
        <v xml:space="preserve">N711JA  </v>
      </c>
      <c r="BC2036">
        <v>1</v>
      </c>
      <c r="BE2036">
        <v>0</v>
      </c>
      <c r="BF2036">
        <v>0</v>
      </c>
      <c r="BG2036">
        <v>0</v>
      </c>
      <c r="BH2036">
        <v>2100</v>
      </c>
      <c r="BI2036">
        <v>1</v>
      </c>
      <c r="BJ2036">
        <v>1</v>
      </c>
      <c r="BK2036">
        <v>0</v>
      </c>
      <c r="BL2036">
        <v>0</v>
      </c>
      <c r="BO2036">
        <v>0</v>
      </c>
      <c r="BP2036">
        <v>0</v>
      </c>
      <c r="BW2036" t="str">
        <f t="shared" si="961"/>
        <v>14:44:43.195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56</v>
      </c>
      <c r="CR2036">
        <v>2</v>
      </c>
      <c r="CW2036">
        <v>4802414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 t="shared" si="958"/>
        <v>05/12/2020 14:44:25.373</v>
      </c>
      <c r="C2037" t="str">
        <f t="shared" si="949"/>
        <v>FFDFD3C0</v>
      </c>
      <c r="D2037" t="s">
        <v>138</v>
      </c>
      <c r="E2037">
        <v>3</v>
      </c>
      <c r="H2037">
        <v>9</v>
      </c>
      <c r="I2037" t="s">
        <v>140</v>
      </c>
      <c r="J2037" t="s">
        <v>136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959"/>
        <v>14:44:43.188</v>
      </c>
      <c r="T2037" t="str">
        <f t="shared" si="960"/>
        <v>14:44:43.088</v>
      </c>
      <c r="U2037" t="str">
        <f t="shared" si="942"/>
        <v>A9808D</v>
      </c>
      <c r="V2037">
        <v>0</v>
      </c>
      <c r="W2037">
        <v>0</v>
      </c>
      <c r="X2037">
        <v>1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0</v>
      </c>
      <c r="AI2037" t="s">
        <v>525</v>
      </c>
      <c r="AJ2037">
        <v>28.265505000000001</v>
      </c>
      <c r="AK2037" t="s">
        <v>526</v>
      </c>
      <c r="AL2037">
        <v>-82.349739</v>
      </c>
      <c r="AM2037">
        <v>100</v>
      </c>
      <c r="AN2037">
        <v>2000</v>
      </c>
      <c r="AO2037" t="s">
        <v>118</v>
      </c>
      <c r="AP2037">
        <v>82</v>
      </c>
      <c r="AQ2037">
        <v>-63</v>
      </c>
      <c r="AR2037">
        <v>384</v>
      </c>
      <c r="AZ2037">
        <v>1200</v>
      </c>
      <c r="BA2037">
        <v>1</v>
      </c>
      <c r="BB2037" t="str">
        <f t="shared" si="950"/>
        <v xml:space="preserve">N711JA  </v>
      </c>
      <c r="BC2037">
        <v>1</v>
      </c>
      <c r="BE2037">
        <v>0</v>
      </c>
      <c r="BF2037">
        <v>0</v>
      </c>
      <c r="BG2037">
        <v>0</v>
      </c>
      <c r="BH2037">
        <v>2100</v>
      </c>
      <c r="BI2037">
        <v>1</v>
      </c>
      <c r="BJ2037">
        <v>1</v>
      </c>
      <c r="BK2037">
        <v>0</v>
      </c>
      <c r="BL2037">
        <v>0</v>
      </c>
      <c r="BO2037">
        <v>0</v>
      </c>
      <c r="BP2037">
        <v>0</v>
      </c>
      <c r="BW2037" t="str">
        <f t="shared" si="961"/>
        <v>14:44:43.195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56</v>
      </c>
      <c r="CR2037">
        <v>2</v>
      </c>
      <c r="CW2037">
        <v>4802414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 t="shared" si="958"/>
        <v>05/12/2020 14:44:25.373</v>
      </c>
      <c r="C2038" t="str">
        <f t="shared" si="949"/>
        <v>FFDFD3C0</v>
      </c>
      <c r="D2038" t="s">
        <v>131</v>
      </c>
      <c r="E2038">
        <v>12</v>
      </c>
      <c r="F2038">
        <v>2012</v>
      </c>
      <c r="G2038" t="s">
        <v>137</v>
      </c>
      <c r="J2038" t="s">
        <v>133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959"/>
        <v>14:44:43.188</v>
      </c>
      <c r="T2038" t="str">
        <f t="shared" si="960"/>
        <v>14:44:43.088</v>
      </c>
      <c r="U2038" t="str">
        <f t="shared" si="942"/>
        <v>A9808D</v>
      </c>
      <c r="V2038">
        <v>0</v>
      </c>
      <c r="W2038">
        <v>0</v>
      </c>
      <c r="X2038">
        <v>1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0</v>
      </c>
      <c r="AI2038" t="s">
        <v>525</v>
      </c>
      <c r="AJ2038">
        <v>28.265505000000001</v>
      </c>
      <c r="AK2038" t="s">
        <v>526</v>
      </c>
      <c r="AL2038">
        <v>-82.349739</v>
      </c>
      <c r="AM2038">
        <v>100</v>
      </c>
      <c r="AN2038">
        <v>2000</v>
      </c>
      <c r="AO2038" t="s">
        <v>118</v>
      </c>
      <c r="AP2038">
        <v>82</v>
      </c>
      <c r="AQ2038">
        <v>-63</v>
      </c>
      <c r="AR2038">
        <v>384</v>
      </c>
      <c r="AZ2038">
        <v>1200</v>
      </c>
      <c r="BA2038">
        <v>1</v>
      </c>
      <c r="BB2038" t="str">
        <f t="shared" si="950"/>
        <v xml:space="preserve">N711JA  </v>
      </c>
      <c r="BC2038">
        <v>1</v>
      </c>
      <c r="BE2038">
        <v>0</v>
      </c>
      <c r="BF2038">
        <v>0</v>
      </c>
      <c r="BG2038">
        <v>0</v>
      </c>
      <c r="BH2038">
        <v>2100</v>
      </c>
      <c r="BI2038">
        <v>1</v>
      </c>
      <c r="BJ2038">
        <v>1</v>
      </c>
      <c r="BK2038">
        <v>0</v>
      </c>
      <c r="BL2038">
        <v>0</v>
      </c>
      <c r="BO2038">
        <v>0</v>
      </c>
      <c r="BP2038">
        <v>0</v>
      </c>
      <c r="BW2038" t="str">
        <f t="shared" si="961"/>
        <v>14:44:43.195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56</v>
      </c>
      <c r="CR2038">
        <v>2</v>
      </c>
      <c r="CW2038">
        <v>4802414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 t="shared" ref="A2039:A2047" si="962">"05/12/2020 14:44:26.338"</f>
        <v>05/12/2020 14:44:26.338</v>
      </c>
      <c r="C2039" t="str">
        <f t="shared" si="949"/>
        <v>FFDFD3C0</v>
      </c>
      <c r="D2039" t="s">
        <v>134</v>
      </c>
      <c r="E2039">
        <v>12</v>
      </c>
      <c r="H2039">
        <v>64</v>
      </c>
      <c r="I2039" t="s">
        <v>135</v>
      </c>
      <c r="J2039" t="s">
        <v>136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ref="S2039:T2047" si="963">"14:44:44.164"</f>
        <v>14:44:44.164</v>
      </c>
      <c r="T2039" t="str">
        <f t="shared" si="963"/>
        <v>14:44:44.164</v>
      </c>
      <c r="U2039" t="str">
        <f t="shared" si="942"/>
        <v>A9808D</v>
      </c>
      <c r="V2039">
        <v>0</v>
      </c>
      <c r="W2039">
        <v>0</v>
      </c>
      <c r="X2039">
        <v>1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0</v>
      </c>
      <c r="AI2039" t="s">
        <v>527</v>
      </c>
      <c r="AJ2039">
        <v>28.265225999999998</v>
      </c>
      <c r="AK2039" t="s">
        <v>528</v>
      </c>
      <c r="AL2039">
        <v>-82.349310000000003</v>
      </c>
      <c r="AM2039">
        <v>100</v>
      </c>
      <c r="AN2039">
        <v>2000</v>
      </c>
      <c r="AO2039" t="s">
        <v>118</v>
      </c>
      <c r="AP2039">
        <v>82</v>
      </c>
      <c r="AQ2039">
        <v>-63</v>
      </c>
      <c r="AR2039">
        <v>384</v>
      </c>
      <c r="AZ2039">
        <v>1200</v>
      </c>
      <c r="BA2039">
        <v>1</v>
      </c>
      <c r="BB2039" t="str">
        <f t="shared" si="950"/>
        <v xml:space="preserve">N711JA  </v>
      </c>
      <c r="BC2039">
        <v>1</v>
      </c>
      <c r="BE2039">
        <v>0</v>
      </c>
      <c r="BF2039">
        <v>0</v>
      </c>
      <c r="BG2039">
        <v>0</v>
      </c>
      <c r="BH2039">
        <v>2100</v>
      </c>
      <c r="BI2039">
        <v>1</v>
      </c>
      <c r="BJ2039">
        <v>1</v>
      </c>
      <c r="BK2039">
        <v>0</v>
      </c>
      <c r="BL2039">
        <v>0</v>
      </c>
      <c r="BO2039">
        <v>0</v>
      </c>
      <c r="BP2039">
        <v>0</v>
      </c>
      <c r="BW2039" t="str">
        <f t="shared" ref="BW2039:BW2047" si="964">"14:44:44.167"</f>
        <v>14:44:44.167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343</v>
      </c>
      <c r="CR2039">
        <v>1</v>
      </c>
      <c r="CW2039">
        <v>10740276</v>
      </c>
      <c r="CY2039">
        <v>1</v>
      </c>
      <c r="CZ2039">
        <v>0</v>
      </c>
      <c r="DA2039">
        <v>0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 t="shared" si="962"/>
        <v>05/12/2020 14:44:26.338</v>
      </c>
      <c r="C2040" t="str">
        <f t="shared" si="949"/>
        <v>FFDFD3C0</v>
      </c>
      <c r="D2040" t="s">
        <v>113</v>
      </c>
      <c r="E2040">
        <v>3</v>
      </c>
      <c r="H2040">
        <v>164</v>
      </c>
      <c r="I2040" t="s">
        <v>114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963"/>
        <v>14:44:44.164</v>
      </c>
      <c r="T2040" t="str">
        <f t="shared" si="963"/>
        <v>14:44:44.164</v>
      </c>
      <c r="U2040" t="str">
        <f t="shared" si="942"/>
        <v>A9808D</v>
      </c>
      <c r="V2040">
        <v>0</v>
      </c>
      <c r="W2040">
        <v>0</v>
      </c>
      <c r="X2040">
        <v>1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0</v>
      </c>
      <c r="AI2040" t="s">
        <v>527</v>
      </c>
      <c r="AJ2040">
        <v>28.265225999999998</v>
      </c>
      <c r="AK2040" t="s">
        <v>528</v>
      </c>
      <c r="AL2040">
        <v>-82.349310000000003</v>
      </c>
      <c r="AM2040">
        <v>100</v>
      </c>
      <c r="AN2040">
        <v>2000</v>
      </c>
      <c r="AO2040" t="s">
        <v>118</v>
      </c>
      <c r="AP2040">
        <v>82</v>
      </c>
      <c r="AQ2040">
        <v>-63</v>
      </c>
      <c r="AR2040">
        <v>384</v>
      </c>
      <c r="AZ2040">
        <v>1200</v>
      </c>
      <c r="BA2040">
        <v>1</v>
      </c>
      <c r="BB2040" t="str">
        <f t="shared" si="950"/>
        <v xml:space="preserve">N711JA  </v>
      </c>
      <c r="BC2040">
        <v>1</v>
      </c>
      <c r="BE2040">
        <v>0</v>
      </c>
      <c r="BF2040">
        <v>0</v>
      </c>
      <c r="BG2040">
        <v>0</v>
      </c>
      <c r="BH2040">
        <v>2100</v>
      </c>
      <c r="BI2040">
        <v>1</v>
      </c>
      <c r="BJ2040">
        <v>1</v>
      </c>
      <c r="BK2040">
        <v>0</v>
      </c>
      <c r="BL2040">
        <v>0</v>
      </c>
      <c r="BO2040">
        <v>0</v>
      </c>
      <c r="BP2040">
        <v>0</v>
      </c>
      <c r="BW2040" t="str">
        <f t="shared" si="964"/>
        <v>14:44:44.167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56</v>
      </c>
      <c r="CR2040">
        <v>2</v>
      </c>
      <c r="CW2040">
        <v>4803588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 t="shared" si="962"/>
        <v>05/12/2020 14:44:26.338</v>
      </c>
      <c r="C2041" t="str">
        <f t="shared" si="949"/>
        <v>FFDFD3C0</v>
      </c>
      <c r="D2041" t="s">
        <v>126</v>
      </c>
      <c r="E2041">
        <v>7</v>
      </c>
      <c r="F2041">
        <v>1007</v>
      </c>
      <c r="G2041" t="s">
        <v>127</v>
      </c>
      <c r="J2041" t="s">
        <v>128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963"/>
        <v>14:44:44.164</v>
      </c>
      <c r="T2041" t="str">
        <f t="shared" si="963"/>
        <v>14:44:44.164</v>
      </c>
      <c r="U2041" t="str">
        <f t="shared" si="942"/>
        <v>A9808D</v>
      </c>
      <c r="V2041">
        <v>0</v>
      </c>
      <c r="W2041">
        <v>0</v>
      </c>
      <c r="X2041">
        <v>1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0</v>
      </c>
      <c r="AI2041" t="s">
        <v>527</v>
      </c>
      <c r="AJ2041">
        <v>28.265225999999998</v>
      </c>
      <c r="AK2041" t="s">
        <v>528</v>
      </c>
      <c r="AL2041">
        <v>-82.349310000000003</v>
      </c>
      <c r="AM2041">
        <v>100</v>
      </c>
      <c r="AN2041">
        <v>2000</v>
      </c>
      <c r="AO2041" t="s">
        <v>118</v>
      </c>
      <c r="AP2041">
        <v>82</v>
      </c>
      <c r="AQ2041">
        <v>-63</v>
      </c>
      <c r="AR2041">
        <v>384</v>
      </c>
      <c r="AZ2041">
        <v>1200</v>
      </c>
      <c r="BA2041">
        <v>1</v>
      </c>
      <c r="BB2041" t="str">
        <f t="shared" si="950"/>
        <v xml:space="preserve">N711JA  </v>
      </c>
      <c r="BC2041">
        <v>1</v>
      </c>
      <c r="BE2041">
        <v>0</v>
      </c>
      <c r="BF2041">
        <v>0</v>
      </c>
      <c r="BG2041">
        <v>0</v>
      </c>
      <c r="BH2041">
        <v>2100</v>
      </c>
      <c r="BI2041">
        <v>1</v>
      </c>
      <c r="BJ2041">
        <v>1</v>
      </c>
      <c r="BK2041">
        <v>0</v>
      </c>
      <c r="BL2041">
        <v>0</v>
      </c>
      <c r="BO2041">
        <v>0</v>
      </c>
      <c r="BP2041">
        <v>0</v>
      </c>
      <c r="BW2041" t="str">
        <f t="shared" si="964"/>
        <v>14:44:44.167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56</v>
      </c>
      <c r="CR2041">
        <v>2</v>
      </c>
      <c r="CW2041">
        <v>4803588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 t="shared" si="962"/>
        <v>05/12/2020 14:44:26.338</v>
      </c>
      <c r="C2042" t="str">
        <f t="shared" si="949"/>
        <v>FFDFD3C0</v>
      </c>
      <c r="D2042" t="s">
        <v>131</v>
      </c>
      <c r="E2042">
        <v>10</v>
      </c>
      <c r="F2042">
        <v>2010</v>
      </c>
      <c r="G2042" t="s">
        <v>132</v>
      </c>
      <c r="J2042" t="s">
        <v>133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963"/>
        <v>14:44:44.164</v>
      </c>
      <c r="T2042" t="str">
        <f t="shared" si="963"/>
        <v>14:44:44.164</v>
      </c>
      <c r="U2042" t="str">
        <f t="shared" si="942"/>
        <v>A9808D</v>
      </c>
      <c r="V2042">
        <v>0</v>
      </c>
      <c r="W2042">
        <v>0</v>
      </c>
      <c r="X2042">
        <v>1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0</v>
      </c>
      <c r="AI2042" t="s">
        <v>527</v>
      </c>
      <c r="AJ2042">
        <v>28.265225999999998</v>
      </c>
      <c r="AK2042" t="s">
        <v>528</v>
      </c>
      <c r="AL2042">
        <v>-82.349310000000003</v>
      </c>
      <c r="AM2042">
        <v>100</v>
      </c>
      <c r="AN2042">
        <v>2000</v>
      </c>
      <c r="AO2042" t="s">
        <v>118</v>
      </c>
      <c r="AP2042">
        <v>82</v>
      </c>
      <c r="AQ2042">
        <v>-63</v>
      </c>
      <c r="AR2042">
        <v>384</v>
      </c>
      <c r="AZ2042">
        <v>1200</v>
      </c>
      <c r="BA2042">
        <v>1</v>
      </c>
      <c r="BB2042" t="str">
        <f t="shared" si="950"/>
        <v xml:space="preserve">N711JA  </v>
      </c>
      <c r="BC2042">
        <v>1</v>
      </c>
      <c r="BE2042">
        <v>0</v>
      </c>
      <c r="BF2042">
        <v>0</v>
      </c>
      <c r="BG2042">
        <v>0</v>
      </c>
      <c r="BH2042">
        <v>2100</v>
      </c>
      <c r="BI2042">
        <v>1</v>
      </c>
      <c r="BJ2042">
        <v>1</v>
      </c>
      <c r="BK2042">
        <v>0</v>
      </c>
      <c r="BL2042">
        <v>0</v>
      </c>
      <c r="BO2042">
        <v>0</v>
      </c>
      <c r="BP2042">
        <v>0</v>
      </c>
      <c r="BW2042" t="str">
        <f t="shared" si="964"/>
        <v>14:44:44.167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56</v>
      </c>
      <c r="CR2042">
        <v>2</v>
      </c>
      <c r="CW2042">
        <v>4803588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 t="shared" si="962"/>
        <v>05/12/2020 14:44:26.338</v>
      </c>
      <c r="C2043" t="str">
        <f t="shared" si="949"/>
        <v>FFDFD3C0</v>
      </c>
      <c r="D2043" t="s">
        <v>126</v>
      </c>
      <c r="E2043">
        <v>6</v>
      </c>
      <c r="F2043">
        <v>1006</v>
      </c>
      <c r="G2043" t="s">
        <v>114</v>
      </c>
      <c r="J2043" t="s">
        <v>128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963"/>
        <v>14:44:44.164</v>
      </c>
      <c r="T2043" t="str">
        <f t="shared" si="963"/>
        <v>14:44:44.164</v>
      </c>
      <c r="U2043" t="str">
        <f t="shared" si="942"/>
        <v>A9808D</v>
      </c>
      <c r="V2043">
        <v>0</v>
      </c>
      <c r="W2043">
        <v>0</v>
      </c>
      <c r="X2043">
        <v>1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0</v>
      </c>
      <c r="AI2043" t="s">
        <v>527</v>
      </c>
      <c r="AJ2043">
        <v>28.265225999999998</v>
      </c>
      <c r="AK2043" t="s">
        <v>528</v>
      </c>
      <c r="AL2043">
        <v>-82.349310000000003</v>
      </c>
      <c r="AM2043">
        <v>100</v>
      </c>
      <c r="AN2043">
        <v>2000</v>
      </c>
      <c r="AO2043" t="s">
        <v>118</v>
      </c>
      <c r="AP2043">
        <v>82</v>
      </c>
      <c r="AQ2043">
        <v>-63</v>
      </c>
      <c r="AR2043">
        <v>384</v>
      </c>
      <c r="AZ2043">
        <v>1200</v>
      </c>
      <c r="BA2043">
        <v>1</v>
      </c>
      <c r="BB2043" t="str">
        <f t="shared" si="950"/>
        <v xml:space="preserve">N711JA  </v>
      </c>
      <c r="BC2043">
        <v>1</v>
      </c>
      <c r="BE2043">
        <v>0</v>
      </c>
      <c r="BF2043">
        <v>0</v>
      </c>
      <c r="BG2043">
        <v>0</v>
      </c>
      <c r="BH2043">
        <v>2100</v>
      </c>
      <c r="BI2043">
        <v>1</v>
      </c>
      <c r="BJ2043">
        <v>1</v>
      </c>
      <c r="BK2043">
        <v>0</v>
      </c>
      <c r="BL2043">
        <v>0</v>
      </c>
      <c r="BO2043">
        <v>0</v>
      </c>
      <c r="BP2043">
        <v>0</v>
      </c>
      <c r="BW2043" t="str">
        <f t="shared" si="964"/>
        <v>14:44:44.167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56</v>
      </c>
      <c r="CR2043">
        <v>2</v>
      </c>
      <c r="CW2043">
        <v>4803588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 t="shared" si="962"/>
        <v>05/12/2020 14:44:26.338</v>
      </c>
      <c r="C2044" t="str">
        <f t="shared" si="949"/>
        <v>FFDFD3C0</v>
      </c>
      <c r="D2044" t="s">
        <v>131</v>
      </c>
      <c r="E2044">
        <v>12</v>
      </c>
      <c r="F2044">
        <v>2012</v>
      </c>
      <c r="G2044" t="s">
        <v>137</v>
      </c>
      <c r="J2044" t="s">
        <v>133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963"/>
        <v>14:44:44.164</v>
      </c>
      <c r="T2044" t="str">
        <f t="shared" si="963"/>
        <v>14:44:44.164</v>
      </c>
      <c r="U2044" t="str">
        <f t="shared" si="942"/>
        <v>A9808D</v>
      </c>
      <c r="V2044">
        <v>0</v>
      </c>
      <c r="W2044">
        <v>0</v>
      </c>
      <c r="X2044">
        <v>1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0</v>
      </c>
      <c r="AI2044" t="s">
        <v>527</v>
      </c>
      <c r="AJ2044">
        <v>28.265225999999998</v>
      </c>
      <c r="AK2044" t="s">
        <v>528</v>
      </c>
      <c r="AL2044">
        <v>-82.349310000000003</v>
      </c>
      <c r="AM2044">
        <v>100</v>
      </c>
      <c r="AN2044">
        <v>2000</v>
      </c>
      <c r="AO2044" t="s">
        <v>118</v>
      </c>
      <c r="AP2044">
        <v>82</v>
      </c>
      <c r="AQ2044">
        <v>-63</v>
      </c>
      <c r="AR2044">
        <v>384</v>
      </c>
      <c r="AZ2044">
        <v>1200</v>
      </c>
      <c r="BA2044">
        <v>1</v>
      </c>
      <c r="BB2044" t="str">
        <f t="shared" si="950"/>
        <v xml:space="preserve">N711JA  </v>
      </c>
      <c r="BC2044">
        <v>1</v>
      </c>
      <c r="BE2044">
        <v>0</v>
      </c>
      <c r="BF2044">
        <v>0</v>
      </c>
      <c r="BG2044">
        <v>0</v>
      </c>
      <c r="BH2044">
        <v>2100</v>
      </c>
      <c r="BI2044">
        <v>1</v>
      </c>
      <c r="BJ2044">
        <v>1</v>
      </c>
      <c r="BK2044">
        <v>0</v>
      </c>
      <c r="BL2044">
        <v>0</v>
      </c>
      <c r="BO2044">
        <v>0</v>
      </c>
      <c r="BP2044">
        <v>0</v>
      </c>
      <c r="BW2044" t="str">
        <f t="shared" si="964"/>
        <v>14:44:44.167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56</v>
      </c>
      <c r="CR2044">
        <v>2</v>
      </c>
      <c r="CW2044">
        <v>4803588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 t="shared" si="962"/>
        <v>05/12/2020 14:44:26.338</v>
      </c>
      <c r="C2045" t="str">
        <f t="shared" si="949"/>
        <v>FFDFD3C0</v>
      </c>
      <c r="D2045" t="s">
        <v>138</v>
      </c>
      <c r="E2045">
        <v>2</v>
      </c>
      <c r="H2045">
        <v>8</v>
      </c>
      <c r="I2045" t="s">
        <v>139</v>
      </c>
      <c r="J2045" t="s">
        <v>136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963"/>
        <v>14:44:44.164</v>
      </c>
      <c r="T2045" t="str">
        <f t="shared" si="963"/>
        <v>14:44:44.164</v>
      </c>
      <c r="U2045" t="str">
        <f t="shared" si="942"/>
        <v>A9808D</v>
      </c>
      <c r="V2045">
        <v>0</v>
      </c>
      <c r="W2045">
        <v>0</v>
      </c>
      <c r="X2045">
        <v>1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0</v>
      </c>
      <c r="AI2045" t="s">
        <v>527</v>
      </c>
      <c r="AJ2045">
        <v>28.265225999999998</v>
      </c>
      <c r="AK2045" t="s">
        <v>528</v>
      </c>
      <c r="AL2045">
        <v>-82.349310000000003</v>
      </c>
      <c r="AM2045">
        <v>100</v>
      </c>
      <c r="AN2045">
        <v>2000</v>
      </c>
      <c r="AO2045" t="s">
        <v>118</v>
      </c>
      <c r="AP2045">
        <v>82</v>
      </c>
      <c r="AQ2045">
        <v>-63</v>
      </c>
      <c r="AR2045">
        <v>384</v>
      </c>
      <c r="AZ2045">
        <v>1200</v>
      </c>
      <c r="BA2045">
        <v>1</v>
      </c>
      <c r="BB2045" t="str">
        <f t="shared" si="950"/>
        <v xml:space="preserve">N711JA  </v>
      </c>
      <c r="BC2045">
        <v>1</v>
      </c>
      <c r="BE2045">
        <v>0</v>
      </c>
      <c r="BF2045">
        <v>0</v>
      </c>
      <c r="BG2045">
        <v>0</v>
      </c>
      <c r="BH2045">
        <v>2100</v>
      </c>
      <c r="BI2045">
        <v>1</v>
      </c>
      <c r="BJ2045">
        <v>1</v>
      </c>
      <c r="BK2045">
        <v>0</v>
      </c>
      <c r="BL2045">
        <v>0</v>
      </c>
      <c r="BO2045">
        <v>0</v>
      </c>
      <c r="BP2045">
        <v>0</v>
      </c>
      <c r="BW2045" t="str">
        <f t="shared" si="964"/>
        <v>14:44:44.167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56</v>
      </c>
      <c r="CR2045">
        <v>2</v>
      </c>
      <c r="CW2045">
        <v>4803588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 t="shared" si="962"/>
        <v>05/12/2020 14:44:26.338</v>
      </c>
      <c r="C2046" t="str">
        <f t="shared" si="949"/>
        <v>FFDFD3C0</v>
      </c>
      <c r="D2046" t="s">
        <v>131</v>
      </c>
      <c r="E2046">
        <v>18</v>
      </c>
      <c r="F2046">
        <v>2018</v>
      </c>
      <c r="G2046" t="s">
        <v>161</v>
      </c>
      <c r="J2046" t="s">
        <v>133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963"/>
        <v>14:44:44.164</v>
      </c>
      <c r="T2046" t="str">
        <f t="shared" si="963"/>
        <v>14:44:44.164</v>
      </c>
      <c r="U2046" t="str">
        <f t="shared" si="942"/>
        <v>A9808D</v>
      </c>
      <c r="V2046">
        <v>0</v>
      </c>
      <c r="W2046">
        <v>0</v>
      </c>
      <c r="X2046">
        <v>1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0</v>
      </c>
      <c r="AI2046" t="s">
        <v>527</v>
      </c>
      <c r="AJ2046">
        <v>28.265225999999998</v>
      </c>
      <c r="AK2046" t="s">
        <v>528</v>
      </c>
      <c r="AL2046">
        <v>-82.349310000000003</v>
      </c>
      <c r="AM2046">
        <v>100</v>
      </c>
      <c r="AN2046">
        <v>2000</v>
      </c>
      <c r="AO2046" t="s">
        <v>118</v>
      </c>
      <c r="AP2046">
        <v>82</v>
      </c>
      <c r="AQ2046">
        <v>-63</v>
      </c>
      <c r="AR2046">
        <v>384</v>
      </c>
      <c r="AZ2046">
        <v>1200</v>
      </c>
      <c r="BA2046">
        <v>1</v>
      </c>
      <c r="BB2046" t="str">
        <f t="shared" si="950"/>
        <v xml:space="preserve">N711JA  </v>
      </c>
      <c r="BC2046">
        <v>1</v>
      </c>
      <c r="BE2046">
        <v>0</v>
      </c>
      <c r="BF2046">
        <v>0</v>
      </c>
      <c r="BG2046">
        <v>0</v>
      </c>
      <c r="BH2046">
        <v>2100</v>
      </c>
      <c r="BI2046">
        <v>1</v>
      </c>
      <c r="BJ2046">
        <v>1</v>
      </c>
      <c r="BK2046">
        <v>0</v>
      </c>
      <c r="BL2046">
        <v>0</v>
      </c>
      <c r="BO2046">
        <v>0</v>
      </c>
      <c r="BP2046">
        <v>0</v>
      </c>
      <c r="BW2046" t="str">
        <f t="shared" si="964"/>
        <v>14:44:44.167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56</v>
      </c>
      <c r="CR2046">
        <v>2</v>
      </c>
      <c r="CW2046">
        <v>4803588</v>
      </c>
      <c r="CY2046">
        <v>1</v>
      </c>
      <c r="CZ2046">
        <v>0</v>
      </c>
      <c r="DA2046">
        <v>1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 t="shared" si="962"/>
        <v>05/12/2020 14:44:26.338</v>
      </c>
      <c r="C2047" t="str">
        <f t="shared" si="949"/>
        <v>FFDFD3C0</v>
      </c>
      <c r="D2047" t="s">
        <v>138</v>
      </c>
      <c r="E2047">
        <v>3</v>
      </c>
      <c r="H2047">
        <v>9</v>
      </c>
      <c r="I2047" t="s">
        <v>140</v>
      </c>
      <c r="J2047" t="s">
        <v>136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963"/>
        <v>14:44:44.164</v>
      </c>
      <c r="T2047" t="str">
        <f t="shared" si="963"/>
        <v>14:44:44.164</v>
      </c>
      <c r="U2047" t="str">
        <f t="shared" si="942"/>
        <v>A9808D</v>
      </c>
      <c r="V2047">
        <v>0</v>
      </c>
      <c r="W2047">
        <v>0</v>
      </c>
      <c r="X2047">
        <v>1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0</v>
      </c>
      <c r="AI2047" t="s">
        <v>527</v>
      </c>
      <c r="AJ2047">
        <v>28.265225999999998</v>
      </c>
      <c r="AK2047" t="s">
        <v>528</v>
      </c>
      <c r="AL2047">
        <v>-82.349310000000003</v>
      </c>
      <c r="AM2047">
        <v>100</v>
      </c>
      <c r="AN2047">
        <v>2000</v>
      </c>
      <c r="AO2047" t="s">
        <v>118</v>
      </c>
      <c r="AP2047">
        <v>82</v>
      </c>
      <c r="AQ2047">
        <v>-63</v>
      </c>
      <c r="AR2047">
        <v>384</v>
      </c>
      <c r="AZ2047">
        <v>1200</v>
      </c>
      <c r="BA2047">
        <v>1</v>
      </c>
      <c r="BB2047" t="str">
        <f t="shared" si="950"/>
        <v xml:space="preserve">N711JA  </v>
      </c>
      <c r="BC2047">
        <v>1</v>
      </c>
      <c r="BE2047">
        <v>0</v>
      </c>
      <c r="BF2047">
        <v>0</v>
      </c>
      <c r="BG2047">
        <v>0</v>
      </c>
      <c r="BH2047">
        <v>2100</v>
      </c>
      <c r="BI2047">
        <v>1</v>
      </c>
      <c r="BJ2047">
        <v>1</v>
      </c>
      <c r="BK2047">
        <v>0</v>
      </c>
      <c r="BL2047">
        <v>0</v>
      </c>
      <c r="BO2047">
        <v>0</v>
      </c>
      <c r="BP2047">
        <v>0</v>
      </c>
      <c r="BW2047" t="str">
        <f t="shared" si="964"/>
        <v>14:44:44.167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56</v>
      </c>
      <c r="CR2047">
        <v>2</v>
      </c>
      <c r="CW2047">
        <v>4803588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 t="shared" ref="A2048:A2056" si="965">"05/12/2020 14:44:27.404"</f>
        <v>05/12/2020 14:44:27.404</v>
      </c>
      <c r="C2048" t="str">
        <f t="shared" si="949"/>
        <v>FFDFD3C0</v>
      </c>
      <c r="D2048" t="s">
        <v>113</v>
      </c>
      <c r="E2048">
        <v>3</v>
      </c>
      <c r="H2048">
        <v>164</v>
      </c>
      <c r="I2048" t="s">
        <v>114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ref="S2048:S2056" si="966">"14:44:45.250"</f>
        <v>14:44:45.250</v>
      </c>
      <c r="T2048" t="str">
        <f t="shared" ref="T2048:T2056" si="967">"14:44:45.050"</f>
        <v>14:44:45.050</v>
      </c>
      <c r="U2048" t="str">
        <f t="shared" si="942"/>
        <v>A9808D</v>
      </c>
      <c r="V2048">
        <v>0</v>
      </c>
      <c r="W2048">
        <v>0</v>
      </c>
      <c r="X2048">
        <v>1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0</v>
      </c>
      <c r="AI2048" t="s">
        <v>529</v>
      </c>
      <c r="AJ2048">
        <v>28.264883000000001</v>
      </c>
      <c r="AK2048" t="s">
        <v>530</v>
      </c>
      <c r="AL2048">
        <v>-82.348815999999999</v>
      </c>
      <c r="AM2048">
        <v>100</v>
      </c>
      <c r="AN2048">
        <v>2000</v>
      </c>
      <c r="AO2048" t="s">
        <v>118</v>
      </c>
      <c r="AP2048">
        <v>83</v>
      </c>
      <c r="AQ2048">
        <v>-62</v>
      </c>
      <c r="AR2048">
        <v>384</v>
      </c>
      <c r="AZ2048">
        <v>1200</v>
      </c>
      <c r="BA2048">
        <v>1</v>
      </c>
      <c r="BB2048" t="str">
        <f t="shared" si="950"/>
        <v xml:space="preserve">N711JA  </v>
      </c>
      <c r="BC2048">
        <v>1</v>
      </c>
      <c r="BE2048">
        <v>0</v>
      </c>
      <c r="BF2048">
        <v>0</v>
      </c>
      <c r="BG2048">
        <v>0</v>
      </c>
      <c r="BH2048">
        <v>2100</v>
      </c>
      <c r="BI2048">
        <v>1</v>
      </c>
      <c r="BJ2048">
        <v>1</v>
      </c>
      <c r="BK2048">
        <v>0</v>
      </c>
      <c r="BL2048">
        <v>0</v>
      </c>
      <c r="BO2048">
        <v>0</v>
      </c>
      <c r="BP2048">
        <v>0</v>
      </c>
      <c r="BW2048" t="str">
        <f t="shared" ref="BW2048:BW2056" si="968">"14:44:45.251"</f>
        <v>14:44:45.251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56</v>
      </c>
      <c r="CR2048">
        <v>2</v>
      </c>
      <c r="CW2048">
        <v>4804933</v>
      </c>
      <c r="CY2048">
        <v>1</v>
      </c>
      <c r="CZ2048">
        <v>0</v>
      </c>
      <c r="DA2048">
        <v>0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 t="shared" si="965"/>
        <v>05/12/2020 14:44:27.404</v>
      </c>
      <c r="C2049" t="str">
        <f t="shared" si="949"/>
        <v>FFDFD3C0</v>
      </c>
      <c r="D2049" t="s">
        <v>126</v>
      </c>
      <c r="E2049">
        <v>6</v>
      </c>
      <c r="F2049">
        <v>1006</v>
      </c>
      <c r="G2049" t="s">
        <v>114</v>
      </c>
      <c r="J2049" t="s">
        <v>128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966"/>
        <v>14:44:45.250</v>
      </c>
      <c r="T2049" t="str">
        <f t="shared" si="967"/>
        <v>14:44:45.050</v>
      </c>
      <c r="U2049" t="str">
        <f t="shared" si="942"/>
        <v>A9808D</v>
      </c>
      <c r="V2049">
        <v>0</v>
      </c>
      <c r="W2049">
        <v>0</v>
      </c>
      <c r="X2049">
        <v>1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0</v>
      </c>
      <c r="AI2049" t="s">
        <v>529</v>
      </c>
      <c r="AJ2049">
        <v>28.264883000000001</v>
      </c>
      <c r="AK2049" t="s">
        <v>530</v>
      </c>
      <c r="AL2049">
        <v>-82.348815999999999</v>
      </c>
      <c r="AM2049">
        <v>100</v>
      </c>
      <c r="AN2049">
        <v>2000</v>
      </c>
      <c r="AO2049" t="s">
        <v>118</v>
      </c>
      <c r="AP2049">
        <v>83</v>
      </c>
      <c r="AQ2049">
        <v>-62</v>
      </c>
      <c r="AR2049">
        <v>384</v>
      </c>
      <c r="AZ2049">
        <v>1200</v>
      </c>
      <c r="BA2049">
        <v>1</v>
      </c>
      <c r="BB2049" t="str">
        <f t="shared" si="950"/>
        <v xml:space="preserve">N711JA  </v>
      </c>
      <c r="BC2049">
        <v>1</v>
      </c>
      <c r="BE2049">
        <v>0</v>
      </c>
      <c r="BF2049">
        <v>0</v>
      </c>
      <c r="BG2049">
        <v>0</v>
      </c>
      <c r="BH2049">
        <v>2100</v>
      </c>
      <c r="BI2049">
        <v>1</v>
      </c>
      <c r="BJ2049">
        <v>1</v>
      </c>
      <c r="BK2049">
        <v>0</v>
      </c>
      <c r="BL2049">
        <v>0</v>
      </c>
      <c r="BO2049">
        <v>0</v>
      </c>
      <c r="BP2049">
        <v>0</v>
      </c>
      <c r="BW2049" t="str">
        <f t="shared" si="968"/>
        <v>14:44:45.251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56</v>
      </c>
      <c r="CR2049">
        <v>2</v>
      </c>
      <c r="CW2049">
        <v>4804933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 t="shared" si="965"/>
        <v>05/12/2020 14:44:27.404</v>
      </c>
      <c r="C2050" t="str">
        <f t="shared" si="949"/>
        <v>FFDFD3C0</v>
      </c>
      <c r="D2050" t="s">
        <v>131</v>
      </c>
      <c r="E2050">
        <v>10</v>
      </c>
      <c r="F2050">
        <v>2010</v>
      </c>
      <c r="G2050" t="s">
        <v>132</v>
      </c>
      <c r="J2050" t="s">
        <v>133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966"/>
        <v>14:44:45.250</v>
      </c>
      <c r="T2050" t="str">
        <f t="shared" si="967"/>
        <v>14:44:45.050</v>
      </c>
      <c r="U2050" t="str">
        <f t="shared" ref="U2050:U2113" si="969">"A9808D"</f>
        <v>A9808D</v>
      </c>
      <c r="V2050">
        <v>0</v>
      </c>
      <c r="W2050">
        <v>0</v>
      </c>
      <c r="X2050">
        <v>1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0</v>
      </c>
      <c r="AI2050" t="s">
        <v>529</v>
      </c>
      <c r="AJ2050">
        <v>28.264883000000001</v>
      </c>
      <c r="AK2050" t="s">
        <v>530</v>
      </c>
      <c r="AL2050">
        <v>-82.348815999999999</v>
      </c>
      <c r="AM2050">
        <v>100</v>
      </c>
      <c r="AN2050">
        <v>2000</v>
      </c>
      <c r="AO2050" t="s">
        <v>118</v>
      </c>
      <c r="AP2050">
        <v>83</v>
      </c>
      <c r="AQ2050">
        <v>-62</v>
      </c>
      <c r="AR2050">
        <v>384</v>
      </c>
      <c r="AZ2050">
        <v>1200</v>
      </c>
      <c r="BA2050">
        <v>1</v>
      </c>
      <c r="BB2050" t="str">
        <f t="shared" si="950"/>
        <v xml:space="preserve">N711JA  </v>
      </c>
      <c r="BC2050">
        <v>1</v>
      </c>
      <c r="BE2050">
        <v>0</v>
      </c>
      <c r="BF2050">
        <v>0</v>
      </c>
      <c r="BG2050">
        <v>0</v>
      </c>
      <c r="BH2050">
        <v>2100</v>
      </c>
      <c r="BI2050">
        <v>1</v>
      </c>
      <c r="BJ2050">
        <v>1</v>
      </c>
      <c r="BK2050">
        <v>0</v>
      </c>
      <c r="BL2050">
        <v>0</v>
      </c>
      <c r="BO2050">
        <v>0</v>
      </c>
      <c r="BP2050">
        <v>0</v>
      </c>
      <c r="BW2050" t="str">
        <f t="shared" si="968"/>
        <v>14:44:45.251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56</v>
      </c>
      <c r="CR2050">
        <v>2</v>
      </c>
      <c r="CW2050">
        <v>4804933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 t="shared" si="965"/>
        <v>05/12/2020 14:44:27.404</v>
      </c>
      <c r="C2051" t="str">
        <f t="shared" si="949"/>
        <v>FFDFD3C0</v>
      </c>
      <c r="D2051" t="s">
        <v>126</v>
      </c>
      <c r="E2051">
        <v>7</v>
      </c>
      <c r="F2051">
        <v>1007</v>
      </c>
      <c r="G2051" t="s">
        <v>127</v>
      </c>
      <c r="J2051" t="s">
        <v>128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966"/>
        <v>14:44:45.250</v>
      </c>
      <c r="T2051" t="str">
        <f t="shared" si="967"/>
        <v>14:44:45.050</v>
      </c>
      <c r="U2051" t="str">
        <f t="shared" si="969"/>
        <v>A9808D</v>
      </c>
      <c r="V2051">
        <v>0</v>
      </c>
      <c r="W2051">
        <v>0</v>
      </c>
      <c r="X2051">
        <v>1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0</v>
      </c>
      <c r="AI2051" t="s">
        <v>529</v>
      </c>
      <c r="AJ2051">
        <v>28.264883000000001</v>
      </c>
      <c r="AK2051" t="s">
        <v>530</v>
      </c>
      <c r="AL2051">
        <v>-82.348815999999999</v>
      </c>
      <c r="AM2051">
        <v>100</v>
      </c>
      <c r="AN2051">
        <v>2000</v>
      </c>
      <c r="AO2051" t="s">
        <v>118</v>
      </c>
      <c r="AP2051">
        <v>83</v>
      </c>
      <c r="AQ2051">
        <v>-62</v>
      </c>
      <c r="AR2051">
        <v>384</v>
      </c>
      <c r="AZ2051">
        <v>1200</v>
      </c>
      <c r="BA2051">
        <v>1</v>
      </c>
      <c r="BB2051" t="str">
        <f t="shared" si="950"/>
        <v xml:space="preserve">N711JA  </v>
      </c>
      <c r="BC2051">
        <v>1</v>
      </c>
      <c r="BE2051">
        <v>0</v>
      </c>
      <c r="BF2051">
        <v>0</v>
      </c>
      <c r="BG2051">
        <v>0</v>
      </c>
      <c r="BH2051">
        <v>2100</v>
      </c>
      <c r="BI2051">
        <v>1</v>
      </c>
      <c r="BJ2051">
        <v>1</v>
      </c>
      <c r="BK2051">
        <v>0</v>
      </c>
      <c r="BL2051">
        <v>0</v>
      </c>
      <c r="BO2051">
        <v>0</v>
      </c>
      <c r="BP2051">
        <v>0</v>
      </c>
      <c r="BW2051" t="str">
        <f t="shared" si="968"/>
        <v>14:44:45.251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56</v>
      </c>
      <c r="CR2051">
        <v>2</v>
      </c>
      <c r="CW2051">
        <v>4804933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 t="shared" si="965"/>
        <v>05/12/2020 14:44:27.404</v>
      </c>
      <c r="C2052" t="str">
        <f t="shared" si="949"/>
        <v>FFDFD3C0</v>
      </c>
      <c r="D2052" t="s">
        <v>131</v>
      </c>
      <c r="E2052">
        <v>12</v>
      </c>
      <c r="F2052">
        <v>2012</v>
      </c>
      <c r="G2052" t="s">
        <v>137</v>
      </c>
      <c r="J2052" t="s">
        <v>133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966"/>
        <v>14:44:45.250</v>
      </c>
      <c r="T2052" t="str">
        <f t="shared" si="967"/>
        <v>14:44:45.050</v>
      </c>
      <c r="U2052" t="str">
        <f t="shared" si="969"/>
        <v>A9808D</v>
      </c>
      <c r="V2052">
        <v>0</v>
      </c>
      <c r="W2052">
        <v>0</v>
      </c>
      <c r="X2052">
        <v>1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0</v>
      </c>
      <c r="AI2052" t="s">
        <v>529</v>
      </c>
      <c r="AJ2052">
        <v>28.264883000000001</v>
      </c>
      <c r="AK2052" t="s">
        <v>530</v>
      </c>
      <c r="AL2052">
        <v>-82.348815999999999</v>
      </c>
      <c r="AM2052">
        <v>100</v>
      </c>
      <c r="AN2052">
        <v>2000</v>
      </c>
      <c r="AO2052" t="s">
        <v>118</v>
      </c>
      <c r="AP2052">
        <v>83</v>
      </c>
      <c r="AQ2052">
        <v>-62</v>
      </c>
      <c r="AR2052">
        <v>384</v>
      </c>
      <c r="AZ2052">
        <v>1200</v>
      </c>
      <c r="BA2052">
        <v>1</v>
      </c>
      <c r="BB2052" t="str">
        <f t="shared" si="950"/>
        <v xml:space="preserve">N711JA  </v>
      </c>
      <c r="BC2052">
        <v>1</v>
      </c>
      <c r="BE2052">
        <v>0</v>
      </c>
      <c r="BF2052">
        <v>0</v>
      </c>
      <c r="BG2052">
        <v>0</v>
      </c>
      <c r="BH2052">
        <v>2100</v>
      </c>
      <c r="BI2052">
        <v>1</v>
      </c>
      <c r="BJ2052">
        <v>1</v>
      </c>
      <c r="BK2052">
        <v>0</v>
      </c>
      <c r="BL2052">
        <v>0</v>
      </c>
      <c r="BO2052">
        <v>0</v>
      </c>
      <c r="BP2052">
        <v>0</v>
      </c>
      <c r="BW2052" t="str">
        <f t="shared" si="968"/>
        <v>14:44:45.251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56</v>
      </c>
      <c r="CR2052">
        <v>2</v>
      </c>
      <c r="CW2052">
        <v>4804933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 t="shared" si="965"/>
        <v>05/12/2020 14:44:27.404</v>
      </c>
      <c r="C2053" t="str">
        <f t="shared" si="949"/>
        <v>FFDFD3C0</v>
      </c>
      <c r="D2053" t="s">
        <v>131</v>
      </c>
      <c r="E2053">
        <v>18</v>
      </c>
      <c r="F2053">
        <v>2018</v>
      </c>
      <c r="G2053" t="s">
        <v>161</v>
      </c>
      <c r="J2053" t="s">
        <v>133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966"/>
        <v>14:44:45.250</v>
      </c>
      <c r="T2053" t="str">
        <f t="shared" si="967"/>
        <v>14:44:45.050</v>
      </c>
      <c r="U2053" t="str">
        <f t="shared" si="969"/>
        <v>A9808D</v>
      </c>
      <c r="V2053">
        <v>0</v>
      </c>
      <c r="W2053">
        <v>0</v>
      </c>
      <c r="X2053">
        <v>1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0</v>
      </c>
      <c r="AI2053" t="s">
        <v>529</v>
      </c>
      <c r="AJ2053">
        <v>28.264883000000001</v>
      </c>
      <c r="AK2053" t="s">
        <v>530</v>
      </c>
      <c r="AL2053">
        <v>-82.348815999999999</v>
      </c>
      <c r="AM2053">
        <v>100</v>
      </c>
      <c r="AN2053">
        <v>2000</v>
      </c>
      <c r="AO2053" t="s">
        <v>118</v>
      </c>
      <c r="AP2053">
        <v>83</v>
      </c>
      <c r="AQ2053">
        <v>-62</v>
      </c>
      <c r="AR2053">
        <v>384</v>
      </c>
      <c r="AZ2053">
        <v>1200</v>
      </c>
      <c r="BA2053">
        <v>1</v>
      </c>
      <c r="BB2053" t="str">
        <f t="shared" si="950"/>
        <v xml:space="preserve">N711JA  </v>
      </c>
      <c r="BC2053">
        <v>1</v>
      </c>
      <c r="BE2053">
        <v>0</v>
      </c>
      <c r="BF2053">
        <v>0</v>
      </c>
      <c r="BG2053">
        <v>0</v>
      </c>
      <c r="BH2053">
        <v>2100</v>
      </c>
      <c r="BI2053">
        <v>1</v>
      </c>
      <c r="BJ2053">
        <v>1</v>
      </c>
      <c r="BK2053">
        <v>0</v>
      </c>
      <c r="BL2053">
        <v>0</v>
      </c>
      <c r="BO2053">
        <v>0</v>
      </c>
      <c r="BP2053">
        <v>0</v>
      </c>
      <c r="BW2053" t="str">
        <f t="shared" si="968"/>
        <v>14:44:45.251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56</v>
      </c>
      <c r="CR2053">
        <v>2</v>
      </c>
      <c r="CW2053">
        <v>4804933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 t="shared" si="965"/>
        <v>05/12/2020 14:44:27.404</v>
      </c>
      <c r="C2054" t="str">
        <f t="shared" si="949"/>
        <v>FFDFD3C0</v>
      </c>
      <c r="D2054" t="s">
        <v>138</v>
      </c>
      <c r="E2054">
        <v>2</v>
      </c>
      <c r="H2054">
        <v>8</v>
      </c>
      <c r="I2054" t="s">
        <v>139</v>
      </c>
      <c r="J2054" t="s">
        <v>136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966"/>
        <v>14:44:45.250</v>
      </c>
      <c r="T2054" t="str">
        <f t="shared" si="967"/>
        <v>14:44:45.050</v>
      </c>
      <c r="U2054" t="str">
        <f t="shared" si="969"/>
        <v>A9808D</v>
      </c>
      <c r="V2054">
        <v>0</v>
      </c>
      <c r="W2054">
        <v>0</v>
      </c>
      <c r="X2054">
        <v>1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0</v>
      </c>
      <c r="AI2054" t="s">
        <v>529</v>
      </c>
      <c r="AJ2054">
        <v>28.264883000000001</v>
      </c>
      <c r="AK2054" t="s">
        <v>530</v>
      </c>
      <c r="AL2054">
        <v>-82.348815999999999</v>
      </c>
      <c r="AM2054">
        <v>100</v>
      </c>
      <c r="AN2054">
        <v>2000</v>
      </c>
      <c r="AO2054" t="s">
        <v>118</v>
      </c>
      <c r="AP2054">
        <v>83</v>
      </c>
      <c r="AQ2054">
        <v>-62</v>
      </c>
      <c r="AR2054">
        <v>384</v>
      </c>
      <c r="AZ2054">
        <v>1200</v>
      </c>
      <c r="BA2054">
        <v>1</v>
      </c>
      <c r="BB2054" t="str">
        <f t="shared" si="950"/>
        <v xml:space="preserve">N711JA  </v>
      </c>
      <c r="BC2054">
        <v>1</v>
      </c>
      <c r="BE2054">
        <v>0</v>
      </c>
      <c r="BF2054">
        <v>0</v>
      </c>
      <c r="BG2054">
        <v>0</v>
      </c>
      <c r="BH2054">
        <v>2100</v>
      </c>
      <c r="BI2054">
        <v>1</v>
      </c>
      <c r="BJ2054">
        <v>1</v>
      </c>
      <c r="BK2054">
        <v>0</v>
      </c>
      <c r="BL2054">
        <v>0</v>
      </c>
      <c r="BO2054">
        <v>0</v>
      </c>
      <c r="BP2054">
        <v>0</v>
      </c>
      <c r="BW2054" t="str">
        <f t="shared" si="968"/>
        <v>14:44:45.251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56</v>
      </c>
      <c r="CR2054">
        <v>2</v>
      </c>
      <c r="CW2054">
        <v>4804933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 t="shared" si="965"/>
        <v>05/12/2020 14:44:27.404</v>
      </c>
      <c r="C2055" t="str">
        <f t="shared" si="949"/>
        <v>FFDFD3C0</v>
      </c>
      <c r="D2055" t="s">
        <v>138</v>
      </c>
      <c r="E2055">
        <v>3</v>
      </c>
      <c r="H2055">
        <v>9</v>
      </c>
      <c r="I2055" t="s">
        <v>140</v>
      </c>
      <c r="J2055" t="s">
        <v>136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966"/>
        <v>14:44:45.250</v>
      </c>
      <c r="T2055" t="str">
        <f t="shared" si="967"/>
        <v>14:44:45.050</v>
      </c>
      <c r="U2055" t="str">
        <f t="shared" si="969"/>
        <v>A9808D</v>
      </c>
      <c r="V2055">
        <v>0</v>
      </c>
      <c r="W2055">
        <v>0</v>
      </c>
      <c r="X2055">
        <v>1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0</v>
      </c>
      <c r="AI2055" t="s">
        <v>529</v>
      </c>
      <c r="AJ2055">
        <v>28.264883000000001</v>
      </c>
      <c r="AK2055" t="s">
        <v>530</v>
      </c>
      <c r="AL2055">
        <v>-82.348815999999999</v>
      </c>
      <c r="AM2055">
        <v>100</v>
      </c>
      <c r="AN2055">
        <v>2000</v>
      </c>
      <c r="AO2055" t="s">
        <v>118</v>
      </c>
      <c r="AP2055">
        <v>83</v>
      </c>
      <c r="AQ2055">
        <v>-62</v>
      </c>
      <c r="AR2055">
        <v>384</v>
      </c>
      <c r="AZ2055">
        <v>1200</v>
      </c>
      <c r="BA2055">
        <v>1</v>
      </c>
      <c r="BB2055" t="str">
        <f t="shared" si="950"/>
        <v xml:space="preserve">N711JA  </v>
      </c>
      <c r="BC2055">
        <v>1</v>
      </c>
      <c r="BE2055">
        <v>0</v>
      </c>
      <c r="BF2055">
        <v>0</v>
      </c>
      <c r="BG2055">
        <v>0</v>
      </c>
      <c r="BH2055">
        <v>2100</v>
      </c>
      <c r="BI2055">
        <v>1</v>
      </c>
      <c r="BJ2055">
        <v>1</v>
      </c>
      <c r="BK2055">
        <v>0</v>
      </c>
      <c r="BL2055">
        <v>0</v>
      </c>
      <c r="BO2055">
        <v>0</v>
      </c>
      <c r="BP2055">
        <v>0</v>
      </c>
      <c r="BW2055" t="str">
        <f t="shared" si="968"/>
        <v>14:44:45.251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56</v>
      </c>
      <c r="CR2055">
        <v>2</v>
      </c>
      <c r="CW2055">
        <v>4804933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 t="shared" si="965"/>
        <v>05/12/2020 14:44:27.404</v>
      </c>
      <c r="C2056" t="str">
        <f t="shared" si="949"/>
        <v>FFDFD3C0</v>
      </c>
      <c r="D2056" t="s">
        <v>134</v>
      </c>
      <c r="E2056">
        <v>12</v>
      </c>
      <c r="H2056">
        <v>64</v>
      </c>
      <c r="I2056" t="s">
        <v>135</v>
      </c>
      <c r="J2056" t="s">
        <v>136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966"/>
        <v>14:44:45.250</v>
      </c>
      <c r="T2056" t="str">
        <f t="shared" si="967"/>
        <v>14:44:45.050</v>
      </c>
      <c r="U2056" t="str">
        <f t="shared" si="969"/>
        <v>A9808D</v>
      </c>
      <c r="V2056">
        <v>0</v>
      </c>
      <c r="W2056">
        <v>0</v>
      </c>
      <c r="X2056">
        <v>1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0</v>
      </c>
      <c r="AI2056" t="s">
        <v>529</v>
      </c>
      <c r="AJ2056">
        <v>28.264883000000001</v>
      </c>
      <c r="AK2056" t="s">
        <v>530</v>
      </c>
      <c r="AL2056">
        <v>-82.348815999999999</v>
      </c>
      <c r="AM2056">
        <v>100</v>
      </c>
      <c r="AN2056">
        <v>2000</v>
      </c>
      <c r="AO2056" t="s">
        <v>118</v>
      </c>
      <c r="AP2056">
        <v>83</v>
      </c>
      <c r="AQ2056">
        <v>-62</v>
      </c>
      <c r="AR2056">
        <v>384</v>
      </c>
      <c r="AZ2056">
        <v>1200</v>
      </c>
      <c r="BA2056">
        <v>1</v>
      </c>
      <c r="BB2056" t="str">
        <f t="shared" si="950"/>
        <v xml:space="preserve">N711JA  </v>
      </c>
      <c r="BC2056">
        <v>1</v>
      </c>
      <c r="BE2056">
        <v>0</v>
      </c>
      <c r="BF2056">
        <v>0</v>
      </c>
      <c r="BG2056">
        <v>0</v>
      </c>
      <c r="BH2056">
        <v>2100</v>
      </c>
      <c r="BI2056">
        <v>1</v>
      </c>
      <c r="BJ2056">
        <v>1</v>
      </c>
      <c r="BK2056">
        <v>0</v>
      </c>
      <c r="BL2056">
        <v>0</v>
      </c>
      <c r="BO2056">
        <v>0</v>
      </c>
      <c r="BP2056">
        <v>0</v>
      </c>
      <c r="BW2056" t="str">
        <f t="shared" si="968"/>
        <v>14:44:45.251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343</v>
      </c>
      <c r="CR2056">
        <v>1</v>
      </c>
      <c r="CW2056">
        <v>10741442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 t="shared" ref="A2057:A2065" si="970">"05/12/2020 14:44:28.414"</f>
        <v>05/12/2020 14:44:28.414</v>
      </c>
      <c r="C2057" t="str">
        <f t="shared" si="949"/>
        <v>FFDFD3C0</v>
      </c>
      <c r="D2057" t="s">
        <v>134</v>
      </c>
      <c r="E2057">
        <v>12</v>
      </c>
      <c r="H2057">
        <v>64</v>
      </c>
      <c r="I2057" t="s">
        <v>135</v>
      </c>
      <c r="J2057" t="s">
        <v>136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ref="S2057:S2065" si="971">"14:44:46.250"</f>
        <v>14:44:46.250</v>
      </c>
      <c r="T2057" t="str">
        <f t="shared" ref="T2057:T2065" si="972">"14:44:45.950"</f>
        <v>14:44:45.950</v>
      </c>
      <c r="U2057" t="str">
        <f t="shared" si="969"/>
        <v>A9808D</v>
      </c>
      <c r="V2057">
        <v>0</v>
      </c>
      <c r="W2057">
        <v>0</v>
      </c>
      <c r="X2057">
        <v>1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0</v>
      </c>
      <c r="AI2057" t="s">
        <v>531</v>
      </c>
      <c r="AJ2057">
        <v>28.264624999999999</v>
      </c>
      <c r="AK2057" t="s">
        <v>532</v>
      </c>
      <c r="AL2057">
        <v>-82.348387000000002</v>
      </c>
      <c r="AM2057">
        <v>100</v>
      </c>
      <c r="AN2057">
        <v>2000</v>
      </c>
      <c r="AO2057" t="s">
        <v>118</v>
      </c>
      <c r="AP2057">
        <v>83</v>
      </c>
      <c r="AQ2057">
        <v>-62</v>
      </c>
      <c r="AR2057">
        <v>384</v>
      </c>
      <c r="AZ2057">
        <v>1200</v>
      </c>
      <c r="BA2057">
        <v>1</v>
      </c>
      <c r="BB2057" t="str">
        <f t="shared" si="950"/>
        <v xml:space="preserve">N711JA  </v>
      </c>
      <c r="BC2057">
        <v>1</v>
      </c>
      <c r="BE2057">
        <v>0</v>
      </c>
      <c r="BF2057">
        <v>0</v>
      </c>
      <c r="BG2057">
        <v>0</v>
      </c>
      <c r="BH2057">
        <v>2125</v>
      </c>
      <c r="BI2057">
        <v>1</v>
      </c>
      <c r="BJ2057">
        <v>1</v>
      </c>
      <c r="BK2057">
        <v>0</v>
      </c>
      <c r="BL2057">
        <v>0</v>
      </c>
      <c r="BO2057">
        <v>0</v>
      </c>
      <c r="BP2057">
        <v>0</v>
      </c>
      <c r="BW2057" t="str">
        <f t="shared" ref="BW2057:BW2065" si="973">"14:44:46.250"</f>
        <v>14:44:46.250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343</v>
      </c>
      <c r="CR2057">
        <v>1</v>
      </c>
      <c r="CW2057">
        <v>10742435</v>
      </c>
      <c r="CY2057">
        <v>1</v>
      </c>
      <c r="CZ2057">
        <v>0</v>
      </c>
      <c r="DA2057">
        <v>0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 t="shared" si="970"/>
        <v>05/12/2020 14:44:28.414</v>
      </c>
      <c r="C2058" t="str">
        <f t="shared" si="949"/>
        <v>FFDFD3C0</v>
      </c>
      <c r="D2058" t="s">
        <v>113</v>
      </c>
      <c r="E2058">
        <v>3</v>
      </c>
      <c r="H2058">
        <v>164</v>
      </c>
      <c r="I2058" t="s">
        <v>114</v>
      </c>
      <c r="J2058" t="s">
        <v>115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971"/>
        <v>14:44:46.250</v>
      </c>
      <c r="T2058" t="str">
        <f t="shared" si="972"/>
        <v>14:44:45.950</v>
      </c>
      <c r="U2058" t="str">
        <f t="shared" si="969"/>
        <v>A9808D</v>
      </c>
      <c r="V2058">
        <v>0</v>
      </c>
      <c r="W2058">
        <v>0</v>
      </c>
      <c r="X2058">
        <v>1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0</v>
      </c>
      <c r="AI2058" t="s">
        <v>531</v>
      </c>
      <c r="AJ2058">
        <v>28.264624999999999</v>
      </c>
      <c r="AK2058" t="s">
        <v>532</v>
      </c>
      <c r="AL2058">
        <v>-82.348387000000002</v>
      </c>
      <c r="AM2058">
        <v>100</v>
      </c>
      <c r="AN2058">
        <v>2000</v>
      </c>
      <c r="AO2058" t="s">
        <v>118</v>
      </c>
      <c r="AP2058">
        <v>83</v>
      </c>
      <c r="AQ2058">
        <v>-62</v>
      </c>
      <c r="AR2058">
        <v>384</v>
      </c>
      <c r="AZ2058">
        <v>1200</v>
      </c>
      <c r="BA2058">
        <v>1</v>
      </c>
      <c r="BB2058" t="str">
        <f t="shared" si="950"/>
        <v xml:space="preserve">N711JA  </v>
      </c>
      <c r="BC2058">
        <v>1</v>
      </c>
      <c r="BE2058">
        <v>0</v>
      </c>
      <c r="BF2058">
        <v>0</v>
      </c>
      <c r="BG2058">
        <v>0</v>
      </c>
      <c r="BH2058">
        <v>2125</v>
      </c>
      <c r="BI2058">
        <v>1</v>
      </c>
      <c r="BJ2058">
        <v>1</v>
      </c>
      <c r="BK2058">
        <v>0</v>
      </c>
      <c r="BL2058">
        <v>0</v>
      </c>
      <c r="BO2058">
        <v>0</v>
      </c>
      <c r="BP2058">
        <v>0</v>
      </c>
      <c r="BW2058" t="str">
        <f t="shared" si="973"/>
        <v>14:44:46.250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343</v>
      </c>
      <c r="CR2058">
        <v>1</v>
      </c>
      <c r="CW2058">
        <v>10742435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 t="shared" si="970"/>
        <v>05/12/2020 14:44:28.414</v>
      </c>
      <c r="C2059" t="str">
        <f t="shared" si="949"/>
        <v>FFDFD3C0</v>
      </c>
      <c r="D2059" t="s">
        <v>126</v>
      </c>
      <c r="E2059">
        <v>6</v>
      </c>
      <c r="F2059">
        <v>1006</v>
      </c>
      <c r="G2059" t="s">
        <v>114</v>
      </c>
      <c r="J2059" t="s">
        <v>128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971"/>
        <v>14:44:46.250</v>
      </c>
      <c r="T2059" t="str">
        <f t="shared" si="972"/>
        <v>14:44:45.950</v>
      </c>
      <c r="U2059" t="str">
        <f t="shared" si="969"/>
        <v>A9808D</v>
      </c>
      <c r="V2059">
        <v>0</v>
      </c>
      <c r="W2059">
        <v>0</v>
      </c>
      <c r="X2059">
        <v>1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0</v>
      </c>
      <c r="AI2059" t="s">
        <v>531</v>
      </c>
      <c r="AJ2059">
        <v>28.264624999999999</v>
      </c>
      <c r="AK2059" t="s">
        <v>532</v>
      </c>
      <c r="AL2059">
        <v>-82.348387000000002</v>
      </c>
      <c r="AM2059">
        <v>100</v>
      </c>
      <c r="AN2059">
        <v>2000</v>
      </c>
      <c r="AO2059" t="s">
        <v>118</v>
      </c>
      <c r="AP2059">
        <v>83</v>
      </c>
      <c r="AQ2059">
        <v>-62</v>
      </c>
      <c r="AR2059">
        <v>384</v>
      </c>
      <c r="AZ2059">
        <v>1200</v>
      </c>
      <c r="BA2059">
        <v>1</v>
      </c>
      <c r="BB2059" t="str">
        <f t="shared" si="950"/>
        <v xml:space="preserve">N711JA  </v>
      </c>
      <c r="BC2059">
        <v>1</v>
      </c>
      <c r="BE2059">
        <v>0</v>
      </c>
      <c r="BF2059">
        <v>0</v>
      </c>
      <c r="BG2059">
        <v>0</v>
      </c>
      <c r="BH2059">
        <v>2125</v>
      </c>
      <c r="BI2059">
        <v>1</v>
      </c>
      <c r="BJ2059">
        <v>1</v>
      </c>
      <c r="BK2059">
        <v>0</v>
      </c>
      <c r="BL2059">
        <v>0</v>
      </c>
      <c r="BO2059">
        <v>0</v>
      </c>
      <c r="BP2059">
        <v>0</v>
      </c>
      <c r="BW2059" t="str">
        <f t="shared" si="973"/>
        <v>14:44:46.250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343</v>
      </c>
      <c r="CR2059">
        <v>1</v>
      </c>
      <c r="CW2059">
        <v>10742435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 t="shared" si="970"/>
        <v>05/12/2020 14:44:28.414</v>
      </c>
      <c r="C2060" t="str">
        <f t="shared" si="949"/>
        <v>FFDFD3C0</v>
      </c>
      <c r="D2060" t="s">
        <v>126</v>
      </c>
      <c r="E2060">
        <v>7</v>
      </c>
      <c r="F2060">
        <v>1007</v>
      </c>
      <c r="G2060" t="s">
        <v>127</v>
      </c>
      <c r="J2060" t="s">
        <v>128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971"/>
        <v>14:44:46.250</v>
      </c>
      <c r="T2060" t="str">
        <f t="shared" si="972"/>
        <v>14:44:45.950</v>
      </c>
      <c r="U2060" t="str">
        <f t="shared" si="969"/>
        <v>A9808D</v>
      </c>
      <c r="V2060">
        <v>0</v>
      </c>
      <c r="W2060">
        <v>0</v>
      </c>
      <c r="X2060">
        <v>1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0</v>
      </c>
      <c r="AI2060" t="s">
        <v>531</v>
      </c>
      <c r="AJ2060">
        <v>28.264624999999999</v>
      </c>
      <c r="AK2060" t="s">
        <v>532</v>
      </c>
      <c r="AL2060">
        <v>-82.348387000000002</v>
      </c>
      <c r="AM2060">
        <v>100</v>
      </c>
      <c r="AN2060">
        <v>2000</v>
      </c>
      <c r="AO2060" t="s">
        <v>118</v>
      </c>
      <c r="AP2060">
        <v>83</v>
      </c>
      <c r="AQ2060">
        <v>-62</v>
      </c>
      <c r="AR2060">
        <v>384</v>
      </c>
      <c r="AZ2060">
        <v>1200</v>
      </c>
      <c r="BA2060">
        <v>1</v>
      </c>
      <c r="BB2060" t="str">
        <f t="shared" si="950"/>
        <v xml:space="preserve">N711JA  </v>
      </c>
      <c r="BC2060">
        <v>1</v>
      </c>
      <c r="BE2060">
        <v>0</v>
      </c>
      <c r="BF2060">
        <v>0</v>
      </c>
      <c r="BG2060">
        <v>0</v>
      </c>
      <c r="BH2060">
        <v>2125</v>
      </c>
      <c r="BI2060">
        <v>1</v>
      </c>
      <c r="BJ2060">
        <v>1</v>
      </c>
      <c r="BK2060">
        <v>0</v>
      </c>
      <c r="BL2060">
        <v>0</v>
      </c>
      <c r="BO2060">
        <v>0</v>
      </c>
      <c r="BP2060">
        <v>0</v>
      </c>
      <c r="BW2060" t="str">
        <f t="shared" si="973"/>
        <v>14:44:46.250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343</v>
      </c>
      <c r="CR2060">
        <v>1</v>
      </c>
      <c r="CW2060">
        <v>10742435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 t="shared" si="970"/>
        <v>05/12/2020 14:44:28.414</v>
      </c>
      <c r="C2061" t="str">
        <f t="shared" si="949"/>
        <v>FFDFD3C0</v>
      </c>
      <c r="D2061" t="s">
        <v>131</v>
      </c>
      <c r="E2061">
        <v>10</v>
      </c>
      <c r="F2061">
        <v>2010</v>
      </c>
      <c r="G2061" t="s">
        <v>132</v>
      </c>
      <c r="J2061" t="s">
        <v>133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971"/>
        <v>14:44:46.250</v>
      </c>
      <c r="T2061" t="str">
        <f t="shared" si="972"/>
        <v>14:44:45.950</v>
      </c>
      <c r="U2061" t="str">
        <f t="shared" si="969"/>
        <v>A9808D</v>
      </c>
      <c r="V2061">
        <v>0</v>
      </c>
      <c r="W2061">
        <v>0</v>
      </c>
      <c r="X2061">
        <v>1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0</v>
      </c>
      <c r="AI2061" t="s">
        <v>531</v>
      </c>
      <c r="AJ2061">
        <v>28.264624999999999</v>
      </c>
      <c r="AK2061" t="s">
        <v>532</v>
      </c>
      <c r="AL2061">
        <v>-82.348387000000002</v>
      </c>
      <c r="AM2061">
        <v>100</v>
      </c>
      <c r="AN2061">
        <v>2000</v>
      </c>
      <c r="AO2061" t="s">
        <v>118</v>
      </c>
      <c r="AP2061">
        <v>83</v>
      </c>
      <c r="AQ2061">
        <v>-62</v>
      </c>
      <c r="AR2061">
        <v>384</v>
      </c>
      <c r="AZ2061">
        <v>1200</v>
      </c>
      <c r="BA2061">
        <v>1</v>
      </c>
      <c r="BB2061" t="str">
        <f t="shared" si="950"/>
        <v xml:space="preserve">N711JA  </v>
      </c>
      <c r="BC2061">
        <v>1</v>
      </c>
      <c r="BE2061">
        <v>0</v>
      </c>
      <c r="BF2061">
        <v>0</v>
      </c>
      <c r="BG2061">
        <v>0</v>
      </c>
      <c r="BH2061">
        <v>2125</v>
      </c>
      <c r="BI2061">
        <v>1</v>
      </c>
      <c r="BJ2061">
        <v>1</v>
      </c>
      <c r="BK2061">
        <v>0</v>
      </c>
      <c r="BL2061">
        <v>0</v>
      </c>
      <c r="BO2061">
        <v>0</v>
      </c>
      <c r="BP2061">
        <v>0</v>
      </c>
      <c r="BW2061" t="str">
        <f t="shared" si="973"/>
        <v>14:44:46.250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343</v>
      </c>
      <c r="CR2061">
        <v>1</v>
      </c>
      <c r="CW2061">
        <v>10742435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si="970"/>
        <v>05/12/2020 14:44:28.414</v>
      </c>
      <c r="C2062" t="str">
        <f t="shared" si="949"/>
        <v>FFDFD3C0</v>
      </c>
      <c r="D2062" t="s">
        <v>131</v>
      </c>
      <c r="E2062">
        <v>12</v>
      </c>
      <c r="F2062">
        <v>2012</v>
      </c>
      <c r="G2062" t="s">
        <v>137</v>
      </c>
      <c r="J2062" t="s">
        <v>133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971"/>
        <v>14:44:46.250</v>
      </c>
      <c r="T2062" t="str">
        <f t="shared" si="972"/>
        <v>14:44:45.950</v>
      </c>
      <c r="U2062" t="str">
        <f t="shared" si="969"/>
        <v>A9808D</v>
      </c>
      <c r="V2062">
        <v>0</v>
      </c>
      <c r="W2062">
        <v>0</v>
      </c>
      <c r="X2062">
        <v>1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0</v>
      </c>
      <c r="AI2062" t="s">
        <v>531</v>
      </c>
      <c r="AJ2062">
        <v>28.264624999999999</v>
      </c>
      <c r="AK2062" t="s">
        <v>532</v>
      </c>
      <c r="AL2062">
        <v>-82.348387000000002</v>
      </c>
      <c r="AM2062">
        <v>100</v>
      </c>
      <c r="AN2062">
        <v>2000</v>
      </c>
      <c r="AO2062" t="s">
        <v>118</v>
      </c>
      <c r="AP2062">
        <v>83</v>
      </c>
      <c r="AQ2062">
        <v>-62</v>
      </c>
      <c r="AR2062">
        <v>384</v>
      </c>
      <c r="AZ2062">
        <v>1200</v>
      </c>
      <c r="BA2062">
        <v>1</v>
      </c>
      <c r="BB2062" t="str">
        <f t="shared" si="950"/>
        <v xml:space="preserve">N711JA  </v>
      </c>
      <c r="BC2062">
        <v>1</v>
      </c>
      <c r="BE2062">
        <v>0</v>
      </c>
      <c r="BF2062">
        <v>0</v>
      </c>
      <c r="BG2062">
        <v>0</v>
      </c>
      <c r="BH2062">
        <v>2125</v>
      </c>
      <c r="BI2062">
        <v>1</v>
      </c>
      <c r="BJ2062">
        <v>1</v>
      </c>
      <c r="BK2062">
        <v>0</v>
      </c>
      <c r="BL2062">
        <v>0</v>
      </c>
      <c r="BO2062">
        <v>0</v>
      </c>
      <c r="BP2062">
        <v>0</v>
      </c>
      <c r="BW2062" t="str">
        <f t="shared" si="973"/>
        <v>14:44:46.250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343</v>
      </c>
      <c r="CR2062">
        <v>1</v>
      </c>
      <c r="CW2062">
        <v>10742435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970"/>
        <v>05/12/2020 14:44:28.414</v>
      </c>
      <c r="C2063" t="str">
        <f t="shared" si="949"/>
        <v>FFDFD3C0</v>
      </c>
      <c r="D2063" t="s">
        <v>131</v>
      </c>
      <c r="E2063">
        <v>18</v>
      </c>
      <c r="F2063">
        <v>2018</v>
      </c>
      <c r="G2063" t="s">
        <v>161</v>
      </c>
      <c r="J2063" t="s">
        <v>133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971"/>
        <v>14:44:46.250</v>
      </c>
      <c r="T2063" t="str">
        <f t="shared" si="972"/>
        <v>14:44:45.950</v>
      </c>
      <c r="U2063" t="str">
        <f t="shared" si="969"/>
        <v>A9808D</v>
      </c>
      <c r="V2063">
        <v>0</v>
      </c>
      <c r="W2063">
        <v>0</v>
      </c>
      <c r="X2063">
        <v>1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0</v>
      </c>
      <c r="AI2063" t="s">
        <v>531</v>
      </c>
      <c r="AJ2063">
        <v>28.264624999999999</v>
      </c>
      <c r="AK2063" t="s">
        <v>532</v>
      </c>
      <c r="AL2063">
        <v>-82.348387000000002</v>
      </c>
      <c r="AM2063">
        <v>100</v>
      </c>
      <c r="AN2063">
        <v>2000</v>
      </c>
      <c r="AO2063" t="s">
        <v>118</v>
      </c>
      <c r="AP2063">
        <v>83</v>
      </c>
      <c r="AQ2063">
        <v>-62</v>
      </c>
      <c r="AR2063">
        <v>384</v>
      </c>
      <c r="AZ2063">
        <v>1200</v>
      </c>
      <c r="BA2063">
        <v>1</v>
      </c>
      <c r="BB2063" t="str">
        <f t="shared" si="950"/>
        <v xml:space="preserve">N711JA  </v>
      </c>
      <c r="BC2063">
        <v>1</v>
      </c>
      <c r="BE2063">
        <v>0</v>
      </c>
      <c r="BF2063">
        <v>0</v>
      </c>
      <c r="BG2063">
        <v>0</v>
      </c>
      <c r="BH2063">
        <v>2125</v>
      </c>
      <c r="BI2063">
        <v>1</v>
      </c>
      <c r="BJ2063">
        <v>1</v>
      </c>
      <c r="BK2063">
        <v>0</v>
      </c>
      <c r="BL2063">
        <v>0</v>
      </c>
      <c r="BO2063">
        <v>0</v>
      </c>
      <c r="BP2063">
        <v>0</v>
      </c>
      <c r="BW2063" t="str">
        <f t="shared" si="973"/>
        <v>14:44:46.250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343</v>
      </c>
      <c r="CR2063">
        <v>1</v>
      </c>
      <c r="CW2063">
        <v>10742435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 t="shared" si="970"/>
        <v>05/12/2020 14:44:28.414</v>
      </c>
      <c r="C2064" t="str">
        <f t="shared" si="949"/>
        <v>FFDFD3C0</v>
      </c>
      <c r="D2064" t="s">
        <v>138</v>
      </c>
      <c r="E2064">
        <v>2</v>
      </c>
      <c r="H2064">
        <v>8</v>
      </c>
      <c r="I2064" t="s">
        <v>139</v>
      </c>
      <c r="J2064" t="s">
        <v>136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971"/>
        <v>14:44:46.250</v>
      </c>
      <c r="T2064" t="str">
        <f t="shared" si="972"/>
        <v>14:44:45.950</v>
      </c>
      <c r="U2064" t="str">
        <f t="shared" si="969"/>
        <v>A9808D</v>
      </c>
      <c r="V2064">
        <v>0</v>
      </c>
      <c r="W2064">
        <v>0</v>
      </c>
      <c r="X2064">
        <v>1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0</v>
      </c>
      <c r="AI2064" t="s">
        <v>531</v>
      </c>
      <c r="AJ2064">
        <v>28.264624999999999</v>
      </c>
      <c r="AK2064" t="s">
        <v>532</v>
      </c>
      <c r="AL2064">
        <v>-82.348387000000002</v>
      </c>
      <c r="AM2064">
        <v>100</v>
      </c>
      <c r="AN2064">
        <v>2000</v>
      </c>
      <c r="AO2064" t="s">
        <v>118</v>
      </c>
      <c r="AP2064">
        <v>83</v>
      </c>
      <c r="AQ2064">
        <v>-62</v>
      </c>
      <c r="AR2064">
        <v>384</v>
      </c>
      <c r="AZ2064">
        <v>1200</v>
      </c>
      <c r="BA2064">
        <v>1</v>
      </c>
      <c r="BB2064" t="str">
        <f t="shared" si="950"/>
        <v xml:space="preserve">N711JA  </v>
      </c>
      <c r="BC2064">
        <v>1</v>
      </c>
      <c r="BE2064">
        <v>0</v>
      </c>
      <c r="BF2064">
        <v>0</v>
      </c>
      <c r="BG2064">
        <v>0</v>
      </c>
      <c r="BH2064">
        <v>2125</v>
      </c>
      <c r="BI2064">
        <v>1</v>
      </c>
      <c r="BJ2064">
        <v>1</v>
      </c>
      <c r="BK2064">
        <v>0</v>
      </c>
      <c r="BL2064">
        <v>0</v>
      </c>
      <c r="BO2064">
        <v>0</v>
      </c>
      <c r="BP2064">
        <v>0</v>
      </c>
      <c r="BW2064" t="str">
        <f t="shared" si="973"/>
        <v>14:44:46.250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343</v>
      </c>
      <c r="CR2064">
        <v>1</v>
      </c>
      <c r="CW2064">
        <v>10742435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 t="shared" si="970"/>
        <v>05/12/2020 14:44:28.414</v>
      </c>
      <c r="C2065" t="str">
        <f t="shared" si="949"/>
        <v>FFDFD3C0</v>
      </c>
      <c r="D2065" t="s">
        <v>138</v>
      </c>
      <c r="E2065">
        <v>3</v>
      </c>
      <c r="H2065">
        <v>9</v>
      </c>
      <c r="I2065" t="s">
        <v>140</v>
      </c>
      <c r="J2065" t="s">
        <v>136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971"/>
        <v>14:44:46.250</v>
      </c>
      <c r="T2065" t="str">
        <f t="shared" si="972"/>
        <v>14:44:45.950</v>
      </c>
      <c r="U2065" t="str">
        <f t="shared" si="969"/>
        <v>A9808D</v>
      </c>
      <c r="V2065">
        <v>0</v>
      </c>
      <c r="W2065">
        <v>0</v>
      </c>
      <c r="X2065">
        <v>1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0</v>
      </c>
      <c r="AI2065" t="s">
        <v>531</v>
      </c>
      <c r="AJ2065">
        <v>28.264624999999999</v>
      </c>
      <c r="AK2065" t="s">
        <v>532</v>
      </c>
      <c r="AL2065">
        <v>-82.348387000000002</v>
      </c>
      <c r="AM2065">
        <v>100</v>
      </c>
      <c r="AN2065">
        <v>2000</v>
      </c>
      <c r="AO2065" t="s">
        <v>118</v>
      </c>
      <c r="AP2065">
        <v>83</v>
      </c>
      <c r="AQ2065">
        <v>-62</v>
      </c>
      <c r="AR2065">
        <v>384</v>
      </c>
      <c r="AZ2065">
        <v>1200</v>
      </c>
      <c r="BA2065">
        <v>1</v>
      </c>
      <c r="BB2065" t="str">
        <f t="shared" si="950"/>
        <v xml:space="preserve">N711JA  </v>
      </c>
      <c r="BC2065">
        <v>1</v>
      </c>
      <c r="BE2065">
        <v>0</v>
      </c>
      <c r="BF2065">
        <v>0</v>
      </c>
      <c r="BG2065">
        <v>0</v>
      </c>
      <c r="BH2065">
        <v>2125</v>
      </c>
      <c r="BI2065">
        <v>1</v>
      </c>
      <c r="BJ2065">
        <v>1</v>
      </c>
      <c r="BK2065">
        <v>0</v>
      </c>
      <c r="BL2065">
        <v>0</v>
      </c>
      <c r="BO2065">
        <v>0</v>
      </c>
      <c r="BP2065">
        <v>0</v>
      </c>
      <c r="BW2065" t="str">
        <f t="shared" si="973"/>
        <v>14:44:46.250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343</v>
      </c>
      <c r="CR2065">
        <v>1</v>
      </c>
      <c r="CW2065">
        <v>10742435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 t="shared" ref="A2066:A2074" si="974">"05/12/2020 14:44:29.462"</f>
        <v>05/12/2020 14:44:29.462</v>
      </c>
      <c r="C2066" t="str">
        <f t="shared" si="949"/>
        <v>FFDFD3C0</v>
      </c>
      <c r="D2066" t="s">
        <v>138</v>
      </c>
      <c r="E2066">
        <v>2</v>
      </c>
      <c r="H2066">
        <v>8</v>
      </c>
      <c r="I2066" t="s">
        <v>139</v>
      </c>
      <c r="J2066" t="s">
        <v>136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ref="S2066:S2074" si="975">"14:44:47.289"</f>
        <v>14:44:47.289</v>
      </c>
      <c r="T2066" t="str">
        <f t="shared" ref="T2066:T2074" si="976">"14:44:46.889"</f>
        <v>14:44:46.889</v>
      </c>
      <c r="U2066" t="str">
        <f t="shared" si="969"/>
        <v>A9808D</v>
      </c>
      <c r="V2066">
        <v>0</v>
      </c>
      <c r="W2066">
        <v>0</v>
      </c>
      <c r="X2066">
        <v>1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0</v>
      </c>
      <c r="AI2066" t="s">
        <v>533</v>
      </c>
      <c r="AJ2066">
        <v>28.264346</v>
      </c>
      <c r="AK2066" t="s">
        <v>534</v>
      </c>
      <c r="AL2066">
        <v>-82.347980000000007</v>
      </c>
      <c r="AM2066">
        <v>100</v>
      </c>
      <c r="AN2066">
        <v>2000</v>
      </c>
      <c r="AO2066" t="s">
        <v>118</v>
      </c>
      <c r="AP2066">
        <v>84</v>
      </c>
      <c r="AQ2066">
        <v>-62</v>
      </c>
      <c r="AR2066">
        <v>384</v>
      </c>
      <c r="AZ2066">
        <v>1200</v>
      </c>
      <c r="BA2066">
        <v>1</v>
      </c>
      <c r="BB2066" t="str">
        <f t="shared" si="950"/>
        <v xml:space="preserve">N711JA  </v>
      </c>
      <c r="BC2066">
        <v>1</v>
      </c>
      <c r="BE2066">
        <v>0</v>
      </c>
      <c r="BF2066">
        <v>0</v>
      </c>
      <c r="BG2066">
        <v>0</v>
      </c>
      <c r="BH2066">
        <v>2125</v>
      </c>
      <c r="BI2066">
        <v>1</v>
      </c>
      <c r="BJ2066">
        <v>1</v>
      </c>
      <c r="BK2066">
        <v>0</v>
      </c>
      <c r="BL2066">
        <v>0</v>
      </c>
      <c r="BO2066">
        <v>0</v>
      </c>
      <c r="BP2066">
        <v>0</v>
      </c>
      <c r="BW2066" t="str">
        <f t="shared" ref="BW2066:BW2074" si="977">"14:44:47.290"</f>
        <v>14:44:47.290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343</v>
      </c>
      <c r="CR2066">
        <v>1</v>
      </c>
      <c r="CW2066">
        <v>10743554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 t="shared" si="974"/>
        <v>05/12/2020 14:44:29.462</v>
      </c>
      <c r="C2067" t="str">
        <f t="shared" si="949"/>
        <v>FFDFD3C0</v>
      </c>
      <c r="D2067" t="s">
        <v>138</v>
      </c>
      <c r="E2067">
        <v>3</v>
      </c>
      <c r="H2067">
        <v>9</v>
      </c>
      <c r="I2067" t="s">
        <v>140</v>
      </c>
      <c r="J2067" t="s">
        <v>136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975"/>
        <v>14:44:47.289</v>
      </c>
      <c r="T2067" t="str">
        <f t="shared" si="976"/>
        <v>14:44:46.889</v>
      </c>
      <c r="U2067" t="str">
        <f t="shared" si="969"/>
        <v>A9808D</v>
      </c>
      <c r="V2067">
        <v>0</v>
      </c>
      <c r="W2067">
        <v>0</v>
      </c>
      <c r="X2067">
        <v>1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0</v>
      </c>
      <c r="AI2067" t="s">
        <v>533</v>
      </c>
      <c r="AJ2067">
        <v>28.264346</v>
      </c>
      <c r="AK2067" t="s">
        <v>534</v>
      </c>
      <c r="AL2067">
        <v>-82.347980000000007</v>
      </c>
      <c r="AM2067">
        <v>100</v>
      </c>
      <c r="AN2067">
        <v>2000</v>
      </c>
      <c r="AO2067" t="s">
        <v>118</v>
      </c>
      <c r="AP2067">
        <v>84</v>
      </c>
      <c r="AQ2067">
        <v>-62</v>
      </c>
      <c r="AR2067">
        <v>384</v>
      </c>
      <c r="AZ2067">
        <v>1200</v>
      </c>
      <c r="BA2067">
        <v>1</v>
      </c>
      <c r="BB2067" t="str">
        <f t="shared" si="950"/>
        <v xml:space="preserve">N711JA  </v>
      </c>
      <c r="BC2067">
        <v>1</v>
      </c>
      <c r="BE2067">
        <v>0</v>
      </c>
      <c r="BF2067">
        <v>0</v>
      </c>
      <c r="BG2067">
        <v>0</v>
      </c>
      <c r="BH2067">
        <v>2125</v>
      </c>
      <c r="BI2067">
        <v>1</v>
      </c>
      <c r="BJ2067">
        <v>1</v>
      </c>
      <c r="BK2067">
        <v>0</v>
      </c>
      <c r="BL2067">
        <v>0</v>
      </c>
      <c r="BO2067">
        <v>0</v>
      </c>
      <c r="BP2067">
        <v>0</v>
      </c>
      <c r="BW2067" t="str">
        <f t="shared" si="977"/>
        <v>14:44:47.290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343</v>
      </c>
      <c r="CR2067">
        <v>1</v>
      </c>
      <c r="CW2067">
        <v>10743554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 t="shared" si="974"/>
        <v>05/12/2020 14:44:29.462</v>
      </c>
      <c r="C2068" t="str">
        <f t="shared" si="949"/>
        <v>FFDFD3C0</v>
      </c>
      <c r="D2068" t="s">
        <v>134</v>
      </c>
      <c r="E2068">
        <v>12</v>
      </c>
      <c r="H2068">
        <v>64</v>
      </c>
      <c r="I2068" t="s">
        <v>135</v>
      </c>
      <c r="J2068" t="s">
        <v>136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975"/>
        <v>14:44:47.289</v>
      </c>
      <c r="T2068" t="str">
        <f t="shared" si="976"/>
        <v>14:44:46.889</v>
      </c>
      <c r="U2068" t="str">
        <f t="shared" si="969"/>
        <v>A9808D</v>
      </c>
      <c r="V2068">
        <v>0</v>
      </c>
      <c r="W2068">
        <v>0</v>
      </c>
      <c r="X2068">
        <v>1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0</v>
      </c>
      <c r="AI2068" t="s">
        <v>533</v>
      </c>
      <c r="AJ2068">
        <v>28.264346</v>
      </c>
      <c r="AK2068" t="s">
        <v>534</v>
      </c>
      <c r="AL2068">
        <v>-82.347980000000007</v>
      </c>
      <c r="AM2068">
        <v>100</v>
      </c>
      <c r="AN2068">
        <v>2000</v>
      </c>
      <c r="AO2068" t="s">
        <v>118</v>
      </c>
      <c r="AP2068">
        <v>84</v>
      </c>
      <c r="AQ2068">
        <v>-62</v>
      </c>
      <c r="AR2068">
        <v>384</v>
      </c>
      <c r="AZ2068">
        <v>1200</v>
      </c>
      <c r="BA2068">
        <v>1</v>
      </c>
      <c r="BB2068" t="str">
        <f t="shared" si="950"/>
        <v xml:space="preserve">N711JA  </v>
      </c>
      <c r="BC2068">
        <v>1</v>
      </c>
      <c r="BE2068">
        <v>0</v>
      </c>
      <c r="BF2068">
        <v>0</v>
      </c>
      <c r="BG2068">
        <v>0</v>
      </c>
      <c r="BH2068">
        <v>2125</v>
      </c>
      <c r="BI2068">
        <v>1</v>
      </c>
      <c r="BJ2068">
        <v>1</v>
      </c>
      <c r="BK2068">
        <v>0</v>
      </c>
      <c r="BL2068">
        <v>0</v>
      </c>
      <c r="BO2068">
        <v>0</v>
      </c>
      <c r="BP2068">
        <v>0</v>
      </c>
      <c r="BW2068" t="str">
        <f t="shared" si="977"/>
        <v>14:44:47.290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343</v>
      </c>
      <c r="CR2068">
        <v>1</v>
      </c>
      <c r="CW2068">
        <v>10743554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 t="shared" si="974"/>
        <v>05/12/2020 14:44:29.462</v>
      </c>
      <c r="C2069" t="str">
        <f t="shared" si="949"/>
        <v>FFDFD3C0</v>
      </c>
      <c r="D2069" t="s">
        <v>113</v>
      </c>
      <c r="E2069">
        <v>3</v>
      </c>
      <c r="H2069">
        <v>164</v>
      </c>
      <c r="I2069" t="s">
        <v>114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975"/>
        <v>14:44:47.289</v>
      </c>
      <c r="T2069" t="str">
        <f t="shared" si="976"/>
        <v>14:44:46.889</v>
      </c>
      <c r="U2069" t="str">
        <f t="shared" si="969"/>
        <v>A9808D</v>
      </c>
      <c r="V2069">
        <v>0</v>
      </c>
      <c r="W2069">
        <v>0</v>
      </c>
      <c r="X2069">
        <v>1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0</v>
      </c>
      <c r="AI2069" t="s">
        <v>533</v>
      </c>
      <c r="AJ2069">
        <v>28.264346</v>
      </c>
      <c r="AK2069" t="s">
        <v>534</v>
      </c>
      <c r="AL2069">
        <v>-82.347980000000007</v>
      </c>
      <c r="AM2069">
        <v>100</v>
      </c>
      <c r="AN2069">
        <v>2000</v>
      </c>
      <c r="AO2069" t="s">
        <v>118</v>
      </c>
      <c r="AP2069">
        <v>84</v>
      </c>
      <c r="AQ2069">
        <v>-62</v>
      </c>
      <c r="AR2069">
        <v>384</v>
      </c>
      <c r="AZ2069">
        <v>1200</v>
      </c>
      <c r="BA2069">
        <v>1</v>
      </c>
      <c r="BB2069" t="str">
        <f t="shared" si="950"/>
        <v xml:space="preserve">N711JA  </v>
      </c>
      <c r="BC2069">
        <v>1</v>
      </c>
      <c r="BE2069">
        <v>0</v>
      </c>
      <c r="BF2069">
        <v>0</v>
      </c>
      <c r="BG2069">
        <v>0</v>
      </c>
      <c r="BH2069">
        <v>2125</v>
      </c>
      <c r="BI2069">
        <v>1</v>
      </c>
      <c r="BJ2069">
        <v>1</v>
      </c>
      <c r="BK2069">
        <v>0</v>
      </c>
      <c r="BL2069">
        <v>0</v>
      </c>
      <c r="BO2069">
        <v>0</v>
      </c>
      <c r="BP2069">
        <v>0</v>
      </c>
      <c r="BW2069" t="str">
        <f t="shared" si="977"/>
        <v>14:44:47.290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343</v>
      </c>
      <c r="CR2069">
        <v>1</v>
      </c>
      <c r="CW2069">
        <v>10743554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 t="shared" si="974"/>
        <v>05/12/2020 14:44:29.462</v>
      </c>
      <c r="C2070" t="str">
        <f t="shared" ref="C2070:C2133" si="978">"FFDFD3C0"</f>
        <v>FFDFD3C0</v>
      </c>
      <c r="D2070" t="s">
        <v>126</v>
      </c>
      <c r="E2070">
        <v>7</v>
      </c>
      <c r="F2070">
        <v>1007</v>
      </c>
      <c r="G2070" t="s">
        <v>127</v>
      </c>
      <c r="J2070" t="s">
        <v>128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975"/>
        <v>14:44:47.289</v>
      </c>
      <c r="T2070" t="str">
        <f t="shared" si="976"/>
        <v>14:44:46.889</v>
      </c>
      <c r="U2070" t="str">
        <f t="shared" si="969"/>
        <v>A9808D</v>
      </c>
      <c r="V2070">
        <v>0</v>
      </c>
      <c r="W2070">
        <v>0</v>
      </c>
      <c r="X2070">
        <v>1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0</v>
      </c>
      <c r="AI2070" t="s">
        <v>533</v>
      </c>
      <c r="AJ2070">
        <v>28.264346</v>
      </c>
      <c r="AK2070" t="s">
        <v>534</v>
      </c>
      <c r="AL2070">
        <v>-82.347980000000007</v>
      </c>
      <c r="AM2070">
        <v>100</v>
      </c>
      <c r="AN2070">
        <v>2000</v>
      </c>
      <c r="AO2070" t="s">
        <v>118</v>
      </c>
      <c r="AP2070">
        <v>84</v>
      </c>
      <c r="AQ2070">
        <v>-62</v>
      </c>
      <c r="AR2070">
        <v>384</v>
      </c>
      <c r="AZ2070">
        <v>1200</v>
      </c>
      <c r="BA2070">
        <v>1</v>
      </c>
      <c r="BB2070" t="str">
        <f t="shared" ref="BB2070:BB2133" si="979">"N711JA  "</f>
        <v xml:space="preserve">N711JA  </v>
      </c>
      <c r="BC2070">
        <v>1</v>
      </c>
      <c r="BE2070">
        <v>0</v>
      </c>
      <c r="BF2070">
        <v>0</v>
      </c>
      <c r="BG2070">
        <v>0</v>
      </c>
      <c r="BH2070">
        <v>2125</v>
      </c>
      <c r="BI2070">
        <v>1</v>
      </c>
      <c r="BJ2070">
        <v>1</v>
      </c>
      <c r="BK2070">
        <v>0</v>
      </c>
      <c r="BL2070">
        <v>0</v>
      </c>
      <c r="BO2070">
        <v>0</v>
      </c>
      <c r="BP2070">
        <v>0</v>
      </c>
      <c r="BW2070" t="str">
        <f t="shared" si="977"/>
        <v>14:44:47.290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343</v>
      </c>
      <c r="CR2070">
        <v>1</v>
      </c>
      <c r="CW2070">
        <v>10743554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 t="shared" si="974"/>
        <v>05/12/2020 14:44:29.462</v>
      </c>
      <c r="C2071" t="str">
        <f t="shared" si="978"/>
        <v>FFDFD3C0</v>
      </c>
      <c r="D2071" t="s">
        <v>131</v>
      </c>
      <c r="E2071">
        <v>10</v>
      </c>
      <c r="F2071">
        <v>2010</v>
      </c>
      <c r="G2071" t="s">
        <v>132</v>
      </c>
      <c r="J2071" t="s">
        <v>133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975"/>
        <v>14:44:47.289</v>
      </c>
      <c r="T2071" t="str">
        <f t="shared" si="976"/>
        <v>14:44:46.889</v>
      </c>
      <c r="U2071" t="str">
        <f t="shared" si="969"/>
        <v>A9808D</v>
      </c>
      <c r="V2071">
        <v>0</v>
      </c>
      <c r="W2071">
        <v>0</v>
      </c>
      <c r="X2071">
        <v>1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0</v>
      </c>
      <c r="AI2071" t="s">
        <v>533</v>
      </c>
      <c r="AJ2071">
        <v>28.264346</v>
      </c>
      <c r="AK2071" t="s">
        <v>534</v>
      </c>
      <c r="AL2071">
        <v>-82.347980000000007</v>
      </c>
      <c r="AM2071">
        <v>100</v>
      </c>
      <c r="AN2071">
        <v>2000</v>
      </c>
      <c r="AO2071" t="s">
        <v>118</v>
      </c>
      <c r="AP2071">
        <v>84</v>
      </c>
      <c r="AQ2071">
        <v>-62</v>
      </c>
      <c r="AR2071">
        <v>384</v>
      </c>
      <c r="AZ2071">
        <v>1200</v>
      </c>
      <c r="BA2071">
        <v>1</v>
      </c>
      <c r="BB2071" t="str">
        <f t="shared" si="979"/>
        <v xml:space="preserve">N711JA  </v>
      </c>
      <c r="BC2071">
        <v>1</v>
      </c>
      <c r="BE2071">
        <v>0</v>
      </c>
      <c r="BF2071">
        <v>0</v>
      </c>
      <c r="BG2071">
        <v>0</v>
      </c>
      <c r="BH2071">
        <v>2125</v>
      </c>
      <c r="BI2071">
        <v>1</v>
      </c>
      <c r="BJ2071">
        <v>1</v>
      </c>
      <c r="BK2071">
        <v>0</v>
      </c>
      <c r="BL2071">
        <v>0</v>
      </c>
      <c r="BO2071">
        <v>0</v>
      </c>
      <c r="BP2071">
        <v>0</v>
      </c>
      <c r="BW2071" t="str">
        <f t="shared" si="977"/>
        <v>14:44:47.290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343</v>
      </c>
      <c r="CR2071">
        <v>1</v>
      </c>
      <c r="CW2071">
        <v>10743554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 t="shared" si="974"/>
        <v>05/12/2020 14:44:29.462</v>
      </c>
      <c r="C2072" t="str">
        <f t="shared" si="978"/>
        <v>FFDFD3C0</v>
      </c>
      <c r="D2072" t="s">
        <v>126</v>
      </c>
      <c r="E2072">
        <v>6</v>
      </c>
      <c r="F2072">
        <v>1006</v>
      </c>
      <c r="G2072" t="s">
        <v>114</v>
      </c>
      <c r="J2072" t="s">
        <v>128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975"/>
        <v>14:44:47.289</v>
      </c>
      <c r="T2072" t="str">
        <f t="shared" si="976"/>
        <v>14:44:46.889</v>
      </c>
      <c r="U2072" t="str">
        <f t="shared" si="969"/>
        <v>A9808D</v>
      </c>
      <c r="V2072">
        <v>0</v>
      </c>
      <c r="W2072">
        <v>0</v>
      </c>
      <c r="X2072">
        <v>1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0</v>
      </c>
      <c r="AI2072" t="s">
        <v>533</v>
      </c>
      <c r="AJ2072">
        <v>28.264346</v>
      </c>
      <c r="AK2072" t="s">
        <v>534</v>
      </c>
      <c r="AL2072">
        <v>-82.347980000000007</v>
      </c>
      <c r="AM2072">
        <v>100</v>
      </c>
      <c r="AN2072">
        <v>2000</v>
      </c>
      <c r="AO2072" t="s">
        <v>118</v>
      </c>
      <c r="AP2072">
        <v>84</v>
      </c>
      <c r="AQ2072">
        <v>-62</v>
      </c>
      <c r="AR2072">
        <v>384</v>
      </c>
      <c r="AZ2072">
        <v>1200</v>
      </c>
      <c r="BA2072">
        <v>1</v>
      </c>
      <c r="BB2072" t="str">
        <f t="shared" si="979"/>
        <v xml:space="preserve">N711JA  </v>
      </c>
      <c r="BC2072">
        <v>1</v>
      </c>
      <c r="BE2072">
        <v>0</v>
      </c>
      <c r="BF2072">
        <v>0</v>
      </c>
      <c r="BG2072">
        <v>0</v>
      </c>
      <c r="BH2072">
        <v>2125</v>
      </c>
      <c r="BI2072">
        <v>1</v>
      </c>
      <c r="BJ2072">
        <v>1</v>
      </c>
      <c r="BK2072">
        <v>0</v>
      </c>
      <c r="BL2072">
        <v>0</v>
      </c>
      <c r="BO2072">
        <v>0</v>
      </c>
      <c r="BP2072">
        <v>0</v>
      </c>
      <c r="BW2072" t="str">
        <f t="shared" si="977"/>
        <v>14:44:47.290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343</v>
      </c>
      <c r="CR2072">
        <v>1</v>
      </c>
      <c r="CW2072">
        <v>10743554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 t="shared" si="974"/>
        <v>05/12/2020 14:44:29.462</v>
      </c>
      <c r="C2073" t="str">
        <f t="shared" si="978"/>
        <v>FFDFD3C0</v>
      </c>
      <c r="D2073" t="s">
        <v>131</v>
      </c>
      <c r="E2073">
        <v>12</v>
      </c>
      <c r="F2073">
        <v>2012</v>
      </c>
      <c r="G2073" t="s">
        <v>137</v>
      </c>
      <c r="J2073" t="s">
        <v>133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975"/>
        <v>14:44:47.289</v>
      </c>
      <c r="T2073" t="str">
        <f t="shared" si="976"/>
        <v>14:44:46.889</v>
      </c>
      <c r="U2073" t="str">
        <f t="shared" si="969"/>
        <v>A9808D</v>
      </c>
      <c r="V2073">
        <v>0</v>
      </c>
      <c r="W2073">
        <v>0</v>
      </c>
      <c r="X2073">
        <v>1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0</v>
      </c>
      <c r="AI2073" t="s">
        <v>533</v>
      </c>
      <c r="AJ2073">
        <v>28.264346</v>
      </c>
      <c r="AK2073" t="s">
        <v>534</v>
      </c>
      <c r="AL2073">
        <v>-82.347980000000007</v>
      </c>
      <c r="AM2073">
        <v>100</v>
      </c>
      <c r="AN2073">
        <v>2000</v>
      </c>
      <c r="AO2073" t="s">
        <v>118</v>
      </c>
      <c r="AP2073">
        <v>84</v>
      </c>
      <c r="AQ2073">
        <v>-62</v>
      </c>
      <c r="AR2073">
        <v>384</v>
      </c>
      <c r="AZ2073">
        <v>1200</v>
      </c>
      <c r="BA2073">
        <v>1</v>
      </c>
      <c r="BB2073" t="str">
        <f t="shared" si="979"/>
        <v xml:space="preserve">N711JA  </v>
      </c>
      <c r="BC2073">
        <v>1</v>
      </c>
      <c r="BE2073">
        <v>0</v>
      </c>
      <c r="BF2073">
        <v>0</v>
      </c>
      <c r="BG2073">
        <v>0</v>
      </c>
      <c r="BH2073">
        <v>2125</v>
      </c>
      <c r="BI2073">
        <v>1</v>
      </c>
      <c r="BJ2073">
        <v>1</v>
      </c>
      <c r="BK2073">
        <v>0</v>
      </c>
      <c r="BL2073">
        <v>0</v>
      </c>
      <c r="BO2073">
        <v>0</v>
      </c>
      <c r="BP2073">
        <v>0</v>
      </c>
      <c r="BW2073" t="str">
        <f t="shared" si="977"/>
        <v>14:44:47.290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343</v>
      </c>
      <c r="CR2073">
        <v>1</v>
      </c>
      <c r="CW2073">
        <v>10743554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 t="shared" si="974"/>
        <v>05/12/2020 14:44:29.462</v>
      </c>
      <c r="C2074" t="str">
        <f t="shared" si="978"/>
        <v>FFDFD3C0</v>
      </c>
      <c r="D2074" t="s">
        <v>131</v>
      </c>
      <c r="E2074">
        <v>18</v>
      </c>
      <c r="F2074">
        <v>2018</v>
      </c>
      <c r="G2074" t="s">
        <v>161</v>
      </c>
      <c r="J2074" t="s">
        <v>133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975"/>
        <v>14:44:47.289</v>
      </c>
      <c r="T2074" t="str">
        <f t="shared" si="976"/>
        <v>14:44:46.889</v>
      </c>
      <c r="U2074" t="str">
        <f t="shared" si="969"/>
        <v>A9808D</v>
      </c>
      <c r="V2074">
        <v>0</v>
      </c>
      <c r="W2074">
        <v>0</v>
      </c>
      <c r="X2074">
        <v>1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0</v>
      </c>
      <c r="AI2074" t="s">
        <v>533</v>
      </c>
      <c r="AJ2074">
        <v>28.264346</v>
      </c>
      <c r="AK2074" t="s">
        <v>534</v>
      </c>
      <c r="AL2074">
        <v>-82.347980000000007</v>
      </c>
      <c r="AM2074">
        <v>100</v>
      </c>
      <c r="AN2074">
        <v>2000</v>
      </c>
      <c r="AO2074" t="s">
        <v>118</v>
      </c>
      <c r="AP2074">
        <v>84</v>
      </c>
      <c r="AQ2074">
        <v>-62</v>
      </c>
      <c r="AR2074">
        <v>384</v>
      </c>
      <c r="AZ2074">
        <v>1200</v>
      </c>
      <c r="BA2074">
        <v>1</v>
      </c>
      <c r="BB2074" t="str">
        <f t="shared" si="979"/>
        <v xml:space="preserve">N711JA  </v>
      </c>
      <c r="BC2074">
        <v>1</v>
      </c>
      <c r="BE2074">
        <v>0</v>
      </c>
      <c r="BF2074">
        <v>0</v>
      </c>
      <c r="BG2074">
        <v>0</v>
      </c>
      <c r="BH2074">
        <v>2125</v>
      </c>
      <c r="BI2074">
        <v>1</v>
      </c>
      <c r="BJ2074">
        <v>1</v>
      </c>
      <c r="BK2074">
        <v>0</v>
      </c>
      <c r="BL2074">
        <v>0</v>
      </c>
      <c r="BO2074">
        <v>0</v>
      </c>
      <c r="BP2074">
        <v>0</v>
      </c>
      <c r="BW2074" t="str">
        <f t="shared" si="977"/>
        <v>14:44:47.290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343</v>
      </c>
      <c r="CR2074">
        <v>1</v>
      </c>
      <c r="CW2074">
        <v>10743554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 t="shared" ref="A2075:A2083" si="980">"05/12/2020 14:44:30.524"</f>
        <v>05/12/2020 14:44:30.524</v>
      </c>
      <c r="C2075" t="str">
        <f t="shared" si="978"/>
        <v>FFDFD3C0</v>
      </c>
      <c r="D2075" t="s">
        <v>138</v>
      </c>
      <c r="E2075">
        <v>2</v>
      </c>
      <c r="H2075">
        <v>8</v>
      </c>
      <c r="I2075" t="s">
        <v>139</v>
      </c>
      <c r="J2075" t="s">
        <v>136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ref="S2075:T2083" si="981">"14:44:48.352"</f>
        <v>14:44:48.352</v>
      </c>
      <c r="T2075" t="str">
        <f t="shared" si="981"/>
        <v>14:44:48.352</v>
      </c>
      <c r="U2075" t="str">
        <f t="shared" si="969"/>
        <v>A9808D</v>
      </c>
      <c r="V2075">
        <v>0</v>
      </c>
      <c r="W2075">
        <v>0</v>
      </c>
      <c r="X2075">
        <v>1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0</v>
      </c>
      <c r="AI2075" t="s">
        <v>535</v>
      </c>
      <c r="AJ2075">
        <v>28.264002999999999</v>
      </c>
      <c r="AK2075" t="s">
        <v>536</v>
      </c>
      <c r="AL2075">
        <v>-82.347486000000004</v>
      </c>
      <c r="AM2075">
        <v>100</v>
      </c>
      <c r="AN2075">
        <v>2000</v>
      </c>
      <c r="AO2075" t="s">
        <v>118</v>
      </c>
      <c r="AP2075">
        <v>84</v>
      </c>
      <c r="AQ2075">
        <v>-61</v>
      </c>
      <c r="AR2075">
        <v>320</v>
      </c>
      <c r="AZ2075">
        <v>1200</v>
      </c>
      <c r="BA2075">
        <v>1</v>
      </c>
      <c r="BB2075" t="str">
        <f t="shared" si="979"/>
        <v xml:space="preserve">N711JA  </v>
      </c>
      <c r="BC2075">
        <v>1</v>
      </c>
      <c r="BE2075">
        <v>0</v>
      </c>
      <c r="BF2075">
        <v>0</v>
      </c>
      <c r="BG2075">
        <v>0</v>
      </c>
      <c r="BH2075">
        <v>2125</v>
      </c>
      <c r="BI2075">
        <v>1</v>
      </c>
      <c r="BJ2075">
        <v>1</v>
      </c>
      <c r="BK2075">
        <v>0</v>
      </c>
      <c r="BL2075">
        <v>0</v>
      </c>
      <c r="BO2075">
        <v>0</v>
      </c>
      <c r="BP2075">
        <v>0</v>
      </c>
      <c r="BW2075" t="str">
        <f t="shared" ref="BW2075:BW2083" si="982">"14:44:48.352"</f>
        <v>14:44:48.352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343</v>
      </c>
      <c r="CR2075">
        <v>1</v>
      </c>
      <c r="CW2075">
        <v>10744620</v>
      </c>
      <c r="CY2075">
        <v>1</v>
      </c>
      <c r="CZ2075">
        <v>0</v>
      </c>
      <c r="DA2075">
        <v>0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 t="shared" si="980"/>
        <v>05/12/2020 14:44:30.524</v>
      </c>
      <c r="C2076" t="str">
        <f t="shared" si="978"/>
        <v>FFDFD3C0</v>
      </c>
      <c r="D2076" t="s">
        <v>138</v>
      </c>
      <c r="E2076">
        <v>3</v>
      </c>
      <c r="H2076">
        <v>9</v>
      </c>
      <c r="I2076" t="s">
        <v>140</v>
      </c>
      <c r="J2076" t="s">
        <v>136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981"/>
        <v>14:44:48.352</v>
      </c>
      <c r="T2076" t="str">
        <f t="shared" si="981"/>
        <v>14:44:48.352</v>
      </c>
      <c r="U2076" t="str">
        <f t="shared" si="969"/>
        <v>A9808D</v>
      </c>
      <c r="V2076">
        <v>0</v>
      </c>
      <c r="W2076">
        <v>0</v>
      </c>
      <c r="X2076">
        <v>1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0</v>
      </c>
      <c r="AI2076" t="s">
        <v>535</v>
      </c>
      <c r="AJ2076">
        <v>28.264002999999999</v>
      </c>
      <c r="AK2076" t="s">
        <v>536</v>
      </c>
      <c r="AL2076">
        <v>-82.347486000000004</v>
      </c>
      <c r="AM2076">
        <v>100</v>
      </c>
      <c r="AN2076">
        <v>2000</v>
      </c>
      <c r="AO2076" t="s">
        <v>118</v>
      </c>
      <c r="AP2076">
        <v>84</v>
      </c>
      <c r="AQ2076">
        <v>-61</v>
      </c>
      <c r="AR2076">
        <v>320</v>
      </c>
      <c r="AZ2076">
        <v>1200</v>
      </c>
      <c r="BA2076">
        <v>1</v>
      </c>
      <c r="BB2076" t="str">
        <f t="shared" si="979"/>
        <v xml:space="preserve">N711JA  </v>
      </c>
      <c r="BC2076">
        <v>1</v>
      </c>
      <c r="BE2076">
        <v>0</v>
      </c>
      <c r="BF2076">
        <v>0</v>
      </c>
      <c r="BG2076">
        <v>0</v>
      </c>
      <c r="BH2076">
        <v>2125</v>
      </c>
      <c r="BI2076">
        <v>1</v>
      </c>
      <c r="BJ2076">
        <v>1</v>
      </c>
      <c r="BK2076">
        <v>0</v>
      </c>
      <c r="BL2076">
        <v>0</v>
      </c>
      <c r="BO2076">
        <v>0</v>
      </c>
      <c r="BP2076">
        <v>0</v>
      </c>
      <c r="BW2076" t="str">
        <f t="shared" si="982"/>
        <v>14:44:48.352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343</v>
      </c>
      <c r="CR2076">
        <v>1</v>
      </c>
      <c r="CW2076">
        <v>10744620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 t="shared" si="980"/>
        <v>05/12/2020 14:44:30.524</v>
      </c>
      <c r="C2077" t="str">
        <f t="shared" si="978"/>
        <v>FFDFD3C0</v>
      </c>
      <c r="D2077" t="s">
        <v>113</v>
      </c>
      <c r="E2077">
        <v>3</v>
      </c>
      <c r="H2077">
        <v>164</v>
      </c>
      <c r="I2077" t="s">
        <v>114</v>
      </c>
      <c r="J2077" t="s">
        <v>115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981"/>
        <v>14:44:48.352</v>
      </c>
      <c r="T2077" t="str">
        <f t="shared" si="981"/>
        <v>14:44:48.352</v>
      </c>
      <c r="U2077" t="str">
        <f t="shared" si="969"/>
        <v>A9808D</v>
      </c>
      <c r="V2077">
        <v>0</v>
      </c>
      <c r="W2077">
        <v>0</v>
      </c>
      <c r="X2077">
        <v>1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0</v>
      </c>
      <c r="AI2077" t="s">
        <v>535</v>
      </c>
      <c r="AJ2077">
        <v>28.264002999999999</v>
      </c>
      <c r="AK2077" t="s">
        <v>536</v>
      </c>
      <c r="AL2077">
        <v>-82.347486000000004</v>
      </c>
      <c r="AM2077">
        <v>100</v>
      </c>
      <c r="AN2077">
        <v>2000</v>
      </c>
      <c r="AO2077" t="s">
        <v>118</v>
      </c>
      <c r="AP2077">
        <v>84</v>
      </c>
      <c r="AQ2077">
        <v>-61</v>
      </c>
      <c r="AR2077">
        <v>320</v>
      </c>
      <c r="AZ2077">
        <v>1200</v>
      </c>
      <c r="BA2077">
        <v>1</v>
      </c>
      <c r="BB2077" t="str">
        <f t="shared" si="979"/>
        <v xml:space="preserve">N711JA  </v>
      </c>
      <c r="BC2077">
        <v>1</v>
      </c>
      <c r="BE2077">
        <v>0</v>
      </c>
      <c r="BF2077">
        <v>0</v>
      </c>
      <c r="BG2077">
        <v>0</v>
      </c>
      <c r="BH2077">
        <v>2125</v>
      </c>
      <c r="BI2077">
        <v>1</v>
      </c>
      <c r="BJ2077">
        <v>1</v>
      </c>
      <c r="BK2077">
        <v>0</v>
      </c>
      <c r="BL2077">
        <v>0</v>
      </c>
      <c r="BO2077">
        <v>0</v>
      </c>
      <c r="BP2077">
        <v>0</v>
      </c>
      <c r="BW2077" t="str">
        <f t="shared" si="982"/>
        <v>14:44:48.352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343</v>
      </c>
      <c r="CR2077">
        <v>1</v>
      </c>
      <c r="CW2077">
        <v>10744620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 t="shared" si="980"/>
        <v>05/12/2020 14:44:30.524</v>
      </c>
      <c r="C2078" t="str">
        <f t="shared" si="978"/>
        <v>FFDFD3C0</v>
      </c>
      <c r="D2078" t="s">
        <v>126</v>
      </c>
      <c r="E2078">
        <v>6</v>
      </c>
      <c r="F2078">
        <v>1006</v>
      </c>
      <c r="G2078" t="s">
        <v>114</v>
      </c>
      <c r="J2078" t="s">
        <v>128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981"/>
        <v>14:44:48.352</v>
      </c>
      <c r="T2078" t="str">
        <f t="shared" si="981"/>
        <v>14:44:48.352</v>
      </c>
      <c r="U2078" t="str">
        <f t="shared" si="969"/>
        <v>A9808D</v>
      </c>
      <c r="V2078">
        <v>0</v>
      </c>
      <c r="W2078">
        <v>0</v>
      </c>
      <c r="X2078">
        <v>1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0</v>
      </c>
      <c r="AI2078" t="s">
        <v>535</v>
      </c>
      <c r="AJ2078">
        <v>28.264002999999999</v>
      </c>
      <c r="AK2078" t="s">
        <v>536</v>
      </c>
      <c r="AL2078">
        <v>-82.347486000000004</v>
      </c>
      <c r="AM2078">
        <v>100</v>
      </c>
      <c r="AN2078">
        <v>2000</v>
      </c>
      <c r="AO2078" t="s">
        <v>118</v>
      </c>
      <c r="AP2078">
        <v>84</v>
      </c>
      <c r="AQ2078">
        <v>-61</v>
      </c>
      <c r="AR2078">
        <v>320</v>
      </c>
      <c r="AZ2078">
        <v>1200</v>
      </c>
      <c r="BA2078">
        <v>1</v>
      </c>
      <c r="BB2078" t="str">
        <f t="shared" si="979"/>
        <v xml:space="preserve">N711JA  </v>
      </c>
      <c r="BC2078">
        <v>1</v>
      </c>
      <c r="BE2078">
        <v>0</v>
      </c>
      <c r="BF2078">
        <v>0</v>
      </c>
      <c r="BG2078">
        <v>0</v>
      </c>
      <c r="BH2078">
        <v>2125</v>
      </c>
      <c r="BI2078">
        <v>1</v>
      </c>
      <c r="BJ2078">
        <v>1</v>
      </c>
      <c r="BK2078">
        <v>0</v>
      </c>
      <c r="BL2078">
        <v>0</v>
      </c>
      <c r="BO2078">
        <v>0</v>
      </c>
      <c r="BP2078">
        <v>0</v>
      </c>
      <c r="BW2078" t="str">
        <f t="shared" si="982"/>
        <v>14:44:48.352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343</v>
      </c>
      <c r="CR2078">
        <v>1</v>
      </c>
      <c r="CW2078">
        <v>10744620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 t="shared" si="980"/>
        <v>05/12/2020 14:44:30.524</v>
      </c>
      <c r="C2079" t="str">
        <f t="shared" si="978"/>
        <v>FFDFD3C0</v>
      </c>
      <c r="D2079" t="s">
        <v>126</v>
      </c>
      <c r="E2079">
        <v>7</v>
      </c>
      <c r="F2079">
        <v>1007</v>
      </c>
      <c r="G2079" t="s">
        <v>127</v>
      </c>
      <c r="J2079" t="s">
        <v>128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981"/>
        <v>14:44:48.352</v>
      </c>
      <c r="T2079" t="str">
        <f t="shared" si="981"/>
        <v>14:44:48.352</v>
      </c>
      <c r="U2079" t="str">
        <f t="shared" si="969"/>
        <v>A9808D</v>
      </c>
      <c r="V2079">
        <v>0</v>
      </c>
      <c r="W2079">
        <v>0</v>
      </c>
      <c r="X2079">
        <v>1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0</v>
      </c>
      <c r="AI2079" t="s">
        <v>535</v>
      </c>
      <c r="AJ2079">
        <v>28.264002999999999</v>
      </c>
      <c r="AK2079" t="s">
        <v>536</v>
      </c>
      <c r="AL2079">
        <v>-82.347486000000004</v>
      </c>
      <c r="AM2079">
        <v>100</v>
      </c>
      <c r="AN2079">
        <v>2000</v>
      </c>
      <c r="AO2079" t="s">
        <v>118</v>
      </c>
      <c r="AP2079">
        <v>84</v>
      </c>
      <c r="AQ2079">
        <v>-61</v>
      </c>
      <c r="AR2079">
        <v>320</v>
      </c>
      <c r="AZ2079">
        <v>1200</v>
      </c>
      <c r="BA2079">
        <v>1</v>
      </c>
      <c r="BB2079" t="str">
        <f t="shared" si="979"/>
        <v xml:space="preserve">N711JA  </v>
      </c>
      <c r="BC2079">
        <v>1</v>
      </c>
      <c r="BE2079">
        <v>0</v>
      </c>
      <c r="BF2079">
        <v>0</v>
      </c>
      <c r="BG2079">
        <v>0</v>
      </c>
      <c r="BH2079">
        <v>2125</v>
      </c>
      <c r="BI2079">
        <v>1</v>
      </c>
      <c r="BJ2079">
        <v>1</v>
      </c>
      <c r="BK2079">
        <v>0</v>
      </c>
      <c r="BL2079">
        <v>0</v>
      </c>
      <c r="BO2079">
        <v>0</v>
      </c>
      <c r="BP2079">
        <v>0</v>
      </c>
      <c r="BW2079" t="str">
        <f t="shared" si="982"/>
        <v>14:44:48.352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343</v>
      </c>
      <c r="CR2079">
        <v>1</v>
      </c>
      <c r="CW2079">
        <v>10744620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 t="shared" si="980"/>
        <v>05/12/2020 14:44:30.524</v>
      </c>
      <c r="C2080" t="str">
        <f t="shared" si="978"/>
        <v>FFDFD3C0</v>
      </c>
      <c r="D2080" t="s">
        <v>134</v>
      </c>
      <c r="E2080">
        <v>12</v>
      </c>
      <c r="H2080">
        <v>64</v>
      </c>
      <c r="I2080" t="s">
        <v>135</v>
      </c>
      <c r="J2080" t="s">
        <v>136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981"/>
        <v>14:44:48.352</v>
      </c>
      <c r="T2080" t="str">
        <f t="shared" si="981"/>
        <v>14:44:48.352</v>
      </c>
      <c r="U2080" t="str">
        <f t="shared" si="969"/>
        <v>A9808D</v>
      </c>
      <c r="V2080">
        <v>0</v>
      </c>
      <c r="W2080">
        <v>0</v>
      </c>
      <c r="X2080">
        <v>1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0</v>
      </c>
      <c r="AI2080" t="s">
        <v>535</v>
      </c>
      <c r="AJ2080">
        <v>28.264002999999999</v>
      </c>
      <c r="AK2080" t="s">
        <v>536</v>
      </c>
      <c r="AL2080">
        <v>-82.347486000000004</v>
      </c>
      <c r="AM2080">
        <v>100</v>
      </c>
      <c r="AN2080">
        <v>2000</v>
      </c>
      <c r="AO2080" t="s">
        <v>118</v>
      </c>
      <c r="AP2080">
        <v>84</v>
      </c>
      <c r="AQ2080">
        <v>-61</v>
      </c>
      <c r="AR2080">
        <v>320</v>
      </c>
      <c r="AZ2080">
        <v>1200</v>
      </c>
      <c r="BA2080">
        <v>1</v>
      </c>
      <c r="BB2080" t="str">
        <f t="shared" si="979"/>
        <v xml:space="preserve">N711JA  </v>
      </c>
      <c r="BC2080">
        <v>1</v>
      </c>
      <c r="BE2080">
        <v>0</v>
      </c>
      <c r="BF2080">
        <v>0</v>
      </c>
      <c r="BG2080">
        <v>0</v>
      </c>
      <c r="BH2080">
        <v>2125</v>
      </c>
      <c r="BI2080">
        <v>1</v>
      </c>
      <c r="BJ2080">
        <v>1</v>
      </c>
      <c r="BK2080">
        <v>0</v>
      </c>
      <c r="BL2080">
        <v>0</v>
      </c>
      <c r="BO2080">
        <v>0</v>
      </c>
      <c r="BP2080">
        <v>0</v>
      </c>
      <c r="BW2080" t="str">
        <f t="shared" si="982"/>
        <v>14:44:48.352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343</v>
      </c>
      <c r="CR2080">
        <v>1</v>
      </c>
      <c r="CW2080">
        <v>10744620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 t="shared" si="980"/>
        <v>05/12/2020 14:44:30.524</v>
      </c>
      <c r="C2081" t="str">
        <f t="shared" si="978"/>
        <v>FFDFD3C0</v>
      </c>
      <c r="D2081" t="s">
        <v>131</v>
      </c>
      <c r="E2081">
        <v>10</v>
      </c>
      <c r="F2081">
        <v>2010</v>
      </c>
      <c r="G2081" t="s">
        <v>132</v>
      </c>
      <c r="J2081" t="s">
        <v>133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981"/>
        <v>14:44:48.352</v>
      </c>
      <c r="T2081" t="str">
        <f t="shared" si="981"/>
        <v>14:44:48.352</v>
      </c>
      <c r="U2081" t="str">
        <f t="shared" si="969"/>
        <v>A9808D</v>
      </c>
      <c r="V2081">
        <v>0</v>
      </c>
      <c r="W2081">
        <v>0</v>
      </c>
      <c r="X2081">
        <v>1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0</v>
      </c>
      <c r="AI2081" t="s">
        <v>535</v>
      </c>
      <c r="AJ2081">
        <v>28.264002999999999</v>
      </c>
      <c r="AK2081" t="s">
        <v>536</v>
      </c>
      <c r="AL2081">
        <v>-82.347486000000004</v>
      </c>
      <c r="AM2081">
        <v>100</v>
      </c>
      <c r="AN2081">
        <v>2000</v>
      </c>
      <c r="AO2081" t="s">
        <v>118</v>
      </c>
      <c r="AP2081">
        <v>84</v>
      </c>
      <c r="AQ2081">
        <v>-61</v>
      </c>
      <c r="AR2081">
        <v>320</v>
      </c>
      <c r="AZ2081">
        <v>1200</v>
      </c>
      <c r="BA2081">
        <v>1</v>
      </c>
      <c r="BB2081" t="str">
        <f t="shared" si="979"/>
        <v xml:space="preserve">N711JA  </v>
      </c>
      <c r="BC2081">
        <v>1</v>
      </c>
      <c r="BE2081">
        <v>0</v>
      </c>
      <c r="BF2081">
        <v>0</v>
      </c>
      <c r="BG2081">
        <v>0</v>
      </c>
      <c r="BH2081">
        <v>2125</v>
      </c>
      <c r="BI2081">
        <v>1</v>
      </c>
      <c r="BJ2081">
        <v>1</v>
      </c>
      <c r="BK2081">
        <v>0</v>
      </c>
      <c r="BL2081">
        <v>0</v>
      </c>
      <c r="BO2081">
        <v>0</v>
      </c>
      <c r="BP2081">
        <v>0</v>
      </c>
      <c r="BW2081" t="str">
        <f t="shared" si="982"/>
        <v>14:44:48.352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343</v>
      </c>
      <c r="CR2081">
        <v>1</v>
      </c>
      <c r="CW2081">
        <v>10744620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 t="shared" si="980"/>
        <v>05/12/2020 14:44:30.524</v>
      </c>
      <c r="C2082" t="str">
        <f t="shared" si="978"/>
        <v>FFDFD3C0</v>
      </c>
      <c r="D2082" t="s">
        <v>131</v>
      </c>
      <c r="E2082">
        <v>12</v>
      </c>
      <c r="F2082">
        <v>2012</v>
      </c>
      <c r="G2082" t="s">
        <v>137</v>
      </c>
      <c r="J2082" t="s">
        <v>133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981"/>
        <v>14:44:48.352</v>
      </c>
      <c r="T2082" t="str">
        <f t="shared" si="981"/>
        <v>14:44:48.352</v>
      </c>
      <c r="U2082" t="str">
        <f t="shared" si="969"/>
        <v>A9808D</v>
      </c>
      <c r="V2082">
        <v>0</v>
      </c>
      <c r="W2082">
        <v>0</v>
      </c>
      <c r="X2082">
        <v>1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0</v>
      </c>
      <c r="AI2082" t="s">
        <v>535</v>
      </c>
      <c r="AJ2082">
        <v>28.264002999999999</v>
      </c>
      <c r="AK2082" t="s">
        <v>536</v>
      </c>
      <c r="AL2082">
        <v>-82.347486000000004</v>
      </c>
      <c r="AM2082">
        <v>100</v>
      </c>
      <c r="AN2082">
        <v>2000</v>
      </c>
      <c r="AO2082" t="s">
        <v>118</v>
      </c>
      <c r="AP2082">
        <v>84</v>
      </c>
      <c r="AQ2082">
        <v>-61</v>
      </c>
      <c r="AR2082">
        <v>320</v>
      </c>
      <c r="AZ2082">
        <v>1200</v>
      </c>
      <c r="BA2082">
        <v>1</v>
      </c>
      <c r="BB2082" t="str">
        <f t="shared" si="979"/>
        <v xml:space="preserve">N711JA  </v>
      </c>
      <c r="BC2082">
        <v>1</v>
      </c>
      <c r="BE2082">
        <v>0</v>
      </c>
      <c r="BF2082">
        <v>0</v>
      </c>
      <c r="BG2082">
        <v>0</v>
      </c>
      <c r="BH2082">
        <v>2125</v>
      </c>
      <c r="BI2082">
        <v>1</v>
      </c>
      <c r="BJ2082">
        <v>1</v>
      </c>
      <c r="BK2082">
        <v>0</v>
      </c>
      <c r="BL2082">
        <v>0</v>
      </c>
      <c r="BO2082">
        <v>0</v>
      </c>
      <c r="BP2082">
        <v>0</v>
      </c>
      <c r="BW2082" t="str">
        <f t="shared" si="982"/>
        <v>14:44:48.352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343</v>
      </c>
      <c r="CR2082">
        <v>1</v>
      </c>
      <c r="CW2082">
        <v>10744620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 t="shared" si="980"/>
        <v>05/12/2020 14:44:30.524</v>
      </c>
      <c r="C2083" t="str">
        <f t="shared" si="978"/>
        <v>FFDFD3C0</v>
      </c>
      <c r="D2083" t="s">
        <v>131</v>
      </c>
      <c r="E2083">
        <v>18</v>
      </c>
      <c r="F2083">
        <v>2018</v>
      </c>
      <c r="G2083" t="s">
        <v>161</v>
      </c>
      <c r="J2083" t="s">
        <v>133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981"/>
        <v>14:44:48.352</v>
      </c>
      <c r="T2083" t="str">
        <f t="shared" si="981"/>
        <v>14:44:48.352</v>
      </c>
      <c r="U2083" t="str">
        <f t="shared" si="969"/>
        <v>A9808D</v>
      </c>
      <c r="V2083">
        <v>0</v>
      </c>
      <c r="W2083">
        <v>0</v>
      </c>
      <c r="X2083">
        <v>1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0</v>
      </c>
      <c r="AI2083" t="s">
        <v>535</v>
      </c>
      <c r="AJ2083">
        <v>28.264002999999999</v>
      </c>
      <c r="AK2083" t="s">
        <v>536</v>
      </c>
      <c r="AL2083">
        <v>-82.347486000000004</v>
      </c>
      <c r="AM2083">
        <v>100</v>
      </c>
      <c r="AN2083">
        <v>2000</v>
      </c>
      <c r="AO2083" t="s">
        <v>118</v>
      </c>
      <c r="AP2083">
        <v>84</v>
      </c>
      <c r="AQ2083">
        <v>-61</v>
      </c>
      <c r="AR2083">
        <v>320</v>
      </c>
      <c r="AZ2083">
        <v>1200</v>
      </c>
      <c r="BA2083">
        <v>1</v>
      </c>
      <c r="BB2083" t="str">
        <f t="shared" si="979"/>
        <v xml:space="preserve">N711JA  </v>
      </c>
      <c r="BC2083">
        <v>1</v>
      </c>
      <c r="BE2083">
        <v>0</v>
      </c>
      <c r="BF2083">
        <v>0</v>
      </c>
      <c r="BG2083">
        <v>0</v>
      </c>
      <c r="BH2083">
        <v>2125</v>
      </c>
      <c r="BI2083">
        <v>1</v>
      </c>
      <c r="BJ2083">
        <v>1</v>
      </c>
      <c r="BK2083">
        <v>0</v>
      </c>
      <c r="BL2083">
        <v>0</v>
      </c>
      <c r="BO2083">
        <v>0</v>
      </c>
      <c r="BP2083">
        <v>0</v>
      </c>
      <c r="BW2083" t="str">
        <f t="shared" si="982"/>
        <v>14:44:48.352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343</v>
      </c>
      <c r="CR2083">
        <v>1</v>
      </c>
      <c r="CW2083">
        <v>10744620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 t="shared" ref="A2084:A2092" si="983">"05/12/2020 14:44:31.551"</f>
        <v>05/12/2020 14:44:31.551</v>
      </c>
      <c r="C2084" t="str">
        <f t="shared" si="978"/>
        <v>FFDFD3C0</v>
      </c>
      <c r="D2084" t="s">
        <v>131</v>
      </c>
      <c r="E2084">
        <v>10</v>
      </c>
      <c r="F2084">
        <v>2010</v>
      </c>
      <c r="G2084" t="s">
        <v>132</v>
      </c>
      <c r="J2084" t="s">
        <v>133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ref="S2084:S2092" si="984">"14:44:49.367"</f>
        <v>14:44:49.367</v>
      </c>
      <c r="T2084" t="str">
        <f t="shared" ref="T2084:T2092" si="985">"14:44:49.267"</f>
        <v>14:44:49.267</v>
      </c>
      <c r="U2084" t="str">
        <f t="shared" si="969"/>
        <v>A9808D</v>
      </c>
      <c r="V2084">
        <v>0</v>
      </c>
      <c r="W2084">
        <v>0</v>
      </c>
      <c r="X2084">
        <v>1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0</v>
      </c>
      <c r="AI2084" t="s">
        <v>537</v>
      </c>
      <c r="AJ2084">
        <v>28.263724</v>
      </c>
      <c r="AK2084" t="s">
        <v>538</v>
      </c>
      <c r="AL2084">
        <v>-82.347057000000007</v>
      </c>
      <c r="AM2084">
        <v>100</v>
      </c>
      <c r="AN2084">
        <v>2000</v>
      </c>
      <c r="AO2084" t="s">
        <v>118</v>
      </c>
      <c r="AP2084">
        <v>85</v>
      </c>
      <c r="AQ2084">
        <v>-61</v>
      </c>
      <c r="AR2084">
        <v>384</v>
      </c>
      <c r="AZ2084">
        <v>1200</v>
      </c>
      <c r="BA2084">
        <v>1</v>
      </c>
      <c r="BB2084" t="str">
        <f t="shared" si="979"/>
        <v xml:space="preserve">N711JA  </v>
      </c>
      <c r="BC2084">
        <v>1</v>
      </c>
      <c r="BE2084">
        <v>0</v>
      </c>
      <c r="BF2084">
        <v>0</v>
      </c>
      <c r="BG2084">
        <v>0</v>
      </c>
      <c r="BH2084">
        <v>2125</v>
      </c>
      <c r="BI2084">
        <v>1</v>
      </c>
      <c r="BJ2084">
        <v>1</v>
      </c>
      <c r="BK2084">
        <v>0</v>
      </c>
      <c r="BL2084">
        <v>0</v>
      </c>
      <c r="BO2084">
        <v>0</v>
      </c>
      <c r="BP2084">
        <v>0</v>
      </c>
      <c r="BW2084" t="str">
        <f t="shared" ref="BW2084:BW2092" si="986">"14:44:49.368"</f>
        <v>14:44:49.368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343</v>
      </c>
      <c r="CR2084">
        <v>1</v>
      </c>
      <c r="CW2084">
        <v>10745749</v>
      </c>
      <c r="CY2084">
        <v>1</v>
      </c>
      <c r="CZ2084">
        <v>0</v>
      </c>
      <c r="DA2084">
        <v>0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 t="shared" si="983"/>
        <v>05/12/2020 14:44:31.551</v>
      </c>
      <c r="C2085" t="str">
        <f t="shared" si="978"/>
        <v>FFDFD3C0</v>
      </c>
      <c r="D2085" t="s">
        <v>126</v>
      </c>
      <c r="E2085">
        <v>6</v>
      </c>
      <c r="F2085">
        <v>1006</v>
      </c>
      <c r="G2085" t="s">
        <v>114</v>
      </c>
      <c r="J2085" t="s">
        <v>128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984"/>
        <v>14:44:49.367</v>
      </c>
      <c r="T2085" t="str">
        <f t="shared" si="985"/>
        <v>14:44:49.267</v>
      </c>
      <c r="U2085" t="str">
        <f t="shared" si="969"/>
        <v>A9808D</v>
      </c>
      <c r="V2085">
        <v>0</v>
      </c>
      <c r="W2085">
        <v>0</v>
      </c>
      <c r="X2085">
        <v>1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0</v>
      </c>
      <c r="AI2085" t="s">
        <v>537</v>
      </c>
      <c r="AJ2085">
        <v>28.263724</v>
      </c>
      <c r="AK2085" t="s">
        <v>538</v>
      </c>
      <c r="AL2085">
        <v>-82.347057000000007</v>
      </c>
      <c r="AM2085">
        <v>100</v>
      </c>
      <c r="AN2085">
        <v>2000</v>
      </c>
      <c r="AO2085" t="s">
        <v>118</v>
      </c>
      <c r="AP2085">
        <v>85</v>
      </c>
      <c r="AQ2085">
        <v>-61</v>
      </c>
      <c r="AR2085">
        <v>384</v>
      </c>
      <c r="AZ2085">
        <v>1200</v>
      </c>
      <c r="BA2085">
        <v>1</v>
      </c>
      <c r="BB2085" t="str">
        <f t="shared" si="979"/>
        <v xml:space="preserve">N711JA  </v>
      </c>
      <c r="BC2085">
        <v>1</v>
      </c>
      <c r="BE2085">
        <v>0</v>
      </c>
      <c r="BF2085">
        <v>0</v>
      </c>
      <c r="BG2085">
        <v>0</v>
      </c>
      <c r="BH2085">
        <v>2125</v>
      </c>
      <c r="BI2085">
        <v>1</v>
      </c>
      <c r="BJ2085">
        <v>1</v>
      </c>
      <c r="BK2085">
        <v>0</v>
      </c>
      <c r="BL2085">
        <v>0</v>
      </c>
      <c r="BO2085">
        <v>0</v>
      </c>
      <c r="BP2085">
        <v>0</v>
      </c>
      <c r="BW2085" t="str">
        <f t="shared" si="986"/>
        <v>14:44:49.368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343</v>
      </c>
      <c r="CR2085">
        <v>1</v>
      </c>
      <c r="CW2085">
        <v>10745749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 t="shared" si="983"/>
        <v>05/12/2020 14:44:31.551</v>
      </c>
      <c r="C2086" t="str">
        <f t="shared" si="978"/>
        <v>FFDFD3C0</v>
      </c>
      <c r="D2086" t="s">
        <v>113</v>
      </c>
      <c r="E2086">
        <v>3</v>
      </c>
      <c r="H2086">
        <v>164</v>
      </c>
      <c r="I2086" t="s">
        <v>114</v>
      </c>
      <c r="J2086" t="s">
        <v>115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984"/>
        <v>14:44:49.367</v>
      </c>
      <c r="T2086" t="str">
        <f t="shared" si="985"/>
        <v>14:44:49.267</v>
      </c>
      <c r="U2086" t="str">
        <f t="shared" si="969"/>
        <v>A9808D</v>
      </c>
      <c r="V2086">
        <v>0</v>
      </c>
      <c r="W2086">
        <v>0</v>
      </c>
      <c r="X2086">
        <v>1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0</v>
      </c>
      <c r="AI2086" t="s">
        <v>537</v>
      </c>
      <c r="AJ2086">
        <v>28.263724</v>
      </c>
      <c r="AK2086" t="s">
        <v>538</v>
      </c>
      <c r="AL2086">
        <v>-82.347057000000007</v>
      </c>
      <c r="AM2086">
        <v>100</v>
      </c>
      <c r="AN2086">
        <v>2000</v>
      </c>
      <c r="AO2086" t="s">
        <v>118</v>
      </c>
      <c r="AP2086">
        <v>85</v>
      </c>
      <c r="AQ2086">
        <v>-61</v>
      </c>
      <c r="AR2086">
        <v>384</v>
      </c>
      <c r="AZ2086">
        <v>1200</v>
      </c>
      <c r="BA2086">
        <v>1</v>
      </c>
      <c r="BB2086" t="str">
        <f t="shared" si="979"/>
        <v xml:space="preserve">N711JA  </v>
      </c>
      <c r="BC2086">
        <v>1</v>
      </c>
      <c r="BE2086">
        <v>0</v>
      </c>
      <c r="BF2086">
        <v>0</v>
      </c>
      <c r="BG2086">
        <v>0</v>
      </c>
      <c r="BH2086">
        <v>2125</v>
      </c>
      <c r="BI2086">
        <v>1</v>
      </c>
      <c r="BJ2086">
        <v>1</v>
      </c>
      <c r="BK2086">
        <v>0</v>
      </c>
      <c r="BL2086">
        <v>0</v>
      </c>
      <c r="BO2086">
        <v>0</v>
      </c>
      <c r="BP2086">
        <v>0</v>
      </c>
      <c r="BW2086" t="str">
        <f t="shared" si="986"/>
        <v>14:44:49.368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343</v>
      </c>
      <c r="CR2086">
        <v>1</v>
      </c>
      <c r="CW2086">
        <v>10745749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 t="shared" si="983"/>
        <v>05/12/2020 14:44:31.551</v>
      </c>
      <c r="C2087" t="str">
        <f t="shared" si="978"/>
        <v>FFDFD3C0</v>
      </c>
      <c r="D2087" t="s">
        <v>131</v>
      </c>
      <c r="E2087">
        <v>12</v>
      </c>
      <c r="F2087">
        <v>2012</v>
      </c>
      <c r="G2087" t="s">
        <v>137</v>
      </c>
      <c r="J2087" t="s">
        <v>133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984"/>
        <v>14:44:49.367</v>
      </c>
      <c r="T2087" t="str">
        <f t="shared" si="985"/>
        <v>14:44:49.267</v>
      </c>
      <c r="U2087" t="str">
        <f t="shared" si="969"/>
        <v>A9808D</v>
      </c>
      <c r="V2087">
        <v>0</v>
      </c>
      <c r="W2087">
        <v>0</v>
      </c>
      <c r="X2087">
        <v>1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0</v>
      </c>
      <c r="AI2087" t="s">
        <v>537</v>
      </c>
      <c r="AJ2087">
        <v>28.263724</v>
      </c>
      <c r="AK2087" t="s">
        <v>538</v>
      </c>
      <c r="AL2087">
        <v>-82.347057000000007</v>
      </c>
      <c r="AM2087">
        <v>100</v>
      </c>
      <c r="AN2087">
        <v>2000</v>
      </c>
      <c r="AO2087" t="s">
        <v>118</v>
      </c>
      <c r="AP2087">
        <v>85</v>
      </c>
      <c r="AQ2087">
        <v>-61</v>
      </c>
      <c r="AR2087">
        <v>384</v>
      </c>
      <c r="AZ2087">
        <v>1200</v>
      </c>
      <c r="BA2087">
        <v>1</v>
      </c>
      <c r="BB2087" t="str">
        <f t="shared" si="979"/>
        <v xml:space="preserve">N711JA  </v>
      </c>
      <c r="BC2087">
        <v>1</v>
      </c>
      <c r="BE2087">
        <v>0</v>
      </c>
      <c r="BF2087">
        <v>0</v>
      </c>
      <c r="BG2087">
        <v>0</v>
      </c>
      <c r="BH2087">
        <v>2125</v>
      </c>
      <c r="BI2087">
        <v>1</v>
      </c>
      <c r="BJ2087">
        <v>1</v>
      </c>
      <c r="BK2087">
        <v>0</v>
      </c>
      <c r="BL2087">
        <v>0</v>
      </c>
      <c r="BO2087">
        <v>0</v>
      </c>
      <c r="BP2087">
        <v>0</v>
      </c>
      <c r="BW2087" t="str">
        <f t="shared" si="986"/>
        <v>14:44:49.368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343</v>
      </c>
      <c r="CR2087">
        <v>1</v>
      </c>
      <c r="CW2087">
        <v>10745749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 t="shared" si="983"/>
        <v>05/12/2020 14:44:31.551</v>
      </c>
      <c r="C2088" t="str">
        <f t="shared" si="978"/>
        <v>FFDFD3C0</v>
      </c>
      <c r="D2088" t="s">
        <v>134</v>
      </c>
      <c r="E2088">
        <v>12</v>
      </c>
      <c r="H2088">
        <v>64</v>
      </c>
      <c r="I2088" t="s">
        <v>135</v>
      </c>
      <c r="J2088" t="s">
        <v>136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984"/>
        <v>14:44:49.367</v>
      </c>
      <c r="T2088" t="str">
        <f t="shared" si="985"/>
        <v>14:44:49.267</v>
      </c>
      <c r="U2088" t="str">
        <f t="shared" si="969"/>
        <v>A9808D</v>
      </c>
      <c r="V2088">
        <v>0</v>
      </c>
      <c r="W2088">
        <v>0</v>
      </c>
      <c r="X2088">
        <v>1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0</v>
      </c>
      <c r="AI2088" t="s">
        <v>537</v>
      </c>
      <c r="AJ2088">
        <v>28.263724</v>
      </c>
      <c r="AK2088" t="s">
        <v>538</v>
      </c>
      <c r="AL2088">
        <v>-82.347057000000007</v>
      </c>
      <c r="AM2088">
        <v>100</v>
      </c>
      <c r="AN2088">
        <v>2000</v>
      </c>
      <c r="AO2088" t="s">
        <v>118</v>
      </c>
      <c r="AP2088">
        <v>85</v>
      </c>
      <c r="AQ2088">
        <v>-61</v>
      </c>
      <c r="AR2088">
        <v>384</v>
      </c>
      <c r="AZ2088">
        <v>1200</v>
      </c>
      <c r="BA2088">
        <v>1</v>
      </c>
      <c r="BB2088" t="str">
        <f t="shared" si="979"/>
        <v xml:space="preserve">N711JA  </v>
      </c>
      <c r="BC2088">
        <v>1</v>
      </c>
      <c r="BE2088">
        <v>0</v>
      </c>
      <c r="BF2088">
        <v>0</v>
      </c>
      <c r="BG2088">
        <v>0</v>
      </c>
      <c r="BH2088">
        <v>2125</v>
      </c>
      <c r="BI2088">
        <v>1</v>
      </c>
      <c r="BJ2088">
        <v>1</v>
      </c>
      <c r="BK2088">
        <v>0</v>
      </c>
      <c r="BL2088">
        <v>0</v>
      </c>
      <c r="BO2088">
        <v>0</v>
      </c>
      <c r="BP2088">
        <v>0</v>
      </c>
      <c r="BW2088" t="str">
        <f t="shared" si="986"/>
        <v>14:44:49.368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343</v>
      </c>
      <c r="CR2088">
        <v>1</v>
      </c>
      <c r="CW2088">
        <v>10745749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 t="shared" si="983"/>
        <v>05/12/2020 14:44:31.551</v>
      </c>
      <c r="C2089" t="str">
        <f t="shared" si="978"/>
        <v>FFDFD3C0</v>
      </c>
      <c r="D2089" t="s">
        <v>131</v>
      </c>
      <c r="E2089">
        <v>18</v>
      </c>
      <c r="F2089">
        <v>2018</v>
      </c>
      <c r="G2089" t="s">
        <v>161</v>
      </c>
      <c r="J2089" t="s">
        <v>133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984"/>
        <v>14:44:49.367</v>
      </c>
      <c r="T2089" t="str">
        <f t="shared" si="985"/>
        <v>14:44:49.267</v>
      </c>
      <c r="U2089" t="str">
        <f t="shared" si="969"/>
        <v>A9808D</v>
      </c>
      <c r="V2089">
        <v>0</v>
      </c>
      <c r="W2089">
        <v>0</v>
      </c>
      <c r="X2089">
        <v>1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0</v>
      </c>
      <c r="AI2089" t="s">
        <v>537</v>
      </c>
      <c r="AJ2089">
        <v>28.263724</v>
      </c>
      <c r="AK2089" t="s">
        <v>538</v>
      </c>
      <c r="AL2089">
        <v>-82.347057000000007</v>
      </c>
      <c r="AM2089">
        <v>100</v>
      </c>
      <c r="AN2089">
        <v>2000</v>
      </c>
      <c r="AO2089" t="s">
        <v>118</v>
      </c>
      <c r="AP2089">
        <v>85</v>
      </c>
      <c r="AQ2089">
        <v>-61</v>
      </c>
      <c r="AR2089">
        <v>384</v>
      </c>
      <c r="AZ2089">
        <v>1200</v>
      </c>
      <c r="BA2089">
        <v>1</v>
      </c>
      <c r="BB2089" t="str">
        <f t="shared" si="979"/>
        <v xml:space="preserve">N711JA  </v>
      </c>
      <c r="BC2089">
        <v>1</v>
      </c>
      <c r="BE2089">
        <v>0</v>
      </c>
      <c r="BF2089">
        <v>0</v>
      </c>
      <c r="BG2089">
        <v>0</v>
      </c>
      <c r="BH2089">
        <v>2125</v>
      </c>
      <c r="BI2089">
        <v>1</v>
      </c>
      <c r="BJ2089">
        <v>1</v>
      </c>
      <c r="BK2089">
        <v>0</v>
      </c>
      <c r="BL2089">
        <v>0</v>
      </c>
      <c r="BO2089">
        <v>0</v>
      </c>
      <c r="BP2089">
        <v>0</v>
      </c>
      <c r="BW2089" t="str">
        <f t="shared" si="986"/>
        <v>14:44:49.368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343</v>
      </c>
      <c r="CR2089">
        <v>1</v>
      </c>
      <c r="CW2089">
        <v>10745749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 t="shared" si="983"/>
        <v>05/12/2020 14:44:31.551</v>
      </c>
      <c r="C2090" t="str">
        <f t="shared" si="978"/>
        <v>FFDFD3C0</v>
      </c>
      <c r="D2090" t="s">
        <v>138</v>
      </c>
      <c r="E2090">
        <v>2</v>
      </c>
      <c r="H2090">
        <v>8</v>
      </c>
      <c r="I2090" t="s">
        <v>139</v>
      </c>
      <c r="J2090" t="s">
        <v>136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984"/>
        <v>14:44:49.367</v>
      </c>
      <c r="T2090" t="str">
        <f t="shared" si="985"/>
        <v>14:44:49.267</v>
      </c>
      <c r="U2090" t="str">
        <f t="shared" si="969"/>
        <v>A9808D</v>
      </c>
      <c r="V2090">
        <v>0</v>
      </c>
      <c r="W2090">
        <v>0</v>
      </c>
      <c r="X2090">
        <v>1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0</v>
      </c>
      <c r="AI2090" t="s">
        <v>537</v>
      </c>
      <c r="AJ2090">
        <v>28.263724</v>
      </c>
      <c r="AK2090" t="s">
        <v>538</v>
      </c>
      <c r="AL2090">
        <v>-82.347057000000007</v>
      </c>
      <c r="AM2090">
        <v>100</v>
      </c>
      <c r="AN2090">
        <v>2000</v>
      </c>
      <c r="AO2090" t="s">
        <v>118</v>
      </c>
      <c r="AP2090">
        <v>85</v>
      </c>
      <c r="AQ2090">
        <v>-61</v>
      </c>
      <c r="AR2090">
        <v>384</v>
      </c>
      <c r="AZ2090">
        <v>1200</v>
      </c>
      <c r="BA2090">
        <v>1</v>
      </c>
      <c r="BB2090" t="str">
        <f t="shared" si="979"/>
        <v xml:space="preserve">N711JA  </v>
      </c>
      <c r="BC2090">
        <v>1</v>
      </c>
      <c r="BE2090">
        <v>0</v>
      </c>
      <c r="BF2090">
        <v>0</v>
      </c>
      <c r="BG2090">
        <v>0</v>
      </c>
      <c r="BH2090">
        <v>2125</v>
      </c>
      <c r="BI2090">
        <v>1</v>
      </c>
      <c r="BJ2090">
        <v>1</v>
      </c>
      <c r="BK2090">
        <v>0</v>
      </c>
      <c r="BL2090">
        <v>0</v>
      </c>
      <c r="BO2090">
        <v>0</v>
      </c>
      <c r="BP2090">
        <v>0</v>
      </c>
      <c r="BW2090" t="str">
        <f t="shared" si="986"/>
        <v>14:44:49.368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343</v>
      </c>
      <c r="CR2090">
        <v>1</v>
      </c>
      <c r="CW2090">
        <v>10745749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 t="shared" si="983"/>
        <v>05/12/2020 14:44:31.551</v>
      </c>
      <c r="C2091" t="str">
        <f t="shared" si="978"/>
        <v>FFDFD3C0</v>
      </c>
      <c r="D2091" t="s">
        <v>138</v>
      </c>
      <c r="E2091">
        <v>3</v>
      </c>
      <c r="H2091">
        <v>9</v>
      </c>
      <c r="I2091" t="s">
        <v>140</v>
      </c>
      <c r="J2091" t="s">
        <v>136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984"/>
        <v>14:44:49.367</v>
      </c>
      <c r="T2091" t="str">
        <f t="shared" si="985"/>
        <v>14:44:49.267</v>
      </c>
      <c r="U2091" t="str">
        <f t="shared" si="969"/>
        <v>A9808D</v>
      </c>
      <c r="V2091">
        <v>0</v>
      </c>
      <c r="W2091">
        <v>0</v>
      </c>
      <c r="X2091">
        <v>1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0</v>
      </c>
      <c r="AI2091" t="s">
        <v>537</v>
      </c>
      <c r="AJ2091">
        <v>28.263724</v>
      </c>
      <c r="AK2091" t="s">
        <v>538</v>
      </c>
      <c r="AL2091">
        <v>-82.347057000000007</v>
      </c>
      <c r="AM2091">
        <v>100</v>
      </c>
      <c r="AN2091">
        <v>2000</v>
      </c>
      <c r="AO2091" t="s">
        <v>118</v>
      </c>
      <c r="AP2091">
        <v>85</v>
      </c>
      <c r="AQ2091">
        <v>-61</v>
      </c>
      <c r="AR2091">
        <v>384</v>
      </c>
      <c r="AZ2091">
        <v>1200</v>
      </c>
      <c r="BA2091">
        <v>1</v>
      </c>
      <c r="BB2091" t="str">
        <f t="shared" si="979"/>
        <v xml:space="preserve">N711JA  </v>
      </c>
      <c r="BC2091">
        <v>1</v>
      </c>
      <c r="BE2091">
        <v>0</v>
      </c>
      <c r="BF2091">
        <v>0</v>
      </c>
      <c r="BG2091">
        <v>0</v>
      </c>
      <c r="BH2091">
        <v>2125</v>
      </c>
      <c r="BI2091">
        <v>1</v>
      </c>
      <c r="BJ2091">
        <v>1</v>
      </c>
      <c r="BK2091">
        <v>0</v>
      </c>
      <c r="BL2091">
        <v>0</v>
      </c>
      <c r="BO2091">
        <v>0</v>
      </c>
      <c r="BP2091">
        <v>0</v>
      </c>
      <c r="BW2091" t="str">
        <f t="shared" si="986"/>
        <v>14:44:49.368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343</v>
      </c>
      <c r="CR2091">
        <v>1</v>
      </c>
      <c r="CW2091">
        <v>10745749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 t="shared" si="983"/>
        <v>05/12/2020 14:44:31.551</v>
      </c>
      <c r="C2092" t="str">
        <f t="shared" si="978"/>
        <v>FFDFD3C0</v>
      </c>
      <c r="D2092" t="s">
        <v>126</v>
      </c>
      <c r="E2092">
        <v>7</v>
      </c>
      <c r="F2092">
        <v>1007</v>
      </c>
      <c r="G2092" t="s">
        <v>127</v>
      </c>
      <c r="J2092" t="s">
        <v>128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984"/>
        <v>14:44:49.367</v>
      </c>
      <c r="T2092" t="str">
        <f t="shared" si="985"/>
        <v>14:44:49.267</v>
      </c>
      <c r="U2092" t="str">
        <f t="shared" si="969"/>
        <v>A9808D</v>
      </c>
      <c r="V2092">
        <v>0</v>
      </c>
      <c r="W2092">
        <v>0</v>
      </c>
      <c r="X2092">
        <v>1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0</v>
      </c>
      <c r="AI2092" t="s">
        <v>537</v>
      </c>
      <c r="AJ2092">
        <v>28.263724</v>
      </c>
      <c r="AK2092" t="s">
        <v>538</v>
      </c>
      <c r="AL2092">
        <v>-82.347057000000007</v>
      </c>
      <c r="AM2092">
        <v>100</v>
      </c>
      <c r="AN2092">
        <v>2000</v>
      </c>
      <c r="AO2092" t="s">
        <v>118</v>
      </c>
      <c r="AP2092">
        <v>85</v>
      </c>
      <c r="AQ2092">
        <v>-61</v>
      </c>
      <c r="AR2092">
        <v>384</v>
      </c>
      <c r="AZ2092">
        <v>1200</v>
      </c>
      <c r="BA2092">
        <v>1</v>
      </c>
      <c r="BB2092" t="str">
        <f t="shared" si="979"/>
        <v xml:space="preserve">N711JA  </v>
      </c>
      <c r="BC2092">
        <v>1</v>
      </c>
      <c r="BE2092">
        <v>0</v>
      </c>
      <c r="BF2092">
        <v>0</v>
      </c>
      <c r="BG2092">
        <v>0</v>
      </c>
      <c r="BH2092">
        <v>2125</v>
      </c>
      <c r="BI2092">
        <v>1</v>
      </c>
      <c r="BJ2092">
        <v>1</v>
      </c>
      <c r="BK2092">
        <v>0</v>
      </c>
      <c r="BL2092">
        <v>0</v>
      </c>
      <c r="BO2092">
        <v>0</v>
      </c>
      <c r="BP2092">
        <v>0</v>
      </c>
      <c r="BW2092" t="str">
        <f t="shared" si="986"/>
        <v>14:44:49.368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343</v>
      </c>
      <c r="CR2092">
        <v>1</v>
      </c>
      <c r="CW2092">
        <v>10745749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 t="shared" ref="A2093:A2101" si="987">"05/12/2020 14:44:32.399"</f>
        <v>05/12/2020 14:44:32.399</v>
      </c>
      <c r="C2093" t="str">
        <f t="shared" si="978"/>
        <v>FFDFD3C0</v>
      </c>
      <c r="D2093" t="s">
        <v>138</v>
      </c>
      <c r="E2093">
        <v>2</v>
      </c>
      <c r="H2093">
        <v>8</v>
      </c>
      <c r="I2093" t="s">
        <v>139</v>
      </c>
      <c r="J2093" t="s">
        <v>136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ref="S2093:S2101" si="988">"14:44:50.234"</f>
        <v>14:44:50.234</v>
      </c>
      <c r="T2093" t="str">
        <f t="shared" ref="T2093:T2101" si="989">"14:44:49.834"</f>
        <v>14:44:49.834</v>
      </c>
      <c r="U2093" t="str">
        <f t="shared" si="969"/>
        <v>A9808D</v>
      </c>
      <c r="V2093">
        <v>0</v>
      </c>
      <c r="W2093">
        <v>0</v>
      </c>
      <c r="X2093">
        <v>1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0</v>
      </c>
      <c r="AI2093" t="s">
        <v>539</v>
      </c>
      <c r="AJ2093">
        <v>28.263487999999999</v>
      </c>
      <c r="AK2093" t="s">
        <v>540</v>
      </c>
      <c r="AL2093">
        <v>-82.346627999999995</v>
      </c>
      <c r="AM2093">
        <v>100</v>
      </c>
      <c r="AN2093">
        <v>2100</v>
      </c>
      <c r="AO2093" t="s">
        <v>118</v>
      </c>
      <c r="AP2093">
        <v>85</v>
      </c>
      <c r="AQ2093">
        <v>-60</v>
      </c>
      <c r="AR2093">
        <v>384</v>
      </c>
      <c r="AZ2093">
        <v>1200</v>
      </c>
      <c r="BA2093">
        <v>1</v>
      </c>
      <c r="BB2093" t="str">
        <f t="shared" si="979"/>
        <v xml:space="preserve">N711JA  </v>
      </c>
      <c r="BC2093">
        <v>1</v>
      </c>
      <c r="BE2093">
        <v>0</v>
      </c>
      <c r="BF2093">
        <v>0</v>
      </c>
      <c r="BG2093">
        <v>0</v>
      </c>
      <c r="BH2093">
        <v>2150</v>
      </c>
      <c r="BI2093">
        <v>1</v>
      </c>
      <c r="BJ2093">
        <v>1</v>
      </c>
      <c r="BK2093">
        <v>0</v>
      </c>
      <c r="BL2093">
        <v>0</v>
      </c>
      <c r="BO2093">
        <v>0</v>
      </c>
      <c r="BP2093">
        <v>0</v>
      </c>
      <c r="BW2093" t="str">
        <f t="shared" ref="BW2093:BW2101" si="990">"14:44:50.239"</f>
        <v>14:44:50.239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7</v>
      </c>
      <c r="CP2093" t="s">
        <v>119</v>
      </c>
      <c r="CQ2093">
        <v>343</v>
      </c>
      <c r="CR2093">
        <v>1</v>
      </c>
      <c r="CW2093">
        <v>10746639</v>
      </c>
      <c r="CY2093">
        <v>1</v>
      </c>
      <c r="CZ2093">
        <v>0</v>
      </c>
      <c r="DA2093">
        <v>0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 t="shared" si="987"/>
        <v>05/12/2020 14:44:32.399</v>
      </c>
      <c r="C2094" t="str">
        <f t="shared" si="978"/>
        <v>FFDFD3C0</v>
      </c>
      <c r="D2094" t="s">
        <v>138</v>
      </c>
      <c r="E2094">
        <v>3</v>
      </c>
      <c r="H2094">
        <v>9</v>
      </c>
      <c r="I2094" t="s">
        <v>140</v>
      </c>
      <c r="J2094" t="s">
        <v>136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988"/>
        <v>14:44:50.234</v>
      </c>
      <c r="T2094" t="str">
        <f t="shared" si="989"/>
        <v>14:44:49.834</v>
      </c>
      <c r="U2094" t="str">
        <f t="shared" si="969"/>
        <v>A9808D</v>
      </c>
      <c r="V2094">
        <v>0</v>
      </c>
      <c r="W2094">
        <v>0</v>
      </c>
      <c r="X2094">
        <v>1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0</v>
      </c>
      <c r="AI2094" t="s">
        <v>539</v>
      </c>
      <c r="AJ2094">
        <v>28.263487999999999</v>
      </c>
      <c r="AK2094" t="s">
        <v>540</v>
      </c>
      <c r="AL2094">
        <v>-82.346627999999995</v>
      </c>
      <c r="AM2094">
        <v>100</v>
      </c>
      <c r="AN2094">
        <v>2100</v>
      </c>
      <c r="AO2094" t="s">
        <v>118</v>
      </c>
      <c r="AP2094">
        <v>85</v>
      </c>
      <c r="AQ2094">
        <v>-60</v>
      </c>
      <c r="AR2094">
        <v>384</v>
      </c>
      <c r="AZ2094">
        <v>1200</v>
      </c>
      <c r="BA2094">
        <v>1</v>
      </c>
      <c r="BB2094" t="str">
        <f t="shared" si="979"/>
        <v xml:space="preserve">N711JA  </v>
      </c>
      <c r="BC2094">
        <v>1</v>
      </c>
      <c r="BE2094">
        <v>0</v>
      </c>
      <c r="BF2094">
        <v>0</v>
      </c>
      <c r="BG2094">
        <v>0</v>
      </c>
      <c r="BH2094">
        <v>2150</v>
      </c>
      <c r="BI2094">
        <v>1</v>
      </c>
      <c r="BJ2094">
        <v>1</v>
      </c>
      <c r="BK2094">
        <v>0</v>
      </c>
      <c r="BL2094">
        <v>0</v>
      </c>
      <c r="BO2094">
        <v>0</v>
      </c>
      <c r="BP2094">
        <v>0</v>
      </c>
      <c r="BW2094" t="str">
        <f t="shared" si="990"/>
        <v>14:44:50.239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343</v>
      </c>
      <c r="CR2094">
        <v>1</v>
      </c>
      <c r="CW2094">
        <v>10746639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 t="shared" si="987"/>
        <v>05/12/2020 14:44:32.399</v>
      </c>
      <c r="C2095" t="str">
        <f t="shared" si="978"/>
        <v>FFDFD3C0</v>
      </c>
      <c r="D2095" t="s">
        <v>126</v>
      </c>
      <c r="E2095">
        <v>7</v>
      </c>
      <c r="F2095">
        <v>1007</v>
      </c>
      <c r="G2095" t="s">
        <v>127</v>
      </c>
      <c r="J2095" t="s">
        <v>128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988"/>
        <v>14:44:50.234</v>
      </c>
      <c r="T2095" t="str">
        <f t="shared" si="989"/>
        <v>14:44:49.834</v>
      </c>
      <c r="U2095" t="str">
        <f t="shared" si="969"/>
        <v>A9808D</v>
      </c>
      <c r="V2095">
        <v>0</v>
      </c>
      <c r="W2095">
        <v>0</v>
      </c>
      <c r="X2095">
        <v>1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0</v>
      </c>
      <c r="AI2095" t="s">
        <v>539</v>
      </c>
      <c r="AJ2095">
        <v>28.263487999999999</v>
      </c>
      <c r="AK2095" t="s">
        <v>540</v>
      </c>
      <c r="AL2095">
        <v>-82.346627999999995</v>
      </c>
      <c r="AM2095">
        <v>100</v>
      </c>
      <c r="AN2095">
        <v>2100</v>
      </c>
      <c r="AO2095" t="s">
        <v>118</v>
      </c>
      <c r="AP2095">
        <v>85</v>
      </c>
      <c r="AQ2095">
        <v>-60</v>
      </c>
      <c r="AR2095">
        <v>384</v>
      </c>
      <c r="AZ2095">
        <v>1200</v>
      </c>
      <c r="BA2095">
        <v>1</v>
      </c>
      <c r="BB2095" t="str">
        <f t="shared" si="979"/>
        <v xml:space="preserve">N711JA  </v>
      </c>
      <c r="BC2095">
        <v>1</v>
      </c>
      <c r="BE2095">
        <v>0</v>
      </c>
      <c r="BF2095">
        <v>0</v>
      </c>
      <c r="BG2095">
        <v>0</v>
      </c>
      <c r="BH2095">
        <v>2150</v>
      </c>
      <c r="BI2095">
        <v>1</v>
      </c>
      <c r="BJ2095">
        <v>1</v>
      </c>
      <c r="BK2095">
        <v>0</v>
      </c>
      <c r="BL2095">
        <v>0</v>
      </c>
      <c r="BO2095">
        <v>0</v>
      </c>
      <c r="BP2095">
        <v>0</v>
      </c>
      <c r="BW2095" t="str">
        <f t="shared" si="990"/>
        <v>14:44:50.239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343</v>
      </c>
      <c r="CR2095">
        <v>1</v>
      </c>
      <c r="CW2095">
        <v>10746639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 t="shared" si="987"/>
        <v>05/12/2020 14:44:32.399</v>
      </c>
      <c r="C2096" t="str">
        <f t="shared" si="978"/>
        <v>FFDFD3C0</v>
      </c>
      <c r="D2096" t="s">
        <v>131</v>
      </c>
      <c r="E2096">
        <v>10</v>
      </c>
      <c r="F2096">
        <v>2010</v>
      </c>
      <c r="G2096" t="s">
        <v>132</v>
      </c>
      <c r="J2096" t="s">
        <v>133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988"/>
        <v>14:44:50.234</v>
      </c>
      <c r="T2096" t="str">
        <f t="shared" si="989"/>
        <v>14:44:49.834</v>
      </c>
      <c r="U2096" t="str">
        <f t="shared" si="969"/>
        <v>A9808D</v>
      </c>
      <c r="V2096">
        <v>0</v>
      </c>
      <c r="W2096">
        <v>0</v>
      </c>
      <c r="X2096">
        <v>1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0</v>
      </c>
      <c r="AI2096" t="s">
        <v>539</v>
      </c>
      <c r="AJ2096">
        <v>28.263487999999999</v>
      </c>
      <c r="AK2096" t="s">
        <v>540</v>
      </c>
      <c r="AL2096">
        <v>-82.346627999999995</v>
      </c>
      <c r="AM2096">
        <v>100</v>
      </c>
      <c r="AN2096">
        <v>2100</v>
      </c>
      <c r="AO2096" t="s">
        <v>118</v>
      </c>
      <c r="AP2096">
        <v>85</v>
      </c>
      <c r="AQ2096">
        <v>-60</v>
      </c>
      <c r="AR2096">
        <v>384</v>
      </c>
      <c r="AZ2096">
        <v>1200</v>
      </c>
      <c r="BA2096">
        <v>1</v>
      </c>
      <c r="BB2096" t="str">
        <f t="shared" si="979"/>
        <v xml:space="preserve">N711JA  </v>
      </c>
      <c r="BC2096">
        <v>1</v>
      </c>
      <c r="BE2096">
        <v>0</v>
      </c>
      <c r="BF2096">
        <v>0</v>
      </c>
      <c r="BG2096">
        <v>0</v>
      </c>
      <c r="BH2096">
        <v>2150</v>
      </c>
      <c r="BI2096">
        <v>1</v>
      </c>
      <c r="BJ2096">
        <v>1</v>
      </c>
      <c r="BK2096">
        <v>0</v>
      </c>
      <c r="BL2096">
        <v>0</v>
      </c>
      <c r="BO2096">
        <v>0</v>
      </c>
      <c r="BP2096">
        <v>0</v>
      </c>
      <c r="BW2096" t="str">
        <f t="shared" si="990"/>
        <v>14:44:50.239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7</v>
      </c>
      <c r="CP2096" t="s">
        <v>119</v>
      </c>
      <c r="CQ2096">
        <v>343</v>
      </c>
      <c r="CR2096">
        <v>1</v>
      </c>
      <c r="CW2096">
        <v>10746639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 t="shared" si="987"/>
        <v>05/12/2020 14:44:32.399</v>
      </c>
      <c r="C2097" t="str">
        <f t="shared" si="978"/>
        <v>FFDFD3C0</v>
      </c>
      <c r="D2097" t="s">
        <v>126</v>
      </c>
      <c r="E2097">
        <v>6</v>
      </c>
      <c r="F2097">
        <v>1006</v>
      </c>
      <c r="G2097" t="s">
        <v>114</v>
      </c>
      <c r="J2097" t="s">
        <v>128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988"/>
        <v>14:44:50.234</v>
      </c>
      <c r="T2097" t="str">
        <f t="shared" si="989"/>
        <v>14:44:49.834</v>
      </c>
      <c r="U2097" t="str">
        <f t="shared" si="969"/>
        <v>A9808D</v>
      </c>
      <c r="V2097">
        <v>0</v>
      </c>
      <c r="W2097">
        <v>0</v>
      </c>
      <c r="X2097">
        <v>1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0</v>
      </c>
      <c r="AI2097" t="s">
        <v>539</v>
      </c>
      <c r="AJ2097">
        <v>28.263487999999999</v>
      </c>
      <c r="AK2097" t="s">
        <v>540</v>
      </c>
      <c r="AL2097">
        <v>-82.346627999999995</v>
      </c>
      <c r="AM2097">
        <v>100</v>
      </c>
      <c r="AN2097">
        <v>2100</v>
      </c>
      <c r="AO2097" t="s">
        <v>118</v>
      </c>
      <c r="AP2097">
        <v>85</v>
      </c>
      <c r="AQ2097">
        <v>-60</v>
      </c>
      <c r="AR2097">
        <v>384</v>
      </c>
      <c r="AZ2097">
        <v>1200</v>
      </c>
      <c r="BA2097">
        <v>1</v>
      </c>
      <c r="BB2097" t="str">
        <f t="shared" si="979"/>
        <v xml:space="preserve">N711JA  </v>
      </c>
      <c r="BC2097">
        <v>1</v>
      </c>
      <c r="BE2097">
        <v>0</v>
      </c>
      <c r="BF2097">
        <v>0</v>
      </c>
      <c r="BG2097">
        <v>0</v>
      </c>
      <c r="BH2097">
        <v>2150</v>
      </c>
      <c r="BI2097">
        <v>1</v>
      </c>
      <c r="BJ2097">
        <v>1</v>
      </c>
      <c r="BK2097">
        <v>0</v>
      </c>
      <c r="BL2097">
        <v>0</v>
      </c>
      <c r="BO2097">
        <v>0</v>
      </c>
      <c r="BP2097">
        <v>0</v>
      </c>
      <c r="BW2097" t="str">
        <f t="shared" si="990"/>
        <v>14:44:50.239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119</v>
      </c>
      <c r="CQ2097">
        <v>343</v>
      </c>
      <c r="CR2097">
        <v>1</v>
      </c>
      <c r="CW2097">
        <v>10746639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 t="shared" si="987"/>
        <v>05/12/2020 14:44:32.399</v>
      </c>
      <c r="C2098" t="str">
        <f t="shared" si="978"/>
        <v>FFDFD3C0</v>
      </c>
      <c r="D2098" t="s">
        <v>131</v>
      </c>
      <c r="E2098">
        <v>12</v>
      </c>
      <c r="F2098">
        <v>2012</v>
      </c>
      <c r="G2098" t="s">
        <v>137</v>
      </c>
      <c r="J2098" t="s">
        <v>133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988"/>
        <v>14:44:50.234</v>
      </c>
      <c r="T2098" t="str">
        <f t="shared" si="989"/>
        <v>14:44:49.834</v>
      </c>
      <c r="U2098" t="str">
        <f t="shared" si="969"/>
        <v>A9808D</v>
      </c>
      <c r="V2098">
        <v>0</v>
      </c>
      <c r="W2098">
        <v>0</v>
      </c>
      <c r="X2098">
        <v>1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0</v>
      </c>
      <c r="AI2098" t="s">
        <v>539</v>
      </c>
      <c r="AJ2098">
        <v>28.263487999999999</v>
      </c>
      <c r="AK2098" t="s">
        <v>540</v>
      </c>
      <c r="AL2098">
        <v>-82.346627999999995</v>
      </c>
      <c r="AM2098">
        <v>100</v>
      </c>
      <c r="AN2098">
        <v>2100</v>
      </c>
      <c r="AO2098" t="s">
        <v>118</v>
      </c>
      <c r="AP2098">
        <v>85</v>
      </c>
      <c r="AQ2098">
        <v>-60</v>
      </c>
      <c r="AR2098">
        <v>384</v>
      </c>
      <c r="AZ2098">
        <v>1200</v>
      </c>
      <c r="BA2098">
        <v>1</v>
      </c>
      <c r="BB2098" t="str">
        <f t="shared" si="979"/>
        <v xml:space="preserve">N711JA  </v>
      </c>
      <c r="BC2098">
        <v>1</v>
      </c>
      <c r="BE2098">
        <v>0</v>
      </c>
      <c r="BF2098">
        <v>0</v>
      </c>
      <c r="BG2098">
        <v>0</v>
      </c>
      <c r="BH2098">
        <v>2150</v>
      </c>
      <c r="BI2098">
        <v>1</v>
      </c>
      <c r="BJ2098">
        <v>1</v>
      </c>
      <c r="BK2098">
        <v>0</v>
      </c>
      <c r="BL2098">
        <v>0</v>
      </c>
      <c r="BO2098">
        <v>0</v>
      </c>
      <c r="BP2098">
        <v>0</v>
      </c>
      <c r="BW2098" t="str">
        <f t="shared" si="990"/>
        <v>14:44:50.239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119</v>
      </c>
      <c r="CQ2098">
        <v>343</v>
      </c>
      <c r="CR2098">
        <v>1</v>
      </c>
      <c r="CW2098">
        <v>10746639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 t="shared" si="987"/>
        <v>05/12/2020 14:44:32.399</v>
      </c>
      <c r="C2099" t="str">
        <f t="shared" si="978"/>
        <v>FFDFD3C0</v>
      </c>
      <c r="D2099" t="s">
        <v>131</v>
      </c>
      <c r="E2099">
        <v>18</v>
      </c>
      <c r="F2099">
        <v>2018</v>
      </c>
      <c r="G2099" t="s">
        <v>161</v>
      </c>
      <c r="J2099" t="s">
        <v>133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988"/>
        <v>14:44:50.234</v>
      </c>
      <c r="T2099" t="str">
        <f t="shared" si="989"/>
        <v>14:44:49.834</v>
      </c>
      <c r="U2099" t="str">
        <f t="shared" si="969"/>
        <v>A9808D</v>
      </c>
      <c r="V2099">
        <v>0</v>
      </c>
      <c r="W2099">
        <v>0</v>
      </c>
      <c r="X2099">
        <v>1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0</v>
      </c>
      <c r="AI2099" t="s">
        <v>539</v>
      </c>
      <c r="AJ2099">
        <v>28.263487999999999</v>
      </c>
      <c r="AK2099" t="s">
        <v>540</v>
      </c>
      <c r="AL2099">
        <v>-82.346627999999995</v>
      </c>
      <c r="AM2099">
        <v>100</v>
      </c>
      <c r="AN2099">
        <v>2100</v>
      </c>
      <c r="AO2099" t="s">
        <v>118</v>
      </c>
      <c r="AP2099">
        <v>85</v>
      </c>
      <c r="AQ2099">
        <v>-60</v>
      </c>
      <c r="AR2099">
        <v>384</v>
      </c>
      <c r="AZ2099">
        <v>1200</v>
      </c>
      <c r="BA2099">
        <v>1</v>
      </c>
      <c r="BB2099" t="str">
        <f t="shared" si="979"/>
        <v xml:space="preserve">N711JA  </v>
      </c>
      <c r="BC2099">
        <v>1</v>
      </c>
      <c r="BE2099">
        <v>0</v>
      </c>
      <c r="BF2099">
        <v>0</v>
      </c>
      <c r="BG2099">
        <v>0</v>
      </c>
      <c r="BH2099">
        <v>2150</v>
      </c>
      <c r="BI2099">
        <v>1</v>
      </c>
      <c r="BJ2099">
        <v>1</v>
      </c>
      <c r="BK2099">
        <v>0</v>
      </c>
      <c r="BL2099">
        <v>0</v>
      </c>
      <c r="BO2099">
        <v>0</v>
      </c>
      <c r="BP2099">
        <v>0</v>
      </c>
      <c r="BW2099" t="str">
        <f t="shared" si="990"/>
        <v>14:44:50.239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119</v>
      </c>
      <c r="CQ2099">
        <v>343</v>
      </c>
      <c r="CR2099">
        <v>1</v>
      </c>
      <c r="CW2099">
        <v>10746639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 t="shared" si="987"/>
        <v>05/12/2020 14:44:32.399</v>
      </c>
      <c r="C2100" t="str">
        <f t="shared" si="978"/>
        <v>FFDFD3C0</v>
      </c>
      <c r="D2100" t="s">
        <v>134</v>
      </c>
      <c r="E2100">
        <v>12</v>
      </c>
      <c r="H2100">
        <v>64</v>
      </c>
      <c r="I2100" t="s">
        <v>135</v>
      </c>
      <c r="J2100" t="s">
        <v>136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988"/>
        <v>14:44:50.234</v>
      </c>
      <c r="T2100" t="str">
        <f t="shared" si="989"/>
        <v>14:44:49.834</v>
      </c>
      <c r="U2100" t="str">
        <f t="shared" si="969"/>
        <v>A9808D</v>
      </c>
      <c r="V2100">
        <v>0</v>
      </c>
      <c r="W2100">
        <v>0</v>
      </c>
      <c r="X2100">
        <v>1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0</v>
      </c>
      <c r="AI2100" t="s">
        <v>539</v>
      </c>
      <c r="AJ2100">
        <v>28.263487999999999</v>
      </c>
      <c r="AK2100" t="s">
        <v>540</v>
      </c>
      <c r="AL2100">
        <v>-82.346627999999995</v>
      </c>
      <c r="AM2100">
        <v>100</v>
      </c>
      <c r="AN2100">
        <v>2100</v>
      </c>
      <c r="AO2100" t="s">
        <v>118</v>
      </c>
      <c r="AP2100">
        <v>85</v>
      </c>
      <c r="AQ2100">
        <v>-60</v>
      </c>
      <c r="AR2100">
        <v>384</v>
      </c>
      <c r="AZ2100">
        <v>1200</v>
      </c>
      <c r="BA2100">
        <v>1</v>
      </c>
      <c r="BB2100" t="str">
        <f t="shared" si="979"/>
        <v xml:space="preserve">N711JA  </v>
      </c>
      <c r="BC2100">
        <v>1</v>
      </c>
      <c r="BE2100">
        <v>0</v>
      </c>
      <c r="BF2100">
        <v>0</v>
      </c>
      <c r="BG2100">
        <v>0</v>
      </c>
      <c r="BH2100">
        <v>2150</v>
      </c>
      <c r="BI2100">
        <v>1</v>
      </c>
      <c r="BJ2100">
        <v>1</v>
      </c>
      <c r="BK2100">
        <v>0</v>
      </c>
      <c r="BL2100">
        <v>0</v>
      </c>
      <c r="BO2100">
        <v>0</v>
      </c>
      <c r="BP2100">
        <v>0</v>
      </c>
      <c r="BW2100" t="str">
        <f t="shared" si="990"/>
        <v>14:44:50.239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343</v>
      </c>
      <c r="CR2100">
        <v>1</v>
      </c>
      <c r="CW2100">
        <v>10746639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 t="shared" si="987"/>
        <v>05/12/2020 14:44:32.399</v>
      </c>
      <c r="C2101" t="str">
        <f t="shared" si="978"/>
        <v>FFDFD3C0</v>
      </c>
      <c r="D2101" t="s">
        <v>113</v>
      </c>
      <c r="E2101">
        <v>3</v>
      </c>
      <c r="H2101">
        <v>164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988"/>
        <v>14:44:50.234</v>
      </c>
      <c r="T2101" t="str">
        <f t="shared" si="989"/>
        <v>14:44:49.834</v>
      </c>
      <c r="U2101" t="str">
        <f t="shared" si="969"/>
        <v>A9808D</v>
      </c>
      <c r="V2101">
        <v>0</v>
      </c>
      <c r="W2101">
        <v>0</v>
      </c>
      <c r="X2101">
        <v>1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0</v>
      </c>
      <c r="AI2101" t="s">
        <v>539</v>
      </c>
      <c r="AJ2101">
        <v>28.263487999999999</v>
      </c>
      <c r="AK2101" t="s">
        <v>540</v>
      </c>
      <c r="AL2101">
        <v>-82.346627999999995</v>
      </c>
      <c r="AM2101">
        <v>100</v>
      </c>
      <c r="AN2101">
        <v>2100</v>
      </c>
      <c r="AO2101" t="s">
        <v>118</v>
      </c>
      <c r="AP2101">
        <v>85</v>
      </c>
      <c r="AQ2101">
        <v>-60</v>
      </c>
      <c r="AR2101">
        <v>384</v>
      </c>
      <c r="AZ2101">
        <v>1200</v>
      </c>
      <c r="BA2101">
        <v>1</v>
      </c>
      <c r="BB2101" t="str">
        <f t="shared" si="979"/>
        <v xml:space="preserve">N711JA  </v>
      </c>
      <c r="BC2101">
        <v>1</v>
      </c>
      <c r="BE2101">
        <v>0</v>
      </c>
      <c r="BF2101">
        <v>0</v>
      </c>
      <c r="BG2101">
        <v>0</v>
      </c>
      <c r="BH2101">
        <v>2150</v>
      </c>
      <c r="BI2101">
        <v>1</v>
      </c>
      <c r="BJ2101">
        <v>1</v>
      </c>
      <c r="BK2101">
        <v>0</v>
      </c>
      <c r="BL2101">
        <v>0</v>
      </c>
      <c r="BO2101">
        <v>0</v>
      </c>
      <c r="BP2101">
        <v>0</v>
      </c>
      <c r="BW2101" t="str">
        <f t="shared" si="990"/>
        <v>14:44:50.239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343</v>
      </c>
      <c r="CR2101">
        <v>1</v>
      </c>
      <c r="CW2101">
        <v>10746639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 t="shared" ref="A2102:A2110" si="991">"05/12/2020 14:44:33.410"</f>
        <v>05/12/2020 14:44:33.410</v>
      </c>
      <c r="C2102" t="str">
        <f t="shared" si="978"/>
        <v>FFDFD3C0</v>
      </c>
      <c r="D2102" t="s">
        <v>138</v>
      </c>
      <c r="E2102">
        <v>2</v>
      </c>
      <c r="H2102">
        <v>8</v>
      </c>
      <c r="I2102" t="s">
        <v>139</v>
      </c>
      <c r="J2102" t="s">
        <v>136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ref="S2102:S2110" si="992">"14:44:51.234"</f>
        <v>14:44:51.234</v>
      </c>
      <c r="T2102" t="str">
        <f t="shared" ref="T2102:T2110" si="993">"14:44:50.934"</f>
        <v>14:44:50.934</v>
      </c>
      <c r="U2102" t="str">
        <f t="shared" si="969"/>
        <v>A9808D</v>
      </c>
      <c r="V2102">
        <v>0</v>
      </c>
      <c r="W2102">
        <v>0</v>
      </c>
      <c r="X2102">
        <v>1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0</v>
      </c>
      <c r="AI2102" t="s">
        <v>541</v>
      </c>
      <c r="AJ2102">
        <v>28.263209</v>
      </c>
      <c r="AK2102" t="s">
        <v>542</v>
      </c>
      <c r="AL2102">
        <v>-82.346198999999999</v>
      </c>
      <c r="AM2102">
        <v>100</v>
      </c>
      <c r="AN2102">
        <v>2100</v>
      </c>
      <c r="AO2102" t="s">
        <v>118</v>
      </c>
      <c r="AP2102">
        <v>86</v>
      </c>
      <c r="AQ2102">
        <v>-60</v>
      </c>
      <c r="AR2102">
        <v>320</v>
      </c>
      <c r="AZ2102">
        <v>1200</v>
      </c>
      <c r="BA2102">
        <v>1</v>
      </c>
      <c r="BB2102" t="str">
        <f t="shared" si="979"/>
        <v xml:space="preserve">N711JA  </v>
      </c>
      <c r="BC2102">
        <v>1</v>
      </c>
      <c r="BE2102">
        <v>0</v>
      </c>
      <c r="BF2102">
        <v>0</v>
      </c>
      <c r="BG2102">
        <v>0</v>
      </c>
      <c r="BH2102">
        <v>2050</v>
      </c>
      <c r="BI2102">
        <v>1</v>
      </c>
      <c r="BJ2102">
        <v>1</v>
      </c>
      <c r="BK2102">
        <v>0</v>
      </c>
      <c r="BL2102">
        <v>0</v>
      </c>
      <c r="BO2102">
        <v>0</v>
      </c>
      <c r="BP2102">
        <v>0</v>
      </c>
      <c r="BW2102" t="str">
        <f t="shared" ref="BW2102:BW2110" si="994">"14:44:51.239"</f>
        <v>14:44:51.239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56</v>
      </c>
      <c r="CR2102">
        <v>2</v>
      </c>
      <c r="CW2102">
        <v>4812406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 t="shared" si="991"/>
        <v>05/12/2020 14:44:33.410</v>
      </c>
      <c r="C2103" t="str">
        <f t="shared" si="978"/>
        <v>FFDFD3C0</v>
      </c>
      <c r="D2103" t="s">
        <v>126</v>
      </c>
      <c r="E2103">
        <v>7</v>
      </c>
      <c r="F2103">
        <v>1007</v>
      </c>
      <c r="G2103" t="s">
        <v>127</v>
      </c>
      <c r="J2103" t="s">
        <v>128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992"/>
        <v>14:44:51.234</v>
      </c>
      <c r="T2103" t="str">
        <f t="shared" si="993"/>
        <v>14:44:50.934</v>
      </c>
      <c r="U2103" t="str">
        <f t="shared" si="969"/>
        <v>A9808D</v>
      </c>
      <c r="V2103">
        <v>0</v>
      </c>
      <c r="W2103">
        <v>0</v>
      </c>
      <c r="X2103">
        <v>1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0</v>
      </c>
      <c r="AI2103" t="s">
        <v>541</v>
      </c>
      <c r="AJ2103">
        <v>28.263209</v>
      </c>
      <c r="AK2103" t="s">
        <v>542</v>
      </c>
      <c r="AL2103">
        <v>-82.346198999999999</v>
      </c>
      <c r="AM2103">
        <v>100</v>
      </c>
      <c r="AN2103">
        <v>2100</v>
      </c>
      <c r="AO2103" t="s">
        <v>118</v>
      </c>
      <c r="AP2103">
        <v>86</v>
      </c>
      <c r="AQ2103">
        <v>-60</v>
      </c>
      <c r="AR2103">
        <v>320</v>
      </c>
      <c r="AZ2103">
        <v>1200</v>
      </c>
      <c r="BA2103">
        <v>1</v>
      </c>
      <c r="BB2103" t="str">
        <f t="shared" si="979"/>
        <v xml:space="preserve">N711JA  </v>
      </c>
      <c r="BC2103">
        <v>1</v>
      </c>
      <c r="BE2103">
        <v>0</v>
      </c>
      <c r="BF2103">
        <v>0</v>
      </c>
      <c r="BG2103">
        <v>0</v>
      </c>
      <c r="BH2103">
        <v>2050</v>
      </c>
      <c r="BI2103">
        <v>1</v>
      </c>
      <c r="BJ2103">
        <v>1</v>
      </c>
      <c r="BK2103">
        <v>0</v>
      </c>
      <c r="BL2103">
        <v>0</v>
      </c>
      <c r="BO2103">
        <v>0</v>
      </c>
      <c r="BP2103">
        <v>0</v>
      </c>
      <c r="BW2103" t="str">
        <f t="shared" si="994"/>
        <v>14:44:51.239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56</v>
      </c>
      <c r="CR2103">
        <v>2</v>
      </c>
      <c r="CW2103">
        <v>4812406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 t="shared" si="991"/>
        <v>05/12/2020 14:44:33.410</v>
      </c>
      <c r="C2104" t="str">
        <f t="shared" si="978"/>
        <v>FFDFD3C0</v>
      </c>
      <c r="D2104" t="s">
        <v>131</v>
      </c>
      <c r="E2104">
        <v>10</v>
      </c>
      <c r="F2104">
        <v>2010</v>
      </c>
      <c r="G2104" t="s">
        <v>132</v>
      </c>
      <c r="J2104" t="s">
        <v>133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992"/>
        <v>14:44:51.234</v>
      </c>
      <c r="T2104" t="str">
        <f t="shared" si="993"/>
        <v>14:44:50.934</v>
      </c>
      <c r="U2104" t="str">
        <f t="shared" si="969"/>
        <v>A9808D</v>
      </c>
      <c r="V2104">
        <v>0</v>
      </c>
      <c r="W2104">
        <v>0</v>
      </c>
      <c r="X2104">
        <v>1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0</v>
      </c>
      <c r="AI2104" t="s">
        <v>541</v>
      </c>
      <c r="AJ2104">
        <v>28.263209</v>
      </c>
      <c r="AK2104" t="s">
        <v>542</v>
      </c>
      <c r="AL2104">
        <v>-82.346198999999999</v>
      </c>
      <c r="AM2104">
        <v>100</v>
      </c>
      <c r="AN2104">
        <v>2100</v>
      </c>
      <c r="AO2104" t="s">
        <v>118</v>
      </c>
      <c r="AP2104">
        <v>86</v>
      </c>
      <c r="AQ2104">
        <v>-60</v>
      </c>
      <c r="AR2104">
        <v>320</v>
      </c>
      <c r="AZ2104">
        <v>1200</v>
      </c>
      <c r="BA2104">
        <v>1</v>
      </c>
      <c r="BB2104" t="str">
        <f t="shared" si="979"/>
        <v xml:space="preserve">N711JA  </v>
      </c>
      <c r="BC2104">
        <v>1</v>
      </c>
      <c r="BE2104">
        <v>0</v>
      </c>
      <c r="BF2104">
        <v>0</v>
      </c>
      <c r="BG2104">
        <v>0</v>
      </c>
      <c r="BH2104">
        <v>2050</v>
      </c>
      <c r="BI2104">
        <v>1</v>
      </c>
      <c r="BJ2104">
        <v>1</v>
      </c>
      <c r="BK2104">
        <v>0</v>
      </c>
      <c r="BL2104">
        <v>0</v>
      </c>
      <c r="BO2104">
        <v>0</v>
      </c>
      <c r="BP2104">
        <v>0</v>
      </c>
      <c r="BW2104" t="str">
        <f t="shared" si="994"/>
        <v>14:44:51.239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56</v>
      </c>
      <c r="CR2104">
        <v>2</v>
      </c>
      <c r="CW2104">
        <v>4812406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 t="shared" si="991"/>
        <v>05/12/2020 14:44:33.410</v>
      </c>
      <c r="C2105" t="str">
        <f t="shared" si="978"/>
        <v>FFDFD3C0</v>
      </c>
      <c r="D2105" t="s">
        <v>138</v>
      </c>
      <c r="E2105">
        <v>3</v>
      </c>
      <c r="H2105">
        <v>9</v>
      </c>
      <c r="I2105" t="s">
        <v>140</v>
      </c>
      <c r="J2105" t="s">
        <v>136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992"/>
        <v>14:44:51.234</v>
      </c>
      <c r="T2105" t="str">
        <f t="shared" si="993"/>
        <v>14:44:50.934</v>
      </c>
      <c r="U2105" t="str">
        <f t="shared" si="969"/>
        <v>A9808D</v>
      </c>
      <c r="V2105">
        <v>0</v>
      </c>
      <c r="W2105">
        <v>0</v>
      </c>
      <c r="X2105">
        <v>1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0</v>
      </c>
      <c r="AI2105" t="s">
        <v>541</v>
      </c>
      <c r="AJ2105">
        <v>28.263209</v>
      </c>
      <c r="AK2105" t="s">
        <v>542</v>
      </c>
      <c r="AL2105">
        <v>-82.346198999999999</v>
      </c>
      <c r="AM2105">
        <v>100</v>
      </c>
      <c r="AN2105">
        <v>2100</v>
      </c>
      <c r="AO2105" t="s">
        <v>118</v>
      </c>
      <c r="AP2105">
        <v>86</v>
      </c>
      <c r="AQ2105">
        <v>-60</v>
      </c>
      <c r="AR2105">
        <v>320</v>
      </c>
      <c r="AZ2105">
        <v>1200</v>
      </c>
      <c r="BA2105">
        <v>1</v>
      </c>
      <c r="BB2105" t="str">
        <f t="shared" si="979"/>
        <v xml:space="preserve">N711JA  </v>
      </c>
      <c r="BC2105">
        <v>1</v>
      </c>
      <c r="BE2105">
        <v>0</v>
      </c>
      <c r="BF2105">
        <v>0</v>
      </c>
      <c r="BG2105">
        <v>0</v>
      </c>
      <c r="BH2105">
        <v>2050</v>
      </c>
      <c r="BI2105">
        <v>1</v>
      </c>
      <c r="BJ2105">
        <v>1</v>
      </c>
      <c r="BK2105">
        <v>0</v>
      </c>
      <c r="BL2105">
        <v>0</v>
      </c>
      <c r="BO2105">
        <v>0</v>
      </c>
      <c r="BP2105">
        <v>0</v>
      </c>
      <c r="BW2105" t="str">
        <f t="shared" si="994"/>
        <v>14:44:51.239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56</v>
      </c>
      <c r="CR2105">
        <v>2</v>
      </c>
      <c r="CW2105">
        <v>4812406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 t="shared" si="991"/>
        <v>05/12/2020 14:44:33.410</v>
      </c>
      <c r="C2106" t="str">
        <f t="shared" si="978"/>
        <v>FFDFD3C0</v>
      </c>
      <c r="D2106" t="s">
        <v>131</v>
      </c>
      <c r="E2106">
        <v>12</v>
      </c>
      <c r="F2106">
        <v>2012</v>
      </c>
      <c r="G2106" t="s">
        <v>137</v>
      </c>
      <c r="J2106" t="s">
        <v>133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992"/>
        <v>14:44:51.234</v>
      </c>
      <c r="T2106" t="str">
        <f t="shared" si="993"/>
        <v>14:44:50.934</v>
      </c>
      <c r="U2106" t="str">
        <f t="shared" si="969"/>
        <v>A9808D</v>
      </c>
      <c r="V2106">
        <v>0</v>
      </c>
      <c r="W2106">
        <v>0</v>
      </c>
      <c r="X2106">
        <v>1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0</v>
      </c>
      <c r="AI2106" t="s">
        <v>541</v>
      </c>
      <c r="AJ2106">
        <v>28.263209</v>
      </c>
      <c r="AK2106" t="s">
        <v>542</v>
      </c>
      <c r="AL2106">
        <v>-82.346198999999999</v>
      </c>
      <c r="AM2106">
        <v>100</v>
      </c>
      <c r="AN2106">
        <v>2100</v>
      </c>
      <c r="AO2106" t="s">
        <v>118</v>
      </c>
      <c r="AP2106">
        <v>86</v>
      </c>
      <c r="AQ2106">
        <v>-60</v>
      </c>
      <c r="AR2106">
        <v>320</v>
      </c>
      <c r="AZ2106">
        <v>1200</v>
      </c>
      <c r="BA2106">
        <v>1</v>
      </c>
      <c r="BB2106" t="str">
        <f t="shared" si="979"/>
        <v xml:space="preserve">N711JA  </v>
      </c>
      <c r="BC2106">
        <v>1</v>
      </c>
      <c r="BE2106">
        <v>0</v>
      </c>
      <c r="BF2106">
        <v>0</v>
      </c>
      <c r="BG2106">
        <v>0</v>
      </c>
      <c r="BH2106">
        <v>2050</v>
      </c>
      <c r="BI2106">
        <v>1</v>
      </c>
      <c r="BJ2106">
        <v>1</v>
      </c>
      <c r="BK2106">
        <v>0</v>
      </c>
      <c r="BL2106">
        <v>0</v>
      </c>
      <c r="BO2106">
        <v>0</v>
      </c>
      <c r="BP2106">
        <v>0</v>
      </c>
      <c r="BW2106" t="str">
        <f t="shared" si="994"/>
        <v>14:44:51.239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56</v>
      </c>
      <c r="CR2106">
        <v>2</v>
      </c>
      <c r="CW2106">
        <v>4812406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 t="shared" si="991"/>
        <v>05/12/2020 14:44:33.410</v>
      </c>
      <c r="C2107" t="str">
        <f t="shared" si="978"/>
        <v>FFDFD3C0</v>
      </c>
      <c r="D2107" t="s">
        <v>126</v>
      </c>
      <c r="E2107">
        <v>6</v>
      </c>
      <c r="F2107">
        <v>1006</v>
      </c>
      <c r="G2107" t="s">
        <v>114</v>
      </c>
      <c r="J2107" t="s">
        <v>128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992"/>
        <v>14:44:51.234</v>
      </c>
      <c r="T2107" t="str">
        <f t="shared" si="993"/>
        <v>14:44:50.934</v>
      </c>
      <c r="U2107" t="str">
        <f t="shared" si="969"/>
        <v>A9808D</v>
      </c>
      <c r="V2107">
        <v>0</v>
      </c>
      <c r="W2107">
        <v>0</v>
      </c>
      <c r="X2107">
        <v>1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0</v>
      </c>
      <c r="AI2107" t="s">
        <v>541</v>
      </c>
      <c r="AJ2107">
        <v>28.263209</v>
      </c>
      <c r="AK2107" t="s">
        <v>542</v>
      </c>
      <c r="AL2107">
        <v>-82.346198999999999</v>
      </c>
      <c r="AM2107">
        <v>100</v>
      </c>
      <c r="AN2107">
        <v>2100</v>
      </c>
      <c r="AO2107" t="s">
        <v>118</v>
      </c>
      <c r="AP2107">
        <v>86</v>
      </c>
      <c r="AQ2107">
        <v>-60</v>
      </c>
      <c r="AR2107">
        <v>320</v>
      </c>
      <c r="AZ2107">
        <v>1200</v>
      </c>
      <c r="BA2107">
        <v>1</v>
      </c>
      <c r="BB2107" t="str">
        <f t="shared" si="979"/>
        <v xml:space="preserve">N711JA  </v>
      </c>
      <c r="BC2107">
        <v>1</v>
      </c>
      <c r="BE2107">
        <v>0</v>
      </c>
      <c r="BF2107">
        <v>0</v>
      </c>
      <c r="BG2107">
        <v>0</v>
      </c>
      <c r="BH2107">
        <v>2050</v>
      </c>
      <c r="BI2107">
        <v>1</v>
      </c>
      <c r="BJ2107">
        <v>1</v>
      </c>
      <c r="BK2107">
        <v>0</v>
      </c>
      <c r="BL2107">
        <v>0</v>
      </c>
      <c r="BO2107">
        <v>0</v>
      </c>
      <c r="BP2107">
        <v>0</v>
      </c>
      <c r="BW2107" t="str">
        <f t="shared" si="994"/>
        <v>14:44:51.239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7</v>
      </c>
      <c r="CP2107" t="s">
        <v>119</v>
      </c>
      <c r="CQ2107">
        <v>56</v>
      </c>
      <c r="CR2107">
        <v>2</v>
      </c>
      <c r="CW2107">
        <v>4812406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 t="shared" si="991"/>
        <v>05/12/2020 14:44:33.410</v>
      </c>
      <c r="C2108" t="str">
        <f t="shared" si="978"/>
        <v>FFDFD3C0</v>
      </c>
      <c r="D2108" t="s">
        <v>131</v>
      </c>
      <c r="E2108">
        <v>18</v>
      </c>
      <c r="F2108">
        <v>2018</v>
      </c>
      <c r="G2108" t="s">
        <v>161</v>
      </c>
      <c r="J2108" t="s">
        <v>133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992"/>
        <v>14:44:51.234</v>
      </c>
      <c r="T2108" t="str">
        <f t="shared" si="993"/>
        <v>14:44:50.934</v>
      </c>
      <c r="U2108" t="str">
        <f t="shared" si="969"/>
        <v>A9808D</v>
      </c>
      <c r="V2108">
        <v>0</v>
      </c>
      <c r="W2108">
        <v>0</v>
      </c>
      <c r="X2108">
        <v>1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0</v>
      </c>
      <c r="AI2108" t="s">
        <v>541</v>
      </c>
      <c r="AJ2108">
        <v>28.263209</v>
      </c>
      <c r="AK2108" t="s">
        <v>542</v>
      </c>
      <c r="AL2108">
        <v>-82.346198999999999</v>
      </c>
      <c r="AM2108">
        <v>100</v>
      </c>
      <c r="AN2108">
        <v>2100</v>
      </c>
      <c r="AO2108" t="s">
        <v>118</v>
      </c>
      <c r="AP2108">
        <v>86</v>
      </c>
      <c r="AQ2108">
        <v>-60</v>
      </c>
      <c r="AR2108">
        <v>320</v>
      </c>
      <c r="AZ2108">
        <v>1200</v>
      </c>
      <c r="BA2108">
        <v>1</v>
      </c>
      <c r="BB2108" t="str">
        <f t="shared" si="979"/>
        <v xml:space="preserve">N711JA  </v>
      </c>
      <c r="BC2108">
        <v>1</v>
      </c>
      <c r="BE2108">
        <v>0</v>
      </c>
      <c r="BF2108">
        <v>0</v>
      </c>
      <c r="BG2108">
        <v>0</v>
      </c>
      <c r="BH2108">
        <v>2050</v>
      </c>
      <c r="BI2108">
        <v>1</v>
      </c>
      <c r="BJ2108">
        <v>1</v>
      </c>
      <c r="BK2108">
        <v>0</v>
      </c>
      <c r="BL2108">
        <v>0</v>
      </c>
      <c r="BO2108">
        <v>0</v>
      </c>
      <c r="BP2108">
        <v>0</v>
      </c>
      <c r="BW2108" t="str">
        <f t="shared" si="994"/>
        <v>14:44:51.239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7</v>
      </c>
      <c r="CP2108" t="s">
        <v>119</v>
      </c>
      <c r="CQ2108">
        <v>56</v>
      </c>
      <c r="CR2108">
        <v>2</v>
      </c>
      <c r="CW2108">
        <v>4812406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 t="shared" si="991"/>
        <v>05/12/2020 14:44:33.410</v>
      </c>
      <c r="C2109" t="str">
        <f t="shared" si="978"/>
        <v>FFDFD3C0</v>
      </c>
      <c r="D2109" t="s">
        <v>134</v>
      </c>
      <c r="E2109">
        <v>12</v>
      </c>
      <c r="H2109">
        <v>64</v>
      </c>
      <c r="I2109" t="s">
        <v>135</v>
      </c>
      <c r="J2109" t="s">
        <v>136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992"/>
        <v>14:44:51.234</v>
      </c>
      <c r="T2109" t="str">
        <f t="shared" si="993"/>
        <v>14:44:50.934</v>
      </c>
      <c r="U2109" t="str">
        <f t="shared" si="969"/>
        <v>A9808D</v>
      </c>
      <c r="V2109">
        <v>0</v>
      </c>
      <c r="W2109">
        <v>0</v>
      </c>
      <c r="X2109">
        <v>1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0</v>
      </c>
      <c r="AI2109" t="s">
        <v>541</v>
      </c>
      <c r="AJ2109">
        <v>28.263209</v>
      </c>
      <c r="AK2109" t="s">
        <v>542</v>
      </c>
      <c r="AL2109">
        <v>-82.346198999999999</v>
      </c>
      <c r="AM2109">
        <v>100</v>
      </c>
      <c r="AN2109">
        <v>2100</v>
      </c>
      <c r="AO2109" t="s">
        <v>118</v>
      </c>
      <c r="AP2109">
        <v>86</v>
      </c>
      <c r="AQ2109">
        <v>-60</v>
      </c>
      <c r="AR2109">
        <v>320</v>
      </c>
      <c r="AZ2109">
        <v>1200</v>
      </c>
      <c r="BA2109">
        <v>1</v>
      </c>
      <c r="BB2109" t="str">
        <f t="shared" si="979"/>
        <v xml:space="preserve">N711JA  </v>
      </c>
      <c r="BC2109">
        <v>1</v>
      </c>
      <c r="BE2109">
        <v>0</v>
      </c>
      <c r="BF2109">
        <v>0</v>
      </c>
      <c r="BG2109">
        <v>0</v>
      </c>
      <c r="BH2109">
        <v>2050</v>
      </c>
      <c r="BI2109">
        <v>1</v>
      </c>
      <c r="BJ2109">
        <v>1</v>
      </c>
      <c r="BK2109">
        <v>0</v>
      </c>
      <c r="BL2109">
        <v>0</v>
      </c>
      <c r="BO2109">
        <v>0</v>
      </c>
      <c r="BP2109">
        <v>0</v>
      </c>
      <c r="BW2109" t="str">
        <f t="shared" si="994"/>
        <v>14:44:51.239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343</v>
      </c>
      <c r="CR2109">
        <v>1</v>
      </c>
      <c r="CW2109">
        <v>10747669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 t="shared" si="991"/>
        <v>05/12/2020 14:44:33.410</v>
      </c>
      <c r="C2110" t="str">
        <f t="shared" si="978"/>
        <v>FFDFD3C0</v>
      </c>
      <c r="D2110" t="s">
        <v>113</v>
      </c>
      <c r="E2110">
        <v>3</v>
      </c>
      <c r="H2110">
        <v>164</v>
      </c>
      <c r="I2110" t="s">
        <v>114</v>
      </c>
      <c r="J2110" t="s">
        <v>115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992"/>
        <v>14:44:51.234</v>
      </c>
      <c r="T2110" t="str">
        <f t="shared" si="993"/>
        <v>14:44:50.934</v>
      </c>
      <c r="U2110" t="str">
        <f t="shared" si="969"/>
        <v>A9808D</v>
      </c>
      <c r="V2110">
        <v>0</v>
      </c>
      <c r="W2110">
        <v>0</v>
      </c>
      <c r="X2110">
        <v>1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0</v>
      </c>
      <c r="AI2110" t="s">
        <v>541</v>
      </c>
      <c r="AJ2110">
        <v>28.263209</v>
      </c>
      <c r="AK2110" t="s">
        <v>542</v>
      </c>
      <c r="AL2110">
        <v>-82.346198999999999</v>
      </c>
      <c r="AM2110">
        <v>100</v>
      </c>
      <c r="AN2110">
        <v>2100</v>
      </c>
      <c r="AO2110" t="s">
        <v>118</v>
      </c>
      <c r="AP2110">
        <v>86</v>
      </c>
      <c r="AQ2110">
        <v>-60</v>
      </c>
      <c r="AR2110">
        <v>320</v>
      </c>
      <c r="AZ2110">
        <v>1200</v>
      </c>
      <c r="BA2110">
        <v>1</v>
      </c>
      <c r="BB2110" t="str">
        <f t="shared" si="979"/>
        <v xml:space="preserve">N711JA  </v>
      </c>
      <c r="BC2110">
        <v>1</v>
      </c>
      <c r="BE2110">
        <v>0</v>
      </c>
      <c r="BF2110">
        <v>0</v>
      </c>
      <c r="BG2110">
        <v>0</v>
      </c>
      <c r="BH2110">
        <v>2050</v>
      </c>
      <c r="BI2110">
        <v>1</v>
      </c>
      <c r="BJ2110">
        <v>1</v>
      </c>
      <c r="BK2110">
        <v>0</v>
      </c>
      <c r="BL2110">
        <v>0</v>
      </c>
      <c r="BO2110">
        <v>0</v>
      </c>
      <c r="BP2110">
        <v>0</v>
      </c>
      <c r="BW2110" t="str">
        <f t="shared" si="994"/>
        <v>14:44:51.239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56</v>
      </c>
      <c r="CR2110">
        <v>2</v>
      </c>
      <c r="CW2110">
        <v>4812406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 t="shared" ref="A2111:A2119" si="995">"05/12/2020 14:44:34.368"</f>
        <v>05/12/2020 14:44:34.368</v>
      </c>
      <c r="C2111" t="str">
        <f t="shared" si="978"/>
        <v>FFDFD3C0</v>
      </c>
      <c r="D2111" t="s">
        <v>131</v>
      </c>
      <c r="E2111">
        <v>10</v>
      </c>
      <c r="F2111">
        <v>2010</v>
      </c>
      <c r="G2111" t="s">
        <v>132</v>
      </c>
      <c r="J2111" t="s">
        <v>133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ref="S2111:S2119" si="996">"14:44:52.180"</f>
        <v>14:44:52.180</v>
      </c>
      <c r="T2111" t="str">
        <f t="shared" ref="T2111:T2119" si="997">"14:44:51.980"</f>
        <v>14:44:51.980</v>
      </c>
      <c r="U2111" t="str">
        <f t="shared" si="969"/>
        <v>A9808D</v>
      </c>
      <c r="V2111">
        <v>0</v>
      </c>
      <c r="W2111">
        <v>0</v>
      </c>
      <c r="X2111">
        <v>1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0</v>
      </c>
      <c r="AI2111" t="s">
        <v>543</v>
      </c>
      <c r="AJ2111">
        <v>28.262972999999999</v>
      </c>
      <c r="AK2111" t="s">
        <v>544</v>
      </c>
      <c r="AL2111">
        <v>-82.345769000000004</v>
      </c>
      <c r="AM2111">
        <v>100</v>
      </c>
      <c r="AN2111">
        <v>2100</v>
      </c>
      <c r="AO2111" t="s">
        <v>118</v>
      </c>
      <c r="AP2111">
        <v>86</v>
      </c>
      <c r="AQ2111">
        <v>-60</v>
      </c>
      <c r="AR2111">
        <v>320</v>
      </c>
      <c r="AZ2111">
        <v>1200</v>
      </c>
      <c r="BA2111">
        <v>1</v>
      </c>
      <c r="BB2111" t="str">
        <f t="shared" si="979"/>
        <v xml:space="preserve">N711JA  </v>
      </c>
      <c r="BC2111">
        <v>1</v>
      </c>
      <c r="BE2111">
        <v>0</v>
      </c>
      <c r="BF2111">
        <v>0</v>
      </c>
      <c r="BG2111">
        <v>0</v>
      </c>
      <c r="BH2111">
        <v>2150</v>
      </c>
      <c r="BI2111">
        <v>1</v>
      </c>
      <c r="BJ2111">
        <v>1</v>
      </c>
      <c r="BK2111">
        <v>0</v>
      </c>
      <c r="BL2111">
        <v>0</v>
      </c>
      <c r="BO2111">
        <v>0</v>
      </c>
      <c r="BP2111">
        <v>0</v>
      </c>
      <c r="BW2111" t="str">
        <f t="shared" ref="BW2111:BW2119" si="998">"14:44:52.181"</f>
        <v>14:44:52.181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56</v>
      </c>
      <c r="CR2111">
        <v>2</v>
      </c>
      <c r="CW2111">
        <v>4813611</v>
      </c>
      <c r="CY2111">
        <v>1</v>
      </c>
      <c r="CZ2111">
        <v>0</v>
      </c>
      <c r="DA2111">
        <v>0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 t="shared" si="995"/>
        <v>05/12/2020 14:44:34.368</v>
      </c>
      <c r="C2112" t="str">
        <f t="shared" si="978"/>
        <v>FFDFD3C0</v>
      </c>
      <c r="D2112" t="s">
        <v>126</v>
      </c>
      <c r="E2112">
        <v>7</v>
      </c>
      <c r="F2112">
        <v>1007</v>
      </c>
      <c r="G2112" t="s">
        <v>127</v>
      </c>
      <c r="J2112" t="s">
        <v>128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996"/>
        <v>14:44:52.180</v>
      </c>
      <c r="T2112" t="str">
        <f t="shared" si="997"/>
        <v>14:44:51.980</v>
      </c>
      <c r="U2112" t="str">
        <f t="shared" si="969"/>
        <v>A9808D</v>
      </c>
      <c r="V2112">
        <v>0</v>
      </c>
      <c r="W2112">
        <v>0</v>
      </c>
      <c r="X2112">
        <v>1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0</v>
      </c>
      <c r="AI2112" t="s">
        <v>543</v>
      </c>
      <c r="AJ2112">
        <v>28.262972999999999</v>
      </c>
      <c r="AK2112" t="s">
        <v>544</v>
      </c>
      <c r="AL2112">
        <v>-82.345769000000004</v>
      </c>
      <c r="AM2112">
        <v>100</v>
      </c>
      <c r="AN2112">
        <v>2100</v>
      </c>
      <c r="AO2112" t="s">
        <v>118</v>
      </c>
      <c r="AP2112">
        <v>86</v>
      </c>
      <c r="AQ2112">
        <v>-60</v>
      </c>
      <c r="AR2112">
        <v>320</v>
      </c>
      <c r="AZ2112">
        <v>1200</v>
      </c>
      <c r="BA2112">
        <v>1</v>
      </c>
      <c r="BB2112" t="str">
        <f t="shared" si="979"/>
        <v xml:space="preserve">N711JA  </v>
      </c>
      <c r="BC2112">
        <v>1</v>
      </c>
      <c r="BE2112">
        <v>0</v>
      </c>
      <c r="BF2112">
        <v>0</v>
      </c>
      <c r="BG2112">
        <v>0</v>
      </c>
      <c r="BH2112">
        <v>2150</v>
      </c>
      <c r="BI2112">
        <v>1</v>
      </c>
      <c r="BJ2112">
        <v>1</v>
      </c>
      <c r="BK2112">
        <v>0</v>
      </c>
      <c r="BL2112">
        <v>0</v>
      </c>
      <c r="BO2112">
        <v>0</v>
      </c>
      <c r="BP2112">
        <v>0</v>
      </c>
      <c r="BW2112" t="str">
        <f t="shared" si="998"/>
        <v>14:44:52.181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56</v>
      </c>
      <c r="CR2112">
        <v>2</v>
      </c>
      <c r="CW2112">
        <v>4813611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 t="shared" si="995"/>
        <v>05/12/2020 14:44:34.368</v>
      </c>
      <c r="C2113" t="str">
        <f t="shared" si="978"/>
        <v>FFDFD3C0</v>
      </c>
      <c r="D2113" t="s">
        <v>138</v>
      </c>
      <c r="E2113">
        <v>2</v>
      </c>
      <c r="H2113">
        <v>8</v>
      </c>
      <c r="I2113" t="s">
        <v>139</v>
      </c>
      <c r="J2113" t="s">
        <v>136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996"/>
        <v>14:44:52.180</v>
      </c>
      <c r="T2113" t="str">
        <f t="shared" si="997"/>
        <v>14:44:51.980</v>
      </c>
      <c r="U2113" t="str">
        <f t="shared" si="969"/>
        <v>A9808D</v>
      </c>
      <c r="V2113">
        <v>0</v>
      </c>
      <c r="W2113">
        <v>0</v>
      </c>
      <c r="X2113">
        <v>1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0</v>
      </c>
      <c r="AI2113" t="s">
        <v>543</v>
      </c>
      <c r="AJ2113">
        <v>28.262972999999999</v>
      </c>
      <c r="AK2113" t="s">
        <v>544</v>
      </c>
      <c r="AL2113">
        <v>-82.345769000000004</v>
      </c>
      <c r="AM2113">
        <v>100</v>
      </c>
      <c r="AN2113">
        <v>2100</v>
      </c>
      <c r="AO2113" t="s">
        <v>118</v>
      </c>
      <c r="AP2113">
        <v>86</v>
      </c>
      <c r="AQ2113">
        <v>-60</v>
      </c>
      <c r="AR2113">
        <v>320</v>
      </c>
      <c r="AZ2113">
        <v>1200</v>
      </c>
      <c r="BA2113">
        <v>1</v>
      </c>
      <c r="BB2113" t="str">
        <f t="shared" si="979"/>
        <v xml:space="preserve">N711JA  </v>
      </c>
      <c r="BC2113">
        <v>1</v>
      </c>
      <c r="BE2113">
        <v>0</v>
      </c>
      <c r="BF2113">
        <v>0</v>
      </c>
      <c r="BG2113">
        <v>0</v>
      </c>
      <c r="BH2113">
        <v>2150</v>
      </c>
      <c r="BI2113">
        <v>1</v>
      </c>
      <c r="BJ2113">
        <v>1</v>
      </c>
      <c r="BK2113">
        <v>0</v>
      </c>
      <c r="BL2113">
        <v>0</v>
      </c>
      <c r="BO2113">
        <v>0</v>
      </c>
      <c r="BP2113">
        <v>0</v>
      </c>
      <c r="BW2113" t="str">
        <f t="shared" si="998"/>
        <v>14:44:52.181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56</v>
      </c>
      <c r="CR2113">
        <v>2</v>
      </c>
      <c r="CW2113">
        <v>4813611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 t="shared" si="995"/>
        <v>05/12/2020 14:44:34.368</v>
      </c>
      <c r="C2114" t="str">
        <f t="shared" si="978"/>
        <v>FFDFD3C0</v>
      </c>
      <c r="D2114" t="s">
        <v>126</v>
      </c>
      <c r="E2114">
        <v>6</v>
      </c>
      <c r="F2114">
        <v>1006</v>
      </c>
      <c r="G2114" t="s">
        <v>114</v>
      </c>
      <c r="J2114" t="s">
        <v>128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996"/>
        <v>14:44:52.180</v>
      </c>
      <c r="T2114" t="str">
        <f t="shared" si="997"/>
        <v>14:44:51.980</v>
      </c>
      <c r="U2114" t="str">
        <f t="shared" ref="U2114:U2177" si="999">"A9808D"</f>
        <v>A9808D</v>
      </c>
      <c r="V2114">
        <v>0</v>
      </c>
      <c r="W2114">
        <v>0</v>
      </c>
      <c r="X2114">
        <v>1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0</v>
      </c>
      <c r="AI2114" t="s">
        <v>543</v>
      </c>
      <c r="AJ2114">
        <v>28.262972999999999</v>
      </c>
      <c r="AK2114" t="s">
        <v>544</v>
      </c>
      <c r="AL2114">
        <v>-82.345769000000004</v>
      </c>
      <c r="AM2114">
        <v>100</v>
      </c>
      <c r="AN2114">
        <v>2100</v>
      </c>
      <c r="AO2114" t="s">
        <v>118</v>
      </c>
      <c r="AP2114">
        <v>86</v>
      </c>
      <c r="AQ2114">
        <v>-60</v>
      </c>
      <c r="AR2114">
        <v>320</v>
      </c>
      <c r="AZ2114">
        <v>1200</v>
      </c>
      <c r="BA2114">
        <v>1</v>
      </c>
      <c r="BB2114" t="str">
        <f t="shared" si="979"/>
        <v xml:space="preserve">N711JA  </v>
      </c>
      <c r="BC2114">
        <v>1</v>
      </c>
      <c r="BE2114">
        <v>0</v>
      </c>
      <c r="BF2114">
        <v>0</v>
      </c>
      <c r="BG2114">
        <v>0</v>
      </c>
      <c r="BH2114">
        <v>2150</v>
      </c>
      <c r="BI2114">
        <v>1</v>
      </c>
      <c r="BJ2114">
        <v>1</v>
      </c>
      <c r="BK2114">
        <v>0</v>
      </c>
      <c r="BL2114">
        <v>0</v>
      </c>
      <c r="BO2114">
        <v>0</v>
      </c>
      <c r="BP2114">
        <v>0</v>
      </c>
      <c r="BW2114" t="str">
        <f t="shared" si="998"/>
        <v>14:44:52.181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56</v>
      </c>
      <c r="CR2114">
        <v>2</v>
      </c>
      <c r="CW2114">
        <v>4813611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 t="shared" si="995"/>
        <v>05/12/2020 14:44:34.368</v>
      </c>
      <c r="C2115" t="str">
        <f t="shared" si="978"/>
        <v>FFDFD3C0</v>
      </c>
      <c r="D2115" t="s">
        <v>131</v>
      </c>
      <c r="E2115">
        <v>12</v>
      </c>
      <c r="F2115">
        <v>2012</v>
      </c>
      <c r="G2115" t="s">
        <v>137</v>
      </c>
      <c r="J2115" t="s">
        <v>133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996"/>
        <v>14:44:52.180</v>
      </c>
      <c r="T2115" t="str">
        <f t="shared" si="997"/>
        <v>14:44:51.980</v>
      </c>
      <c r="U2115" t="str">
        <f t="shared" si="999"/>
        <v>A9808D</v>
      </c>
      <c r="V2115">
        <v>0</v>
      </c>
      <c r="W2115">
        <v>0</v>
      </c>
      <c r="X2115">
        <v>1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0</v>
      </c>
      <c r="AI2115" t="s">
        <v>543</v>
      </c>
      <c r="AJ2115">
        <v>28.262972999999999</v>
      </c>
      <c r="AK2115" t="s">
        <v>544</v>
      </c>
      <c r="AL2115">
        <v>-82.345769000000004</v>
      </c>
      <c r="AM2115">
        <v>100</v>
      </c>
      <c r="AN2115">
        <v>2100</v>
      </c>
      <c r="AO2115" t="s">
        <v>118</v>
      </c>
      <c r="AP2115">
        <v>86</v>
      </c>
      <c r="AQ2115">
        <v>-60</v>
      </c>
      <c r="AR2115">
        <v>320</v>
      </c>
      <c r="AZ2115">
        <v>1200</v>
      </c>
      <c r="BA2115">
        <v>1</v>
      </c>
      <c r="BB2115" t="str">
        <f t="shared" si="979"/>
        <v xml:space="preserve">N711JA  </v>
      </c>
      <c r="BC2115">
        <v>1</v>
      </c>
      <c r="BE2115">
        <v>0</v>
      </c>
      <c r="BF2115">
        <v>0</v>
      </c>
      <c r="BG2115">
        <v>0</v>
      </c>
      <c r="BH2115">
        <v>2150</v>
      </c>
      <c r="BI2115">
        <v>1</v>
      </c>
      <c r="BJ2115">
        <v>1</v>
      </c>
      <c r="BK2115">
        <v>0</v>
      </c>
      <c r="BL2115">
        <v>0</v>
      </c>
      <c r="BO2115">
        <v>0</v>
      </c>
      <c r="BP2115">
        <v>0</v>
      </c>
      <c r="BW2115" t="str">
        <f t="shared" si="998"/>
        <v>14:44:52.181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56</v>
      </c>
      <c r="CR2115">
        <v>2</v>
      </c>
      <c r="CW2115">
        <v>4813611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 t="shared" si="995"/>
        <v>05/12/2020 14:44:34.368</v>
      </c>
      <c r="C2116" t="str">
        <f t="shared" si="978"/>
        <v>FFDFD3C0</v>
      </c>
      <c r="D2116" t="s">
        <v>138</v>
      </c>
      <c r="E2116">
        <v>3</v>
      </c>
      <c r="H2116">
        <v>9</v>
      </c>
      <c r="I2116" t="s">
        <v>140</v>
      </c>
      <c r="J2116" t="s">
        <v>136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996"/>
        <v>14:44:52.180</v>
      </c>
      <c r="T2116" t="str">
        <f t="shared" si="997"/>
        <v>14:44:51.980</v>
      </c>
      <c r="U2116" t="str">
        <f t="shared" si="999"/>
        <v>A9808D</v>
      </c>
      <c r="V2116">
        <v>0</v>
      </c>
      <c r="W2116">
        <v>0</v>
      </c>
      <c r="X2116">
        <v>1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0</v>
      </c>
      <c r="AI2116" t="s">
        <v>543</v>
      </c>
      <c r="AJ2116">
        <v>28.262972999999999</v>
      </c>
      <c r="AK2116" t="s">
        <v>544</v>
      </c>
      <c r="AL2116">
        <v>-82.345769000000004</v>
      </c>
      <c r="AM2116">
        <v>100</v>
      </c>
      <c r="AN2116">
        <v>2100</v>
      </c>
      <c r="AO2116" t="s">
        <v>118</v>
      </c>
      <c r="AP2116">
        <v>86</v>
      </c>
      <c r="AQ2116">
        <v>-60</v>
      </c>
      <c r="AR2116">
        <v>320</v>
      </c>
      <c r="AZ2116">
        <v>1200</v>
      </c>
      <c r="BA2116">
        <v>1</v>
      </c>
      <c r="BB2116" t="str">
        <f t="shared" si="979"/>
        <v xml:space="preserve">N711JA  </v>
      </c>
      <c r="BC2116">
        <v>1</v>
      </c>
      <c r="BE2116">
        <v>0</v>
      </c>
      <c r="BF2116">
        <v>0</v>
      </c>
      <c r="BG2116">
        <v>0</v>
      </c>
      <c r="BH2116">
        <v>2150</v>
      </c>
      <c r="BI2116">
        <v>1</v>
      </c>
      <c r="BJ2116">
        <v>1</v>
      </c>
      <c r="BK2116">
        <v>0</v>
      </c>
      <c r="BL2116">
        <v>0</v>
      </c>
      <c r="BO2116">
        <v>0</v>
      </c>
      <c r="BP2116">
        <v>0</v>
      </c>
      <c r="BW2116" t="str">
        <f t="shared" si="998"/>
        <v>14:44:52.181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56</v>
      </c>
      <c r="CR2116">
        <v>2</v>
      </c>
      <c r="CW2116">
        <v>4813611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 t="shared" si="995"/>
        <v>05/12/2020 14:44:34.368</v>
      </c>
      <c r="C2117" t="str">
        <f t="shared" si="978"/>
        <v>FFDFD3C0</v>
      </c>
      <c r="D2117" t="s">
        <v>131</v>
      </c>
      <c r="E2117">
        <v>18</v>
      </c>
      <c r="F2117">
        <v>2018</v>
      </c>
      <c r="G2117" t="s">
        <v>161</v>
      </c>
      <c r="J2117" t="s">
        <v>133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996"/>
        <v>14:44:52.180</v>
      </c>
      <c r="T2117" t="str">
        <f t="shared" si="997"/>
        <v>14:44:51.980</v>
      </c>
      <c r="U2117" t="str">
        <f t="shared" si="999"/>
        <v>A9808D</v>
      </c>
      <c r="V2117">
        <v>0</v>
      </c>
      <c r="W2117">
        <v>0</v>
      </c>
      <c r="X2117">
        <v>1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0</v>
      </c>
      <c r="AI2117" t="s">
        <v>543</v>
      </c>
      <c r="AJ2117">
        <v>28.262972999999999</v>
      </c>
      <c r="AK2117" t="s">
        <v>544</v>
      </c>
      <c r="AL2117">
        <v>-82.345769000000004</v>
      </c>
      <c r="AM2117">
        <v>100</v>
      </c>
      <c r="AN2117">
        <v>2100</v>
      </c>
      <c r="AO2117" t="s">
        <v>118</v>
      </c>
      <c r="AP2117">
        <v>86</v>
      </c>
      <c r="AQ2117">
        <v>-60</v>
      </c>
      <c r="AR2117">
        <v>320</v>
      </c>
      <c r="AZ2117">
        <v>1200</v>
      </c>
      <c r="BA2117">
        <v>1</v>
      </c>
      <c r="BB2117" t="str">
        <f t="shared" si="979"/>
        <v xml:space="preserve">N711JA  </v>
      </c>
      <c r="BC2117">
        <v>1</v>
      </c>
      <c r="BE2117">
        <v>0</v>
      </c>
      <c r="BF2117">
        <v>0</v>
      </c>
      <c r="BG2117">
        <v>0</v>
      </c>
      <c r="BH2117">
        <v>2150</v>
      </c>
      <c r="BI2117">
        <v>1</v>
      </c>
      <c r="BJ2117">
        <v>1</v>
      </c>
      <c r="BK2117">
        <v>0</v>
      </c>
      <c r="BL2117">
        <v>0</v>
      </c>
      <c r="BO2117">
        <v>0</v>
      </c>
      <c r="BP2117">
        <v>0</v>
      </c>
      <c r="BW2117" t="str">
        <f t="shared" si="998"/>
        <v>14:44:52.181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56</v>
      </c>
      <c r="CR2117">
        <v>2</v>
      </c>
      <c r="CW2117">
        <v>4813611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 t="shared" si="995"/>
        <v>05/12/2020 14:44:34.368</v>
      </c>
      <c r="C2118" t="str">
        <f t="shared" si="978"/>
        <v>FFDFD3C0</v>
      </c>
      <c r="D2118" t="s">
        <v>134</v>
      </c>
      <c r="E2118">
        <v>12</v>
      </c>
      <c r="H2118">
        <v>64</v>
      </c>
      <c r="I2118" t="s">
        <v>135</v>
      </c>
      <c r="J2118" t="s">
        <v>136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996"/>
        <v>14:44:52.180</v>
      </c>
      <c r="T2118" t="str">
        <f t="shared" si="997"/>
        <v>14:44:51.980</v>
      </c>
      <c r="U2118" t="str">
        <f t="shared" si="999"/>
        <v>A9808D</v>
      </c>
      <c r="V2118">
        <v>0</v>
      </c>
      <c r="W2118">
        <v>0</v>
      </c>
      <c r="X2118">
        <v>1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0</v>
      </c>
      <c r="AI2118" t="s">
        <v>543</v>
      </c>
      <c r="AJ2118">
        <v>28.262972999999999</v>
      </c>
      <c r="AK2118" t="s">
        <v>544</v>
      </c>
      <c r="AL2118">
        <v>-82.345769000000004</v>
      </c>
      <c r="AM2118">
        <v>100</v>
      </c>
      <c r="AN2118">
        <v>2100</v>
      </c>
      <c r="AO2118" t="s">
        <v>118</v>
      </c>
      <c r="AP2118">
        <v>86</v>
      </c>
      <c r="AQ2118">
        <v>-60</v>
      </c>
      <c r="AR2118">
        <v>320</v>
      </c>
      <c r="AZ2118">
        <v>1200</v>
      </c>
      <c r="BA2118">
        <v>1</v>
      </c>
      <c r="BB2118" t="str">
        <f t="shared" si="979"/>
        <v xml:space="preserve">N711JA  </v>
      </c>
      <c r="BC2118">
        <v>1</v>
      </c>
      <c r="BE2118">
        <v>0</v>
      </c>
      <c r="BF2118">
        <v>0</v>
      </c>
      <c r="BG2118">
        <v>0</v>
      </c>
      <c r="BH2118">
        <v>2150</v>
      </c>
      <c r="BI2118">
        <v>1</v>
      </c>
      <c r="BJ2118">
        <v>1</v>
      </c>
      <c r="BK2118">
        <v>0</v>
      </c>
      <c r="BL2118">
        <v>0</v>
      </c>
      <c r="BO2118">
        <v>0</v>
      </c>
      <c r="BP2118">
        <v>0</v>
      </c>
      <c r="BW2118" t="str">
        <f t="shared" si="998"/>
        <v>14:44:52.181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343</v>
      </c>
      <c r="CR2118">
        <v>1</v>
      </c>
      <c r="CW2118">
        <v>10748687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 t="shared" si="995"/>
        <v>05/12/2020 14:44:34.368</v>
      </c>
      <c r="C2119" t="str">
        <f t="shared" si="978"/>
        <v>FFDFD3C0</v>
      </c>
      <c r="D2119" t="s">
        <v>113</v>
      </c>
      <c r="E2119">
        <v>3</v>
      </c>
      <c r="H2119">
        <v>164</v>
      </c>
      <c r="I2119" t="s">
        <v>114</v>
      </c>
      <c r="J2119" t="s">
        <v>115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996"/>
        <v>14:44:52.180</v>
      </c>
      <c r="T2119" t="str">
        <f t="shared" si="997"/>
        <v>14:44:51.980</v>
      </c>
      <c r="U2119" t="str">
        <f t="shared" si="999"/>
        <v>A9808D</v>
      </c>
      <c r="V2119">
        <v>0</v>
      </c>
      <c r="W2119">
        <v>0</v>
      </c>
      <c r="X2119">
        <v>1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0</v>
      </c>
      <c r="AI2119" t="s">
        <v>543</v>
      </c>
      <c r="AJ2119">
        <v>28.262972999999999</v>
      </c>
      <c r="AK2119" t="s">
        <v>544</v>
      </c>
      <c r="AL2119">
        <v>-82.345769000000004</v>
      </c>
      <c r="AM2119">
        <v>100</v>
      </c>
      <c r="AN2119">
        <v>2100</v>
      </c>
      <c r="AO2119" t="s">
        <v>118</v>
      </c>
      <c r="AP2119">
        <v>86</v>
      </c>
      <c r="AQ2119">
        <v>-60</v>
      </c>
      <c r="AR2119">
        <v>320</v>
      </c>
      <c r="AZ2119">
        <v>1200</v>
      </c>
      <c r="BA2119">
        <v>1</v>
      </c>
      <c r="BB2119" t="str">
        <f t="shared" si="979"/>
        <v xml:space="preserve">N711JA  </v>
      </c>
      <c r="BC2119">
        <v>1</v>
      </c>
      <c r="BE2119">
        <v>0</v>
      </c>
      <c r="BF2119">
        <v>0</v>
      </c>
      <c r="BG2119">
        <v>0</v>
      </c>
      <c r="BH2119">
        <v>2150</v>
      </c>
      <c r="BI2119">
        <v>1</v>
      </c>
      <c r="BJ2119">
        <v>1</v>
      </c>
      <c r="BK2119">
        <v>0</v>
      </c>
      <c r="BL2119">
        <v>0</v>
      </c>
      <c r="BO2119">
        <v>0</v>
      </c>
      <c r="BP2119">
        <v>0</v>
      </c>
      <c r="BW2119" t="str">
        <f t="shared" si="998"/>
        <v>14:44:52.181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56</v>
      </c>
      <c r="CR2119">
        <v>2</v>
      </c>
      <c r="CW2119">
        <v>4813611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 t="shared" ref="A2120:A2128" si="1000">"05/12/2020 14:44:35.439"</f>
        <v>05/12/2020 14:44:35.439</v>
      </c>
      <c r="C2120" t="str">
        <f t="shared" si="978"/>
        <v>FFDFD3C0</v>
      </c>
      <c r="D2120" t="s">
        <v>138</v>
      </c>
      <c r="E2120">
        <v>3</v>
      </c>
      <c r="H2120">
        <v>9</v>
      </c>
      <c r="I2120" t="s">
        <v>140</v>
      </c>
      <c r="J2120" t="s">
        <v>136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ref="S2120:T2128" si="1001">"14:44:53.273"</f>
        <v>14:44:53.273</v>
      </c>
      <c r="T2120" t="str">
        <f t="shared" si="1001"/>
        <v>14:44:53.273</v>
      </c>
      <c r="U2120" t="str">
        <f t="shared" si="999"/>
        <v>A9808D</v>
      </c>
      <c r="V2120">
        <v>0</v>
      </c>
      <c r="W2120">
        <v>0</v>
      </c>
      <c r="X2120">
        <v>1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0</v>
      </c>
      <c r="AI2120" t="s">
        <v>545</v>
      </c>
      <c r="AJ2120">
        <v>28.262651000000002</v>
      </c>
      <c r="AK2120" t="s">
        <v>546</v>
      </c>
      <c r="AL2120">
        <v>-82.345275999999998</v>
      </c>
      <c r="AM2120">
        <v>100</v>
      </c>
      <c r="AN2120">
        <v>2100</v>
      </c>
      <c r="AO2120" t="s">
        <v>118</v>
      </c>
      <c r="AP2120">
        <v>87</v>
      </c>
      <c r="AQ2120">
        <v>-59</v>
      </c>
      <c r="AR2120">
        <v>320</v>
      </c>
      <c r="AZ2120">
        <v>1200</v>
      </c>
      <c r="BA2120">
        <v>1</v>
      </c>
      <c r="BB2120" t="str">
        <f t="shared" si="979"/>
        <v xml:space="preserve">N711JA  </v>
      </c>
      <c r="BC2120">
        <v>1</v>
      </c>
      <c r="BE2120">
        <v>0</v>
      </c>
      <c r="BF2120">
        <v>0</v>
      </c>
      <c r="BG2120">
        <v>0</v>
      </c>
      <c r="BH2120">
        <v>2150</v>
      </c>
      <c r="BI2120">
        <v>1</v>
      </c>
      <c r="BJ2120">
        <v>1</v>
      </c>
      <c r="BK2120">
        <v>0</v>
      </c>
      <c r="BL2120">
        <v>0</v>
      </c>
      <c r="BO2120">
        <v>0</v>
      </c>
      <c r="BP2120">
        <v>0</v>
      </c>
      <c r="BW2120" t="str">
        <f t="shared" ref="BW2120:BW2128" si="1002">"14:44:53.279"</f>
        <v>14:44:53.279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56</v>
      </c>
      <c r="CR2120">
        <v>2</v>
      </c>
      <c r="CW2120">
        <v>4814973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 t="shared" si="1000"/>
        <v>05/12/2020 14:44:35.439</v>
      </c>
      <c r="C2121" t="str">
        <f t="shared" si="978"/>
        <v>FFDFD3C0</v>
      </c>
      <c r="D2121" t="s">
        <v>134</v>
      </c>
      <c r="E2121">
        <v>12</v>
      </c>
      <c r="H2121">
        <v>64</v>
      </c>
      <c r="I2121" t="s">
        <v>135</v>
      </c>
      <c r="J2121" t="s">
        <v>136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001"/>
        <v>14:44:53.273</v>
      </c>
      <c r="T2121" t="str">
        <f t="shared" si="1001"/>
        <v>14:44:53.273</v>
      </c>
      <c r="U2121" t="str">
        <f t="shared" si="999"/>
        <v>A9808D</v>
      </c>
      <c r="V2121">
        <v>0</v>
      </c>
      <c r="W2121">
        <v>0</v>
      </c>
      <c r="X2121">
        <v>1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0</v>
      </c>
      <c r="AI2121" t="s">
        <v>545</v>
      </c>
      <c r="AJ2121">
        <v>28.262651000000002</v>
      </c>
      <c r="AK2121" t="s">
        <v>546</v>
      </c>
      <c r="AL2121">
        <v>-82.345275999999998</v>
      </c>
      <c r="AM2121">
        <v>100</v>
      </c>
      <c r="AN2121">
        <v>2100</v>
      </c>
      <c r="AO2121" t="s">
        <v>118</v>
      </c>
      <c r="AP2121">
        <v>87</v>
      </c>
      <c r="AQ2121">
        <v>-59</v>
      </c>
      <c r="AR2121">
        <v>320</v>
      </c>
      <c r="AZ2121">
        <v>1200</v>
      </c>
      <c r="BA2121">
        <v>1</v>
      </c>
      <c r="BB2121" t="str">
        <f t="shared" si="979"/>
        <v xml:space="preserve">N711JA  </v>
      </c>
      <c r="BC2121">
        <v>1</v>
      </c>
      <c r="BE2121">
        <v>0</v>
      </c>
      <c r="BF2121">
        <v>0</v>
      </c>
      <c r="BG2121">
        <v>0</v>
      </c>
      <c r="BH2121">
        <v>2150</v>
      </c>
      <c r="BI2121">
        <v>1</v>
      </c>
      <c r="BJ2121">
        <v>1</v>
      </c>
      <c r="BK2121">
        <v>0</v>
      </c>
      <c r="BL2121">
        <v>0</v>
      </c>
      <c r="BO2121">
        <v>0</v>
      </c>
      <c r="BP2121">
        <v>0</v>
      </c>
      <c r="BW2121" t="str">
        <f t="shared" si="1002"/>
        <v>14:44:53.279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6</v>
      </c>
      <c r="CP2121" t="s">
        <v>119</v>
      </c>
      <c r="CQ2121">
        <v>358</v>
      </c>
      <c r="CR2121">
        <v>0</v>
      </c>
      <c r="CW2121">
        <v>4796445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 t="shared" si="1000"/>
        <v>05/12/2020 14:44:35.439</v>
      </c>
      <c r="C2122" t="str">
        <f t="shared" si="978"/>
        <v>FFDFD3C0</v>
      </c>
      <c r="D2122" t="s">
        <v>113</v>
      </c>
      <c r="E2122">
        <v>3</v>
      </c>
      <c r="H2122">
        <v>164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001"/>
        <v>14:44:53.273</v>
      </c>
      <c r="T2122" t="str">
        <f t="shared" si="1001"/>
        <v>14:44:53.273</v>
      </c>
      <c r="U2122" t="str">
        <f t="shared" si="999"/>
        <v>A9808D</v>
      </c>
      <c r="V2122">
        <v>0</v>
      </c>
      <c r="W2122">
        <v>0</v>
      </c>
      <c r="X2122">
        <v>1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0</v>
      </c>
      <c r="AI2122" t="s">
        <v>545</v>
      </c>
      <c r="AJ2122">
        <v>28.262651000000002</v>
      </c>
      <c r="AK2122" t="s">
        <v>546</v>
      </c>
      <c r="AL2122">
        <v>-82.345275999999998</v>
      </c>
      <c r="AM2122">
        <v>100</v>
      </c>
      <c r="AN2122">
        <v>2100</v>
      </c>
      <c r="AO2122" t="s">
        <v>118</v>
      </c>
      <c r="AP2122">
        <v>87</v>
      </c>
      <c r="AQ2122">
        <v>-59</v>
      </c>
      <c r="AR2122">
        <v>320</v>
      </c>
      <c r="AZ2122">
        <v>1200</v>
      </c>
      <c r="BA2122">
        <v>1</v>
      </c>
      <c r="BB2122" t="str">
        <f t="shared" si="979"/>
        <v xml:space="preserve">N711JA  </v>
      </c>
      <c r="BC2122">
        <v>1</v>
      </c>
      <c r="BE2122">
        <v>0</v>
      </c>
      <c r="BF2122">
        <v>0</v>
      </c>
      <c r="BG2122">
        <v>0</v>
      </c>
      <c r="BH2122">
        <v>2150</v>
      </c>
      <c r="BI2122">
        <v>1</v>
      </c>
      <c r="BJ2122">
        <v>1</v>
      </c>
      <c r="BK2122">
        <v>0</v>
      </c>
      <c r="BL2122">
        <v>0</v>
      </c>
      <c r="BO2122">
        <v>0</v>
      </c>
      <c r="BP2122">
        <v>0</v>
      </c>
      <c r="BW2122" t="str">
        <f t="shared" si="1002"/>
        <v>14:44:53.279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56</v>
      </c>
      <c r="CR2122">
        <v>2</v>
      </c>
      <c r="CW2122">
        <v>4814973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 t="shared" si="1000"/>
        <v>05/12/2020 14:44:35.439</v>
      </c>
      <c r="C2123" t="str">
        <f t="shared" si="978"/>
        <v>FFDFD3C0</v>
      </c>
      <c r="D2123" t="s">
        <v>131</v>
      </c>
      <c r="E2123">
        <v>10</v>
      </c>
      <c r="F2123">
        <v>2010</v>
      </c>
      <c r="G2123" t="s">
        <v>132</v>
      </c>
      <c r="J2123" t="s">
        <v>133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001"/>
        <v>14:44:53.273</v>
      </c>
      <c r="T2123" t="str">
        <f t="shared" si="1001"/>
        <v>14:44:53.273</v>
      </c>
      <c r="U2123" t="str">
        <f t="shared" si="999"/>
        <v>A9808D</v>
      </c>
      <c r="V2123">
        <v>0</v>
      </c>
      <c r="W2123">
        <v>0</v>
      </c>
      <c r="X2123">
        <v>1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0</v>
      </c>
      <c r="AI2123" t="s">
        <v>545</v>
      </c>
      <c r="AJ2123">
        <v>28.262651000000002</v>
      </c>
      <c r="AK2123" t="s">
        <v>546</v>
      </c>
      <c r="AL2123">
        <v>-82.345275999999998</v>
      </c>
      <c r="AM2123">
        <v>100</v>
      </c>
      <c r="AN2123">
        <v>2100</v>
      </c>
      <c r="AO2123" t="s">
        <v>118</v>
      </c>
      <c r="AP2123">
        <v>87</v>
      </c>
      <c r="AQ2123">
        <v>-59</v>
      </c>
      <c r="AR2123">
        <v>320</v>
      </c>
      <c r="AZ2123">
        <v>1200</v>
      </c>
      <c r="BA2123">
        <v>1</v>
      </c>
      <c r="BB2123" t="str">
        <f t="shared" si="979"/>
        <v xml:space="preserve">N711JA  </v>
      </c>
      <c r="BC2123">
        <v>1</v>
      </c>
      <c r="BE2123">
        <v>0</v>
      </c>
      <c r="BF2123">
        <v>0</v>
      </c>
      <c r="BG2123">
        <v>0</v>
      </c>
      <c r="BH2123">
        <v>2150</v>
      </c>
      <c r="BI2123">
        <v>1</v>
      </c>
      <c r="BJ2123">
        <v>1</v>
      </c>
      <c r="BK2123">
        <v>0</v>
      </c>
      <c r="BL2123">
        <v>0</v>
      </c>
      <c r="BO2123">
        <v>0</v>
      </c>
      <c r="BP2123">
        <v>0</v>
      </c>
      <c r="BW2123" t="str">
        <f t="shared" si="1002"/>
        <v>14:44:53.279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119</v>
      </c>
      <c r="CQ2123">
        <v>56</v>
      </c>
      <c r="CR2123">
        <v>2</v>
      </c>
      <c r="CW2123">
        <v>4814973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 t="shared" si="1000"/>
        <v>05/12/2020 14:44:35.439</v>
      </c>
      <c r="C2124" t="str">
        <f t="shared" si="978"/>
        <v>FFDFD3C0</v>
      </c>
      <c r="D2124" t="s">
        <v>126</v>
      </c>
      <c r="E2124">
        <v>7</v>
      </c>
      <c r="F2124">
        <v>1007</v>
      </c>
      <c r="G2124" t="s">
        <v>127</v>
      </c>
      <c r="J2124" t="s">
        <v>128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001"/>
        <v>14:44:53.273</v>
      </c>
      <c r="T2124" t="str">
        <f t="shared" si="1001"/>
        <v>14:44:53.273</v>
      </c>
      <c r="U2124" t="str">
        <f t="shared" si="999"/>
        <v>A9808D</v>
      </c>
      <c r="V2124">
        <v>0</v>
      </c>
      <c r="W2124">
        <v>0</v>
      </c>
      <c r="X2124">
        <v>1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0</v>
      </c>
      <c r="AI2124" t="s">
        <v>545</v>
      </c>
      <c r="AJ2124">
        <v>28.262651000000002</v>
      </c>
      <c r="AK2124" t="s">
        <v>546</v>
      </c>
      <c r="AL2124">
        <v>-82.345275999999998</v>
      </c>
      <c r="AM2124">
        <v>100</v>
      </c>
      <c r="AN2124">
        <v>2100</v>
      </c>
      <c r="AO2124" t="s">
        <v>118</v>
      </c>
      <c r="AP2124">
        <v>87</v>
      </c>
      <c r="AQ2124">
        <v>-59</v>
      </c>
      <c r="AR2124">
        <v>320</v>
      </c>
      <c r="AZ2124">
        <v>1200</v>
      </c>
      <c r="BA2124">
        <v>1</v>
      </c>
      <c r="BB2124" t="str">
        <f t="shared" si="979"/>
        <v xml:space="preserve">N711JA  </v>
      </c>
      <c r="BC2124">
        <v>1</v>
      </c>
      <c r="BE2124">
        <v>0</v>
      </c>
      <c r="BF2124">
        <v>0</v>
      </c>
      <c r="BG2124">
        <v>0</v>
      </c>
      <c r="BH2124">
        <v>2150</v>
      </c>
      <c r="BI2124">
        <v>1</v>
      </c>
      <c r="BJ2124">
        <v>1</v>
      </c>
      <c r="BK2124">
        <v>0</v>
      </c>
      <c r="BL2124">
        <v>0</v>
      </c>
      <c r="BO2124">
        <v>0</v>
      </c>
      <c r="BP2124">
        <v>0</v>
      </c>
      <c r="BW2124" t="str">
        <f t="shared" si="1002"/>
        <v>14:44:53.279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56</v>
      </c>
      <c r="CR2124">
        <v>2</v>
      </c>
      <c r="CW2124">
        <v>4814973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 t="shared" si="1000"/>
        <v>05/12/2020 14:44:35.439</v>
      </c>
      <c r="C2125" t="str">
        <f t="shared" si="978"/>
        <v>FFDFD3C0</v>
      </c>
      <c r="D2125" t="s">
        <v>131</v>
      </c>
      <c r="E2125">
        <v>12</v>
      </c>
      <c r="F2125">
        <v>2012</v>
      </c>
      <c r="G2125" t="s">
        <v>137</v>
      </c>
      <c r="J2125" t="s">
        <v>133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001"/>
        <v>14:44:53.273</v>
      </c>
      <c r="T2125" t="str">
        <f t="shared" si="1001"/>
        <v>14:44:53.273</v>
      </c>
      <c r="U2125" t="str">
        <f t="shared" si="999"/>
        <v>A9808D</v>
      </c>
      <c r="V2125">
        <v>0</v>
      </c>
      <c r="W2125">
        <v>0</v>
      </c>
      <c r="X2125">
        <v>1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0</v>
      </c>
      <c r="AI2125" t="s">
        <v>545</v>
      </c>
      <c r="AJ2125">
        <v>28.262651000000002</v>
      </c>
      <c r="AK2125" t="s">
        <v>546</v>
      </c>
      <c r="AL2125">
        <v>-82.345275999999998</v>
      </c>
      <c r="AM2125">
        <v>100</v>
      </c>
      <c r="AN2125">
        <v>2100</v>
      </c>
      <c r="AO2125" t="s">
        <v>118</v>
      </c>
      <c r="AP2125">
        <v>87</v>
      </c>
      <c r="AQ2125">
        <v>-59</v>
      </c>
      <c r="AR2125">
        <v>320</v>
      </c>
      <c r="AZ2125">
        <v>1200</v>
      </c>
      <c r="BA2125">
        <v>1</v>
      </c>
      <c r="BB2125" t="str">
        <f t="shared" si="979"/>
        <v xml:space="preserve">N711JA  </v>
      </c>
      <c r="BC2125">
        <v>1</v>
      </c>
      <c r="BE2125">
        <v>0</v>
      </c>
      <c r="BF2125">
        <v>0</v>
      </c>
      <c r="BG2125">
        <v>0</v>
      </c>
      <c r="BH2125">
        <v>2150</v>
      </c>
      <c r="BI2125">
        <v>1</v>
      </c>
      <c r="BJ2125">
        <v>1</v>
      </c>
      <c r="BK2125">
        <v>0</v>
      </c>
      <c r="BL2125">
        <v>0</v>
      </c>
      <c r="BO2125">
        <v>0</v>
      </c>
      <c r="BP2125">
        <v>0</v>
      </c>
      <c r="BW2125" t="str">
        <f t="shared" si="1002"/>
        <v>14:44:53.279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56</v>
      </c>
      <c r="CR2125">
        <v>2</v>
      </c>
      <c r="CW2125">
        <v>4814973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 t="shared" si="1000"/>
        <v>05/12/2020 14:44:35.439</v>
      </c>
      <c r="C2126" t="str">
        <f t="shared" si="978"/>
        <v>FFDFD3C0</v>
      </c>
      <c r="D2126" t="s">
        <v>126</v>
      </c>
      <c r="E2126">
        <v>6</v>
      </c>
      <c r="F2126">
        <v>1006</v>
      </c>
      <c r="G2126" t="s">
        <v>114</v>
      </c>
      <c r="J2126" t="s">
        <v>128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001"/>
        <v>14:44:53.273</v>
      </c>
      <c r="T2126" t="str">
        <f t="shared" si="1001"/>
        <v>14:44:53.273</v>
      </c>
      <c r="U2126" t="str">
        <f t="shared" si="999"/>
        <v>A9808D</v>
      </c>
      <c r="V2126">
        <v>0</v>
      </c>
      <c r="W2126">
        <v>0</v>
      </c>
      <c r="X2126">
        <v>1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0</v>
      </c>
      <c r="AI2126" t="s">
        <v>545</v>
      </c>
      <c r="AJ2126">
        <v>28.262651000000002</v>
      </c>
      <c r="AK2126" t="s">
        <v>546</v>
      </c>
      <c r="AL2126">
        <v>-82.345275999999998</v>
      </c>
      <c r="AM2126">
        <v>100</v>
      </c>
      <c r="AN2126">
        <v>2100</v>
      </c>
      <c r="AO2126" t="s">
        <v>118</v>
      </c>
      <c r="AP2126">
        <v>87</v>
      </c>
      <c r="AQ2126">
        <v>-59</v>
      </c>
      <c r="AR2126">
        <v>320</v>
      </c>
      <c r="AZ2126">
        <v>1200</v>
      </c>
      <c r="BA2126">
        <v>1</v>
      </c>
      <c r="BB2126" t="str">
        <f t="shared" si="979"/>
        <v xml:space="preserve">N711JA  </v>
      </c>
      <c r="BC2126">
        <v>1</v>
      </c>
      <c r="BE2126">
        <v>0</v>
      </c>
      <c r="BF2126">
        <v>0</v>
      </c>
      <c r="BG2126">
        <v>0</v>
      </c>
      <c r="BH2126">
        <v>2150</v>
      </c>
      <c r="BI2126">
        <v>1</v>
      </c>
      <c r="BJ2126">
        <v>1</v>
      </c>
      <c r="BK2126">
        <v>0</v>
      </c>
      <c r="BL2126">
        <v>0</v>
      </c>
      <c r="BO2126">
        <v>0</v>
      </c>
      <c r="BP2126">
        <v>0</v>
      </c>
      <c r="BW2126" t="str">
        <f t="shared" si="1002"/>
        <v>14:44:53.279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56</v>
      </c>
      <c r="CR2126">
        <v>2</v>
      </c>
      <c r="CW2126">
        <v>4814973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 t="shared" si="1000"/>
        <v>05/12/2020 14:44:35.439</v>
      </c>
      <c r="C2127" t="str">
        <f t="shared" si="978"/>
        <v>FFDFD3C0</v>
      </c>
      <c r="D2127" t="s">
        <v>131</v>
      </c>
      <c r="E2127">
        <v>18</v>
      </c>
      <c r="F2127">
        <v>2018</v>
      </c>
      <c r="G2127" t="s">
        <v>161</v>
      </c>
      <c r="J2127" t="s">
        <v>133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001"/>
        <v>14:44:53.273</v>
      </c>
      <c r="T2127" t="str">
        <f t="shared" si="1001"/>
        <v>14:44:53.273</v>
      </c>
      <c r="U2127" t="str">
        <f t="shared" si="999"/>
        <v>A9808D</v>
      </c>
      <c r="V2127">
        <v>0</v>
      </c>
      <c r="W2127">
        <v>0</v>
      </c>
      <c r="X2127">
        <v>1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0</v>
      </c>
      <c r="AI2127" t="s">
        <v>545</v>
      </c>
      <c r="AJ2127">
        <v>28.262651000000002</v>
      </c>
      <c r="AK2127" t="s">
        <v>546</v>
      </c>
      <c r="AL2127">
        <v>-82.345275999999998</v>
      </c>
      <c r="AM2127">
        <v>100</v>
      </c>
      <c r="AN2127">
        <v>2100</v>
      </c>
      <c r="AO2127" t="s">
        <v>118</v>
      </c>
      <c r="AP2127">
        <v>87</v>
      </c>
      <c r="AQ2127">
        <v>-59</v>
      </c>
      <c r="AR2127">
        <v>320</v>
      </c>
      <c r="AZ2127">
        <v>1200</v>
      </c>
      <c r="BA2127">
        <v>1</v>
      </c>
      <c r="BB2127" t="str">
        <f t="shared" si="979"/>
        <v xml:space="preserve">N711JA  </v>
      </c>
      <c r="BC2127">
        <v>1</v>
      </c>
      <c r="BE2127">
        <v>0</v>
      </c>
      <c r="BF2127">
        <v>0</v>
      </c>
      <c r="BG2127">
        <v>0</v>
      </c>
      <c r="BH2127">
        <v>2150</v>
      </c>
      <c r="BI2127">
        <v>1</v>
      </c>
      <c r="BJ2127">
        <v>1</v>
      </c>
      <c r="BK2127">
        <v>0</v>
      </c>
      <c r="BL2127">
        <v>0</v>
      </c>
      <c r="BO2127">
        <v>0</v>
      </c>
      <c r="BP2127">
        <v>0</v>
      </c>
      <c r="BW2127" t="str">
        <f t="shared" si="1002"/>
        <v>14:44:53.279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56</v>
      </c>
      <c r="CR2127">
        <v>2</v>
      </c>
      <c r="CW2127">
        <v>4814973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 t="shared" si="1000"/>
        <v>05/12/2020 14:44:35.439</v>
      </c>
      <c r="C2128" t="str">
        <f t="shared" si="978"/>
        <v>FFDFD3C0</v>
      </c>
      <c r="D2128" t="s">
        <v>138</v>
      </c>
      <c r="E2128">
        <v>2</v>
      </c>
      <c r="H2128">
        <v>8</v>
      </c>
      <c r="I2128" t="s">
        <v>139</v>
      </c>
      <c r="J2128" t="s">
        <v>136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001"/>
        <v>14:44:53.273</v>
      </c>
      <c r="T2128" t="str">
        <f t="shared" si="1001"/>
        <v>14:44:53.273</v>
      </c>
      <c r="U2128" t="str">
        <f t="shared" si="999"/>
        <v>A9808D</v>
      </c>
      <c r="V2128">
        <v>0</v>
      </c>
      <c r="W2128">
        <v>0</v>
      </c>
      <c r="X2128">
        <v>1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0</v>
      </c>
      <c r="AI2128" t="s">
        <v>545</v>
      </c>
      <c r="AJ2128">
        <v>28.262651000000002</v>
      </c>
      <c r="AK2128" t="s">
        <v>546</v>
      </c>
      <c r="AL2128">
        <v>-82.345275999999998</v>
      </c>
      <c r="AM2128">
        <v>100</v>
      </c>
      <c r="AN2128">
        <v>2100</v>
      </c>
      <c r="AO2128" t="s">
        <v>118</v>
      </c>
      <c r="AP2128">
        <v>87</v>
      </c>
      <c r="AQ2128">
        <v>-59</v>
      </c>
      <c r="AR2128">
        <v>320</v>
      </c>
      <c r="AZ2128">
        <v>1200</v>
      </c>
      <c r="BA2128">
        <v>1</v>
      </c>
      <c r="BB2128" t="str">
        <f t="shared" si="979"/>
        <v xml:space="preserve">N711JA  </v>
      </c>
      <c r="BC2128">
        <v>1</v>
      </c>
      <c r="BE2128">
        <v>0</v>
      </c>
      <c r="BF2128">
        <v>0</v>
      </c>
      <c r="BG2128">
        <v>0</v>
      </c>
      <c r="BH2128">
        <v>2150</v>
      </c>
      <c r="BI2128">
        <v>1</v>
      </c>
      <c r="BJ2128">
        <v>1</v>
      </c>
      <c r="BK2128">
        <v>0</v>
      </c>
      <c r="BL2128">
        <v>0</v>
      </c>
      <c r="BO2128">
        <v>0</v>
      </c>
      <c r="BP2128">
        <v>0</v>
      </c>
      <c r="BW2128" t="str">
        <f t="shared" si="1002"/>
        <v>14:44:53.279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56</v>
      </c>
      <c r="CR2128">
        <v>2</v>
      </c>
      <c r="CW2128">
        <v>4814973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 t="shared" ref="A2129:A2137" si="1003">"05/12/2020 14:44:36.344"</f>
        <v>05/12/2020 14:44:36.344</v>
      </c>
      <c r="C2129" t="str">
        <f t="shared" si="978"/>
        <v>FFDFD3C0</v>
      </c>
      <c r="D2129" t="s">
        <v>138</v>
      </c>
      <c r="E2129">
        <v>2</v>
      </c>
      <c r="H2129">
        <v>8</v>
      </c>
      <c r="I2129" t="s">
        <v>139</v>
      </c>
      <c r="J2129" t="s">
        <v>136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ref="S2129:T2137" si="1004">"14:44:54.188"</f>
        <v>14:44:54.188</v>
      </c>
      <c r="T2129" t="str">
        <f t="shared" si="1004"/>
        <v>14:44:54.188</v>
      </c>
      <c r="U2129" t="str">
        <f t="shared" si="999"/>
        <v>A9808D</v>
      </c>
      <c r="V2129">
        <v>0</v>
      </c>
      <c r="W2129">
        <v>0</v>
      </c>
      <c r="X2129">
        <v>1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0</v>
      </c>
      <c r="AI2129" t="s">
        <v>547</v>
      </c>
      <c r="AJ2129">
        <v>28.262415000000001</v>
      </c>
      <c r="AK2129" t="s">
        <v>548</v>
      </c>
      <c r="AL2129">
        <v>-82.344847000000001</v>
      </c>
      <c r="AM2129">
        <v>100</v>
      </c>
      <c r="AN2129">
        <v>2100</v>
      </c>
      <c r="AO2129" t="s">
        <v>118</v>
      </c>
      <c r="AP2129">
        <v>87</v>
      </c>
      <c r="AQ2129">
        <v>-59</v>
      </c>
      <c r="AR2129">
        <v>320</v>
      </c>
      <c r="AZ2129">
        <v>1200</v>
      </c>
      <c r="BA2129">
        <v>1</v>
      </c>
      <c r="BB2129" t="str">
        <f t="shared" si="979"/>
        <v xml:space="preserve">N711JA  </v>
      </c>
      <c r="BC2129">
        <v>1</v>
      </c>
      <c r="BE2129">
        <v>0</v>
      </c>
      <c r="BF2129">
        <v>0</v>
      </c>
      <c r="BG2129">
        <v>0</v>
      </c>
      <c r="BH2129">
        <v>2175</v>
      </c>
      <c r="BI2129">
        <v>1</v>
      </c>
      <c r="BJ2129">
        <v>1</v>
      </c>
      <c r="BK2129">
        <v>0</v>
      </c>
      <c r="BL2129">
        <v>0</v>
      </c>
      <c r="BO2129">
        <v>0</v>
      </c>
      <c r="BP2129">
        <v>0</v>
      </c>
      <c r="BW2129" t="str">
        <f t="shared" ref="BW2129:BW2137" si="1005">"14:44:54.193"</f>
        <v>14:44:54.193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56</v>
      </c>
      <c r="CR2129">
        <v>2</v>
      </c>
      <c r="CW2129">
        <v>4816177</v>
      </c>
      <c r="CY2129">
        <v>0</v>
      </c>
      <c r="CZ2129">
        <v>0</v>
      </c>
      <c r="DA2129">
        <v>0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 t="shared" si="1003"/>
        <v>05/12/2020 14:44:36.344</v>
      </c>
      <c r="C2130" t="str">
        <f t="shared" si="978"/>
        <v>FFDFD3C0</v>
      </c>
      <c r="D2130" t="s">
        <v>138</v>
      </c>
      <c r="E2130">
        <v>3</v>
      </c>
      <c r="H2130">
        <v>9</v>
      </c>
      <c r="I2130" t="s">
        <v>140</v>
      </c>
      <c r="J2130" t="s">
        <v>136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004"/>
        <v>14:44:54.188</v>
      </c>
      <c r="T2130" t="str">
        <f t="shared" si="1004"/>
        <v>14:44:54.188</v>
      </c>
      <c r="U2130" t="str">
        <f t="shared" si="999"/>
        <v>A9808D</v>
      </c>
      <c r="V2130">
        <v>0</v>
      </c>
      <c r="W2130">
        <v>0</v>
      </c>
      <c r="X2130">
        <v>1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0</v>
      </c>
      <c r="AI2130" t="s">
        <v>547</v>
      </c>
      <c r="AJ2130">
        <v>28.262415000000001</v>
      </c>
      <c r="AK2130" t="s">
        <v>548</v>
      </c>
      <c r="AL2130">
        <v>-82.344847000000001</v>
      </c>
      <c r="AM2130">
        <v>100</v>
      </c>
      <c r="AN2130">
        <v>2100</v>
      </c>
      <c r="AO2130" t="s">
        <v>118</v>
      </c>
      <c r="AP2130">
        <v>87</v>
      </c>
      <c r="AQ2130">
        <v>-59</v>
      </c>
      <c r="AR2130">
        <v>320</v>
      </c>
      <c r="AZ2130">
        <v>1200</v>
      </c>
      <c r="BA2130">
        <v>1</v>
      </c>
      <c r="BB2130" t="str">
        <f t="shared" si="979"/>
        <v xml:space="preserve">N711JA  </v>
      </c>
      <c r="BC2130">
        <v>1</v>
      </c>
      <c r="BE2130">
        <v>0</v>
      </c>
      <c r="BF2130">
        <v>0</v>
      </c>
      <c r="BG2130">
        <v>0</v>
      </c>
      <c r="BH2130">
        <v>2175</v>
      </c>
      <c r="BI2130">
        <v>1</v>
      </c>
      <c r="BJ2130">
        <v>1</v>
      </c>
      <c r="BK2130">
        <v>0</v>
      </c>
      <c r="BL2130">
        <v>0</v>
      </c>
      <c r="BO2130">
        <v>0</v>
      </c>
      <c r="BP2130">
        <v>0</v>
      </c>
      <c r="BW2130" t="str">
        <f t="shared" si="1005"/>
        <v>14:44:54.193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56</v>
      </c>
      <c r="CR2130">
        <v>2</v>
      </c>
      <c r="CW2130">
        <v>4816177</v>
      </c>
      <c r="CY2130">
        <v>0</v>
      </c>
      <c r="CZ2130">
        <v>0</v>
      </c>
      <c r="DA2130">
        <v>1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 t="shared" si="1003"/>
        <v>05/12/2020 14:44:36.344</v>
      </c>
      <c r="C2131" t="str">
        <f t="shared" si="978"/>
        <v>FFDFD3C0</v>
      </c>
      <c r="D2131" t="s">
        <v>134</v>
      </c>
      <c r="E2131">
        <v>12</v>
      </c>
      <c r="H2131">
        <v>64</v>
      </c>
      <c r="I2131" t="s">
        <v>135</v>
      </c>
      <c r="J2131" t="s">
        <v>136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004"/>
        <v>14:44:54.188</v>
      </c>
      <c r="T2131" t="str">
        <f t="shared" si="1004"/>
        <v>14:44:54.188</v>
      </c>
      <c r="U2131" t="str">
        <f t="shared" si="999"/>
        <v>A9808D</v>
      </c>
      <c r="V2131">
        <v>0</v>
      </c>
      <c r="W2131">
        <v>0</v>
      </c>
      <c r="X2131">
        <v>1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0</v>
      </c>
      <c r="AI2131" t="s">
        <v>547</v>
      </c>
      <c r="AJ2131">
        <v>28.262415000000001</v>
      </c>
      <c r="AK2131" t="s">
        <v>548</v>
      </c>
      <c r="AL2131">
        <v>-82.344847000000001</v>
      </c>
      <c r="AM2131">
        <v>100</v>
      </c>
      <c r="AN2131">
        <v>2100</v>
      </c>
      <c r="AO2131" t="s">
        <v>118</v>
      </c>
      <c r="AP2131">
        <v>87</v>
      </c>
      <c r="AQ2131">
        <v>-59</v>
      </c>
      <c r="AR2131">
        <v>320</v>
      </c>
      <c r="AZ2131">
        <v>1200</v>
      </c>
      <c r="BA2131">
        <v>1</v>
      </c>
      <c r="BB2131" t="str">
        <f t="shared" si="979"/>
        <v xml:space="preserve">N711JA  </v>
      </c>
      <c r="BC2131">
        <v>1</v>
      </c>
      <c r="BE2131">
        <v>0</v>
      </c>
      <c r="BF2131">
        <v>0</v>
      </c>
      <c r="BG2131">
        <v>0</v>
      </c>
      <c r="BH2131">
        <v>2175</v>
      </c>
      <c r="BI2131">
        <v>1</v>
      </c>
      <c r="BJ2131">
        <v>1</v>
      </c>
      <c r="BK2131">
        <v>0</v>
      </c>
      <c r="BL2131">
        <v>0</v>
      </c>
      <c r="BO2131">
        <v>0</v>
      </c>
      <c r="BP2131">
        <v>0</v>
      </c>
      <c r="BW2131" t="str">
        <f t="shared" si="1005"/>
        <v>14:44:54.193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358</v>
      </c>
      <c r="CR2131">
        <v>0</v>
      </c>
      <c r="CW2131">
        <v>4797701</v>
      </c>
      <c r="CY2131">
        <v>0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 t="shared" si="1003"/>
        <v>05/12/2020 14:44:36.344</v>
      </c>
      <c r="C2132" t="str">
        <f t="shared" si="978"/>
        <v>FFDFD3C0</v>
      </c>
      <c r="D2132" t="s">
        <v>113</v>
      </c>
      <c r="E2132">
        <v>3</v>
      </c>
      <c r="H2132">
        <v>164</v>
      </c>
      <c r="I2132" t="s">
        <v>114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004"/>
        <v>14:44:54.188</v>
      </c>
      <c r="T2132" t="str">
        <f t="shared" si="1004"/>
        <v>14:44:54.188</v>
      </c>
      <c r="U2132" t="str">
        <f t="shared" si="999"/>
        <v>A9808D</v>
      </c>
      <c r="V2132">
        <v>0</v>
      </c>
      <c r="W2132">
        <v>0</v>
      </c>
      <c r="X2132">
        <v>1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0</v>
      </c>
      <c r="AI2132" t="s">
        <v>547</v>
      </c>
      <c r="AJ2132">
        <v>28.262415000000001</v>
      </c>
      <c r="AK2132" t="s">
        <v>548</v>
      </c>
      <c r="AL2132">
        <v>-82.344847000000001</v>
      </c>
      <c r="AM2132">
        <v>100</v>
      </c>
      <c r="AN2132">
        <v>2100</v>
      </c>
      <c r="AO2132" t="s">
        <v>118</v>
      </c>
      <c r="AP2132">
        <v>87</v>
      </c>
      <c r="AQ2132">
        <v>-59</v>
      </c>
      <c r="AR2132">
        <v>320</v>
      </c>
      <c r="AZ2132">
        <v>1200</v>
      </c>
      <c r="BA2132">
        <v>1</v>
      </c>
      <c r="BB2132" t="str">
        <f t="shared" si="979"/>
        <v xml:space="preserve">N711JA  </v>
      </c>
      <c r="BC2132">
        <v>1</v>
      </c>
      <c r="BE2132">
        <v>0</v>
      </c>
      <c r="BF2132">
        <v>0</v>
      </c>
      <c r="BG2132">
        <v>0</v>
      </c>
      <c r="BH2132">
        <v>2175</v>
      </c>
      <c r="BI2132">
        <v>1</v>
      </c>
      <c r="BJ2132">
        <v>1</v>
      </c>
      <c r="BK2132">
        <v>0</v>
      </c>
      <c r="BL2132">
        <v>0</v>
      </c>
      <c r="BO2132">
        <v>0</v>
      </c>
      <c r="BP2132">
        <v>0</v>
      </c>
      <c r="BW2132" t="str">
        <f t="shared" si="1005"/>
        <v>14:44:54.193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56</v>
      </c>
      <c r="CR2132">
        <v>2</v>
      </c>
      <c r="CW2132">
        <v>4816177</v>
      </c>
      <c r="CY2132">
        <v>0</v>
      </c>
      <c r="CZ2132">
        <v>0</v>
      </c>
      <c r="DA2132">
        <v>1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 t="shared" si="1003"/>
        <v>05/12/2020 14:44:36.344</v>
      </c>
      <c r="C2133" t="str">
        <f t="shared" si="978"/>
        <v>FFDFD3C0</v>
      </c>
      <c r="D2133" t="s">
        <v>131</v>
      </c>
      <c r="E2133">
        <v>10</v>
      </c>
      <c r="F2133">
        <v>2010</v>
      </c>
      <c r="G2133" t="s">
        <v>132</v>
      </c>
      <c r="J2133" t="s">
        <v>133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004"/>
        <v>14:44:54.188</v>
      </c>
      <c r="T2133" t="str">
        <f t="shared" si="1004"/>
        <v>14:44:54.188</v>
      </c>
      <c r="U2133" t="str">
        <f t="shared" si="999"/>
        <v>A9808D</v>
      </c>
      <c r="V2133">
        <v>0</v>
      </c>
      <c r="W2133">
        <v>0</v>
      </c>
      <c r="X2133">
        <v>1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0</v>
      </c>
      <c r="AI2133" t="s">
        <v>547</v>
      </c>
      <c r="AJ2133">
        <v>28.262415000000001</v>
      </c>
      <c r="AK2133" t="s">
        <v>548</v>
      </c>
      <c r="AL2133">
        <v>-82.344847000000001</v>
      </c>
      <c r="AM2133">
        <v>100</v>
      </c>
      <c r="AN2133">
        <v>2100</v>
      </c>
      <c r="AO2133" t="s">
        <v>118</v>
      </c>
      <c r="AP2133">
        <v>87</v>
      </c>
      <c r="AQ2133">
        <v>-59</v>
      </c>
      <c r="AR2133">
        <v>320</v>
      </c>
      <c r="AZ2133">
        <v>1200</v>
      </c>
      <c r="BA2133">
        <v>1</v>
      </c>
      <c r="BB2133" t="str">
        <f t="shared" si="979"/>
        <v xml:space="preserve">N711JA  </v>
      </c>
      <c r="BC2133">
        <v>1</v>
      </c>
      <c r="BE2133">
        <v>0</v>
      </c>
      <c r="BF2133">
        <v>0</v>
      </c>
      <c r="BG2133">
        <v>0</v>
      </c>
      <c r="BH2133">
        <v>2175</v>
      </c>
      <c r="BI2133">
        <v>1</v>
      </c>
      <c r="BJ2133">
        <v>1</v>
      </c>
      <c r="BK2133">
        <v>0</v>
      </c>
      <c r="BL2133">
        <v>0</v>
      </c>
      <c r="BO2133">
        <v>0</v>
      </c>
      <c r="BP2133">
        <v>0</v>
      </c>
      <c r="BW2133" t="str">
        <f t="shared" si="1005"/>
        <v>14:44:54.193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56</v>
      </c>
      <c r="CR2133">
        <v>2</v>
      </c>
      <c r="CW2133">
        <v>4816177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 t="shared" si="1003"/>
        <v>05/12/2020 14:44:36.344</v>
      </c>
      <c r="C2134" t="str">
        <f t="shared" ref="C2134:C2197" si="1006">"FFDFD3C0"</f>
        <v>FFDFD3C0</v>
      </c>
      <c r="D2134" t="s">
        <v>126</v>
      </c>
      <c r="E2134">
        <v>7</v>
      </c>
      <c r="F2134">
        <v>1007</v>
      </c>
      <c r="G2134" t="s">
        <v>127</v>
      </c>
      <c r="J2134" t="s">
        <v>128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004"/>
        <v>14:44:54.188</v>
      </c>
      <c r="T2134" t="str">
        <f t="shared" si="1004"/>
        <v>14:44:54.188</v>
      </c>
      <c r="U2134" t="str">
        <f t="shared" si="999"/>
        <v>A9808D</v>
      </c>
      <c r="V2134">
        <v>0</v>
      </c>
      <c r="W2134">
        <v>0</v>
      </c>
      <c r="X2134">
        <v>1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0</v>
      </c>
      <c r="AI2134" t="s">
        <v>547</v>
      </c>
      <c r="AJ2134">
        <v>28.262415000000001</v>
      </c>
      <c r="AK2134" t="s">
        <v>548</v>
      </c>
      <c r="AL2134">
        <v>-82.344847000000001</v>
      </c>
      <c r="AM2134">
        <v>100</v>
      </c>
      <c r="AN2134">
        <v>2100</v>
      </c>
      <c r="AO2134" t="s">
        <v>118</v>
      </c>
      <c r="AP2134">
        <v>87</v>
      </c>
      <c r="AQ2134">
        <v>-59</v>
      </c>
      <c r="AR2134">
        <v>320</v>
      </c>
      <c r="AZ2134">
        <v>1200</v>
      </c>
      <c r="BA2134">
        <v>1</v>
      </c>
      <c r="BB2134" t="str">
        <f t="shared" ref="BB2134:BB2197" si="1007">"N711JA  "</f>
        <v xml:space="preserve">N711JA  </v>
      </c>
      <c r="BC2134">
        <v>1</v>
      </c>
      <c r="BE2134">
        <v>0</v>
      </c>
      <c r="BF2134">
        <v>0</v>
      </c>
      <c r="BG2134">
        <v>0</v>
      </c>
      <c r="BH2134">
        <v>2175</v>
      </c>
      <c r="BI2134">
        <v>1</v>
      </c>
      <c r="BJ2134">
        <v>1</v>
      </c>
      <c r="BK2134">
        <v>0</v>
      </c>
      <c r="BL2134">
        <v>0</v>
      </c>
      <c r="BO2134">
        <v>0</v>
      </c>
      <c r="BP2134">
        <v>0</v>
      </c>
      <c r="BW2134" t="str">
        <f t="shared" si="1005"/>
        <v>14:44:54.193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56</v>
      </c>
      <c r="CR2134">
        <v>2</v>
      </c>
      <c r="CW2134">
        <v>4816177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 t="shared" si="1003"/>
        <v>05/12/2020 14:44:36.344</v>
      </c>
      <c r="C2135" t="str">
        <f t="shared" si="1006"/>
        <v>FFDFD3C0</v>
      </c>
      <c r="D2135" t="s">
        <v>131</v>
      </c>
      <c r="E2135">
        <v>12</v>
      </c>
      <c r="F2135">
        <v>2012</v>
      </c>
      <c r="G2135" t="s">
        <v>137</v>
      </c>
      <c r="J2135" t="s">
        <v>133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004"/>
        <v>14:44:54.188</v>
      </c>
      <c r="T2135" t="str">
        <f t="shared" si="1004"/>
        <v>14:44:54.188</v>
      </c>
      <c r="U2135" t="str">
        <f t="shared" si="999"/>
        <v>A9808D</v>
      </c>
      <c r="V2135">
        <v>0</v>
      </c>
      <c r="W2135">
        <v>0</v>
      </c>
      <c r="X2135">
        <v>1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0</v>
      </c>
      <c r="AI2135" t="s">
        <v>547</v>
      </c>
      <c r="AJ2135">
        <v>28.262415000000001</v>
      </c>
      <c r="AK2135" t="s">
        <v>548</v>
      </c>
      <c r="AL2135">
        <v>-82.344847000000001</v>
      </c>
      <c r="AM2135">
        <v>100</v>
      </c>
      <c r="AN2135">
        <v>2100</v>
      </c>
      <c r="AO2135" t="s">
        <v>118</v>
      </c>
      <c r="AP2135">
        <v>87</v>
      </c>
      <c r="AQ2135">
        <v>-59</v>
      </c>
      <c r="AR2135">
        <v>320</v>
      </c>
      <c r="AZ2135">
        <v>1200</v>
      </c>
      <c r="BA2135">
        <v>1</v>
      </c>
      <c r="BB2135" t="str">
        <f t="shared" si="1007"/>
        <v xml:space="preserve">N711JA  </v>
      </c>
      <c r="BC2135">
        <v>1</v>
      </c>
      <c r="BE2135">
        <v>0</v>
      </c>
      <c r="BF2135">
        <v>0</v>
      </c>
      <c r="BG2135">
        <v>0</v>
      </c>
      <c r="BH2135">
        <v>2175</v>
      </c>
      <c r="BI2135">
        <v>1</v>
      </c>
      <c r="BJ2135">
        <v>1</v>
      </c>
      <c r="BK2135">
        <v>0</v>
      </c>
      <c r="BL2135">
        <v>0</v>
      </c>
      <c r="BO2135">
        <v>0</v>
      </c>
      <c r="BP2135">
        <v>0</v>
      </c>
      <c r="BW2135" t="str">
        <f t="shared" si="1005"/>
        <v>14:44:54.193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56</v>
      </c>
      <c r="CR2135">
        <v>2</v>
      </c>
      <c r="CW2135">
        <v>4816177</v>
      </c>
      <c r="CY2135">
        <v>0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 t="shared" si="1003"/>
        <v>05/12/2020 14:44:36.344</v>
      </c>
      <c r="C2136" t="str">
        <f t="shared" si="1006"/>
        <v>FFDFD3C0</v>
      </c>
      <c r="D2136" t="s">
        <v>131</v>
      </c>
      <c r="E2136">
        <v>18</v>
      </c>
      <c r="F2136">
        <v>2018</v>
      </c>
      <c r="G2136" t="s">
        <v>161</v>
      </c>
      <c r="J2136" t="s">
        <v>133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004"/>
        <v>14:44:54.188</v>
      </c>
      <c r="T2136" t="str">
        <f t="shared" si="1004"/>
        <v>14:44:54.188</v>
      </c>
      <c r="U2136" t="str">
        <f t="shared" si="999"/>
        <v>A9808D</v>
      </c>
      <c r="V2136">
        <v>0</v>
      </c>
      <c r="W2136">
        <v>0</v>
      </c>
      <c r="X2136">
        <v>1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0</v>
      </c>
      <c r="AI2136" t="s">
        <v>547</v>
      </c>
      <c r="AJ2136">
        <v>28.262415000000001</v>
      </c>
      <c r="AK2136" t="s">
        <v>548</v>
      </c>
      <c r="AL2136">
        <v>-82.344847000000001</v>
      </c>
      <c r="AM2136">
        <v>100</v>
      </c>
      <c r="AN2136">
        <v>2100</v>
      </c>
      <c r="AO2136" t="s">
        <v>118</v>
      </c>
      <c r="AP2136">
        <v>87</v>
      </c>
      <c r="AQ2136">
        <v>-59</v>
      </c>
      <c r="AR2136">
        <v>320</v>
      </c>
      <c r="AZ2136">
        <v>1200</v>
      </c>
      <c r="BA2136">
        <v>1</v>
      </c>
      <c r="BB2136" t="str">
        <f t="shared" si="1007"/>
        <v xml:space="preserve">N711JA  </v>
      </c>
      <c r="BC2136">
        <v>1</v>
      </c>
      <c r="BE2136">
        <v>0</v>
      </c>
      <c r="BF2136">
        <v>0</v>
      </c>
      <c r="BG2136">
        <v>0</v>
      </c>
      <c r="BH2136">
        <v>2175</v>
      </c>
      <c r="BI2136">
        <v>1</v>
      </c>
      <c r="BJ2136">
        <v>1</v>
      </c>
      <c r="BK2136">
        <v>0</v>
      </c>
      <c r="BL2136">
        <v>0</v>
      </c>
      <c r="BO2136">
        <v>0</v>
      </c>
      <c r="BP2136">
        <v>0</v>
      </c>
      <c r="BW2136" t="str">
        <f t="shared" si="1005"/>
        <v>14:44:54.193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119</v>
      </c>
      <c r="CQ2136">
        <v>56</v>
      </c>
      <c r="CR2136">
        <v>2</v>
      </c>
      <c r="CW2136">
        <v>4816177</v>
      </c>
      <c r="CY2136">
        <v>0</v>
      </c>
      <c r="CZ2136">
        <v>0</v>
      </c>
      <c r="DA2136">
        <v>1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 t="shared" si="1003"/>
        <v>05/12/2020 14:44:36.344</v>
      </c>
      <c r="C2137" t="str">
        <f t="shared" si="1006"/>
        <v>FFDFD3C0</v>
      </c>
      <c r="D2137" t="s">
        <v>126</v>
      </c>
      <c r="E2137">
        <v>6</v>
      </c>
      <c r="F2137">
        <v>1006</v>
      </c>
      <c r="G2137" t="s">
        <v>114</v>
      </c>
      <c r="J2137" t="s">
        <v>128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004"/>
        <v>14:44:54.188</v>
      </c>
      <c r="T2137" t="str">
        <f t="shared" si="1004"/>
        <v>14:44:54.188</v>
      </c>
      <c r="U2137" t="str">
        <f t="shared" si="999"/>
        <v>A9808D</v>
      </c>
      <c r="V2137">
        <v>0</v>
      </c>
      <c r="W2137">
        <v>0</v>
      </c>
      <c r="X2137">
        <v>1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0</v>
      </c>
      <c r="AI2137" t="s">
        <v>547</v>
      </c>
      <c r="AJ2137">
        <v>28.262415000000001</v>
      </c>
      <c r="AK2137" t="s">
        <v>548</v>
      </c>
      <c r="AL2137">
        <v>-82.344847000000001</v>
      </c>
      <c r="AM2137">
        <v>100</v>
      </c>
      <c r="AN2137">
        <v>2100</v>
      </c>
      <c r="AO2137" t="s">
        <v>118</v>
      </c>
      <c r="AP2137">
        <v>87</v>
      </c>
      <c r="AQ2137">
        <v>-59</v>
      </c>
      <c r="AR2137">
        <v>320</v>
      </c>
      <c r="AZ2137">
        <v>1200</v>
      </c>
      <c r="BA2137">
        <v>1</v>
      </c>
      <c r="BB2137" t="str">
        <f t="shared" si="1007"/>
        <v xml:space="preserve">N711JA  </v>
      </c>
      <c r="BC2137">
        <v>1</v>
      </c>
      <c r="BE2137">
        <v>0</v>
      </c>
      <c r="BF2137">
        <v>0</v>
      </c>
      <c r="BG2137">
        <v>0</v>
      </c>
      <c r="BH2137">
        <v>2175</v>
      </c>
      <c r="BI2137">
        <v>1</v>
      </c>
      <c r="BJ2137">
        <v>1</v>
      </c>
      <c r="BK2137">
        <v>0</v>
      </c>
      <c r="BL2137">
        <v>0</v>
      </c>
      <c r="BO2137">
        <v>0</v>
      </c>
      <c r="BP2137">
        <v>0</v>
      </c>
      <c r="BW2137" t="str">
        <f t="shared" si="1005"/>
        <v>14:44:54.193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119</v>
      </c>
      <c r="CQ2137">
        <v>56</v>
      </c>
      <c r="CR2137">
        <v>2</v>
      </c>
      <c r="CW2137">
        <v>4816177</v>
      </c>
      <c r="CY2137">
        <v>0</v>
      </c>
      <c r="CZ2137">
        <v>0</v>
      </c>
      <c r="DA2137">
        <v>1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 t="shared" ref="A2138:A2146" si="1008">"05/12/2020 14:44:37.283"</f>
        <v>05/12/2020 14:44:37.283</v>
      </c>
      <c r="C2138" t="str">
        <f t="shared" si="1006"/>
        <v>FFDFD3C0</v>
      </c>
      <c r="D2138" t="s">
        <v>113</v>
      </c>
      <c r="E2138">
        <v>3</v>
      </c>
      <c r="H2138">
        <v>164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ref="S2138:S2146" si="1009">"14:44:55.102"</f>
        <v>14:44:55.102</v>
      </c>
      <c r="T2138" t="str">
        <f t="shared" ref="T2138:T2146" si="1010">"14:44:54.702"</f>
        <v>14:44:54.702</v>
      </c>
      <c r="U2138" t="str">
        <f t="shared" si="999"/>
        <v>A9808D</v>
      </c>
      <c r="V2138">
        <v>0</v>
      </c>
      <c r="W2138">
        <v>0</v>
      </c>
      <c r="X2138">
        <v>1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0</v>
      </c>
      <c r="AI2138" t="s">
        <v>549</v>
      </c>
      <c r="AJ2138">
        <v>28.2622</v>
      </c>
      <c r="AK2138" t="s">
        <v>550</v>
      </c>
      <c r="AL2138">
        <v>-82.344438999999994</v>
      </c>
      <c r="AM2138">
        <v>100</v>
      </c>
      <c r="AN2138">
        <v>2100</v>
      </c>
      <c r="AO2138" t="s">
        <v>118</v>
      </c>
      <c r="AP2138">
        <v>87</v>
      </c>
      <c r="AQ2138">
        <v>-59</v>
      </c>
      <c r="AR2138">
        <v>320</v>
      </c>
      <c r="AZ2138">
        <v>1200</v>
      </c>
      <c r="BA2138">
        <v>1</v>
      </c>
      <c r="BB2138" t="str">
        <f t="shared" si="1007"/>
        <v xml:space="preserve">N711JA  </v>
      </c>
      <c r="BC2138">
        <v>1</v>
      </c>
      <c r="BE2138">
        <v>0</v>
      </c>
      <c r="BF2138">
        <v>0</v>
      </c>
      <c r="BG2138">
        <v>0</v>
      </c>
      <c r="BH2138">
        <v>2175</v>
      </c>
      <c r="BI2138">
        <v>1</v>
      </c>
      <c r="BJ2138">
        <v>1</v>
      </c>
      <c r="BK2138">
        <v>0</v>
      </c>
      <c r="BL2138">
        <v>0</v>
      </c>
      <c r="BO2138">
        <v>0</v>
      </c>
      <c r="BP2138">
        <v>0</v>
      </c>
      <c r="BW2138" t="str">
        <f t="shared" ref="BW2138:BW2146" si="1011">"14:44:55.104"</f>
        <v>14:44:55.104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119</v>
      </c>
      <c r="CQ2138">
        <v>56</v>
      </c>
      <c r="CR2138">
        <v>2</v>
      </c>
      <c r="CW2138">
        <v>4817303</v>
      </c>
      <c r="CY2138">
        <v>1</v>
      </c>
      <c r="CZ2138">
        <v>0</v>
      </c>
      <c r="DA2138">
        <v>0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 t="shared" si="1008"/>
        <v>05/12/2020 14:44:37.283</v>
      </c>
      <c r="C2139" t="str">
        <f t="shared" si="1006"/>
        <v>FFDFD3C0</v>
      </c>
      <c r="D2139" t="s">
        <v>134</v>
      </c>
      <c r="E2139">
        <v>12</v>
      </c>
      <c r="H2139">
        <v>64</v>
      </c>
      <c r="I2139" t="s">
        <v>135</v>
      </c>
      <c r="J2139" t="s">
        <v>136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009"/>
        <v>14:44:55.102</v>
      </c>
      <c r="T2139" t="str">
        <f t="shared" si="1010"/>
        <v>14:44:54.702</v>
      </c>
      <c r="U2139" t="str">
        <f t="shared" si="999"/>
        <v>A9808D</v>
      </c>
      <c r="V2139">
        <v>0</v>
      </c>
      <c r="W2139">
        <v>0</v>
      </c>
      <c r="X2139">
        <v>1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0</v>
      </c>
      <c r="AI2139" t="s">
        <v>549</v>
      </c>
      <c r="AJ2139">
        <v>28.2622</v>
      </c>
      <c r="AK2139" t="s">
        <v>550</v>
      </c>
      <c r="AL2139">
        <v>-82.344438999999994</v>
      </c>
      <c r="AM2139">
        <v>100</v>
      </c>
      <c r="AN2139">
        <v>2100</v>
      </c>
      <c r="AO2139" t="s">
        <v>118</v>
      </c>
      <c r="AP2139">
        <v>87</v>
      </c>
      <c r="AQ2139">
        <v>-59</v>
      </c>
      <c r="AR2139">
        <v>320</v>
      </c>
      <c r="AZ2139">
        <v>1200</v>
      </c>
      <c r="BA2139">
        <v>1</v>
      </c>
      <c r="BB2139" t="str">
        <f t="shared" si="1007"/>
        <v xml:space="preserve">N711JA  </v>
      </c>
      <c r="BC2139">
        <v>1</v>
      </c>
      <c r="BE2139">
        <v>0</v>
      </c>
      <c r="BF2139">
        <v>0</v>
      </c>
      <c r="BG2139">
        <v>0</v>
      </c>
      <c r="BH2139">
        <v>2175</v>
      </c>
      <c r="BI2139">
        <v>1</v>
      </c>
      <c r="BJ2139">
        <v>1</v>
      </c>
      <c r="BK2139">
        <v>0</v>
      </c>
      <c r="BL2139">
        <v>0</v>
      </c>
      <c r="BO2139">
        <v>0</v>
      </c>
      <c r="BP2139">
        <v>0</v>
      </c>
      <c r="BW2139" t="str">
        <f t="shared" si="1011"/>
        <v>14:44:55.104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6</v>
      </c>
      <c r="CP2139" t="s">
        <v>119</v>
      </c>
      <c r="CQ2139">
        <v>358</v>
      </c>
      <c r="CR2139">
        <v>0</v>
      </c>
      <c r="CW2139">
        <v>4798716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 t="shared" si="1008"/>
        <v>05/12/2020 14:44:37.283</v>
      </c>
      <c r="C2140" t="str">
        <f t="shared" si="1006"/>
        <v>FFDFD3C0</v>
      </c>
      <c r="D2140" t="s">
        <v>126</v>
      </c>
      <c r="E2140">
        <v>7</v>
      </c>
      <c r="F2140">
        <v>1007</v>
      </c>
      <c r="G2140" t="s">
        <v>127</v>
      </c>
      <c r="J2140" t="s">
        <v>128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009"/>
        <v>14:44:55.102</v>
      </c>
      <c r="T2140" t="str">
        <f t="shared" si="1010"/>
        <v>14:44:54.702</v>
      </c>
      <c r="U2140" t="str">
        <f t="shared" si="999"/>
        <v>A9808D</v>
      </c>
      <c r="V2140">
        <v>0</v>
      </c>
      <c r="W2140">
        <v>0</v>
      </c>
      <c r="X2140">
        <v>1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0</v>
      </c>
      <c r="AI2140" t="s">
        <v>549</v>
      </c>
      <c r="AJ2140">
        <v>28.2622</v>
      </c>
      <c r="AK2140" t="s">
        <v>550</v>
      </c>
      <c r="AL2140">
        <v>-82.344438999999994</v>
      </c>
      <c r="AM2140">
        <v>100</v>
      </c>
      <c r="AN2140">
        <v>2100</v>
      </c>
      <c r="AO2140" t="s">
        <v>118</v>
      </c>
      <c r="AP2140">
        <v>87</v>
      </c>
      <c r="AQ2140">
        <v>-59</v>
      </c>
      <c r="AR2140">
        <v>320</v>
      </c>
      <c r="AZ2140">
        <v>1200</v>
      </c>
      <c r="BA2140">
        <v>1</v>
      </c>
      <c r="BB2140" t="str">
        <f t="shared" si="1007"/>
        <v xml:space="preserve">N711JA  </v>
      </c>
      <c r="BC2140">
        <v>1</v>
      </c>
      <c r="BE2140">
        <v>0</v>
      </c>
      <c r="BF2140">
        <v>0</v>
      </c>
      <c r="BG2140">
        <v>0</v>
      </c>
      <c r="BH2140">
        <v>2175</v>
      </c>
      <c r="BI2140">
        <v>1</v>
      </c>
      <c r="BJ2140">
        <v>1</v>
      </c>
      <c r="BK2140">
        <v>0</v>
      </c>
      <c r="BL2140">
        <v>0</v>
      </c>
      <c r="BO2140">
        <v>0</v>
      </c>
      <c r="BP2140">
        <v>0</v>
      </c>
      <c r="BW2140" t="str">
        <f t="shared" si="1011"/>
        <v>14:44:55.104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56</v>
      </c>
      <c r="CR2140">
        <v>2</v>
      </c>
      <c r="CW2140">
        <v>4817303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 t="shared" si="1008"/>
        <v>05/12/2020 14:44:37.283</v>
      </c>
      <c r="C2141" t="str">
        <f t="shared" si="1006"/>
        <v>FFDFD3C0</v>
      </c>
      <c r="D2141" t="s">
        <v>131</v>
      </c>
      <c r="E2141">
        <v>10</v>
      </c>
      <c r="F2141">
        <v>2010</v>
      </c>
      <c r="G2141" t="s">
        <v>132</v>
      </c>
      <c r="J2141" t="s">
        <v>133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009"/>
        <v>14:44:55.102</v>
      </c>
      <c r="T2141" t="str">
        <f t="shared" si="1010"/>
        <v>14:44:54.702</v>
      </c>
      <c r="U2141" t="str">
        <f t="shared" si="999"/>
        <v>A9808D</v>
      </c>
      <c r="V2141">
        <v>0</v>
      </c>
      <c r="W2141">
        <v>0</v>
      </c>
      <c r="X2141">
        <v>1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0</v>
      </c>
      <c r="AI2141" t="s">
        <v>549</v>
      </c>
      <c r="AJ2141">
        <v>28.2622</v>
      </c>
      <c r="AK2141" t="s">
        <v>550</v>
      </c>
      <c r="AL2141">
        <v>-82.344438999999994</v>
      </c>
      <c r="AM2141">
        <v>100</v>
      </c>
      <c r="AN2141">
        <v>2100</v>
      </c>
      <c r="AO2141" t="s">
        <v>118</v>
      </c>
      <c r="AP2141">
        <v>87</v>
      </c>
      <c r="AQ2141">
        <v>-59</v>
      </c>
      <c r="AR2141">
        <v>320</v>
      </c>
      <c r="AZ2141">
        <v>1200</v>
      </c>
      <c r="BA2141">
        <v>1</v>
      </c>
      <c r="BB2141" t="str">
        <f t="shared" si="1007"/>
        <v xml:space="preserve">N711JA  </v>
      </c>
      <c r="BC2141">
        <v>1</v>
      </c>
      <c r="BE2141">
        <v>0</v>
      </c>
      <c r="BF2141">
        <v>0</v>
      </c>
      <c r="BG2141">
        <v>0</v>
      </c>
      <c r="BH2141">
        <v>2175</v>
      </c>
      <c r="BI2141">
        <v>1</v>
      </c>
      <c r="BJ2141">
        <v>1</v>
      </c>
      <c r="BK2141">
        <v>0</v>
      </c>
      <c r="BL2141">
        <v>0</v>
      </c>
      <c r="BO2141">
        <v>0</v>
      </c>
      <c r="BP2141">
        <v>0</v>
      </c>
      <c r="BW2141" t="str">
        <f t="shared" si="1011"/>
        <v>14:44:55.104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56</v>
      </c>
      <c r="CR2141">
        <v>2</v>
      </c>
      <c r="CW2141">
        <v>4817303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 t="shared" si="1008"/>
        <v>05/12/2020 14:44:37.283</v>
      </c>
      <c r="C2142" t="str">
        <f t="shared" si="1006"/>
        <v>FFDFD3C0</v>
      </c>
      <c r="D2142" t="s">
        <v>131</v>
      </c>
      <c r="E2142">
        <v>12</v>
      </c>
      <c r="F2142">
        <v>2012</v>
      </c>
      <c r="G2142" t="s">
        <v>137</v>
      </c>
      <c r="J2142" t="s">
        <v>133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1009"/>
        <v>14:44:55.102</v>
      </c>
      <c r="T2142" t="str">
        <f t="shared" si="1010"/>
        <v>14:44:54.702</v>
      </c>
      <c r="U2142" t="str">
        <f t="shared" si="999"/>
        <v>A9808D</v>
      </c>
      <c r="V2142">
        <v>0</v>
      </c>
      <c r="W2142">
        <v>0</v>
      </c>
      <c r="X2142">
        <v>1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0</v>
      </c>
      <c r="AI2142" t="s">
        <v>549</v>
      </c>
      <c r="AJ2142">
        <v>28.2622</v>
      </c>
      <c r="AK2142" t="s">
        <v>550</v>
      </c>
      <c r="AL2142">
        <v>-82.344438999999994</v>
      </c>
      <c r="AM2142">
        <v>100</v>
      </c>
      <c r="AN2142">
        <v>2100</v>
      </c>
      <c r="AO2142" t="s">
        <v>118</v>
      </c>
      <c r="AP2142">
        <v>87</v>
      </c>
      <c r="AQ2142">
        <v>-59</v>
      </c>
      <c r="AR2142">
        <v>320</v>
      </c>
      <c r="AZ2142">
        <v>1200</v>
      </c>
      <c r="BA2142">
        <v>1</v>
      </c>
      <c r="BB2142" t="str">
        <f t="shared" si="1007"/>
        <v xml:space="preserve">N711JA  </v>
      </c>
      <c r="BC2142">
        <v>1</v>
      </c>
      <c r="BE2142">
        <v>0</v>
      </c>
      <c r="BF2142">
        <v>0</v>
      </c>
      <c r="BG2142">
        <v>0</v>
      </c>
      <c r="BH2142">
        <v>2175</v>
      </c>
      <c r="BI2142">
        <v>1</v>
      </c>
      <c r="BJ2142">
        <v>1</v>
      </c>
      <c r="BK2142">
        <v>0</v>
      </c>
      <c r="BL2142">
        <v>0</v>
      </c>
      <c r="BO2142">
        <v>0</v>
      </c>
      <c r="BP2142">
        <v>0</v>
      </c>
      <c r="BW2142" t="str">
        <f t="shared" si="1011"/>
        <v>14:44:55.104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56</v>
      </c>
      <c r="CR2142">
        <v>2</v>
      </c>
      <c r="CW2142">
        <v>4817303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 t="shared" si="1008"/>
        <v>05/12/2020 14:44:37.283</v>
      </c>
      <c r="C2143" t="str">
        <f t="shared" si="1006"/>
        <v>FFDFD3C0</v>
      </c>
      <c r="D2143" t="s">
        <v>126</v>
      </c>
      <c r="E2143">
        <v>6</v>
      </c>
      <c r="F2143">
        <v>1006</v>
      </c>
      <c r="G2143" t="s">
        <v>114</v>
      </c>
      <c r="J2143" t="s">
        <v>128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009"/>
        <v>14:44:55.102</v>
      </c>
      <c r="T2143" t="str">
        <f t="shared" si="1010"/>
        <v>14:44:54.702</v>
      </c>
      <c r="U2143" t="str">
        <f t="shared" si="999"/>
        <v>A9808D</v>
      </c>
      <c r="V2143">
        <v>0</v>
      </c>
      <c r="W2143">
        <v>0</v>
      </c>
      <c r="X2143">
        <v>1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0</v>
      </c>
      <c r="AI2143" t="s">
        <v>549</v>
      </c>
      <c r="AJ2143">
        <v>28.2622</v>
      </c>
      <c r="AK2143" t="s">
        <v>550</v>
      </c>
      <c r="AL2143">
        <v>-82.344438999999994</v>
      </c>
      <c r="AM2143">
        <v>100</v>
      </c>
      <c r="AN2143">
        <v>2100</v>
      </c>
      <c r="AO2143" t="s">
        <v>118</v>
      </c>
      <c r="AP2143">
        <v>87</v>
      </c>
      <c r="AQ2143">
        <v>-59</v>
      </c>
      <c r="AR2143">
        <v>320</v>
      </c>
      <c r="AZ2143">
        <v>1200</v>
      </c>
      <c r="BA2143">
        <v>1</v>
      </c>
      <c r="BB2143" t="str">
        <f t="shared" si="1007"/>
        <v xml:space="preserve">N711JA  </v>
      </c>
      <c r="BC2143">
        <v>1</v>
      </c>
      <c r="BE2143">
        <v>0</v>
      </c>
      <c r="BF2143">
        <v>0</v>
      </c>
      <c r="BG2143">
        <v>0</v>
      </c>
      <c r="BH2143">
        <v>2175</v>
      </c>
      <c r="BI2143">
        <v>1</v>
      </c>
      <c r="BJ2143">
        <v>1</v>
      </c>
      <c r="BK2143">
        <v>0</v>
      </c>
      <c r="BL2143">
        <v>0</v>
      </c>
      <c r="BO2143">
        <v>0</v>
      </c>
      <c r="BP2143">
        <v>0</v>
      </c>
      <c r="BW2143" t="str">
        <f t="shared" si="1011"/>
        <v>14:44:55.104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56</v>
      </c>
      <c r="CR2143">
        <v>2</v>
      </c>
      <c r="CW2143">
        <v>4817303</v>
      </c>
      <c r="CY2143">
        <v>1</v>
      </c>
      <c r="CZ2143">
        <v>0</v>
      </c>
      <c r="DA2143">
        <v>1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 t="shared" si="1008"/>
        <v>05/12/2020 14:44:37.283</v>
      </c>
      <c r="C2144" t="str">
        <f t="shared" si="1006"/>
        <v>FFDFD3C0</v>
      </c>
      <c r="D2144" t="s">
        <v>131</v>
      </c>
      <c r="E2144">
        <v>18</v>
      </c>
      <c r="F2144">
        <v>2018</v>
      </c>
      <c r="G2144" t="s">
        <v>161</v>
      </c>
      <c r="J2144" t="s">
        <v>133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1009"/>
        <v>14:44:55.102</v>
      </c>
      <c r="T2144" t="str">
        <f t="shared" si="1010"/>
        <v>14:44:54.702</v>
      </c>
      <c r="U2144" t="str">
        <f t="shared" si="999"/>
        <v>A9808D</v>
      </c>
      <c r="V2144">
        <v>0</v>
      </c>
      <c r="W2144">
        <v>0</v>
      </c>
      <c r="X2144">
        <v>1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0</v>
      </c>
      <c r="AI2144" t="s">
        <v>549</v>
      </c>
      <c r="AJ2144">
        <v>28.2622</v>
      </c>
      <c r="AK2144" t="s">
        <v>550</v>
      </c>
      <c r="AL2144">
        <v>-82.344438999999994</v>
      </c>
      <c r="AM2144">
        <v>100</v>
      </c>
      <c r="AN2144">
        <v>2100</v>
      </c>
      <c r="AO2144" t="s">
        <v>118</v>
      </c>
      <c r="AP2144">
        <v>87</v>
      </c>
      <c r="AQ2144">
        <v>-59</v>
      </c>
      <c r="AR2144">
        <v>320</v>
      </c>
      <c r="AZ2144">
        <v>1200</v>
      </c>
      <c r="BA2144">
        <v>1</v>
      </c>
      <c r="BB2144" t="str">
        <f t="shared" si="1007"/>
        <v xml:space="preserve">N711JA  </v>
      </c>
      <c r="BC2144">
        <v>1</v>
      </c>
      <c r="BE2144">
        <v>0</v>
      </c>
      <c r="BF2144">
        <v>0</v>
      </c>
      <c r="BG2144">
        <v>0</v>
      </c>
      <c r="BH2144">
        <v>2175</v>
      </c>
      <c r="BI2144">
        <v>1</v>
      </c>
      <c r="BJ2144">
        <v>1</v>
      </c>
      <c r="BK2144">
        <v>0</v>
      </c>
      <c r="BL2144">
        <v>0</v>
      </c>
      <c r="BO2144">
        <v>0</v>
      </c>
      <c r="BP2144">
        <v>0</v>
      </c>
      <c r="BW2144" t="str">
        <f t="shared" si="1011"/>
        <v>14:44:55.104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56</v>
      </c>
      <c r="CR2144">
        <v>2</v>
      </c>
      <c r="CW2144">
        <v>4817303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 t="shared" si="1008"/>
        <v>05/12/2020 14:44:37.283</v>
      </c>
      <c r="C2145" t="str">
        <f t="shared" si="1006"/>
        <v>FFDFD3C0</v>
      </c>
      <c r="D2145" t="s">
        <v>138</v>
      </c>
      <c r="E2145">
        <v>2</v>
      </c>
      <c r="H2145">
        <v>8</v>
      </c>
      <c r="I2145" t="s">
        <v>139</v>
      </c>
      <c r="J2145" t="s">
        <v>136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009"/>
        <v>14:44:55.102</v>
      </c>
      <c r="T2145" t="str">
        <f t="shared" si="1010"/>
        <v>14:44:54.702</v>
      </c>
      <c r="U2145" t="str">
        <f t="shared" si="999"/>
        <v>A9808D</v>
      </c>
      <c r="V2145">
        <v>0</v>
      </c>
      <c r="W2145">
        <v>0</v>
      </c>
      <c r="X2145">
        <v>1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0</v>
      </c>
      <c r="AI2145" t="s">
        <v>549</v>
      </c>
      <c r="AJ2145">
        <v>28.2622</v>
      </c>
      <c r="AK2145" t="s">
        <v>550</v>
      </c>
      <c r="AL2145">
        <v>-82.344438999999994</v>
      </c>
      <c r="AM2145">
        <v>100</v>
      </c>
      <c r="AN2145">
        <v>2100</v>
      </c>
      <c r="AO2145" t="s">
        <v>118</v>
      </c>
      <c r="AP2145">
        <v>87</v>
      </c>
      <c r="AQ2145">
        <v>-59</v>
      </c>
      <c r="AR2145">
        <v>320</v>
      </c>
      <c r="AZ2145">
        <v>1200</v>
      </c>
      <c r="BA2145">
        <v>1</v>
      </c>
      <c r="BB2145" t="str">
        <f t="shared" si="1007"/>
        <v xml:space="preserve">N711JA  </v>
      </c>
      <c r="BC2145">
        <v>1</v>
      </c>
      <c r="BE2145">
        <v>0</v>
      </c>
      <c r="BF2145">
        <v>0</v>
      </c>
      <c r="BG2145">
        <v>0</v>
      </c>
      <c r="BH2145">
        <v>2175</v>
      </c>
      <c r="BI2145">
        <v>1</v>
      </c>
      <c r="BJ2145">
        <v>1</v>
      </c>
      <c r="BK2145">
        <v>0</v>
      </c>
      <c r="BL2145">
        <v>0</v>
      </c>
      <c r="BO2145">
        <v>0</v>
      </c>
      <c r="BP2145">
        <v>0</v>
      </c>
      <c r="BW2145" t="str">
        <f t="shared" si="1011"/>
        <v>14:44:55.104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56</v>
      </c>
      <c r="CR2145">
        <v>2</v>
      </c>
      <c r="CW2145">
        <v>4817303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si="1008"/>
        <v>05/12/2020 14:44:37.283</v>
      </c>
      <c r="C2146" t="str">
        <f t="shared" si="1006"/>
        <v>FFDFD3C0</v>
      </c>
      <c r="D2146" t="s">
        <v>138</v>
      </c>
      <c r="E2146">
        <v>3</v>
      </c>
      <c r="H2146">
        <v>9</v>
      </c>
      <c r="I2146" t="s">
        <v>140</v>
      </c>
      <c r="J2146" t="s">
        <v>136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009"/>
        <v>14:44:55.102</v>
      </c>
      <c r="T2146" t="str">
        <f t="shared" si="1010"/>
        <v>14:44:54.702</v>
      </c>
      <c r="U2146" t="str">
        <f t="shared" si="999"/>
        <v>A9808D</v>
      </c>
      <c r="V2146">
        <v>0</v>
      </c>
      <c r="W2146">
        <v>0</v>
      </c>
      <c r="X2146">
        <v>1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0</v>
      </c>
      <c r="AI2146" t="s">
        <v>549</v>
      </c>
      <c r="AJ2146">
        <v>28.2622</v>
      </c>
      <c r="AK2146" t="s">
        <v>550</v>
      </c>
      <c r="AL2146">
        <v>-82.344438999999994</v>
      </c>
      <c r="AM2146">
        <v>100</v>
      </c>
      <c r="AN2146">
        <v>2100</v>
      </c>
      <c r="AO2146" t="s">
        <v>118</v>
      </c>
      <c r="AP2146">
        <v>87</v>
      </c>
      <c r="AQ2146">
        <v>-59</v>
      </c>
      <c r="AR2146">
        <v>320</v>
      </c>
      <c r="AZ2146">
        <v>1200</v>
      </c>
      <c r="BA2146">
        <v>1</v>
      </c>
      <c r="BB2146" t="str">
        <f t="shared" si="1007"/>
        <v xml:space="preserve">N711JA  </v>
      </c>
      <c r="BC2146">
        <v>1</v>
      </c>
      <c r="BE2146">
        <v>0</v>
      </c>
      <c r="BF2146">
        <v>0</v>
      </c>
      <c r="BG2146">
        <v>0</v>
      </c>
      <c r="BH2146">
        <v>2175</v>
      </c>
      <c r="BI2146">
        <v>1</v>
      </c>
      <c r="BJ2146">
        <v>1</v>
      </c>
      <c r="BK2146">
        <v>0</v>
      </c>
      <c r="BL2146">
        <v>0</v>
      </c>
      <c r="BO2146">
        <v>0</v>
      </c>
      <c r="BP2146">
        <v>0</v>
      </c>
      <c r="BW2146" t="str">
        <f t="shared" si="1011"/>
        <v>14:44:55.104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56</v>
      </c>
      <c r="CR2146">
        <v>2</v>
      </c>
      <c r="CW2146">
        <v>4817303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ref="A2147:A2155" si="1012">"05/12/2020 14:44:38.227"</f>
        <v>05/12/2020 14:44:38.227</v>
      </c>
      <c r="C2147" t="str">
        <f t="shared" si="1006"/>
        <v>FFDFD3C0</v>
      </c>
      <c r="D2147" t="s">
        <v>138</v>
      </c>
      <c r="E2147">
        <v>3</v>
      </c>
      <c r="H2147">
        <v>9</v>
      </c>
      <c r="I2147" t="s">
        <v>140</v>
      </c>
      <c r="J2147" t="s">
        <v>136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ref="S2147:S2155" si="1013">"14:44:56.063"</f>
        <v>14:44:56.063</v>
      </c>
      <c r="T2147" t="str">
        <f t="shared" ref="T2147:T2155" si="1014">"14:44:55.763"</f>
        <v>14:44:55.763</v>
      </c>
      <c r="U2147" t="str">
        <f t="shared" si="999"/>
        <v>A9808D</v>
      </c>
      <c r="V2147">
        <v>0</v>
      </c>
      <c r="W2147">
        <v>0</v>
      </c>
      <c r="X2147">
        <v>1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0</v>
      </c>
      <c r="AI2147" t="s">
        <v>551</v>
      </c>
      <c r="AJ2147">
        <v>28.261921000000001</v>
      </c>
      <c r="AK2147" t="s">
        <v>552</v>
      </c>
      <c r="AL2147">
        <v>-82.344009999999997</v>
      </c>
      <c r="AM2147">
        <v>100</v>
      </c>
      <c r="AN2147">
        <v>2100</v>
      </c>
      <c r="AO2147" t="s">
        <v>118</v>
      </c>
      <c r="AP2147">
        <v>88</v>
      </c>
      <c r="AQ2147">
        <v>-58</v>
      </c>
      <c r="AR2147">
        <v>320</v>
      </c>
      <c r="AZ2147">
        <v>1200</v>
      </c>
      <c r="BA2147">
        <v>1</v>
      </c>
      <c r="BB2147" t="str">
        <f t="shared" si="1007"/>
        <v xml:space="preserve">N711JA  </v>
      </c>
      <c r="BC2147">
        <v>1</v>
      </c>
      <c r="BE2147">
        <v>0</v>
      </c>
      <c r="BF2147">
        <v>0</v>
      </c>
      <c r="BG2147">
        <v>0</v>
      </c>
      <c r="BH2147">
        <v>2175</v>
      </c>
      <c r="BI2147">
        <v>1</v>
      </c>
      <c r="BJ2147">
        <v>1</v>
      </c>
      <c r="BK2147">
        <v>0</v>
      </c>
      <c r="BL2147">
        <v>0</v>
      </c>
      <c r="BO2147">
        <v>0</v>
      </c>
      <c r="BP2147">
        <v>0</v>
      </c>
      <c r="BW2147" t="str">
        <f t="shared" ref="BW2147:BW2155" si="1015">"14:44:56.068"</f>
        <v>14:44:56.068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343</v>
      </c>
      <c r="CR2147">
        <v>1</v>
      </c>
      <c r="CW2147">
        <v>10752694</v>
      </c>
      <c r="CY2147">
        <v>1</v>
      </c>
      <c r="CZ2147">
        <v>0</v>
      </c>
      <c r="DA2147">
        <v>0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 t="shared" si="1012"/>
        <v>05/12/2020 14:44:38.227</v>
      </c>
      <c r="C2148" t="str">
        <f t="shared" si="1006"/>
        <v>FFDFD3C0</v>
      </c>
      <c r="D2148" t="s">
        <v>131</v>
      </c>
      <c r="E2148">
        <v>10</v>
      </c>
      <c r="F2148">
        <v>2010</v>
      </c>
      <c r="G2148" t="s">
        <v>132</v>
      </c>
      <c r="J2148" t="s">
        <v>133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013"/>
        <v>14:44:56.063</v>
      </c>
      <c r="T2148" t="str">
        <f t="shared" si="1014"/>
        <v>14:44:55.763</v>
      </c>
      <c r="U2148" t="str">
        <f t="shared" si="999"/>
        <v>A9808D</v>
      </c>
      <c r="V2148">
        <v>0</v>
      </c>
      <c r="W2148">
        <v>0</v>
      </c>
      <c r="X2148">
        <v>1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0</v>
      </c>
      <c r="AI2148" t="s">
        <v>551</v>
      </c>
      <c r="AJ2148">
        <v>28.261921000000001</v>
      </c>
      <c r="AK2148" t="s">
        <v>552</v>
      </c>
      <c r="AL2148">
        <v>-82.344009999999997</v>
      </c>
      <c r="AM2148">
        <v>100</v>
      </c>
      <c r="AN2148">
        <v>2100</v>
      </c>
      <c r="AO2148" t="s">
        <v>118</v>
      </c>
      <c r="AP2148">
        <v>88</v>
      </c>
      <c r="AQ2148">
        <v>-58</v>
      </c>
      <c r="AR2148">
        <v>320</v>
      </c>
      <c r="AZ2148">
        <v>1200</v>
      </c>
      <c r="BA2148">
        <v>1</v>
      </c>
      <c r="BB2148" t="str">
        <f t="shared" si="1007"/>
        <v xml:space="preserve">N711JA  </v>
      </c>
      <c r="BC2148">
        <v>1</v>
      </c>
      <c r="BE2148">
        <v>0</v>
      </c>
      <c r="BF2148">
        <v>0</v>
      </c>
      <c r="BG2148">
        <v>0</v>
      </c>
      <c r="BH2148">
        <v>2175</v>
      </c>
      <c r="BI2148">
        <v>1</v>
      </c>
      <c r="BJ2148">
        <v>1</v>
      </c>
      <c r="BK2148">
        <v>0</v>
      </c>
      <c r="BL2148">
        <v>0</v>
      </c>
      <c r="BO2148">
        <v>0</v>
      </c>
      <c r="BP2148">
        <v>0</v>
      </c>
      <c r="BW2148" t="str">
        <f t="shared" si="1015"/>
        <v>14:44:56.068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343</v>
      </c>
      <c r="CR2148">
        <v>1</v>
      </c>
      <c r="CW2148">
        <v>10752694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 t="shared" si="1012"/>
        <v>05/12/2020 14:44:38.227</v>
      </c>
      <c r="C2149" t="str">
        <f t="shared" si="1006"/>
        <v>FFDFD3C0</v>
      </c>
      <c r="D2149" t="s">
        <v>126</v>
      </c>
      <c r="E2149">
        <v>7</v>
      </c>
      <c r="F2149">
        <v>1007</v>
      </c>
      <c r="G2149" t="s">
        <v>127</v>
      </c>
      <c r="J2149" t="s">
        <v>128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013"/>
        <v>14:44:56.063</v>
      </c>
      <c r="T2149" t="str">
        <f t="shared" si="1014"/>
        <v>14:44:55.763</v>
      </c>
      <c r="U2149" t="str">
        <f t="shared" si="999"/>
        <v>A9808D</v>
      </c>
      <c r="V2149">
        <v>0</v>
      </c>
      <c r="W2149">
        <v>0</v>
      </c>
      <c r="X2149">
        <v>1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0</v>
      </c>
      <c r="AI2149" t="s">
        <v>551</v>
      </c>
      <c r="AJ2149">
        <v>28.261921000000001</v>
      </c>
      <c r="AK2149" t="s">
        <v>552</v>
      </c>
      <c r="AL2149">
        <v>-82.344009999999997</v>
      </c>
      <c r="AM2149">
        <v>100</v>
      </c>
      <c r="AN2149">
        <v>2100</v>
      </c>
      <c r="AO2149" t="s">
        <v>118</v>
      </c>
      <c r="AP2149">
        <v>88</v>
      </c>
      <c r="AQ2149">
        <v>-58</v>
      </c>
      <c r="AR2149">
        <v>320</v>
      </c>
      <c r="AZ2149">
        <v>1200</v>
      </c>
      <c r="BA2149">
        <v>1</v>
      </c>
      <c r="BB2149" t="str">
        <f t="shared" si="1007"/>
        <v xml:space="preserve">N711JA  </v>
      </c>
      <c r="BC2149">
        <v>1</v>
      </c>
      <c r="BE2149">
        <v>0</v>
      </c>
      <c r="BF2149">
        <v>0</v>
      </c>
      <c r="BG2149">
        <v>0</v>
      </c>
      <c r="BH2149">
        <v>2175</v>
      </c>
      <c r="BI2149">
        <v>1</v>
      </c>
      <c r="BJ2149">
        <v>1</v>
      </c>
      <c r="BK2149">
        <v>0</v>
      </c>
      <c r="BL2149">
        <v>0</v>
      </c>
      <c r="BO2149">
        <v>0</v>
      </c>
      <c r="BP2149">
        <v>0</v>
      </c>
      <c r="BW2149" t="str">
        <f t="shared" si="1015"/>
        <v>14:44:56.068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343</v>
      </c>
      <c r="CR2149">
        <v>1</v>
      </c>
      <c r="CW2149">
        <v>10752694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 t="shared" si="1012"/>
        <v>05/12/2020 14:44:38.227</v>
      </c>
      <c r="C2150" t="str">
        <f t="shared" si="1006"/>
        <v>FFDFD3C0</v>
      </c>
      <c r="D2150" t="s">
        <v>134</v>
      </c>
      <c r="E2150">
        <v>12</v>
      </c>
      <c r="H2150">
        <v>64</v>
      </c>
      <c r="I2150" t="s">
        <v>135</v>
      </c>
      <c r="J2150" t="s">
        <v>136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013"/>
        <v>14:44:56.063</v>
      </c>
      <c r="T2150" t="str">
        <f t="shared" si="1014"/>
        <v>14:44:55.763</v>
      </c>
      <c r="U2150" t="str">
        <f t="shared" si="999"/>
        <v>A9808D</v>
      </c>
      <c r="V2150">
        <v>0</v>
      </c>
      <c r="W2150">
        <v>0</v>
      </c>
      <c r="X2150">
        <v>1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0</v>
      </c>
      <c r="AI2150" t="s">
        <v>551</v>
      </c>
      <c r="AJ2150">
        <v>28.261921000000001</v>
      </c>
      <c r="AK2150" t="s">
        <v>552</v>
      </c>
      <c r="AL2150">
        <v>-82.344009999999997</v>
      </c>
      <c r="AM2150">
        <v>100</v>
      </c>
      <c r="AN2150">
        <v>2100</v>
      </c>
      <c r="AO2150" t="s">
        <v>118</v>
      </c>
      <c r="AP2150">
        <v>88</v>
      </c>
      <c r="AQ2150">
        <v>-58</v>
      </c>
      <c r="AR2150">
        <v>320</v>
      </c>
      <c r="AZ2150">
        <v>1200</v>
      </c>
      <c r="BA2150">
        <v>1</v>
      </c>
      <c r="BB2150" t="str">
        <f t="shared" si="1007"/>
        <v xml:space="preserve">N711JA  </v>
      </c>
      <c r="BC2150">
        <v>1</v>
      </c>
      <c r="BE2150">
        <v>0</v>
      </c>
      <c r="BF2150">
        <v>0</v>
      </c>
      <c r="BG2150">
        <v>0</v>
      </c>
      <c r="BH2150">
        <v>2175</v>
      </c>
      <c r="BI2150">
        <v>1</v>
      </c>
      <c r="BJ2150">
        <v>1</v>
      </c>
      <c r="BK2150">
        <v>0</v>
      </c>
      <c r="BL2150">
        <v>0</v>
      </c>
      <c r="BO2150">
        <v>0</v>
      </c>
      <c r="BP2150">
        <v>0</v>
      </c>
      <c r="BW2150" t="str">
        <f t="shared" si="1015"/>
        <v>14:44:56.068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343</v>
      </c>
      <c r="CR2150">
        <v>1</v>
      </c>
      <c r="CW2150">
        <v>10752694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 t="shared" si="1012"/>
        <v>05/12/2020 14:44:38.227</v>
      </c>
      <c r="C2151" t="str">
        <f t="shared" si="1006"/>
        <v>FFDFD3C0</v>
      </c>
      <c r="D2151" t="s">
        <v>131</v>
      </c>
      <c r="E2151">
        <v>12</v>
      </c>
      <c r="F2151">
        <v>2012</v>
      </c>
      <c r="G2151" t="s">
        <v>137</v>
      </c>
      <c r="J2151" t="s">
        <v>133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1013"/>
        <v>14:44:56.063</v>
      </c>
      <c r="T2151" t="str">
        <f t="shared" si="1014"/>
        <v>14:44:55.763</v>
      </c>
      <c r="U2151" t="str">
        <f t="shared" si="999"/>
        <v>A9808D</v>
      </c>
      <c r="V2151">
        <v>0</v>
      </c>
      <c r="W2151">
        <v>0</v>
      </c>
      <c r="X2151">
        <v>1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0</v>
      </c>
      <c r="AI2151" t="s">
        <v>551</v>
      </c>
      <c r="AJ2151">
        <v>28.261921000000001</v>
      </c>
      <c r="AK2151" t="s">
        <v>552</v>
      </c>
      <c r="AL2151">
        <v>-82.344009999999997</v>
      </c>
      <c r="AM2151">
        <v>100</v>
      </c>
      <c r="AN2151">
        <v>2100</v>
      </c>
      <c r="AO2151" t="s">
        <v>118</v>
      </c>
      <c r="AP2151">
        <v>88</v>
      </c>
      <c r="AQ2151">
        <v>-58</v>
      </c>
      <c r="AR2151">
        <v>320</v>
      </c>
      <c r="AZ2151">
        <v>1200</v>
      </c>
      <c r="BA2151">
        <v>1</v>
      </c>
      <c r="BB2151" t="str">
        <f t="shared" si="1007"/>
        <v xml:space="preserve">N711JA  </v>
      </c>
      <c r="BC2151">
        <v>1</v>
      </c>
      <c r="BE2151">
        <v>0</v>
      </c>
      <c r="BF2151">
        <v>0</v>
      </c>
      <c r="BG2151">
        <v>0</v>
      </c>
      <c r="BH2151">
        <v>2175</v>
      </c>
      <c r="BI2151">
        <v>1</v>
      </c>
      <c r="BJ2151">
        <v>1</v>
      </c>
      <c r="BK2151">
        <v>0</v>
      </c>
      <c r="BL2151">
        <v>0</v>
      </c>
      <c r="BO2151">
        <v>0</v>
      </c>
      <c r="BP2151">
        <v>0</v>
      </c>
      <c r="BW2151" t="str">
        <f t="shared" si="1015"/>
        <v>14:44:56.068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343</v>
      </c>
      <c r="CR2151">
        <v>1</v>
      </c>
      <c r="CW2151">
        <v>10752694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 t="shared" si="1012"/>
        <v>05/12/2020 14:44:38.227</v>
      </c>
      <c r="C2152" t="str">
        <f t="shared" si="1006"/>
        <v>FFDFD3C0</v>
      </c>
      <c r="D2152" t="s">
        <v>113</v>
      </c>
      <c r="E2152">
        <v>3</v>
      </c>
      <c r="H2152">
        <v>164</v>
      </c>
      <c r="I2152" t="s">
        <v>114</v>
      </c>
      <c r="J2152" t="s">
        <v>115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013"/>
        <v>14:44:56.063</v>
      </c>
      <c r="T2152" t="str">
        <f t="shared" si="1014"/>
        <v>14:44:55.763</v>
      </c>
      <c r="U2152" t="str">
        <f t="shared" si="999"/>
        <v>A9808D</v>
      </c>
      <c r="V2152">
        <v>0</v>
      </c>
      <c r="W2152">
        <v>0</v>
      </c>
      <c r="X2152">
        <v>1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0</v>
      </c>
      <c r="AI2152" t="s">
        <v>551</v>
      </c>
      <c r="AJ2152">
        <v>28.261921000000001</v>
      </c>
      <c r="AK2152" t="s">
        <v>552</v>
      </c>
      <c r="AL2152">
        <v>-82.344009999999997</v>
      </c>
      <c r="AM2152">
        <v>100</v>
      </c>
      <c r="AN2152">
        <v>2100</v>
      </c>
      <c r="AO2152" t="s">
        <v>118</v>
      </c>
      <c r="AP2152">
        <v>88</v>
      </c>
      <c r="AQ2152">
        <v>-58</v>
      </c>
      <c r="AR2152">
        <v>320</v>
      </c>
      <c r="AZ2152">
        <v>1200</v>
      </c>
      <c r="BA2152">
        <v>1</v>
      </c>
      <c r="BB2152" t="str">
        <f t="shared" si="1007"/>
        <v xml:space="preserve">N711JA  </v>
      </c>
      <c r="BC2152">
        <v>1</v>
      </c>
      <c r="BE2152">
        <v>0</v>
      </c>
      <c r="BF2152">
        <v>0</v>
      </c>
      <c r="BG2152">
        <v>0</v>
      </c>
      <c r="BH2152">
        <v>2175</v>
      </c>
      <c r="BI2152">
        <v>1</v>
      </c>
      <c r="BJ2152">
        <v>1</v>
      </c>
      <c r="BK2152">
        <v>0</v>
      </c>
      <c r="BL2152">
        <v>0</v>
      </c>
      <c r="BO2152">
        <v>0</v>
      </c>
      <c r="BP2152">
        <v>0</v>
      </c>
      <c r="BW2152" t="str">
        <f t="shared" si="1015"/>
        <v>14:44:56.068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119</v>
      </c>
      <c r="CQ2152">
        <v>343</v>
      </c>
      <c r="CR2152">
        <v>1</v>
      </c>
      <c r="CW2152">
        <v>10752694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 t="shared" si="1012"/>
        <v>05/12/2020 14:44:38.227</v>
      </c>
      <c r="C2153" t="str">
        <f t="shared" si="1006"/>
        <v>FFDFD3C0</v>
      </c>
      <c r="D2153" t="s">
        <v>131</v>
      </c>
      <c r="E2153">
        <v>18</v>
      </c>
      <c r="F2153">
        <v>2018</v>
      </c>
      <c r="G2153" t="s">
        <v>161</v>
      </c>
      <c r="J2153" t="s">
        <v>133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013"/>
        <v>14:44:56.063</v>
      </c>
      <c r="T2153" t="str">
        <f t="shared" si="1014"/>
        <v>14:44:55.763</v>
      </c>
      <c r="U2153" t="str">
        <f t="shared" si="999"/>
        <v>A9808D</v>
      </c>
      <c r="V2153">
        <v>0</v>
      </c>
      <c r="W2153">
        <v>0</v>
      </c>
      <c r="X2153">
        <v>1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0</v>
      </c>
      <c r="AI2153" t="s">
        <v>551</v>
      </c>
      <c r="AJ2153">
        <v>28.261921000000001</v>
      </c>
      <c r="AK2153" t="s">
        <v>552</v>
      </c>
      <c r="AL2153">
        <v>-82.344009999999997</v>
      </c>
      <c r="AM2153">
        <v>100</v>
      </c>
      <c r="AN2153">
        <v>2100</v>
      </c>
      <c r="AO2153" t="s">
        <v>118</v>
      </c>
      <c r="AP2153">
        <v>88</v>
      </c>
      <c r="AQ2153">
        <v>-58</v>
      </c>
      <c r="AR2153">
        <v>320</v>
      </c>
      <c r="AZ2153">
        <v>1200</v>
      </c>
      <c r="BA2153">
        <v>1</v>
      </c>
      <c r="BB2153" t="str">
        <f t="shared" si="1007"/>
        <v xml:space="preserve">N711JA  </v>
      </c>
      <c r="BC2153">
        <v>1</v>
      </c>
      <c r="BE2153">
        <v>0</v>
      </c>
      <c r="BF2153">
        <v>0</v>
      </c>
      <c r="BG2153">
        <v>0</v>
      </c>
      <c r="BH2153">
        <v>2175</v>
      </c>
      <c r="BI2153">
        <v>1</v>
      </c>
      <c r="BJ2153">
        <v>1</v>
      </c>
      <c r="BK2153">
        <v>0</v>
      </c>
      <c r="BL2153">
        <v>0</v>
      </c>
      <c r="BO2153">
        <v>0</v>
      </c>
      <c r="BP2153">
        <v>0</v>
      </c>
      <c r="BW2153" t="str">
        <f t="shared" si="1015"/>
        <v>14:44:56.068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343</v>
      </c>
      <c r="CR2153">
        <v>1</v>
      </c>
      <c r="CW2153">
        <v>10752694</v>
      </c>
      <c r="CY2153">
        <v>1</v>
      </c>
      <c r="CZ2153">
        <v>0</v>
      </c>
      <c r="DA2153">
        <v>1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 t="shared" si="1012"/>
        <v>05/12/2020 14:44:38.227</v>
      </c>
      <c r="C2154" t="str">
        <f t="shared" si="1006"/>
        <v>FFDFD3C0</v>
      </c>
      <c r="D2154" t="s">
        <v>126</v>
      </c>
      <c r="E2154">
        <v>6</v>
      </c>
      <c r="F2154">
        <v>1006</v>
      </c>
      <c r="G2154" t="s">
        <v>114</v>
      </c>
      <c r="J2154" t="s">
        <v>128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013"/>
        <v>14:44:56.063</v>
      </c>
      <c r="T2154" t="str">
        <f t="shared" si="1014"/>
        <v>14:44:55.763</v>
      </c>
      <c r="U2154" t="str">
        <f t="shared" si="999"/>
        <v>A9808D</v>
      </c>
      <c r="V2154">
        <v>0</v>
      </c>
      <c r="W2154">
        <v>0</v>
      </c>
      <c r="X2154">
        <v>1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0</v>
      </c>
      <c r="AI2154" t="s">
        <v>551</v>
      </c>
      <c r="AJ2154">
        <v>28.261921000000001</v>
      </c>
      <c r="AK2154" t="s">
        <v>552</v>
      </c>
      <c r="AL2154">
        <v>-82.344009999999997</v>
      </c>
      <c r="AM2154">
        <v>100</v>
      </c>
      <c r="AN2154">
        <v>2100</v>
      </c>
      <c r="AO2154" t="s">
        <v>118</v>
      </c>
      <c r="AP2154">
        <v>88</v>
      </c>
      <c r="AQ2154">
        <v>-58</v>
      </c>
      <c r="AR2154">
        <v>320</v>
      </c>
      <c r="AZ2154">
        <v>1200</v>
      </c>
      <c r="BA2154">
        <v>1</v>
      </c>
      <c r="BB2154" t="str">
        <f t="shared" si="1007"/>
        <v xml:space="preserve">N711JA  </v>
      </c>
      <c r="BC2154">
        <v>1</v>
      </c>
      <c r="BE2154">
        <v>0</v>
      </c>
      <c r="BF2154">
        <v>0</v>
      </c>
      <c r="BG2154">
        <v>0</v>
      </c>
      <c r="BH2154">
        <v>2175</v>
      </c>
      <c r="BI2154">
        <v>1</v>
      </c>
      <c r="BJ2154">
        <v>1</v>
      </c>
      <c r="BK2154">
        <v>0</v>
      </c>
      <c r="BL2154">
        <v>0</v>
      </c>
      <c r="BO2154">
        <v>0</v>
      </c>
      <c r="BP2154">
        <v>0</v>
      </c>
      <c r="BW2154" t="str">
        <f t="shared" si="1015"/>
        <v>14:44:56.068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119</v>
      </c>
      <c r="CQ2154">
        <v>343</v>
      </c>
      <c r="CR2154">
        <v>1</v>
      </c>
      <c r="CW2154">
        <v>10752694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 t="shared" si="1012"/>
        <v>05/12/2020 14:44:38.227</v>
      </c>
      <c r="C2155" t="str">
        <f t="shared" si="1006"/>
        <v>FFDFD3C0</v>
      </c>
      <c r="D2155" t="s">
        <v>138</v>
      </c>
      <c r="E2155">
        <v>2</v>
      </c>
      <c r="H2155">
        <v>8</v>
      </c>
      <c r="I2155" t="s">
        <v>139</v>
      </c>
      <c r="J2155" t="s">
        <v>136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013"/>
        <v>14:44:56.063</v>
      </c>
      <c r="T2155" t="str">
        <f t="shared" si="1014"/>
        <v>14:44:55.763</v>
      </c>
      <c r="U2155" t="str">
        <f t="shared" si="999"/>
        <v>A9808D</v>
      </c>
      <c r="V2155">
        <v>0</v>
      </c>
      <c r="W2155">
        <v>0</v>
      </c>
      <c r="X2155">
        <v>1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0</v>
      </c>
      <c r="AI2155" t="s">
        <v>551</v>
      </c>
      <c r="AJ2155">
        <v>28.261921000000001</v>
      </c>
      <c r="AK2155" t="s">
        <v>552</v>
      </c>
      <c r="AL2155">
        <v>-82.344009999999997</v>
      </c>
      <c r="AM2155">
        <v>100</v>
      </c>
      <c r="AN2155">
        <v>2100</v>
      </c>
      <c r="AO2155" t="s">
        <v>118</v>
      </c>
      <c r="AP2155">
        <v>88</v>
      </c>
      <c r="AQ2155">
        <v>-58</v>
      </c>
      <c r="AR2155">
        <v>320</v>
      </c>
      <c r="AZ2155">
        <v>1200</v>
      </c>
      <c r="BA2155">
        <v>1</v>
      </c>
      <c r="BB2155" t="str">
        <f t="shared" si="1007"/>
        <v xml:space="preserve">N711JA  </v>
      </c>
      <c r="BC2155">
        <v>1</v>
      </c>
      <c r="BE2155">
        <v>0</v>
      </c>
      <c r="BF2155">
        <v>0</v>
      </c>
      <c r="BG2155">
        <v>0</v>
      </c>
      <c r="BH2155">
        <v>2175</v>
      </c>
      <c r="BI2155">
        <v>1</v>
      </c>
      <c r="BJ2155">
        <v>1</v>
      </c>
      <c r="BK2155">
        <v>0</v>
      </c>
      <c r="BL2155">
        <v>0</v>
      </c>
      <c r="BO2155">
        <v>0</v>
      </c>
      <c r="BP2155">
        <v>0</v>
      </c>
      <c r="BW2155" t="str">
        <f t="shared" si="1015"/>
        <v>14:44:56.068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119</v>
      </c>
      <c r="CQ2155">
        <v>343</v>
      </c>
      <c r="CR2155">
        <v>1</v>
      </c>
      <c r="CW2155">
        <v>10752694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 t="shared" ref="A2156:A2164" si="1016">"05/12/2020 14:44:39.283"</f>
        <v>05/12/2020 14:44:39.283</v>
      </c>
      <c r="C2156" t="str">
        <f t="shared" si="1006"/>
        <v>FFDFD3C0</v>
      </c>
      <c r="D2156" t="s">
        <v>138</v>
      </c>
      <c r="E2156">
        <v>2</v>
      </c>
      <c r="H2156">
        <v>8</v>
      </c>
      <c r="I2156" t="s">
        <v>139</v>
      </c>
      <c r="J2156" t="s">
        <v>136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ref="S2156:S2164" si="1017">"14:44:57.102"</f>
        <v>14:44:57.102</v>
      </c>
      <c r="T2156" t="str">
        <f t="shared" ref="T2156:T2164" si="1018">"14:44:56.902"</f>
        <v>14:44:56.902</v>
      </c>
      <c r="U2156" t="str">
        <f t="shared" si="999"/>
        <v>A9808D</v>
      </c>
      <c r="V2156">
        <v>0</v>
      </c>
      <c r="W2156">
        <v>0</v>
      </c>
      <c r="X2156">
        <v>1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0</v>
      </c>
      <c r="AI2156" t="s">
        <v>553</v>
      </c>
      <c r="AJ2156">
        <v>28.261641999999998</v>
      </c>
      <c r="AK2156" t="s">
        <v>554</v>
      </c>
      <c r="AL2156">
        <v>-82.343537999999995</v>
      </c>
      <c r="AM2156">
        <v>100</v>
      </c>
      <c r="AN2156">
        <v>2100</v>
      </c>
      <c r="AO2156" t="s">
        <v>118</v>
      </c>
      <c r="AP2156">
        <v>88</v>
      </c>
      <c r="AQ2156">
        <v>-58</v>
      </c>
      <c r="AR2156">
        <v>320</v>
      </c>
      <c r="AZ2156">
        <v>1200</v>
      </c>
      <c r="BA2156">
        <v>1</v>
      </c>
      <c r="BB2156" t="str">
        <f t="shared" si="1007"/>
        <v xml:space="preserve">N711JA  </v>
      </c>
      <c r="BC2156">
        <v>1</v>
      </c>
      <c r="BE2156">
        <v>0</v>
      </c>
      <c r="BF2156">
        <v>0</v>
      </c>
      <c r="BG2156">
        <v>0</v>
      </c>
      <c r="BH2156">
        <v>2175</v>
      </c>
      <c r="BI2156">
        <v>1</v>
      </c>
      <c r="BJ2156">
        <v>1</v>
      </c>
      <c r="BK2156">
        <v>0</v>
      </c>
      <c r="BL2156">
        <v>0</v>
      </c>
      <c r="BO2156">
        <v>0</v>
      </c>
      <c r="BP2156">
        <v>0</v>
      </c>
      <c r="BW2156" t="str">
        <f t="shared" ref="BW2156:BW2164" si="1019">"14:44:57.104"</f>
        <v>14:44:57.104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7</v>
      </c>
      <c r="CP2156" t="s">
        <v>119</v>
      </c>
      <c r="CQ2156">
        <v>56</v>
      </c>
      <c r="CR2156">
        <v>2</v>
      </c>
      <c r="CW2156">
        <v>4819797</v>
      </c>
      <c r="CY2156">
        <v>1</v>
      </c>
      <c r="CZ2156">
        <v>0</v>
      </c>
      <c r="DA2156">
        <v>0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 t="shared" si="1016"/>
        <v>05/12/2020 14:44:39.283</v>
      </c>
      <c r="C2157" t="str">
        <f t="shared" si="1006"/>
        <v>FFDFD3C0</v>
      </c>
      <c r="D2157" t="s">
        <v>138</v>
      </c>
      <c r="E2157">
        <v>3</v>
      </c>
      <c r="H2157">
        <v>9</v>
      </c>
      <c r="I2157" t="s">
        <v>140</v>
      </c>
      <c r="J2157" t="s">
        <v>136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017"/>
        <v>14:44:57.102</v>
      </c>
      <c r="T2157" t="str">
        <f t="shared" si="1018"/>
        <v>14:44:56.902</v>
      </c>
      <c r="U2157" t="str">
        <f t="shared" si="999"/>
        <v>A9808D</v>
      </c>
      <c r="V2157">
        <v>0</v>
      </c>
      <c r="W2157">
        <v>0</v>
      </c>
      <c r="X2157">
        <v>1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0</v>
      </c>
      <c r="AI2157" t="s">
        <v>553</v>
      </c>
      <c r="AJ2157">
        <v>28.261641999999998</v>
      </c>
      <c r="AK2157" t="s">
        <v>554</v>
      </c>
      <c r="AL2157">
        <v>-82.343537999999995</v>
      </c>
      <c r="AM2157">
        <v>100</v>
      </c>
      <c r="AN2157">
        <v>2100</v>
      </c>
      <c r="AO2157" t="s">
        <v>118</v>
      </c>
      <c r="AP2157">
        <v>88</v>
      </c>
      <c r="AQ2157">
        <v>-58</v>
      </c>
      <c r="AR2157">
        <v>320</v>
      </c>
      <c r="AZ2157">
        <v>1200</v>
      </c>
      <c r="BA2157">
        <v>1</v>
      </c>
      <c r="BB2157" t="str">
        <f t="shared" si="1007"/>
        <v xml:space="preserve">N711JA  </v>
      </c>
      <c r="BC2157">
        <v>1</v>
      </c>
      <c r="BE2157">
        <v>0</v>
      </c>
      <c r="BF2157">
        <v>0</v>
      </c>
      <c r="BG2157">
        <v>0</v>
      </c>
      <c r="BH2157">
        <v>2175</v>
      </c>
      <c r="BI2157">
        <v>1</v>
      </c>
      <c r="BJ2157">
        <v>1</v>
      </c>
      <c r="BK2157">
        <v>0</v>
      </c>
      <c r="BL2157">
        <v>0</v>
      </c>
      <c r="BO2157">
        <v>0</v>
      </c>
      <c r="BP2157">
        <v>0</v>
      </c>
      <c r="BW2157" t="str">
        <f t="shared" si="1019"/>
        <v>14:44:57.104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119</v>
      </c>
      <c r="CQ2157">
        <v>56</v>
      </c>
      <c r="CR2157">
        <v>2</v>
      </c>
      <c r="CW2157">
        <v>4819797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 t="shared" si="1016"/>
        <v>05/12/2020 14:44:39.283</v>
      </c>
      <c r="C2158" t="str">
        <f t="shared" si="1006"/>
        <v>FFDFD3C0</v>
      </c>
      <c r="D2158" t="s">
        <v>126</v>
      </c>
      <c r="E2158">
        <v>7</v>
      </c>
      <c r="F2158">
        <v>1007</v>
      </c>
      <c r="G2158" t="s">
        <v>127</v>
      </c>
      <c r="J2158" t="s">
        <v>128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017"/>
        <v>14:44:57.102</v>
      </c>
      <c r="T2158" t="str">
        <f t="shared" si="1018"/>
        <v>14:44:56.902</v>
      </c>
      <c r="U2158" t="str">
        <f t="shared" si="999"/>
        <v>A9808D</v>
      </c>
      <c r="V2158">
        <v>0</v>
      </c>
      <c r="W2158">
        <v>0</v>
      </c>
      <c r="X2158">
        <v>1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0</v>
      </c>
      <c r="AI2158" t="s">
        <v>553</v>
      </c>
      <c r="AJ2158">
        <v>28.261641999999998</v>
      </c>
      <c r="AK2158" t="s">
        <v>554</v>
      </c>
      <c r="AL2158">
        <v>-82.343537999999995</v>
      </c>
      <c r="AM2158">
        <v>100</v>
      </c>
      <c r="AN2158">
        <v>2100</v>
      </c>
      <c r="AO2158" t="s">
        <v>118</v>
      </c>
      <c r="AP2158">
        <v>88</v>
      </c>
      <c r="AQ2158">
        <v>-58</v>
      </c>
      <c r="AR2158">
        <v>320</v>
      </c>
      <c r="AZ2158">
        <v>1200</v>
      </c>
      <c r="BA2158">
        <v>1</v>
      </c>
      <c r="BB2158" t="str">
        <f t="shared" si="1007"/>
        <v xml:space="preserve">N711JA  </v>
      </c>
      <c r="BC2158">
        <v>1</v>
      </c>
      <c r="BE2158">
        <v>0</v>
      </c>
      <c r="BF2158">
        <v>0</v>
      </c>
      <c r="BG2158">
        <v>0</v>
      </c>
      <c r="BH2158">
        <v>2175</v>
      </c>
      <c r="BI2158">
        <v>1</v>
      </c>
      <c r="BJ2158">
        <v>1</v>
      </c>
      <c r="BK2158">
        <v>0</v>
      </c>
      <c r="BL2158">
        <v>0</v>
      </c>
      <c r="BO2158">
        <v>0</v>
      </c>
      <c r="BP2158">
        <v>0</v>
      </c>
      <c r="BW2158" t="str">
        <f t="shared" si="1019"/>
        <v>14:44:57.104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119</v>
      </c>
      <c r="CQ2158">
        <v>56</v>
      </c>
      <c r="CR2158">
        <v>2</v>
      </c>
      <c r="CW2158">
        <v>4819797</v>
      </c>
      <c r="CY2158">
        <v>1</v>
      </c>
      <c r="CZ2158">
        <v>0</v>
      </c>
      <c r="DA2158">
        <v>1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 t="shared" si="1016"/>
        <v>05/12/2020 14:44:39.283</v>
      </c>
      <c r="C2159" t="str">
        <f t="shared" si="1006"/>
        <v>FFDFD3C0</v>
      </c>
      <c r="D2159" t="s">
        <v>131</v>
      </c>
      <c r="E2159">
        <v>10</v>
      </c>
      <c r="F2159">
        <v>2010</v>
      </c>
      <c r="G2159" t="s">
        <v>132</v>
      </c>
      <c r="J2159" t="s">
        <v>133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017"/>
        <v>14:44:57.102</v>
      </c>
      <c r="T2159" t="str">
        <f t="shared" si="1018"/>
        <v>14:44:56.902</v>
      </c>
      <c r="U2159" t="str">
        <f t="shared" si="999"/>
        <v>A9808D</v>
      </c>
      <c r="V2159">
        <v>0</v>
      </c>
      <c r="W2159">
        <v>0</v>
      </c>
      <c r="X2159">
        <v>1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0</v>
      </c>
      <c r="AI2159" t="s">
        <v>553</v>
      </c>
      <c r="AJ2159">
        <v>28.261641999999998</v>
      </c>
      <c r="AK2159" t="s">
        <v>554</v>
      </c>
      <c r="AL2159">
        <v>-82.343537999999995</v>
      </c>
      <c r="AM2159">
        <v>100</v>
      </c>
      <c r="AN2159">
        <v>2100</v>
      </c>
      <c r="AO2159" t="s">
        <v>118</v>
      </c>
      <c r="AP2159">
        <v>88</v>
      </c>
      <c r="AQ2159">
        <v>-58</v>
      </c>
      <c r="AR2159">
        <v>320</v>
      </c>
      <c r="AZ2159">
        <v>1200</v>
      </c>
      <c r="BA2159">
        <v>1</v>
      </c>
      <c r="BB2159" t="str">
        <f t="shared" si="1007"/>
        <v xml:space="preserve">N711JA  </v>
      </c>
      <c r="BC2159">
        <v>1</v>
      </c>
      <c r="BE2159">
        <v>0</v>
      </c>
      <c r="BF2159">
        <v>0</v>
      </c>
      <c r="BG2159">
        <v>0</v>
      </c>
      <c r="BH2159">
        <v>2175</v>
      </c>
      <c r="BI2159">
        <v>1</v>
      </c>
      <c r="BJ2159">
        <v>1</v>
      </c>
      <c r="BK2159">
        <v>0</v>
      </c>
      <c r="BL2159">
        <v>0</v>
      </c>
      <c r="BO2159">
        <v>0</v>
      </c>
      <c r="BP2159">
        <v>0</v>
      </c>
      <c r="BW2159" t="str">
        <f t="shared" si="1019"/>
        <v>14:44:57.104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7</v>
      </c>
      <c r="CP2159" t="s">
        <v>119</v>
      </c>
      <c r="CQ2159">
        <v>56</v>
      </c>
      <c r="CR2159">
        <v>2</v>
      </c>
      <c r="CW2159">
        <v>4819797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 t="shared" si="1016"/>
        <v>05/12/2020 14:44:39.283</v>
      </c>
      <c r="C2160" t="str">
        <f t="shared" si="1006"/>
        <v>FFDFD3C0</v>
      </c>
      <c r="D2160" t="s">
        <v>131</v>
      </c>
      <c r="E2160">
        <v>12</v>
      </c>
      <c r="F2160">
        <v>2012</v>
      </c>
      <c r="G2160" t="s">
        <v>137</v>
      </c>
      <c r="J2160" t="s">
        <v>133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017"/>
        <v>14:44:57.102</v>
      </c>
      <c r="T2160" t="str">
        <f t="shared" si="1018"/>
        <v>14:44:56.902</v>
      </c>
      <c r="U2160" t="str">
        <f t="shared" si="999"/>
        <v>A9808D</v>
      </c>
      <c r="V2160">
        <v>0</v>
      </c>
      <c r="W2160">
        <v>0</v>
      </c>
      <c r="X2160">
        <v>1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0</v>
      </c>
      <c r="AI2160" t="s">
        <v>553</v>
      </c>
      <c r="AJ2160">
        <v>28.261641999999998</v>
      </c>
      <c r="AK2160" t="s">
        <v>554</v>
      </c>
      <c r="AL2160">
        <v>-82.343537999999995</v>
      </c>
      <c r="AM2160">
        <v>100</v>
      </c>
      <c r="AN2160">
        <v>2100</v>
      </c>
      <c r="AO2160" t="s">
        <v>118</v>
      </c>
      <c r="AP2160">
        <v>88</v>
      </c>
      <c r="AQ2160">
        <v>-58</v>
      </c>
      <c r="AR2160">
        <v>320</v>
      </c>
      <c r="AZ2160">
        <v>1200</v>
      </c>
      <c r="BA2160">
        <v>1</v>
      </c>
      <c r="BB2160" t="str">
        <f t="shared" si="1007"/>
        <v xml:space="preserve">N711JA  </v>
      </c>
      <c r="BC2160">
        <v>1</v>
      </c>
      <c r="BE2160">
        <v>0</v>
      </c>
      <c r="BF2160">
        <v>0</v>
      </c>
      <c r="BG2160">
        <v>0</v>
      </c>
      <c r="BH2160">
        <v>2175</v>
      </c>
      <c r="BI2160">
        <v>1</v>
      </c>
      <c r="BJ2160">
        <v>1</v>
      </c>
      <c r="BK2160">
        <v>0</v>
      </c>
      <c r="BL2160">
        <v>0</v>
      </c>
      <c r="BO2160">
        <v>0</v>
      </c>
      <c r="BP2160">
        <v>0</v>
      </c>
      <c r="BW2160" t="str">
        <f t="shared" si="1019"/>
        <v>14:44:57.104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7</v>
      </c>
      <c r="CP2160" t="s">
        <v>119</v>
      </c>
      <c r="CQ2160">
        <v>56</v>
      </c>
      <c r="CR2160">
        <v>2</v>
      </c>
      <c r="CW2160">
        <v>4819797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 t="shared" si="1016"/>
        <v>05/12/2020 14:44:39.283</v>
      </c>
      <c r="C2161" t="str">
        <f t="shared" si="1006"/>
        <v>FFDFD3C0</v>
      </c>
      <c r="D2161" t="s">
        <v>131</v>
      </c>
      <c r="E2161">
        <v>18</v>
      </c>
      <c r="F2161">
        <v>2018</v>
      </c>
      <c r="G2161" t="s">
        <v>161</v>
      </c>
      <c r="J2161" t="s">
        <v>133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017"/>
        <v>14:44:57.102</v>
      </c>
      <c r="T2161" t="str">
        <f t="shared" si="1018"/>
        <v>14:44:56.902</v>
      </c>
      <c r="U2161" t="str">
        <f t="shared" si="999"/>
        <v>A9808D</v>
      </c>
      <c r="V2161">
        <v>0</v>
      </c>
      <c r="W2161">
        <v>0</v>
      </c>
      <c r="X2161">
        <v>1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0</v>
      </c>
      <c r="AI2161" t="s">
        <v>553</v>
      </c>
      <c r="AJ2161">
        <v>28.261641999999998</v>
      </c>
      <c r="AK2161" t="s">
        <v>554</v>
      </c>
      <c r="AL2161">
        <v>-82.343537999999995</v>
      </c>
      <c r="AM2161">
        <v>100</v>
      </c>
      <c r="AN2161">
        <v>2100</v>
      </c>
      <c r="AO2161" t="s">
        <v>118</v>
      </c>
      <c r="AP2161">
        <v>88</v>
      </c>
      <c r="AQ2161">
        <v>-58</v>
      </c>
      <c r="AR2161">
        <v>320</v>
      </c>
      <c r="AZ2161">
        <v>1200</v>
      </c>
      <c r="BA2161">
        <v>1</v>
      </c>
      <c r="BB2161" t="str">
        <f t="shared" si="1007"/>
        <v xml:space="preserve">N711JA  </v>
      </c>
      <c r="BC2161">
        <v>1</v>
      </c>
      <c r="BE2161">
        <v>0</v>
      </c>
      <c r="BF2161">
        <v>0</v>
      </c>
      <c r="BG2161">
        <v>0</v>
      </c>
      <c r="BH2161">
        <v>2175</v>
      </c>
      <c r="BI2161">
        <v>1</v>
      </c>
      <c r="BJ2161">
        <v>1</v>
      </c>
      <c r="BK2161">
        <v>0</v>
      </c>
      <c r="BL2161">
        <v>0</v>
      </c>
      <c r="BO2161">
        <v>0</v>
      </c>
      <c r="BP2161">
        <v>0</v>
      </c>
      <c r="BW2161" t="str">
        <f t="shared" si="1019"/>
        <v>14:44:57.104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119</v>
      </c>
      <c r="CQ2161">
        <v>56</v>
      </c>
      <c r="CR2161">
        <v>2</v>
      </c>
      <c r="CW2161">
        <v>4819797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 t="shared" si="1016"/>
        <v>05/12/2020 14:44:39.283</v>
      </c>
      <c r="C2162" t="str">
        <f t="shared" si="1006"/>
        <v>FFDFD3C0</v>
      </c>
      <c r="D2162" t="s">
        <v>126</v>
      </c>
      <c r="E2162">
        <v>6</v>
      </c>
      <c r="F2162">
        <v>1006</v>
      </c>
      <c r="G2162" t="s">
        <v>114</v>
      </c>
      <c r="J2162" t="s">
        <v>128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017"/>
        <v>14:44:57.102</v>
      </c>
      <c r="T2162" t="str">
        <f t="shared" si="1018"/>
        <v>14:44:56.902</v>
      </c>
      <c r="U2162" t="str">
        <f t="shared" si="999"/>
        <v>A9808D</v>
      </c>
      <c r="V2162">
        <v>0</v>
      </c>
      <c r="W2162">
        <v>0</v>
      </c>
      <c r="X2162">
        <v>1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0</v>
      </c>
      <c r="AI2162" t="s">
        <v>553</v>
      </c>
      <c r="AJ2162">
        <v>28.261641999999998</v>
      </c>
      <c r="AK2162" t="s">
        <v>554</v>
      </c>
      <c r="AL2162">
        <v>-82.343537999999995</v>
      </c>
      <c r="AM2162">
        <v>100</v>
      </c>
      <c r="AN2162">
        <v>2100</v>
      </c>
      <c r="AO2162" t="s">
        <v>118</v>
      </c>
      <c r="AP2162">
        <v>88</v>
      </c>
      <c r="AQ2162">
        <v>-58</v>
      </c>
      <c r="AR2162">
        <v>320</v>
      </c>
      <c r="AZ2162">
        <v>1200</v>
      </c>
      <c r="BA2162">
        <v>1</v>
      </c>
      <c r="BB2162" t="str">
        <f t="shared" si="1007"/>
        <v xml:space="preserve">N711JA  </v>
      </c>
      <c r="BC2162">
        <v>1</v>
      </c>
      <c r="BE2162">
        <v>0</v>
      </c>
      <c r="BF2162">
        <v>0</v>
      </c>
      <c r="BG2162">
        <v>0</v>
      </c>
      <c r="BH2162">
        <v>2175</v>
      </c>
      <c r="BI2162">
        <v>1</v>
      </c>
      <c r="BJ2162">
        <v>1</v>
      </c>
      <c r="BK2162">
        <v>0</v>
      </c>
      <c r="BL2162">
        <v>0</v>
      </c>
      <c r="BO2162">
        <v>0</v>
      </c>
      <c r="BP2162">
        <v>0</v>
      </c>
      <c r="BW2162" t="str">
        <f t="shared" si="1019"/>
        <v>14:44:57.104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7</v>
      </c>
      <c r="CP2162" t="s">
        <v>119</v>
      </c>
      <c r="CQ2162">
        <v>56</v>
      </c>
      <c r="CR2162">
        <v>2</v>
      </c>
      <c r="CW2162">
        <v>4819797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 t="shared" si="1016"/>
        <v>05/12/2020 14:44:39.283</v>
      </c>
      <c r="C2163" t="str">
        <f t="shared" si="1006"/>
        <v>FFDFD3C0</v>
      </c>
      <c r="D2163" t="s">
        <v>134</v>
      </c>
      <c r="E2163">
        <v>12</v>
      </c>
      <c r="H2163">
        <v>64</v>
      </c>
      <c r="I2163" t="s">
        <v>135</v>
      </c>
      <c r="J2163" t="s">
        <v>136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017"/>
        <v>14:44:57.102</v>
      </c>
      <c r="T2163" t="str">
        <f t="shared" si="1018"/>
        <v>14:44:56.902</v>
      </c>
      <c r="U2163" t="str">
        <f t="shared" si="999"/>
        <v>A9808D</v>
      </c>
      <c r="V2163">
        <v>0</v>
      </c>
      <c r="W2163">
        <v>0</v>
      </c>
      <c r="X2163">
        <v>1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0</v>
      </c>
      <c r="AI2163" t="s">
        <v>553</v>
      </c>
      <c r="AJ2163">
        <v>28.261641999999998</v>
      </c>
      <c r="AK2163" t="s">
        <v>554</v>
      </c>
      <c r="AL2163">
        <v>-82.343537999999995</v>
      </c>
      <c r="AM2163">
        <v>100</v>
      </c>
      <c r="AN2163">
        <v>2100</v>
      </c>
      <c r="AO2163" t="s">
        <v>118</v>
      </c>
      <c r="AP2163">
        <v>88</v>
      </c>
      <c r="AQ2163">
        <v>-58</v>
      </c>
      <c r="AR2163">
        <v>320</v>
      </c>
      <c r="AZ2163">
        <v>1200</v>
      </c>
      <c r="BA2163">
        <v>1</v>
      </c>
      <c r="BB2163" t="str">
        <f t="shared" si="1007"/>
        <v xml:space="preserve">N711JA  </v>
      </c>
      <c r="BC2163">
        <v>1</v>
      </c>
      <c r="BE2163">
        <v>0</v>
      </c>
      <c r="BF2163">
        <v>0</v>
      </c>
      <c r="BG2163">
        <v>0</v>
      </c>
      <c r="BH2163">
        <v>2175</v>
      </c>
      <c r="BI2163">
        <v>1</v>
      </c>
      <c r="BJ2163">
        <v>1</v>
      </c>
      <c r="BK2163">
        <v>0</v>
      </c>
      <c r="BL2163">
        <v>0</v>
      </c>
      <c r="BO2163">
        <v>0</v>
      </c>
      <c r="BP2163">
        <v>0</v>
      </c>
      <c r="BW2163" t="str">
        <f t="shared" si="1019"/>
        <v>14:44:57.104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358</v>
      </c>
      <c r="CR2163">
        <v>0</v>
      </c>
      <c r="CW2163">
        <v>4801220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 t="shared" si="1016"/>
        <v>05/12/2020 14:44:39.283</v>
      </c>
      <c r="C2164" t="str">
        <f t="shared" si="1006"/>
        <v>FFDFD3C0</v>
      </c>
      <c r="D2164" t="s">
        <v>113</v>
      </c>
      <c r="E2164">
        <v>3</v>
      </c>
      <c r="H2164">
        <v>164</v>
      </c>
      <c r="I2164" t="s">
        <v>114</v>
      </c>
      <c r="J2164" t="s">
        <v>115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017"/>
        <v>14:44:57.102</v>
      </c>
      <c r="T2164" t="str">
        <f t="shared" si="1018"/>
        <v>14:44:56.902</v>
      </c>
      <c r="U2164" t="str">
        <f t="shared" si="999"/>
        <v>A9808D</v>
      </c>
      <c r="V2164">
        <v>0</v>
      </c>
      <c r="W2164">
        <v>0</v>
      </c>
      <c r="X2164">
        <v>1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0</v>
      </c>
      <c r="AI2164" t="s">
        <v>553</v>
      </c>
      <c r="AJ2164">
        <v>28.261641999999998</v>
      </c>
      <c r="AK2164" t="s">
        <v>554</v>
      </c>
      <c r="AL2164">
        <v>-82.343537999999995</v>
      </c>
      <c r="AM2164">
        <v>100</v>
      </c>
      <c r="AN2164">
        <v>2100</v>
      </c>
      <c r="AO2164" t="s">
        <v>118</v>
      </c>
      <c r="AP2164">
        <v>88</v>
      </c>
      <c r="AQ2164">
        <v>-58</v>
      </c>
      <c r="AR2164">
        <v>320</v>
      </c>
      <c r="AZ2164">
        <v>1200</v>
      </c>
      <c r="BA2164">
        <v>1</v>
      </c>
      <c r="BB2164" t="str">
        <f t="shared" si="1007"/>
        <v xml:space="preserve">N711JA  </v>
      </c>
      <c r="BC2164">
        <v>1</v>
      </c>
      <c r="BE2164">
        <v>0</v>
      </c>
      <c r="BF2164">
        <v>0</v>
      </c>
      <c r="BG2164">
        <v>0</v>
      </c>
      <c r="BH2164">
        <v>2175</v>
      </c>
      <c r="BI2164">
        <v>1</v>
      </c>
      <c r="BJ2164">
        <v>1</v>
      </c>
      <c r="BK2164">
        <v>0</v>
      </c>
      <c r="BL2164">
        <v>0</v>
      </c>
      <c r="BO2164">
        <v>0</v>
      </c>
      <c r="BP2164">
        <v>0</v>
      </c>
      <c r="BW2164" t="str">
        <f t="shared" si="1019"/>
        <v>14:44:57.104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119</v>
      </c>
      <c r="CQ2164">
        <v>56</v>
      </c>
      <c r="CR2164">
        <v>2</v>
      </c>
      <c r="CW2164">
        <v>4819797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 t="shared" ref="A2165:A2173" si="1020">"05/12/2020 14:44:40.297"</f>
        <v>05/12/2020 14:44:40.297</v>
      </c>
      <c r="C2165" t="str">
        <f t="shared" si="1006"/>
        <v>FFDFD3C0</v>
      </c>
      <c r="D2165" t="s">
        <v>138</v>
      </c>
      <c r="E2165">
        <v>2</v>
      </c>
      <c r="H2165">
        <v>8</v>
      </c>
      <c r="I2165" t="s">
        <v>139</v>
      </c>
      <c r="J2165" t="s">
        <v>136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ref="S2165:S2173" si="1021">"14:44:58.109"</f>
        <v>14:44:58.109</v>
      </c>
      <c r="T2165" t="str">
        <f t="shared" ref="T2165:T2173" si="1022">"14:44:57.909"</f>
        <v>14:44:57.909</v>
      </c>
      <c r="U2165" t="str">
        <f t="shared" si="999"/>
        <v>A9808D</v>
      </c>
      <c r="V2165">
        <v>0</v>
      </c>
      <c r="W2165">
        <v>0</v>
      </c>
      <c r="X2165">
        <v>1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0</v>
      </c>
      <c r="AI2165" t="s">
        <v>555</v>
      </c>
      <c r="AJ2165">
        <v>28.261364</v>
      </c>
      <c r="AK2165" t="s">
        <v>556</v>
      </c>
      <c r="AL2165">
        <v>-82.343065999999993</v>
      </c>
      <c r="AM2165">
        <v>100</v>
      </c>
      <c r="AN2165">
        <v>2100</v>
      </c>
      <c r="AO2165" t="s">
        <v>118</v>
      </c>
      <c r="AP2165">
        <v>89</v>
      </c>
      <c r="AQ2165">
        <v>-57</v>
      </c>
      <c r="AR2165">
        <v>320</v>
      </c>
      <c r="AZ2165">
        <v>1200</v>
      </c>
      <c r="BA2165">
        <v>1</v>
      </c>
      <c r="BB2165" t="str">
        <f t="shared" si="1007"/>
        <v xml:space="preserve">N711JA  </v>
      </c>
      <c r="BC2165">
        <v>1</v>
      </c>
      <c r="BE2165">
        <v>0</v>
      </c>
      <c r="BF2165">
        <v>0</v>
      </c>
      <c r="BG2165">
        <v>0</v>
      </c>
      <c r="BH2165">
        <v>2175</v>
      </c>
      <c r="BI2165">
        <v>1</v>
      </c>
      <c r="BJ2165">
        <v>1</v>
      </c>
      <c r="BK2165">
        <v>0</v>
      </c>
      <c r="BL2165">
        <v>0</v>
      </c>
      <c r="BO2165">
        <v>0</v>
      </c>
      <c r="BP2165">
        <v>0</v>
      </c>
      <c r="BW2165" t="str">
        <f t="shared" ref="BW2165:BW2173" si="1023">"14:44:58.116"</f>
        <v>14:44:58.116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119</v>
      </c>
      <c r="CQ2165">
        <v>56</v>
      </c>
      <c r="CR2165">
        <v>2</v>
      </c>
      <c r="CW2165">
        <v>4821071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 t="shared" si="1020"/>
        <v>05/12/2020 14:44:40.297</v>
      </c>
      <c r="C2166" t="str">
        <f t="shared" si="1006"/>
        <v>FFDFD3C0</v>
      </c>
      <c r="D2166" t="s">
        <v>126</v>
      </c>
      <c r="E2166">
        <v>7</v>
      </c>
      <c r="F2166">
        <v>1007</v>
      </c>
      <c r="G2166" t="s">
        <v>127</v>
      </c>
      <c r="J2166" t="s">
        <v>128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021"/>
        <v>14:44:58.109</v>
      </c>
      <c r="T2166" t="str">
        <f t="shared" si="1022"/>
        <v>14:44:57.909</v>
      </c>
      <c r="U2166" t="str">
        <f t="shared" si="999"/>
        <v>A9808D</v>
      </c>
      <c r="V2166">
        <v>0</v>
      </c>
      <c r="W2166">
        <v>0</v>
      </c>
      <c r="X2166">
        <v>1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0</v>
      </c>
      <c r="AI2166" t="s">
        <v>555</v>
      </c>
      <c r="AJ2166">
        <v>28.261364</v>
      </c>
      <c r="AK2166" t="s">
        <v>556</v>
      </c>
      <c r="AL2166">
        <v>-82.343065999999993</v>
      </c>
      <c r="AM2166">
        <v>100</v>
      </c>
      <c r="AN2166">
        <v>2100</v>
      </c>
      <c r="AO2166" t="s">
        <v>118</v>
      </c>
      <c r="AP2166">
        <v>89</v>
      </c>
      <c r="AQ2166">
        <v>-57</v>
      </c>
      <c r="AR2166">
        <v>320</v>
      </c>
      <c r="AZ2166">
        <v>1200</v>
      </c>
      <c r="BA2166">
        <v>1</v>
      </c>
      <c r="BB2166" t="str">
        <f t="shared" si="1007"/>
        <v xml:space="preserve">N711JA  </v>
      </c>
      <c r="BC2166">
        <v>1</v>
      </c>
      <c r="BE2166">
        <v>0</v>
      </c>
      <c r="BF2166">
        <v>0</v>
      </c>
      <c r="BG2166">
        <v>0</v>
      </c>
      <c r="BH2166">
        <v>2175</v>
      </c>
      <c r="BI2166">
        <v>1</v>
      </c>
      <c r="BJ2166">
        <v>1</v>
      </c>
      <c r="BK2166">
        <v>0</v>
      </c>
      <c r="BL2166">
        <v>0</v>
      </c>
      <c r="BO2166">
        <v>0</v>
      </c>
      <c r="BP2166">
        <v>0</v>
      </c>
      <c r="BW2166" t="str">
        <f t="shared" si="1023"/>
        <v>14:44:58.116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7</v>
      </c>
      <c r="CP2166" t="s">
        <v>119</v>
      </c>
      <c r="CQ2166">
        <v>56</v>
      </c>
      <c r="CR2166">
        <v>2</v>
      </c>
      <c r="CW2166">
        <v>4821071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 t="shared" si="1020"/>
        <v>05/12/2020 14:44:40.297</v>
      </c>
      <c r="C2167" t="str">
        <f t="shared" si="1006"/>
        <v>FFDFD3C0</v>
      </c>
      <c r="D2167" t="s">
        <v>131</v>
      </c>
      <c r="E2167">
        <v>10</v>
      </c>
      <c r="F2167">
        <v>2010</v>
      </c>
      <c r="G2167" t="s">
        <v>132</v>
      </c>
      <c r="J2167" t="s">
        <v>133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021"/>
        <v>14:44:58.109</v>
      </c>
      <c r="T2167" t="str">
        <f t="shared" si="1022"/>
        <v>14:44:57.909</v>
      </c>
      <c r="U2167" t="str">
        <f t="shared" si="999"/>
        <v>A9808D</v>
      </c>
      <c r="V2167">
        <v>0</v>
      </c>
      <c r="W2167">
        <v>0</v>
      </c>
      <c r="X2167">
        <v>1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0</v>
      </c>
      <c r="AI2167" t="s">
        <v>555</v>
      </c>
      <c r="AJ2167">
        <v>28.261364</v>
      </c>
      <c r="AK2167" t="s">
        <v>556</v>
      </c>
      <c r="AL2167">
        <v>-82.343065999999993</v>
      </c>
      <c r="AM2167">
        <v>100</v>
      </c>
      <c r="AN2167">
        <v>2100</v>
      </c>
      <c r="AO2167" t="s">
        <v>118</v>
      </c>
      <c r="AP2167">
        <v>89</v>
      </c>
      <c r="AQ2167">
        <v>-57</v>
      </c>
      <c r="AR2167">
        <v>320</v>
      </c>
      <c r="AZ2167">
        <v>1200</v>
      </c>
      <c r="BA2167">
        <v>1</v>
      </c>
      <c r="BB2167" t="str">
        <f t="shared" si="1007"/>
        <v xml:space="preserve">N711JA  </v>
      </c>
      <c r="BC2167">
        <v>1</v>
      </c>
      <c r="BE2167">
        <v>0</v>
      </c>
      <c r="BF2167">
        <v>0</v>
      </c>
      <c r="BG2167">
        <v>0</v>
      </c>
      <c r="BH2167">
        <v>2175</v>
      </c>
      <c r="BI2167">
        <v>1</v>
      </c>
      <c r="BJ2167">
        <v>1</v>
      </c>
      <c r="BK2167">
        <v>0</v>
      </c>
      <c r="BL2167">
        <v>0</v>
      </c>
      <c r="BO2167">
        <v>0</v>
      </c>
      <c r="BP2167">
        <v>0</v>
      </c>
      <c r="BW2167" t="str">
        <f t="shared" si="1023"/>
        <v>14:44:58.116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119</v>
      </c>
      <c r="CQ2167">
        <v>56</v>
      </c>
      <c r="CR2167">
        <v>2</v>
      </c>
      <c r="CW2167">
        <v>4821071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 t="shared" si="1020"/>
        <v>05/12/2020 14:44:40.297</v>
      </c>
      <c r="C2168" t="str">
        <f t="shared" si="1006"/>
        <v>FFDFD3C0</v>
      </c>
      <c r="D2168" t="s">
        <v>138</v>
      </c>
      <c r="E2168">
        <v>3</v>
      </c>
      <c r="H2168">
        <v>9</v>
      </c>
      <c r="I2168" t="s">
        <v>140</v>
      </c>
      <c r="J2168" t="s">
        <v>136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021"/>
        <v>14:44:58.109</v>
      </c>
      <c r="T2168" t="str">
        <f t="shared" si="1022"/>
        <v>14:44:57.909</v>
      </c>
      <c r="U2168" t="str">
        <f t="shared" si="999"/>
        <v>A9808D</v>
      </c>
      <c r="V2168">
        <v>0</v>
      </c>
      <c r="W2168">
        <v>0</v>
      </c>
      <c r="X2168">
        <v>1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0</v>
      </c>
      <c r="AI2168" t="s">
        <v>555</v>
      </c>
      <c r="AJ2168">
        <v>28.261364</v>
      </c>
      <c r="AK2168" t="s">
        <v>556</v>
      </c>
      <c r="AL2168">
        <v>-82.343065999999993</v>
      </c>
      <c r="AM2168">
        <v>100</v>
      </c>
      <c r="AN2168">
        <v>2100</v>
      </c>
      <c r="AO2168" t="s">
        <v>118</v>
      </c>
      <c r="AP2168">
        <v>89</v>
      </c>
      <c r="AQ2168">
        <v>-57</v>
      </c>
      <c r="AR2168">
        <v>320</v>
      </c>
      <c r="AZ2168">
        <v>1200</v>
      </c>
      <c r="BA2168">
        <v>1</v>
      </c>
      <c r="BB2168" t="str">
        <f t="shared" si="1007"/>
        <v xml:space="preserve">N711JA  </v>
      </c>
      <c r="BC2168">
        <v>1</v>
      </c>
      <c r="BE2168">
        <v>0</v>
      </c>
      <c r="BF2168">
        <v>0</v>
      </c>
      <c r="BG2168">
        <v>0</v>
      </c>
      <c r="BH2168">
        <v>2175</v>
      </c>
      <c r="BI2168">
        <v>1</v>
      </c>
      <c r="BJ2168">
        <v>1</v>
      </c>
      <c r="BK2168">
        <v>0</v>
      </c>
      <c r="BL2168">
        <v>0</v>
      </c>
      <c r="BO2168">
        <v>0</v>
      </c>
      <c r="BP2168">
        <v>0</v>
      </c>
      <c r="BW2168" t="str">
        <f t="shared" si="1023"/>
        <v>14:44:58.116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56</v>
      </c>
      <c r="CR2168">
        <v>2</v>
      </c>
      <c r="CW2168">
        <v>4821071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 t="shared" si="1020"/>
        <v>05/12/2020 14:44:40.297</v>
      </c>
      <c r="C2169" t="str">
        <f t="shared" si="1006"/>
        <v>FFDFD3C0</v>
      </c>
      <c r="D2169" t="s">
        <v>131</v>
      </c>
      <c r="E2169">
        <v>12</v>
      </c>
      <c r="F2169">
        <v>2012</v>
      </c>
      <c r="G2169" t="s">
        <v>137</v>
      </c>
      <c r="J2169" t="s">
        <v>133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021"/>
        <v>14:44:58.109</v>
      </c>
      <c r="T2169" t="str">
        <f t="shared" si="1022"/>
        <v>14:44:57.909</v>
      </c>
      <c r="U2169" t="str">
        <f t="shared" si="999"/>
        <v>A9808D</v>
      </c>
      <c r="V2169">
        <v>0</v>
      </c>
      <c r="W2169">
        <v>0</v>
      </c>
      <c r="X2169">
        <v>1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0</v>
      </c>
      <c r="AI2169" t="s">
        <v>555</v>
      </c>
      <c r="AJ2169">
        <v>28.261364</v>
      </c>
      <c r="AK2169" t="s">
        <v>556</v>
      </c>
      <c r="AL2169">
        <v>-82.343065999999993</v>
      </c>
      <c r="AM2169">
        <v>100</v>
      </c>
      <c r="AN2169">
        <v>2100</v>
      </c>
      <c r="AO2169" t="s">
        <v>118</v>
      </c>
      <c r="AP2169">
        <v>89</v>
      </c>
      <c r="AQ2169">
        <v>-57</v>
      </c>
      <c r="AR2169">
        <v>320</v>
      </c>
      <c r="AZ2169">
        <v>1200</v>
      </c>
      <c r="BA2169">
        <v>1</v>
      </c>
      <c r="BB2169" t="str">
        <f t="shared" si="1007"/>
        <v xml:space="preserve">N711JA  </v>
      </c>
      <c r="BC2169">
        <v>1</v>
      </c>
      <c r="BE2169">
        <v>0</v>
      </c>
      <c r="BF2169">
        <v>0</v>
      </c>
      <c r="BG2169">
        <v>0</v>
      </c>
      <c r="BH2169">
        <v>2175</v>
      </c>
      <c r="BI2169">
        <v>1</v>
      </c>
      <c r="BJ2169">
        <v>1</v>
      </c>
      <c r="BK2169">
        <v>0</v>
      </c>
      <c r="BL2169">
        <v>0</v>
      </c>
      <c r="BO2169">
        <v>0</v>
      </c>
      <c r="BP2169">
        <v>0</v>
      </c>
      <c r="BW2169" t="str">
        <f t="shared" si="1023"/>
        <v>14:44:58.116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7</v>
      </c>
      <c r="CP2169" t="s">
        <v>119</v>
      </c>
      <c r="CQ2169">
        <v>56</v>
      </c>
      <c r="CR2169">
        <v>2</v>
      </c>
      <c r="CW2169">
        <v>4821071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 t="shared" si="1020"/>
        <v>05/12/2020 14:44:40.297</v>
      </c>
      <c r="C2170" t="str">
        <f t="shared" si="1006"/>
        <v>FFDFD3C0</v>
      </c>
      <c r="D2170" t="s">
        <v>126</v>
      </c>
      <c r="E2170">
        <v>6</v>
      </c>
      <c r="F2170">
        <v>1006</v>
      </c>
      <c r="G2170" t="s">
        <v>114</v>
      </c>
      <c r="J2170" t="s">
        <v>128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021"/>
        <v>14:44:58.109</v>
      </c>
      <c r="T2170" t="str">
        <f t="shared" si="1022"/>
        <v>14:44:57.909</v>
      </c>
      <c r="U2170" t="str">
        <f t="shared" si="999"/>
        <v>A9808D</v>
      </c>
      <c r="V2170">
        <v>0</v>
      </c>
      <c r="W2170">
        <v>0</v>
      </c>
      <c r="X2170">
        <v>1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0</v>
      </c>
      <c r="AI2170" t="s">
        <v>555</v>
      </c>
      <c r="AJ2170">
        <v>28.261364</v>
      </c>
      <c r="AK2170" t="s">
        <v>556</v>
      </c>
      <c r="AL2170">
        <v>-82.343065999999993</v>
      </c>
      <c r="AM2170">
        <v>100</v>
      </c>
      <c r="AN2170">
        <v>2100</v>
      </c>
      <c r="AO2170" t="s">
        <v>118</v>
      </c>
      <c r="AP2170">
        <v>89</v>
      </c>
      <c r="AQ2170">
        <v>-57</v>
      </c>
      <c r="AR2170">
        <v>320</v>
      </c>
      <c r="AZ2170">
        <v>1200</v>
      </c>
      <c r="BA2170">
        <v>1</v>
      </c>
      <c r="BB2170" t="str">
        <f t="shared" si="1007"/>
        <v xml:space="preserve">N711JA  </v>
      </c>
      <c r="BC2170">
        <v>1</v>
      </c>
      <c r="BE2170">
        <v>0</v>
      </c>
      <c r="BF2170">
        <v>0</v>
      </c>
      <c r="BG2170">
        <v>0</v>
      </c>
      <c r="BH2170">
        <v>2175</v>
      </c>
      <c r="BI2170">
        <v>1</v>
      </c>
      <c r="BJ2170">
        <v>1</v>
      </c>
      <c r="BK2170">
        <v>0</v>
      </c>
      <c r="BL2170">
        <v>0</v>
      </c>
      <c r="BO2170">
        <v>0</v>
      </c>
      <c r="BP2170">
        <v>0</v>
      </c>
      <c r="BW2170" t="str">
        <f t="shared" si="1023"/>
        <v>14:44:58.116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56</v>
      </c>
      <c r="CR2170">
        <v>2</v>
      </c>
      <c r="CW2170">
        <v>4821071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 t="shared" si="1020"/>
        <v>05/12/2020 14:44:40.297</v>
      </c>
      <c r="C2171" t="str">
        <f t="shared" si="1006"/>
        <v>FFDFD3C0</v>
      </c>
      <c r="D2171" t="s">
        <v>131</v>
      </c>
      <c r="E2171">
        <v>18</v>
      </c>
      <c r="F2171">
        <v>2018</v>
      </c>
      <c r="G2171" t="s">
        <v>161</v>
      </c>
      <c r="J2171" t="s">
        <v>133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021"/>
        <v>14:44:58.109</v>
      </c>
      <c r="T2171" t="str">
        <f t="shared" si="1022"/>
        <v>14:44:57.909</v>
      </c>
      <c r="U2171" t="str">
        <f t="shared" si="999"/>
        <v>A9808D</v>
      </c>
      <c r="V2171">
        <v>0</v>
      </c>
      <c r="W2171">
        <v>0</v>
      </c>
      <c r="X2171">
        <v>1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0</v>
      </c>
      <c r="AI2171" t="s">
        <v>555</v>
      </c>
      <c r="AJ2171">
        <v>28.261364</v>
      </c>
      <c r="AK2171" t="s">
        <v>556</v>
      </c>
      <c r="AL2171">
        <v>-82.343065999999993</v>
      </c>
      <c r="AM2171">
        <v>100</v>
      </c>
      <c r="AN2171">
        <v>2100</v>
      </c>
      <c r="AO2171" t="s">
        <v>118</v>
      </c>
      <c r="AP2171">
        <v>89</v>
      </c>
      <c r="AQ2171">
        <v>-57</v>
      </c>
      <c r="AR2171">
        <v>320</v>
      </c>
      <c r="AZ2171">
        <v>1200</v>
      </c>
      <c r="BA2171">
        <v>1</v>
      </c>
      <c r="BB2171" t="str">
        <f t="shared" si="1007"/>
        <v xml:space="preserve">N711JA  </v>
      </c>
      <c r="BC2171">
        <v>1</v>
      </c>
      <c r="BE2171">
        <v>0</v>
      </c>
      <c r="BF2171">
        <v>0</v>
      </c>
      <c r="BG2171">
        <v>0</v>
      </c>
      <c r="BH2171">
        <v>2175</v>
      </c>
      <c r="BI2171">
        <v>1</v>
      </c>
      <c r="BJ2171">
        <v>1</v>
      </c>
      <c r="BK2171">
        <v>0</v>
      </c>
      <c r="BL2171">
        <v>0</v>
      </c>
      <c r="BO2171">
        <v>0</v>
      </c>
      <c r="BP2171">
        <v>0</v>
      </c>
      <c r="BW2171" t="str">
        <f t="shared" si="1023"/>
        <v>14:44:58.116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56</v>
      </c>
      <c r="CR2171">
        <v>2</v>
      </c>
      <c r="CW2171">
        <v>4821071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si="1020"/>
        <v>05/12/2020 14:44:40.297</v>
      </c>
      <c r="C2172" t="str">
        <f t="shared" si="1006"/>
        <v>FFDFD3C0</v>
      </c>
      <c r="D2172" t="s">
        <v>134</v>
      </c>
      <c r="E2172">
        <v>12</v>
      </c>
      <c r="H2172">
        <v>64</v>
      </c>
      <c r="I2172" t="s">
        <v>135</v>
      </c>
      <c r="J2172" t="s">
        <v>136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021"/>
        <v>14:44:58.109</v>
      </c>
      <c r="T2172" t="str">
        <f t="shared" si="1022"/>
        <v>14:44:57.909</v>
      </c>
      <c r="U2172" t="str">
        <f t="shared" si="999"/>
        <v>A9808D</v>
      </c>
      <c r="V2172">
        <v>0</v>
      </c>
      <c r="W2172">
        <v>0</v>
      </c>
      <c r="X2172">
        <v>1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0</v>
      </c>
      <c r="AI2172" t="s">
        <v>555</v>
      </c>
      <c r="AJ2172">
        <v>28.261364</v>
      </c>
      <c r="AK2172" t="s">
        <v>556</v>
      </c>
      <c r="AL2172">
        <v>-82.343065999999993</v>
      </c>
      <c r="AM2172">
        <v>100</v>
      </c>
      <c r="AN2172">
        <v>2100</v>
      </c>
      <c r="AO2172" t="s">
        <v>118</v>
      </c>
      <c r="AP2172">
        <v>89</v>
      </c>
      <c r="AQ2172">
        <v>-57</v>
      </c>
      <c r="AR2172">
        <v>320</v>
      </c>
      <c r="AZ2172">
        <v>1200</v>
      </c>
      <c r="BA2172">
        <v>1</v>
      </c>
      <c r="BB2172" t="str">
        <f t="shared" si="1007"/>
        <v xml:space="preserve">N711JA  </v>
      </c>
      <c r="BC2172">
        <v>1</v>
      </c>
      <c r="BE2172">
        <v>0</v>
      </c>
      <c r="BF2172">
        <v>0</v>
      </c>
      <c r="BG2172">
        <v>0</v>
      </c>
      <c r="BH2172">
        <v>2175</v>
      </c>
      <c r="BI2172">
        <v>1</v>
      </c>
      <c r="BJ2172">
        <v>1</v>
      </c>
      <c r="BK2172">
        <v>0</v>
      </c>
      <c r="BL2172">
        <v>0</v>
      </c>
      <c r="BO2172">
        <v>0</v>
      </c>
      <c r="BP2172">
        <v>0</v>
      </c>
      <c r="BW2172" t="str">
        <f t="shared" si="1023"/>
        <v>14:44:58.116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358</v>
      </c>
      <c r="CR2172">
        <v>0</v>
      </c>
      <c r="CW2172">
        <v>4802542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1020"/>
        <v>05/12/2020 14:44:40.297</v>
      </c>
      <c r="C2173" t="str">
        <f t="shared" si="1006"/>
        <v>FFDFD3C0</v>
      </c>
      <c r="D2173" t="s">
        <v>113</v>
      </c>
      <c r="E2173">
        <v>3</v>
      </c>
      <c r="H2173">
        <v>164</v>
      </c>
      <c r="I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021"/>
        <v>14:44:58.109</v>
      </c>
      <c r="T2173" t="str">
        <f t="shared" si="1022"/>
        <v>14:44:57.909</v>
      </c>
      <c r="U2173" t="str">
        <f t="shared" si="999"/>
        <v>A9808D</v>
      </c>
      <c r="V2173">
        <v>0</v>
      </c>
      <c r="W2173">
        <v>0</v>
      </c>
      <c r="X2173">
        <v>1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0</v>
      </c>
      <c r="AI2173" t="s">
        <v>555</v>
      </c>
      <c r="AJ2173">
        <v>28.261364</v>
      </c>
      <c r="AK2173" t="s">
        <v>556</v>
      </c>
      <c r="AL2173">
        <v>-82.343065999999993</v>
      </c>
      <c r="AM2173">
        <v>100</v>
      </c>
      <c r="AN2173">
        <v>2100</v>
      </c>
      <c r="AO2173" t="s">
        <v>118</v>
      </c>
      <c r="AP2173">
        <v>89</v>
      </c>
      <c r="AQ2173">
        <v>-57</v>
      </c>
      <c r="AR2173">
        <v>320</v>
      </c>
      <c r="AZ2173">
        <v>1200</v>
      </c>
      <c r="BA2173">
        <v>1</v>
      </c>
      <c r="BB2173" t="str">
        <f t="shared" si="1007"/>
        <v xml:space="preserve">N711JA  </v>
      </c>
      <c r="BC2173">
        <v>1</v>
      </c>
      <c r="BE2173">
        <v>0</v>
      </c>
      <c r="BF2173">
        <v>0</v>
      </c>
      <c r="BG2173">
        <v>0</v>
      </c>
      <c r="BH2173">
        <v>2175</v>
      </c>
      <c r="BI2173">
        <v>1</v>
      </c>
      <c r="BJ2173">
        <v>1</v>
      </c>
      <c r="BK2173">
        <v>0</v>
      </c>
      <c r="BL2173">
        <v>0</v>
      </c>
      <c r="BO2173">
        <v>0</v>
      </c>
      <c r="BP2173">
        <v>0</v>
      </c>
      <c r="BW2173" t="str">
        <f t="shared" si="1023"/>
        <v>14:44:58.116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56</v>
      </c>
      <c r="CR2173">
        <v>2</v>
      </c>
      <c r="CW2173">
        <v>4821071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ref="A2174:A2182" si="1024">"05/12/2020 14:44:41.438"</f>
        <v>05/12/2020 14:44:41.438</v>
      </c>
      <c r="C2174" t="str">
        <f t="shared" si="1006"/>
        <v>FFDFD3C0</v>
      </c>
      <c r="D2174" t="s">
        <v>134</v>
      </c>
      <c r="E2174">
        <v>12</v>
      </c>
      <c r="H2174">
        <v>64</v>
      </c>
      <c r="I2174" t="s">
        <v>135</v>
      </c>
      <c r="J2174" t="s">
        <v>136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ref="S2174:S2182" si="1025">"14:44:59.266"</f>
        <v>14:44:59.266</v>
      </c>
      <c r="T2174" t="str">
        <f t="shared" ref="T2174:T2182" si="1026">"14:44:59.066"</f>
        <v>14:44:59.066</v>
      </c>
      <c r="U2174" t="str">
        <f t="shared" si="999"/>
        <v>A9808D</v>
      </c>
      <c r="V2174">
        <v>0</v>
      </c>
      <c r="W2174">
        <v>0</v>
      </c>
      <c r="X2174">
        <v>1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0</v>
      </c>
      <c r="AI2174" t="s">
        <v>557</v>
      </c>
      <c r="AJ2174">
        <v>28.261042</v>
      </c>
      <c r="AK2174" t="s">
        <v>558</v>
      </c>
      <c r="AL2174">
        <v>-82.342485999999994</v>
      </c>
      <c r="AM2174">
        <v>100</v>
      </c>
      <c r="AN2174">
        <v>2100</v>
      </c>
      <c r="AO2174" t="s">
        <v>118</v>
      </c>
      <c r="AP2174">
        <v>89</v>
      </c>
      <c r="AQ2174">
        <v>-57</v>
      </c>
      <c r="AR2174">
        <v>384</v>
      </c>
      <c r="AZ2174">
        <v>1200</v>
      </c>
      <c r="BA2174">
        <v>1</v>
      </c>
      <c r="BB2174" t="str">
        <f t="shared" si="1007"/>
        <v xml:space="preserve">N711JA  </v>
      </c>
      <c r="BC2174">
        <v>1</v>
      </c>
      <c r="BE2174">
        <v>0</v>
      </c>
      <c r="BF2174">
        <v>0</v>
      </c>
      <c r="BG2174">
        <v>0</v>
      </c>
      <c r="BH2174">
        <v>2200</v>
      </c>
      <c r="BI2174">
        <v>1</v>
      </c>
      <c r="BJ2174">
        <v>1</v>
      </c>
      <c r="BK2174">
        <v>0</v>
      </c>
      <c r="BL2174">
        <v>0</v>
      </c>
      <c r="BO2174">
        <v>0</v>
      </c>
      <c r="BP2174">
        <v>0</v>
      </c>
      <c r="BW2174" t="str">
        <f t="shared" ref="BW2174:BW2182" si="1027">"14:44:59.271"</f>
        <v>14:44:59.271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343</v>
      </c>
      <c r="CR2174">
        <v>1</v>
      </c>
      <c r="CW2174">
        <v>10756086</v>
      </c>
      <c r="CY2174">
        <v>1</v>
      </c>
      <c r="CZ2174">
        <v>0</v>
      </c>
      <c r="DA2174">
        <v>0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1024"/>
        <v>05/12/2020 14:44:41.438</v>
      </c>
      <c r="C2175" t="str">
        <f t="shared" si="1006"/>
        <v>FFDFD3C0</v>
      </c>
      <c r="D2175" t="s">
        <v>113</v>
      </c>
      <c r="E2175">
        <v>3</v>
      </c>
      <c r="H2175">
        <v>164</v>
      </c>
      <c r="I2175" t="s">
        <v>114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025"/>
        <v>14:44:59.266</v>
      </c>
      <c r="T2175" t="str">
        <f t="shared" si="1026"/>
        <v>14:44:59.066</v>
      </c>
      <c r="U2175" t="str">
        <f t="shared" si="999"/>
        <v>A9808D</v>
      </c>
      <c r="V2175">
        <v>0</v>
      </c>
      <c r="W2175">
        <v>0</v>
      </c>
      <c r="X2175">
        <v>1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0</v>
      </c>
      <c r="AI2175" t="s">
        <v>557</v>
      </c>
      <c r="AJ2175">
        <v>28.261042</v>
      </c>
      <c r="AK2175" t="s">
        <v>558</v>
      </c>
      <c r="AL2175">
        <v>-82.342485999999994</v>
      </c>
      <c r="AM2175">
        <v>100</v>
      </c>
      <c r="AN2175">
        <v>2100</v>
      </c>
      <c r="AO2175" t="s">
        <v>118</v>
      </c>
      <c r="AP2175">
        <v>89</v>
      </c>
      <c r="AQ2175">
        <v>-57</v>
      </c>
      <c r="AR2175">
        <v>384</v>
      </c>
      <c r="AZ2175">
        <v>1200</v>
      </c>
      <c r="BA2175">
        <v>1</v>
      </c>
      <c r="BB2175" t="str">
        <f t="shared" si="1007"/>
        <v xml:space="preserve">N711JA  </v>
      </c>
      <c r="BC2175">
        <v>1</v>
      </c>
      <c r="BE2175">
        <v>0</v>
      </c>
      <c r="BF2175">
        <v>0</v>
      </c>
      <c r="BG2175">
        <v>0</v>
      </c>
      <c r="BH2175">
        <v>2200</v>
      </c>
      <c r="BI2175">
        <v>1</v>
      </c>
      <c r="BJ2175">
        <v>1</v>
      </c>
      <c r="BK2175">
        <v>0</v>
      </c>
      <c r="BL2175">
        <v>0</v>
      </c>
      <c r="BO2175">
        <v>0</v>
      </c>
      <c r="BP2175">
        <v>0</v>
      </c>
      <c r="BW2175" t="str">
        <f t="shared" si="1027"/>
        <v>14:44:59.271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343</v>
      </c>
      <c r="CR2175">
        <v>1</v>
      </c>
      <c r="CW2175">
        <v>10756086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1024"/>
        <v>05/12/2020 14:44:41.438</v>
      </c>
      <c r="C2176" t="str">
        <f t="shared" si="1006"/>
        <v>FFDFD3C0</v>
      </c>
      <c r="D2176" t="s">
        <v>138</v>
      </c>
      <c r="E2176">
        <v>2</v>
      </c>
      <c r="H2176">
        <v>8</v>
      </c>
      <c r="I2176" t="s">
        <v>139</v>
      </c>
      <c r="J2176" t="s">
        <v>136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025"/>
        <v>14:44:59.266</v>
      </c>
      <c r="T2176" t="str">
        <f t="shared" si="1026"/>
        <v>14:44:59.066</v>
      </c>
      <c r="U2176" t="str">
        <f t="shared" si="999"/>
        <v>A9808D</v>
      </c>
      <c r="V2176">
        <v>0</v>
      </c>
      <c r="W2176">
        <v>0</v>
      </c>
      <c r="X2176">
        <v>1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0</v>
      </c>
      <c r="AI2176" t="s">
        <v>557</v>
      </c>
      <c r="AJ2176">
        <v>28.261042</v>
      </c>
      <c r="AK2176" t="s">
        <v>558</v>
      </c>
      <c r="AL2176">
        <v>-82.342485999999994</v>
      </c>
      <c r="AM2176">
        <v>100</v>
      </c>
      <c r="AN2176">
        <v>2100</v>
      </c>
      <c r="AO2176" t="s">
        <v>118</v>
      </c>
      <c r="AP2176">
        <v>89</v>
      </c>
      <c r="AQ2176">
        <v>-57</v>
      </c>
      <c r="AR2176">
        <v>384</v>
      </c>
      <c r="AZ2176">
        <v>1200</v>
      </c>
      <c r="BA2176">
        <v>1</v>
      </c>
      <c r="BB2176" t="str">
        <f t="shared" si="1007"/>
        <v xml:space="preserve">N711JA  </v>
      </c>
      <c r="BC2176">
        <v>1</v>
      </c>
      <c r="BE2176">
        <v>0</v>
      </c>
      <c r="BF2176">
        <v>0</v>
      </c>
      <c r="BG2176">
        <v>0</v>
      </c>
      <c r="BH2176">
        <v>2200</v>
      </c>
      <c r="BI2176">
        <v>1</v>
      </c>
      <c r="BJ2176">
        <v>1</v>
      </c>
      <c r="BK2176">
        <v>0</v>
      </c>
      <c r="BL2176">
        <v>0</v>
      </c>
      <c r="BO2176">
        <v>0</v>
      </c>
      <c r="BP2176">
        <v>0</v>
      </c>
      <c r="BW2176" t="str">
        <f t="shared" si="1027"/>
        <v>14:44:59.271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343</v>
      </c>
      <c r="CR2176">
        <v>1</v>
      </c>
      <c r="CW2176">
        <v>10756086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si="1024"/>
        <v>05/12/2020 14:44:41.438</v>
      </c>
      <c r="C2177" t="str">
        <f t="shared" si="1006"/>
        <v>FFDFD3C0</v>
      </c>
      <c r="D2177" t="s">
        <v>126</v>
      </c>
      <c r="E2177">
        <v>7</v>
      </c>
      <c r="F2177">
        <v>1007</v>
      </c>
      <c r="G2177" t="s">
        <v>127</v>
      </c>
      <c r="J2177" t="s">
        <v>128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025"/>
        <v>14:44:59.266</v>
      </c>
      <c r="T2177" t="str">
        <f t="shared" si="1026"/>
        <v>14:44:59.066</v>
      </c>
      <c r="U2177" t="str">
        <f t="shared" si="999"/>
        <v>A9808D</v>
      </c>
      <c r="V2177">
        <v>0</v>
      </c>
      <c r="W2177">
        <v>0</v>
      </c>
      <c r="X2177">
        <v>1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0</v>
      </c>
      <c r="AI2177" t="s">
        <v>557</v>
      </c>
      <c r="AJ2177">
        <v>28.261042</v>
      </c>
      <c r="AK2177" t="s">
        <v>558</v>
      </c>
      <c r="AL2177">
        <v>-82.342485999999994</v>
      </c>
      <c r="AM2177">
        <v>100</v>
      </c>
      <c r="AN2177">
        <v>2100</v>
      </c>
      <c r="AO2177" t="s">
        <v>118</v>
      </c>
      <c r="AP2177">
        <v>89</v>
      </c>
      <c r="AQ2177">
        <v>-57</v>
      </c>
      <c r="AR2177">
        <v>384</v>
      </c>
      <c r="AZ2177">
        <v>1200</v>
      </c>
      <c r="BA2177">
        <v>1</v>
      </c>
      <c r="BB2177" t="str">
        <f t="shared" si="1007"/>
        <v xml:space="preserve">N711JA  </v>
      </c>
      <c r="BC2177">
        <v>1</v>
      </c>
      <c r="BE2177">
        <v>0</v>
      </c>
      <c r="BF2177">
        <v>0</v>
      </c>
      <c r="BG2177">
        <v>0</v>
      </c>
      <c r="BH2177">
        <v>2200</v>
      </c>
      <c r="BI2177">
        <v>1</v>
      </c>
      <c r="BJ2177">
        <v>1</v>
      </c>
      <c r="BK2177">
        <v>0</v>
      </c>
      <c r="BL2177">
        <v>0</v>
      </c>
      <c r="BO2177">
        <v>0</v>
      </c>
      <c r="BP2177">
        <v>0</v>
      </c>
      <c r="BW2177" t="str">
        <f t="shared" si="1027"/>
        <v>14:44:59.271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343</v>
      </c>
      <c r="CR2177">
        <v>1</v>
      </c>
      <c r="CW2177">
        <v>10756086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 t="shared" si="1024"/>
        <v>05/12/2020 14:44:41.438</v>
      </c>
      <c r="C2178" t="str">
        <f t="shared" si="1006"/>
        <v>FFDFD3C0</v>
      </c>
      <c r="D2178" t="s">
        <v>131</v>
      </c>
      <c r="E2178">
        <v>10</v>
      </c>
      <c r="F2178">
        <v>2010</v>
      </c>
      <c r="G2178" t="s">
        <v>132</v>
      </c>
      <c r="J2178" t="s">
        <v>133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025"/>
        <v>14:44:59.266</v>
      </c>
      <c r="T2178" t="str">
        <f t="shared" si="1026"/>
        <v>14:44:59.066</v>
      </c>
      <c r="U2178" t="str">
        <f t="shared" ref="U2178:U2241" si="1028">"A9808D"</f>
        <v>A9808D</v>
      </c>
      <c r="V2178">
        <v>0</v>
      </c>
      <c r="W2178">
        <v>0</v>
      </c>
      <c r="X2178">
        <v>1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0</v>
      </c>
      <c r="AI2178" t="s">
        <v>557</v>
      </c>
      <c r="AJ2178">
        <v>28.261042</v>
      </c>
      <c r="AK2178" t="s">
        <v>558</v>
      </c>
      <c r="AL2178">
        <v>-82.342485999999994</v>
      </c>
      <c r="AM2178">
        <v>100</v>
      </c>
      <c r="AN2178">
        <v>2100</v>
      </c>
      <c r="AO2178" t="s">
        <v>118</v>
      </c>
      <c r="AP2178">
        <v>89</v>
      </c>
      <c r="AQ2178">
        <v>-57</v>
      </c>
      <c r="AR2178">
        <v>384</v>
      </c>
      <c r="AZ2178">
        <v>1200</v>
      </c>
      <c r="BA2178">
        <v>1</v>
      </c>
      <c r="BB2178" t="str">
        <f t="shared" si="1007"/>
        <v xml:space="preserve">N711JA  </v>
      </c>
      <c r="BC2178">
        <v>1</v>
      </c>
      <c r="BE2178">
        <v>0</v>
      </c>
      <c r="BF2178">
        <v>0</v>
      </c>
      <c r="BG2178">
        <v>0</v>
      </c>
      <c r="BH2178">
        <v>2200</v>
      </c>
      <c r="BI2178">
        <v>1</v>
      </c>
      <c r="BJ2178">
        <v>1</v>
      </c>
      <c r="BK2178">
        <v>0</v>
      </c>
      <c r="BL2178">
        <v>0</v>
      </c>
      <c r="BO2178">
        <v>0</v>
      </c>
      <c r="BP2178">
        <v>0</v>
      </c>
      <c r="BW2178" t="str">
        <f t="shared" si="1027"/>
        <v>14:44:59.271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343</v>
      </c>
      <c r="CR2178">
        <v>1</v>
      </c>
      <c r="CW2178">
        <v>10756086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 t="shared" si="1024"/>
        <v>05/12/2020 14:44:41.438</v>
      </c>
      <c r="C2179" t="str">
        <f t="shared" si="1006"/>
        <v>FFDFD3C0</v>
      </c>
      <c r="D2179" t="s">
        <v>131</v>
      </c>
      <c r="E2179">
        <v>12</v>
      </c>
      <c r="F2179">
        <v>2012</v>
      </c>
      <c r="G2179" t="s">
        <v>137</v>
      </c>
      <c r="J2179" t="s">
        <v>133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025"/>
        <v>14:44:59.266</v>
      </c>
      <c r="T2179" t="str">
        <f t="shared" si="1026"/>
        <v>14:44:59.066</v>
      </c>
      <c r="U2179" t="str">
        <f t="shared" si="1028"/>
        <v>A9808D</v>
      </c>
      <c r="V2179">
        <v>0</v>
      </c>
      <c r="W2179">
        <v>0</v>
      </c>
      <c r="X2179">
        <v>1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0</v>
      </c>
      <c r="AI2179" t="s">
        <v>557</v>
      </c>
      <c r="AJ2179">
        <v>28.261042</v>
      </c>
      <c r="AK2179" t="s">
        <v>558</v>
      </c>
      <c r="AL2179">
        <v>-82.342485999999994</v>
      </c>
      <c r="AM2179">
        <v>100</v>
      </c>
      <c r="AN2179">
        <v>2100</v>
      </c>
      <c r="AO2179" t="s">
        <v>118</v>
      </c>
      <c r="AP2179">
        <v>89</v>
      </c>
      <c r="AQ2179">
        <v>-57</v>
      </c>
      <c r="AR2179">
        <v>384</v>
      </c>
      <c r="AZ2179">
        <v>1200</v>
      </c>
      <c r="BA2179">
        <v>1</v>
      </c>
      <c r="BB2179" t="str">
        <f t="shared" si="1007"/>
        <v xml:space="preserve">N711JA  </v>
      </c>
      <c r="BC2179">
        <v>1</v>
      </c>
      <c r="BE2179">
        <v>0</v>
      </c>
      <c r="BF2179">
        <v>0</v>
      </c>
      <c r="BG2179">
        <v>0</v>
      </c>
      <c r="BH2179">
        <v>2200</v>
      </c>
      <c r="BI2179">
        <v>1</v>
      </c>
      <c r="BJ2179">
        <v>1</v>
      </c>
      <c r="BK2179">
        <v>0</v>
      </c>
      <c r="BL2179">
        <v>0</v>
      </c>
      <c r="BO2179">
        <v>0</v>
      </c>
      <c r="BP2179">
        <v>0</v>
      </c>
      <c r="BW2179" t="str">
        <f t="shared" si="1027"/>
        <v>14:44:59.271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343</v>
      </c>
      <c r="CR2179">
        <v>1</v>
      </c>
      <c r="CW2179">
        <v>10756086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 t="shared" si="1024"/>
        <v>05/12/2020 14:44:41.438</v>
      </c>
      <c r="C2180" t="str">
        <f t="shared" si="1006"/>
        <v>FFDFD3C0</v>
      </c>
      <c r="D2180" t="s">
        <v>138</v>
      </c>
      <c r="E2180">
        <v>3</v>
      </c>
      <c r="H2180">
        <v>9</v>
      </c>
      <c r="I2180" t="s">
        <v>140</v>
      </c>
      <c r="J2180" t="s">
        <v>136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025"/>
        <v>14:44:59.266</v>
      </c>
      <c r="T2180" t="str">
        <f t="shared" si="1026"/>
        <v>14:44:59.066</v>
      </c>
      <c r="U2180" t="str">
        <f t="shared" si="1028"/>
        <v>A9808D</v>
      </c>
      <c r="V2180">
        <v>0</v>
      </c>
      <c r="W2180">
        <v>0</v>
      </c>
      <c r="X2180">
        <v>1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0</v>
      </c>
      <c r="AI2180" t="s">
        <v>557</v>
      </c>
      <c r="AJ2180">
        <v>28.261042</v>
      </c>
      <c r="AK2180" t="s">
        <v>558</v>
      </c>
      <c r="AL2180">
        <v>-82.342485999999994</v>
      </c>
      <c r="AM2180">
        <v>100</v>
      </c>
      <c r="AN2180">
        <v>2100</v>
      </c>
      <c r="AO2180" t="s">
        <v>118</v>
      </c>
      <c r="AP2180">
        <v>89</v>
      </c>
      <c r="AQ2180">
        <v>-57</v>
      </c>
      <c r="AR2180">
        <v>384</v>
      </c>
      <c r="AZ2180">
        <v>1200</v>
      </c>
      <c r="BA2180">
        <v>1</v>
      </c>
      <c r="BB2180" t="str">
        <f t="shared" si="1007"/>
        <v xml:space="preserve">N711JA  </v>
      </c>
      <c r="BC2180">
        <v>1</v>
      </c>
      <c r="BE2180">
        <v>0</v>
      </c>
      <c r="BF2180">
        <v>0</v>
      </c>
      <c r="BG2180">
        <v>0</v>
      </c>
      <c r="BH2180">
        <v>2200</v>
      </c>
      <c r="BI2180">
        <v>1</v>
      </c>
      <c r="BJ2180">
        <v>1</v>
      </c>
      <c r="BK2180">
        <v>0</v>
      </c>
      <c r="BL2180">
        <v>0</v>
      </c>
      <c r="BO2180">
        <v>0</v>
      </c>
      <c r="BP2180">
        <v>0</v>
      </c>
      <c r="BW2180" t="str">
        <f t="shared" si="1027"/>
        <v>14:44:59.271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343</v>
      </c>
      <c r="CR2180">
        <v>1</v>
      </c>
      <c r="CW2180">
        <v>10756086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 t="shared" si="1024"/>
        <v>05/12/2020 14:44:41.438</v>
      </c>
      <c r="C2181" t="str">
        <f t="shared" si="1006"/>
        <v>FFDFD3C0</v>
      </c>
      <c r="D2181" t="s">
        <v>126</v>
      </c>
      <c r="E2181">
        <v>6</v>
      </c>
      <c r="F2181">
        <v>1006</v>
      </c>
      <c r="G2181" t="s">
        <v>114</v>
      </c>
      <c r="J2181" t="s">
        <v>128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025"/>
        <v>14:44:59.266</v>
      </c>
      <c r="T2181" t="str">
        <f t="shared" si="1026"/>
        <v>14:44:59.066</v>
      </c>
      <c r="U2181" t="str">
        <f t="shared" si="1028"/>
        <v>A9808D</v>
      </c>
      <c r="V2181">
        <v>0</v>
      </c>
      <c r="W2181">
        <v>0</v>
      </c>
      <c r="X2181">
        <v>1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0</v>
      </c>
      <c r="AI2181" t="s">
        <v>557</v>
      </c>
      <c r="AJ2181">
        <v>28.261042</v>
      </c>
      <c r="AK2181" t="s">
        <v>558</v>
      </c>
      <c r="AL2181">
        <v>-82.342485999999994</v>
      </c>
      <c r="AM2181">
        <v>100</v>
      </c>
      <c r="AN2181">
        <v>2100</v>
      </c>
      <c r="AO2181" t="s">
        <v>118</v>
      </c>
      <c r="AP2181">
        <v>89</v>
      </c>
      <c r="AQ2181">
        <v>-57</v>
      </c>
      <c r="AR2181">
        <v>384</v>
      </c>
      <c r="AZ2181">
        <v>1200</v>
      </c>
      <c r="BA2181">
        <v>1</v>
      </c>
      <c r="BB2181" t="str">
        <f t="shared" si="1007"/>
        <v xml:space="preserve">N711JA  </v>
      </c>
      <c r="BC2181">
        <v>1</v>
      </c>
      <c r="BE2181">
        <v>0</v>
      </c>
      <c r="BF2181">
        <v>0</v>
      </c>
      <c r="BG2181">
        <v>0</v>
      </c>
      <c r="BH2181">
        <v>2200</v>
      </c>
      <c r="BI2181">
        <v>1</v>
      </c>
      <c r="BJ2181">
        <v>1</v>
      </c>
      <c r="BK2181">
        <v>0</v>
      </c>
      <c r="BL2181">
        <v>0</v>
      </c>
      <c r="BO2181">
        <v>0</v>
      </c>
      <c r="BP2181">
        <v>0</v>
      </c>
      <c r="BW2181" t="str">
        <f t="shared" si="1027"/>
        <v>14:44:59.271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343</v>
      </c>
      <c r="CR2181">
        <v>1</v>
      </c>
      <c r="CW2181">
        <v>10756086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 t="shared" si="1024"/>
        <v>05/12/2020 14:44:41.438</v>
      </c>
      <c r="C2182" t="str">
        <f t="shared" si="1006"/>
        <v>FFDFD3C0</v>
      </c>
      <c r="D2182" t="s">
        <v>131</v>
      </c>
      <c r="E2182">
        <v>18</v>
      </c>
      <c r="F2182">
        <v>2018</v>
      </c>
      <c r="G2182" t="s">
        <v>161</v>
      </c>
      <c r="J2182" t="s">
        <v>133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025"/>
        <v>14:44:59.266</v>
      </c>
      <c r="T2182" t="str">
        <f t="shared" si="1026"/>
        <v>14:44:59.066</v>
      </c>
      <c r="U2182" t="str">
        <f t="shared" si="1028"/>
        <v>A9808D</v>
      </c>
      <c r="V2182">
        <v>0</v>
      </c>
      <c r="W2182">
        <v>0</v>
      </c>
      <c r="X2182">
        <v>1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0</v>
      </c>
      <c r="AI2182" t="s">
        <v>557</v>
      </c>
      <c r="AJ2182">
        <v>28.261042</v>
      </c>
      <c r="AK2182" t="s">
        <v>558</v>
      </c>
      <c r="AL2182">
        <v>-82.342485999999994</v>
      </c>
      <c r="AM2182">
        <v>100</v>
      </c>
      <c r="AN2182">
        <v>2100</v>
      </c>
      <c r="AO2182" t="s">
        <v>118</v>
      </c>
      <c r="AP2182">
        <v>89</v>
      </c>
      <c r="AQ2182">
        <v>-57</v>
      </c>
      <c r="AR2182">
        <v>384</v>
      </c>
      <c r="AZ2182">
        <v>1200</v>
      </c>
      <c r="BA2182">
        <v>1</v>
      </c>
      <c r="BB2182" t="str">
        <f t="shared" si="1007"/>
        <v xml:space="preserve">N711JA  </v>
      </c>
      <c r="BC2182">
        <v>1</v>
      </c>
      <c r="BE2182">
        <v>0</v>
      </c>
      <c r="BF2182">
        <v>0</v>
      </c>
      <c r="BG2182">
        <v>0</v>
      </c>
      <c r="BH2182">
        <v>2200</v>
      </c>
      <c r="BI2182">
        <v>1</v>
      </c>
      <c r="BJ2182">
        <v>1</v>
      </c>
      <c r="BK2182">
        <v>0</v>
      </c>
      <c r="BL2182">
        <v>0</v>
      </c>
      <c r="BO2182">
        <v>0</v>
      </c>
      <c r="BP2182">
        <v>0</v>
      </c>
      <c r="BW2182" t="str">
        <f t="shared" si="1027"/>
        <v>14:44:59.271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343</v>
      </c>
      <c r="CR2182">
        <v>1</v>
      </c>
      <c r="CW2182">
        <v>10756086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 t="shared" ref="A2183:A2191" si="1029">"05/12/2020 14:44:42.451"</f>
        <v>05/12/2020 14:44:42.451</v>
      </c>
      <c r="C2183" t="str">
        <f t="shared" si="1006"/>
        <v>FFDFD3C0</v>
      </c>
      <c r="D2183" t="s">
        <v>113</v>
      </c>
      <c r="E2183">
        <v>3</v>
      </c>
      <c r="H2183">
        <v>164</v>
      </c>
      <c r="I2183" t="s">
        <v>114</v>
      </c>
      <c r="J2183" t="s">
        <v>115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ref="S2183:S2191" si="1030">"14:45:00.273"</f>
        <v>14:45:00.273</v>
      </c>
      <c r="T2183" t="str">
        <f t="shared" ref="T2183:T2191" si="1031">"14:45:00.073"</f>
        <v>14:45:00.073</v>
      </c>
      <c r="U2183" t="str">
        <f t="shared" si="1028"/>
        <v>A9808D</v>
      </c>
      <c r="V2183">
        <v>0</v>
      </c>
      <c r="W2183">
        <v>0</v>
      </c>
      <c r="X2183">
        <v>1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0</v>
      </c>
      <c r="AI2183" t="s">
        <v>559</v>
      </c>
      <c r="AJ2183">
        <v>28.260763000000001</v>
      </c>
      <c r="AK2183" t="s">
        <v>560</v>
      </c>
      <c r="AL2183">
        <v>-82.341993000000002</v>
      </c>
      <c r="AM2183">
        <v>100</v>
      </c>
      <c r="AN2183">
        <v>2100</v>
      </c>
      <c r="AO2183" t="s">
        <v>118</v>
      </c>
      <c r="AP2183">
        <v>90</v>
      </c>
      <c r="AQ2183">
        <v>-56</v>
      </c>
      <c r="AR2183">
        <v>384</v>
      </c>
      <c r="AZ2183">
        <v>1200</v>
      </c>
      <c r="BA2183">
        <v>1</v>
      </c>
      <c r="BB2183" t="str">
        <f t="shared" si="1007"/>
        <v xml:space="preserve">N711JA  </v>
      </c>
      <c r="BC2183">
        <v>1</v>
      </c>
      <c r="BE2183">
        <v>0</v>
      </c>
      <c r="BF2183">
        <v>0</v>
      </c>
      <c r="BG2183">
        <v>0</v>
      </c>
      <c r="BH2183">
        <v>2200</v>
      </c>
      <c r="BI2183">
        <v>1</v>
      </c>
      <c r="BJ2183">
        <v>1</v>
      </c>
      <c r="BK2183">
        <v>0</v>
      </c>
      <c r="BL2183">
        <v>0</v>
      </c>
      <c r="BO2183">
        <v>0</v>
      </c>
      <c r="BP2183">
        <v>0</v>
      </c>
      <c r="BW2183" t="str">
        <f t="shared" ref="BW2183:BW2191" si="1032">"14:45:00.281"</f>
        <v>14:45:00.281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56</v>
      </c>
      <c r="CR2183">
        <v>2</v>
      </c>
      <c r="CW2183">
        <v>4823850</v>
      </c>
      <c r="CY2183">
        <v>1</v>
      </c>
      <c r="CZ2183">
        <v>0</v>
      </c>
      <c r="DA2183">
        <v>0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 t="shared" si="1029"/>
        <v>05/12/2020 14:44:42.451</v>
      </c>
      <c r="C2184" t="str">
        <f t="shared" si="1006"/>
        <v>FFDFD3C0</v>
      </c>
      <c r="D2184" t="s">
        <v>134</v>
      </c>
      <c r="E2184">
        <v>12</v>
      </c>
      <c r="H2184">
        <v>64</v>
      </c>
      <c r="I2184" t="s">
        <v>135</v>
      </c>
      <c r="J2184" t="s">
        <v>136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030"/>
        <v>14:45:00.273</v>
      </c>
      <c r="T2184" t="str">
        <f t="shared" si="1031"/>
        <v>14:45:00.073</v>
      </c>
      <c r="U2184" t="str">
        <f t="shared" si="1028"/>
        <v>A9808D</v>
      </c>
      <c r="V2184">
        <v>0</v>
      </c>
      <c r="W2184">
        <v>0</v>
      </c>
      <c r="X2184">
        <v>1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0</v>
      </c>
      <c r="AI2184" t="s">
        <v>559</v>
      </c>
      <c r="AJ2184">
        <v>28.260763000000001</v>
      </c>
      <c r="AK2184" t="s">
        <v>560</v>
      </c>
      <c r="AL2184">
        <v>-82.341993000000002</v>
      </c>
      <c r="AM2184">
        <v>100</v>
      </c>
      <c r="AN2184">
        <v>2100</v>
      </c>
      <c r="AO2184" t="s">
        <v>118</v>
      </c>
      <c r="AP2184">
        <v>90</v>
      </c>
      <c r="AQ2184">
        <v>-56</v>
      </c>
      <c r="AR2184">
        <v>384</v>
      </c>
      <c r="AZ2184">
        <v>1200</v>
      </c>
      <c r="BA2184">
        <v>1</v>
      </c>
      <c r="BB2184" t="str">
        <f t="shared" si="1007"/>
        <v xml:space="preserve">N711JA  </v>
      </c>
      <c r="BC2184">
        <v>1</v>
      </c>
      <c r="BE2184">
        <v>0</v>
      </c>
      <c r="BF2184">
        <v>0</v>
      </c>
      <c r="BG2184">
        <v>0</v>
      </c>
      <c r="BH2184">
        <v>2200</v>
      </c>
      <c r="BI2184">
        <v>1</v>
      </c>
      <c r="BJ2184">
        <v>1</v>
      </c>
      <c r="BK2184">
        <v>0</v>
      </c>
      <c r="BL2184">
        <v>0</v>
      </c>
      <c r="BO2184">
        <v>0</v>
      </c>
      <c r="BP2184">
        <v>0</v>
      </c>
      <c r="BW2184" t="str">
        <f t="shared" si="1032"/>
        <v>14:45:00.281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358</v>
      </c>
      <c r="CR2184">
        <v>0</v>
      </c>
      <c r="CW2184">
        <v>4805237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 t="shared" si="1029"/>
        <v>05/12/2020 14:44:42.451</v>
      </c>
      <c r="C2185" t="str">
        <f t="shared" si="1006"/>
        <v>FFDFD3C0</v>
      </c>
      <c r="D2185" t="s">
        <v>126</v>
      </c>
      <c r="E2185">
        <v>7</v>
      </c>
      <c r="F2185">
        <v>1007</v>
      </c>
      <c r="G2185" t="s">
        <v>127</v>
      </c>
      <c r="J2185" t="s">
        <v>128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030"/>
        <v>14:45:00.273</v>
      </c>
      <c r="T2185" t="str">
        <f t="shared" si="1031"/>
        <v>14:45:00.073</v>
      </c>
      <c r="U2185" t="str">
        <f t="shared" si="1028"/>
        <v>A9808D</v>
      </c>
      <c r="V2185">
        <v>0</v>
      </c>
      <c r="W2185">
        <v>0</v>
      </c>
      <c r="X2185">
        <v>1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0</v>
      </c>
      <c r="AI2185" t="s">
        <v>559</v>
      </c>
      <c r="AJ2185">
        <v>28.260763000000001</v>
      </c>
      <c r="AK2185" t="s">
        <v>560</v>
      </c>
      <c r="AL2185">
        <v>-82.341993000000002</v>
      </c>
      <c r="AM2185">
        <v>100</v>
      </c>
      <c r="AN2185">
        <v>2100</v>
      </c>
      <c r="AO2185" t="s">
        <v>118</v>
      </c>
      <c r="AP2185">
        <v>90</v>
      </c>
      <c r="AQ2185">
        <v>-56</v>
      </c>
      <c r="AR2185">
        <v>384</v>
      </c>
      <c r="AZ2185">
        <v>1200</v>
      </c>
      <c r="BA2185">
        <v>1</v>
      </c>
      <c r="BB2185" t="str">
        <f t="shared" si="1007"/>
        <v xml:space="preserve">N711JA  </v>
      </c>
      <c r="BC2185">
        <v>1</v>
      </c>
      <c r="BE2185">
        <v>0</v>
      </c>
      <c r="BF2185">
        <v>0</v>
      </c>
      <c r="BG2185">
        <v>0</v>
      </c>
      <c r="BH2185">
        <v>2200</v>
      </c>
      <c r="BI2185">
        <v>1</v>
      </c>
      <c r="BJ2185">
        <v>1</v>
      </c>
      <c r="BK2185">
        <v>0</v>
      </c>
      <c r="BL2185">
        <v>0</v>
      </c>
      <c r="BO2185">
        <v>0</v>
      </c>
      <c r="BP2185">
        <v>0</v>
      </c>
      <c r="BW2185" t="str">
        <f t="shared" si="1032"/>
        <v>14:45:00.281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56</v>
      </c>
      <c r="CR2185">
        <v>2</v>
      </c>
      <c r="CW2185">
        <v>4823850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si="1029"/>
        <v>05/12/2020 14:44:42.451</v>
      </c>
      <c r="C2186" t="str">
        <f t="shared" si="1006"/>
        <v>FFDFD3C0</v>
      </c>
      <c r="D2186" t="s">
        <v>131</v>
      </c>
      <c r="E2186">
        <v>10</v>
      </c>
      <c r="F2186">
        <v>2010</v>
      </c>
      <c r="G2186" t="s">
        <v>132</v>
      </c>
      <c r="J2186" t="s">
        <v>133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030"/>
        <v>14:45:00.273</v>
      </c>
      <c r="T2186" t="str">
        <f t="shared" si="1031"/>
        <v>14:45:00.073</v>
      </c>
      <c r="U2186" t="str">
        <f t="shared" si="1028"/>
        <v>A9808D</v>
      </c>
      <c r="V2186">
        <v>0</v>
      </c>
      <c r="W2186">
        <v>0</v>
      </c>
      <c r="X2186">
        <v>1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0</v>
      </c>
      <c r="AI2186" t="s">
        <v>559</v>
      </c>
      <c r="AJ2186">
        <v>28.260763000000001</v>
      </c>
      <c r="AK2186" t="s">
        <v>560</v>
      </c>
      <c r="AL2186">
        <v>-82.341993000000002</v>
      </c>
      <c r="AM2186">
        <v>100</v>
      </c>
      <c r="AN2186">
        <v>2100</v>
      </c>
      <c r="AO2186" t="s">
        <v>118</v>
      </c>
      <c r="AP2186">
        <v>90</v>
      </c>
      <c r="AQ2186">
        <v>-56</v>
      </c>
      <c r="AR2186">
        <v>384</v>
      </c>
      <c r="AZ2186">
        <v>1200</v>
      </c>
      <c r="BA2186">
        <v>1</v>
      </c>
      <c r="BB2186" t="str">
        <f t="shared" si="1007"/>
        <v xml:space="preserve">N711JA  </v>
      </c>
      <c r="BC2186">
        <v>1</v>
      </c>
      <c r="BE2186">
        <v>0</v>
      </c>
      <c r="BF2186">
        <v>0</v>
      </c>
      <c r="BG2186">
        <v>0</v>
      </c>
      <c r="BH2186">
        <v>2200</v>
      </c>
      <c r="BI2186">
        <v>1</v>
      </c>
      <c r="BJ2186">
        <v>1</v>
      </c>
      <c r="BK2186">
        <v>0</v>
      </c>
      <c r="BL2186">
        <v>0</v>
      </c>
      <c r="BO2186">
        <v>0</v>
      </c>
      <c r="BP2186">
        <v>0</v>
      </c>
      <c r="BW2186" t="str">
        <f t="shared" si="1032"/>
        <v>14:45:00.281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56</v>
      </c>
      <c r="CR2186">
        <v>2</v>
      </c>
      <c r="CW2186">
        <v>4823850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1029"/>
        <v>05/12/2020 14:44:42.451</v>
      </c>
      <c r="C2187" t="str">
        <f t="shared" si="1006"/>
        <v>FFDFD3C0</v>
      </c>
      <c r="D2187" t="s">
        <v>126</v>
      </c>
      <c r="E2187">
        <v>6</v>
      </c>
      <c r="F2187">
        <v>1006</v>
      </c>
      <c r="G2187" t="s">
        <v>114</v>
      </c>
      <c r="J2187" t="s">
        <v>128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030"/>
        <v>14:45:00.273</v>
      </c>
      <c r="T2187" t="str">
        <f t="shared" si="1031"/>
        <v>14:45:00.073</v>
      </c>
      <c r="U2187" t="str">
        <f t="shared" si="1028"/>
        <v>A9808D</v>
      </c>
      <c r="V2187">
        <v>0</v>
      </c>
      <c r="W2187">
        <v>0</v>
      </c>
      <c r="X2187">
        <v>1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0</v>
      </c>
      <c r="AI2187" t="s">
        <v>559</v>
      </c>
      <c r="AJ2187">
        <v>28.260763000000001</v>
      </c>
      <c r="AK2187" t="s">
        <v>560</v>
      </c>
      <c r="AL2187">
        <v>-82.341993000000002</v>
      </c>
      <c r="AM2187">
        <v>100</v>
      </c>
      <c r="AN2187">
        <v>2100</v>
      </c>
      <c r="AO2187" t="s">
        <v>118</v>
      </c>
      <c r="AP2187">
        <v>90</v>
      </c>
      <c r="AQ2187">
        <v>-56</v>
      </c>
      <c r="AR2187">
        <v>384</v>
      </c>
      <c r="AZ2187">
        <v>1200</v>
      </c>
      <c r="BA2187">
        <v>1</v>
      </c>
      <c r="BB2187" t="str">
        <f t="shared" si="1007"/>
        <v xml:space="preserve">N711JA  </v>
      </c>
      <c r="BC2187">
        <v>1</v>
      </c>
      <c r="BE2187">
        <v>0</v>
      </c>
      <c r="BF2187">
        <v>0</v>
      </c>
      <c r="BG2187">
        <v>0</v>
      </c>
      <c r="BH2187">
        <v>2200</v>
      </c>
      <c r="BI2187">
        <v>1</v>
      </c>
      <c r="BJ2187">
        <v>1</v>
      </c>
      <c r="BK2187">
        <v>0</v>
      </c>
      <c r="BL2187">
        <v>0</v>
      </c>
      <c r="BO2187">
        <v>0</v>
      </c>
      <c r="BP2187">
        <v>0</v>
      </c>
      <c r="BW2187" t="str">
        <f t="shared" si="1032"/>
        <v>14:45:00.281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56</v>
      </c>
      <c r="CR2187">
        <v>2</v>
      </c>
      <c r="CW2187">
        <v>4823850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1029"/>
        <v>05/12/2020 14:44:42.451</v>
      </c>
      <c r="C2188" t="str">
        <f t="shared" si="1006"/>
        <v>FFDFD3C0</v>
      </c>
      <c r="D2188" t="s">
        <v>138</v>
      </c>
      <c r="E2188">
        <v>2</v>
      </c>
      <c r="H2188">
        <v>8</v>
      </c>
      <c r="I2188" t="s">
        <v>139</v>
      </c>
      <c r="J2188" t="s">
        <v>136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030"/>
        <v>14:45:00.273</v>
      </c>
      <c r="T2188" t="str">
        <f t="shared" si="1031"/>
        <v>14:45:00.073</v>
      </c>
      <c r="U2188" t="str">
        <f t="shared" si="1028"/>
        <v>A9808D</v>
      </c>
      <c r="V2188">
        <v>0</v>
      </c>
      <c r="W2188">
        <v>0</v>
      </c>
      <c r="X2188">
        <v>1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0</v>
      </c>
      <c r="AI2188" t="s">
        <v>559</v>
      </c>
      <c r="AJ2188">
        <v>28.260763000000001</v>
      </c>
      <c r="AK2188" t="s">
        <v>560</v>
      </c>
      <c r="AL2188">
        <v>-82.341993000000002</v>
      </c>
      <c r="AM2188">
        <v>100</v>
      </c>
      <c r="AN2188">
        <v>2100</v>
      </c>
      <c r="AO2188" t="s">
        <v>118</v>
      </c>
      <c r="AP2188">
        <v>90</v>
      </c>
      <c r="AQ2188">
        <v>-56</v>
      </c>
      <c r="AR2188">
        <v>384</v>
      </c>
      <c r="AZ2188">
        <v>1200</v>
      </c>
      <c r="BA2188">
        <v>1</v>
      </c>
      <c r="BB2188" t="str">
        <f t="shared" si="1007"/>
        <v xml:space="preserve">N711JA  </v>
      </c>
      <c r="BC2188">
        <v>1</v>
      </c>
      <c r="BE2188">
        <v>0</v>
      </c>
      <c r="BF2188">
        <v>0</v>
      </c>
      <c r="BG2188">
        <v>0</v>
      </c>
      <c r="BH2188">
        <v>2200</v>
      </c>
      <c r="BI2188">
        <v>1</v>
      </c>
      <c r="BJ2188">
        <v>1</v>
      </c>
      <c r="BK2188">
        <v>0</v>
      </c>
      <c r="BL2188">
        <v>0</v>
      </c>
      <c r="BO2188">
        <v>0</v>
      </c>
      <c r="BP2188">
        <v>0</v>
      </c>
      <c r="BW2188" t="str">
        <f t="shared" si="1032"/>
        <v>14:45:00.281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56</v>
      </c>
      <c r="CR2188">
        <v>2</v>
      </c>
      <c r="CW2188">
        <v>4823850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si="1029"/>
        <v>05/12/2020 14:44:42.451</v>
      </c>
      <c r="C2189" t="str">
        <f t="shared" si="1006"/>
        <v>FFDFD3C0</v>
      </c>
      <c r="D2189" t="s">
        <v>131</v>
      </c>
      <c r="E2189">
        <v>18</v>
      </c>
      <c r="F2189">
        <v>2018</v>
      </c>
      <c r="G2189" t="s">
        <v>161</v>
      </c>
      <c r="J2189" t="s">
        <v>133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030"/>
        <v>14:45:00.273</v>
      </c>
      <c r="T2189" t="str">
        <f t="shared" si="1031"/>
        <v>14:45:00.073</v>
      </c>
      <c r="U2189" t="str">
        <f t="shared" si="1028"/>
        <v>A9808D</v>
      </c>
      <c r="V2189">
        <v>0</v>
      </c>
      <c r="W2189">
        <v>0</v>
      </c>
      <c r="X2189">
        <v>1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0</v>
      </c>
      <c r="AI2189" t="s">
        <v>559</v>
      </c>
      <c r="AJ2189">
        <v>28.260763000000001</v>
      </c>
      <c r="AK2189" t="s">
        <v>560</v>
      </c>
      <c r="AL2189">
        <v>-82.341993000000002</v>
      </c>
      <c r="AM2189">
        <v>100</v>
      </c>
      <c r="AN2189">
        <v>2100</v>
      </c>
      <c r="AO2189" t="s">
        <v>118</v>
      </c>
      <c r="AP2189">
        <v>90</v>
      </c>
      <c r="AQ2189">
        <v>-56</v>
      </c>
      <c r="AR2189">
        <v>384</v>
      </c>
      <c r="AZ2189">
        <v>1200</v>
      </c>
      <c r="BA2189">
        <v>1</v>
      </c>
      <c r="BB2189" t="str">
        <f t="shared" si="1007"/>
        <v xml:space="preserve">N711JA  </v>
      </c>
      <c r="BC2189">
        <v>1</v>
      </c>
      <c r="BE2189">
        <v>0</v>
      </c>
      <c r="BF2189">
        <v>0</v>
      </c>
      <c r="BG2189">
        <v>0</v>
      </c>
      <c r="BH2189">
        <v>2200</v>
      </c>
      <c r="BI2189">
        <v>1</v>
      </c>
      <c r="BJ2189">
        <v>1</v>
      </c>
      <c r="BK2189">
        <v>0</v>
      </c>
      <c r="BL2189">
        <v>0</v>
      </c>
      <c r="BO2189">
        <v>0</v>
      </c>
      <c r="BP2189">
        <v>0</v>
      </c>
      <c r="BW2189" t="str">
        <f t="shared" si="1032"/>
        <v>14:45:00.281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56</v>
      </c>
      <c r="CR2189">
        <v>2</v>
      </c>
      <c r="CW2189">
        <v>4823850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 t="shared" si="1029"/>
        <v>05/12/2020 14:44:42.451</v>
      </c>
      <c r="C2190" t="str">
        <f t="shared" si="1006"/>
        <v>FFDFD3C0</v>
      </c>
      <c r="D2190" t="s">
        <v>131</v>
      </c>
      <c r="E2190">
        <v>12</v>
      </c>
      <c r="F2190">
        <v>2012</v>
      </c>
      <c r="G2190" t="s">
        <v>137</v>
      </c>
      <c r="J2190" t="s">
        <v>133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030"/>
        <v>14:45:00.273</v>
      </c>
      <c r="T2190" t="str">
        <f t="shared" si="1031"/>
        <v>14:45:00.073</v>
      </c>
      <c r="U2190" t="str">
        <f t="shared" si="1028"/>
        <v>A9808D</v>
      </c>
      <c r="V2190">
        <v>0</v>
      </c>
      <c r="W2190">
        <v>0</v>
      </c>
      <c r="X2190">
        <v>1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0</v>
      </c>
      <c r="AI2190" t="s">
        <v>559</v>
      </c>
      <c r="AJ2190">
        <v>28.260763000000001</v>
      </c>
      <c r="AK2190" t="s">
        <v>560</v>
      </c>
      <c r="AL2190">
        <v>-82.341993000000002</v>
      </c>
      <c r="AM2190">
        <v>100</v>
      </c>
      <c r="AN2190">
        <v>2100</v>
      </c>
      <c r="AO2190" t="s">
        <v>118</v>
      </c>
      <c r="AP2190">
        <v>90</v>
      </c>
      <c r="AQ2190">
        <v>-56</v>
      </c>
      <c r="AR2190">
        <v>384</v>
      </c>
      <c r="AZ2190">
        <v>1200</v>
      </c>
      <c r="BA2190">
        <v>1</v>
      </c>
      <c r="BB2190" t="str">
        <f t="shared" si="1007"/>
        <v xml:space="preserve">N711JA  </v>
      </c>
      <c r="BC2190">
        <v>1</v>
      </c>
      <c r="BE2190">
        <v>0</v>
      </c>
      <c r="BF2190">
        <v>0</v>
      </c>
      <c r="BG2190">
        <v>0</v>
      </c>
      <c r="BH2190">
        <v>2200</v>
      </c>
      <c r="BI2190">
        <v>1</v>
      </c>
      <c r="BJ2190">
        <v>1</v>
      </c>
      <c r="BK2190">
        <v>0</v>
      </c>
      <c r="BL2190">
        <v>0</v>
      </c>
      <c r="BO2190">
        <v>0</v>
      </c>
      <c r="BP2190">
        <v>0</v>
      </c>
      <c r="BW2190" t="str">
        <f t="shared" si="1032"/>
        <v>14:45:00.281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56</v>
      </c>
      <c r="CR2190">
        <v>2</v>
      </c>
      <c r="CW2190">
        <v>4823850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 t="shared" si="1029"/>
        <v>05/12/2020 14:44:42.451</v>
      </c>
      <c r="C2191" t="str">
        <f t="shared" si="1006"/>
        <v>FFDFD3C0</v>
      </c>
      <c r="D2191" t="s">
        <v>138</v>
      </c>
      <c r="E2191">
        <v>3</v>
      </c>
      <c r="H2191">
        <v>9</v>
      </c>
      <c r="I2191" t="s">
        <v>140</v>
      </c>
      <c r="J2191" t="s">
        <v>136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030"/>
        <v>14:45:00.273</v>
      </c>
      <c r="T2191" t="str">
        <f t="shared" si="1031"/>
        <v>14:45:00.073</v>
      </c>
      <c r="U2191" t="str">
        <f t="shared" si="1028"/>
        <v>A9808D</v>
      </c>
      <c r="V2191">
        <v>0</v>
      </c>
      <c r="W2191">
        <v>0</v>
      </c>
      <c r="X2191">
        <v>1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0</v>
      </c>
      <c r="AI2191" t="s">
        <v>559</v>
      </c>
      <c r="AJ2191">
        <v>28.260763000000001</v>
      </c>
      <c r="AK2191" t="s">
        <v>560</v>
      </c>
      <c r="AL2191">
        <v>-82.341993000000002</v>
      </c>
      <c r="AM2191">
        <v>100</v>
      </c>
      <c r="AN2191">
        <v>2100</v>
      </c>
      <c r="AO2191" t="s">
        <v>118</v>
      </c>
      <c r="AP2191">
        <v>90</v>
      </c>
      <c r="AQ2191">
        <v>-56</v>
      </c>
      <c r="AR2191">
        <v>384</v>
      </c>
      <c r="AZ2191">
        <v>1200</v>
      </c>
      <c r="BA2191">
        <v>1</v>
      </c>
      <c r="BB2191" t="str">
        <f t="shared" si="1007"/>
        <v xml:space="preserve">N711JA  </v>
      </c>
      <c r="BC2191">
        <v>1</v>
      </c>
      <c r="BE2191">
        <v>0</v>
      </c>
      <c r="BF2191">
        <v>0</v>
      </c>
      <c r="BG2191">
        <v>0</v>
      </c>
      <c r="BH2191">
        <v>2200</v>
      </c>
      <c r="BI2191">
        <v>1</v>
      </c>
      <c r="BJ2191">
        <v>1</v>
      </c>
      <c r="BK2191">
        <v>0</v>
      </c>
      <c r="BL2191">
        <v>0</v>
      </c>
      <c r="BO2191">
        <v>0</v>
      </c>
      <c r="BP2191">
        <v>0</v>
      </c>
      <c r="BW2191" t="str">
        <f t="shared" si="1032"/>
        <v>14:45:00.281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56</v>
      </c>
      <c r="CR2191">
        <v>2</v>
      </c>
      <c r="CW2191">
        <v>4823850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 t="shared" ref="A2192:A2200" si="1033">"05/12/2020 14:44:43.512"</f>
        <v>05/12/2020 14:44:43.512</v>
      </c>
      <c r="C2192" t="str">
        <f t="shared" si="1006"/>
        <v>FFDFD3C0</v>
      </c>
      <c r="D2192" t="s">
        <v>134</v>
      </c>
      <c r="E2192">
        <v>12</v>
      </c>
      <c r="H2192">
        <v>64</v>
      </c>
      <c r="I2192" t="s">
        <v>135</v>
      </c>
      <c r="J2192" t="s">
        <v>136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ref="S2192:S2200" si="1034">"14:45:01.320"</f>
        <v>14:45:01.320</v>
      </c>
      <c r="T2192" t="str">
        <f t="shared" ref="T2192:T2200" si="1035">"14:45:01.020"</f>
        <v>14:45:01.020</v>
      </c>
      <c r="U2192" t="str">
        <f t="shared" si="1028"/>
        <v>A9808D</v>
      </c>
      <c r="V2192">
        <v>0</v>
      </c>
      <c r="W2192">
        <v>0</v>
      </c>
      <c r="X2192">
        <v>1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0</v>
      </c>
      <c r="AI2192" t="s">
        <v>561</v>
      </c>
      <c r="AJ2192">
        <v>28.260504999999998</v>
      </c>
      <c r="AK2192" t="s">
        <v>562</v>
      </c>
      <c r="AL2192">
        <v>-82.341521</v>
      </c>
      <c r="AM2192">
        <v>100</v>
      </c>
      <c r="AN2192">
        <v>2100</v>
      </c>
      <c r="AO2192" t="s">
        <v>118</v>
      </c>
      <c r="AP2192">
        <v>90</v>
      </c>
      <c r="AQ2192">
        <v>-56</v>
      </c>
      <c r="AR2192">
        <v>384</v>
      </c>
      <c r="AZ2192">
        <v>1200</v>
      </c>
      <c r="BA2192">
        <v>1</v>
      </c>
      <c r="BB2192" t="str">
        <f t="shared" si="1007"/>
        <v xml:space="preserve">N711JA  </v>
      </c>
      <c r="BC2192">
        <v>1</v>
      </c>
      <c r="BE2192">
        <v>0</v>
      </c>
      <c r="BF2192">
        <v>0</v>
      </c>
      <c r="BG2192">
        <v>0</v>
      </c>
      <c r="BH2192">
        <v>2200</v>
      </c>
      <c r="BI2192">
        <v>1</v>
      </c>
      <c r="BJ2192">
        <v>1</v>
      </c>
      <c r="BK2192">
        <v>0</v>
      </c>
      <c r="BL2192">
        <v>0</v>
      </c>
      <c r="BO2192">
        <v>0</v>
      </c>
      <c r="BP2192">
        <v>0</v>
      </c>
      <c r="BW2192" t="str">
        <f t="shared" ref="BW2192:BW2200" si="1036">"14:45:01.325"</f>
        <v>14:45:01.325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343</v>
      </c>
      <c r="CR2192">
        <v>1</v>
      </c>
      <c r="CW2192">
        <v>10758257</v>
      </c>
      <c r="CY2192">
        <v>1</v>
      </c>
      <c r="CZ2192">
        <v>0</v>
      </c>
      <c r="DA2192">
        <v>0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 t="shared" si="1033"/>
        <v>05/12/2020 14:44:43.512</v>
      </c>
      <c r="C2193" t="str">
        <f t="shared" si="1006"/>
        <v>FFDFD3C0</v>
      </c>
      <c r="D2193" t="s">
        <v>113</v>
      </c>
      <c r="E2193">
        <v>3</v>
      </c>
      <c r="H2193">
        <v>164</v>
      </c>
      <c r="I2193" t="s">
        <v>114</v>
      </c>
      <c r="J2193" t="s">
        <v>115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034"/>
        <v>14:45:01.320</v>
      </c>
      <c r="T2193" t="str">
        <f t="shared" si="1035"/>
        <v>14:45:01.020</v>
      </c>
      <c r="U2193" t="str">
        <f t="shared" si="1028"/>
        <v>A9808D</v>
      </c>
      <c r="V2193">
        <v>0</v>
      </c>
      <c r="W2193">
        <v>0</v>
      </c>
      <c r="X2193">
        <v>1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0</v>
      </c>
      <c r="AI2193" t="s">
        <v>561</v>
      </c>
      <c r="AJ2193">
        <v>28.260504999999998</v>
      </c>
      <c r="AK2193" t="s">
        <v>562</v>
      </c>
      <c r="AL2193">
        <v>-82.341521</v>
      </c>
      <c r="AM2193">
        <v>100</v>
      </c>
      <c r="AN2193">
        <v>2100</v>
      </c>
      <c r="AO2193" t="s">
        <v>118</v>
      </c>
      <c r="AP2193">
        <v>90</v>
      </c>
      <c r="AQ2193">
        <v>-56</v>
      </c>
      <c r="AR2193">
        <v>384</v>
      </c>
      <c r="AZ2193">
        <v>1200</v>
      </c>
      <c r="BA2193">
        <v>1</v>
      </c>
      <c r="BB2193" t="str">
        <f t="shared" si="1007"/>
        <v xml:space="preserve">N711JA  </v>
      </c>
      <c r="BC2193">
        <v>1</v>
      </c>
      <c r="BE2193">
        <v>0</v>
      </c>
      <c r="BF2193">
        <v>0</v>
      </c>
      <c r="BG2193">
        <v>0</v>
      </c>
      <c r="BH2193">
        <v>2200</v>
      </c>
      <c r="BI2193">
        <v>1</v>
      </c>
      <c r="BJ2193">
        <v>1</v>
      </c>
      <c r="BK2193">
        <v>0</v>
      </c>
      <c r="BL2193">
        <v>0</v>
      </c>
      <c r="BO2193">
        <v>0</v>
      </c>
      <c r="BP2193">
        <v>0</v>
      </c>
      <c r="BW2193" t="str">
        <f t="shared" si="1036"/>
        <v>14:45:01.325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343</v>
      </c>
      <c r="CR2193">
        <v>1</v>
      </c>
      <c r="CW2193">
        <v>10758257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 t="shared" si="1033"/>
        <v>05/12/2020 14:44:43.512</v>
      </c>
      <c r="C2194" t="str">
        <f t="shared" si="1006"/>
        <v>FFDFD3C0</v>
      </c>
      <c r="D2194" t="s">
        <v>126</v>
      </c>
      <c r="E2194">
        <v>7</v>
      </c>
      <c r="F2194">
        <v>1007</v>
      </c>
      <c r="G2194" t="s">
        <v>127</v>
      </c>
      <c r="J2194" t="s">
        <v>128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034"/>
        <v>14:45:01.320</v>
      </c>
      <c r="T2194" t="str">
        <f t="shared" si="1035"/>
        <v>14:45:01.020</v>
      </c>
      <c r="U2194" t="str">
        <f t="shared" si="1028"/>
        <v>A9808D</v>
      </c>
      <c r="V2194">
        <v>0</v>
      </c>
      <c r="W2194">
        <v>0</v>
      </c>
      <c r="X2194">
        <v>1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0</v>
      </c>
      <c r="AI2194" t="s">
        <v>561</v>
      </c>
      <c r="AJ2194">
        <v>28.260504999999998</v>
      </c>
      <c r="AK2194" t="s">
        <v>562</v>
      </c>
      <c r="AL2194">
        <v>-82.341521</v>
      </c>
      <c r="AM2194">
        <v>100</v>
      </c>
      <c r="AN2194">
        <v>2100</v>
      </c>
      <c r="AO2194" t="s">
        <v>118</v>
      </c>
      <c r="AP2194">
        <v>90</v>
      </c>
      <c r="AQ2194">
        <v>-56</v>
      </c>
      <c r="AR2194">
        <v>384</v>
      </c>
      <c r="AZ2194">
        <v>1200</v>
      </c>
      <c r="BA2194">
        <v>1</v>
      </c>
      <c r="BB2194" t="str">
        <f t="shared" si="1007"/>
        <v xml:space="preserve">N711JA  </v>
      </c>
      <c r="BC2194">
        <v>1</v>
      </c>
      <c r="BE2194">
        <v>0</v>
      </c>
      <c r="BF2194">
        <v>0</v>
      </c>
      <c r="BG2194">
        <v>0</v>
      </c>
      <c r="BH2194">
        <v>2200</v>
      </c>
      <c r="BI2194">
        <v>1</v>
      </c>
      <c r="BJ2194">
        <v>1</v>
      </c>
      <c r="BK2194">
        <v>0</v>
      </c>
      <c r="BL2194">
        <v>0</v>
      </c>
      <c r="BO2194">
        <v>0</v>
      </c>
      <c r="BP2194">
        <v>0</v>
      </c>
      <c r="BW2194" t="str">
        <f t="shared" si="1036"/>
        <v>14:45:01.325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343</v>
      </c>
      <c r="CR2194">
        <v>1</v>
      </c>
      <c r="CW2194">
        <v>10758257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 t="shared" si="1033"/>
        <v>05/12/2020 14:44:43.512</v>
      </c>
      <c r="C2195" t="str">
        <f t="shared" si="1006"/>
        <v>FFDFD3C0</v>
      </c>
      <c r="D2195" t="s">
        <v>131</v>
      </c>
      <c r="E2195">
        <v>10</v>
      </c>
      <c r="F2195">
        <v>2010</v>
      </c>
      <c r="G2195" t="s">
        <v>132</v>
      </c>
      <c r="J2195" t="s">
        <v>133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034"/>
        <v>14:45:01.320</v>
      </c>
      <c r="T2195" t="str">
        <f t="shared" si="1035"/>
        <v>14:45:01.020</v>
      </c>
      <c r="U2195" t="str">
        <f t="shared" si="1028"/>
        <v>A9808D</v>
      </c>
      <c r="V2195">
        <v>0</v>
      </c>
      <c r="W2195">
        <v>0</v>
      </c>
      <c r="X2195">
        <v>1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0</v>
      </c>
      <c r="AI2195" t="s">
        <v>561</v>
      </c>
      <c r="AJ2195">
        <v>28.260504999999998</v>
      </c>
      <c r="AK2195" t="s">
        <v>562</v>
      </c>
      <c r="AL2195">
        <v>-82.341521</v>
      </c>
      <c r="AM2195">
        <v>100</v>
      </c>
      <c r="AN2195">
        <v>2100</v>
      </c>
      <c r="AO2195" t="s">
        <v>118</v>
      </c>
      <c r="AP2195">
        <v>90</v>
      </c>
      <c r="AQ2195">
        <v>-56</v>
      </c>
      <c r="AR2195">
        <v>384</v>
      </c>
      <c r="AZ2195">
        <v>1200</v>
      </c>
      <c r="BA2195">
        <v>1</v>
      </c>
      <c r="BB2195" t="str">
        <f t="shared" si="1007"/>
        <v xml:space="preserve">N711JA  </v>
      </c>
      <c r="BC2195">
        <v>1</v>
      </c>
      <c r="BE2195">
        <v>0</v>
      </c>
      <c r="BF2195">
        <v>0</v>
      </c>
      <c r="BG2195">
        <v>0</v>
      </c>
      <c r="BH2195">
        <v>2200</v>
      </c>
      <c r="BI2195">
        <v>1</v>
      </c>
      <c r="BJ2195">
        <v>1</v>
      </c>
      <c r="BK2195">
        <v>0</v>
      </c>
      <c r="BL2195">
        <v>0</v>
      </c>
      <c r="BO2195">
        <v>0</v>
      </c>
      <c r="BP2195">
        <v>0</v>
      </c>
      <c r="BW2195" t="str">
        <f t="shared" si="1036"/>
        <v>14:45:01.325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7</v>
      </c>
      <c r="CP2195" t="s">
        <v>119</v>
      </c>
      <c r="CQ2195">
        <v>343</v>
      </c>
      <c r="CR2195">
        <v>1</v>
      </c>
      <c r="CW2195">
        <v>10758257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 t="shared" si="1033"/>
        <v>05/12/2020 14:44:43.512</v>
      </c>
      <c r="C2196" t="str">
        <f t="shared" si="1006"/>
        <v>FFDFD3C0</v>
      </c>
      <c r="D2196" t="s">
        <v>131</v>
      </c>
      <c r="E2196">
        <v>12</v>
      </c>
      <c r="F2196">
        <v>2012</v>
      </c>
      <c r="G2196" t="s">
        <v>137</v>
      </c>
      <c r="J2196" t="s">
        <v>133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034"/>
        <v>14:45:01.320</v>
      </c>
      <c r="T2196" t="str">
        <f t="shared" si="1035"/>
        <v>14:45:01.020</v>
      </c>
      <c r="U2196" t="str">
        <f t="shared" si="1028"/>
        <v>A9808D</v>
      </c>
      <c r="V2196">
        <v>0</v>
      </c>
      <c r="W2196">
        <v>0</v>
      </c>
      <c r="X2196">
        <v>1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0</v>
      </c>
      <c r="AI2196" t="s">
        <v>561</v>
      </c>
      <c r="AJ2196">
        <v>28.260504999999998</v>
      </c>
      <c r="AK2196" t="s">
        <v>562</v>
      </c>
      <c r="AL2196">
        <v>-82.341521</v>
      </c>
      <c r="AM2196">
        <v>100</v>
      </c>
      <c r="AN2196">
        <v>2100</v>
      </c>
      <c r="AO2196" t="s">
        <v>118</v>
      </c>
      <c r="AP2196">
        <v>90</v>
      </c>
      <c r="AQ2196">
        <v>-56</v>
      </c>
      <c r="AR2196">
        <v>384</v>
      </c>
      <c r="AZ2196">
        <v>1200</v>
      </c>
      <c r="BA2196">
        <v>1</v>
      </c>
      <c r="BB2196" t="str">
        <f t="shared" si="1007"/>
        <v xml:space="preserve">N711JA  </v>
      </c>
      <c r="BC2196">
        <v>1</v>
      </c>
      <c r="BE2196">
        <v>0</v>
      </c>
      <c r="BF2196">
        <v>0</v>
      </c>
      <c r="BG2196">
        <v>0</v>
      </c>
      <c r="BH2196">
        <v>2200</v>
      </c>
      <c r="BI2196">
        <v>1</v>
      </c>
      <c r="BJ2196">
        <v>1</v>
      </c>
      <c r="BK2196">
        <v>0</v>
      </c>
      <c r="BL2196">
        <v>0</v>
      </c>
      <c r="BO2196">
        <v>0</v>
      </c>
      <c r="BP2196">
        <v>0</v>
      </c>
      <c r="BW2196" t="str">
        <f t="shared" si="1036"/>
        <v>14:45:01.325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7</v>
      </c>
      <c r="CP2196" t="s">
        <v>119</v>
      </c>
      <c r="CQ2196">
        <v>343</v>
      </c>
      <c r="CR2196">
        <v>1</v>
      </c>
      <c r="CW2196">
        <v>10758257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 t="shared" si="1033"/>
        <v>05/12/2020 14:44:43.512</v>
      </c>
      <c r="C2197" t="str">
        <f t="shared" si="1006"/>
        <v>FFDFD3C0</v>
      </c>
      <c r="D2197" t="s">
        <v>126</v>
      </c>
      <c r="E2197">
        <v>6</v>
      </c>
      <c r="F2197">
        <v>1006</v>
      </c>
      <c r="G2197" t="s">
        <v>114</v>
      </c>
      <c r="J2197" t="s">
        <v>128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034"/>
        <v>14:45:01.320</v>
      </c>
      <c r="T2197" t="str">
        <f t="shared" si="1035"/>
        <v>14:45:01.020</v>
      </c>
      <c r="U2197" t="str">
        <f t="shared" si="1028"/>
        <v>A9808D</v>
      </c>
      <c r="V2197">
        <v>0</v>
      </c>
      <c r="W2197">
        <v>0</v>
      </c>
      <c r="X2197">
        <v>1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0</v>
      </c>
      <c r="AI2197" t="s">
        <v>561</v>
      </c>
      <c r="AJ2197">
        <v>28.260504999999998</v>
      </c>
      <c r="AK2197" t="s">
        <v>562</v>
      </c>
      <c r="AL2197">
        <v>-82.341521</v>
      </c>
      <c r="AM2197">
        <v>100</v>
      </c>
      <c r="AN2197">
        <v>2100</v>
      </c>
      <c r="AO2197" t="s">
        <v>118</v>
      </c>
      <c r="AP2197">
        <v>90</v>
      </c>
      <c r="AQ2197">
        <v>-56</v>
      </c>
      <c r="AR2197">
        <v>384</v>
      </c>
      <c r="AZ2197">
        <v>1200</v>
      </c>
      <c r="BA2197">
        <v>1</v>
      </c>
      <c r="BB2197" t="str">
        <f t="shared" si="1007"/>
        <v xml:space="preserve">N711JA  </v>
      </c>
      <c r="BC2197">
        <v>1</v>
      </c>
      <c r="BE2197">
        <v>0</v>
      </c>
      <c r="BF2197">
        <v>0</v>
      </c>
      <c r="BG2197">
        <v>0</v>
      </c>
      <c r="BH2197">
        <v>2200</v>
      </c>
      <c r="BI2197">
        <v>1</v>
      </c>
      <c r="BJ2197">
        <v>1</v>
      </c>
      <c r="BK2197">
        <v>0</v>
      </c>
      <c r="BL2197">
        <v>0</v>
      </c>
      <c r="BO2197">
        <v>0</v>
      </c>
      <c r="BP2197">
        <v>0</v>
      </c>
      <c r="BW2197" t="str">
        <f t="shared" si="1036"/>
        <v>14:45:01.325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7</v>
      </c>
      <c r="CP2197" t="s">
        <v>119</v>
      </c>
      <c r="CQ2197">
        <v>343</v>
      </c>
      <c r="CR2197">
        <v>1</v>
      </c>
      <c r="CW2197">
        <v>10758257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 t="shared" si="1033"/>
        <v>05/12/2020 14:44:43.512</v>
      </c>
      <c r="C2198" t="str">
        <f t="shared" ref="C2198:C2261" si="1037">"FFDFD3C0"</f>
        <v>FFDFD3C0</v>
      </c>
      <c r="D2198" t="s">
        <v>131</v>
      </c>
      <c r="E2198">
        <v>18</v>
      </c>
      <c r="F2198">
        <v>2018</v>
      </c>
      <c r="G2198" t="s">
        <v>161</v>
      </c>
      <c r="J2198" t="s">
        <v>133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034"/>
        <v>14:45:01.320</v>
      </c>
      <c r="T2198" t="str">
        <f t="shared" si="1035"/>
        <v>14:45:01.020</v>
      </c>
      <c r="U2198" t="str">
        <f t="shared" si="1028"/>
        <v>A9808D</v>
      </c>
      <c r="V2198">
        <v>0</v>
      </c>
      <c r="W2198">
        <v>0</v>
      </c>
      <c r="X2198">
        <v>1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0</v>
      </c>
      <c r="AI2198" t="s">
        <v>561</v>
      </c>
      <c r="AJ2198">
        <v>28.260504999999998</v>
      </c>
      <c r="AK2198" t="s">
        <v>562</v>
      </c>
      <c r="AL2198">
        <v>-82.341521</v>
      </c>
      <c r="AM2198">
        <v>100</v>
      </c>
      <c r="AN2198">
        <v>2100</v>
      </c>
      <c r="AO2198" t="s">
        <v>118</v>
      </c>
      <c r="AP2198">
        <v>90</v>
      </c>
      <c r="AQ2198">
        <v>-56</v>
      </c>
      <c r="AR2198">
        <v>384</v>
      </c>
      <c r="AZ2198">
        <v>1200</v>
      </c>
      <c r="BA2198">
        <v>1</v>
      </c>
      <c r="BB2198" t="str">
        <f t="shared" ref="BB2198:BB2261" si="1038">"N711JA  "</f>
        <v xml:space="preserve">N711JA  </v>
      </c>
      <c r="BC2198">
        <v>1</v>
      </c>
      <c r="BE2198">
        <v>0</v>
      </c>
      <c r="BF2198">
        <v>0</v>
      </c>
      <c r="BG2198">
        <v>0</v>
      </c>
      <c r="BH2198">
        <v>2200</v>
      </c>
      <c r="BI2198">
        <v>1</v>
      </c>
      <c r="BJ2198">
        <v>1</v>
      </c>
      <c r="BK2198">
        <v>0</v>
      </c>
      <c r="BL2198">
        <v>0</v>
      </c>
      <c r="BO2198">
        <v>0</v>
      </c>
      <c r="BP2198">
        <v>0</v>
      </c>
      <c r="BW2198" t="str">
        <f t="shared" si="1036"/>
        <v>14:45:01.325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7</v>
      </c>
      <c r="CP2198" t="s">
        <v>119</v>
      </c>
      <c r="CQ2198">
        <v>343</v>
      </c>
      <c r="CR2198">
        <v>1</v>
      </c>
      <c r="CW2198">
        <v>10758257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 t="shared" si="1033"/>
        <v>05/12/2020 14:44:43.512</v>
      </c>
      <c r="C2199" t="str">
        <f t="shared" si="1037"/>
        <v>FFDFD3C0</v>
      </c>
      <c r="D2199" t="s">
        <v>138</v>
      </c>
      <c r="E2199">
        <v>2</v>
      </c>
      <c r="H2199">
        <v>8</v>
      </c>
      <c r="I2199" t="s">
        <v>139</v>
      </c>
      <c r="J2199" t="s">
        <v>136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034"/>
        <v>14:45:01.320</v>
      </c>
      <c r="T2199" t="str">
        <f t="shared" si="1035"/>
        <v>14:45:01.020</v>
      </c>
      <c r="U2199" t="str">
        <f t="shared" si="1028"/>
        <v>A9808D</v>
      </c>
      <c r="V2199">
        <v>0</v>
      </c>
      <c r="W2199">
        <v>0</v>
      </c>
      <c r="X2199">
        <v>1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0</v>
      </c>
      <c r="AI2199" t="s">
        <v>561</v>
      </c>
      <c r="AJ2199">
        <v>28.260504999999998</v>
      </c>
      <c r="AK2199" t="s">
        <v>562</v>
      </c>
      <c r="AL2199">
        <v>-82.341521</v>
      </c>
      <c r="AM2199">
        <v>100</v>
      </c>
      <c r="AN2199">
        <v>2100</v>
      </c>
      <c r="AO2199" t="s">
        <v>118</v>
      </c>
      <c r="AP2199">
        <v>90</v>
      </c>
      <c r="AQ2199">
        <v>-56</v>
      </c>
      <c r="AR2199">
        <v>384</v>
      </c>
      <c r="AZ2199">
        <v>1200</v>
      </c>
      <c r="BA2199">
        <v>1</v>
      </c>
      <c r="BB2199" t="str">
        <f t="shared" si="1038"/>
        <v xml:space="preserve">N711JA  </v>
      </c>
      <c r="BC2199">
        <v>1</v>
      </c>
      <c r="BE2199">
        <v>0</v>
      </c>
      <c r="BF2199">
        <v>0</v>
      </c>
      <c r="BG2199">
        <v>0</v>
      </c>
      <c r="BH2199">
        <v>2200</v>
      </c>
      <c r="BI2199">
        <v>1</v>
      </c>
      <c r="BJ2199">
        <v>1</v>
      </c>
      <c r="BK2199">
        <v>0</v>
      </c>
      <c r="BL2199">
        <v>0</v>
      </c>
      <c r="BO2199">
        <v>0</v>
      </c>
      <c r="BP2199">
        <v>0</v>
      </c>
      <c r="BW2199" t="str">
        <f t="shared" si="1036"/>
        <v>14:45:01.325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7</v>
      </c>
      <c r="CP2199" t="s">
        <v>119</v>
      </c>
      <c r="CQ2199">
        <v>343</v>
      </c>
      <c r="CR2199">
        <v>1</v>
      </c>
      <c r="CW2199">
        <v>10758257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si="1033"/>
        <v>05/12/2020 14:44:43.512</v>
      </c>
      <c r="C2200" t="str">
        <f t="shared" si="1037"/>
        <v>FFDFD3C0</v>
      </c>
      <c r="D2200" t="s">
        <v>138</v>
      </c>
      <c r="E2200">
        <v>3</v>
      </c>
      <c r="H2200">
        <v>9</v>
      </c>
      <c r="I2200" t="s">
        <v>140</v>
      </c>
      <c r="J2200" t="s">
        <v>136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034"/>
        <v>14:45:01.320</v>
      </c>
      <c r="T2200" t="str">
        <f t="shared" si="1035"/>
        <v>14:45:01.020</v>
      </c>
      <c r="U2200" t="str">
        <f t="shared" si="1028"/>
        <v>A9808D</v>
      </c>
      <c r="V2200">
        <v>0</v>
      </c>
      <c r="W2200">
        <v>0</v>
      </c>
      <c r="X2200">
        <v>1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0</v>
      </c>
      <c r="AI2200" t="s">
        <v>561</v>
      </c>
      <c r="AJ2200">
        <v>28.260504999999998</v>
      </c>
      <c r="AK2200" t="s">
        <v>562</v>
      </c>
      <c r="AL2200">
        <v>-82.341521</v>
      </c>
      <c r="AM2200">
        <v>100</v>
      </c>
      <c r="AN2200">
        <v>2100</v>
      </c>
      <c r="AO2200" t="s">
        <v>118</v>
      </c>
      <c r="AP2200">
        <v>90</v>
      </c>
      <c r="AQ2200">
        <v>-56</v>
      </c>
      <c r="AR2200">
        <v>384</v>
      </c>
      <c r="AZ2200">
        <v>1200</v>
      </c>
      <c r="BA2200">
        <v>1</v>
      </c>
      <c r="BB2200" t="str">
        <f t="shared" si="1038"/>
        <v xml:space="preserve">N711JA  </v>
      </c>
      <c r="BC2200">
        <v>1</v>
      </c>
      <c r="BE2200">
        <v>0</v>
      </c>
      <c r="BF2200">
        <v>0</v>
      </c>
      <c r="BG2200">
        <v>0</v>
      </c>
      <c r="BH2200">
        <v>2200</v>
      </c>
      <c r="BI2200">
        <v>1</v>
      </c>
      <c r="BJ2200">
        <v>1</v>
      </c>
      <c r="BK2200">
        <v>0</v>
      </c>
      <c r="BL2200">
        <v>0</v>
      </c>
      <c r="BO2200">
        <v>0</v>
      </c>
      <c r="BP2200">
        <v>0</v>
      </c>
      <c r="BW2200" t="str">
        <f t="shared" si="1036"/>
        <v>14:45:01.325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7</v>
      </c>
      <c r="CP2200" t="s">
        <v>119</v>
      </c>
      <c r="CQ2200">
        <v>343</v>
      </c>
      <c r="CR2200">
        <v>1</v>
      </c>
      <c r="CW2200">
        <v>10758257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ref="A2201:A2209" si="1039">"05/12/2020 14:44:44.502"</f>
        <v>05/12/2020 14:44:44.502</v>
      </c>
      <c r="C2201" t="str">
        <f t="shared" si="1037"/>
        <v>FFDFD3C0</v>
      </c>
      <c r="D2201" t="s">
        <v>138</v>
      </c>
      <c r="E2201">
        <v>3</v>
      </c>
      <c r="H2201">
        <v>9</v>
      </c>
      <c r="I2201" t="s">
        <v>140</v>
      </c>
      <c r="J2201" t="s">
        <v>136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ref="S2201:S2209" si="1040">"14:45:02.320"</f>
        <v>14:45:02.320</v>
      </c>
      <c r="T2201" t="str">
        <f t="shared" ref="T2201:T2209" si="1041">"14:45:02.120"</f>
        <v>14:45:02.120</v>
      </c>
      <c r="U2201" t="str">
        <f t="shared" si="1028"/>
        <v>A9808D</v>
      </c>
      <c r="V2201">
        <v>0</v>
      </c>
      <c r="W2201">
        <v>0</v>
      </c>
      <c r="X2201">
        <v>1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0</v>
      </c>
      <c r="AI2201" t="s">
        <v>563</v>
      </c>
      <c r="AJ2201">
        <v>28.260225999999999</v>
      </c>
      <c r="AK2201" t="s">
        <v>564</v>
      </c>
      <c r="AL2201">
        <v>-82.341048999999998</v>
      </c>
      <c r="AM2201">
        <v>100</v>
      </c>
      <c r="AN2201">
        <v>2100</v>
      </c>
      <c r="AO2201" t="s">
        <v>118</v>
      </c>
      <c r="AP2201">
        <v>91</v>
      </c>
      <c r="AQ2201">
        <v>-56</v>
      </c>
      <c r="AR2201">
        <v>384</v>
      </c>
      <c r="AZ2201">
        <v>1200</v>
      </c>
      <c r="BA2201">
        <v>1</v>
      </c>
      <c r="BB2201" t="str">
        <f t="shared" si="1038"/>
        <v xml:space="preserve">N711JA  </v>
      </c>
      <c r="BC2201">
        <v>1</v>
      </c>
      <c r="BE2201">
        <v>0</v>
      </c>
      <c r="BF2201">
        <v>0</v>
      </c>
      <c r="BG2201">
        <v>0</v>
      </c>
      <c r="BH2201">
        <v>2200</v>
      </c>
      <c r="BI2201">
        <v>1</v>
      </c>
      <c r="BJ2201">
        <v>1</v>
      </c>
      <c r="BK2201">
        <v>0</v>
      </c>
      <c r="BL2201">
        <v>0</v>
      </c>
      <c r="BO2201">
        <v>0</v>
      </c>
      <c r="BP2201">
        <v>0</v>
      </c>
      <c r="BW2201" t="str">
        <f t="shared" ref="BW2201:BW2209" si="1042">"14:45:02.321"</f>
        <v>14:45:02.321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7</v>
      </c>
      <c r="CP2201" t="s">
        <v>119</v>
      </c>
      <c r="CQ2201">
        <v>56</v>
      </c>
      <c r="CR2201">
        <v>2</v>
      </c>
      <c r="CW2201">
        <v>4826437</v>
      </c>
      <c r="CY2201">
        <v>1</v>
      </c>
      <c r="CZ2201">
        <v>0</v>
      </c>
      <c r="DA2201">
        <v>0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 t="shared" si="1039"/>
        <v>05/12/2020 14:44:44.502</v>
      </c>
      <c r="C2202" t="str">
        <f t="shared" si="1037"/>
        <v>FFDFD3C0</v>
      </c>
      <c r="D2202" t="s">
        <v>134</v>
      </c>
      <c r="E2202">
        <v>12</v>
      </c>
      <c r="H2202">
        <v>64</v>
      </c>
      <c r="I2202" t="s">
        <v>135</v>
      </c>
      <c r="J2202" t="s">
        <v>136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040"/>
        <v>14:45:02.320</v>
      </c>
      <c r="T2202" t="str">
        <f t="shared" si="1041"/>
        <v>14:45:02.120</v>
      </c>
      <c r="U2202" t="str">
        <f t="shared" si="1028"/>
        <v>A9808D</v>
      </c>
      <c r="V2202">
        <v>0</v>
      </c>
      <c r="W2202">
        <v>0</v>
      </c>
      <c r="X2202">
        <v>1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0</v>
      </c>
      <c r="AI2202" t="s">
        <v>563</v>
      </c>
      <c r="AJ2202">
        <v>28.260225999999999</v>
      </c>
      <c r="AK2202" t="s">
        <v>564</v>
      </c>
      <c r="AL2202">
        <v>-82.341048999999998</v>
      </c>
      <c r="AM2202">
        <v>100</v>
      </c>
      <c r="AN2202">
        <v>2100</v>
      </c>
      <c r="AO2202" t="s">
        <v>118</v>
      </c>
      <c r="AP2202">
        <v>91</v>
      </c>
      <c r="AQ2202">
        <v>-56</v>
      </c>
      <c r="AR2202">
        <v>384</v>
      </c>
      <c r="AZ2202">
        <v>1200</v>
      </c>
      <c r="BA2202">
        <v>1</v>
      </c>
      <c r="BB2202" t="str">
        <f t="shared" si="1038"/>
        <v xml:space="preserve">N711JA  </v>
      </c>
      <c r="BC2202">
        <v>1</v>
      </c>
      <c r="BE2202">
        <v>0</v>
      </c>
      <c r="BF2202">
        <v>0</v>
      </c>
      <c r="BG2202">
        <v>0</v>
      </c>
      <c r="BH2202">
        <v>2200</v>
      </c>
      <c r="BI2202">
        <v>1</v>
      </c>
      <c r="BJ2202">
        <v>1</v>
      </c>
      <c r="BK2202">
        <v>0</v>
      </c>
      <c r="BL2202">
        <v>0</v>
      </c>
      <c r="BO2202">
        <v>0</v>
      </c>
      <c r="BP2202">
        <v>0</v>
      </c>
      <c r="BW2202" t="str">
        <f t="shared" si="1042"/>
        <v>14:45:02.321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7</v>
      </c>
      <c r="CP2202" t="s">
        <v>119</v>
      </c>
      <c r="CQ2202">
        <v>343</v>
      </c>
      <c r="CR2202">
        <v>1</v>
      </c>
      <c r="CW2202">
        <v>10759287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 t="shared" si="1039"/>
        <v>05/12/2020 14:44:44.502</v>
      </c>
      <c r="C2203" t="str">
        <f t="shared" si="1037"/>
        <v>FFDFD3C0</v>
      </c>
      <c r="D2203" t="s">
        <v>113</v>
      </c>
      <c r="E2203">
        <v>3</v>
      </c>
      <c r="H2203">
        <v>164</v>
      </c>
      <c r="I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040"/>
        <v>14:45:02.320</v>
      </c>
      <c r="T2203" t="str">
        <f t="shared" si="1041"/>
        <v>14:45:02.120</v>
      </c>
      <c r="U2203" t="str">
        <f t="shared" si="1028"/>
        <v>A9808D</v>
      </c>
      <c r="V2203">
        <v>0</v>
      </c>
      <c r="W2203">
        <v>0</v>
      </c>
      <c r="X2203">
        <v>1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0</v>
      </c>
      <c r="AI2203" t="s">
        <v>563</v>
      </c>
      <c r="AJ2203">
        <v>28.260225999999999</v>
      </c>
      <c r="AK2203" t="s">
        <v>564</v>
      </c>
      <c r="AL2203">
        <v>-82.341048999999998</v>
      </c>
      <c r="AM2203">
        <v>100</v>
      </c>
      <c r="AN2203">
        <v>2100</v>
      </c>
      <c r="AO2203" t="s">
        <v>118</v>
      </c>
      <c r="AP2203">
        <v>91</v>
      </c>
      <c r="AQ2203">
        <v>-56</v>
      </c>
      <c r="AR2203">
        <v>384</v>
      </c>
      <c r="AZ2203">
        <v>1200</v>
      </c>
      <c r="BA2203">
        <v>1</v>
      </c>
      <c r="BB2203" t="str">
        <f t="shared" si="1038"/>
        <v xml:space="preserve">N711JA  </v>
      </c>
      <c r="BC2203">
        <v>1</v>
      </c>
      <c r="BE2203">
        <v>0</v>
      </c>
      <c r="BF2203">
        <v>0</v>
      </c>
      <c r="BG2203">
        <v>0</v>
      </c>
      <c r="BH2203">
        <v>2200</v>
      </c>
      <c r="BI2203">
        <v>1</v>
      </c>
      <c r="BJ2203">
        <v>1</v>
      </c>
      <c r="BK2203">
        <v>0</v>
      </c>
      <c r="BL2203">
        <v>0</v>
      </c>
      <c r="BO2203">
        <v>0</v>
      </c>
      <c r="BP2203">
        <v>0</v>
      </c>
      <c r="BW2203" t="str">
        <f t="shared" si="1042"/>
        <v>14:45:02.321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7</v>
      </c>
      <c r="CP2203" t="s">
        <v>119</v>
      </c>
      <c r="CQ2203">
        <v>56</v>
      </c>
      <c r="CR2203">
        <v>2</v>
      </c>
      <c r="CW2203">
        <v>4826437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 t="shared" si="1039"/>
        <v>05/12/2020 14:44:44.502</v>
      </c>
      <c r="C2204" t="str">
        <f t="shared" si="1037"/>
        <v>FFDFD3C0</v>
      </c>
      <c r="D2204" t="s">
        <v>126</v>
      </c>
      <c r="E2204">
        <v>7</v>
      </c>
      <c r="F2204">
        <v>1007</v>
      </c>
      <c r="G2204" t="s">
        <v>127</v>
      </c>
      <c r="J2204" t="s">
        <v>128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040"/>
        <v>14:45:02.320</v>
      </c>
      <c r="T2204" t="str">
        <f t="shared" si="1041"/>
        <v>14:45:02.120</v>
      </c>
      <c r="U2204" t="str">
        <f t="shared" si="1028"/>
        <v>A9808D</v>
      </c>
      <c r="V2204">
        <v>0</v>
      </c>
      <c r="W2204">
        <v>0</v>
      </c>
      <c r="X2204">
        <v>1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0</v>
      </c>
      <c r="AI2204" t="s">
        <v>563</v>
      </c>
      <c r="AJ2204">
        <v>28.260225999999999</v>
      </c>
      <c r="AK2204" t="s">
        <v>564</v>
      </c>
      <c r="AL2204">
        <v>-82.341048999999998</v>
      </c>
      <c r="AM2204">
        <v>100</v>
      </c>
      <c r="AN2204">
        <v>2100</v>
      </c>
      <c r="AO2204" t="s">
        <v>118</v>
      </c>
      <c r="AP2204">
        <v>91</v>
      </c>
      <c r="AQ2204">
        <v>-56</v>
      </c>
      <c r="AR2204">
        <v>384</v>
      </c>
      <c r="AZ2204">
        <v>1200</v>
      </c>
      <c r="BA2204">
        <v>1</v>
      </c>
      <c r="BB2204" t="str">
        <f t="shared" si="1038"/>
        <v xml:space="preserve">N711JA  </v>
      </c>
      <c r="BC2204">
        <v>1</v>
      </c>
      <c r="BE2204">
        <v>0</v>
      </c>
      <c r="BF2204">
        <v>0</v>
      </c>
      <c r="BG2204">
        <v>0</v>
      </c>
      <c r="BH2204">
        <v>2200</v>
      </c>
      <c r="BI2204">
        <v>1</v>
      </c>
      <c r="BJ2204">
        <v>1</v>
      </c>
      <c r="BK2204">
        <v>0</v>
      </c>
      <c r="BL2204">
        <v>0</v>
      </c>
      <c r="BO2204">
        <v>0</v>
      </c>
      <c r="BP2204">
        <v>0</v>
      </c>
      <c r="BW2204" t="str">
        <f t="shared" si="1042"/>
        <v>14:45:02.321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7</v>
      </c>
      <c r="CP2204" t="s">
        <v>119</v>
      </c>
      <c r="CQ2204">
        <v>56</v>
      </c>
      <c r="CR2204">
        <v>2</v>
      </c>
      <c r="CW2204">
        <v>4826437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 t="shared" si="1039"/>
        <v>05/12/2020 14:44:44.502</v>
      </c>
      <c r="C2205" t="str">
        <f t="shared" si="1037"/>
        <v>FFDFD3C0</v>
      </c>
      <c r="D2205" t="s">
        <v>131</v>
      </c>
      <c r="E2205">
        <v>10</v>
      </c>
      <c r="F2205">
        <v>2010</v>
      </c>
      <c r="G2205" t="s">
        <v>132</v>
      </c>
      <c r="J2205" t="s">
        <v>133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1040"/>
        <v>14:45:02.320</v>
      </c>
      <c r="T2205" t="str">
        <f t="shared" si="1041"/>
        <v>14:45:02.120</v>
      </c>
      <c r="U2205" t="str">
        <f t="shared" si="1028"/>
        <v>A9808D</v>
      </c>
      <c r="V2205">
        <v>0</v>
      </c>
      <c r="W2205">
        <v>0</v>
      </c>
      <c r="X2205">
        <v>1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0</v>
      </c>
      <c r="AI2205" t="s">
        <v>563</v>
      </c>
      <c r="AJ2205">
        <v>28.260225999999999</v>
      </c>
      <c r="AK2205" t="s">
        <v>564</v>
      </c>
      <c r="AL2205">
        <v>-82.341048999999998</v>
      </c>
      <c r="AM2205">
        <v>100</v>
      </c>
      <c r="AN2205">
        <v>2100</v>
      </c>
      <c r="AO2205" t="s">
        <v>118</v>
      </c>
      <c r="AP2205">
        <v>91</v>
      </c>
      <c r="AQ2205">
        <v>-56</v>
      </c>
      <c r="AR2205">
        <v>384</v>
      </c>
      <c r="AZ2205">
        <v>1200</v>
      </c>
      <c r="BA2205">
        <v>1</v>
      </c>
      <c r="BB2205" t="str">
        <f t="shared" si="1038"/>
        <v xml:space="preserve">N711JA  </v>
      </c>
      <c r="BC2205">
        <v>1</v>
      </c>
      <c r="BE2205">
        <v>0</v>
      </c>
      <c r="BF2205">
        <v>0</v>
      </c>
      <c r="BG2205">
        <v>0</v>
      </c>
      <c r="BH2205">
        <v>2200</v>
      </c>
      <c r="BI2205">
        <v>1</v>
      </c>
      <c r="BJ2205">
        <v>1</v>
      </c>
      <c r="BK2205">
        <v>0</v>
      </c>
      <c r="BL2205">
        <v>0</v>
      </c>
      <c r="BO2205">
        <v>0</v>
      </c>
      <c r="BP2205">
        <v>0</v>
      </c>
      <c r="BW2205" t="str">
        <f t="shared" si="1042"/>
        <v>14:45:02.321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7</v>
      </c>
      <c r="CP2205" t="s">
        <v>119</v>
      </c>
      <c r="CQ2205">
        <v>56</v>
      </c>
      <c r="CR2205">
        <v>2</v>
      </c>
      <c r="CW2205">
        <v>4826437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 t="shared" si="1039"/>
        <v>05/12/2020 14:44:44.502</v>
      </c>
      <c r="C2206" t="str">
        <f t="shared" si="1037"/>
        <v>FFDFD3C0</v>
      </c>
      <c r="D2206" t="s">
        <v>126</v>
      </c>
      <c r="E2206">
        <v>6</v>
      </c>
      <c r="F2206">
        <v>1006</v>
      </c>
      <c r="G2206" t="s">
        <v>114</v>
      </c>
      <c r="J2206" t="s">
        <v>128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040"/>
        <v>14:45:02.320</v>
      </c>
      <c r="T2206" t="str">
        <f t="shared" si="1041"/>
        <v>14:45:02.120</v>
      </c>
      <c r="U2206" t="str">
        <f t="shared" si="1028"/>
        <v>A9808D</v>
      </c>
      <c r="V2206">
        <v>0</v>
      </c>
      <c r="W2206">
        <v>0</v>
      </c>
      <c r="X2206">
        <v>1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0</v>
      </c>
      <c r="AI2206" t="s">
        <v>563</v>
      </c>
      <c r="AJ2206">
        <v>28.260225999999999</v>
      </c>
      <c r="AK2206" t="s">
        <v>564</v>
      </c>
      <c r="AL2206">
        <v>-82.341048999999998</v>
      </c>
      <c r="AM2206">
        <v>100</v>
      </c>
      <c r="AN2206">
        <v>2100</v>
      </c>
      <c r="AO2206" t="s">
        <v>118</v>
      </c>
      <c r="AP2206">
        <v>91</v>
      </c>
      <c r="AQ2206">
        <v>-56</v>
      </c>
      <c r="AR2206">
        <v>384</v>
      </c>
      <c r="AZ2206">
        <v>1200</v>
      </c>
      <c r="BA2206">
        <v>1</v>
      </c>
      <c r="BB2206" t="str">
        <f t="shared" si="1038"/>
        <v xml:space="preserve">N711JA  </v>
      </c>
      <c r="BC2206">
        <v>1</v>
      </c>
      <c r="BE2206">
        <v>0</v>
      </c>
      <c r="BF2206">
        <v>0</v>
      </c>
      <c r="BG2206">
        <v>0</v>
      </c>
      <c r="BH2206">
        <v>2200</v>
      </c>
      <c r="BI2206">
        <v>1</v>
      </c>
      <c r="BJ2206">
        <v>1</v>
      </c>
      <c r="BK2206">
        <v>0</v>
      </c>
      <c r="BL2206">
        <v>0</v>
      </c>
      <c r="BO2206">
        <v>0</v>
      </c>
      <c r="BP2206">
        <v>0</v>
      </c>
      <c r="BW2206" t="str">
        <f t="shared" si="1042"/>
        <v>14:45:02.321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7</v>
      </c>
      <c r="CP2206" t="s">
        <v>119</v>
      </c>
      <c r="CQ2206">
        <v>56</v>
      </c>
      <c r="CR2206">
        <v>2</v>
      </c>
      <c r="CW2206">
        <v>4826437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 t="shared" si="1039"/>
        <v>05/12/2020 14:44:44.502</v>
      </c>
      <c r="C2207" t="str">
        <f t="shared" si="1037"/>
        <v>FFDFD3C0</v>
      </c>
      <c r="D2207" t="s">
        <v>131</v>
      </c>
      <c r="E2207">
        <v>12</v>
      </c>
      <c r="F2207">
        <v>2012</v>
      </c>
      <c r="G2207" t="s">
        <v>137</v>
      </c>
      <c r="J2207" t="s">
        <v>133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040"/>
        <v>14:45:02.320</v>
      </c>
      <c r="T2207" t="str">
        <f t="shared" si="1041"/>
        <v>14:45:02.120</v>
      </c>
      <c r="U2207" t="str">
        <f t="shared" si="1028"/>
        <v>A9808D</v>
      </c>
      <c r="V2207">
        <v>0</v>
      </c>
      <c r="W2207">
        <v>0</v>
      </c>
      <c r="X2207">
        <v>1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0</v>
      </c>
      <c r="AI2207" t="s">
        <v>563</v>
      </c>
      <c r="AJ2207">
        <v>28.260225999999999</v>
      </c>
      <c r="AK2207" t="s">
        <v>564</v>
      </c>
      <c r="AL2207">
        <v>-82.341048999999998</v>
      </c>
      <c r="AM2207">
        <v>100</v>
      </c>
      <c r="AN2207">
        <v>2100</v>
      </c>
      <c r="AO2207" t="s">
        <v>118</v>
      </c>
      <c r="AP2207">
        <v>91</v>
      </c>
      <c r="AQ2207">
        <v>-56</v>
      </c>
      <c r="AR2207">
        <v>384</v>
      </c>
      <c r="AZ2207">
        <v>1200</v>
      </c>
      <c r="BA2207">
        <v>1</v>
      </c>
      <c r="BB2207" t="str">
        <f t="shared" si="1038"/>
        <v xml:space="preserve">N711JA  </v>
      </c>
      <c r="BC2207">
        <v>1</v>
      </c>
      <c r="BE2207">
        <v>0</v>
      </c>
      <c r="BF2207">
        <v>0</v>
      </c>
      <c r="BG2207">
        <v>0</v>
      </c>
      <c r="BH2207">
        <v>2200</v>
      </c>
      <c r="BI2207">
        <v>1</v>
      </c>
      <c r="BJ2207">
        <v>1</v>
      </c>
      <c r="BK2207">
        <v>0</v>
      </c>
      <c r="BL2207">
        <v>0</v>
      </c>
      <c r="BO2207">
        <v>0</v>
      </c>
      <c r="BP2207">
        <v>0</v>
      </c>
      <c r="BW2207" t="str">
        <f t="shared" si="1042"/>
        <v>14:45:02.321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7</v>
      </c>
      <c r="CP2207" t="s">
        <v>119</v>
      </c>
      <c r="CQ2207">
        <v>56</v>
      </c>
      <c r="CR2207">
        <v>2</v>
      </c>
      <c r="CW2207">
        <v>4826437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 t="shared" si="1039"/>
        <v>05/12/2020 14:44:44.502</v>
      </c>
      <c r="C2208" t="str">
        <f t="shared" si="1037"/>
        <v>FFDFD3C0</v>
      </c>
      <c r="D2208" t="s">
        <v>131</v>
      </c>
      <c r="E2208">
        <v>18</v>
      </c>
      <c r="F2208">
        <v>2018</v>
      </c>
      <c r="G2208" t="s">
        <v>161</v>
      </c>
      <c r="J2208" t="s">
        <v>133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040"/>
        <v>14:45:02.320</v>
      </c>
      <c r="T2208" t="str">
        <f t="shared" si="1041"/>
        <v>14:45:02.120</v>
      </c>
      <c r="U2208" t="str">
        <f t="shared" si="1028"/>
        <v>A9808D</v>
      </c>
      <c r="V2208">
        <v>0</v>
      </c>
      <c r="W2208">
        <v>0</v>
      </c>
      <c r="X2208">
        <v>1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0</v>
      </c>
      <c r="AI2208" t="s">
        <v>563</v>
      </c>
      <c r="AJ2208">
        <v>28.260225999999999</v>
      </c>
      <c r="AK2208" t="s">
        <v>564</v>
      </c>
      <c r="AL2208">
        <v>-82.341048999999998</v>
      </c>
      <c r="AM2208">
        <v>100</v>
      </c>
      <c r="AN2208">
        <v>2100</v>
      </c>
      <c r="AO2208" t="s">
        <v>118</v>
      </c>
      <c r="AP2208">
        <v>91</v>
      </c>
      <c r="AQ2208">
        <v>-56</v>
      </c>
      <c r="AR2208">
        <v>384</v>
      </c>
      <c r="AZ2208">
        <v>1200</v>
      </c>
      <c r="BA2208">
        <v>1</v>
      </c>
      <c r="BB2208" t="str">
        <f t="shared" si="1038"/>
        <v xml:space="preserve">N711JA  </v>
      </c>
      <c r="BC2208">
        <v>1</v>
      </c>
      <c r="BE2208">
        <v>0</v>
      </c>
      <c r="BF2208">
        <v>0</v>
      </c>
      <c r="BG2208">
        <v>0</v>
      </c>
      <c r="BH2208">
        <v>2200</v>
      </c>
      <c r="BI2208">
        <v>1</v>
      </c>
      <c r="BJ2208">
        <v>1</v>
      </c>
      <c r="BK2208">
        <v>0</v>
      </c>
      <c r="BL2208">
        <v>0</v>
      </c>
      <c r="BO2208">
        <v>0</v>
      </c>
      <c r="BP2208">
        <v>0</v>
      </c>
      <c r="BW2208" t="str">
        <f t="shared" si="1042"/>
        <v>14:45:02.321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119</v>
      </c>
      <c r="CQ2208">
        <v>56</v>
      </c>
      <c r="CR2208">
        <v>2</v>
      </c>
      <c r="CW2208">
        <v>4826437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 t="shared" si="1039"/>
        <v>05/12/2020 14:44:44.502</v>
      </c>
      <c r="C2209" t="str">
        <f t="shared" si="1037"/>
        <v>FFDFD3C0</v>
      </c>
      <c r="D2209" t="s">
        <v>138</v>
      </c>
      <c r="E2209">
        <v>2</v>
      </c>
      <c r="H2209">
        <v>8</v>
      </c>
      <c r="I2209" t="s">
        <v>139</v>
      </c>
      <c r="J2209" t="s">
        <v>136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040"/>
        <v>14:45:02.320</v>
      </c>
      <c r="T2209" t="str">
        <f t="shared" si="1041"/>
        <v>14:45:02.120</v>
      </c>
      <c r="U2209" t="str">
        <f t="shared" si="1028"/>
        <v>A9808D</v>
      </c>
      <c r="V2209">
        <v>0</v>
      </c>
      <c r="W2209">
        <v>0</v>
      </c>
      <c r="X2209">
        <v>1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0</v>
      </c>
      <c r="AI2209" t="s">
        <v>563</v>
      </c>
      <c r="AJ2209">
        <v>28.260225999999999</v>
      </c>
      <c r="AK2209" t="s">
        <v>564</v>
      </c>
      <c r="AL2209">
        <v>-82.341048999999998</v>
      </c>
      <c r="AM2209">
        <v>100</v>
      </c>
      <c r="AN2209">
        <v>2100</v>
      </c>
      <c r="AO2209" t="s">
        <v>118</v>
      </c>
      <c r="AP2209">
        <v>91</v>
      </c>
      <c r="AQ2209">
        <v>-56</v>
      </c>
      <c r="AR2209">
        <v>384</v>
      </c>
      <c r="AZ2209">
        <v>1200</v>
      </c>
      <c r="BA2209">
        <v>1</v>
      </c>
      <c r="BB2209" t="str">
        <f t="shared" si="1038"/>
        <v xml:space="preserve">N711JA  </v>
      </c>
      <c r="BC2209">
        <v>1</v>
      </c>
      <c r="BE2209">
        <v>0</v>
      </c>
      <c r="BF2209">
        <v>0</v>
      </c>
      <c r="BG2209">
        <v>0</v>
      </c>
      <c r="BH2209">
        <v>2200</v>
      </c>
      <c r="BI2209">
        <v>1</v>
      </c>
      <c r="BJ2209">
        <v>1</v>
      </c>
      <c r="BK2209">
        <v>0</v>
      </c>
      <c r="BL2209">
        <v>0</v>
      </c>
      <c r="BO2209">
        <v>0</v>
      </c>
      <c r="BP2209">
        <v>0</v>
      </c>
      <c r="BW2209" t="str">
        <f t="shared" si="1042"/>
        <v>14:45:02.321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7</v>
      </c>
      <c r="CP2209" t="s">
        <v>119</v>
      </c>
      <c r="CQ2209">
        <v>56</v>
      </c>
      <c r="CR2209">
        <v>2</v>
      </c>
      <c r="CW2209">
        <v>4826437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 t="shared" ref="A2210:A2218" si="1043">"05/12/2020 14:44:45.490"</f>
        <v>05/12/2020 14:44:45.490</v>
      </c>
      <c r="C2210" t="str">
        <f t="shared" si="1037"/>
        <v>FFDFD3C0</v>
      </c>
      <c r="D2210" t="s">
        <v>126</v>
      </c>
      <c r="E2210">
        <v>7</v>
      </c>
      <c r="F2210">
        <v>1007</v>
      </c>
      <c r="G2210" t="s">
        <v>127</v>
      </c>
      <c r="J2210" t="s">
        <v>128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ref="S2210:S2218" si="1044">"14:45:03.320"</f>
        <v>14:45:03.320</v>
      </c>
      <c r="T2210" t="str">
        <f t="shared" ref="T2210:T2218" si="1045">"14:45:03.120"</f>
        <v>14:45:03.120</v>
      </c>
      <c r="U2210" t="str">
        <f t="shared" si="1028"/>
        <v>A9808D</v>
      </c>
      <c r="V2210">
        <v>0</v>
      </c>
      <c r="W2210">
        <v>0</v>
      </c>
      <c r="X2210">
        <v>1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0</v>
      </c>
      <c r="AI2210" t="s">
        <v>565</v>
      </c>
      <c r="AJ2210">
        <v>28.259989999999998</v>
      </c>
      <c r="AK2210" t="s">
        <v>566</v>
      </c>
      <c r="AL2210">
        <v>-82.340576999999996</v>
      </c>
      <c r="AM2210">
        <v>100</v>
      </c>
      <c r="AN2210">
        <v>2100</v>
      </c>
      <c r="AO2210" t="s">
        <v>118</v>
      </c>
      <c r="AP2210">
        <v>91</v>
      </c>
      <c r="AQ2210">
        <v>-55</v>
      </c>
      <c r="AR2210">
        <v>384</v>
      </c>
      <c r="AZ2210">
        <v>1200</v>
      </c>
      <c r="BA2210">
        <v>1</v>
      </c>
      <c r="BB2210" t="str">
        <f t="shared" si="1038"/>
        <v xml:space="preserve">N711JA  </v>
      </c>
      <c r="BC2210">
        <v>1</v>
      </c>
      <c r="BE2210">
        <v>0</v>
      </c>
      <c r="BF2210">
        <v>0</v>
      </c>
      <c r="BG2210">
        <v>0</v>
      </c>
      <c r="BH2210">
        <v>2225</v>
      </c>
      <c r="BI2210">
        <v>1</v>
      </c>
      <c r="BJ2210">
        <v>1</v>
      </c>
      <c r="BK2210">
        <v>0</v>
      </c>
      <c r="BL2210">
        <v>0</v>
      </c>
      <c r="BO2210">
        <v>0</v>
      </c>
      <c r="BP2210">
        <v>0</v>
      </c>
      <c r="BW2210" t="str">
        <f t="shared" ref="BW2210:BW2218" si="1046">"14:45:03.322"</f>
        <v>14:45:03.322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7</v>
      </c>
      <c r="CP2210" t="s">
        <v>119</v>
      </c>
      <c r="CQ2210">
        <v>56</v>
      </c>
      <c r="CR2210">
        <v>2</v>
      </c>
      <c r="CW2210">
        <v>4827751</v>
      </c>
      <c r="CY2210">
        <v>1</v>
      </c>
      <c r="CZ2210">
        <v>0</v>
      </c>
      <c r="DA2210">
        <v>0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 t="shared" si="1043"/>
        <v>05/12/2020 14:44:45.490</v>
      </c>
      <c r="C2211" t="str">
        <f t="shared" si="1037"/>
        <v>FFDFD3C0</v>
      </c>
      <c r="D2211" t="s">
        <v>131</v>
      </c>
      <c r="E2211">
        <v>10</v>
      </c>
      <c r="F2211">
        <v>2010</v>
      </c>
      <c r="G2211" t="s">
        <v>132</v>
      </c>
      <c r="J2211" t="s">
        <v>133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044"/>
        <v>14:45:03.320</v>
      </c>
      <c r="T2211" t="str">
        <f t="shared" si="1045"/>
        <v>14:45:03.120</v>
      </c>
      <c r="U2211" t="str">
        <f t="shared" si="1028"/>
        <v>A9808D</v>
      </c>
      <c r="V2211">
        <v>0</v>
      </c>
      <c r="W2211">
        <v>0</v>
      </c>
      <c r="X2211">
        <v>1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0</v>
      </c>
      <c r="AI2211" t="s">
        <v>565</v>
      </c>
      <c r="AJ2211">
        <v>28.259989999999998</v>
      </c>
      <c r="AK2211" t="s">
        <v>566</v>
      </c>
      <c r="AL2211">
        <v>-82.340576999999996</v>
      </c>
      <c r="AM2211">
        <v>100</v>
      </c>
      <c r="AN2211">
        <v>2100</v>
      </c>
      <c r="AO2211" t="s">
        <v>118</v>
      </c>
      <c r="AP2211">
        <v>91</v>
      </c>
      <c r="AQ2211">
        <v>-55</v>
      </c>
      <c r="AR2211">
        <v>384</v>
      </c>
      <c r="AZ2211">
        <v>1200</v>
      </c>
      <c r="BA2211">
        <v>1</v>
      </c>
      <c r="BB2211" t="str">
        <f t="shared" si="1038"/>
        <v xml:space="preserve">N711JA  </v>
      </c>
      <c r="BC2211">
        <v>1</v>
      </c>
      <c r="BE2211">
        <v>0</v>
      </c>
      <c r="BF2211">
        <v>0</v>
      </c>
      <c r="BG2211">
        <v>0</v>
      </c>
      <c r="BH2211">
        <v>2225</v>
      </c>
      <c r="BI2211">
        <v>1</v>
      </c>
      <c r="BJ2211">
        <v>1</v>
      </c>
      <c r="BK2211">
        <v>0</v>
      </c>
      <c r="BL2211">
        <v>0</v>
      </c>
      <c r="BO2211">
        <v>0</v>
      </c>
      <c r="BP2211">
        <v>0</v>
      </c>
      <c r="BW2211" t="str">
        <f t="shared" si="1046"/>
        <v>14:45:03.322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7</v>
      </c>
      <c r="CP2211" t="s">
        <v>119</v>
      </c>
      <c r="CQ2211">
        <v>56</v>
      </c>
      <c r="CR2211">
        <v>2</v>
      </c>
      <c r="CW2211">
        <v>4827751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 t="shared" si="1043"/>
        <v>05/12/2020 14:44:45.490</v>
      </c>
      <c r="C2212" t="str">
        <f t="shared" si="1037"/>
        <v>FFDFD3C0</v>
      </c>
      <c r="D2212" t="s">
        <v>126</v>
      </c>
      <c r="E2212">
        <v>6</v>
      </c>
      <c r="F2212">
        <v>1006</v>
      </c>
      <c r="G2212" t="s">
        <v>114</v>
      </c>
      <c r="J2212" t="s">
        <v>128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1044"/>
        <v>14:45:03.320</v>
      </c>
      <c r="T2212" t="str">
        <f t="shared" si="1045"/>
        <v>14:45:03.120</v>
      </c>
      <c r="U2212" t="str">
        <f t="shared" si="1028"/>
        <v>A9808D</v>
      </c>
      <c r="V2212">
        <v>0</v>
      </c>
      <c r="W2212">
        <v>0</v>
      </c>
      <c r="X2212">
        <v>1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0</v>
      </c>
      <c r="AI2212" t="s">
        <v>565</v>
      </c>
      <c r="AJ2212">
        <v>28.259989999999998</v>
      </c>
      <c r="AK2212" t="s">
        <v>566</v>
      </c>
      <c r="AL2212">
        <v>-82.340576999999996</v>
      </c>
      <c r="AM2212">
        <v>100</v>
      </c>
      <c r="AN2212">
        <v>2100</v>
      </c>
      <c r="AO2212" t="s">
        <v>118</v>
      </c>
      <c r="AP2212">
        <v>91</v>
      </c>
      <c r="AQ2212">
        <v>-55</v>
      </c>
      <c r="AR2212">
        <v>384</v>
      </c>
      <c r="AZ2212">
        <v>1200</v>
      </c>
      <c r="BA2212">
        <v>1</v>
      </c>
      <c r="BB2212" t="str">
        <f t="shared" si="1038"/>
        <v xml:space="preserve">N711JA  </v>
      </c>
      <c r="BC2212">
        <v>1</v>
      </c>
      <c r="BE2212">
        <v>0</v>
      </c>
      <c r="BF2212">
        <v>0</v>
      </c>
      <c r="BG2212">
        <v>0</v>
      </c>
      <c r="BH2212">
        <v>2225</v>
      </c>
      <c r="BI2212">
        <v>1</v>
      </c>
      <c r="BJ2212">
        <v>1</v>
      </c>
      <c r="BK2212">
        <v>0</v>
      </c>
      <c r="BL2212">
        <v>0</v>
      </c>
      <c r="BO2212">
        <v>0</v>
      </c>
      <c r="BP2212">
        <v>0</v>
      </c>
      <c r="BW2212" t="str">
        <f t="shared" si="1046"/>
        <v>14:45:03.322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56</v>
      </c>
      <c r="CR2212">
        <v>2</v>
      </c>
      <c r="CW2212">
        <v>4827751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 t="shared" si="1043"/>
        <v>05/12/2020 14:44:45.490</v>
      </c>
      <c r="C2213" t="str">
        <f t="shared" si="1037"/>
        <v>FFDFD3C0</v>
      </c>
      <c r="D2213" t="s">
        <v>113</v>
      </c>
      <c r="E2213">
        <v>3</v>
      </c>
      <c r="H2213">
        <v>164</v>
      </c>
      <c r="I2213" t="s">
        <v>114</v>
      </c>
      <c r="J2213" t="s">
        <v>115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044"/>
        <v>14:45:03.320</v>
      </c>
      <c r="T2213" t="str">
        <f t="shared" si="1045"/>
        <v>14:45:03.120</v>
      </c>
      <c r="U2213" t="str">
        <f t="shared" si="1028"/>
        <v>A9808D</v>
      </c>
      <c r="V2213">
        <v>0</v>
      </c>
      <c r="W2213">
        <v>0</v>
      </c>
      <c r="X2213">
        <v>1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0</v>
      </c>
      <c r="AI2213" t="s">
        <v>565</v>
      </c>
      <c r="AJ2213">
        <v>28.259989999999998</v>
      </c>
      <c r="AK2213" t="s">
        <v>566</v>
      </c>
      <c r="AL2213">
        <v>-82.340576999999996</v>
      </c>
      <c r="AM2213">
        <v>100</v>
      </c>
      <c r="AN2213">
        <v>2100</v>
      </c>
      <c r="AO2213" t="s">
        <v>118</v>
      </c>
      <c r="AP2213">
        <v>91</v>
      </c>
      <c r="AQ2213">
        <v>-55</v>
      </c>
      <c r="AR2213">
        <v>384</v>
      </c>
      <c r="AZ2213">
        <v>1200</v>
      </c>
      <c r="BA2213">
        <v>1</v>
      </c>
      <c r="BB2213" t="str">
        <f t="shared" si="1038"/>
        <v xml:space="preserve">N711JA  </v>
      </c>
      <c r="BC2213">
        <v>1</v>
      </c>
      <c r="BE2213">
        <v>0</v>
      </c>
      <c r="BF2213">
        <v>0</v>
      </c>
      <c r="BG2213">
        <v>0</v>
      </c>
      <c r="BH2213">
        <v>2225</v>
      </c>
      <c r="BI2213">
        <v>1</v>
      </c>
      <c r="BJ2213">
        <v>1</v>
      </c>
      <c r="BK2213">
        <v>0</v>
      </c>
      <c r="BL2213">
        <v>0</v>
      </c>
      <c r="BO2213">
        <v>0</v>
      </c>
      <c r="BP2213">
        <v>0</v>
      </c>
      <c r="BW2213" t="str">
        <f t="shared" si="1046"/>
        <v>14:45:03.322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56</v>
      </c>
      <c r="CR2213">
        <v>2</v>
      </c>
      <c r="CW2213">
        <v>4827751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 t="shared" si="1043"/>
        <v>05/12/2020 14:44:45.490</v>
      </c>
      <c r="C2214" t="str">
        <f t="shared" si="1037"/>
        <v>FFDFD3C0</v>
      </c>
      <c r="D2214" t="s">
        <v>131</v>
      </c>
      <c r="E2214">
        <v>12</v>
      </c>
      <c r="F2214">
        <v>2012</v>
      </c>
      <c r="G2214" t="s">
        <v>137</v>
      </c>
      <c r="J2214" t="s">
        <v>133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044"/>
        <v>14:45:03.320</v>
      </c>
      <c r="T2214" t="str">
        <f t="shared" si="1045"/>
        <v>14:45:03.120</v>
      </c>
      <c r="U2214" t="str">
        <f t="shared" si="1028"/>
        <v>A9808D</v>
      </c>
      <c r="V2214">
        <v>0</v>
      </c>
      <c r="W2214">
        <v>0</v>
      </c>
      <c r="X2214">
        <v>1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0</v>
      </c>
      <c r="AI2214" t="s">
        <v>565</v>
      </c>
      <c r="AJ2214">
        <v>28.259989999999998</v>
      </c>
      <c r="AK2214" t="s">
        <v>566</v>
      </c>
      <c r="AL2214">
        <v>-82.340576999999996</v>
      </c>
      <c r="AM2214">
        <v>100</v>
      </c>
      <c r="AN2214">
        <v>2100</v>
      </c>
      <c r="AO2214" t="s">
        <v>118</v>
      </c>
      <c r="AP2214">
        <v>91</v>
      </c>
      <c r="AQ2214">
        <v>-55</v>
      </c>
      <c r="AR2214">
        <v>384</v>
      </c>
      <c r="AZ2214">
        <v>1200</v>
      </c>
      <c r="BA2214">
        <v>1</v>
      </c>
      <c r="BB2214" t="str">
        <f t="shared" si="1038"/>
        <v xml:space="preserve">N711JA  </v>
      </c>
      <c r="BC2214">
        <v>1</v>
      </c>
      <c r="BE2214">
        <v>0</v>
      </c>
      <c r="BF2214">
        <v>0</v>
      </c>
      <c r="BG2214">
        <v>0</v>
      </c>
      <c r="BH2214">
        <v>2225</v>
      </c>
      <c r="BI2214">
        <v>1</v>
      </c>
      <c r="BJ2214">
        <v>1</v>
      </c>
      <c r="BK2214">
        <v>0</v>
      </c>
      <c r="BL2214">
        <v>0</v>
      </c>
      <c r="BO2214">
        <v>0</v>
      </c>
      <c r="BP2214">
        <v>0</v>
      </c>
      <c r="BW2214" t="str">
        <f t="shared" si="1046"/>
        <v>14:45:03.322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7</v>
      </c>
      <c r="CP2214" t="s">
        <v>119</v>
      </c>
      <c r="CQ2214">
        <v>56</v>
      </c>
      <c r="CR2214">
        <v>2</v>
      </c>
      <c r="CW2214">
        <v>4827751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 t="shared" si="1043"/>
        <v>05/12/2020 14:44:45.490</v>
      </c>
      <c r="C2215" t="str">
        <f t="shared" si="1037"/>
        <v>FFDFD3C0</v>
      </c>
      <c r="D2215" t="s">
        <v>131</v>
      </c>
      <c r="E2215">
        <v>18</v>
      </c>
      <c r="F2215">
        <v>2018</v>
      </c>
      <c r="G2215" t="s">
        <v>161</v>
      </c>
      <c r="J2215" t="s">
        <v>133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044"/>
        <v>14:45:03.320</v>
      </c>
      <c r="T2215" t="str">
        <f t="shared" si="1045"/>
        <v>14:45:03.120</v>
      </c>
      <c r="U2215" t="str">
        <f t="shared" si="1028"/>
        <v>A9808D</v>
      </c>
      <c r="V2215">
        <v>0</v>
      </c>
      <c r="W2215">
        <v>0</v>
      </c>
      <c r="X2215">
        <v>1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0</v>
      </c>
      <c r="AI2215" t="s">
        <v>565</v>
      </c>
      <c r="AJ2215">
        <v>28.259989999999998</v>
      </c>
      <c r="AK2215" t="s">
        <v>566</v>
      </c>
      <c r="AL2215">
        <v>-82.340576999999996</v>
      </c>
      <c r="AM2215">
        <v>100</v>
      </c>
      <c r="AN2215">
        <v>2100</v>
      </c>
      <c r="AO2215" t="s">
        <v>118</v>
      </c>
      <c r="AP2215">
        <v>91</v>
      </c>
      <c r="AQ2215">
        <v>-55</v>
      </c>
      <c r="AR2215">
        <v>384</v>
      </c>
      <c r="AZ2215">
        <v>1200</v>
      </c>
      <c r="BA2215">
        <v>1</v>
      </c>
      <c r="BB2215" t="str">
        <f t="shared" si="1038"/>
        <v xml:space="preserve">N711JA  </v>
      </c>
      <c r="BC2215">
        <v>1</v>
      </c>
      <c r="BE2215">
        <v>0</v>
      </c>
      <c r="BF2215">
        <v>0</v>
      </c>
      <c r="BG2215">
        <v>0</v>
      </c>
      <c r="BH2215">
        <v>2225</v>
      </c>
      <c r="BI2215">
        <v>1</v>
      </c>
      <c r="BJ2215">
        <v>1</v>
      </c>
      <c r="BK2215">
        <v>0</v>
      </c>
      <c r="BL2215">
        <v>0</v>
      </c>
      <c r="BO2215">
        <v>0</v>
      </c>
      <c r="BP2215">
        <v>0</v>
      </c>
      <c r="BW2215" t="str">
        <f t="shared" si="1046"/>
        <v>14:45:03.322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56</v>
      </c>
      <c r="CR2215">
        <v>2</v>
      </c>
      <c r="CW2215">
        <v>4827751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 t="shared" si="1043"/>
        <v>05/12/2020 14:44:45.490</v>
      </c>
      <c r="C2216" t="str">
        <f t="shared" si="1037"/>
        <v>FFDFD3C0</v>
      </c>
      <c r="D2216" t="s">
        <v>138</v>
      </c>
      <c r="E2216">
        <v>2</v>
      </c>
      <c r="H2216">
        <v>8</v>
      </c>
      <c r="I2216" t="s">
        <v>139</v>
      </c>
      <c r="J2216" t="s">
        <v>136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044"/>
        <v>14:45:03.320</v>
      </c>
      <c r="T2216" t="str">
        <f t="shared" si="1045"/>
        <v>14:45:03.120</v>
      </c>
      <c r="U2216" t="str">
        <f t="shared" si="1028"/>
        <v>A9808D</v>
      </c>
      <c r="V2216">
        <v>0</v>
      </c>
      <c r="W2216">
        <v>0</v>
      </c>
      <c r="X2216">
        <v>1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0</v>
      </c>
      <c r="AI2216" t="s">
        <v>565</v>
      </c>
      <c r="AJ2216">
        <v>28.259989999999998</v>
      </c>
      <c r="AK2216" t="s">
        <v>566</v>
      </c>
      <c r="AL2216">
        <v>-82.340576999999996</v>
      </c>
      <c r="AM2216">
        <v>100</v>
      </c>
      <c r="AN2216">
        <v>2100</v>
      </c>
      <c r="AO2216" t="s">
        <v>118</v>
      </c>
      <c r="AP2216">
        <v>91</v>
      </c>
      <c r="AQ2216">
        <v>-55</v>
      </c>
      <c r="AR2216">
        <v>384</v>
      </c>
      <c r="AZ2216">
        <v>1200</v>
      </c>
      <c r="BA2216">
        <v>1</v>
      </c>
      <c r="BB2216" t="str">
        <f t="shared" si="1038"/>
        <v xml:space="preserve">N711JA  </v>
      </c>
      <c r="BC2216">
        <v>1</v>
      </c>
      <c r="BE2216">
        <v>0</v>
      </c>
      <c r="BF2216">
        <v>0</v>
      </c>
      <c r="BG2216">
        <v>0</v>
      </c>
      <c r="BH2216">
        <v>2225</v>
      </c>
      <c r="BI2216">
        <v>1</v>
      </c>
      <c r="BJ2216">
        <v>1</v>
      </c>
      <c r="BK2216">
        <v>0</v>
      </c>
      <c r="BL2216">
        <v>0</v>
      </c>
      <c r="BO2216">
        <v>0</v>
      </c>
      <c r="BP2216">
        <v>0</v>
      </c>
      <c r="BW2216" t="str">
        <f t="shared" si="1046"/>
        <v>14:45:03.322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56</v>
      </c>
      <c r="CR2216">
        <v>2</v>
      </c>
      <c r="CW2216">
        <v>4827751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 t="shared" si="1043"/>
        <v>05/12/2020 14:44:45.490</v>
      </c>
      <c r="C2217" t="str">
        <f t="shared" si="1037"/>
        <v>FFDFD3C0</v>
      </c>
      <c r="D2217" t="s">
        <v>138</v>
      </c>
      <c r="E2217">
        <v>3</v>
      </c>
      <c r="H2217">
        <v>9</v>
      </c>
      <c r="I2217" t="s">
        <v>140</v>
      </c>
      <c r="J2217" t="s">
        <v>136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044"/>
        <v>14:45:03.320</v>
      </c>
      <c r="T2217" t="str">
        <f t="shared" si="1045"/>
        <v>14:45:03.120</v>
      </c>
      <c r="U2217" t="str">
        <f t="shared" si="1028"/>
        <v>A9808D</v>
      </c>
      <c r="V2217">
        <v>0</v>
      </c>
      <c r="W2217">
        <v>0</v>
      </c>
      <c r="X2217">
        <v>1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0</v>
      </c>
      <c r="AI2217" t="s">
        <v>565</v>
      </c>
      <c r="AJ2217">
        <v>28.259989999999998</v>
      </c>
      <c r="AK2217" t="s">
        <v>566</v>
      </c>
      <c r="AL2217">
        <v>-82.340576999999996</v>
      </c>
      <c r="AM2217">
        <v>100</v>
      </c>
      <c r="AN2217">
        <v>2100</v>
      </c>
      <c r="AO2217" t="s">
        <v>118</v>
      </c>
      <c r="AP2217">
        <v>91</v>
      </c>
      <c r="AQ2217">
        <v>-55</v>
      </c>
      <c r="AR2217">
        <v>384</v>
      </c>
      <c r="AZ2217">
        <v>1200</v>
      </c>
      <c r="BA2217">
        <v>1</v>
      </c>
      <c r="BB2217" t="str">
        <f t="shared" si="1038"/>
        <v xml:space="preserve">N711JA  </v>
      </c>
      <c r="BC2217">
        <v>1</v>
      </c>
      <c r="BE2217">
        <v>0</v>
      </c>
      <c r="BF2217">
        <v>0</v>
      </c>
      <c r="BG2217">
        <v>0</v>
      </c>
      <c r="BH2217">
        <v>2225</v>
      </c>
      <c r="BI2217">
        <v>1</v>
      </c>
      <c r="BJ2217">
        <v>1</v>
      </c>
      <c r="BK2217">
        <v>0</v>
      </c>
      <c r="BL2217">
        <v>0</v>
      </c>
      <c r="BO2217">
        <v>0</v>
      </c>
      <c r="BP2217">
        <v>0</v>
      </c>
      <c r="BW2217" t="str">
        <f t="shared" si="1046"/>
        <v>14:45:03.322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56</v>
      </c>
      <c r="CR2217">
        <v>2</v>
      </c>
      <c r="CW2217">
        <v>4827751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 t="shared" si="1043"/>
        <v>05/12/2020 14:44:45.490</v>
      </c>
      <c r="C2218" t="str">
        <f t="shared" si="1037"/>
        <v>FFDFD3C0</v>
      </c>
      <c r="D2218" t="s">
        <v>134</v>
      </c>
      <c r="E2218">
        <v>12</v>
      </c>
      <c r="H2218">
        <v>64</v>
      </c>
      <c r="I2218" t="s">
        <v>135</v>
      </c>
      <c r="J2218" t="s">
        <v>136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044"/>
        <v>14:45:03.320</v>
      </c>
      <c r="T2218" t="str">
        <f t="shared" si="1045"/>
        <v>14:45:03.120</v>
      </c>
      <c r="U2218" t="str">
        <f t="shared" si="1028"/>
        <v>A9808D</v>
      </c>
      <c r="V2218">
        <v>0</v>
      </c>
      <c r="W2218">
        <v>0</v>
      </c>
      <c r="X2218">
        <v>1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0</v>
      </c>
      <c r="AI2218" t="s">
        <v>565</v>
      </c>
      <c r="AJ2218">
        <v>28.259989999999998</v>
      </c>
      <c r="AK2218" t="s">
        <v>566</v>
      </c>
      <c r="AL2218">
        <v>-82.340576999999996</v>
      </c>
      <c r="AM2218">
        <v>100</v>
      </c>
      <c r="AN2218">
        <v>2100</v>
      </c>
      <c r="AO2218" t="s">
        <v>118</v>
      </c>
      <c r="AP2218">
        <v>91</v>
      </c>
      <c r="AQ2218">
        <v>-55</v>
      </c>
      <c r="AR2218">
        <v>384</v>
      </c>
      <c r="AZ2218">
        <v>1200</v>
      </c>
      <c r="BA2218">
        <v>1</v>
      </c>
      <c r="BB2218" t="str">
        <f t="shared" si="1038"/>
        <v xml:space="preserve">N711JA  </v>
      </c>
      <c r="BC2218">
        <v>1</v>
      </c>
      <c r="BE2218">
        <v>0</v>
      </c>
      <c r="BF2218">
        <v>0</v>
      </c>
      <c r="BG2218">
        <v>0</v>
      </c>
      <c r="BH2218">
        <v>2225</v>
      </c>
      <c r="BI2218">
        <v>1</v>
      </c>
      <c r="BJ2218">
        <v>1</v>
      </c>
      <c r="BK2218">
        <v>0</v>
      </c>
      <c r="BL2218">
        <v>0</v>
      </c>
      <c r="BO2218">
        <v>0</v>
      </c>
      <c r="BP2218">
        <v>0</v>
      </c>
      <c r="BW2218" t="str">
        <f t="shared" si="1046"/>
        <v>14:45:03.322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343</v>
      </c>
      <c r="CR2218">
        <v>1</v>
      </c>
      <c r="CW2218">
        <v>10760362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 t="shared" ref="A2219:A2227" si="1047">"05/12/2020 14:44:46.597"</f>
        <v>05/12/2020 14:44:46.597</v>
      </c>
      <c r="C2219" t="str">
        <f t="shared" si="1037"/>
        <v>FFDFD3C0</v>
      </c>
      <c r="D2219" t="s">
        <v>134</v>
      </c>
      <c r="E2219">
        <v>12</v>
      </c>
      <c r="H2219">
        <v>64</v>
      </c>
      <c r="I2219" t="s">
        <v>135</v>
      </c>
      <c r="J2219" t="s">
        <v>136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ref="S2219:T2227" si="1048">"14:45:04.414"</f>
        <v>14:45:04.414</v>
      </c>
      <c r="T2219" t="str">
        <f t="shared" si="1048"/>
        <v>14:45:04.414</v>
      </c>
      <c r="U2219" t="str">
        <f t="shared" si="1028"/>
        <v>A9808D</v>
      </c>
      <c r="V2219">
        <v>0</v>
      </c>
      <c r="W2219">
        <v>0</v>
      </c>
      <c r="X2219">
        <v>1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0</v>
      </c>
      <c r="AI2219" t="s">
        <v>567</v>
      </c>
      <c r="AJ2219">
        <v>28.259733000000001</v>
      </c>
      <c r="AK2219" t="s">
        <v>568</v>
      </c>
      <c r="AL2219">
        <v>-82.339996999999997</v>
      </c>
      <c r="AM2219">
        <v>100</v>
      </c>
      <c r="AN2219">
        <v>2100</v>
      </c>
      <c r="AO2219" t="s">
        <v>118</v>
      </c>
      <c r="AP2219">
        <v>92</v>
      </c>
      <c r="AQ2219">
        <v>-55</v>
      </c>
      <c r="AR2219">
        <v>384</v>
      </c>
      <c r="AZ2219">
        <v>1200</v>
      </c>
      <c r="BA2219">
        <v>1</v>
      </c>
      <c r="BB2219" t="str">
        <f t="shared" si="1038"/>
        <v xml:space="preserve">N711JA  </v>
      </c>
      <c r="BC2219">
        <v>1</v>
      </c>
      <c r="BE2219">
        <v>0</v>
      </c>
      <c r="BF2219">
        <v>0</v>
      </c>
      <c r="BG2219">
        <v>0</v>
      </c>
      <c r="BH2219">
        <v>2225</v>
      </c>
      <c r="BI2219">
        <v>1</v>
      </c>
      <c r="BJ2219">
        <v>1</v>
      </c>
      <c r="BK2219">
        <v>0</v>
      </c>
      <c r="BL2219">
        <v>0</v>
      </c>
      <c r="BO2219">
        <v>0</v>
      </c>
      <c r="BP2219">
        <v>0</v>
      </c>
      <c r="BW2219" t="str">
        <f t="shared" ref="BW2219:BW2227" si="1049">"14:45:04.420"</f>
        <v>14:45:04.420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7</v>
      </c>
      <c r="CP2219" t="s">
        <v>119</v>
      </c>
      <c r="CQ2219">
        <v>343</v>
      </c>
      <c r="CR2219">
        <v>1</v>
      </c>
      <c r="CW2219">
        <v>10761503</v>
      </c>
      <c r="CY2219">
        <v>1</v>
      </c>
      <c r="CZ2219">
        <v>0</v>
      </c>
      <c r="DA2219">
        <v>0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 t="shared" si="1047"/>
        <v>05/12/2020 14:44:46.597</v>
      </c>
      <c r="C2220" t="str">
        <f t="shared" si="1037"/>
        <v>FFDFD3C0</v>
      </c>
      <c r="D2220" t="s">
        <v>126</v>
      </c>
      <c r="E2220">
        <v>7</v>
      </c>
      <c r="F2220">
        <v>1007</v>
      </c>
      <c r="G2220" t="s">
        <v>127</v>
      </c>
      <c r="J2220" t="s">
        <v>128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048"/>
        <v>14:45:04.414</v>
      </c>
      <c r="T2220" t="str">
        <f t="shared" si="1048"/>
        <v>14:45:04.414</v>
      </c>
      <c r="U2220" t="str">
        <f t="shared" si="1028"/>
        <v>A9808D</v>
      </c>
      <c r="V2220">
        <v>0</v>
      </c>
      <c r="W2220">
        <v>0</v>
      </c>
      <c r="X2220">
        <v>1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0</v>
      </c>
      <c r="AI2220" t="s">
        <v>567</v>
      </c>
      <c r="AJ2220">
        <v>28.259733000000001</v>
      </c>
      <c r="AK2220" t="s">
        <v>568</v>
      </c>
      <c r="AL2220">
        <v>-82.339996999999997</v>
      </c>
      <c r="AM2220">
        <v>100</v>
      </c>
      <c r="AN2220">
        <v>2100</v>
      </c>
      <c r="AO2220" t="s">
        <v>118</v>
      </c>
      <c r="AP2220">
        <v>92</v>
      </c>
      <c r="AQ2220">
        <v>-55</v>
      </c>
      <c r="AR2220">
        <v>384</v>
      </c>
      <c r="AZ2220">
        <v>1200</v>
      </c>
      <c r="BA2220">
        <v>1</v>
      </c>
      <c r="BB2220" t="str">
        <f t="shared" si="1038"/>
        <v xml:space="preserve">N711JA  </v>
      </c>
      <c r="BC2220">
        <v>1</v>
      </c>
      <c r="BE2220">
        <v>0</v>
      </c>
      <c r="BF2220">
        <v>0</v>
      </c>
      <c r="BG2220">
        <v>0</v>
      </c>
      <c r="BH2220">
        <v>2225</v>
      </c>
      <c r="BI2220">
        <v>1</v>
      </c>
      <c r="BJ2220">
        <v>1</v>
      </c>
      <c r="BK2220">
        <v>0</v>
      </c>
      <c r="BL2220">
        <v>0</v>
      </c>
      <c r="BO2220">
        <v>0</v>
      </c>
      <c r="BP2220">
        <v>0</v>
      </c>
      <c r="BW2220" t="str">
        <f t="shared" si="1049"/>
        <v>14:45:04.420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119</v>
      </c>
      <c r="CQ2220">
        <v>343</v>
      </c>
      <c r="CR2220">
        <v>1</v>
      </c>
      <c r="CW2220">
        <v>10761503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 t="shared" si="1047"/>
        <v>05/12/2020 14:44:46.597</v>
      </c>
      <c r="C2221" t="str">
        <f t="shared" si="1037"/>
        <v>FFDFD3C0</v>
      </c>
      <c r="D2221" t="s">
        <v>131</v>
      </c>
      <c r="E2221">
        <v>10</v>
      </c>
      <c r="F2221">
        <v>2010</v>
      </c>
      <c r="G2221" t="s">
        <v>132</v>
      </c>
      <c r="J2221" t="s">
        <v>133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048"/>
        <v>14:45:04.414</v>
      </c>
      <c r="T2221" t="str">
        <f t="shared" si="1048"/>
        <v>14:45:04.414</v>
      </c>
      <c r="U2221" t="str">
        <f t="shared" si="1028"/>
        <v>A9808D</v>
      </c>
      <c r="V2221">
        <v>0</v>
      </c>
      <c r="W2221">
        <v>0</v>
      </c>
      <c r="X2221">
        <v>1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0</v>
      </c>
      <c r="AI2221" t="s">
        <v>567</v>
      </c>
      <c r="AJ2221">
        <v>28.259733000000001</v>
      </c>
      <c r="AK2221" t="s">
        <v>568</v>
      </c>
      <c r="AL2221">
        <v>-82.339996999999997</v>
      </c>
      <c r="AM2221">
        <v>100</v>
      </c>
      <c r="AN2221">
        <v>2100</v>
      </c>
      <c r="AO2221" t="s">
        <v>118</v>
      </c>
      <c r="AP2221">
        <v>92</v>
      </c>
      <c r="AQ2221">
        <v>-55</v>
      </c>
      <c r="AR2221">
        <v>384</v>
      </c>
      <c r="AZ2221">
        <v>1200</v>
      </c>
      <c r="BA2221">
        <v>1</v>
      </c>
      <c r="BB2221" t="str">
        <f t="shared" si="1038"/>
        <v xml:space="preserve">N711JA  </v>
      </c>
      <c r="BC2221">
        <v>1</v>
      </c>
      <c r="BE2221">
        <v>0</v>
      </c>
      <c r="BF2221">
        <v>0</v>
      </c>
      <c r="BG2221">
        <v>0</v>
      </c>
      <c r="BH2221">
        <v>2225</v>
      </c>
      <c r="BI2221">
        <v>1</v>
      </c>
      <c r="BJ2221">
        <v>1</v>
      </c>
      <c r="BK2221">
        <v>0</v>
      </c>
      <c r="BL2221">
        <v>0</v>
      </c>
      <c r="BO2221">
        <v>0</v>
      </c>
      <c r="BP2221">
        <v>0</v>
      </c>
      <c r="BW2221" t="str">
        <f t="shared" si="1049"/>
        <v>14:45:04.420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7</v>
      </c>
      <c r="CP2221" t="s">
        <v>119</v>
      </c>
      <c r="CQ2221">
        <v>343</v>
      </c>
      <c r="CR2221">
        <v>1</v>
      </c>
      <c r="CW2221">
        <v>10761503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 t="shared" si="1047"/>
        <v>05/12/2020 14:44:46.597</v>
      </c>
      <c r="C2222" t="str">
        <f t="shared" si="1037"/>
        <v>FFDFD3C0</v>
      </c>
      <c r="D2222" t="s">
        <v>126</v>
      </c>
      <c r="E2222">
        <v>6</v>
      </c>
      <c r="F2222">
        <v>1006</v>
      </c>
      <c r="G2222" t="s">
        <v>114</v>
      </c>
      <c r="J2222" t="s">
        <v>128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048"/>
        <v>14:45:04.414</v>
      </c>
      <c r="T2222" t="str">
        <f t="shared" si="1048"/>
        <v>14:45:04.414</v>
      </c>
      <c r="U2222" t="str">
        <f t="shared" si="1028"/>
        <v>A9808D</v>
      </c>
      <c r="V2222">
        <v>0</v>
      </c>
      <c r="W2222">
        <v>0</v>
      </c>
      <c r="X2222">
        <v>1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0</v>
      </c>
      <c r="AI2222" t="s">
        <v>567</v>
      </c>
      <c r="AJ2222">
        <v>28.259733000000001</v>
      </c>
      <c r="AK2222" t="s">
        <v>568</v>
      </c>
      <c r="AL2222">
        <v>-82.339996999999997</v>
      </c>
      <c r="AM2222">
        <v>100</v>
      </c>
      <c r="AN2222">
        <v>2100</v>
      </c>
      <c r="AO2222" t="s">
        <v>118</v>
      </c>
      <c r="AP2222">
        <v>92</v>
      </c>
      <c r="AQ2222">
        <v>-55</v>
      </c>
      <c r="AR2222">
        <v>384</v>
      </c>
      <c r="AZ2222">
        <v>1200</v>
      </c>
      <c r="BA2222">
        <v>1</v>
      </c>
      <c r="BB2222" t="str">
        <f t="shared" si="1038"/>
        <v xml:space="preserve">N711JA  </v>
      </c>
      <c r="BC2222">
        <v>1</v>
      </c>
      <c r="BE2222">
        <v>0</v>
      </c>
      <c r="BF2222">
        <v>0</v>
      </c>
      <c r="BG2222">
        <v>0</v>
      </c>
      <c r="BH2222">
        <v>2225</v>
      </c>
      <c r="BI2222">
        <v>1</v>
      </c>
      <c r="BJ2222">
        <v>1</v>
      </c>
      <c r="BK2222">
        <v>0</v>
      </c>
      <c r="BL2222">
        <v>0</v>
      </c>
      <c r="BO2222">
        <v>0</v>
      </c>
      <c r="BP2222">
        <v>0</v>
      </c>
      <c r="BW2222" t="str">
        <f t="shared" si="1049"/>
        <v>14:45:04.420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7</v>
      </c>
      <c r="CP2222" t="s">
        <v>119</v>
      </c>
      <c r="CQ2222">
        <v>343</v>
      </c>
      <c r="CR2222">
        <v>1</v>
      </c>
      <c r="CW2222">
        <v>10761503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 t="shared" si="1047"/>
        <v>05/12/2020 14:44:46.597</v>
      </c>
      <c r="C2223" t="str">
        <f t="shared" si="1037"/>
        <v>FFDFD3C0</v>
      </c>
      <c r="D2223" t="s">
        <v>131</v>
      </c>
      <c r="E2223">
        <v>12</v>
      </c>
      <c r="F2223">
        <v>2012</v>
      </c>
      <c r="G2223" t="s">
        <v>137</v>
      </c>
      <c r="J2223" t="s">
        <v>133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048"/>
        <v>14:45:04.414</v>
      </c>
      <c r="T2223" t="str">
        <f t="shared" si="1048"/>
        <v>14:45:04.414</v>
      </c>
      <c r="U2223" t="str">
        <f t="shared" si="1028"/>
        <v>A9808D</v>
      </c>
      <c r="V2223">
        <v>0</v>
      </c>
      <c r="W2223">
        <v>0</v>
      </c>
      <c r="X2223">
        <v>1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0</v>
      </c>
      <c r="AI2223" t="s">
        <v>567</v>
      </c>
      <c r="AJ2223">
        <v>28.259733000000001</v>
      </c>
      <c r="AK2223" t="s">
        <v>568</v>
      </c>
      <c r="AL2223">
        <v>-82.339996999999997</v>
      </c>
      <c r="AM2223">
        <v>100</v>
      </c>
      <c r="AN2223">
        <v>2100</v>
      </c>
      <c r="AO2223" t="s">
        <v>118</v>
      </c>
      <c r="AP2223">
        <v>92</v>
      </c>
      <c r="AQ2223">
        <v>-55</v>
      </c>
      <c r="AR2223">
        <v>384</v>
      </c>
      <c r="AZ2223">
        <v>1200</v>
      </c>
      <c r="BA2223">
        <v>1</v>
      </c>
      <c r="BB2223" t="str">
        <f t="shared" si="1038"/>
        <v xml:space="preserve">N711JA  </v>
      </c>
      <c r="BC2223">
        <v>1</v>
      </c>
      <c r="BE2223">
        <v>0</v>
      </c>
      <c r="BF2223">
        <v>0</v>
      </c>
      <c r="BG2223">
        <v>0</v>
      </c>
      <c r="BH2223">
        <v>2225</v>
      </c>
      <c r="BI2223">
        <v>1</v>
      </c>
      <c r="BJ2223">
        <v>1</v>
      </c>
      <c r="BK2223">
        <v>0</v>
      </c>
      <c r="BL2223">
        <v>0</v>
      </c>
      <c r="BO2223">
        <v>0</v>
      </c>
      <c r="BP2223">
        <v>0</v>
      </c>
      <c r="BW2223" t="str">
        <f t="shared" si="1049"/>
        <v>14:45:04.420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343</v>
      </c>
      <c r="CR2223">
        <v>1</v>
      </c>
      <c r="CW2223">
        <v>10761503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 t="shared" si="1047"/>
        <v>05/12/2020 14:44:46.597</v>
      </c>
      <c r="C2224" t="str">
        <f t="shared" si="1037"/>
        <v>FFDFD3C0</v>
      </c>
      <c r="D2224" t="s">
        <v>131</v>
      </c>
      <c r="E2224">
        <v>18</v>
      </c>
      <c r="F2224">
        <v>2018</v>
      </c>
      <c r="G2224" t="s">
        <v>161</v>
      </c>
      <c r="J2224" t="s">
        <v>133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048"/>
        <v>14:45:04.414</v>
      </c>
      <c r="T2224" t="str">
        <f t="shared" si="1048"/>
        <v>14:45:04.414</v>
      </c>
      <c r="U2224" t="str">
        <f t="shared" si="1028"/>
        <v>A9808D</v>
      </c>
      <c r="V2224">
        <v>0</v>
      </c>
      <c r="W2224">
        <v>0</v>
      </c>
      <c r="X2224">
        <v>1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0</v>
      </c>
      <c r="AI2224" t="s">
        <v>567</v>
      </c>
      <c r="AJ2224">
        <v>28.259733000000001</v>
      </c>
      <c r="AK2224" t="s">
        <v>568</v>
      </c>
      <c r="AL2224">
        <v>-82.339996999999997</v>
      </c>
      <c r="AM2224">
        <v>100</v>
      </c>
      <c r="AN2224">
        <v>2100</v>
      </c>
      <c r="AO2224" t="s">
        <v>118</v>
      </c>
      <c r="AP2224">
        <v>92</v>
      </c>
      <c r="AQ2224">
        <v>-55</v>
      </c>
      <c r="AR2224">
        <v>384</v>
      </c>
      <c r="AZ2224">
        <v>1200</v>
      </c>
      <c r="BA2224">
        <v>1</v>
      </c>
      <c r="BB2224" t="str">
        <f t="shared" si="1038"/>
        <v xml:space="preserve">N711JA  </v>
      </c>
      <c r="BC2224">
        <v>1</v>
      </c>
      <c r="BE2224">
        <v>0</v>
      </c>
      <c r="BF2224">
        <v>0</v>
      </c>
      <c r="BG2224">
        <v>0</v>
      </c>
      <c r="BH2224">
        <v>2225</v>
      </c>
      <c r="BI2224">
        <v>1</v>
      </c>
      <c r="BJ2224">
        <v>1</v>
      </c>
      <c r="BK2224">
        <v>0</v>
      </c>
      <c r="BL2224">
        <v>0</v>
      </c>
      <c r="BO2224">
        <v>0</v>
      </c>
      <c r="BP2224">
        <v>0</v>
      </c>
      <c r="BW2224" t="str">
        <f t="shared" si="1049"/>
        <v>14:45:04.420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343</v>
      </c>
      <c r="CR2224">
        <v>1</v>
      </c>
      <c r="CW2224">
        <v>10761503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 t="shared" si="1047"/>
        <v>05/12/2020 14:44:46.597</v>
      </c>
      <c r="C2225" t="str">
        <f t="shared" si="1037"/>
        <v>FFDFD3C0</v>
      </c>
      <c r="D2225" t="s">
        <v>113</v>
      </c>
      <c r="E2225">
        <v>3</v>
      </c>
      <c r="H2225">
        <v>164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048"/>
        <v>14:45:04.414</v>
      </c>
      <c r="T2225" t="str">
        <f t="shared" si="1048"/>
        <v>14:45:04.414</v>
      </c>
      <c r="U2225" t="str">
        <f t="shared" si="1028"/>
        <v>A9808D</v>
      </c>
      <c r="V2225">
        <v>0</v>
      </c>
      <c r="W2225">
        <v>0</v>
      </c>
      <c r="X2225">
        <v>1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0</v>
      </c>
      <c r="AI2225" t="s">
        <v>567</v>
      </c>
      <c r="AJ2225">
        <v>28.259733000000001</v>
      </c>
      <c r="AK2225" t="s">
        <v>568</v>
      </c>
      <c r="AL2225">
        <v>-82.339996999999997</v>
      </c>
      <c r="AM2225">
        <v>100</v>
      </c>
      <c r="AN2225">
        <v>2100</v>
      </c>
      <c r="AO2225" t="s">
        <v>118</v>
      </c>
      <c r="AP2225">
        <v>92</v>
      </c>
      <c r="AQ2225">
        <v>-55</v>
      </c>
      <c r="AR2225">
        <v>384</v>
      </c>
      <c r="AZ2225">
        <v>1200</v>
      </c>
      <c r="BA2225">
        <v>1</v>
      </c>
      <c r="BB2225" t="str">
        <f t="shared" si="1038"/>
        <v xml:space="preserve">N711JA  </v>
      </c>
      <c r="BC2225">
        <v>1</v>
      </c>
      <c r="BE2225">
        <v>0</v>
      </c>
      <c r="BF2225">
        <v>0</v>
      </c>
      <c r="BG2225">
        <v>0</v>
      </c>
      <c r="BH2225">
        <v>2225</v>
      </c>
      <c r="BI2225">
        <v>1</v>
      </c>
      <c r="BJ2225">
        <v>1</v>
      </c>
      <c r="BK2225">
        <v>0</v>
      </c>
      <c r="BL2225">
        <v>0</v>
      </c>
      <c r="BO2225">
        <v>0</v>
      </c>
      <c r="BP2225">
        <v>0</v>
      </c>
      <c r="BW2225" t="str">
        <f t="shared" si="1049"/>
        <v>14:45:04.420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343</v>
      </c>
      <c r="CR2225">
        <v>1</v>
      </c>
      <c r="CW2225">
        <v>10761503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 t="shared" si="1047"/>
        <v>05/12/2020 14:44:46.597</v>
      </c>
      <c r="C2226" t="str">
        <f t="shared" si="1037"/>
        <v>FFDFD3C0</v>
      </c>
      <c r="D2226" t="s">
        <v>138</v>
      </c>
      <c r="E2226">
        <v>2</v>
      </c>
      <c r="H2226">
        <v>8</v>
      </c>
      <c r="I2226" t="s">
        <v>139</v>
      </c>
      <c r="J2226" t="s">
        <v>136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048"/>
        <v>14:45:04.414</v>
      </c>
      <c r="T2226" t="str">
        <f t="shared" si="1048"/>
        <v>14:45:04.414</v>
      </c>
      <c r="U2226" t="str">
        <f t="shared" si="1028"/>
        <v>A9808D</v>
      </c>
      <c r="V2226">
        <v>0</v>
      </c>
      <c r="W2226">
        <v>0</v>
      </c>
      <c r="X2226">
        <v>1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0</v>
      </c>
      <c r="AI2226" t="s">
        <v>567</v>
      </c>
      <c r="AJ2226">
        <v>28.259733000000001</v>
      </c>
      <c r="AK2226" t="s">
        <v>568</v>
      </c>
      <c r="AL2226">
        <v>-82.339996999999997</v>
      </c>
      <c r="AM2226">
        <v>100</v>
      </c>
      <c r="AN2226">
        <v>2100</v>
      </c>
      <c r="AO2226" t="s">
        <v>118</v>
      </c>
      <c r="AP2226">
        <v>92</v>
      </c>
      <c r="AQ2226">
        <v>-55</v>
      </c>
      <c r="AR2226">
        <v>384</v>
      </c>
      <c r="AZ2226">
        <v>1200</v>
      </c>
      <c r="BA2226">
        <v>1</v>
      </c>
      <c r="BB2226" t="str">
        <f t="shared" si="1038"/>
        <v xml:space="preserve">N711JA  </v>
      </c>
      <c r="BC2226">
        <v>1</v>
      </c>
      <c r="BE2226">
        <v>0</v>
      </c>
      <c r="BF2226">
        <v>0</v>
      </c>
      <c r="BG2226">
        <v>0</v>
      </c>
      <c r="BH2226">
        <v>2225</v>
      </c>
      <c r="BI2226">
        <v>1</v>
      </c>
      <c r="BJ2226">
        <v>1</v>
      </c>
      <c r="BK2226">
        <v>0</v>
      </c>
      <c r="BL2226">
        <v>0</v>
      </c>
      <c r="BO2226">
        <v>0</v>
      </c>
      <c r="BP2226">
        <v>0</v>
      </c>
      <c r="BW2226" t="str">
        <f t="shared" si="1049"/>
        <v>14:45:04.420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343</v>
      </c>
      <c r="CR2226">
        <v>1</v>
      </c>
      <c r="CW2226">
        <v>10761503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 t="shared" si="1047"/>
        <v>05/12/2020 14:44:46.597</v>
      </c>
      <c r="C2227" t="str">
        <f t="shared" si="1037"/>
        <v>FFDFD3C0</v>
      </c>
      <c r="D2227" t="s">
        <v>138</v>
      </c>
      <c r="E2227">
        <v>3</v>
      </c>
      <c r="H2227">
        <v>9</v>
      </c>
      <c r="I2227" t="s">
        <v>140</v>
      </c>
      <c r="J2227" t="s">
        <v>136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048"/>
        <v>14:45:04.414</v>
      </c>
      <c r="T2227" t="str">
        <f t="shared" si="1048"/>
        <v>14:45:04.414</v>
      </c>
      <c r="U2227" t="str">
        <f t="shared" si="1028"/>
        <v>A9808D</v>
      </c>
      <c r="V2227">
        <v>0</v>
      </c>
      <c r="W2227">
        <v>0</v>
      </c>
      <c r="X2227">
        <v>1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0</v>
      </c>
      <c r="AI2227" t="s">
        <v>567</v>
      </c>
      <c r="AJ2227">
        <v>28.259733000000001</v>
      </c>
      <c r="AK2227" t="s">
        <v>568</v>
      </c>
      <c r="AL2227">
        <v>-82.339996999999997</v>
      </c>
      <c r="AM2227">
        <v>100</v>
      </c>
      <c r="AN2227">
        <v>2100</v>
      </c>
      <c r="AO2227" t="s">
        <v>118</v>
      </c>
      <c r="AP2227">
        <v>92</v>
      </c>
      <c r="AQ2227">
        <v>-55</v>
      </c>
      <c r="AR2227">
        <v>384</v>
      </c>
      <c r="AZ2227">
        <v>1200</v>
      </c>
      <c r="BA2227">
        <v>1</v>
      </c>
      <c r="BB2227" t="str">
        <f t="shared" si="1038"/>
        <v xml:space="preserve">N711JA  </v>
      </c>
      <c r="BC2227">
        <v>1</v>
      </c>
      <c r="BE2227">
        <v>0</v>
      </c>
      <c r="BF2227">
        <v>0</v>
      </c>
      <c r="BG2227">
        <v>0</v>
      </c>
      <c r="BH2227">
        <v>2225</v>
      </c>
      <c r="BI2227">
        <v>1</v>
      </c>
      <c r="BJ2227">
        <v>1</v>
      </c>
      <c r="BK2227">
        <v>0</v>
      </c>
      <c r="BL2227">
        <v>0</v>
      </c>
      <c r="BO2227">
        <v>0</v>
      </c>
      <c r="BP2227">
        <v>0</v>
      </c>
      <c r="BW2227" t="str">
        <f t="shared" si="1049"/>
        <v>14:45:04.420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343</v>
      </c>
      <c r="CR2227">
        <v>1</v>
      </c>
      <c r="CW2227">
        <v>10761503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 t="shared" ref="A2228:A2236" si="1050">"05/12/2020 14:44:47.493"</f>
        <v>05/12/2020 14:44:47.493</v>
      </c>
      <c r="C2228" t="str">
        <f t="shared" si="1037"/>
        <v>FFDFD3C0</v>
      </c>
      <c r="D2228" t="s">
        <v>138</v>
      </c>
      <c r="E2228">
        <v>3</v>
      </c>
      <c r="H2228">
        <v>9</v>
      </c>
      <c r="I2228" t="s">
        <v>140</v>
      </c>
      <c r="J2228" t="s">
        <v>136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ref="S2228:S2236" si="1051">"14:45:05.320"</f>
        <v>14:45:05.320</v>
      </c>
      <c r="T2228" t="str">
        <f t="shared" ref="T2228:T2236" si="1052">"14:45:05.020"</f>
        <v>14:45:05.020</v>
      </c>
      <c r="U2228" t="str">
        <f t="shared" si="1028"/>
        <v>A9808D</v>
      </c>
      <c r="V2228">
        <v>0</v>
      </c>
      <c r="W2228">
        <v>0</v>
      </c>
      <c r="X2228">
        <v>1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0</v>
      </c>
      <c r="AI2228" t="s">
        <v>569</v>
      </c>
      <c r="AJ2228">
        <v>28.259497</v>
      </c>
      <c r="AK2228" t="s">
        <v>570</v>
      </c>
      <c r="AL2228">
        <v>-82.339568</v>
      </c>
      <c r="AM2228">
        <v>100</v>
      </c>
      <c r="AN2228">
        <v>2100</v>
      </c>
      <c r="AO2228" t="s">
        <v>118</v>
      </c>
      <c r="AP2228">
        <v>92</v>
      </c>
      <c r="AQ2228">
        <v>-54</v>
      </c>
      <c r="AR2228">
        <v>384</v>
      </c>
      <c r="AZ2228">
        <v>1200</v>
      </c>
      <c r="BA2228">
        <v>1</v>
      </c>
      <c r="BB2228" t="str">
        <f t="shared" si="1038"/>
        <v xml:space="preserve">N711JA  </v>
      </c>
      <c r="BC2228">
        <v>1</v>
      </c>
      <c r="BE2228">
        <v>0</v>
      </c>
      <c r="BF2228">
        <v>0</v>
      </c>
      <c r="BG2228">
        <v>0</v>
      </c>
      <c r="BH2228">
        <v>2225</v>
      </c>
      <c r="BI2228">
        <v>1</v>
      </c>
      <c r="BJ2228">
        <v>1</v>
      </c>
      <c r="BK2228">
        <v>0</v>
      </c>
      <c r="BL2228">
        <v>0</v>
      </c>
      <c r="BO2228">
        <v>0</v>
      </c>
      <c r="BP2228">
        <v>0</v>
      </c>
      <c r="BW2228" t="str">
        <f t="shared" ref="BW2228:BW2236" si="1053">"14:45:05.322"</f>
        <v>14:45:05.322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8</v>
      </c>
      <c r="CR2228">
        <v>3</v>
      </c>
      <c r="CW2228">
        <v>8888150</v>
      </c>
      <c r="CY2228">
        <v>1</v>
      </c>
      <c r="CZ2228">
        <v>0</v>
      </c>
      <c r="DA2228">
        <v>0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 t="shared" si="1050"/>
        <v>05/12/2020 14:44:47.493</v>
      </c>
      <c r="C2229" t="str">
        <f t="shared" si="1037"/>
        <v>FFDFD3C0</v>
      </c>
      <c r="D2229" t="s">
        <v>126</v>
      </c>
      <c r="E2229">
        <v>7</v>
      </c>
      <c r="F2229">
        <v>1007</v>
      </c>
      <c r="G2229" t="s">
        <v>127</v>
      </c>
      <c r="J2229" t="s">
        <v>128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051"/>
        <v>14:45:05.320</v>
      </c>
      <c r="T2229" t="str">
        <f t="shared" si="1052"/>
        <v>14:45:05.020</v>
      </c>
      <c r="U2229" t="str">
        <f t="shared" si="1028"/>
        <v>A9808D</v>
      </c>
      <c r="V2229">
        <v>0</v>
      </c>
      <c r="W2229">
        <v>0</v>
      </c>
      <c r="X2229">
        <v>1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0</v>
      </c>
      <c r="AI2229" t="s">
        <v>569</v>
      </c>
      <c r="AJ2229">
        <v>28.259497</v>
      </c>
      <c r="AK2229" t="s">
        <v>570</v>
      </c>
      <c r="AL2229">
        <v>-82.339568</v>
      </c>
      <c r="AM2229">
        <v>100</v>
      </c>
      <c r="AN2229">
        <v>2100</v>
      </c>
      <c r="AO2229" t="s">
        <v>118</v>
      </c>
      <c r="AP2229">
        <v>92</v>
      </c>
      <c r="AQ2229">
        <v>-54</v>
      </c>
      <c r="AR2229">
        <v>384</v>
      </c>
      <c r="AZ2229">
        <v>1200</v>
      </c>
      <c r="BA2229">
        <v>1</v>
      </c>
      <c r="BB2229" t="str">
        <f t="shared" si="1038"/>
        <v xml:space="preserve">N711JA  </v>
      </c>
      <c r="BC2229">
        <v>1</v>
      </c>
      <c r="BE2229">
        <v>0</v>
      </c>
      <c r="BF2229">
        <v>0</v>
      </c>
      <c r="BG2229">
        <v>0</v>
      </c>
      <c r="BH2229">
        <v>2225</v>
      </c>
      <c r="BI2229">
        <v>1</v>
      </c>
      <c r="BJ2229">
        <v>1</v>
      </c>
      <c r="BK2229">
        <v>0</v>
      </c>
      <c r="BL2229">
        <v>0</v>
      </c>
      <c r="BO2229">
        <v>0</v>
      </c>
      <c r="BP2229">
        <v>0</v>
      </c>
      <c r="BW2229" t="str">
        <f t="shared" si="1053"/>
        <v>14:45:05.322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7</v>
      </c>
      <c r="CP2229" t="s">
        <v>119</v>
      </c>
      <c r="CQ2229">
        <v>8</v>
      </c>
      <c r="CR2229">
        <v>3</v>
      </c>
      <c r="CW2229">
        <v>8888150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 t="shared" si="1050"/>
        <v>05/12/2020 14:44:47.493</v>
      </c>
      <c r="C2230" t="str">
        <f t="shared" si="1037"/>
        <v>FFDFD3C0</v>
      </c>
      <c r="D2230" t="s">
        <v>131</v>
      </c>
      <c r="E2230">
        <v>10</v>
      </c>
      <c r="F2230">
        <v>2010</v>
      </c>
      <c r="G2230" t="s">
        <v>132</v>
      </c>
      <c r="J2230" t="s">
        <v>133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051"/>
        <v>14:45:05.320</v>
      </c>
      <c r="T2230" t="str">
        <f t="shared" si="1052"/>
        <v>14:45:05.020</v>
      </c>
      <c r="U2230" t="str">
        <f t="shared" si="1028"/>
        <v>A9808D</v>
      </c>
      <c r="V2230">
        <v>0</v>
      </c>
      <c r="W2230">
        <v>0</v>
      </c>
      <c r="X2230">
        <v>1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0</v>
      </c>
      <c r="AI2230" t="s">
        <v>569</v>
      </c>
      <c r="AJ2230">
        <v>28.259497</v>
      </c>
      <c r="AK2230" t="s">
        <v>570</v>
      </c>
      <c r="AL2230">
        <v>-82.339568</v>
      </c>
      <c r="AM2230">
        <v>100</v>
      </c>
      <c r="AN2230">
        <v>2100</v>
      </c>
      <c r="AO2230" t="s">
        <v>118</v>
      </c>
      <c r="AP2230">
        <v>92</v>
      </c>
      <c r="AQ2230">
        <v>-54</v>
      </c>
      <c r="AR2230">
        <v>384</v>
      </c>
      <c r="AZ2230">
        <v>1200</v>
      </c>
      <c r="BA2230">
        <v>1</v>
      </c>
      <c r="BB2230" t="str">
        <f t="shared" si="1038"/>
        <v xml:space="preserve">N711JA  </v>
      </c>
      <c r="BC2230">
        <v>1</v>
      </c>
      <c r="BE2230">
        <v>0</v>
      </c>
      <c r="BF2230">
        <v>0</v>
      </c>
      <c r="BG2230">
        <v>0</v>
      </c>
      <c r="BH2230">
        <v>2225</v>
      </c>
      <c r="BI2230">
        <v>1</v>
      </c>
      <c r="BJ2230">
        <v>1</v>
      </c>
      <c r="BK2230">
        <v>0</v>
      </c>
      <c r="BL2230">
        <v>0</v>
      </c>
      <c r="BO2230">
        <v>0</v>
      </c>
      <c r="BP2230">
        <v>0</v>
      </c>
      <c r="BW2230" t="str">
        <f t="shared" si="1053"/>
        <v>14:45:05.322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7</v>
      </c>
      <c r="CP2230" t="s">
        <v>119</v>
      </c>
      <c r="CQ2230">
        <v>8</v>
      </c>
      <c r="CR2230">
        <v>3</v>
      </c>
      <c r="CW2230">
        <v>8888150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 t="shared" si="1050"/>
        <v>05/12/2020 14:44:47.493</v>
      </c>
      <c r="C2231" t="str">
        <f t="shared" si="1037"/>
        <v>FFDFD3C0</v>
      </c>
      <c r="D2231" t="s">
        <v>134</v>
      </c>
      <c r="E2231">
        <v>12</v>
      </c>
      <c r="H2231">
        <v>64</v>
      </c>
      <c r="I2231" t="s">
        <v>135</v>
      </c>
      <c r="J2231" t="s">
        <v>136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051"/>
        <v>14:45:05.320</v>
      </c>
      <c r="T2231" t="str">
        <f t="shared" si="1052"/>
        <v>14:45:05.020</v>
      </c>
      <c r="U2231" t="str">
        <f t="shared" si="1028"/>
        <v>A9808D</v>
      </c>
      <c r="V2231">
        <v>0</v>
      </c>
      <c r="W2231">
        <v>0</v>
      </c>
      <c r="X2231">
        <v>1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0</v>
      </c>
      <c r="AI2231" t="s">
        <v>569</v>
      </c>
      <c r="AJ2231">
        <v>28.259497</v>
      </c>
      <c r="AK2231" t="s">
        <v>570</v>
      </c>
      <c r="AL2231">
        <v>-82.339568</v>
      </c>
      <c r="AM2231">
        <v>100</v>
      </c>
      <c r="AN2231">
        <v>2100</v>
      </c>
      <c r="AO2231" t="s">
        <v>118</v>
      </c>
      <c r="AP2231">
        <v>92</v>
      </c>
      <c r="AQ2231">
        <v>-54</v>
      </c>
      <c r="AR2231">
        <v>384</v>
      </c>
      <c r="AZ2231">
        <v>1200</v>
      </c>
      <c r="BA2231">
        <v>1</v>
      </c>
      <c r="BB2231" t="str">
        <f t="shared" si="1038"/>
        <v xml:space="preserve">N711JA  </v>
      </c>
      <c r="BC2231">
        <v>1</v>
      </c>
      <c r="BE2231">
        <v>0</v>
      </c>
      <c r="BF2231">
        <v>0</v>
      </c>
      <c r="BG2231">
        <v>0</v>
      </c>
      <c r="BH2231">
        <v>2225</v>
      </c>
      <c r="BI2231">
        <v>1</v>
      </c>
      <c r="BJ2231">
        <v>1</v>
      </c>
      <c r="BK2231">
        <v>0</v>
      </c>
      <c r="BL2231">
        <v>0</v>
      </c>
      <c r="BO2231">
        <v>0</v>
      </c>
      <c r="BP2231">
        <v>0</v>
      </c>
      <c r="BW2231" t="str">
        <f t="shared" si="1053"/>
        <v>14:45:05.322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7</v>
      </c>
      <c r="CP2231" t="s">
        <v>119</v>
      </c>
      <c r="CQ2231">
        <v>8</v>
      </c>
      <c r="CR2231">
        <v>3</v>
      </c>
      <c r="CW2231">
        <v>8888150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 t="shared" si="1050"/>
        <v>05/12/2020 14:44:47.493</v>
      </c>
      <c r="C2232" t="str">
        <f t="shared" si="1037"/>
        <v>FFDFD3C0</v>
      </c>
      <c r="D2232" t="s">
        <v>126</v>
      </c>
      <c r="E2232">
        <v>6</v>
      </c>
      <c r="F2232">
        <v>1006</v>
      </c>
      <c r="G2232" t="s">
        <v>114</v>
      </c>
      <c r="J2232" t="s">
        <v>128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051"/>
        <v>14:45:05.320</v>
      </c>
      <c r="T2232" t="str">
        <f t="shared" si="1052"/>
        <v>14:45:05.020</v>
      </c>
      <c r="U2232" t="str">
        <f t="shared" si="1028"/>
        <v>A9808D</v>
      </c>
      <c r="V2232">
        <v>0</v>
      </c>
      <c r="W2232">
        <v>0</v>
      </c>
      <c r="X2232">
        <v>1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0</v>
      </c>
      <c r="AI2232" t="s">
        <v>569</v>
      </c>
      <c r="AJ2232">
        <v>28.259497</v>
      </c>
      <c r="AK2232" t="s">
        <v>570</v>
      </c>
      <c r="AL2232">
        <v>-82.339568</v>
      </c>
      <c r="AM2232">
        <v>100</v>
      </c>
      <c r="AN2232">
        <v>2100</v>
      </c>
      <c r="AO2232" t="s">
        <v>118</v>
      </c>
      <c r="AP2232">
        <v>92</v>
      </c>
      <c r="AQ2232">
        <v>-54</v>
      </c>
      <c r="AR2232">
        <v>384</v>
      </c>
      <c r="AZ2232">
        <v>1200</v>
      </c>
      <c r="BA2232">
        <v>1</v>
      </c>
      <c r="BB2232" t="str">
        <f t="shared" si="1038"/>
        <v xml:space="preserve">N711JA  </v>
      </c>
      <c r="BC2232">
        <v>1</v>
      </c>
      <c r="BE2232">
        <v>0</v>
      </c>
      <c r="BF2232">
        <v>0</v>
      </c>
      <c r="BG2232">
        <v>0</v>
      </c>
      <c r="BH2232">
        <v>2225</v>
      </c>
      <c r="BI2232">
        <v>1</v>
      </c>
      <c r="BJ2232">
        <v>1</v>
      </c>
      <c r="BK2232">
        <v>0</v>
      </c>
      <c r="BL2232">
        <v>0</v>
      </c>
      <c r="BO2232">
        <v>0</v>
      </c>
      <c r="BP2232">
        <v>0</v>
      </c>
      <c r="BW2232" t="str">
        <f t="shared" si="1053"/>
        <v>14:45:05.322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119</v>
      </c>
      <c r="CQ2232">
        <v>8</v>
      </c>
      <c r="CR2232">
        <v>3</v>
      </c>
      <c r="CW2232">
        <v>8888150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 t="shared" si="1050"/>
        <v>05/12/2020 14:44:47.493</v>
      </c>
      <c r="C2233" t="str">
        <f t="shared" si="1037"/>
        <v>FFDFD3C0</v>
      </c>
      <c r="D2233" t="s">
        <v>131</v>
      </c>
      <c r="E2233">
        <v>12</v>
      </c>
      <c r="F2233">
        <v>2012</v>
      </c>
      <c r="G2233" t="s">
        <v>137</v>
      </c>
      <c r="J2233" t="s">
        <v>133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051"/>
        <v>14:45:05.320</v>
      </c>
      <c r="T2233" t="str">
        <f t="shared" si="1052"/>
        <v>14:45:05.020</v>
      </c>
      <c r="U2233" t="str">
        <f t="shared" si="1028"/>
        <v>A9808D</v>
      </c>
      <c r="V2233">
        <v>0</v>
      </c>
      <c r="W2233">
        <v>0</v>
      </c>
      <c r="X2233">
        <v>1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0</v>
      </c>
      <c r="AI2233" t="s">
        <v>569</v>
      </c>
      <c r="AJ2233">
        <v>28.259497</v>
      </c>
      <c r="AK2233" t="s">
        <v>570</v>
      </c>
      <c r="AL2233">
        <v>-82.339568</v>
      </c>
      <c r="AM2233">
        <v>100</v>
      </c>
      <c r="AN2233">
        <v>2100</v>
      </c>
      <c r="AO2233" t="s">
        <v>118</v>
      </c>
      <c r="AP2233">
        <v>92</v>
      </c>
      <c r="AQ2233">
        <v>-54</v>
      </c>
      <c r="AR2233">
        <v>384</v>
      </c>
      <c r="AZ2233">
        <v>1200</v>
      </c>
      <c r="BA2233">
        <v>1</v>
      </c>
      <c r="BB2233" t="str">
        <f t="shared" si="1038"/>
        <v xml:space="preserve">N711JA  </v>
      </c>
      <c r="BC2233">
        <v>1</v>
      </c>
      <c r="BE2233">
        <v>0</v>
      </c>
      <c r="BF2233">
        <v>0</v>
      </c>
      <c r="BG2233">
        <v>0</v>
      </c>
      <c r="BH2233">
        <v>2225</v>
      </c>
      <c r="BI2233">
        <v>1</v>
      </c>
      <c r="BJ2233">
        <v>1</v>
      </c>
      <c r="BK2233">
        <v>0</v>
      </c>
      <c r="BL2233">
        <v>0</v>
      </c>
      <c r="BO2233">
        <v>0</v>
      </c>
      <c r="BP2233">
        <v>0</v>
      </c>
      <c r="BW2233" t="str">
        <f t="shared" si="1053"/>
        <v>14:45:05.322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8</v>
      </c>
      <c r="CR2233">
        <v>3</v>
      </c>
      <c r="CW2233">
        <v>8888150</v>
      </c>
      <c r="CY2233">
        <v>1</v>
      </c>
      <c r="CZ2233">
        <v>0</v>
      </c>
      <c r="DA2233">
        <v>1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 t="shared" si="1050"/>
        <v>05/12/2020 14:44:47.493</v>
      </c>
      <c r="C2234" t="str">
        <f t="shared" si="1037"/>
        <v>FFDFD3C0</v>
      </c>
      <c r="D2234" t="s">
        <v>131</v>
      </c>
      <c r="E2234">
        <v>18</v>
      </c>
      <c r="F2234">
        <v>2018</v>
      </c>
      <c r="G2234" t="s">
        <v>161</v>
      </c>
      <c r="J2234" t="s">
        <v>133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051"/>
        <v>14:45:05.320</v>
      </c>
      <c r="T2234" t="str">
        <f t="shared" si="1052"/>
        <v>14:45:05.020</v>
      </c>
      <c r="U2234" t="str">
        <f t="shared" si="1028"/>
        <v>A9808D</v>
      </c>
      <c r="V2234">
        <v>0</v>
      </c>
      <c r="W2234">
        <v>0</v>
      </c>
      <c r="X2234">
        <v>1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0</v>
      </c>
      <c r="AI2234" t="s">
        <v>569</v>
      </c>
      <c r="AJ2234">
        <v>28.259497</v>
      </c>
      <c r="AK2234" t="s">
        <v>570</v>
      </c>
      <c r="AL2234">
        <v>-82.339568</v>
      </c>
      <c r="AM2234">
        <v>100</v>
      </c>
      <c r="AN2234">
        <v>2100</v>
      </c>
      <c r="AO2234" t="s">
        <v>118</v>
      </c>
      <c r="AP2234">
        <v>92</v>
      </c>
      <c r="AQ2234">
        <v>-54</v>
      </c>
      <c r="AR2234">
        <v>384</v>
      </c>
      <c r="AZ2234">
        <v>1200</v>
      </c>
      <c r="BA2234">
        <v>1</v>
      </c>
      <c r="BB2234" t="str">
        <f t="shared" si="1038"/>
        <v xml:space="preserve">N711JA  </v>
      </c>
      <c r="BC2234">
        <v>1</v>
      </c>
      <c r="BE2234">
        <v>0</v>
      </c>
      <c r="BF2234">
        <v>0</v>
      </c>
      <c r="BG2234">
        <v>0</v>
      </c>
      <c r="BH2234">
        <v>2225</v>
      </c>
      <c r="BI2234">
        <v>1</v>
      </c>
      <c r="BJ2234">
        <v>1</v>
      </c>
      <c r="BK2234">
        <v>0</v>
      </c>
      <c r="BL2234">
        <v>0</v>
      </c>
      <c r="BO2234">
        <v>0</v>
      </c>
      <c r="BP2234">
        <v>0</v>
      </c>
      <c r="BW2234" t="str">
        <f t="shared" si="1053"/>
        <v>14:45:05.322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56</v>
      </c>
      <c r="CR2234">
        <v>2</v>
      </c>
      <c r="CW2234">
        <v>4830304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 t="shared" si="1050"/>
        <v>05/12/2020 14:44:47.493</v>
      </c>
      <c r="C2235" t="str">
        <f t="shared" si="1037"/>
        <v>FFDFD3C0</v>
      </c>
      <c r="D2235" t="s">
        <v>113</v>
      </c>
      <c r="E2235">
        <v>3</v>
      </c>
      <c r="H2235">
        <v>164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051"/>
        <v>14:45:05.320</v>
      </c>
      <c r="T2235" t="str">
        <f t="shared" si="1052"/>
        <v>14:45:05.020</v>
      </c>
      <c r="U2235" t="str">
        <f t="shared" si="1028"/>
        <v>A9808D</v>
      </c>
      <c r="V2235">
        <v>0</v>
      </c>
      <c r="W2235">
        <v>0</v>
      </c>
      <c r="X2235">
        <v>1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0</v>
      </c>
      <c r="AI2235" t="s">
        <v>569</v>
      </c>
      <c r="AJ2235">
        <v>28.259497</v>
      </c>
      <c r="AK2235" t="s">
        <v>570</v>
      </c>
      <c r="AL2235">
        <v>-82.339568</v>
      </c>
      <c r="AM2235">
        <v>100</v>
      </c>
      <c r="AN2235">
        <v>2100</v>
      </c>
      <c r="AO2235" t="s">
        <v>118</v>
      </c>
      <c r="AP2235">
        <v>92</v>
      </c>
      <c r="AQ2235">
        <v>-54</v>
      </c>
      <c r="AR2235">
        <v>384</v>
      </c>
      <c r="AZ2235">
        <v>1200</v>
      </c>
      <c r="BA2235">
        <v>1</v>
      </c>
      <c r="BB2235" t="str">
        <f t="shared" si="1038"/>
        <v xml:space="preserve">N711JA  </v>
      </c>
      <c r="BC2235">
        <v>1</v>
      </c>
      <c r="BE2235">
        <v>0</v>
      </c>
      <c r="BF2235">
        <v>0</v>
      </c>
      <c r="BG2235">
        <v>0</v>
      </c>
      <c r="BH2235">
        <v>2225</v>
      </c>
      <c r="BI2235">
        <v>1</v>
      </c>
      <c r="BJ2235">
        <v>1</v>
      </c>
      <c r="BK2235">
        <v>0</v>
      </c>
      <c r="BL2235">
        <v>0</v>
      </c>
      <c r="BO2235">
        <v>0</v>
      </c>
      <c r="BP2235">
        <v>0</v>
      </c>
      <c r="BW2235" t="str">
        <f t="shared" si="1053"/>
        <v>14:45:05.322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8</v>
      </c>
      <c r="CR2235">
        <v>3</v>
      </c>
      <c r="CW2235">
        <v>8888150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 t="shared" si="1050"/>
        <v>05/12/2020 14:44:47.493</v>
      </c>
      <c r="C2236" t="str">
        <f t="shared" si="1037"/>
        <v>FFDFD3C0</v>
      </c>
      <c r="D2236" t="s">
        <v>138</v>
      </c>
      <c r="E2236">
        <v>2</v>
      </c>
      <c r="H2236">
        <v>8</v>
      </c>
      <c r="I2236" t="s">
        <v>139</v>
      </c>
      <c r="J2236" t="s">
        <v>136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051"/>
        <v>14:45:05.320</v>
      </c>
      <c r="T2236" t="str">
        <f t="shared" si="1052"/>
        <v>14:45:05.020</v>
      </c>
      <c r="U2236" t="str">
        <f t="shared" si="1028"/>
        <v>A9808D</v>
      </c>
      <c r="V2236">
        <v>0</v>
      </c>
      <c r="W2236">
        <v>0</v>
      </c>
      <c r="X2236">
        <v>1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0</v>
      </c>
      <c r="AI2236" t="s">
        <v>569</v>
      </c>
      <c r="AJ2236">
        <v>28.259497</v>
      </c>
      <c r="AK2236" t="s">
        <v>570</v>
      </c>
      <c r="AL2236">
        <v>-82.339568</v>
      </c>
      <c r="AM2236">
        <v>100</v>
      </c>
      <c r="AN2236">
        <v>2100</v>
      </c>
      <c r="AO2236" t="s">
        <v>118</v>
      </c>
      <c r="AP2236">
        <v>92</v>
      </c>
      <c r="AQ2236">
        <v>-54</v>
      </c>
      <c r="AR2236">
        <v>384</v>
      </c>
      <c r="AZ2236">
        <v>1200</v>
      </c>
      <c r="BA2236">
        <v>1</v>
      </c>
      <c r="BB2236" t="str">
        <f t="shared" si="1038"/>
        <v xml:space="preserve">N711JA  </v>
      </c>
      <c r="BC2236">
        <v>1</v>
      </c>
      <c r="BE2236">
        <v>0</v>
      </c>
      <c r="BF2236">
        <v>0</v>
      </c>
      <c r="BG2236">
        <v>0</v>
      </c>
      <c r="BH2236">
        <v>2225</v>
      </c>
      <c r="BI2236">
        <v>1</v>
      </c>
      <c r="BJ2236">
        <v>1</v>
      </c>
      <c r="BK2236">
        <v>0</v>
      </c>
      <c r="BL2236">
        <v>0</v>
      </c>
      <c r="BO2236">
        <v>0</v>
      </c>
      <c r="BP2236">
        <v>0</v>
      </c>
      <c r="BW2236" t="str">
        <f t="shared" si="1053"/>
        <v>14:45:05.322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8</v>
      </c>
      <c r="CR2236">
        <v>3</v>
      </c>
      <c r="CW2236">
        <v>8888150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 t="shared" ref="A2237:A2245" si="1054">"05/12/2020 14:44:48.513"</f>
        <v>05/12/2020 14:44:48.513</v>
      </c>
      <c r="C2237" t="str">
        <f t="shared" si="1037"/>
        <v>FFDFD3C0</v>
      </c>
      <c r="D2237" t="s">
        <v>126</v>
      </c>
      <c r="E2237">
        <v>6</v>
      </c>
      <c r="F2237">
        <v>1006</v>
      </c>
      <c r="G2237" t="s">
        <v>114</v>
      </c>
      <c r="J2237" t="s">
        <v>128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ref="S2237:S2245" si="1055">"14:45:06.344"</f>
        <v>14:45:06.344</v>
      </c>
      <c r="T2237" t="str">
        <f t="shared" ref="T2237:T2245" si="1056">"14:45:05.844"</f>
        <v>14:45:05.844</v>
      </c>
      <c r="U2237" t="str">
        <f t="shared" si="1028"/>
        <v>A9808D</v>
      </c>
      <c r="V2237">
        <v>0</v>
      </c>
      <c r="W2237">
        <v>0</v>
      </c>
      <c r="X2237">
        <v>1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0</v>
      </c>
      <c r="AI2237" t="s">
        <v>283</v>
      </c>
      <c r="AJ2237">
        <v>28.259218000000001</v>
      </c>
      <c r="AK2237" t="s">
        <v>571</v>
      </c>
      <c r="AL2237">
        <v>-82.339074999999994</v>
      </c>
      <c r="AM2237">
        <v>100</v>
      </c>
      <c r="AN2237">
        <v>2100</v>
      </c>
      <c r="AO2237" t="s">
        <v>118</v>
      </c>
      <c r="AP2237">
        <v>92</v>
      </c>
      <c r="AQ2237">
        <v>-54</v>
      </c>
      <c r="AR2237">
        <v>384</v>
      </c>
      <c r="AZ2237">
        <v>1200</v>
      </c>
      <c r="BA2237">
        <v>1</v>
      </c>
      <c r="BB2237" t="str">
        <f t="shared" si="1038"/>
        <v xml:space="preserve">N711JA  </v>
      </c>
      <c r="BC2237">
        <v>1</v>
      </c>
      <c r="BE2237">
        <v>0</v>
      </c>
      <c r="BF2237">
        <v>0</v>
      </c>
      <c r="BG2237">
        <v>0</v>
      </c>
      <c r="BH2237">
        <v>2225</v>
      </c>
      <c r="BI2237">
        <v>1</v>
      </c>
      <c r="BJ2237">
        <v>1</v>
      </c>
      <c r="BK2237">
        <v>0</v>
      </c>
      <c r="BL2237">
        <v>0</v>
      </c>
      <c r="BO2237">
        <v>0</v>
      </c>
      <c r="BP2237">
        <v>0</v>
      </c>
      <c r="BW2237" t="str">
        <f t="shared" ref="BW2237:BW2245" si="1057">"14:45:06.352"</f>
        <v>14:45:06.352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343</v>
      </c>
      <c r="CR2237">
        <v>1</v>
      </c>
      <c r="CW2237">
        <v>10763508</v>
      </c>
      <c r="CY2237">
        <v>1</v>
      </c>
      <c r="CZ2237">
        <v>0</v>
      </c>
      <c r="DA2237">
        <v>0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 t="shared" si="1054"/>
        <v>05/12/2020 14:44:48.513</v>
      </c>
      <c r="C2238" t="str">
        <f t="shared" si="1037"/>
        <v>FFDFD3C0</v>
      </c>
      <c r="D2238" t="s">
        <v>131</v>
      </c>
      <c r="E2238">
        <v>12</v>
      </c>
      <c r="F2238">
        <v>2012</v>
      </c>
      <c r="G2238" t="s">
        <v>137</v>
      </c>
      <c r="J2238" t="s">
        <v>133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055"/>
        <v>14:45:06.344</v>
      </c>
      <c r="T2238" t="str">
        <f t="shared" si="1056"/>
        <v>14:45:05.844</v>
      </c>
      <c r="U2238" t="str">
        <f t="shared" si="1028"/>
        <v>A9808D</v>
      </c>
      <c r="V2238">
        <v>0</v>
      </c>
      <c r="W2238">
        <v>0</v>
      </c>
      <c r="X2238">
        <v>1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0</v>
      </c>
      <c r="AI2238" t="s">
        <v>283</v>
      </c>
      <c r="AJ2238">
        <v>28.259218000000001</v>
      </c>
      <c r="AK2238" t="s">
        <v>571</v>
      </c>
      <c r="AL2238">
        <v>-82.339074999999994</v>
      </c>
      <c r="AM2238">
        <v>100</v>
      </c>
      <c r="AN2238">
        <v>2100</v>
      </c>
      <c r="AO2238" t="s">
        <v>118</v>
      </c>
      <c r="AP2238">
        <v>92</v>
      </c>
      <c r="AQ2238">
        <v>-54</v>
      </c>
      <c r="AR2238">
        <v>384</v>
      </c>
      <c r="AZ2238">
        <v>1200</v>
      </c>
      <c r="BA2238">
        <v>1</v>
      </c>
      <c r="BB2238" t="str">
        <f t="shared" si="1038"/>
        <v xml:space="preserve">N711JA  </v>
      </c>
      <c r="BC2238">
        <v>1</v>
      </c>
      <c r="BE2238">
        <v>0</v>
      </c>
      <c r="BF2238">
        <v>0</v>
      </c>
      <c r="BG2238">
        <v>0</v>
      </c>
      <c r="BH2238">
        <v>2225</v>
      </c>
      <c r="BI2238">
        <v>1</v>
      </c>
      <c r="BJ2238">
        <v>1</v>
      </c>
      <c r="BK2238">
        <v>0</v>
      </c>
      <c r="BL2238">
        <v>0</v>
      </c>
      <c r="BO2238">
        <v>0</v>
      </c>
      <c r="BP2238">
        <v>0</v>
      </c>
      <c r="BW2238" t="str">
        <f t="shared" si="1057"/>
        <v>14:45:06.352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343</v>
      </c>
      <c r="CR2238">
        <v>1</v>
      </c>
      <c r="CW2238">
        <v>10763508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1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 t="shared" si="1054"/>
        <v>05/12/2020 14:44:48.513</v>
      </c>
      <c r="C2239" t="str">
        <f t="shared" si="1037"/>
        <v>FFDFD3C0</v>
      </c>
      <c r="D2239" t="s">
        <v>131</v>
      </c>
      <c r="E2239">
        <v>18</v>
      </c>
      <c r="F2239">
        <v>2018</v>
      </c>
      <c r="G2239" t="s">
        <v>161</v>
      </c>
      <c r="J2239" t="s">
        <v>133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055"/>
        <v>14:45:06.344</v>
      </c>
      <c r="T2239" t="str">
        <f t="shared" si="1056"/>
        <v>14:45:05.844</v>
      </c>
      <c r="U2239" t="str">
        <f t="shared" si="1028"/>
        <v>A9808D</v>
      </c>
      <c r="V2239">
        <v>0</v>
      </c>
      <c r="W2239">
        <v>0</v>
      </c>
      <c r="X2239">
        <v>1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0</v>
      </c>
      <c r="AI2239" t="s">
        <v>283</v>
      </c>
      <c r="AJ2239">
        <v>28.259218000000001</v>
      </c>
      <c r="AK2239" t="s">
        <v>571</v>
      </c>
      <c r="AL2239">
        <v>-82.339074999999994</v>
      </c>
      <c r="AM2239">
        <v>100</v>
      </c>
      <c r="AN2239">
        <v>2100</v>
      </c>
      <c r="AO2239" t="s">
        <v>118</v>
      </c>
      <c r="AP2239">
        <v>92</v>
      </c>
      <c r="AQ2239">
        <v>-54</v>
      </c>
      <c r="AR2239">
        <v>384</v>
      </c>
      <c r="AZ2239">
        <v>1200</v>
      </c>
      <c r="BA2239">
        <v>1</v>
      </c>
      <c r="BB2239" t="str">
        <f t="shared" si="1038"/>
        <v xml:space="preserve">N711JA  </v>
      </c>
      <c r="BC2239">
        <v>1</v>
      </c>
      <c r="BE2239">
        <v>0</v>
      </c>
      <c r="BF2239">
        <v>0</v>
      </c>
      <c r="BG2239">
        <v>0</v>
      </c>
      <c r="BH2239">
        <v>2225</v>
      </c>
      <c r="BI2239">
        <v>1</v>
      </c>
      <c r="BJ2239">
        <v>1</v>
      </c>
      <c r="BK2239">
        <v>0</v>
      </c>
      <c r="BL2239">
        <v>0</v>
      </c>
      <c r="BO2239">
        <v>0</v>
      </c>
      <c r="BP2239">
        <v>0</v>
      </c>
      <c r="BW2239" t="str">
        <f t="shared" si="1057"/>
        <v>14:45:06.352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343</v>
      </c>
      <c r="CR2239">
        <v>1</v>
      </c>
      <c r="CW2239">
        <v>10763508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 t="shared" si="1054"/>
        <v>05/12/2020 14:44:48.513</v>
      </c>
      <c r="C2240" t="str">
        <f t="shared" si="1037"/>
        <v>FFDFD3C0</v>
      </c>
      <c r="D2240" t="s">
        <v>134</v>
      </c>
      <c r="E2240">
        <v>12</v>
      </c>
      <c r="H2240">
        <v>64</v>
      </c>
      <c r="I2240" t="s">
        <v>135</v>
      </c>
      <c r="J2240" t="s">
        <v>136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055"/>
        <v>14:45:06.344</v>
      </c>
      <c r="T2240" t="str">
        <f t="shared" si="1056"/>
        <v>14:45:05.844</v>
      </c>
      <c r="U2240" t="str">
        <f t="shared" si="1028"/>
        <v>A9808D</v>
      </c>
      <c r="V2240">
        <v>0</v>
      </c>
      <c r="W2240">
        <v>0</v>
      </c>
      <c r="X2240">
        <v>1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0</v>
      </c>
      <c r="AI2240" t="s">
        <v>283</v>
      </c>
      <c r="AJ2240">
        <v>28.259218000000001</v>
      </c>
      <c r="AK2240" t="s">
        <v>571</v>
      </c>
      <c r="AL2240">
        <v>-82.339074999999994</v>
      </c>
      <c r="AM2240">
        <v>100</v>
      </c>
      <c r="AN2240">
        <v>2100</v>
      </c>
      <c r="AO2240" t="s">
        <v>118</v>
      </c>
      <c r="AP2240">
        <v>92</v>
      </c>
      <c r="AQ2240">
        <v>-54</v>
      </c>
      <c r="AR2240">
        <v>384</v>
      </c>
      <c r="AZ2240">
        <v>1200</v>
      </c>
      <c r="BA2240">
        <v>1</v>
      </c>
      <c r="BB2240" t="str">
        <f t="shared" si="1038"/>
        <v xml:space="preserve">N711JA  </v>
      </c>
      <c r="BC2240">
        <v>1</v>
      </c>
      <c r="BE2240">
        <v>0</v>
      </c>
      <c r="BF2240">
        <v>0</v>
      </c>
      <c r="BG2240">
        <v>0</v>
      </c>
      <c r="BH2240">
        <v>2225</v>
      </c>
      <c r="BI2240">
        <v>1</v>
      </c>
      <c r="BJ2240">
        <v>1</v>
      </c>
      <c r="BK2240">
        <v>0</v>
      </c>
      <c r="BL2240">
        <v>0</v>
      </c>
      <c r="BO2240">
        <v>0</v>
      </c>
      <c r="BP2240">
        <v>0</v>
      </c>
      <c r="BW2240" t="str">
        <f t="shared" si="1057"/>
        <v>14:45:06.352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343</v>
      </c>
      <c r="CR2240">
        <v>1</v>
      </c>
      <c r="CW2240">
        <v>10763508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1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 t="shared" si="1054"/>
        <v>05/12/2020 14:44:48.513</v>
      </c>
      <c r="C2241" t="str">
        <f t="shared" si="1037"/>
        <v>FFDFD3C0</v>
      </c>
      <c r="D2241" t="s">
        <v>113</v>
      </c>
      <c r="E2241">
        <v>3</v>
      </c>
      <c r="H2241">
        <v>164</v>
      </c>
      <c r="I2241" t="s">
        <v>114</v>
      </c>
      <c r="J2241" t="s">
        <v>115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055"/>
        <v>14:45:06.344</v>
      </c>
      <c r="T2241" t="str">
        <f t="shared" si="1056"/>
        <v>14:45:05.844</v>
      </c>
      <c r="U2241" t="str">
        <f t="shared" si="1028"/>
        <v>A9808D</v>
      </c>
      <c r="V2241">
        <v>0</v>
      </c>
      <c r="W2241">
        <v>0</v>
      </c>
      <c r="X2241">
        <v>1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0</v>
      </c>
      <c r="AI2241" t="s">
        <v>283</v>
      </c>
      <c r="AJ2241">
        <v>28.259218000000001</v>
      </c>
      <c r="AK2241" t="s">
        <v>571</v>
      </c>
      <c r="AL2241">
        <v>-82.339074999999994</v>
      </c>
      <c r="AM2241">
        <v>100</v>
      </c>
      <c r="AN2241">
        <v>2100</v>
      </c>
      <c r="AO2241" t="s">
        <v>118</v>
      </c>
      <c r="AP2241">
        <v>92</v>
      </c>
      <c r="AQ2241">
        <v>-54</v>
      </c>
      <c r="AR2241">
        <v>384</v>
      </c>
      <c r="AZ2241">
        <v>1200</v>
      </c>
      <c r="BA2241">
        <v>1</v>
      </c>
      <c r="BB2241" t="str">
        <f t="shared" si="1038"/>
        <v xml:space="preserve">N711JA  </v>
      </c>
      <c r="BC2241">
        <v>1</v>
      </c>
      <c r="BE2241">
        <v>0</v>
      </c>
      <c r="BF2241">
        <v>0</v>
      </c>
      <c r="BG2241">
        <v>0</v>
      </c>
      <c r="BH2241">
        <v>2225</v>
      </c>
      <c r="BI2241">
        <v>1</v>
      </c>
      <c r="BJ2241">
        <v>1</v>
      </c>
      <c r="BK2241">
        <v>0</v>
      </c>
      <c r="BL2241">
        <v>0</v>
      </c>
      <c r="BO2241">
        <v>0</v>
      </c>
      <c r="BP2241">
        <v>0</v>
      </c>
      <c r="BW2241" t="str">
        <f t="shared" si="1057"/>
        <v>14:45:06.352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343</v>
      </c>
      <c r="CR2241">
        <v>1</v>
      </c>
      <c r="CW2241">
        <v>10763508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 t="shared" si="1054"/>
        <v>05/12/2020 14:44:48.513</v>
      </c>
      <c r="C2242" t="str">
        <f t="shared" si="1037"/>
        <v>FFDFD3C0</v>
      </c>
      <c r="D2242" t="s">
        <v>138</v>
      </c>
      <c r="E2242">
        <v>2</v>
      </c>
      <c r="H2242">
        <v>8</v>
      </c>
      <c r="I2242" t="s">
        <v>139</v>
      </c>
      <c r="J2242" t="s">
        <v>136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1055"/>
        <v>14:45:06.344</v>
      </c>
      <c r="T2242" t="str">
        <f t="shared" si="1056"/>
        <v>14:45:05.844</v>
      </c>
      <c r="U2242" t="str">
        <f t="shared" ref="U2242:U2305" si="1058">"A9808D"</f>
        <v>A9808D</v>
      </c>
      <c r="V2242">
        <v>0</v>
      </c>
      <c r="W2242">
        <v>0</v>
      </c>
      <c r="X2242">
        <v>1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0</v>
      </c>
      <c r="AI2242" t="s">
        <v>283</v>
      </c>
      <c r="AJ2242">
        <v>28.259218000000001</v>
      </c>
      <c r="AK2242" t="s">
        <v>571</v>
      </c>
      <c r="AL2242">
        <v>-82.339074999999994</v>
      </c>
      <c r="AM2242">
        <v>100</v>
      </c>
      <c r="AN2242">
        <v>2100</v>
      </c>
      <c r="AO2242" t="s">
        <v>118</v>
      </c>
      <c r="AP2242">
        <v>92</v>
      </c>
      <c r="AQ2242">
        <v>-54</v>
      </c>
      <c r="AR2242">
        <v>384</v>
      </c>
      <c r="AZ2242">
        <v>1200</v>
      </c>
      <c r="BA2242">
        <v>1</v>
      </c>
      <c r="BB2242" t="str">
        <f t="shared" si="1038"/>
        <v xml:space="preserve">N711JA  </v>
      </c>
      <c r="BC2242">
        <v>1</v>
      </c>
      <c r="BE2242">
        <v>0</v>
      </c>
      <c r="BF2242">
        <v>0</v>
      </c>
      <c r="BG2242">
        <v>0</v>
      </c>
      <c r="BH2242">
        <v>2225</v>
      </c>
      <c r="BI2242">
        <v>1</v>
      </c>
      <c r="BJ2242">
        <v>1</v>
      </c>
      <c r="BK2242">
        <v>0</v>
      </c>
      <c r="BL2242">
        <v>0</v>
      </c>
      <c r="BO2242">
        <v>0</v>
      </c>
      <c r="BP2242">
        <v>0</v>
      </c>
      <c r="BW2242" t="str">
        <f t="shared" si="1057"/>
        <v>14:45:06.352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343</v>
      </c>
      <c r="CR2242">
        <v>1</v>
      </c>
      <c r="CW2242">
        <v>10763508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 t="shared" si="1054"/>
        <v>05/12/2020 14:44:48.513</v>
      </c>
      <c r="C2243" t="str">
        <f t="shared" si="1037"/>
        <v>FFDFD3C0</v>
      </c>
      <c r="D2243" t="s">
        <v>138</v>
      </c>
      <c r="E2243">
        <v>3</v>
      </c>
      <c r="H2243">
        <v>9</v>
      </c>
      <c r="I2243" t="s">
        <v>140</v>
      </c>
      <c r="J2243" t="s">
        <v>136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055"/>
        <v>14:45:06.344</v>
      </c>
      <c r="T2243" t="str">
        <f t="shared" si="1056"/>
        <v>14:45:05.844</v>
      </c>
      <c r="U2243" t="str">
        <f t="shared" si="1058"/>
        <v>A9808D</v>
      </c>
      <c r="V2243">
        <v>0</v>
      </c>
      <c r="W2243">
        <v>0</v>
      </c>
      <c r="X2243">
        <v>1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0</v>
      </c>
      <c r="AI2243" t="s">
        <v>283</v>
      </c>
      <c r="AJ2243">
        <v>28.259218000000001</v>
      </c>
      <c r="AK2243" t="s">
        <v>571</v>
      </c>
      <c r="AL2243">
        <v>-82.339074999999994</v>
      </c>
      <c r="AM2243">
        <v>100</v>
      </c>
      <c r="AN2243">
        <v>2100</v>
      </c>
      <c r="AO2243" t="s">
        <v>118</v>
      </c>
      <c r="AP2243">
        <v>92</v>
      </c>
      <c r="AQ2243">
        <v>-54</v>
      </c>
      <c r="AR2243">
        <v>384</v>
      </c>
      <c r="AZ2243">
        <v>1200</v>
      </c>
      <c r="BA2243">
        <v>1</v>
      </c>
      <c r="BB2243" t="str">
        <f t="shared" si="1038"/>
        <v xml:space="preserve">N711JA  </v>
      </c>
      <c r="BC2243">
        <v>1</v>
      </c>
      <c r="BE2243">
        <v>0</v>
      </c>
      <c r="BF2243">
        <v>0</v>
      </c>
      <c r="BG2243">
        <v>0</v>
      </c>
      <c r="BH2243">
        <v>2225</v>
      </c>
      <c r="BI2243">
        <v>1</v>
      </c>
      <c r="BJ2243">
        <v>1</v>
      </c>
      <c r="BK2243">
        <v>0</v>
      </c>
      <c r="BL2243">
        <v>0</v>
      </c>
      <c r="BO2243">
        <v>0</v>
      </c>
      <c r="BP2243">
        <v>0</v>
      </c>
      <c r="BW2243" t="str">
        <f t="shared" si="1057"/>
        <v>14:45:06.352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343</v>
      </c>
      <c r="CR2243">
        <v>1</v>
      </c>
      <c r="CW2243">
        <v>10763508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1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 t="shared" si="1054"/>
        <v>05/12/2020 14:44:48.513</v>
      </c>
      <c r="C2244" t="str">
        <f t="shared" si="1037"/>
        <v>FFDFD3C0</v>
      </c>
      <c r="D2244" t="s">
        <v>126</v>
      </c>
      <c r="E2244">
        <v>7</v>
      </c>
      <c r="F2244">
        <v>1007</v>
      </c>
      <c r="G2244" t="s">
        <v>127</v>
      </c>
      <c r="J2244" t="s">
        <v>128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055"/>
        <v>14:45:06.344</v>
      </c>
      <c r="T2244" t="str">
        <f t="shared" si="1056"/>
        <v>14:45:05.844</v>
      </c>
      <c r="U2244" t="str">
        <f t="shared" si="1058"/>
        <v>A9808D</v>
      </c>
      <c r="V2244">
        <v>0</v>
      </c>
      <c r="W2244">
        <v>0</v>
      </c>
      <c r="X2244">
        <v>1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0</v>
      </c>
      <c r="AI2244" t="s">
        <v>283</v>
      </c>
      <c r="AJ2244">
        <v>28.259218000000001</v>
      </c>
      <c r="AK2244" t="s">
        <v>571</v>
      </c>
      <c r="AL2244">
        <v>-82.339074999999994</v>
      </c>
      <c r="AM2244">
        <v>100</v>
      </c>
      <c r="AN2244">
        <v>2100</v>
      </c>
      <c r="AO2244" t="s">
        <v>118</v>
      </c>
      <c r="AP2244">
        <v>92</v>
      </c>
      <c r="AQ2244">
        <v>-54</v>
      </c>
      <c r="AR2244">
        <v>384</v>
      </c>
      <c r="AZ2244">
        <v>1200</v>
      </c>
      <c r="BA2244">
        <v>1</v>
      </c>
      <c r="BB2244" t="str">
        <f t="shared" si="1038"/>
        <v xml:space="preserve">N711JA  </v>
      </c>
      <c r="BC2244">
        <v>1</v>
      </c>
      <c r="BE2244">
        <v>0</v>
      </c>
      <c r="BF2244">
        <v>0</v>
      </c>
      <c r="BG2244">
        <v>0</v>
      </c>
      <c r="BH2244">
        <v>2225</v>
      </c>
      <c r="BI2244">
        <v>1</v>
      </c>
      <c r="BJ2244">
        <v>1</v>
      </c>
      <c r="BK2244">
        <v>0</v>
      </c>
      <c r="BL2244">
        <v>0</v>
      </c>
      <c r="BO2244">
        <v>0</v>
      </c>
      <c r="BP2244">
        <v>0</v>
      </c>
      <c r="BW2244" t="str">
        <f t="shared" si="1057"/>
        <v>14:45:06.352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343</v>
      </c>
      <c r="CR2244">
        <v>1</v>
      </c>
      <c r="CW2244">
        <v>10763508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 t="shared" si="1054"/>
        <v>05/12/2020 14:44:48.513</v>
      </c>
      <c r="C2245" t="str">
        <f t="shared" si="1037"/>
        <v>FFDFD3C0</v>
      </c>
      <c r="D2245" t="s">
        <v>131</v>
      </c>
      <c r="E2245">
        <v>10</v>
      </c>
      <c r="F2245">
        <v>2010</v>
      </c>
      <c r="G2245" t="s">
        <v>132</v>
      </c>
      <c r="J2245" t="s">
        <v>133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055"/>
        <v>14:45:06.344</v>
      </c>
      <c r="T2245" t="str">
        <f t="shared" si="1056"/>
        <v>14:45:05.844</v>
      </c>
      <c r="U2245" t="str">
        <f t="shared" si="1058"/>
        <v>A9808D</v>
      </c>
      <c r="V2245">
        <v>0</v>
      </c>
      <c r="W2245">
        <v>0</v>
      </c>
      <c r="X2245">
        <v>1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0</v>
      </c>
      <c r="AI2245" t="s">
        <v>283</v>
      </c>
      <c r="AJ2245">
        <v>28.259218000000001</v>
      </c>
      <c r="AK2245" t="s">
        <v>571</v>
      </c>
      <c r="AL2245">
        <v>-82.339074999999994</v>
      </c>
      <c r="AM2245">
        <v>100</v>
      </c>
      <c r="AN2245">
        <v>2100</v>
      </c>
      <c r="AO2245" t="s">
        <v>118</v>
      </c>
      <c r="AP2245">
        <v>92</v>
      </c>
      <c r="AQ2245">
        <v>-54</v>
      </c>
      <c r="AR2245">
        <v>384</v>
      </c>
      <c r="AZ2245">
        <v>1200</v>
      </c>
      <c r="BA2245">
        <v>1</v>
      </c>
      <c r="BB2245" t="str">
        <f t="shared" si="1038"/>
        <v xml:space="preserve">N711JA  </v>
      </c>
      <c r="BC2245">
        <v>1</v>
      </c>
      <c r="BE2245">
        <v>0</v>
      </c>
      <c r="BF2245">
        <v>0</v>
      </c>
      <c r="BG2245">
        <v>0</v>
      </c>
      <c r="BH2245">
        <v>2225</v>
      </c>
      <c r="BI2245">
        <v>1</v>
      </c>
      <c r="BJ2245">
        <v>1</v>
      </c>
      <c r="BK2245">
        <v>0</v>
      </c>
      <c r="BL2245">
        <v>0</v>
      </c>
      <c r="BO2245">
        <v>0</v>
      </c>
      <c r="BP2245">
        <v>0</v>
      </c>
      <c r="BW2245" t="str">
        <f t="shared" si="1057"/>
        <v>14:45:06.352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7</v>
      </c>
      <c r="CP2245" t="s">
        <v>119</v>
      </c>
      <c r="CQ2245">
        <v>343</v>
      </c>
      <c r="CR2245">
        <v>1</v>
      </c>
      <c r="CW2245">
        <v>10763508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 t="shared" ref="A2246:A2254" si="1059">"05/12/2020 14:44:49.465"</f>
        <v>05/12/2020 14:44:49.465</v>
      </c>
      <c r="C2246" t="str">
        <f t="shared" si="1037"/>
        <v>FFDFD3C0</v>
      </c>
      <c r="D2246" t="s">
        <v>126</v>
      </c>
      <c r="E2246">
        <v>7</v>
      </c>
      <c r="F2246">
        <v>1007</v>
      </c>
      <c r="G2246" t="s">
        <v>127</v>
      </c>
      <c r="J2246" t="s">
        <v>128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ref="S2246:S2254" si="1060">"14:45:07.297"</f>
        <v>14:45:07.297</v>
      </c>
      <c r="T2246" t="str">
        <f t="shared" ref="T2246:T2254" si="1061">"14:45:06.897"</f>
        <v>14:45:06.897</v>
      </c>
      <c r="U2246" t="str">
        <f t="shared" si="1058"/>
        <v>A9808D</v>
      </c>
      <c r="V2246">
        <v>0</v>
      </c>
      <c r="W2246">
        <v>0</v>
      </c>
      <c r="X2246">
        <v>1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0</v>
      </c>
      <c r="AI2246" t="s">
        <v>572</v>
      </c>
      <c r="AJ2246">
        <v>28.258982</v>
      </c>
      <c r="AK2246" t="s">
        <v>573</v>
      </c>
      <c r="AL2246">
        <v>-82.338667000000001</v>
      </c>
      <c r="AM2246">
        <v>100</v>
      </c>
      <c r="AN2246">
        <v>2100</v>
      </c>
      <c r="AO2246" t="s">
        <v>118</v>
      </c>
      <c r="AP2246">
        <v>93</v>
      </c>
      <c r="AQ2246">
        <v>-53</v>
      </c>
      <c r="AR2246">
        <v>384</v>
      </c>
      <c r="AZ2246">
        <v>1200</v>
      </c>
      <c r="BA2246">
        <v>1</v>
      </c>
      <c r="BB2246" t="str">
        <f t="shared" si="1038"/>
        <v xml:space="preserve">N711JA  </v>
      </c>
      <c r="BC2246">
        <v>1</v>
      </c>
      <c r="BE2246">
        <v>0</v>
      </c>
      <c r="BF2246">
        <v>0</v>
      </c>
      <c r="BG2246">
        <v>0</v>
      </c>
      <c r="BH2246">
        <v>2250</v>
      </c>
      <c r="BI2246">
        <v>1</v>
      </c>
      <c r="BJ2246">
        <v>1</v>
      </c>
      <c r="BK2246">
        <v>0</v>
      </c>
      <c r="BL2246">
        <v>0</v>
      </c>
      <c r="BO2246">
        <v>0</v>
      </c>
      <c r="BP2246">
        <v>0</v>
      </c>
      <c r="BW2246" t="str">
        <f t="shared" ref="BW2246:BW2254" si="1062">"14:45:07.301"</f>
        <v>14:45:07.301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119</v>
      </c>
      <c r="CQ2246">
        <v>343</v>
      </c>
      <c r="CR2246">
        <v>2</v>
      </c>
      <c r="CW2246">
        <v>13121438</v>
      </c>
      <c r="CY2246">
        <v>1</v>
      </c>
      <c r="CZ2246">
        <v>0</v>
      </c>
      <c r="DA2246">
        <v>0</v>
      </c>
      <c r="DB2246">
        <v>0</v>
      </c>
      <c r="DC2246">
        <v>0</v>
      </c>
      <c r="DD2246">
        <v>1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 t="shared" si="1059"/>
        <v>05/12/2020 14:44:49.465</v>
      </c>
      <c r="C2247" t="str">
        <f t="shared" si="1037"/>
        <v>FFDFD3C0</v>
      </c>
      <c r="D2247" t="s">
        <v>138</v>
      </c>
      <c r="E2247">
        <v>3</v>
      </c>
      <c r="H2247">
        <v>9</v>
      </c>
      <c r="I2247" t="s">
        <v>140</v>
      </c>
      <c r="J2247" t="s">
        <v>136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060"/>
        <v>14:45:07.297</v>
      </c>
      <c r="T2247" t="str">
        <f t="shared" si="1061"/>
        <v>14:45:06.897</v>
      </c>
      <c r="U2247" t="str">
        <f t="shared" si="1058"/>
        <v>A9808D</v>
      </c>
      <c r="V2247">
        <v>0</v>
      </c>
      <c r="W2247">
        <v>0</v>
      </c>
      <c r="X2247">
        <v>1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0</v>
      </c>
      <c r="AI2247" t="s">
        <v>572</v>
      </c>
      <c r="AJ2247">
        <v>28.258982</v>
      </c>
      <c r="AK2247" t="s">
        <v>573</v>
      </c>
      <c r="AL2247">
        <v>-82.338667000000001</v>
      </c>
      <c r="AM2247">
        <v>100</v>
      </c>
      <c r="AN2247">
        <v>2100</v>
      </c>
      <c r="AO2247" t="s">
        <v>118</v>
      </c>
      <c r="AP2247">
        <v>93</v>
      </c>
      <c r="AQ2247">
        <v>-53</v>
      </c>
      <c r="AR2247">
        <v>384</v>
      </c>
      <c r="AZ2247">
        <v>1200</v>
      </c>
      <c r="BA2247">
        <v>1</v>
      </c>
      <c r="BB2247" t="str">
        <f t="shared" si="1038"/>
        <v xml:space="preserve">N711JA  </v>
      </c>
      <c r="BC2247">
        <v>1</v>
      </c>
      <c r="BE2247">
        <v>0</v>
      </c>
      <c r="BF2247">
        <v>0</v>
      </c>
      <c r="BG2247">
        <v>0</v>
      </c>
      <c r="BH2247">
        <v>2250</v>
      </c>
      <c r="BI2247">
        <v>1</v>
      </c>
      <c r="BJ2247">
        <v>1</v>
      </c>
      <c r="BK2247">
        <v>0</v>
      </c>
      <c r="BL2247">
        <v>0</v>
      </c>
      <c r="BO2247">
        <v>0</v>
      </c>
      <c r="BP2247">
        <v>0</v>
      </c>
      <c r="BW2247" t="str">
        <f t="shared" si="1062"/>
        <v>14:45:07.301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119</v>
      </c>
      <c r="CQ2247">
        <v>343</v>
      </c>
      <c r="CR2247">
        <v>2</v>
      </c>
      <c r="CW2247">
        <v>13121438</v>
      </c>
      <c r="CY2247">
        <v>1</v>
      </c>
      <c r="CZ2247">
        <v>0</v>
      </c>
      <c r="DA2247">
        <v>1</v>
      </c>
      <c r="DB2247">
        <v>0</v>
      </c>
      <c r="DC2247">
        <v>0</v>
      </c>
      <c r="DD2247">
        <v>1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 t="shared" si="1059"/>
        <v>05/12/2020 14:44:49.465</v>
      </c>
      <c r="C2248" t="str">
        <f t="shared" si="1037"/>
        <v>FFDFD3C0</v>
      </c>
      <c r="D2248" t="s">
        <v>131</v>
      </c>
      <c r="E2248">
        <v>10</v>
      </c>
      <c r="F2248">
        <v>2010</v>
      </c>
      <c r="G2248" t="s">
        <v>132</v>
      </c>
      <c r="J2248" t="s">
        <v>133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060"/>
        <v>14:45:07.297</v>
      </c>
      <c r="T2248" t="str">
        <f t="shared" si="1061"/>
        <v>14:45:06.897</v>
      </c>
      <c r="U2248" t="str">
        <f t="shared" si="1058"/>
        <v>A9808D</v>
      </c>
      <c r="V2248">
        <v>0</v>
      </c>
      <c r="W2248">
        <v>0</v>
      </c>
      <c r="X2248">
        <v>1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0</v>
      </c>
      <c r="AI2248" t="s">
        <v>572</v>
      </c>
      <c r="AJ2248">
        <v>28.258982</v>
      </c>
      <c r="AK2248" t="s">
        <v>573</v>
      </c>
      <c r="AL2248">
        <v>-82.338667000000001</v>
      </c>
      <c r="AM2248">
        <v>100</v>
      </c>
      <c r="AN2248">
        <v>2100</v>
      </c>
      <c r="AO2248" t="s">
        <v>118</v>
      </c>
      <c r="AP2248">
        <v>93</v>
      </c>
      <c r="AQ2248">
        <v>-53</v>
      </c>
      <c r="AR2248">
        <v>384</v>
      </c>
      <c r="AZ2248">
        <v>1200</v>
      </c>
      <c r="BA2248">
        <v>1</v>
      </c>
      <c r="BB2248" t="str">
        <f t="shared" si="1038"/>
        <v xml:space="preserve">N711JA  </v>
      </c>
      <c r="BC2248">
        <v>1</v>
      </c>
      <c r="BE2248">
        <v>0</v>
      </c>
      <c r="BF2248">
        <v>0</v>
      </c>
      <c r="BG2248">
        <v>0</v>
      </c>
      <c r="BH2248">
        <v>2250</v>
      </c>
      <c r="BI2248">
        <v>1</v>
      </c>
      <c r="BJ2248">
        <v>1</v>
      </c>
      <c r="BK2248">
        <v>0</v>
      </c>
      <c r="BL2248">
        <v>0</v>
      </c>
      <c r="BO2248">
        <v>0</v>
      </c>
      <c r="BP2248">
        <v>0</v>
      </c>
      <c r="BW2248" t="str">
        <f t="shared" si="1062"/>
        <v>14:45:07.301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119</v>
      </c>
      <c r="CQ2248">
        <v>343</v>
      </c>
      <c r="CR2248">
        <v>2</v>
      </c>
      <c r="CW2248">
        <v>13121438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1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 t="shared" si="1059"/>
        <v>05/12/2020 14:44:49.465</v>
      </c>
      <c r="C2249" t="str">
        <f t="shared" si="1037"/>
        <v>FFDFD3C0</v>
      </c>
      <c r="D2249" t="s">
        <v>126</v>
      </c>
      <c r="E2249">
        <v>6</v>
      </c>
      <c r="F2249">
        <v>1006</v>
      </c>
      <c r="G2249" t="s">
        <v>114</v>
      </c>
      <c r="J2249" t="s">
        <v>128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060"/>
        <v>14:45:07.297</v>
      </c>
      <c r="T2249" t="str">
        <f t="shared" si="1061"/>
        <v>14:45:06.897</v>
      </c>
      <c r="U2249" t="str">
        <f t="shared" si="1058"/>
        <v>A9808D</v>
      </c>
      <c r="V2249">
        <v>0</v>
      </c>
      <c r="W2249">
        <v>0</v>
      </c>
      <c r="X2249">
        <v>1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0</v>
      </c>
      <c r="AI2249" t="s">
        <v>572</v>
      </c>
      <c r="AJ2249">
        <v>28.258982</v>
      </c>
      <c r="AK2249" t="s">
        <v>573</v>
      </c>
      <c r="AL2249">
        <v>-82.338667000000001</v>
      </c>
      <c r="AM2249">
        <v>100</v>
      </c>
      <c r="AN2249">
        <v>2100</v>
      </c>
      <c r="AO2249" t="s">
        <v>118</v>
      </c>
      <c r="AP2249">
        <v>93</v>
      </c>
      <c r="AQ2249">
        <v>-53</v>
      </c>
      <c r="AR2249">
        <v>384</v>
      </c>
      <c r="AZ2249">
        <v>1200</v>
      </c>
      <c r="BA2249">
        <v>1</v>
      </c>
      <c r="BB2249" t="str">
        <f t="shared" si="1038"/>
        <v xml:space="preserve">N711JA  </v>
      </c>
      <c r="BC2249">
        <v>1</v>
      </c>
      <c r="BE2249">
        <v>0</v>
      </c>
      <c r="BF2249">
        <v>0</v>
      </c>
      <c r="BG2249">
        <v>0</v>
      </c>
      <c r="BH2249">
        <v>2250</v>
      </c>
      <c r="BI2249">
        <v>1</v>
      </c>
      <c r="BJ2249">
        <v>1</v>
      </c>
      <c r="BK2249">
        <v>0</v>
      </c>
      <c r="BL2249">
        <v>0</v>
      </c>
      <c r="BO2249">
        <v>0</v>
      </c>
      <c r="BP2249">
        <v>0</v>
      </c>
      <c r="BW2249" t="str">
        <f t="shared" si="1062"/>
        <v>14:45:07.301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343</v>
      </c>
      <c r="CR2249">
        <v>2</v>
      </c>
      <c r="CW2249">
        <v>13121438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1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 t="shared" si="1059"/>
        <v>05/12/2020 14:44:49.465</v>
      </c>
      <c r="C2250" t="str">
        <f t="shared" si="1037"/>
        <v>FFDFD3C0</v>
      </c>
      <c r="D2250" t="s">
        <v>131</v>
      </c>
      <c r="E2250">
        <v>12</v>
      </c>
      <c r="F2250">
        <v>2012</v>
      </c>
      <c r="G2250" t="s">
        <v>137</v>
      </c>
      <c r="J2250" t="s">
        <v>133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060"/>
        <v>14:45:07.297</v>
      </c>
      <c r="T2250" t="str">
        <f t="shared" si="1061"/>
        <v>14:45:06.897</v>
      </c>
      <c r="U2250" t="str">
        <f t="shared" si="1058"/>
        <v>A9808D</v>
      </c>
      <c r="V2250">
        <v>0</v>
      </c>
      <c r="W2250">
        <v>0</v>
      </c>
      <c r="X2250">
        <v>1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0</v>
      </c>
      <c r="AI2250" t="s">
        <v>572</v>
      </c>
      <c r="AJ2250">
        <v>28.258982</v>
      </c>
      <c r="AK2250" t="s">
        <v>573</v>
      </c>
      <c r="AL2250">
        <v>-82.338667000000001</v>
      </c>
      <c r="AM2250">
        <v>100</v>
      </c>
      <c r="AN2250">
        <v>2100</v>
      </c>
      <c r="AO2250" t="s">
        <v>118</v>
      </c>
      <c r="AP2250">
        <v>93</v>
      </c>
      <c r="AQ2250">
        <v>-53</v>
      </c>
      <c r="AR2250">
        <v>384</v>
      </c>
      <c r="AZ2250">
        <v>1200</v>
      </c>
      <c r="BA2250">
        <v>1</v>
      </c>
      <c r="BB2250" t="str">
        <f t="shared" si="1038"/>
        <v xml:space="preserve">N711JA  </v>
      </c>
      <c r="BC2250">
        <v>1</v>
      </c>
      <c r="BE2250">
        <v>0</v>
      </c>
      <c r="BF2250">
        <v>0</v>
      </c>
      <c r="BG2250">
        <v>0</v>
      </c>
      <c r="BH2250">
        <v>2250</v>
      </c>
      <c r="BI2250">
        <v>1</v>
      </c>
      <c r="BJ2250">
        <v>1</v>
      </c>
      <c r="BK2250">
        <v>0</v>
      </c>
      <c r="BL2250">
        <v>0</v>
      </c>
      <c r="BO2250">
        <v>0</v>
      </c>
      <c r="BP2250">
        <v>0</v>
      </c>
      <c r="BW2250" t="str">
        <f t="shared" si="1062"/>
        <v>14:45:07.301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343</v>
      </c>
      <c r="CR2250">
        <v>2</v>
      </c>
      <c r="CW2250">
        <v>13121438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1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 t="shared" si="1059"/>
        <v>05/12/2020 14:44:49.465</v>
      </c>
      <c r="C2251" t="str">
        <f t="shared" si="1037"/>
        <v>FFDFD3C0</v>
      </c>
      <c r="D2251" t="s">
        <v>131</v>
      </c>
      <c r="E2251">
        <v>18</v>
      </c>
      <c r="F2251">
        <v>2018</v>
      </c>
      <c r="G2251" t="s">
        <v>161</v>
      </c>
      <c r="J2251" t="s">
        <v>133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060"/>
        <v>14:45:07.297</v>
      </c>
      <c r="T2251" t="str">
        <f t="shared" si="1061"/>
        <v>14:45:06.897</v>
      </c>
      <c r="U2251" t="str">
        <f t="shared" si="1058"/>
        <v>A9808D</v>
      </c>
      <c r="V2251">
        <v>0</v>
      </c>
      <c r="W2251">
        <v>0</v>
      </c>
      <c r="X2251">
        <v>1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0</v>
      </c>
      <c r="AI2251" t="s">
        <v>572</v>
      </c>
      <c r="AJ2251">
        <v>28.258982</v>
      </c>
      <c r="AK2251" t="s">
        <v>573</v>
      </c>
      <c r="AL2251">
        <v>-82.338667000000001</v>
      </c>
      <c r="AM2251">
        <v>100</v>
      </c>
      <c r="AN2251">
        <v>2100</v>
      </c>
      <c r="AO2251" t="s">
        <v>118</v>
      </c>
      <c r="AP2251">
        <v>93</v>
      </c>
      <c r="AQ2251">
        <v>-53</v>
      </c>
      <c r="AR2251">
        <v>384</v>
      </c>
      <c r="AZ2251">
        <v>1200</v>
      </c>
      <c r="BA2251">
        <v>1</v>
      </c>
      <c r="BB2251" t="str">
        <f t="shared" si="1038"/>
        <v xml:space="preserve">N711JA  </v>
      </c>
      <c r="BC2251">
        <v>1</v>
      </c>
      <c r="BE2251">
        <v>0</v>
      </c>
      <c r="BF2251">
        <v>0</v>
      </c>
      <c r="BG2251">
        <v>0</v>
      </c>
      <c r="BH2251">
        <v>2250</v>
      </c>
      <c r="BI2251">
        <v>1</v>
      </c>
      <c r="BJ2251">
        <v>1</v>
      </c>
      <c r="BK2251">
        <v>0</v>
      </c>
      <c r="BL2251">
        <v>0</v>
      </c>
      <c r="BO2251">
        <v>0</v>
      </c>
      <c r="BP2251">
        <v>0</v>
      </c>
      <c r="BW2251" t="str">
        <f t="shared" si="1062"/>
        <v>14:45:07.301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343</v>
      </c>
      <c r="CR2251">
        <v>2</v>
      </c>
      <c r="CW2251">
        <v>13121438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1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 t="shared" si="1059"/>
        <v>05/12/2020 14:44:49.465</v>
      </c>
      <c r="C2252" t="str">
        <f t="shared" si="1037"/>
        <v>FFDFD3C0</v>
      </c>
      <c r="D2252" t="s">
        <v>134</v>
      </c>
      <c r="E2252">
        <v>12</v>
      </c>
      <c r="H2252">
        <v>64</v>
      </c>
      <c r="I2252" t="s">
        <v>135</v>
      </c>
      <c r="J2252" t="s">
        <v>136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060"/>
        <v>14:45:07.297</v>
      </c>
      <c r="T2252" t="str">
        <f t="shared" si="1061"/>
        <v>14:45:06.897</v>
      </c>
      <c r="U2252" t="str">
        <f t="shared" si="1058"/>
        <v>A9808D</v>
      </c>
      <c r="V2252">
        <v>0</v>
      </c>
      <c r="W2252">
        <v>0</v>
      </c>
      <c r="X2252">
        <v>1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0</v>
      </c>
      <c r="AI2252" t="s">
        <v>572</v>
      </c>
      <c r="AJ2252">
        <v>28.258982</v>
      </c>
      <c r="AK2252" t="s">
        <v>573</v>
      </c>
      <c r="AL2252">
        <v>-82.338667000000001</v>
      </c>
      <c r="AM2252">
        <v>100</v>
      </c>
      <c r="AN2252">
        <v>2100</v>
      </c>
      <c r="AO2252" t="s">
        <v>118</v>
      </c>
      <c r="AP2252">
        <v>93</v>
      </c>
      <c r="AQ2252">
        <v>-53</v>
      </c>
      <c r="AR2252">
        <v>384</v>
      </c>
      <c r="AZ2252">
        <v>1200</v>
      </c>
      <c r="BA2252">
        <v>1</v>
      </c>
      <c r="BB2252" t="str">
        <f t="shared" si="1038"/>
        <v xml:space="preserve">N711JA  </v>
      </c>
      <c r="BC2252">
        <v>1</v>
      </c>
      <c r="BE2252">
        <v>0</v>
      </c>
      <c r="BF2252">
        <v>0</v>
      </c>
      <c r="BG2252">
        <v>0</v>
      </c>
      <c r="BH2252">
        <v>2250</v>
      </c>
      <c r="BI2252">
        <v>1</v>
      </c>
      <c r="BJ2252">
        <v>1</v>
      </c>
      <c r="BK2252">
        <v>0</v>
      </c>
      <c r="BL2252">
        <v>0</v>
      </c>
      <c r="BO2252">
        <v>0</v>
      </c>
      <c r="BP2252">
        <v>0</v>
      </c>
      <c r="BW2252" t="str">
        <f t="shared" si="1062"/>
        <v>14:45:07.301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343</v>
      </c>
      <c r="CR2252">
        <v>2</v>
      </c>
      <c r="CW2252">
        <v>13121438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si="1059"/>
        <v>05/12/2020 14:44:49.465</v>
      </c>
      <c r="C2253" t="str">
        <f t="shared" si="1037"/>
        <v>FFDFD3C0</v>
      </c>
      <c r="D2253" t="s">
        <v>113</v>
      </c>
      <c r="E2253">
        <v>3</v>
      </c>
      <c r="H2253">
        <v>164</v>
      </c>
      <c r="I2253" t="s">
        <v>114</v>
      </c>
      <c r="J2253" t="s">
        <v>115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060"/>
        <v>14:45:07.297</v>
      </c>
      <c r="T2253" t="str">
        <f t="shared" si="1061"/>
        <v>14:45:06.897</v>
      </c>
      <c r="U2253" t="str">
        <f t="shared" si="1058"/>
        <v>A9808D</v>
      </c>
      <c r="V2253">
        <v>0</v>
      </c>
      <c r="W2253">
        <v>0</v>
      </c>
      <c r="X2253">
        <v>1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0</v>
      </c>
      <c r="AI2253" t="s">
        <v>572</v>
      </c>
      <c r="AJ2253">
        <v>28.258982</v>
      </c>
      <c r="AK2253" t="s">
        <v>573</v>
      </c>
      <c r="AL2253">
        <v>-82.338667000000001</v>
      </c>
      <c r="AM2253">
        <v>100</v>
      </c>
      <c r="AN2253">
        <v>2100</v>
      </c>
      <c r="AO2253" t="s">
        <v>118</v>
      </c>
      <c r="AP2253">
        <v>93</v>
      </c>
      <c r="AQ2253">
        <v>-53</v>
      </c>
      <c r="AR2253">
        <v>384</v>
      </c>
      <c r="AZ2253">
        <v>1200</v>
      </c>
      <c r="BA2253">
        <v>1</v>
      </c>
      <c r="BB2253" t="str">
        <f t="shared" si="1038"/>
        <v xml:space="preserve">N711JA  </v>
      </c>
      <c r="BC2253">
        <v>1</v>
      </c>
      <c r="BE2253">
        <v>0</v>
      </c>
      <c r="BF2253">
        <v>0</v>
      </c>
      <c r="BG2253">
        <v>0</v>
      </c>
      <c r="BH2253">
        <v>2250</v>
      </c>
      <c r="BI2253">
        <v>1</v>
      </c>
      <c r="BJ2253">
        <v>1</v>
      </c>
      <c r="BK2253">
        <v>0</v>
      </c>
      <c r="BL2253">
        <v>0</v>
      </c>
      <c r="BO2253">
        <v>0</v>
      </c>
      <c r="BP2253">
        <v>0</v>
      </c>
      <c r="BW2253" t="str">
        <f t="shared" si="1062"/>
        <v>14:45:07.301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343</v>
      </c>
      <c r="CR2253">
        <v>2</v>
      </c>
      <c r="CW2253">
        <v>13121438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1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si="1059"/>
        <v>05/12/2020 14:44:49.465</v>
      </c>
      <c r="C2254" t="str">
        <f t="shared" si="1037"/>
        <v>FFDFD3C0</v>
      </c>
      <c r="D2254" t="s">
        <v>138</v>
      </c>
      <c r="E2254">
        <v>2</v>
      </c>
      <c r="H2254">
        <v>8</v>
      </c>
      <c r="I2254" t="s">
        <v>139</v>
      </c>
      <c r="J2254" t="s">
        <v>136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060"/>
        <v>14:45:07.297</v>
      </c>
      <c r="T2254" t="str">
        <f t="shared" si="1061"/>
        <v>14:45:06.897</v>
      </c>
      <c r="U2254" t="str">
        <f t="shared" si="1058"/>
        <v>A9808D</v>
      </c>
      <c r="V2254">
        <v>0</v>
      </c>
      <c r="W2254">
        <v>0</v>
      </c>
      <c r="X2254">
        <v>1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0</v>
      </c>
      <c r="AI2254" t="s">
        <v>572</v>
      </c>
      <c r="AJ2254">
        <v>28.258982</v>
      </c>
      <c r="AK2254" t="s">
        <v>573</v>
      </c>
      <c r="AL2254">
        <v>-82.338667000000001</v>
      </c>
      <c r="AM2254">
        <v>100</v>
      </c>
      <c r="AN2254">
        <v>2100</v>
      </c>
      <c r="AO2254" t="s">
        <v>118</v>
      </c>
      <c r="AP2254">
        <v>93</v>
      </c>
      <c r="AQ2254">
        <v>-53</v>
      </c>
      <c r="AR2254">
        <v>384</v>
      </c>
      <c r="AZ2254">
        <v>1200</v>
      </c>
      <c r="BA2254">
        <v>1</v>
      </c>
      <c r="BB2254" t="str">
        <f t="shared" si="1038"/>
        <v xml:space="preserve">N711JA  </v>
      </c>
      <c r="BC2254">
        <v>1</v>
      </c>
      <c r="BE2254">
        <v>0</v>
      </c>
      <c r="BF2254">
        <v>0</v>
      </c>
      <c r="BG2254">
        <v>0</v>
      </c>
      <c r="BH2254">
        <v>2250</v>
      </c>
      <c r="BI2254">
        <v>1</v>
      </c>
      <c r="BJ2254">
        <v>1</v>
      </c>
      <c r="BK2254">
        <v>0</v>
      </c>
      <c r="BL2254">
        <v>0</v>
      </c>
      <c r="BO2254">
        <v>0</v>
      </c>
      <c r="BP2254">
        <v>0</v>
      </c>
      <c r="BW2254" t="str">
        <f t="shared" si="1062"/>
        <v>14:45:07.301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119</v>
      </c>
      <c r="CQ2254">
        <v>343</v>
      </c>
      <c r="CR2254">
        <v>2</v>
      </c>
      <c r="CW2254">
        <v>13121438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1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ref="A2255:A2263" si="1063">"05/12/2020 14:44:50.473"</f>
        <v>05/12/2020 14:44:50.473</v>
      </c>
      <c r="C2255" t="str">
        <f t="shared" si="1037"/>
        <v>FFDFD3C0</v>
      </c>
      <c r="D2255" t="s">
        <v>131</v>
      </c>
      <c r="E2255">
        <v>10</v>
      </c>
      <c r="F2255">
        <v>2010</v>
      </c>
      <c r="G2255" t="s">
        <v>132</v>
      </c>
      <c r="J2255" t="s">
        <v>133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ref="S2255:S2263" si="1064">"14:45:08.313"</f>
        <v>14:45:08.313</v>
      </c>
      <c r="T2255" t="str">
        <f t="shared" ref="T2255:T2263" si="1065">"14:45:07.913"</f>
        <v>14:45:07.913</v>
      </c>
      <c r="U2255" t="str">
        <f t="shared" si="1058"/>
        <v>A9808D</v>
      </c>
      <c r="V2255">
        <v>0</v>
      </c>
      <c r="W2255">
        <v>0</v>
      </c>
      <c r="X2255">
        <v>1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0</v>
      </c>
      <c r="AI2255" t="s">
        <v>574</v>
      </c>
      <c r="AJ2255">
        <v>28.258766999999999</v>
      </c>
      <c r="AK2255" t="s">
        <v>575</v>
      </c>
      <c r="AL2255">
        <v>-82.338194999999999</v>
      </c>
      <c r="AM2255">
        <v>100</v>
      </c>
      <c r="AN2255">
        <v>2200</v>
      </c>
      <c r="AO2255" t="s">
        <v>118</v>
      </c>
      <c r="AP2255">
        <v>93</v>
      </c>
      <c r="AQ2255">
        <v>-53</v>
      </c>
      <c r="AR2255">
        <v>320</v>
      </c>
      <c r="AZ2255">
        <v>1200</v>
      </c>
      <c r="BA2255">
        <v>1</v>
      </c>
      <c r="BB2255" t="str">
        <f t="shared" si="1038"/>
        <v xml:space="preserve">N711JA  </v>
      </c>
      <c r="BC2255">
        <v>1</v>
      </c>
      <c r="BE2255">
        <v>0</v>
      </c>
      <c r="BF2255">
        <v>0</v>
      </c>
      <c r="BG2255">
        <v>0</v>
      </c>
      <c r="BH2255">
        <v>2150</v>
      </c>
      <c r="BI2255">
        <v>1</v>
      </c>
      <c r="BJ2255">
        <v>1</v>
      </c>
      <c r="BK2255">
        <v>0</v>
      </c>
      <c r="BL2255">
        <v>0</v>
      </c>
      <c r="BO2255">
        <v>0</v>
      </c>
      <c r="BP2255">
        <v>0</v>
      </c>
      <c r="BW2255" t="str">
        <f t="shared" ref="BW2255:BW2263" si="1066">"14:45:08.313"</f>
        <v>14:45:08.313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8</v>
      </c>
      <c r="CR2255">
        <v>3</v>
      </c>
      <c r="CW2255">
        <v>8891414</v>
      </c>
      <c r="CY2255">
        <v>1</v>
      </c>
      <c r="CZ2255">
        <v>0</v>
      </c>
      <c r="DA2255">
        <v>0</v>
      </c>
      <c r="DB2255">
        <v>0</v>
      </c>
      <c r="DC2255">
        <v>0</v>
      </c>
      <c r="DD2255">
        <v>1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si="1063"/>
        <v>05/12/2020 14:44:50.473</v>
      </c>
      <c r="C2256" t="str">
        <f t="shared" si="1037"/>
        <v>FFDFD3C0</v>
      </c>
      <c r="D2256" t="s">
        <v>126</v>
      </c>
      <c r="E2256">
        <v>6</v>
      </c>
      <c r="F2256">
        <v>1006</v>
      </c>
      <c r="G2256" t="s">
        <v>114</v>
      </c>
      <c r="J2256" t="s">
        <v>128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064"/>
        <v>14:45:08.313</v>
      </c>
      <c r="T2256" t="str">
        <f t="shared" si="1065"/>
        <v>14:45:07.913</v>
      </c>
      <c r="U2256" t="str">
        <f t="shared" si="1058"/>
        <v>A9808D</v>
      </c>
      <c r="V2256">
        <v>0</v>
      </c>
      <c r="W2256">
        <v>0</v>
      </c>
      <c r="X2256">
        <v>1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0</v>
      </c>
      <c r="AI2256" t="s">
        <v>574</v>
      </c>
      <c r="AJ2256">
        <v>28.258766999999999</v>
      </c>
      <c r="AK2256" t="s">
        <v>575</v>
      </c>
      <c r="AL2256">
        <v>-82.338194999999999</v>
      </c>
      <c r="AM2256">
        <v>100</v>
      </c>
      <c r="AN2256">
        <v>2200</v>
      </c>
      <c r="AO2256" t="s">
        <v>118</v>
      </c>
      <c r="AP2256">
        <v>93</v>
      </c>
      <c r="AQ2256">
        <v>-53</v>
      </c>
      <c r="AR2256">
        <v>320</v>
      </c>
      <c r="AZ2256">
        <v>1200</v>
      </c>
      <c r="BA2256">
        <v>1</v>
      </c>
      <c r="BB2256" t="str">
        <f t="shared" si="1038"/>
        <v xml:space="preserve">N711JA  </v>
      </c>
      <c r="BC2256">
        <v>1</v>
      </c>
      <c r="BE2256">
        <v>0</v>
      </c>
      <c r="BF2256">
        <v>0</v>
      </c>
      <c r="BG2256">
        <v>0</v>
      </c>
      <c r="BH2256">
        <v>2150</v>
      </c>
      <c r="BI2256">
        <v>1</v>
      </c>
      <c r="BJ2256">
        <v>1</v>
      </c>
      <c r="BK2256">
        <v>0</v>
      </c>
      <c r="BL2256">
        <v>0</v>
      </c>
      <c r="BO2256">
        <v>0</v>
      </c>
      <c r="BP2256">
        <v>0</v>
      </c>
      <c r="BW2256" t="str">
        <f t="shared" si="1066"/>
        <v>14:45:08.313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8</v>
      </c>
      <c r="CR2256">
        <v>3</v>
      </c>
      <c r="CW2256">
        <v>8891414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1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1063"/>
        <v>05/12/2020 14:44:50.473</v>
      </c>
      <c r="C2257" t="str">
        <f t="shared" si="1037"/>
        <v>FFDFD3C0</v>
      </c>
      <c r="D2257" t="s">
        <v>138</v>
      </c>
      <c r="E2257">
        <v>3</v>
      </c>
      <c r="H2257">
        <v>9</v>
      </c>
      <c r="I2257" t="s">
        <v>140</v>
      </c>
      <c r="J2257" t="s">
        <v>136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064"/>
        <v>14:45:08.313</v>
      </c>
      <c r="T2257" t="str">
        <f t="shared" si="1065"/>
        <v>14:45:07.913</v>
      </c>
      <c r="U2257" t="str">
        <f t="shared" si="1058"/>
        <v>A9808D</v>
      </c>
      <c r="V2257">
        <v>0</v>
      </c>
      <c r="W2257">
        <v>0</v>
      </c>
      <c r="X2257">
        <v>1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0</v>
      </c>
      <c r="AI2257" t="s">
        <v>574</v>
      </c>
      <c r="AJ2257">
        <v>28.258766999999999</v>
      </c>
      <c r="AK2257" t="s">
        <v>575</v>
      </c>
      <c r="AL2257">
        <v>-82.338194999999999</v>
      </c>
      <c r="AM2257">
        <v>100</v>
      </c>
      <c r="AN2257">
        <v>2200</v>
      </c>
      <c r="AO2257" t="s">
        <v>118</v>
      </c>
      <c r="AP2257">
        <v>93</v>
      </c>
      <c r="AQ2257">
        <v>-53</v>
      </c>
      <c r="AR2257">
        <v>320</v>
      </c>
      <c r="AZ2257">
        <v>1200</v>
      </c>
      <c r="BA2257">
        <v>1</v>
      </c>
      <c r="BB2257" t="str">
        <f t="shared" si="1038"/>
        <v xml:space="preserve">N711JA  </v>
      </c>
      <c r="BC2257">
        <v>1</v>
      </c>
      <c r="BE2257">
        <v>0</v>
      </c>
      <c r="BF2257">
        <v>0</v>
      </c>
      <c r="BG2257">
        <v>0</v>
      </c>
      <c r="BH2257">
        <v>2150</v>
      </c>
      <c r="BI2257">
        <v>1</v>
      </c>
      <c r="BJ2257">
        <v>1</v>
      </c>
      <c r="BK2257">
        <v>0</v>
      </c>
      <c r="BL2257">
        <v>0</v>
      </c>
      <c r="BO2257">
        <v>0</v>
      </c>
      <c r="BP2257">
        <v>0</v>
      </c>
      <c r="BW2257" t="str">
        <f t="shared" si="1066"/>
        <v>14:45:08.313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8</v>
      </c>
      <c r="CR2257">
        <v>3</v>
      </c>
      <c r="CW2257">
        <v>8891414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1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1063"/>
        <v>05/12/2020 14:44:50.473</v>
      </c>
      <c r="C2258" t="str">
        <f t="shared" si="1037"/>
        <v>FFDFD3C0</v>
      </c>
      <c r="D2258" t="s">
        <v>131</v>
      </c>
      <c r="E2258">
        <v>12</v>
      </c>
      <c r="F2258">
        <v>2012</v>
      </c>
      <c r="G2258" t="s">
        <v>137</v>
      </c>
      <c r="J2258" t="s">
        <v>133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064"/>
        <v>14:45:08.313</v>
      </c>
      <c r="T2258" t="str">
        <f t="shared" si="1065"/>
        <v>14:45:07.913</v>
      </c>
      <c r="U2258" t="str">
        <f t="shared" si="1058"/>
        <v>A9808D</v>
      </c>
      <c r="V2258">
        <v>0</v>
      </c>
      <c r="W2258">
        <v>0</v>
      </c>
      <c r="X2258">
        <v>1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0</v>
      </c>
      <c r="AI2258" t="s">
        <v>574</v>
      </c>
      <c r="AJ2258">
        <v>28.258766999999999</v>
      </c>
      <c r="AK2258" t="s">
        <v>575</v>
      </c>
      <c r="AL2258">
        <v>-82.338194999999999</v>
      </c>
      <c r="AM2258">
        <v>100</v>
      </c>
      <c r="AN2258">
        <v>2200</v>
      </c>
      <c r="AO2258" t="s">
        <v>118</v>
      </c>
      <c r="AP2258">
        <v>93</v>
      </c>
      <c r="AQ2258">
        <v>-53</v>
      </c>
      <c r="AR2258">
        <v>320</v>
      </c>
      <c r="AZ2258">
        <v>1200</v>
      </c>
      <c r="BA2258">
        <v>1</v>
      </c>
      <c r="BB2258" t="str">
        <f t="shared" si="1038"/>
        <v xml:space="preserve">N711JA  </v>
      </c>
      <c r="BC2258">
        <v>1</v>
      </c>
      <c r="BE2258">
        <v>0</v>
      </c>
      <c r="BF2258">
        <v>0</v>
      </c>
      <c r="BG2258">
        <v>0</v>
      </c>
      <c r="BH2258">
        <v>2150</v>
      </c>
      <c r="BI2258">
        <v>1</v>
      </c>
      <c r="BJ2258">
        <v>1</v>
      </c>
      <c r="BK2258">
        <v>0</v>
      </c>
      <c r="BL2258">
        <v>0</v>
      </c>
      <c r="BO2258">
        <v>0</v>
      </c>
      <c r="BP2258">
        <v>0</v>
      </c>
      <c r="BW2258" t="str">
        <f t="shared" si="1066"/>
        <v>14:45:08.313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8</v>
      </c>
      <c r="CR2258">
        <v>3</v>
      </c>
      <c r="CW2258">
        <v>8891414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1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si="1063"/>
        <v>05/12/2020 14:44:50.473</v>
      </c>
      <c r="C2259" t="str">
        <f t="shared" si="1037"/>
        <v>FFDFD3C0</v>
      </c>
      <c r="D2259" t="s">
        <v>131</v>
      </c>
      <c r="E2259">
        <v>18</v>
      </c>
      <c r="F2259">
        <v>2018</v>
      </c>
      <c r="G2259" t="s">
        <v>161</v>
      </c>
      <c r="J2259" t="s">
        <v>133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064"/>
        <v>14:45:08.313</v>
      </c>
      <c r="T2259" t="str">
        <f t="shared" si="1065"/>
        <v>14:45:07.913</v>
      </c>
      <c r="U2259" t="str">
        <f t="shared" si="1058"/>
        <v>A9808D</v>
      </c>
      <c r="V2259">
        <v>0</v>
      </c>
      <c r="W2259">
        <v>0</v>
      </c>
      <c r="X2259">
        <v>1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0</v>
      </c>
      <c r="AI2259" t="s">
        <v>574</v>
      </c>
      <c r="AJ2259">
        <v>28.258766999999999</v>
      </c>
      <c r="AK2259" t="s">
        <v>575</v>
      </c>
      <c r="AL2259">
        <v>-82.338194999999999</v>
      </c>
      <c r="AM2259">
        <v>100</v>
      </c>
      <c r="AN2259">
        <v>2200</v>
      </c>
      <c r="AO2259" t="s">
        <v>118</v>
      </c>
      <c r="AP2259">
        <v>93</v>
      </c>
      <c r="AQ2259">
        <v>-53</v>
      </c>
      <c r="AR2259">
        <v>320</v>
      </c>
      <c r="AZ2259">
        <v>1200</v>
      </c>
      <c r="BA2259">
        <v>1</v>
      </c>
      <c r="BB2259" t="str">
        <f t="shared" si="1038"/>
        <v xml:space="preserve">N711JA  </v>
      </c>
      <c r="BC2259">
        <v>1</v>
      </c>
      <c r="BE2259">
        <v>0</v>
      </c>
      <c r="BF2259">
        <v>0</v>
      </c>
      <c r="BG2259">
        <v>0</v>
      </c>
      <c r="BH2259">
        <v>2150</v>
      </c>
      <c r="BI2259">
        <v>1</v>
      </c>
      <c r="BJ2259">
        <v>1</v>
      </c>
      <c r="BK2259">
        <v>0</v>
      </c>
      <c r="BL2259">
        <v>0</v>
      </c>
      <c r="BO2259">
        <v>0</v>
      </c>
      <c r="BP2259">
        <v>0</v>
      </c>
      <c r="BW2259" t="str">
        <f t="shared" si="1066"/>
        <v>14:45:08.313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343</v>
      </c>
      <c r="CR2259">
        <v>1</v>
      </c>
      <c r="CW2259">
        <v>10765582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 t="shared" si="1063"/>
        <v>05/12/2020 14:44:50.473</v>
      </c>
      <c r="C2260" t="str">
        <f t="shared" si="1037"/>
        <v>FFDFD3C0</v>
      </c>
      <c r="D2260" t="s">
        <v>134</v>
      </c>
      <c r="E2260">
        <v>12</v>
      </c>
      <c r="H2260">
        <v>64</v>
      </c>
      <c r="I2260" t="s">
        <v>135</v>
      </c>
      <c r="J2260" t="s">
        <v>136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064"/>
        <v>14:45:08.313</v>
      </c>
      <c r="T2260" t="str">
        <f t="shared" si="1065"/>
        <v>14:45:07.913</v>
      </c>
      <c r="U2260" t="str">
        <f t="shared" si="1058"/>
        <v>A9808D</v>
      </c>
      <c r="V2260">
        <v>0</v>
      </c>
      <c r="W2260">
        <v>0</v>
      </c>
      <c r="X2260">
        <v>1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0</v>
      </c>
      <c r="AI2260" t="s">
        <v>574</v>
      </c>
      <c r="AJ2260">
        <v>28.258766999999999</v>
      </c>
      <c r="AK2260" t="s">
        <v>575</v>
      </c>
      <c r="AL2260">
        <v>-82.338194999999999</v>
      </c>
      <c r="AM2260">
        <v>100</v>
      </c>
      <c r="AN2260">
        <v>2200</v>
      </c>
      <c r="AO2260" t="s">
        <v>118</v>
      </c>
      <c r="AP2260">
        <v>93</v>
      </c>
      <c r="AQ2260">
        <v>-53</v>
      </c>
      <c r="AR2260">
        <v>320</v>
      </c>
      <c r="AZ2260">
        <v>1200</v>
      </c>
      <c r="BA2260">
        <v>1</v>
      </c>
      <c r="BB2260" t="str">
        <f t="shared" si="1038"/>
        <v xml:space="preserve">N711JA  </v>
      </c>
      <c r="BC2260">
        <v>1</v>
      </c>
      <c r="BE2260">
        <v>0</v>
      </c>
      <c r="BF2260">
        <v>0</v>
      </c>
      <c r="BG2260">
        <v>0</v>
      </c>
      <c r="BH2260">
        <v>2150</v>
      </c>
      <c r="BI2260">
        <v>1</v>
      </c>
      <c r="BJ2260">
        <v>1</v>
      </c>
      <c r="BK2260">
        <v>0</v>
      </c>
      <c r="BL2260">
        <v>0</v>
      </c>
      <c r="BO2260">
        <v>0</v>
      </c>
      <c r="BP2260">
        <v>0</v>
      </c>
      <c r="BW2260" t="str">
        <f t="shared" si="1066"/>
        <v>14:45:08.313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8</v>
      </c>
      <c r="CR2260">
        <v>3</v>
      </c>
      <c r="CW2260">
        <v>8891414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 t="shared" si="1063"/>
        <v>05/12/2020 14:44:50.473</v>
      </c>
      <c r="C2261" t="str">
        <f t="shared" si="1037"/>
        <v>FFDFD3C0</v>
      </c>
      <c r="D2261" t="s">
        <v>113</v>
      </c>
      <c r="E2261">
        <v>3</v>
      </c>
      <c r="H2261">
        <v>164</v>
      </c>
      <c r="I2261" t="s">
        <v>114</v>
      </c>
      <c r="J2261" t="s">
        <v>115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064"/>
        <v>14:45:08.313</v>
      </c>
      <c r="T2261" t="str">
        <f t="shared" si="1065"/>
        <v>14:45:07.913</v>
      </c>
      <c r="U2261" t="str">
        <f t="shared" si="1058"/>
        <v>A9808D</v>
      </c>
      <c r="V2261">
        <v>0</v>
      </c>
      <c r="W2261">
        <v>0</v>
      </c>
      <c r="X2261">
        <v>1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0</v>
      </c>
      <c r="AI2261" t="s">
        <v>574</v>
      </c>
      <c r="AJ2261">
        <v>28.258766999999999</v>
      </c>
      <c r="AK2261" t="s">
        <v>575</v>
      </c>
      <c r="AL2261">
        <v>-82.338194999999999</v>
      </c>
      <c r="AM2261">
        <v>100</v>
      </c>
      <c r="AN2261">
        <v>2200</v>
      </c>
      <c r="AO2261" t="s">
        <v>118</v>
      </c>
      <c r="AP2261">
        <v>93</v>
      </c>
      <c r="AQ2261">
        <v>-53</v>
      </c>
      <c r="AR2261">
        <v>320</v>
      </c>
      <c r="AZ2261">
        <v>1200</v>
      </c>
      <c r="BA2261">
        <v>1</v>
      </c>
      <c r="BB2261" t="str">
        <f t="shared" si="1038"/>
        <v xml:space="preserve">N711JA  </v>
      </c>
      <c r="BC2261">
        <v>1</v>
      </c>
      <c r="BE2261">
        <v>0</v>
      </c>
      <c r="BF2261">
        <v>0</v>
      </c>
      <c r="BG2261">
        <v>0</v>
      </c>
      <c r="BH2261">
        <v>2150</v>
      </c>
      <c r="BI2261">
        <v>1</v>
      </c>
      <c r="BJ2261">
        <v>1</v>
      </c>
      <c r="BK2261">
        <v>0</v>
      </c>
      <c r="BL2261">
        <v>0</v>
      </c>
      <c r="BO2261">
        <v>0</v>
      </c>
      <c r="BP2261">
        <v>0</v>
      </c>
      <c r="BW2261" t="str">
        <f t="shared" si="1066"/>
        <v>14:45:08.313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8</v>
      </c>
      <c r="CR2261">
        <v>3</v>
      </c>
      <c r="CW2261">
        <v>8891414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1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 t="shared" si="1063"/>
        <v>05/12/2020 14:44:50.473</v>
      </c>
      <c r="C2262" t="str">
        <f t="shared" ref="C2262:C2325" si="1067">"FFDFD3C0"</f>
        <v>FFDFD3C0</v>
      </c>
      <c r="D2262" t="s">
        <v>138</v>
      </c>
      <c r="E2262">
        <v>2</v>
      </c>
      <c r="H2262">
        <v>8</v>
      </c>
      <c r="I2262" t="s">
        <v>139</v>
      </c>
      <c r="J2262" t="s">
        <v>136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064"/>
        <v>14:45:08.313</v>
      </c>
      <c r="T2262" t="str">
        <f t="shared" si="1065"/>
        <v>14:45:07.913</v>
      </c>
      <c r="U2262" t="str">
        <f t="shared" si="1058"/>
        <v>A9808D</v>
      </c>
      <c r="V2262">
        <v>0</v>
      </c>
      <c r="W2262">
        <v>0</v>
      </c>
      <c r="X2262">
        <v>1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0</v>
      </c>
      <c r="AI2262" t="s">
        <v>574</v>
      </c>
      <c r="AJ2262">
        <v>28.258766999999999</v>
      </c>
      <c r="AK2262" t="s">
        <v>575</v>
      </c>
      <c r="AL2262">
        <v>-82.338194999999999</v>
      </c>
      <c r="AM2262">
        <v>100</v>
      </c>
      <c r="AN2262">
        <v>2200</v>
      </c>
      <c r="AO2262" t="s">
        <v>118</v>
      </c>
      <c r="AP2262">
        <v>93</v>
      </c>
      <c r="AQ2262">
        <v>-53</v>
      </c>
      <c r="AR2262">
        <v>320</v>
      </c>
      <c r="AZ2262">
        <v>1200</v>
      </c>
      <c r="BA2262">
        <v>1</v>
      </c>
      <c r="BB2262" t="str">
        <f t="shared" ref="BB2262:BB2325" si="1068">"N711JA  "</f>
        <v xml:space="preserve">N711JA  </v>
      </c>
      <c r="BC2262">
        <v>1</v>
      </c>
      <c r="BE2262">
        <v>0</v>
      </c>
      <c r="BF2262">
        <v>0</v>
      </c>
      <c r="BG2262">
        <v>0</v>
      </c>
      <c r="BH2262">
        <v>2150</v>
      </c>
      <c r="BI2262">
        <v>1</v>
      </c>
      <c r="BJ2262">
        <v>1</v>
      </c>
      <c r="BK2262">
        <v>0</v>
      </c>
      <c r="BL2262">
        <v>0</v>
      </c>
      <c r="BO2262">
        <v>0</v>
      </c>
      <c r="BP2262">
        <v>0</v>
      </c>
      <c r="BW2262" t="str">
        <f t="shared" si="1066"/>
        <v>14:45:08.313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8</v>
      </c>
      <c r="CR2262">
        <v>3</v>
      </c>
      <c r="CW2262">
        <v>8891414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1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 t="shared" si="1063"/>
        <v>05/12/2020 14:44:50.473</v>
      </c>
      <c r="C2263" t="str">
        <f t="shared" si="1067"/>
        <v>FFDFD3C0</v>
      </c>
      <c r="D2263" t="s">
        <v>126</v>
      </c>
      <c r="E2263">
        <v>7</v>
      </c>
      <c r="F2263">
        <v>1007</v>
      </c>
      <c r="G2263" t="s">
        <v>127</v>
      </c>
      <c r="J2263" t="s">
        <v>128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064"/>
        <v>14:45:08.313</v>
      </c>
      <c r="T2263" t="str">
        <f t="shared" si="1065"/>
        <v>14:45:07.913</v>
      </c>
      <c r="U2263" t="str">
        <f t="shared" si="1058"/>
        <v>A9808D</v>
      </c>
      <c r="V2263">
        <v>0</v>
      </c>
      <c r="W2263">
        <v>0</v>
      </c>
      <c r="X2263">
        <v>1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0</v>
      </c>
      <c r="AI2263" t="s">
        <v>574</v>
      </c>
      <c r="AJ2263">
        <v>28.258766999999999</v>
      </c>
      <c r="AK2263" t="s">
        <v>575</v>
      </c>
      <c r="AL2263">
        <v>-82.338194999999999</v>
      </c>
      <c r="AM2263">
        <v>100</v>
      </c>
      <c r="AN2263">
        <v>2200</v>
      </c>
      <c r="AO2263" t="s">
        <v>118</v>
      </c>
      <c r="AP2263">
        <v>93</v>
      </c>
      <c r="AQ2263">
        <v>-53</v>
      </c>
      <c r="AR2263">
        <v>320</v>
      </c>
      <c r="AZ2263">
        <v>1200</v>
      </c>
      <c r="BA2263">
        <v>1</v>
      </c>
      <c r="BB2263" t="str">
        <f t="shared" si="1068"/>
        <v xml:space="preserve">N711JA  </v>
      </c>
      <c r="BC2263">
        <v>1</v>
      </c>
      <c r="BE2263">
        <v>0</v>
      </c>
      <c r="BF2263">
        <v>0</v>
      </c>
      <c r="BG2263">
        <v>0</v>
      </c>
      <c r="BH2263">
        <v>2150</v>
      </c>
      <c r="BI2263">
        <v>1</v>
      </c>
      <c r="BJ2263">
        <v>1</v>
      </c>
      <c r="BK2263">
        <v>0</v>
      </c>
      <c r="BL2263">
        <v>0</v>
      </c>
      <c r="BO2263">
        <v>0</v>
      </c>
      <c r="BP2263">
        <v>0</v>
      </c>
      <c r="BW2263" t="str">
        <f t="shared" si="1066"/>
        <v>14:45:08.313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8</v>
      </c>
      <c r="CR2263">
        <v>3</v>
      </c>
      <c r="CW2263">
        <v>8891414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1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 t="shared" ref="A2264:A2272" si="1069">"05/12/2020 14:44:51.412"</f>
        <v>05/12/2020 14:44:51.412</v>
      </c>
      <c r="C2264" t="str">
        <f t="shared" si="1067"/>
        <v>FFDFD3C0</v>
      </c>
      <c r="D2264" t="s">
        <v>134</v>
      </c>
      <c r="E2264">
        <v>12</v>
      </c>
      <c r="H2264">
        <v>64</v>
      </c>
      <c r="I2264" t="s">
        <v>135</v>
      </c>
      <c r="J2264" t="s">
        <v>136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ref="S2264:S2272" si="1070">"14:45:09.234"</f>
        <v>14:45:09.234</v>
      </c>
      <c r="T2264" t="str">
        <f t="shared" ref="T2264:T2272" si="1071">"14:45:08.934"</f>
        <v>14:45:08.934</v>
      </c>
      <c r="U2264" t="str">
        <f t="shared" si="1058"/>
        <v>A9808D</v>
      </c>
      <c r="V2264">
        <v>0</v>
      </c>
      <c r="W2264">
        <v>0</v>
      </c>
      <c r="X2264">
        <v>1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0</v>
      </c>
      <c r="AI2264" t="s">
        <v>576</v>
      </c>
      <c r="AJ2264">
        <v>28.258510000000001</v>
      </c>
      <c r="AK2264" t="s">
        <v>577</v>
      </c>
      <c r="AL2264">
        <v>-82.337680000000006</v>
      </c>
      <c r="AM2264">
        <v>100</v>
      </c>
      <c r="AN2264">
        <v>2200</v>
      </c>
      <c r="AO2264" t="s">
        <v>118</v>
      </c>
      <c r="AP2264">
        <v>94</v>
      </c>
      <c r="AQ2264">
        <v>-52</v>
      </c>
      <c r="AR2264">
        <v>320</v>
      </c>
      <c r="AZ2264">
        <v>1200</v>
      </c>
      <c r="BA2264">
        <v>1</v>
      </c>
      <c r="BB2264" t="str">
        <f t="shared" si="1068"/>
        <v xml:space="preserve">N711JA  </v>
      </c>
      <c r="BC2264">
        <v>1</v>
      </c>
      <c r="BE2264">
        <v>0</v>
      </c>
      <c r="BF2264">
        <v>0</v>
      </c>
      <c r="BG2264">
        <v>0</v>
      </c>
      <c r="BH2264">
        <v>2250</v>
      </c>
      <c r="BI2264">
        <v>1</v>
      </c>
      <c r="BJ2264">
        <v>1</v>
      </c>
      <c r="BK2264">
        <v>0</v>
      </c>
      <c r="BL2264">
        <v>0</v>
      </c>
      <c r="BO2264">
        <v>0</v>
      </c>
      <c r="BP2264">
        <v>0</v>
      </c>
      <c r="BW2264" t="str">
        <f t="shared" ref="BW2264:BW2272" si="1072">"14:45:09.235"</f>
        <v>14:45:09.235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343</v>
      </c>
      <c r="CR2264">
        <v>1</v>
      </c>
      <c r="CW2264">
        <v>10766524</v>
      </c>
      <c r="CY2264">
        <v>1</v>
      </c>
      <c r="CZ2264">
        <v>0</v>
      </c>
      <c r="DA2264">
        <v>0</v>
      </c>
      <c r="DB2264">
        <v>0</v>
      </c>
      <c r="DC2264">
        <v>0</v>
      </c>
      <c r="DD2264">
        <v>1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 t="shared" si="1069"/>
        <v>05/12/2020 14:44:51.412</v>
      </c>
      <c r="C2265" t="str">
        <f t="shared" si="1067"/>
        <v>FFDFD3C0</v>
      </c>
      <c r="D2265" t="s">
        <v>113</v>
      </c>
      <c r="E2265">
        <v>3</v>
      </c>
      <c r="H2265">
        <v>164</v>
      </c>
      <c r="I2265" t="s">
        <v>114</v>
      </c>
      <c r="J2265" t="s">
        <v>115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070"/>
        <v>14:45:09.234</v>
      </c>
      <c r="T2265" t="str">
        <f t="shared" si="1071"/>
        <v>14:45:08.934</v>
      </c>
      <c r="U2265" t="str">
        <f t="shared" si="1058"/>
        <v>A9808D</v>
      </c>
      <c r="V2265">
        <v>0</v>
      </c>
      <c r="W2265">
        <v>0</v>
      </c>
      <c r="X2265">
        <v>1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0</v>
      </c>
      <c r="AI2265" t="s">
        <v>576</v>
      </c>
      <c r="AJ2265">
        <v>28.258510000000001</v>
      </c>
      <c r="AK2265" t="s">
        <v>577</v>
      </c>
      <c r="AL2265">
        <v>-82.337680000000006</v>
      </c>
      <c r="AM2265">
        <v>100</v>
      </c>
      <c r="AN2265">
        <v>2200</v>
      </c>
      <c r="AO2265" t="s">
        <v>118</v>
      </c>
      <c r="AP2265">
        <v>94</v>
      </c>
      <c r="AQ2265">
        <v>-52</v>
      </c>
      <c r="AR2265">
        <v>320</v>
      </c>
      <c r="AZ2265">
        <v>1200</v>
      </c>
      <c r="BA2265">
        <v>1</v>
      </c>
      <c r="BB2265" t="str">
        <f t="shared" si="1068"/>
        <v xml:space="preserve">N711JA  </v>
      </c>
      <c r="BC2265">
        <v>1</v>
      </c>
      <c r="BE2265">
        <v>0</v>
      </c>
      <c r="BF2265">
        <v>0</v>
      </c>
      <c r="BG2265">
        <v>0</v>
      </c>
      <c r="BH2265">
        <v>2250</v>
      </c>
      <c r="BI2265">
        <v>1</v>
      </c>
      <c r="BJ2265">
        <v>1</v>
      </c>
      <c r="BK2265">
        <v>0</v>
      </c>
      <c r="BL2265">
        <v>0</v>
      </c>
      <c r="BO2265">
        <v>0</v>
      </c>
      <c r="BP2265">
        <v>0</v>
      </c>
      <c r="BW2265" t="str">
        <f t="shared" si="1072"/>
        <v>14:45:09.235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56</v>
      </c>
      <c r="CR2265">
        <v>2</v>
      </c>
      <c r="CW2265">
        <v>4835239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1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 t="shared" si="1069"/>
        <v>05/12/2020 14:44:51.412</v>
      </c>
      <c r="C2266" t="str">
        <f t="shared" si="1067"/>
        <v>FFDFD3C0</v>
      </c>
      <c r="D2266" t="s">
        <v>126</v>
      </c>
      <c r="E2266">
        <v>7</v>
      </c>
      <c r="F2266">
        <v>1007</v>
      </c>
      <c r="G2266" t="s">
        <v>127</v>
      </c>
      <c r="J2266" t="s">
        <v>128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070"/>
        <v>14:45:09.234</v>
      </c>
      <c r="T2266" t="str">
        <f t="shared" si="1071"/>
        <v>14:45:08.934</v>
      </c>
      <c r="U2266" t="str">
        <f t="shared" si="1058"/>
        <v>A9808D</v>
      </c>
      <c r="V2266">
        <v>0</v>
      </c>
      <c r="W2266">
        <v>0</v>
      </c>
      <c r="X2266">
        <v>1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0</v>
      </c>
      <c r="AI2266" t="s">
        <v>576</v>
      </c>
      <c r="AJ2266">
        <v>28.258510000000001</v>
      </c>
      <c r="AK2266" t="s">
        <v>577</v>
      </c>
      <c r="AL2266">
        <v>-82.337680000000006</v>
      </c>
      <c r="AM2266">
        <v>100</v>
      </c>
      <c r="AN2266">
        <v>2200</v>
      </c>
      <c r="AO2266" t="s">
        <v>118</v>
      </c>
      <c r="AP2266">
        <v>94</v>
      </c>
      <c r="AQ2266">
        <v>-52</v>
      </c>
      <c r="AR2266">
        <v>320</v>
      </c>
      <c r="AZ2266">
        <v>1200</v>
      </c>
      <c r="BA2266">
        <v>1</v>
      </c>
      <c r="BB2266" t="str">
        <f t="shared" si="1068"/>
        <v xml:space="preserve">N711JA  </v>
      </c>
      <c r="BC2266">
        <v>1</v>
      </c>
      <c r="BE2266">
        <v>0</v>
      </c>
      <c r="BF2266">
        <v>0</v>
      </c>
      <c r="BG2266">
        <v>0</v>
      </c>
      <c r="BH2266">
        <v>2250</v>
      </c>
      <c r="BI2266">
        <v>1</v>
      </c>
      <c r="BJ2266">
        <v>1</v>
      </c>
      <c r="BK2266">
        <v>0</v>
      </c>
      <c r="BL2266">
        <v>0</v>
      </c>
      <c r="BO2266">
        <v>0</v>
      </c>
      <c r="BP2266">
        <v>0</v>
      </c>
      <c r="BW2266" t="str">
        <f t="shared" si="1072"/>
        <v>14:45:09.235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56</v>
      </c>
      <c r="CR2266">
        <v>2</v>
      </c>
      <c r="CW2266">
        <v>4835239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1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 t="shared" si="1069"/>
        <v>05/12/2020 14:44:51.412</v>
      </c>
      <c r="C2267" t="str">
        <f t="shared" si="1067"/>
        <v>FFDFD3C0</v>
      </c>
      <c r="D2267" t="s">
        <v>131</v>
      </c>
      <c r="E2267">
        <v>10</v>
      </c>
      <c r="F2267">
        <v>2010</v>
      </c>
      <c r="G2267" t="s">
        <v>132</v>
      </c>
      <c r="J2267" t="s">
        <v>133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070"/>
        <v>14:45:09.234</v>
      </c>
      <c r="T2267" t="str">
        <f t="shared" si="1071"/>
        <v>14:45:08.934</v>
      </c>
      <c r="U2267" t="str">
        <f t="shared" si="1058"/>
        <v>A9808D</v>
      </c>
      <c r="V2267">
        <v>0</v>
      </c>
      <c r="W2267">
        <v>0</v>
      </c>
      <c r="X2267">
        <v>1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0</v>
      </c>
      <c r="AI2267" t="s">
        <v>576</v>
      </c>
      <c r="AJ2267">
        <v>28.258510000000001</v>
      </c>
      <c r="AK2267" t="s">
        <v>577</v>
      </c>
      <c r="AL2267">
        <v>-82.337680000000006</v>
      </c>
      <c r="AM2267">
        <v>100</v>
      </c>
      <c r="AN2267">
        <v>2200</v>
      </c>
      <c r="AO2267" t="s">
        <v>118</v>
      </c>
      <c r="AP2267">
        <v>94</v>
      </c>
      <c r="AQ2267">
        <v>-52</v>
      </c>
      <c r="AR2267">
        <v>320</v>
      </c>
      <c r="AZ2267">
        <v>1200</v>
      </c>
      <c r="BA2267">
        <v>1</v>
      </c>
      <c r="BB2267" t="str">
        <f t="shared" si="1068"/>
        <v xml:space="preserve">N711JA  </v>
      </c>
      <c r="BC2267">
        <v>1</v>
      </c>
      <c r="BE2267">
        <v>0</v>
      </c>
      <c r="BF2267">
        <v>0</v>
      </c>
      <c r="BG2267">
        <v>0</v>
      </c>
      <c r="BH2267">
        <v>2250</v>
      </c>
      <c r="BI2267">
        <v>1</v>
      </c>
      <c r="BJ2267">
        <v>1</v>
      </c>
      <c r="BK2267">
        <v>0</v>
      </c>
      <c r="BL2267">
        <v>0</v>
      </c>
      <c r="BO2267">
        <v>0</v>
      </c>
      <c r="BP2267">
        <v>0</v>
      </c>
      <c r="BW2267" t="str">
        <f t="shared" si="1072"/>
        <v>14:45:09.235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56</v>
      </c>
      <c r="CR2267">
        <v>2</v>
      </c>
      <c r="CW2267">
        <v>4835239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1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 t="shared" si="1069"/>
        <v>05/12/2020 14:44:51.412</v>
      </c>
      <c r="C2268" t="str">
        <f t="shared" si="1067"/>
        <v>FFDFD3C0</v>
      </c>
      <c r="D2268" t="s">
        <v>138</v>
      </c>
      <c r="E2268">
        <v>2</v>
      </c>
      <c r="H2268">
        <v>8</v>
      </c>
      <c r="I2268" t="s">
        <v>139</v>
      </c>
      <c r="J2268" t="s">
        <v>136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070"/>
        <v>14:45:09.234</v>
      </c>
      <c r="T2268" t="str">
        <f t="shared" si="1071"/>
        <v>14:45:08.934</v>
      </c>
      <c r="U2268" t="str">
        <f t="shared" si="1058"/>
        <v>A9808D</v>
      </c>
      <c r="V2268">
        <v>0</v>
      </c>
      <c r="W2268">
        <v>0</v>
      </c>
      <c r="X2268">
        <v>1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0</v>
      </c>
      <c r="AI2268" t="s">
        <v>576</v>
      </c>
      <c r="AJ2268">
        <v>28.258510000000001</v>
      </c>
      <c r="AK2268" t="s">
        <v>577</v>
      </c>
      <c r="AL2268">
        <v>-82.337680000000006</v>
      </c>
      <c r="AM2268">
        <v>100</v>
      </c>
      <c r="AN2268">
        <v>2200</v>
      </c>
      <c r="AO2268" t="s">
        <v>118</v>
      </c>
      <c r="AP2268">
        <v>94</v>
      </c>
      <c r="AQ2268">
        <v>-52</v>
      </c>
      <c r="AR2268">
        <v>320</v>
      </c>
      <c r="AZ2268">
        <v>1200</v>
      </c>
      <c r="BA2268">
        <v>1</v>
      </c>
      <c r="BB2268" t="str">
        <f t="shared" si="1068"/>
        <v xml:space="preserve">N711JA  </v>
      </c>
      <c r="BC2268">
        <v>1</v>
      </c>
      <c r="BE2268">
        <v>0</v>
      </c>
      <c r="BF2268">
        <v>0</v>
      </c>
      <c r="BG2268">
        <v>0</v>
      </c>
      <c r="BH2268">
        <v>2250</v>
      </c>
      <c r="BI2268">
        <v>1</v>
      </c>
      <c r="BJ2268">
        <v>1</v>
      </c>
      <c r="BK2268">
        <v>0</v>
      </c>
      <c r="BL2268">
        <v>0</v>
      </c>
      <c r="BO2268">
        <v>0</v>
      </c>
      <c r="BP2268">
        <v>0</v>
      </c>
      <c r="BW2268" t="str">
        <f t="shared" si="1072"/>
        <v>14:45:09.235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56</v>
      </c>
      <c r="CR2268">
        <v>2</v>
      </c>
      <c r="CW2268">
        <v>4835239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1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 t="shared" si="1069"/>
        <v>05/12/2020 14:44:51.412</v>
      </c>
      <c r="C2269" t="str">
        <f t="shared" si="1067"/>
        <v>FFDFD3C0</v>
      </c>
      <c r="D2269" t="s">
        <v>131</v>
      </c>
      <c r="E2269">
        <v>12</v>
      </c>
      <c r="F2269">
        <v>2012</v>
      </c>
      <c r="G2269" t="s">
        <v>137</v>
      </c>
      <c r="J2269" t="s">
        <v>133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070"/>
        <v>14:45:09.234</v>
      </c>
      <c r="T2269" t="str">
        <f t="shared" si="1071"/>
        <v>14:45:08.934</v>
      </c>
      <c r="U2269" t="str">
        <f t="shared" si="1058"/>
        <v>A9808D</v>
      </c>
      <c r="V2269">
        <v>0</v>
      </c>
      <c r="W2269">
        <v>0</v>
      </c>
      <c r="X2269">
        <v>1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0</v>
      </c>
      <c r="AI2269" t="s">
        <v>576</v>
      </c>
      <c r="AJ2269">
        <v>28.258510000000001</v>
      </c>
      <c r="AK2269" t="s">
        <v>577</v>
      </c>
      <c r="AL2269">
        <v>-82.337680000000006</v>
      </c>
      <c r="AM2269">
        <v>100</v>
      </c>
      <c r="AN2269">
        <v>2200</v>
      </c>
      <c r="AO2269" t="s">
        <v>118</v>
      </c>
      <c r="AP2269">
        <v>94</v>
      </c>
      <c r="AQ2269">
        <v>-52</v>
      </c>
      <c r="AR2269">
        <v>320</v>
      </c>
      <c r="AZ2269">
        <v>1200</v>
      </c>
      <c r="BA2269">
        <v>1</v>
      </c>
      <c r="BB2269" t="str">
        <f t="shared" si="1068"/>
        <v xml:space="preserve">N711JA  </v>
      </c>
      <c r="BC2269">
        <v>1</v>
      </c>
      <c r="BE2269">
        <v>0</v>
      </c>
      <c r="BF2269">
        <v>0</v>
      </c>
      <c r="BG2269">
        <v>0</v>
      </c>
      <c r="BH2269">
        <v>2250</v>
      </c>
      <c r="BI2269">
        <v>1</v>
      </c>
      <c r="BJ2269">
        <v>1</v>
      </c>
      <c r="BK2269">
        <v>0</v>
      </c>
      <c r="BL2269">
        <v>0</v>
      </c>
      <c r="BO2269">
        <v>0</v>
      </c>
      <c r="BP2269">
        <v>0</v>
      </c>
      <c r="BW2269" t="str">
        <f t="shared" si="1072"/>
        <v>14:45:09.235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56</v>
      </c>
      <c r="CR2269">
        <v>2</v>
      </c>
      <c r="CW2269">
        <v>4835239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1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 t="shared" si="1069"/>
        <v>05/12/2020 14:44:51.412</v>
      </c>
      <c r="C2270" t="str">
        <f t="shared" si="1067"/>
        <v>FFDFD3C0</v>
      </c>
      <c r="D2270" t="s">
        <v>126</v>
      </c>
      <c r="E2270">
        <v>6</v>
      </c>
      <c r="F2270">
        <v>1006</v>
      </c>
      <c r="G2270" t="s">
        <v>114</v>
      </c>
      <c r="J2270" t="s">
        <v>128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070"/>
        <v>14:45:09.234</v>
      </c>
      <c r="T2270" t="str">
        <f t="shared" si="1071"/>
        <v>14:45:08.934</v>
      </c>
      <c r="U2270" t="str">
        <f t="shared" si="1058"/>
        <v>A9808D</v>
      </c>
      <c r="V2270">
        <v>0</v>
      </c>
      <c r="W2270">
        <v>0</v>
      </c>
      <c r="X2270">
        <v>1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0</v>
      </c>
      <c r="AI2270" t="s">
        <v>576</v>
      </c>
      <c r="AJ2270">
        <v>28.258510000000001</v>
      </c>
      <c r="AK2270" t="s">
        <v>577</v>
      </c>
      <c r="AL2270">
        <v>-82.337680000000006</v>
      </c>
      <c r="AM2270">
        <v>100</v>
      </c>
      <c r="AN2270">
        <v>2200</v>
      </c>
      <c r="AO2270" t="s">
        <v>118</v>
      </c>
      <c r="AP2270">
        <v>94</v>
      </c>
      <c r="AQ2270">
        <v>-52</v>
      </c>
      <c r="AR2270">
        <v>320</v>
      </c>
      <c r="AZ2270">
        <v>1200</v>
      </c>
      <c r="BA2270">
        <v>1</v>
      </c>
      <c r="BB2270" t="str">
        <f t="shared" si="1068"/>
        <v xml:space="preserve">N711JA  </v>
      </c>
      <c r="BC2270">
        <v>1</v>
      </c>
      <c r="BE2270">
        <v>0</v>
      </c>
      <c r="BF2270">
        <v>0</v>
      </c>
      <c r="BG2270">
        <v>0</v>
      </c>
      <c r="BH2270">
        <v>2250</v>
      </c>
      <c r="BI2270">
        <v>1</v>
      </c>
      <c r="BJ2270">
        <v>1</v>
      </c>
      <c r="BK2270">
        <v>0</v>
      </c>
      <c r="BL2270">
        <v>0</v>
      </c>
      <c r="BO2270">
        <v>0</v>
      </c>
      <c r="BP2270">
        <v>0</v>
      </c>
      <c r="BW2270" t="str">
        <f t="shared" si="1072"/>
        <v>14:45:09.235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56</v>
      </c>
      <c r="CR2270">
        <v>2</v>
      </c>
      <c r="CW2270">
        <v>4835239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1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si="1069"/>
        <v>05/12/2020 14:44:51.412</v>
      </c>
      <c r="C2271" t="str">
        <f t="shared" si="1067"/>
        <v>FFDFD3C0</v>
      </c>
      <c r="D2271" t="s">
        <v>131</v>
      </c>
      <c r="E2271">
        <v>18</v>
      </c>
      <c r="F2271">
        <v>2018</v>
      </c>
      <c r="G2271" t="s">
        <v>161</v>
      </c>
      <c r="J2271" t="s">
        <v>133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070"/>
        <v>14:45:09.234</v>
      </c>
      <c r="T2271" t="str">
        <f t="shared" si="1071"/>
        <v>14:45:08.934</v>
      </c>
      <c r="U2271" t="str">
        <f t="shared" si="1058"/>
        <v>A9808D</v>
      </c>
      <c r="V2271">
        <v>0</v>
      </c>
      <c r="W2271">
        <v>0</v>
      </c>
      <c r="X2271">
        <v>1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0</v>
      </c>
      <c r="AI2271" t="s">
        <v>576</v>
      </c>
      <c r="AJ2271">
        <v>28.258510000000001</v>
      </c>
      <c r="AK2271" t="s">
        <v>577</v>
      </c>
      <c r="AL2271">
        <v>-82.337680000000006</v>
      </c>
      <c r="AM2271">
        <v>100</v>
      </c>
      <c r="AN2271">
        <v>2200</v>
      </c>
      <c r="AO2271" t="s">
        <v>118</v>
      </c>
      <c r="AP2271">
        <v>94</v>
      </c>
      <c r="AQ2271">
        <v>-52</v>
      </c>
      <c r="AR2271">
        <v>320</v>
      </c>
      <c r="AZ2271">
        <v>1200</v>
      </c>
      <c r="BA2271">
        <v>1</v>
      </c>
      <c r="BB2271" t="str">
        <f t="shared" si="1068"/>
        <v xml:space="preserve">N711JA  </v>
      </c>
      <c r="BC2271">
        <v>1</v>
      </c>
      <c r="BE2271">
        <v>0</v>
      </c>
      <c r="BF2271">
        <v>0</v>
      </c>
      <c r="BG2271">
        <v>0</v>
      </c>
      <c r="BH2271">
        <v>2250</v>
      </c>
      <c r="BI2271">
        <v>1</v>
      </c>
      <c r="BJ2271">
        <v>1</v>
      </c>
      <c r="BK2271">
        <v>0</v>
      </c>
      <c r="BL2271">
        <v>0</v>
      </c>
      <c r="BO2271">
        <v>0</v>
      </c>
      <c r="BP2271">
        <v>0</v>
      </c>
      <c r="BW2271" t="str">
        <f t="shared" si="1072"/>
        <v>14:45:09.235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56</v>
      </c>
      <c r="CR2271">
        <v>2</v>
      </c>
      <c r="CW2271">
        <v>4835239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1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si="1069"/>
        <v>05/12/2020 14:44:51.412</v>
      </c>
      <c r="C2272" t="str">
        <f t="shared" si="1067"/>
        <v>FFDFD3C0</v>
      </c>
      <c r="D2272" t="s">
        <v>138</v>
      </c>
      <c r="E2272">
        <v>3</v>
      </c>
      <c r="H2272">
        <v>9</v>
      </c>
      <c r="I2272" t="s">
        <v>140</v>
      </c>
      <c r="J2272" t="s">
        <v>136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070"/>
        <v>14:45:09.234</v>
      </c>
      <c r="T2272" t="str">
        <f t="shared" si="1071"/>
        <v>14:45:08.934</v>
      </c>
      <c r="U2272" t="str">
        <f t="shared" si="1058"/>
        <v>A9808D</v>
      </c>
      <c r="V2272">
        <v>0</v>
      </c>
      <c r="W2272">
        <v>0</v>
      </c>
      <c r="X2272">
        <v>1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0</v>
      </c>
      <c r="AI2272" t="s">
        <v>576</v>
      </c>
      <c r="AJ2272">
        <v>28.258510000000001</v>
      </c>
      <c r="AK2272" t="s">
        <v>577</v>
      </c>
      <c r="AL2272">
        <v>-82.337680000000006</v>
      </c>
      <c r="AM2272">
        <v>100</v>
      </c>
      <c r="AN2272">
        <v>2200</v>
      </c>
      <c r="AO2272" t="s">
        <v>118</v>
      </c>
      <c r="AP2272">
        <v>94</v>
      </c>
      <c r="AQ2272">
        <v>-52</v>
      </c>
      <c r="AR2272">
        <v>320</v>
      </c>
      <c r="AZ2272">
        <v>1200</v>
      </c>
      <c r="BA2272">
        <v>1</v>
      </c>
      <c r="BB2272" t="str">
        <f t="shared" si="1068"/>
        <v xml:space="preserve">N711JA  </v>
      </c>
      <c r="BC2272">
        <v>1</v>
      </c>
      <c r="BE2272">
        <v>0</v>
      </c>
      <c r="BF2272">
        <v>0</v>
      </c>
      <c r="BG2272">
        <v>0</v>
      </c>
      <c r="BH2272">
        <v>2250</v>
      </c>
      <c r="BI2272">
        <v>1</v>
      </c>
      <c r="BJ2272">
        <v>1</v>
      </c>
      <c r="BK2272">
        <v>0</v>
      </c>
      <c r="BL2272">
        <v>0</v>
      </c>
      <c r="BO2272">
        <v>0</v>
      </c>
      <c r="BP2272">
        <v>0</v>
      </c>
      <c r="BW2272" t="str">
        <f t="shared" si="1072"/>
        <v>14:45:09.235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56</v>
      </c>
      <c r="CR2272">
        <v>2</v>
      </c>
      <c r="CW2272">
        <v>4835239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1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ref="A2273:A2281" si="1073">"05/12/2020 14:44:52.376"</f>
        <v>05/12/2020 14:44:52.376</v>
      </c>
      <c r="C2273" t="str">
        <f t="shared" si="1067"/>
        <v>FFDFD3C0</v>
      </c>
      <c r="D2273" t="s">
        <v>134</v>
      </c>
      <c r="E2273">
        <v>12</v>
      </c>
      <c r="H2273">
        <v>64</v>
      </c>
      <c r="I2273" t="s">
        <v>135</v>
      </c>
      <c r="J2273" t="s">
        <v>136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ref="S2273:S2281" si="1074">"14:45:10.211"</f>
        <v>14:45:10.211</v>
      </c>
      <c r="T2273" t="str">
        <f t="shared" ref="T2273:T2281" si="1075">"14:45:10.111"</f>
        <v>14:45:10.111</v>
      </c>
      <c r="U2273" t="str">
        <f t="shared" si="1058"/>
        <v>A9808D</v>
      </c>
      <c r="V2273">
        <v>0</v>
      </c>
      <c r="W2273">
        <v>0</v>
      </c>
      <c r="X2273">
        <v>1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0</v>
      </c>
      <c r="AI2273" t="s">
        <v>578</v>
      </c>
      <c r="AJ2273">
        <v>28.258317000000002</v>
      </c>
      <c r="AK2273" t="s">
        <v>579</v>
      </c>
      <c r="AL2273">
        <v>-82.337250999999995</v>
      </c>
      <c r="AM2273">
        <v>100</v>
      </c>
      <c r="AN2273">
        <v>2200</v>
      </c>
      <c r="AO2273" t="s">
        <v>118</v>
      </c>
      <c r="AP2273">
        <v>94</v>
      </c>
      <c r="AQ2273">
        <v>-52</v>
      </c>
      <c r="AR2273">
        <v>320</v>
      </c>
      <c r="AZ2273">
        <v>1200</v>
      </c>
      <c r="BA2273">
        <v>1</v>
      </c>
      <c r="BB2273" t="str">
        <f t="shared" si="1068"/>
        <v xml:space="preserve">N711JA  </v>
      </c>
      <c r="BC2273">
        <v>1</v>
      </c>
      <c r="BE2273">
        <v>0</v>
      </c>
      <c r="BF2273">
        <v>0</v>
      </c>
      <c r="BG2273">
        <v>0</v>
      </c>
      <c r="BH2273">
        <v>2250</v>
      </c>
      <c r="BI2273">
        <v>1</v>
      </c>
      <c r="BJ2273">
        <v>1</v>
      </c>
      <c r="BK2273">
        <v>0</v>
      </c>
      <c r="BL2273">
        <v>0</v>
      </c>
      <c r="BO2273">
        <v>0</v>
      </c>
      <c r="BP2273">
        <v>0</v>
      </c>
      <c r="BW2273" t="str">
        <f t="shared" ref="BW2273:BW2281" si="1076">"14:45:10.213"</f>
        <v>14:45:10.213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343</v>
      </c>
      <c r="CR2273">
        <v>2</v>
      </c>
      <c r="CW2273">
        <v>13123588</v>
      </c>
      <c r="CY2273">
        <v>1</v>
      </c>
      <c r="CZ2273">
        <v>0</v>
      </c>
      <c r="DA2273">
        <v>0</v>
      </c>
      <c r="DB2273">
        <v>0</v>
      </c>
      <c r="DC2273">
        <v>0</v>
      </c>
      <c r="DD2273">
        <v>1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1073"/>
        <v>05/12/2020 14:44:52.376</v>
      </c>
      <c r="C2274" t="str">
        <f t="shared" si="1067"/>
        <v>FFDFD3C0</v>
      </c>
      <c r="D2274" t="s">
        <v>113</v>
      </c>
      <c r="E2274">
        <v>3</v>
      </c>
      <c r="H2274">
        <v>164</v>
      </c>
      <c r="I2274" t="s">
        <v>114</v>
      </c>
      <c r="J2274" t="s">
        <v>115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074"/>
        <v>14:45:10.211</v>
      </c>
      <c r="T2274" t="str">
        <f t="shared" si="1075"/>
        <v>14:45:10.111</v>
      </c>
      <c r="U2274" t="str">
        <f t="shared" si="1058"/>
        <v>A9808D</v>
      </c>
      <c r="V2274">
        <v>0</v>
      </c>
      <c r="W2274">
        <v>0</v>
      </c>
      <c r="X2274">
        <v>1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0</v>
      </c>
      <c r="AI2274" t="s">
        <v>578</v>
      </c>
      <c r="AJ2274">
        <v>28.258317000000002</v>
      </c>
      <c r="AK2274" t="s">
        <v>579</v>
      </c>
      <c r="AL2274">
        <v>-82.337250999999995</v>
      </c>
      <c r="AM2274">
        <v>100</v>
      </c>
      <c r="AN2274">
        <v>2200</v>
      </c>
      <c r="AO2274" t="s">
        <v>118</v>
      </c>
      <c r="AP2274">
        <v>94</v>
      </c>
      <c r="AQ2274">
        <v>-52</v>
      </c>
      <c r="AR2274">
        <v>320</v>
      </c>
      <c r="AZ2274">
        <v>1200</v>
      </c>
      <c r="BA2274">
        <v>1</v>
      </c>
      <c r="BB2274" t="str">
        <f t="shared" si="1068"/>
        <v xml:space="preserve">N711JA  </v>
      </c>
      <c r="BC2274">
        <v>1</v>
      </c>
      <c r="BE2274">
        <v>0</v>
      </c>
      <c r="BF2274">
        <v>0</v>
      </c>
      <c r="BG2274">
        <v>0</v>
      </c>
      <c r="BH2274">
        <v>2250</v>
      </c>
      <c r="BI2274">
        <v>1</v>
      </c>
      <c r="BJ2274">
        <v>1</v>
      </c>
      <c r="BK2274">
        <v>0</v>
      </c>
      <c r="BL2274">
        <v>0</v>
      </c>
      <c r="BO2274">
        <v>0</v>
      </c>
      <c r="BP2274">
        <v>0</v>
      </c>
      <c r="BW2274" t="str">
        <f t="shared" si="1076"/>
        <v>14:45:10.213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343</v>
      </c>
      <c r="CR2274">
        <v>2</v>
      </c>
      <c r="CW2274">
        <v>13123588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1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si="1073"/>
        <v>05/12/2020 14:44:52.376</v>
      </c>
      <c r="C2275" t="str">
        <f t="shared" si="1067"/>
        <v>FFDFD3C0</v>
      </c>
      <c r="D2275" t="s">
        <v>126</v>
      </c>
      <c r="E2275">
        <v>7</v>
      </c>
      <c r="F2275">
        <v>1007</v>
      </c>
      <c r="G2275" t="s">
        <v>127</v>
      </c>
      <c r="J2275" t="s">
        <v>128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074"/>
        <v>14:45:10.211</v>
      </c>
      <c r="T2275" t="str">
        <f t="shared" si="1075"/>
        <v>14:45:10.111</v>
      </c>
      <c r="U2275" t="str">
        <f t="shared" si="1058"/>
        <v>A9808D</v>
      </c>
      <c r="V2275">
        <v>0</v>
      </c>
      <c r="W2275">
        <v>0</v>
      </c>
      <c r="X2275">
        <v>1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0</v>
      </c>
      <c r="AI2275" t="s">
        <v>578</v>
      </c>
      <c r="AJ2275">
        <v>28.258317000000002</v>
      </c>
      <c r="AK2275" t="s">
        <v>579</v>
      </c>
      <c r="AL2275">
        <v>-82.337250999999995</v>
      </c>
      <c r="AM2275">
        <v>100</v>
      </c>
      <c r="AN2275">
        <v>2200</v>
      </c>
      <c r="AO2275" t="s">
        <v>118</v>
      </c>
      <c r="AP2275">
        <v>94</v>
      </c>
      <c r="AQ2275">
        <v>-52</v>
      </c>
      <c r="AR2275">
        <v>320</v>
      </c>
      <c r="AZ2275">
        <v>1200</v>
      </c>
      <c r="BA2275">
        <v>1</v>
      </c>
      <c r="BB2275" t="str">
        <f t="shared" si="1068"/>
        <v xml:space="preserve">N711JA  </v>
      </c>
      <c r="BC2275">
        <v>1</v>
      </c>
      <c r="BE2275">
        <v>0</v>
      </c>
      <c r="BF2275">
        <v>0</v>
      </c>
      <c r="BG2275">
        <v>0</v>
      </c>
      <c r="BH2275">
        <v>2250</v>
      </c>
      <c r="BI2275">
        <v>1</v>
      </c>
      <c r="BJ2275">
        <v>1</v>
      </c>
      <c r="BK2275">
        <v>0</v>
      </c>
      <c r="BL2275">
        <v>0</v>
      </c>
      <c r="BO2275">
        <v>0</v>
      </c>
      <c r="BP2275">
        <v>0</v>
      </c>
      <c r="BW2275" t="str">
        <f t="shared" si="1076"/>
        <v>14:45:10.213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343</v>
      </c>
      <c r="CR2275">
        <v>2</v>
      </c>
      <c r="CW2275">
        <v>13123588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1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si="1073"/>
        <v>05/12/2020 14:44:52.376</v>
      </c>
      <c r="C2276" t="str">
        <f t="shared" si="1067"/>
        <v>FFDFD3C0</v>
      </c>
      <c r="D2276" t="s">
        <v>138</v>
      </c>
      <c r="E2276">
        <v>2</v>
      </c>
      <c r="H2276">
        <v>8</v>
      </c>
      <c r="I2276" t="s">
        <v>139</v>
      </c>
      <c r="J2276" t="s">
        <v>136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074"/>
        <v>14:45:10.211</v>
      </c>
      <c r="T2276" t="str">
        <f t="shared" si="1075"/>
        <v>14:45:10.111</v>
      </c>
      <c r="U2276" t="str">
        <f t="shared" si="1058"/>
        <v>A9808D</v>
      </c>
      <c r="V2276">
        <v>0</v>
      </c>
      <c r="W2276">
        <v>0</v>
      </c>
      <c r="X2276">
        <v>1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0</v>
      </c>
      <c r="AI2276" t="s">
        <v>578</v>
      </c>
      <c r="AJ2276">
        <v>28.258317000000002</v>
      </c>
      <c r="AK2276" t="s">
        <v>579</v>
      </c>
      <c r="AL2276">
        <v>-82.337250999999995</v>
      </c>
      <c r="AM2276">
        <v>100</v>
      </c>
      <c r="AN2276">
        <v>2200</v>
      </c>
      <c r="AO2276" t="s">
        <v>118</v>
      </c>
      <c r="AP2276">
        <v>94</v>
      </c>
      <c r="AQ2276">
        <v>-52</v>
      </c>
      <c r="AR2276">
        <v>320</v>
      </c>
      <c r="AZ2276">
        <v>1200</v>
      </c>
      <c r="BA2276">
        <v>1</v>
      </c>
      <c r="BB2276" t="str">
        <f t="shared" si="1068"/>
        <v xml:space="preserve">N711JA  </v>
      </c>
      <c r="BC2276">
        <v>1</v>
      </c>
      <c r="BE2276">
        <v>0</v>
      </c>
      <c r="BF2276">
        <v>0</v>
      </c>
      <c r="BG2276">
        <v>0</v>
      </c>
      <c r="BH2276">
        <v>2250</v>
      </c>
      <c r="BI2276">
        <v>1</v>
      </c>
      <c r="BJ2276">
        <v>1</v>
      </c>
      <c r="BK2276">
        <v>0</v>
      </c>
      <c r="BL2276">
        <v>0</v>
      </c>
      <c r="BO2276">
        <v>0</v>
      </c>
      <c r="BP2276">
        <v>0</v>
      </c>
      <c r="BW2276" t="str">
        <f t="shared" si="1076"/>
        <v>14:45:10.213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343</v>
      </c>
      <c r="CR2276">
        <v>2</v>
      </c>
      <c r="CW2276">
        <v>13123588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si="1073"/>
        <v>05/12/2020 14:44:52.376</v>
      </c>
      <c r="C2277" t="str">
        <f t="shared" si="1067"/>
        <v>FFDFD3C0</v>
      </c>
      <c r="D2277" t="s">
        <v>131</v>
      </c>
      <c r="E2277">
        <v>10</v>
      </c>
      <c r="F2277">
        <v>2010</v>
      </c>
      <c r="G2277" t="s">
        <v>132</v>
      </c>
      <c r="J2277" t="s">
        <v>133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074"/>
        <v>14:45:10.211</v>
      </c>
      <c r="T2277" t="str">
        <f t="shared" si="1075"/>
        <v>14:45:10.111</v>
      </c>
      <c r="U2277" t="str">
        <f t="shared" si="1058"/>
        <v>A9808D</v>
      </c>
      <c r="V2277">
        <v>0</v>
      </c>
      <c r="W2277">
        <v>0</v>
      </c>
      <c r="X2277">
        <v>1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0</v>
      </c>
      <c r="AI2277" t="s">
        <v>578</v>
      </c>
      <c r="AJ2277">
        <v>28.258317000000002</v>
      </c>
      <c r="AK2277" t="s">
        <v>579</v>
      </c>
      <c r="AL2277">
        <v>-82.337250999999995</v>
      </c>
      <c r="AM2277">
        <v>100</v>
      </c>
      <c r="AN2277">
        <v>2200</v>
      </c>
      <c r="AO2277" t="s">
        <v>118</v>
      </c>
      <c r="AP2277">
        <v>94</v>
      </c>
      <c r="AQ2277">
        <v>-52</v>
      </c>
      <c r="AR2277">
        <v>320</v>
      </c>
      <c r="AZ2277">
        <v>1200</v>
      </c>
      <c r="BA2277">
        <v>1</v>
      </c>
      <c r="BB2277" t="str">
        <f t="shared" si="1068"/>
        <v xml:space="preserve">N711JA  </v>
      </c>
      <c r="BC2277">
        <v>1</v>
      </c>
      <c r="BE2277">
        <v>0</v>
      </c>
      <c r="BF2277">
        <v>0</v>
      </c>
      <c r="BG2277">
        <v>0</v>
      </c>
      <c r="BH2277">
        <v>2250</v>
      </c>
      <c r="BI2277">
        <v>1</v>
      </c>
      <c r="BJ2277">
        <v>1</v>
      </c>
      <c r="BK2277">
        <v>0</v>
      </c>
      <c r="BL2277">
        <v>0</v>
      </c>
      <c r="BO2277">
        <v>0</v>
      </c>
      <c r="BP2277">
        <v>0</v>
      </c>
      <c r="BW2277" t="str">
        <f t="shared" si="1076"/>
        <v>14:45:10.213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343</v>
      </c>
      <c r="CR2277">
        <v>2</v>
      </c>
      <c r="CW2277">
        <v>13123588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1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si="1073"/>
        <v>05/12/2020 14:44:52.376</v>
      </c>
      <c r="C2278" t="str">
        <f t="shared" si="1067"/>
        <v>FFDFD3C0</v>
      </c>
      <c r="D2278" t="s">
        <v>131</v>
      </c>
      <c r="E2278">
        <v>12</v>
      </c>
      <c r="F2278">
        <v>2012</v>
      </c>
      <c r="G2278" t="s">
        <v>137</v>
      </c>
      <c r="J2278" t="s">
        <v>133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074"/>
        <v>14:45:10.211</v>
      </c>
      <c r="T2278" t="str">
        <f t="shared" si="1075"/>
        <v>14:45:10.111</v>
      </c>
      <c r="U2278" t="str">
        <f t="shared" si="1058"/>
        <v>A9808D</v>
      </c>
      <c r="V2278">
        <v>0</v>
      </c>
      <c r="W2278">
        <v>0</v>
      </c>
      <c r="X2278">
        <v>1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0</v>
      </c>
      <c r="AI2278" t="s">
        <v>578</v>
      </c>
      <c r="AJ2278">
        <v>28.258317000000002</v>
      </c>
      <c r="AK2278" t="s">
        <v>579</v>
      </c>
      <c r="AL2278">
        <v>-82.337250999999995</v>
      </c>
      <c r="AM2278">
        <v>100</v>
      </c>
      <c r="AN2278">
        <v>2200</v>
      </c>
      <c r="AO2278" t="s">
        <v>118</v>
      </c>
      <c r="AP2278">
        <v>94</v>
      </c>
      <c r="AQ2278">
        <v>-52</v>
      </c>
      <c r="AR2278">
        <v>320</v>
      </c>
      <c r="AZ2278">
        <v>1200</v>
      </c>
      <c r="BA2278">
        <v>1</v>
      </c>
      <c r="BB2278" t="str">
        <f t="shared" si="1068"/>
        <v xml:space="preserve">N711JA  </v>
      </c>
      <c r="BC2278">
        <v>1</v>
      </c>
      <c r="BE2278">
        <v>0</v>
      </c>
      <c r="BF2278">
        <v>0</v>
      </c>
      <c r="BG2278">
        <v>0</v>
      </c>
      <c r="BH2278">
        <v>2250</v>
      </c>
      <c r="BI2278">
        <v>1</v>
      </c>
      <c r="BJ2278">
        <v>1</v>
      </c>
      <c r="BK2278">
        <v>0</v>
      </c>
      <c r="BL2278">
        <v>0</v>
      </c>
      <c r="BO2278">
        <v>0</v>
      </c>
      <c r="BP2278">
        <v>0</v>
      </c>
      <c r="BW2278" t="str">
        <f t="shared" si="1076"/>
        <v>14:45:10.213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343</v>
      </c>
      <c r="CR2278">
        <v>2</v>
      </c>
      <c r="CW2278">
        <v>13123588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1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1073"/>
        <v>05/12/2020 14:44:52.376</v>
      </c>
      <c r="C2279" t="str">
        <f t="shared" si="1067"/>
        <v>FFDFD3C0</v>
      </c>
      <c r="D2279" t="s">
        <v>126</v>
      </c>
      <c r="E2279">
        <v>6</v>
      </c>
      <c r="F2279">
        <v>1006</v>
      </c>
      <c r="G2279" t="s">
        <v>114</v>
      </c>
      <c r="J2279" t="s">
        <v>128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074"/>
        <v>14:45:10.211</v>
      </c>
      <c r="T2279" t="str">
        <f t="shared" si="1075"/>
        <v>14:45:10.111</v>
      </c>
      <c r="U2279" t="str">
        <f t="shared" si="1058"/>
        <v>A9808D</v>
      </c>
      <c r="V2279">
        <v>0</v>
      </c>
      <c r="W2279">
        <v>0</v>
      </c>
      <c r="X2279">
        <v>1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0</v>
      </c>
      <c r="AI2279" t="s">
        <v>578</v>
      </c>
      <c r="AJ2279">
        <v>28.258317000000002</v>
      </c>
      <c r="AK2279" t="s">
        <v>579</v>
      </c>
      <c r="AL2279">
        <v>-82.337250999999995</v>
      </c>
      <c r="AM2279">
        <v>100</v>
      </c>
      <c r="AN2279">
        <v>2200</v>
      </c>
      <c r="AO2279" t="s">
        <v>118</v>
      </c>
      <c r="AP2279">
        <v>94</v>
      </c>
      <c r="AQ2279">
        <v>-52</v>
      </c>
      <c r="AR2279">
        <v>320</v>
      </c>
      <c r="AZ2279">
        <v>1200</v>
      </c>
      <c r="BA2279">
        <v>1</v>
      </c>
      <c r="BB2279" t="str">
        <f t="shared" si="1068"/>
        <v xml:space="preserve">N711JA  </v>
      </c>
      <c r="BC2279">
        <v>1</v>
      </c>
      <c r="BE2279">
        <v>0</v>
      </c>
      <c r="BF2279">
        <v>0</v>
      </c>
      <c r="BG2279">
        <v>0</v>
      </c>
      <c r="BH2279">
        <v>2250</v>
      </c>
      <c r="BI2279">
        <v>1</v>
      </c>
      <c r="BJ2279">
        <v>1</v>
      </c>
      <c r="BK2279">
        <v>0</v>
      </c>
      <c r="BL2279">
        <v>0</v>
      </c>
      <c r="BO2279">
        <v>0</v>
      </c>
      <c r="BP2279">
        <v>0</v>
      </c>
      <c r="BW2279" t="str">
        <f t="shared" si="1076"/>
        <v>14:45:10.213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343</v>
      </c>
      <c r="CR2279">
        <v>2</v>
      </c>
      <c r="CW2279">
        <v>13123588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1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1073"/>
        <v>05/12/2020 14:44:52.376</v>
      </c>
      <c r="C2280" t="str">
        <f t="shared" si="1067"/>
        <v>FFDFD3C0</v>
      </c>
      <c r="D2280" t="s">
        <v>131</v>
      </c>
      <c r="E2280">
        <v>18</v>
      </c>
      <c r="F2280">
        <v>2018</v>
      </c>
      <c r="G2280" t="s">
        <v>161</v>
      </c>
      <c r="J2280" t="s">
        <v>133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074"/>
        <v>14:45:10.211</v>
      </c>
      <c r="T2280" t="str">
        <f t="shared" si="1075"/>
        <v>14:45:10.111</v>
      </c>
      <c r="U2280" t="str">
        <f t="shared" si="1058"/>
        <v>A9808D</v>
      </c>
      <c r="V2280">
        <v>0</v>
      </c>
      <c r="W2280">
        <v>0</v>
      </c>
      <c r="X2280">
        <v>1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0</v>
      </c>
      <c r="AI2280" t="s">
        <v>578</v>
      </c>
      <c r="AJ2280">
        <v>28.258317000000002</v>
      </c>
      <c r="AK2280" t="s">
        <v>579</v>
      </c>
      <c r="AL2280">
        <v>-82.337250999999995</v>
      </c>
      <c r="AM2280">
        <v>100</v>
      </c>
      <c r="AN2280">
        <v>2200</v>
      </c>
      <c r="AO2280" t="s">
        <v>118</v>
      </c>
      <c r="AP2280">
        <v>94</v>
      </c>
      <c r="AQ2280">
        <v>-52</v>
      </c>
      <c r="AR2280">
        <v>320</v>
      </c>
      <c r="AZ2280">
        <v>1200</v>
      </c>
      <c r="BA2280">
        <v>1</v>
      </c>
      <c r="BB2280" t="str">
        <f t="shared" si="1068"/>
        <v xml:space="preserve">N711JA  </v>
      </c>
      <c r="BC2280">
        <v>1</v>
      </c>
      <c r="BE2280">
        <v>0</v>
      </c>
      <c r="BF2280">
        <v>0</v>
      </c>
      <c r="BG2280">
        <v>0</v>
      </c>
      <c r="BH2280">
        <v>2250</v>
      </c>
      <c r="BI2280">
        <v>1</v>
      </c>
      <c r="BJ2280">
        <v>1</v>
      </c>
      <c r="BK2280">
        <v>0</v>
      </c>
      <c r="BL2280">
        <v>0</v>
      </c>
      <c r="BO2280">
        <v>0</v>
      </c>
      <c r="BP2280">
        <v>0</v>
      </c>
      <c r="BW2280" t="str">
        <f t="shared" si="1076"/>
        <v>14:45:10.213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343</v>
      </c>
      <c r="CR2280">
        <v>2</v>
      </c>
      <c r="CW2280">
        <v>13123588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1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1073"/>
        <v>05/12/2020 14:44:52.376</v>
      </c>
      <c r="C2281" t="str">
        <f t="shared" si="1067"/>
        <v>FFDFD3C0</v>
      </c>
      <c r="D2281" t="s">
        <v>138</v>
      </c>
      <c r="E2281">
        <v>3</v>
      </c>
      <c r="H2281">
        <v>9</v>
      </c>
      <c r="I2281" t="s">
        <v>140</v>
      </c>
      <c r="J2281" t="s">
        <v>136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074"/>
        <v>14:45:10.211</v>
      </c>
      <c r="T2281" t="str">
        <f t="shared" si="1075"/>
        <v>14:45:10.111</v>
      </c>
      <c r="U2281" t="str">
        <f t="shared" si="1058"/>
        <v>A9808D</v>
      </c>
      <c r="V2281">
        <v>0</v>
      </c>
      <c r="W2281">
        <v>0</v>
      </c>
      <c r="X2281">
        <v>1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0</v>
      </c>
      <c r="AI2281" t="s">
        <v>578</v>
      </c>
      <c r="AJ2281">
        <v>28.258317000000002</v>
      </c>
      <c r="AK2281" t="s">
        <v>579</v>
      </c>
      <c r="AL2281">
        <v>-82.337250999999995</v>
      </c>
      <c r="AM2281">
        <v>100</v>
      </c>
      <c r="AN2281">
        <v>2200</v>
      </c>
      <c r="AO2281" t="s">
        <v>118</v>
      </c>
      <c r="AP2281">
        <v>94</v>
      </c>
      <c r="AQ2281">
        <v>-52</v>
      </c>
      <c r="AR2281">
        <v>320</v>
      </c>
      <c r="AZ2281">
        <v>1200</v>
      </c>
      <c r="BA2281">
        <v>1</v>
      </c>
      <c r="BB2281" t="str">
        <f t="shared" si="1068"/>
        <v xml:space="preserve">N711JA  </v>
      </c>
      <c r="BC2281">
        <v>1</v>
      </c>
      <c r="BE2281">
        <v>0</v>
      </c>
      <c r="BF2281">
        <v>0</v>
      </c>
      <c r="BG2281">
        <v>0</v>
      </c>
      <c r="BH2281">
        <v>2250</v>
      </c>
      <c r="BI2281">
        <v>1</v>
      </c>
      <c r="BJ2281">
        <v>1</v>
      </c>
      <c r="BK2281">
        <v>0</v>
      </c>
      <c r="BL2281">
        <v>0</v>
      </c>
      <c r="BO2281">
        <v>0</v>
      </c>
      <c r="BP2281">
        <v>0</v>
      </c>
      <c r="BW2281" t="str">
        <f t="shared" si="1076"/>
        <v>14:45:10.213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343</v>
      </c>
      <c r="CR2281">
        <v>2</v>
      </c>
      <c r="CW2281">
        <v>13123588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1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 t="shared" ref="A2282:A2290" si="1077">"05/12/2020 14:44:53.313"</f>
        <v>05/12/2020 14:44:53.313</v>
      </c>
      <c r="C2282" t="str">
        <f t="shared" si="1067"/>
        <v>FFDFD3C0</v>
      </c>
      <c r="D2282" t="s">
        <v>138</v>
      </c>
      <c r="E2282">
        <v>3</v>
      </c>
      <c r="H2282">
        <v>9</v>
      </c>
      <c r="I2282" t="s">
        <v>140</v>
      </c>
      <c r="J2282" t="s">
        <v>136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ref="S2282:T2290" si="1078">"14:45:11.141"</f>
        <v>14:45:11.141</v>
      </c>
      <c r="T2282" t="str">
        <f t="shared" si="1078"/>
        <v>14:45:11.141</v>
      </c>
      <c r="U2282" t="str">
        <f t="shared" si="1058"/>
        <v>A9808D</v>
      </c>
      <c r="V2282">
        <v>0</v>
      </c>
      <c r="W2282">
        <v>0</v>
      </c>
      <c r="X2282">
        <v>1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0</v>
      </c>
      <c r="AI2282" t="s">
        <v>580</v>
      </c>
      <c r="AJ2282">
        <v>28.258037999999999</v>
      </c>
      <c r="AK2282" t="s">
        <v>581</v>
      </c>
      <c r="AL2282">
        <v>-82.336757000000006</v>
      </c>
      <c r="AM2282">
        <v>100</v>
      </c>
      <c r="AN2282">
        <v>2200</v>
      </c>
      <c r="AO2282" t="s">
        <v>118</v>
      </c>
      <c r="AP2282">
        <v>94</v>
      </c>
      <c r="AQ2282">
        <v>-51</v>
      </c>
      <c r="AR2282">
        <v>256</v>
      </c>
      <c r="AZ2282">
        <v>1200</v>
      </c>
      <c r="BA2282">
        <v>1</v>
      </c>
      <c r="BB2282" t="str">
        <f t="shared" si="1068"/>
        <v xml:space="preserve">N711JA  </v>
      </c>
      <c r="BC2282">
        <v>1</v>
      </c>
      <c r="BE2282">
        <v>0</v>
      </c>
      <c r="BF2282">
        <v>0</v>
      </c>
      <c r="BG2282">
        <v>0</v>
      </c>
      <c r="BH2282">
        <v>2250</v>
      </c>
      <c r="BI2282">
        <v>1</v>
      </c>
      <c r="BJ2282">
        <v>1</v>
      </c>
      <c r="BK2282">
        <v>0</v>
      </c>
      <c r="BL2282">
        <v>0</v>
      </c>
      <c r="BO2282">
        <v>0</v>
      </c>
      <c r="BP2282">
        <v>0</v>
      </c>
      <c r="BW2282" t="str">
        <f t="shared" ref="BW2282:BW2290" si="1079">"14:45:11.144"</f>
        <v>14:45:11.144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343</v>
      </c>
      <c r="CR2282">
        <v>1</v>
      </c>
      <c r="CW2282">
        <v>10768504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 t="shared" si="1077"/>
        <v>05/12/2020 14:44:53.313</v>
      </c>
      <c r="C2283" t="str">
        <f t="shared" si="1067"/>
        <v>FFDFD3C0</v>
      </c>
      <c r="D2283" t="s">
        <v>126</v>
      </c>
      <c r="E2283">
        <v>7</v>
      </c>
      <c r="F2283">
        <v>1007</v>
      </c>
      <c r="G2283" t="s">
        <v>127</v>
      </c>
      <c r="J2283" t="s">
        <v>128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078"/>
        <v>14:45:11.141</v>
      </c>
      <c r="T2283" t="str">
        <f t="shared" si="1078"/>
        <v>14:45:11.141</v>
      </c>
      <c r="U2283" t="str">
        <f t="shared" si="1058"/>
        <v>A9808D</v>
      </c>
      <c r="V2283">
        <v>0</v>
      </c>
      <c r="W2283">
        <v>0</v>
      </c>
      <c r="X2283">
        <v>1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0</v>
      </c>
      <c r="AI2283" t="s">
        <v>580</v>
      </c>
      <c r="AJ2283">
        <v>28.258037999999999</v>
      </c>
      <c r="AK2283" t="s">
        <v>581</v>
      </c>
      <c r="AL2283">
        <v>-82.336757000000006</v>
      </c>
      <c r="AM2283">
        <v>100</v>
      </c>
      <c r="AN2283">
        <v>2200</v>
      </c>
      <c r="AO2283" t="s">
        <v>118</v>
      </c>
      <c r="AP2283">
        <v>94</v>
      </c>
      <c r="AQ2283">
        <v>-51</v>
      </c>
      <c r="AR2283">
        <v>256</v>
      </c>
      <c r="AZ2283">
        <v>1200</v>
      </c>
      <c r="BA2283">
        <v>1</v>
      </c>
      <c r="BB2283" t="str">
        <f t="shared" si="1068"/>
        <v xml:space="preserve">N711JA  </v>
      </c>
      <c r="BC2283">
        <v>1</v>
      </c>
      <c r="BE2283">
        <v>0</v>
      </c>
      <c r="BF2283">
        <v>0</v>
      </c>
      <c r="BG2283">
        <v>0</v>
      </c>
      <c r="BH2283">
        <v>2250</v>
      </c>
      <c r="BI2283">
        <v>1</v>
      </c>
      <c r="BJ2283">
        <v>1</v>
      </c>
      <c r="BK2283">
        <v>0</v>
      </c>
      <c r="BL2283">
        <v>0</v>
      </c>
      <c r="BO2283">
        <v>0</v>
      </c>
      <c r="BP2283">
        <v>0</v>
      </c>
      <c r="BW2283" t="str">
        <f t="shared" si="1079"/>
        <v>14:45:11.144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343</v>
      </c>
      <c r="CR2283">
        <v>1</v>
      </c>
      <c r="CW2283">
        <v>10768504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1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 t="shared" si="1077"/>
        <v>05/12/2020 14:44:53.313</v>
      </c>
      <c r="C2284" t="str">
        <f t="shared" si="1067"/>
        <v>FFDFD3C0</v>
      </c>
      <c r="D2284" t="s">
        <v>134</v>
      </c>
      <c r="E2284">
        <v>12</v>
      </c>
      <c r="H2284">
        <v>64</v>
      </c>
      <c r="I2284" t="s">
        <v>135</v>
      </c>
      <c r="J2284" t="s">
        <v>136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078"/>
        <v>14:45:11.141</v>
      </c>
      <c r="T2284" t="str">
        <f t="shared" si="1078"/>
        <v>14:45:11.141</v>
      </c>
      <c r="U2284" t="str">
        <f t="shared" si="1058"/>
        <v>A9808D</v>
      </c>
      <c r="V2284">
        <v>0</v>
      </c>
      <c r="W2284">
        <v>0</v>
      </c>
      <c r="X2284">
        <v>1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0</v>
      </c>
      <c r="AI2284" t="s">
        <v>580</v>
      </c>
      <c r="AJ2284">
        <v>28.258037999999999</v>
      </c>
      <c r="AK2284" t="s">
        <v>581</v>
      </c>
      <c r="AL2284">
        <v>-82.336757000000006</v>
      </c>
      <c r="AM2284">
        <v>100</v>
      </c>
      <c r="AN2284">
        <v>2200</v>
      </c>
      <c r="AO2284" t="s">
        <v>118</v>
      </c>
      <c r="AP2284">
        <v>94</v>
      </c>
      <c r="AQ2284">
        <v>-51</v>
      </c>
      <c r="AR2284">
        <v>256</v>
      </c>
      <c r="AZ2284">
        <v>1200</v>
      </c>
      <c r="BA2284">
        <v>1</v>
      </c>
      <c r="BB2284" t="str">
        <f t="shared" si="1068"/>
        <v xml:space="preserve">N711JA  </v>
      </c>
      <c r="BC2284">
        <v>1</v>
      </c>
      <c r="BE2284">
        <v>0</v>
      </c>
      <c r="BF2284">
        <v>0</v>
      </c>
      <c r="BG2284">
        <v>0</v>
      </c>
      <c r="BH2284">
        <v>2250</v>
      </c>
      <c r="BI2284">
        <v>1</v>
      </c>
      <c r="BJ2284">
        <v>1</v>
      </c>
      <c r="BK2284">
        <v>0</v>
      </c>
      <c r="BL2284">
        <v>0</v>
      </c>
      <c r="BO2284">
        <v>0</v>
      </c>
      <c r="BP2284">
        <v>0</v>
      </c>
      <c r="BW2284" t="str">
        <f t="shared" si="1079"/>
        <v>14:45:11.144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343</v>
      </c>
      <c r="CR2284">
        <v>1</v>
      </c>
      <c r="CW2284">
        <v>10768504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1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 t="shared" si="1077"/>
        <v>05/12/2020 14:44:53.313</v>
      </c>
      <c r="C2285" t="str">
        <f t="shared" si="1067"/>
        <v>FFDFD3C0</v>
      </c>
      <c r="D2285" t="s">
        <v>131</v>
      </c>
      <c r="E2285">
        <v>10</v>
      </c>
      <c r="F2285">
        <v>2010</v>
      </c>
      <c r="G2285" t="s">
        <v>132</v>
      </c>
      <c r="J2285" t="s">
        <v>133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078"/>
        <v>14:45:11.141</v>
      </c>
      <c r="T2285" t="str">
        <f t="shared" si="1078"/>
        <v>14:45:11.141</v>
      </c>
      <c r="U2285" t="str">
        <f t="shared" si="1058"/>
        <v>A9808D</v>
      </c>
      <c r="V2285">
        <v>0</v>
      </c>
      <c r="W2285">
        <v>0</v>
      </c>
      <c r="X2285">
        <v>1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0</v>
      </c>
      <c r="AI2285" t="s">
        <v>580</v>
      </c>
      <c r="AJ2285">
        <v>28.258037999999999</v>
      </c>
      <c r="AK2285" t="s">
        <v>581</v>
      </c>
      <c r="AL2285">
        <v>-82.336757000000006</v>
      </c>
      <c r="AM2285">
        <v>100</v>
      </c>
      <c r="AN2285">
        <v>2200</v>
      </c>
      <c r="AO2285" t="s">
        <v>118</v>
      </c>
      <c r="AP2285">
        <v>94</v>
      </c>
      <c r="AQ2285">
        <v>-51</v>
      </c>
      <c r="AR2285">
        <v>256</v>
      </c>
      <c r="AZ2285">
        <v>1200</v>
      </c>
      <c r="BA2285">
        <v>1</v>
      </c>
      <c r="BB2285" t="str">
        <f t="shared" si="1068"/>
        <v xml:space="preserve">N711JA  </v>
      </c>
      <c r="BC2285">
        <v>1</v>
      </c>
      <c r="BE2285">
        <v>0</v>
      </c>
      <c r="BF2285">
        <v>0</v>
      </c>
      <c r="BG2285">
        <v>0</v>
      </c>
      <c r="BH2285">
        <v>2250</v>
      </c>
      <c r="BI2285">
        <v>1</v>
      </c>
      <c r="BJ2285">
        <v>1</v>
      </c>
      <c r="BK2285">
        <v>0</v>
      </c>
      <c r="BL2285">
        <v>0</v>
      </c>
      <c r="BO2285">
        <v>0</v>
      </c>
      <c r="BP2285">
        <v>0</v>
      </c>
      <c r="BW2285" t="str">
        <f t="shared" si="1079"/>
        <v>14:45:11.144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343</v>
      </c>
      <c r="CR2285">
        <v>1</v>
      </c>
      <c r="CW2285">
        <v>10768504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 t="shared" si="1077"/>
        <v>05/12/2020 14:44:53.313</v>
      </c>
      <c r="C2286" t="str">
        <f t="shared" si="1067"/>
        <v>FFDFD3C0</v>
      </c>
      <c r="D2286" t="s">
        <v>113</v>
      </c>
      <c r="E2286">
        <v>3</v>
      </c>
      <c r="H2286">
        <v>164</v>
      </c>
      <c r="I2286" t="s">
        <v>114</v>
      </c>
      <c r="J2286" t="s">
        <v>115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078"/>
        <v>14:45:11.141</v>
      </c>
      <c r="T2286" t="str">
        <f t="shared" si="1078"/>
        <v>14:45:11.141</v>
      </c>
      <c r="U2286" t="str">
        <f t="shared" si="1058"/>
        <v>A9808D</v>
      </c>
      <c r="V2286">
        <v>0</v>
      </c>
      <c r="W2286">
        <v>0</v>
      </c>
      <c r="X2286">
        <v>1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0</v>
      </c>
      <c r="AI2286" t="s">
        <v>580</v>
      </c>
      <c r="AJ2286">
        <v>28.258037999999999</v>
      </c>
      <c r="AK2286" t="s">
        <v>581</v>
      </c>
      <c r="AL2286">
        <v>-82.336757000000006</v>
      </c>
      <c r="AM2286">
        <v>100</v>
      </c>
      <c r="AN2286">
        <v>2200</v>
      </c>
      <c r="AO2286" t="s">
        <v>118</v>
      </c>
      <c r="AP2286">
        <v>94</v>
      </c>
      <c r="AQ2286">
        <v>-51</v>
      </c>
      <c r="AR2286">
        <v>256</v>
      </c>
      <c r="AZ2286">
        <v>1200</v>
      </c>
      <c r="BA2286">
        <v>1</v>
      </c>
      <c r="BB2286" t="str">
        <f t="shared" si="1068"/>
        <v xml:space="preserve">N711JA  </v>
      </c>
      <c r="BC2286">
        <v>1</v>
      </c>
      <c r="BE2286">
        <v>0</v>
      </c>
      <c r="BF2286">
        <v>0</v>
      </c>
      <c r="BG2286">
        <v>0</v>
      </c>
      <c r="BH2286">
        <v>2250</v>
      </c>
      <c r="BI2286">
        <v>1</v>
      </c>
      <c r="BJ2286">
        <v>1</v>
      </c>
      <c r="BK2286">
        <v>0</v>
      </c>
      <c r="BL2286">
        <v>0</v>
      </c>
      <c r="BO2286">
        <v>0</v>
      </c>
      <c r="BP2286">
        <v>0</v>
      </c>
      <c r="BW2286" t="str">
        <f t="shared" si="1079"/>
        <v>14:45:11.144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343</v>
      </c>
      <c r="CR2286">
        <v>1</v>
      </c>
      <c r="CW2286">
        <v>10768504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1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si="1077"/>
        <v>05/12/2020 14:44:53.313</v>
      </c>
      <c r="C2287" t="str">
        <f t="shared" si="1067"/>
        <v>FFDFD3C0</v>
      </c>
      <c r="D2287" t="s">
        <v>138</v>
      </c>
      <c r="E2287">
        <v>2</v>
      </c>
      <c r="H2287">
        <v>8</v>
      </c>
      <c r="I2287" t="s">
        <v>139</v>
      </c>
      <c r="J2287" t="s">
        <v>136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078"/>
        <v>14:45:11.141</v>
      </c>
      <c r="T2287" t="str">
        <f t="shared" si="1078"/>
        <v>14:45:11.141</v>
      </c>
      <c r="U2287" t="str">
        <f t="shared" si="1058"/>
        <v>A9808D</v>
      </c>
      <c r="V2287">
        <v>0</v>
      </c>
      <c r="W2287">
        <v>0</v>
      </c>
      <c r="X2287">
        <v>1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0</v>
      </c>
      <c r="AI2287" t="s">
        <v>580</v>
      </c>
      <c r="AJ2287">
        <v>28.258037999999999</v>
      </c>
      <c r="AK2287" t="s">
        <v>581</v>
      </c>
      <c r="AL2287">
        <v>-82.336757000000006</v>
      </c>
      <c r="AM2287">
        <v>100</v>
      </c>
      <c r="AN2287">
        <v>2200</v>
      </c>
      <c r="AO2287" t="s">
        <v>118</v>
      </c>
      <c r="AP2287">
        <v>94</v>
      </c>
      <c r="AQ2287">
        <v>-51</v>
      </c>
      <c r="AR2287">
        <v>256</v>
      </c>
      <c r="AZ2287">
        <v>1200</v>
      </c>
      <c r="BA2287">
        <v>1</v>
      </c>
      <c r="BB2287" t="str">
        <f t="shared" si="1068"/>
        <v xml:space="preserve">N711JA  </v>
      </c>
      <c r="BC2287">
        <v>1</v>
      </c>
      <c r="BE2287">
        <v>0</v>
      </c>
      <c r="BF2287">
        <v>0</v>
      </c>
      <c r="BG2287">
        <v>0</v>
      </c>
      <c r="BH2287">
        <v>2250</v>
      </c>
      <c r="BI2287">
        <v>1</v>
      </c>
      <c r="BJ2287">
        <v>1</v>
      </c>
      <c r="BK2287">
        <v>0</v>
      </c>
      <c r="BL2287">
        <v>0</v>
      </c>
      <c r="BO2287">
        <v>0</v>
      </c>
      <c r="BP2287">
        <v>0</v>
      </c>
      <c r="BW2287" t="str">
        <f t="shared" si="1079"/>
        <v>14:45:11.144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343</v>
      </c>
      <c r="CR2287">
        <v>1</v>
      </c>
      <c r="CW2287">
        <v>10768504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1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1077"/>
        <v>05/12/2020 14:44:53.313</v>
      </c>
      <c r="C2288" t="str">
        <f t="shared" si="1067"/>
        <v>FFDFD3C0</v>
      </c>
      <c r="D2288" t="s">
        <v>131</v>
      </c>
      <c r="E2288">
        <v>12</v>
      </c>
      <c r="F2288">
        <v>2012</v>
      </c>
      <c r="G2288" t="s">
        <v>137</v>
      </c>
      <c r="J2288" t="s">
        <v>133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078"/>
        <v>14:45:11.141</v>
      </c>
      <c r="T2288" t="str">
        <f t="shared" si="1078"/>
        <v>14:45:11.141</v>
      </c>
      <c r="U2288" t="str">
        <f t="shared" si="1058"/>
        <v>A9808D</v>
      </c>
      <c r="V2288">
        <v>0</v>
      </c>
      <c r="W2288">
        <v>0</v>
      </c>
      <c r="X2288">
        <v>1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0</v>
      </c>
      <c r="AI2288" t="s">
        <v>580</v>
      </c>
      <c r="AJ2288">
        <v>28.258037999999999</v>
      </c>
      <c r="AK2288" t="s">
        <v>581</v>
      </c>
      <c r="AL2288">
        <v>-82.336757000000006</v>
      </c>
      <c r="AM2288">
        <v>100</v>
      </c>
      <c r="AN2288">
        <v>2200</v>
      </c>
      <c r="AO2288" t="s">
        <v>118</v>
      </c>
      <c r="AP2288">
        <v>94</v>
      </c>
      <c r="AQ2288">
        <v>-51</v>
      </c>
      <c r="AR2288">
        <v>256</v>
      </c>
      <c r="AZ2288">
        <v>1200</v>
      </c>
      <c r="BA2288">
        <v>1</v>
      </c>
      <c r="BB2288" t="str">
        <f t="shared" si="1068"/>
        <v xml:space="preserve">N711JA  </v>
      </c>
      <c r="BC2288">
        <v>1</v>
      </c>
      <c r="BE2288">
        <v>0</v>
      </c>
      <c r="BF2288">
        <v>0</v>
      </c>
      <c r="BG2288">
        <v>0</v>
      </c>
      <c r="BH2288">
        <v>2250</v>
      </c>
      <c r="BI2288">
        <v>1</v>
      </c>
      <c r="BJ2288">
        <v>1</v>
      </c>
      <c r="BK2288">
        <v>0</v>
      </c>
      <c r="BL2288">
        <v>0</v>
      </c>
      <c r="BO2288">
        <v>0</v>
      </c>
      <c r="BP2288">
        <v>0</v>
      </c>
      <c r="BW2288" t="str">
        <f t="shared" si="1079"/>
        <v>14:45:11.144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343</v>
      </c>
      <c r="CR2288">
        <v>1</v>
      </c>
      <c r="CW2288">
        <v>10768504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1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 t="shared" si="1077"/>
        <v>05/12/2020 14:44:53.313</v>
      </c>
      <c r="C2289" t="str">
        <f t="shared" si="1067"/>
        <v>FFDFD3C0</v>
      </c>
      <c r="D2289" t="s">
        <v>131</v>
      </c>
      <c r="E2289">
        <v>18</v>
      </c>
      <c r="F2289">
        <v>2018</v>
      </c>
      <c r="G2289" t="s">
        <v>161</v>
      </c>
      <c r="J2289" t="s">
        <v>133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078"/>
        <v>14:45:11.141</v>
      </c>
      <c r="T2289" t="str">
        <f t="shared" si="1078"/>
        <v>14:45:11.141</v>
      </c>
      <c r="U2289" t="str">
        <f t="shared" si="1058"/>
        <v>A9808D</v>
      </c>
      <c r="V2289">
        <v>0</v>
      </c>
      <c r="W2289">
        <v>0</v>
      </c>
      <c r="X2289">
        <v>1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0</v>
      </c>
      <c r="AI2289" t="s">
        <v>580</v>
      </c>
      <c r="AJ2289">
        <v>28.258037999999999</v>
      </c>
      <c r="AK2289" t="s">
        <v>581</v>
      </c>
      <c r="AL2289">
        <v>-82.336757000000006</v>
      </c>
      <c r="AM2289">
        <v>100</v>
      </c>
      <c r="AN2289">
        <v>2200</v>
      </c>
      <c r="AO2289" t="s">
        <v>118</v>
      </c>
      <c r="AP2289">
        <v>94</v>
      </c>
      <c r="AQ2289">
        <v>-51</v>
      </c>
      <c r="AR2289">
        <v>256</v>
      </c>
      <c r="AZ2289">
        <v>1200</v>
      </c>
      <c r="BA2289">
        <v>1</v>
      </c>
      <c r="BB2289" t="str">
        <f t="shared" si="1068"/>
        <v xml:space="preserve">N711JA  </v>
      </c>
      <c r="BC2289">
        <v>1</v>
      </c>
      <c r="BE2289">
        <v>0</v>
      </c>
      <c r="BF2289">
        <v>0</v>
      </c>
      <c r="BG2289">
        <v>0</v>
      </c>
      <c r="BH2289">
        <v>2250</v>
      </c>
      <c r="BI2289">
        <v>1</v>
      </c>
      <c r="BJ2289">
        <v>1</v>
      </c>
      <c r="BK2289">
        <v>0</v>
      </c>
      <c r="BL2289">
        <v>0</v>
      </c>
      <c r="BO2289">
        <v>0</v>
      </c>
      <c r="BP2289">
        <v>0</v>
      </c>
      <c r="BW2289" t="str">
        <f t="shared" si="1079"/>
        <v>14:45:11.144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343</v>
      </c>
      <c r="CR2289">
        <v>1</v>
      </c>
      <c r="CW2289">
        <v>10768504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1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si="1077"/>
        <v>05/12/2020 14:44:53.313</v>
      </c>
      <c r="C2290" t="str">
        <f t="shared" si="1067"/>
        <v>FFDFD3C0</v>
      </c>
      <c r="D2290" t="s">
        <v>126</v>
      </c>
      <c r="E2290">
        <v>6</v>
      </c>
      <c r="F2290">
        <v>1006</v>
      </c>
      <c r="G2290" t="s">
        <v>114</v>
      </c>
      <c r="J2290" t="s">
        <v>128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078"/>
        <v>14:45:11.141</v>
      </c>
      <c r="T2290" t="str">
        <f t="shared" si="1078"/>
        <v>14:45:11.141</v>
      </c>
      <c r="U2290" t="str">
        <f t="shared" si="1058"/>
        <v>A9808D</v>
      </c>
      <c r="V2290">
        <v>0</v>
      </c>
      <c r="W2290">
        <v>0</v>
      </c>
      <c r="X2290">
        <v>1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0</v>
      </c>
      <c r="AI2290" t="s">
        <v>580</v>
      </c>
      <c r="AJ2290">
        <v>28.258037999999999</v>
      </c>
      <c r="AK2290" t="s">
        <v>581</v>
      </c>
      <c r="AL2290">
        <v>-82.336757000000006</v>
      </c>
      <c r="AM2290">
        <v>100</v>
      </c>
      <c r="AN2290">
        <v>2200</v>
      </c>
      <c r="AO2290" t="s">
        <v>118</v>
      </c>
      <c r="AP2290">
        <v>94</v>
      </c>
      <c r="AQ2290">
        <v>-51</v>
      </c>
      <c r="AR2290">
        <v>256</v>
      </c>
      <c r="AZ2290">
        <v>1200</v>
      </c>
      <c r="BA2290">
        <v>1</v>
      </c>
      <c r="BB2290" t="str">
        <f t="shared" si="1068"/>
        <v xml:space="preserve">N711JA  </v>
      </c>
      <c r="BC2290">
        <v>1</v>
      </c>
      <c r="BE2290">
        <v>0</v>
      </c>
      <c r="BF2290">
        <v>0</v>
      </c>
      <c r="BG2290">
        <v>0</v>
      </c>
      <c r="BH2290">
        <v>2250</v>
      </c>
      <c r="BI2290">
        <v>1</v>
      </c>
      <c r="BJ2290">
        <v>1</v>
      </c>
      <c r="BK2290">
        <v>0</v>
      </c>
      <c r="BL2290">
        <v>0</v>
      </c>
      <c r="BO2290">
        <v>0</v>
      </c>
      <c r="BP2290">
        <v>0</v>
      </c>
      <c r="BW2290" t="str">
        <f t="shared" si="1079"/>
        <v>14:45:11.144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343</v>
      </c>
      <c r="CR2290">
        <v>1</v>
      </c>
      <c r="CW2290">
        <v>10768504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1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ref="A2291:A2299" si="1080">"05/12/2020 14:44:54.496"</f>
        <v>05/12/2020 14:44:54.496</v>
      </c>
      <c r="C2291" t="str">
        <f t="shared" si="1067"/>
        <v>FFDFD3C0</v>
      </c>
      <c r="D2291" t="s">
        <v>126</v>
      </c>
      <c r="E2291">
        <v>7</v>
      </c>
      <c r="F2291">
        <v>1007</v>
      </c>
      <c r="G2291" t="s">
        <v>127</v>
      </c>
      <c r="J2291" t="s">
        <v>128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ref="S2291:S2299" si="1081">"14:45:12.328"</f>
        <v>14:45:12.328</v>
      </c>
      <c r="T2291" t="str">
        <f t="shared" ref="T2291:T2299" si="1082">"14:45:12.028"</f>
        <v>14:45:12.028</v>
      </c>
      <c r="U2291" t="str">
        <f t="shared" si="1058"/>
        <v>A9808D</v>
      </c>
      <c r="V2291">
        <v>0</v>
      </c>
      <c r="W2291">
        <v>0</v>
      </c>
      <c r="X2291">
        <v>1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0</v>
      </c>
      <c r="AI2291" t="s">
        <v>582</v>
      </c>
      <c r="AJ2291">
        <v>28.257802000000002</v>
      </c>
      <c r="AK2291" t="s">
        <v>583</v>
      </c>
      <c r="AL2291">
        <v>-82.336134999999999</v>
      </c>
      <c r="AM2291">
        <v>100</v>
      </c>
      <c r="AN2291">
        <v>2200</v>
      </c>
      <c r="AO2291" t="s">
        <v>118</v>
      </c>
      <c r="AP2291">
        <v>94</v>
      </c>
      <c r="AQ2291">
        <v>-51</v>
      </c>
      <c r="AR2291">
        <v>256</v>
      </c>
      <c r="AZ2291">
        <v>1200</v>
      </c>
      <c r="BA2291">
        <v>1</v>
      </c>
      <c r="BB2291" t="str">
        <f t="shared" si="1068"/>
        <v xml:space="preserve">N711JA  </v>
      </c>
      <c r="BC2291">
        <v>1</v>
      </c>
      <c r="BE2291">
        <v>0</v>
      </c>
      <c r="BF2291">
        <v>0</v>
      </c>
      <c r="BG2291">
        <v>0</v>
      </c>
      <c r="BH2291">
        <v>2275</v>
      </c>
      <c r="BI2291">
        <v>1</v>
      </c>
      <c r="BJ2291">
        <v>1</v>
      </c>
      <c r="BK2291">
        <v>0</v>
      </c>
      <c r="BL2291">
        <v>0</v>
      </c>
      <c r="BO2291">
        <v>0</v>
      </c>
      <c r="BP2291">
        <v>0</v>
      </c>
      <c r="BW2291" t="str">
        <f t="shared" ref="BW2291:BW2299" si="1083">"14:45:12.330"</f>
        <v>14:45:12.330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8</v>
      </c>
      <c r="CR2291">
        <v>3</v>
      </c>
      <c r="CW2291">
        <v>8895684</v>
      </c>
      <c r="CY2291">
        <v>1</v>
      </c>
      <c r="CZ2291">
        <v>0</v>
      </c>
      <c r="DA2291">
        <v>0</v>
      </c>
      <c r="DB2291">
        <v>0</v>
      </c>
      <c r="DC2291">
        <v>0</v>
      </c>
      <c r="DD2291">
        <v>1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si="1080"/>
        <v>05/12/2020 14:44:54.496</v>
      </c>
      <c r="C2292" t="str">
        <f t="shared" si="1067"/>
        <v>FFDFD3C0</v>
      </c>
      <c r="D2292" t="s">
        <v>131</v>
      </c>
      <c r="E2292">
        <v>10</v>
      </c>
      <c r="F2292">
        <v>2010</v>
      </c>
      <c r="G2292" t="s">
        <v>132</v>
      </c>
      <c r="J2292" t="s">
        <v>133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081"/>
        <v>14:45:12.328</v>
      </c>
      <c r="T2292" t="str">
        <f t="shared" si="1082"/>
        <v>14:45:12.028</v>
      </c>
      <c r="U2292" t="str">
        <f t="shared" si="1058"/>
        <v>A9808D</v>
      </c>
      <c r="V2292">
        <v>0</v>
      </c>
      <c r="W2292">
        <v>0</v>
      </c>
      <c r="X2292">
        <v>1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0</v>
      </c>
      <c r="AI2292" t="s">
        <v>582</v>
      </c>
      <c r="AJ2292">
        <v>28.257802000000002</v>
      </c>
      <c r="AK2292" t="s">
        <v>583</v>
      </c>
      <c r="AL2292">
        <v>-82.336134999999999</v>
      </c>
      <c r="AM2292">
        <v>100</v>
      </c>
      <c r="AN2292">
        <v>2200</v>
      </c>
      <c r="AO2292" t="s">
        <v>118</v>
      </c>
      <c r="AP2292">
        <v>94</v>
      </c>
      <c r="AQ2292">
        <v>-51</v>
      </c>
      <c r="AR2292">
        <v>256</v>
      </c>
      <c r="AZ2292">
        <v>1200</v>
      </c>
      <c r="BA2292">
        <v>1</v>
      </c>
      <c r="BB2292" t="str">
        <f t="shared" si="1068"/>
        <v xml:space="preserve">N711JA  </v>
      </c>
      <c r="BC2292">
        <v>1</v>
      </c>
      <c r="BE2292">
        <v>0</v>
      </c>
      <c r="BF2292">
        <v>0</v>
      </c>
      <c r="BG2292">
        <v>0</v>
      </c>
      <c r="BH2292">
        <v>2275</v>
      </c>
      <c r="BI2292">
        <v>1</v>
      </c>
      <c r="BJ2292">
        <v>1</v>
      </c>
      <c r="BK2292">
        <v>0</v>
      </c>
      <c r="BL2292">
        <v>0</v>
      </c>
      <c r="BO2292">
        <v>0</v>
      </c>
      <c r="BP2292">
        <v>0</v>
      </c>
      <c r="BW2292" t="str">
        <f t="shared" si="1083"/>
        <v>14:45:12.330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8</v>
      </c>
      <c r="CR2292">
        <v>3</v>
      </c>
      <c r="CW2292">
        <v>8895684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1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1080"/>
        <v>05/12/2020 14:44:54.496</v>
      </c>
      <c r="C2293" t="str">
        <f t="shared" si="1067"/>
        <v>FFDFD3C0</v>
      </c>
      <c r="D2293" t="s">
        <v>131</v>
      </c>
      <c r="E2293">
        <v>12</v>
      </c>
      <c r="F2293">
        <v>2012</v>
      </c>
      <c r="G2293" t="s">
        <v>137</v>
      </c>
      <c r="J2293" t="s">
        <v>133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081"/>
        <v>14:45:12.328</v>
      </c>
      <c r="T2293" t="str">
        <f t="shared" si="1082"/>
        <v>14:45:12.028</v>
      </c>
      <c r="U2293" t="str">
        <f t="shared" si="1058"/>
        <v>A9808D</v>
      </c>
      <c r="V2293">
        <v>0</v>
      </c>
      <c r="W2293">
        <v>0</v>
      </c>
      <c r="X2293">
        <v>1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0</v>
      </c>
      <c r="AI2293" t="s">
        <v>582</v>
      </c>
      <c r="AJ2293">
        <v>28.257802000000002</v>
      </c>
      <c r="AK2293" t="s">
        <v>583</v>
      </c>
      <c r="AL2293">
        <v>-82.336134999999999</v>
      </c>
      <c r="AM2293">
        <v>100</v>
      </c>
      <c r="AN2293">
        <v>2200</v>
      </c>
      <c r="AO2293" t="s">
        <v>118</v>
      </c>
      <c r="AP2293">
        <v>94</v>
      </c>
      <c r="AQ2293">
        <v>-51</v>
      </c>
      <c r="AR2293">
        <v>256</v>
      </c>
      <c r="AZ2293">
        <v>1200</v>
      </c>
      <c r="BA2293">
        <v>1</v>
      </c>
      <c r="BB2293" t="str">
        <f t="shared" si="1068"/>
        <v xml:space="preserve">N711JA  </v>
      </c>
      <c r="BC2293">
        <v>1</v>
      </c>
      <c r="BE2293">
        <v>0</v>
      </c>
      <c r="BF2293">
        <v>0</v>
      </c>
      <c r="BG2293">
        <v>0</v>
      </c>
      <c r="BH2293">
        <v>2275</v>
      </c>
      <c r="BI2293">
        <v>1</v>
      </c>
      <c r="BJ2293">
        <v>1</v>
      </c>
      <c r="BK2293">
        <v>0</v>
      </c>
      <c r="BL2293">
        <v>0</v>
      </c>
      <c r="BO2293">
        <v>0</v>
      </c>
      <c r="BP2293">
        <v>0</v>
      </c>
      <c r="BW2293" t="str">
        <f t="shared" si="1083"/>
        <v>14:45:12.330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8</v>
      </c>
      <c r="CR2293">
        <v>3</v>
      </c>
      <c r="CW2293">
        <v>8895684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1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si="1080"/>
        <v>05/12/2020 14:44:54.496</v>
      </c>
      <c r="C2294" t="str">
        <f t="shared" si="1067"/>
        <v>FFDFD3C0</v>
      </c>
      <c r="D2294" t="s">
        <v>131</v>
      </c>
      <c r="E2294">
        <v>18</v>
      </c>
      <c r="F2294">
        <v>2018</v>
      </c>
      <c r="G2294" t="s">
        <v>161</v>
      </c>
      <c r="J2294" t="s">
        <v>133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081"/>
        <v>14:45:12.328</v>
      </c>
      <c r="T2294" t="str">
        <f t="shared" si="1082"/>
        <v>14:45:12.028</v>
      </c>
      <c r="U2294" t="str">
        <f t="shared" si="1058"/>
        <v>A9808D</v>
      </c>
      <c r="V2294">
        <v>0</v>
      </c>
      <c r="W2294">
        <v>0</v>
      </c>
      <c r="X2294">
        <v>1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0</v>
      </c>
      <c r="AI2294" t="s">
        <v>582</v>
      </c>
      <c r="AJ2294">
        <v>28.257802000000002</v>
      </c>
      <c r="AK2294" t="s">
        <v>583</v>
      </c>
      <c r="AL2294">
        <v>-82.336134999999999</v>
      </c>
      <c r="AM2294">
        <v>100</v>
      </c>
      <c r="AN2294">
        <v>2200</v>
      </c>
      <c r="AO2294" t="s">
        <v>118</v>
      </c>
      <c r="AP2294">
        <v>94</v>
      </c>
      <c r="AQ2294">
        <v>-51</v>
      </c>
      <c r="AR2294">
        <v>256</v>
      </c>
      <c r="AZ2294">
        <v>1200</v>
      </c>
      <c r="BA2294">
        <v>1</v>
      </c>
      <c r="BB2294" t="str">
        <f t="shared" si="1068"/>
        <v xml:space="preserve">N711JA  </v>
      </c>
      <c r="BC2294">
        <v>1</v>
      </c>
      <c r="BE2294">
        <v>0</v>
      </c>
      <c r="BF2294">
        <v>0</v>
      </c>
      <c r="BG2294">
        <v>0</v>
      </c>
      <c r="BH2294">
        <v>2275</v>
      </c>
      <c r="BI2294">
        <v>1</v>
      </c>
      <c r="BJ2294">
        <v>1</v>
      </c>
      <c r="BK2294">
        <v>0</v>
      </c>
      <c r="BL2294">
        <v>0</v>
      </c>
      <c r="BO2294">
        <v>0</v>
      </c>
      <c r="BP2294">
        <v>0</v>
      </c>
      <c r="BW2294" t="str">
        <f t="shared" si="1083"/>
        <v>14:45:12.330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343</v>
      </c>
      <c r="CR2294">
        <v>2</v>
      </c>
      <c r="CW2294">
        <v>13125269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1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 t="shared" si="1080"/>
        <v>05/12/2020 14:44:54.496</v>
      </c>
      <c r="C2295" t="str">
        <f t="shared" si="1067"/>
        <v>FFDFD3C0</v>
      </c>
      <c r="D2295" t="s">
        <v>134</v>
      </c>
      <c r="E2295">
        <v>12</v>
      </c>
      <c r="H2295">
        <v>64</v>
      </c>
      <c r="I2295" t="s">
        <v>135</v>
      </c>
      <c r="J2295" t="s">
        <v>136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081"/>
        <v>14:45:12.328</v>
      </c>
      <c r="T2295" t="str">
        <f t="shared" si="1082"/>
        <v>14:45:12.028</v>
      </c>
      <c r="U2295" t="str">
        <f t="shared" si="1058"/>
        <v>A9808D</v>
      </c>
      <c r="V2295">
        <v>0</v>
      </c>
      <c r="W2295">
        <v>0</v>
      </c>
      <c r="X2295">
        <v>1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0</v>
      </c>
      <c r="AI2295" t="s">
        <v>582</v>
      </c>
      <c r="AJ2295">
        <v>28.257802000000002</v>
      </c>
      <c r="AK2295" t="s">
        <v>583</v>
      </c>
      <c r="AL2295">
        <v>-82.336134999999999</v>
      </c>
      <c r="AM2295">
        <v>100</v>
      </c>
      <c r="AN2295">
        <v>2200</v>
      </c>
      <c r="AO2295" t="s">
        <v>118</v>
      </c>
      <c r="AP2295">
        <v>94</v>
      </c>
      <c r="AQ2295">
        <v>-51</v>
      </c>
      <c r="AR2295">
        <v>256</v>
      </c>
      <c r="AZ2295">
        <v>1200</v>
      </c>
      <c r="BA2295">
        <v>1</v>
      </c>
      <c r="BB2295" t="str">
        <f t="shared" si="1068"/>
        <v xml:space="preserve">N711JA  </v>
      </c>
      <c r="BC2295">
        <v>1</v>
      </c>
      <c r="BE2295">
        <v>0</v>
      </c>
      <c r="BF2295">
        <v>0</v>
      </c>
      <c r="BG2295">
        <v>0</v>
      </c>
      <c r="BH2295">
        <v>2275</v>
      </c>
      <c r="BI2295">
        <v>1</v>
      </c>
      <c r="BJ2295">
        <v>1</v>
      </c>
      <c r="BK2295">
        <v>0</v>
      </c>
      <c r="BL2295">
        <v>0</v>
      </c>
      <c r="BO2295">
        <v>0</v>
      </c>
      <c r="BP2295">
        <v>0</v>
      </c>
      <c r="BW2295" t="str">
        <f t="shared" si="1083"/>
        <v>14:45:12.330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8</v>
      </c>
      <c r="CR2295">
        <v>3</v>
      </c>
      <c r="CW2295">
        <v>8895684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1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 t="shared" si="1080"/>
        <v>05/12/2020 14:44:54.496</v>
      </c>
      <c r="C2296" t="str">
        <f t="shared" si="1067"/>
        <v>FFDFD3C0</v>
      </c>
      <c r="D2296" t="s">
        <v>113</v>
      </c>
      <c r="E2296">
        <v>3</v>
      </c>
      <c r="H2296">
        <v>164</v>
      </c>
      <c r="I2296" t="s">
        <v>114</v>
      </c>
      <c r="J2296" t="s">
        <v>115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081"/>
        <v>14:45:12.328</v>
      </c>
      <c r="T2296" t="str">
        <f t="shared" si="1082"/>
        <v>14:45:12.028</v>
      </c>
      <c r="U2296" t="str">
        <f t="shared" si="1058"/>
        <v>A9808D</v>
      </c>
      <c r="V2296">
        <v>0</v>
      </c>
      <c r="W2296">
        <v>0</v>
      </c>
      <c r="X2296">
        <v>1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0</v>
      </c>
      <c r="AI2296" t="s">
        <v>582</v>
      </c>
      <c r="AJ2296">
        <v>28.257802000000002</v>
      </c>
      <c r="AK2296" t="s">
        <v>583</v>
      </c>
      <c r="AL2296">
        <v>-82.336134999999999</v>
      </c>
      <c r="AM2296">
        <v>100</v>
      </c>
      <c r="AN2296">
        <v>2200</v>
      </c>
      <c r="AO2296" t="s">
        <v>118</v>
      </c>
      <c r="AP2296">
        <v>94</v>
      </c>
      <c r="AQ2296">
        <v>-51</v>
      </c>
      <c r="AR2296">
        <v>256</v>
      </c>
      <c r="AZ2296">
        <v>1200</v>
      </c>
      <c r="BA2296">
        <v>1</v>
      </c>
      <c r="BB2296" t="str">
        <f t="shared" si="1068"/>
        <v xml:space="preserve">N711JA  </v>
      </c>
      <c r="BC2296">
        <v>1</v>
      </c>
      <c r="BE2296">
        <v>0</v>
      </c>
      <c r="BF2296">
        <v>0</v>
      </c>
      <c r="BG2296">
        <v>0</v>
      </c>
      <c r="BH2296">
        <v>2275</v>
      </c>
      <c r="BI2296">
        <v>1</v>
      </c>
      <c r="BJ2296">
        <v>1</v>
      </c>
      <c r="BK2296">
        <v>0</v>
      </c>
      <c r="BL2296">
        <v>0</v>
      </c>
      <c r="BO2296">
        <v>0</v>
      </c>
      <c r="BP2296">
        <v>0</v>
      </c>
      <c r="BW2296" t="str">
        <f t="shared" si="1083"/>
        <v>14:45:12.330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8</v>
      </c>
      <c r="CR2296">
        <v>3</v>
      </c>
      <c r="CW2296">
        <v>8895684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1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 t="shared" si="1080"/>
        <v>05/12/2020 14:44:54.496</v>
      </c>
      <c r="C2297" t="str">
        <f t="shared" si="1067"/>
        <v>FFDFD3C0</v>
      </c>
      <c r="D2297" t="s">
        <v>138</v>
      </c>
      <c r="E2297">
        <v>2</v>
      </c>
      <c r="H2297">
        <v>8</v>
      </c>
      <c r="I2297" t="s">
        <v>139</v>
      </c>
      <c r="J2297" t="s">
        <v>136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081"/>
        <v>14:45:12.328</v>
      </c>
      <c r="T2297" t="str">
        <f t="shared" si="1082"/>
        <v>14:45:12.028</v>
      </c>
      <c r="U2297" t="str">
        <f t="shared" si="1058"/>
        <v>A9808D</v>
      </c>
      <c r="V2297">
        <v>0</v>
      </c>
      <c r="W2297">
        <v>0</v>
      </c>
      <c r="X2297">
        <v>1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0</v>
      </c>
      <c r="AI2297" t="s">
        <v>582</v>
      </c>
      <c r="AJ2297">
        <v>28.257802000000002</v>
      </c>
      <c r="AK2297" t="s">
        <v>583</v>
      </c>
      <c r="AL2297">
        <v>-82.336134999999999</v>
      </c>
      <c r="AM2297">
        <v>100</v>
      </c>
      <c r="AN2297">
        <v>2200</v>
      </c>
      <c r="AO2297" t="s">
        <v>118</v>
      </c>
      <c r="AP2297">
        <v>94</v>
      </c>
      <c r="AQ2297">
        <v>-51</v>
      </c>
      <c r="AR2297">
        <v>256</v>
      </c>
      <c r="AZ2297">
        <v>1200</v>
      </c>
      <c r="BA2297">
        <v>1</v>
      </c>
      <c r="BB2297" t="str">
        <f t="shared" si="1068"/>
        <v xml:space="preserve">N711JA  </v>
      </c>
      <c r="BC2297">
        <v>1</v>
      </c>
      <c r="BE2297">
        <v>0</v>
      </c>
      <c r="BF2297">
        <v>0</v>
      </c>
      <c r="BG2297">
        <v>0</v>
      </c>
      <c r="BH2297">
        <v>2275</v>
      </c>
      <c r="BI2297">
        <v>1</v>
      </c>
      <c r="BJ2297">
        <v>1</v>
      </c>
      <c r="BK2297">
        <v>0</v>
      </c>
      <c r="BL2297">
        <v>0</v>
      </c>
      <c r="BO2297">
        <v>0</v>
      </c>
      <c r="BP2297">
        <v>0</v>
      </c>
      <c r="BW2297" t="str">
        <f t="shared" si="1083"/>
        <v>14:45:12.330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8</v>
      </c>
      <c r="CR2297">
        <v>3</v>
      </c>
      <c r="CW2297">
        <v>8895684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1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 t="shared" si="1080"/>
        <v>05/12/2020 14:44:54.496</v>
      </c>
      <c r="C2298" t="str">
        <f t="shared" si="1067"/>
        <v>FFDFD3C0</v>
      </c>
      <c r="D2298" t="s">
        <v>126</v>
      </c>
      <c r="E2298">
        <v>6</v>
      </c>
      <c r="F2298">
        <v>1006</v>
      </c>
      <c r="G2298" t="s">
        <v>114</v>
      </c>
      <c r="J2298" t="s">
        <v>128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081"/>
        <v>14:45:12.328</v>
      </c>
      <c r="T2298" t="str">
        <f t="shared" si="1082"/>
        <v>14:45:12.028</v>
      </c>
      <c r="U2298" t="str">
        <f t="shared" si="1058"/>
        <v>A9808D</v>
      </c>
      <c r="V2298">
        <v>0</v>
      </c>
      <c r="W2298">
        <v>0</v>
      </c>
      <c r="X2298">
        <v>1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0</v>
      </c>
      <c r="AI2298" t="s">
        <v>582</v>
      </c>
      <c r="AJ2298">
        <v>28.257802000000002</v>
      </c>
      <c r="AK2298" t="s">
        <v>583</v>
      </c>
      <c r="AL2298">
        <v>-82.336134999999999</v>
      </c>
      <c r="AM2298">
        <v>100</v>
      </c>
      <c r="AN2298">
        <v>2200</v>
      </c>
      <c r="AO2298" t="s">
        <v>118</v>
      </c>
      <c r="AP2298">
        <v>94</v>
      </c>
      <c r="AQ2298">
        <v>-51</v>
      </c>
      <c r="AR2298">
        <v>256</v>
      </c>
      <c r="AZ2298">
        <v>1200</v>
      </c>
      <c r="BA2298">
        <v>1</v>
      </c>
      <c r="BB2298" t="str">
        <f t="shared" si="1068"/>
        <v xml:space="preserve">N711JA  </v>
      </c>
      <c r="BC2298">
        <v>1</v>
      </c>
      <c r="BE2298">
        <v>0</v>
      </c>
      <c r="BF2298">
        <v>0</v>
      </c>
      <c r="BG2298">
        <v>0</v>
      </c>
      <c r="BH2298">
        <v>2275</v>
      </c>
      <c r="BI2298">
        <v>1</v>
      </c>
      <c r="BJ2298">
        <v>1</v>
      </c>
      <c r="BK2298">
        <v>0</v>
      </c>
      <c r="BL2298">
        <v>0</v>
      </c>
      <c r="BO2298">
        <v>0</v>
      </c>
      <c r="BP2298">
        <v>0</v>
      </c>
      <c r="BW2298" t="str">
        <f t="shared" si="1083"/>
        <v>14:45:12.330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8</v>
      </c>
      <c r="CR2298">
        <v>3</v>
      </c>
      <c r="CW2298">
        <v>8895684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1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 t="shared" si="1080"/>
        <v>05/12/2020 14:44:54.496</v>
      </c>
      <c r="C2299" t="str">
        <f t="shared" si="1067"/>
        <v>FFDFD3C0</v>
      </c>
      <c r="D2299" t="s">
        <v>138</v>
      </c>
      <c r="E2299">
        <v>3</v>
      </c>
      <c r="H2299">
        <v>9</v>
      </c>
      <c r="I2299" t="s">
        <v>140</v>
      </c>
      <c r="J2299" t="s">
        <v>136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081"/>
        <v>14:45:12.328</v>
      </c>
      <c r="T2299" t="str">
        <f t="shared" si="1082"/>
        <v>14:45:12.028</v>
      </c>
      <c r="U2299" t="str">
        <f t="shared" si="1058"/>
        <v>A9808D</v>
      </c>
      <c r="V2299">
        <v>0</v>
      </c>
      <c r="W2299">
        <v>0</v>
      </c>
      <c r="X2299">
        <v>1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0</v>
      </c>
      <c r="AI2299" t="s">
        <v>582</v>
      </c>
      <c r="AJ2299">
        <v>28.257802000000002</v>
      </c>
      <c r="AK2299" t="s">
        <v>583</v>
      </c>
      <c r="AL2299">
        <v>-82.336134999999999</v>
      </c>
      <c r="AM2299">
        <v>100</v>
      </c>
      <c r="AN2299">
        <v>2200</v>
      </c>
      <c r="AO2299" t="s">
        <v>118</v>
      </c>
      <c r="AP2299">
        <v>94</v>
      </c>
      <c r="AQ2299">
        <v>-51</v>
      </c>
      <c r="AR2299">
        <v>256</v>
      </c>
      <c r="AZ2299">
        <v>1200</v>
      </c>
      <c r="BA2299">
        <v>1</v>
      </c>
      <c r="BB2299" t="str">
        <f t="shared" si="1068"/>
        <v xml:space="preserve">N711JA  </v>
      </c>
      <c r="BC2299">
        <v>1</v>
      </c>
      <c r="BE2299">
        <v>0</v>
      </c>
      <c r="BF2299">
        <v>0</v>
      </c>
      <c r="BG2299">
        <v>0</v>
      </c>
      <c r="BH2299">
        <v>2275</v>
      </c>
      <c r="BI2299">
        <v>1</v>
      </c>
      <c r="BJ2299">
        <v>1</v>
      </c>
      <c r="BK2299">
        <v>0</v>
      </c>
      <c r="BL2299">
        <v>0</v>
      </c>
      <c r="BO2299">
        <v>0</v>
      </c>
      <c r="BP2299">
        <v>0</v>
      </c>
      <c r="BW2299" t="str">
        <f t="shared" si="1083"/>
        <v>14:45:12.330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8</v>
      </c>
      <c r="CR2299">
        <v>3</v>
      </c>
      <c r="CW2299">
        <v>8895684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1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 t="shared" ref="A2300:A2308" si="1084">"05/12/2020 14:44:55.602"</f>
        <v>05/12/2020 14:44:55.602</v>
      </c>
      <c r="C2300" t="str">
        <f t="shared" si="1067"/>
        <v>FFDFD3C0</v>
      </c>
      <c r="D2300" t="s">
        <v>126</v>
      </c>
      <c r="E2300">
        <v>7</v>
      </c>
      <c r="F2300">
        <v>1007</v>
      </c>
      <c r="G2300" t="s">
        <v>127</v>
      </c>
      <c r="J2300" t="s">
        <v>128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ref="S2300:S2308" si="1085">"14:45:13.430"</f>
        <v>14:45:13.430</v>
      </c>
      <c r="T2300" t="str">
        <f t="shared" ref="T2300:T2308" si="1086">"14:45:13.130"</f>
        <v>14:45:13.130</v>
      </c>
      <c r="U2300" t="str">
        <f t="shared" si="1058"/>
        <v>A9808D</v>
      </c>
      <c r="V2300">
        <v>0</v>
      </c>
      <c r="W2300">
        <v>0</v>
      </c>
      <c r="X2300">
        <v>1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0</v>
      </c>
      <c r="AI2300" t="s">
        <v>584</v>
      </c>
      <c r="AJ2300">
        <v>28.257522999999999</v>
      </c>
      <c r="AK2300" t="s">
        <v>585</v>
      </c>
      <c r="AL2300">
        <v>-82.335620000000006</v>
      </c>
      <c r="AM2300">
        <v>100</v>
      </c>
      <c r="AN2300">
        <v>2200</v>
      </c>
      <c r="AO2300" t="s">
        <v>118</v>
      </c>
      <c r="AP2300">
        <v>95</v>
      </c>
      <c r="AQ2300">
        <v>-50</v>
      </c>
      <c r="AR2300">
        <v>256</v>
      </c>
      <c r="AZ2300">
        <v>1200</v>
      </c>
      <c r="BA2300">
        <v>1</v>
      </c>
      <c r="BB2300" t="str">
        <f t="shared" si="1068"/>
        <v xml:space="preserve">N711JA  </v>
      </c>
      <c r="BC2300">
        <v>1</v>
      </c>
      <c r="BE2300">
        <v>0</v>
      </c>
      <c r="BF2300">
        <v>0</v>
      </c>
      <c r="BG2300">
        <v>0</v>
      </c>
      <c r="BH2300">
        <v>2275</v>
      </c>
      <c r="BI2300">
        <v>1</v>
      </c>
      <c r="BJ2300">
        <v>1</v>
      </c>
      <c r="BK2300">
        <v>0</v>
      </c>
      <c r="BL2300">
        <v>0</v>
      </c>
      <c r="BO2300">
        <v>0</v>
      </c>
      <c r="BP2300">
        <v>0</v>
      </c>
      <c r="BW2300" t="str">
        <f t="shared" ref="BW2300:BW2308" si="1087">"14:45:13.436"</f>
        <v>14:45:13.436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8</v>
      </c>
      <c r="CR2300">
        <v>3</v>
      </c>
      <c r="CW2300">
        <v>8896788</v>
      </c>
      <c r="CY2300">
        <v>1</v>
      </c>
      <c r="CZ2300">
        <v>0</v>
      </c>
      <c r="DA2300">
        <v>0</v>
      </c>
      <c r="DB2300">
        <v>0</v>
      </c>
      <c r="DC2300">
        <v>0</v>
      </c>
      <c r="DD2300">
        <v>1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 t="shared" si="1084"/>
        <v>05/12/2020 14:44:55.602</v>
      </c>
      <c r="C2301" t="str">
        <f t="shared" si="1067"/>
        <v>FFDFD3C0</v>
      </c>
      <c r="D2301" t="s">
        <v>131</v>
      </c>
      <c r="E2301">
        <v>10</v>
      </c>
      <c r="F2301">
        <v>2010</v>
      </c>
      <c r="G2301" t="s">
        <v>132</v>
      </c>
      <c r="J2301" t="s">
        <v>133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085"/>
        <v>14:45:13.430</v>
      </c>
      <c r="T2301" t="str">
        <f t="shared" si="1086"/>
        <v>14:45:13.130</v>
      </c>
      <c r="U2301" t="str">
        <f t="shared" si="1058"/>
        <v>A9808D</v>
      </c>
      <c r="V2301">
        <v>0</v>
      </c>
      <c r="W2301">
        <v>0</v>
      </c>
      <c r="X2301">
        <v>1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0</v>
      </c>
      <c r="AI2301" t="s">
        <v>584</v>
      </c>
      <c r="AJ2301">
        <v>28.257522999999999</v>
      </c>
      <c r="AK2301" t="s">
        <v>585</v>
      </c>
      <c r="AL2301">
        <v>-82.335620000000006</v>
      </c>
      <c r="AM2301">
        <v>100</v>
      </c>
      <c r="AN2301">
        <v>2200</v>
      </c>
      <c r="AO2301" t="s">
        <v>118</v>
      </c>
      <c r="AP2301">
        <v>95</v>
      </c>
      <c r="AQ2301">
        <v>-50</v>
      </c>
      <c r="AR2301">
        <v>256</v>
      </c>
      <c r="AZ2301">
        <v>1200</v>
      </c>
      <c r="BA2301">
        <v>1</v>
      </c>
      <c r="BB2301" t="str">
        <f t="shared" si="1068"/>
        <v xml:space="preserve">N711JA  </v>
      </c>
      <c r="BC2301">
        <v>1</v>
      </c>
      <c r="BE2301">
        <v>0</v>
      </c>
      <c r="BF2301">
        <v>0</v>
      </c>
      <c r="BG2301">
        <v>0</v>
      </c>
      <c r="BH2301">
        <v>2275</v>
      </c>
      <c r="BI2301">
        <v>1</v>
      </c>
      <c r="BJ2301">
        <v>1</v>
      </c>
      <c r="BK2301">
        <v>0</v>
      </c>
      <c r="BL2301">
        <v>0</v>
      </c>
      <c r="BO2301">
        <v>0</v>
      </c>
      <c r="BP2301">
        <v>0</v>
      </c>
      <c r="BW2301" t="str">
        <f t="shared" si="1087"/>
        <v>14:45:13.436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8</v>
      </c>
      <c r="CR2301">
        <v>3</v>
      </c>
      <c r="CW2301">
        <v>8896788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1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 t="shared" si="1084"/>
        <v>05/12/2020 14:44:55.602</v>
      </c>
      <c r="C2302" t="str">
        <f t="shared" si="1067"/>
        <v>FFDFD3C0</v>
      </c>
      <c r="D2302" t="s">
        <v>131</v>
      </c>
      <c r="E2302">
        <v>12</v>
      </c>
      <c r="F2302">
        <v>2012</v>
      </c>
      <c r="G2302" t="s">
        <v>137</v>
      </c>
      <c r="J2302" t="s">
        <v>133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085"/>
        <v>14:45:13.430</v>
      </c>
      <c r="T2302" t="str">
        <f t="shared" si="1086"/>
        <v>14:45:13.130</v>
      </c>
      <c r="U2302" t="str">
        <f t="shared" si="1058"/>
        <v>A9808D</v>
      </c>
      <c r="V2302">
        <v>0</v>
      </c>
      <c r="W2302">
        <v>0</v>
      </c>
      <c r="X2302">
        <v>1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0</v>
      </c>
      <c r="AI2302" t="s">
        <v>584</v>
      </c>
      <c r="AJ2302">
        <v>28.257522999999999</v>
      </c>
      <c r="AK2302" t="s">
        <v>585</v>
      </c>
      <c r="AL2302">
        <v>-82.335620000000006</v>
      </c>
      <c r="AM2302">
        <v>100</v>
      </c>
      <c r="AN2302">
        <v>2200</v>
      </c>
      <c r="AO2302" t="s">
        <v>118</v>
      </c>
      <c r="AP2302">
        <v>95</v>
      </c>
      <c r="AQ2302">
        <v>-50</v>
      </c>
      <c r="AR2302">
        <v>256</v>
      </c>
      <c r="AZ2302">
        <v>1200</v>
      </c>
      <c r="BA2302">
        <v>1</v>
      </c>
      <c r="BB2302" t="str">
        <f t="shared" si="1068"/>
        <v xml:space="preserve">N711JA  </v>
      </c>
      <c r="BC2302">
        <v>1</v>
      </c>
      <c r="BE2302">
        <v>0</v>
      </c>
      <c r="BF2302">
        <v>0</v>
      </c>
      <c r="BG2302">
        <v>0</v>
      </c>
      <c r="BH2302">
        <v>2275</v>
      </c>
      <c r="BI2302">
        <v>1</v>
      </c>
      <c r="BJ2302">
        <v>1</v>
      </c>
      <c r="BK2302">
        <v>0</v>
      </c>
      <c r="BL2302">
        <v>0</v>
      </c>
      <c r="BO2302">
        <v>0</v>
      </c>
      <c r="BP2302">
        <v>0</v>
      </c>
      <c r="BW2302" t="str">
        <f t="shared" si="1087"/>
        <v>14:45:13.436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8</v>
      </c>
      <c r="CR2302">
        <v>3</v>
      </c>
      <c r="CW2302">
        <v>8896788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1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 t="shared" si="1084"/>
        <v>05/12/2020 14:44:55.602</v>
      </c>
      <c r="C2303" t="str">
        <f t="shared" si="1067"/>
        <v>FFDFD3C0</v>
      </c>
      <c r="D2303" t="s">
        <v>131</v>
      </c>
      <c r="E2303">
        <v>18</v>
      </c>
      <c r="F2303">
        <v>2018</v>
      </c>
      <c r="G2303" t="s">
        <v>161</v>
      </c>
      <c r="J2303" t="s">
        <v>133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085"/>
        <v>14:45:13.430</v>
      </c>
      <c r="T2303" t="str">
        <f t="shared" si="1086"/>
        <v>14:45:13.130</v>
      </c>
      <c r="U2303" t="str">
        <f t="shared" si="1058"/>
        <v>A9808D</v>
      </c>
      <c r="V2303">
        <v>0</v>
      </c>
      <c r="W2303">
        <v>0</v>
      </c>
      <c r="X2303">
        <v>1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0</v>
      </c>
      <c r="AI2303" t="s">
        <v>584</v>
      </c>
      <c r="AJ2303">
        <v>28.257522999999999</v>
      </c>
      <c r="AK2303" t="s">
        <v>585</v>
      </c>
      <c r="AL2303">
        <v>-82.335620000000006</v>
      </c>
      <c r="AM2303">
        <v>100</v>
      </c>
      <c r="AN2303">
        <v>2200</v>
      </c>
      <c r="AO2303" t="s">
        <v>118</v>
      </c>
      <c r="AP2303">
        <v>95</v>
      </c>
      <c r="AQ2303">
        <v>-50</v>
      </c>
      <c r="AR2303">
        <v>256</v>
      </c>
      <c r="AZ2303">
        <v>1200</v>
      </c>
      <c r="BA2303">
        <v>1</v>
      </c>
      <c r="BB2303" t="str">
        <f t="shared" si="1068"/>
        <v xml:space="preserve">N711JA  </v>
      </c>
      <c r="BC2303">
        <v>1</v>
      </c>
      <c r="BE2303">
        <v>0</v>
      </c>
      <c r="BF2303">
        <v>0</v>
      </c>
      <c r="BG2303">
        <v>0</v>
      </c>
      <c r="BH2303">
        <v>2275</v>
      </c>
      <c r="BI2303">
        <v>1</v>
      </c>
      <c r="BJ2303">
        <v>1</v>
      </c>
      <c r="BK2303">
        <v>0</v>
      </c>
      <c r="BL2303">
        <v>0</v>
      </c>
      <c r="BO2303">
        <v>0</v>
      </c>
      <c r="BP2303">
        <v>0</v>
      </c>
      <c r="BW2303" t="str">
        <f t="shared" si="1087"/>
        <v>14:45:13.436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56</v>
      </c>
      <c r="CR2303">
        <v>2</v>
      </c>
      <c r="CW2303">
        <v>4840587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1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 t="shared" si="1084"/>
        <v>05/12/2020 14:44:55.602</v>
      </c>
      <c r="C2304" t="str">
        <f t="shared" si="1067"/>
        <v>FFDFD3C0</v>
      </c>
      <c r="D2304" t="s">
        <v>126</v>
      </c>
      <c r="E2304">
        <v>6</v>
      </c>
      <c r="F2304">
        <v>1006</v>
      </c>
      <c r="G2304" t="s">
        <v>114</v>
      </c>
      <c r="J2304" t="s">
        <v>128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085"/>
        <v>14:45:13.430</v>
      </c>
      <c r="T2304" t="str">
        <f t="shared" si="1086"/>
        <v>14:45:13.130</v>
      </c>
      <c r="U2304" t="str">
        <f t="shared" si="1058"/>
        <v>A9808D</v>
      </c>
      <c r="V2304">
        <v>0</v>
      </c>
      <c r="W2304">
        <v>0</v>
      </c>
      <c r="X2304">
        <v>1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0</v>
      </c>
      <c r="AI2304" t="s">
        <v>584</v>
      </c>
      <c r="AJ2304">
        <v>28.257522999999999</v>
      </c>
      <c r="AK2304" t="s">
        <v>585</v>
      </c>
      <c r="AL2304">
        <v>-82.335620000000006</v>
      </c>
      <c r="AM2304">
        <v>100</v>
      </c>
      <c r="AN2304">
        <v>2200</v>
      </c>
      <c r="AO2304" t="s">
        <v>118</v>
      </c>
      <c r="AP2304">
        <v>95</v>
      </c>
      <c r="AQ2304">
        <v>-50</v>
      </c>
      <c r="AR2304">
        <v>256</v>
      </c>
      <c r="AZ2304">
        <v>1200</v>
      </c>
      <c r="BA2304">
        <v>1</v>
      </c>
      <c r="BB2304" t="str">
        <f t="shared" si="1068"/>
        <v xml:space="preserve">N711JA  </v>
      </c>
      <c r="BC2304">
        <v>1</v>
      </c>
      <c r="BE2304">
        <v>0</v>
      </c>
      <c r="BF2304">
        <v>0</v>
      </c>
      <c r="BG2304">
        <v>0</v>
      </c>
      <c r="BH2304">
        <v>2275</v>
      </c>
      <c r="BI2304">
        <v>1</v>
      </c>
      <c r="BJ2304">
        <v>1</v>
      </c>
      <c r="BK2304">
        <v>0</v>
      </c>
      <c r="BL2304">
        <v>0</v>
      </c>
      <c r="BO2304">
        <v>0</v>
      </c>
      <c r="BP2304">
        <v>0</v>
      </c>
      <c r="BW2304" t="str">
        <f t="shared" si="1087"/>
        <v>14:45:13.436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8</v>
      </c>
      <c r="CR2304">
        <v>3</v>
      </c>
      <c r="CW2304">
        <v>8896788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1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 t="shared" si="1084"/>
        <v>05/12/2020 14:44:55.602</v>
      </c>
      <c r="C2305" t="str">
        <f t="shared" si="1067"/>
        <v>FFDFD3C0</v>
      </c>
      <c r="D2305" t="s">
        <v>134</v>
      </c>
      <c r="E2305">
        <v>12</v>
      </c>
      <c r="H2305">
        <v>64</v>
      </c>
      <c r="I2305" t="s">
        <v>135</v>
      </c>
      <c r="J2305" t="s">
        <v>136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085"/>
        <v>14:45:13.430</v>
      </c>
      <c r="T2305" t="str">
        <f t="shared" si="1086"/>
        <v>14:45:13.130</v>
      </c>
      <c r="U2305" t="str">
        <f t="shared" si="1058"/>
        <v>A9808D</v>
      </c>
      <c r="V2305">
        <v>0</v>
      </c>
      <c r="W2305">
        <v>0</v>
      </c>
      <c r="X2305">
        <v>1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0</v>
      </c>
      <c r="AI2305" t="s">
        <v>584</v>
      </c>
      <c r="AJ2305">
        <v>28.257522999999999</v>
      </c>
      <c r="AK2305" t="s">
        <v>585</v>
      </c>
      <c r="AL2305">
        <v>-82.335620000000006</v>
      </c>
      <c r="AM2305">
        <v>100</v>
      </c>
      <c r="AN2305">
        <v>2200</v>
      </c>
      <c r="AO2305" t="s">
        <v>118</v>
      </c>
      <c r="AP2305">
        <v>95</v>
      </c>
      <c r="AQ2305">
        <v>-50</v>
      </c>
      <c r="AR2305">
        <v>256</v>
      </c>
      <c r="AZ2305">
        <v>1200</v>
      </c>
      <c r="BA2305">
        <v>1</v>
      </c>
      <c r="BB2305" t="str">
        <f t="shared" si="1068"/>
        <v xml:space="preserve">N711JA  </v>
      </c>
      <c r="BC2305">
        <v>1</v>
      </c>
      <c r="BE2305">
        <v>0</v>
      </c>
      <c r="BF2305">
        <v>0</v>
      </c>
      <c r="BG2305">
        <v>0</v>
      </c>
      <c r="BH2305">
        <v>2275</v>
      </c>
      <c r="BI2305">
        <v>1</v>
      </c>
      <c r="BJ2305">
        <v>1</v>
      </c>
      <c r="BK2305">
        <v>0</v>
      </c>
      <c r="BL2305">
        <v>0</v>
      </c>
      <c r="BO2305">
        <v>0</v>
      </c>
      <c r="BP2305">
        <v>0</v>
      </c>
      <c r="BW2305" t="str">
        <f t="shared" si="1087"/>
        <v>14:45:13.436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8</v>
      </c>
      <c r="CR2305">
        <v>3</v>
      </c>
      <c r="CW2305">
        <v>8896788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1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 t="shared" si="1084"/>
        <v>05/12/2020 14:44:55.602</v>
      </c>
      <c r="C2306" t="str">
        <f t="shared" si="1067"/>
        <v>FFDFD3C0</v>
      </c>
      <c r="D2306" t="s">
        <v>138</v>
      </c>
      <c r="E2306">
        <v>2</v>
      </c>
      <c r="H2306">
        <v>8</v>
      </c>
      <c r="I2306" t="s">
        <v>139</v>
      </c>
      <c r="J2306" t="s">
        <v>136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085"/>
        <v>14:45:13.430</v>
      </c>
      <c r="T2306" t="str">
        <f t="shared" si="1086"/>
        <v>14:45:13.130</v>
      </c>
      <c r="U2306" t="str">
        <f t="shared" ref="U2306:U2369" si="1088">"A9808D"</f>
        <v>A9808D</v>
      </c>
      <c r="V2306">
        <v>0</v>
      </c>
      <c r="W2306">
        <v>0</v>
      </c>
      <c r="X2306">
        <v>1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0</v>
      </c>
      <c r="AI2306" t="s">
        <v>584</v>
      </c>
      <c r="AJ2306">
        <v>28.257522999999999</v>
      </c>
      <c r="AK2306" t="s">
        <v>585</v>
      </c>
      <c r="AL2306">
        <v>-82.335620000000006</v>
      </c>
      <c r="AM2306">
        <v>100</v>
      </c>
      <c r="AN2306">
        <v>2200</v>
      </c>
      <c r="AO2306" t="s">
        <v>118</v>
      </c>
      <c r="AP2306">
        <v>95</v>
      </c>
      <c r="AQ2306">
        <v>-50</v>
      </c>
      <c r="AR2306">
        <v>256</v>
      </c>
      <c r="AZ2306">
        <v>1200</v>
      </c>
      <c r="BA2306">
        <v>1</v>
      </c>
      <c r="BB2306" t="str">
        <f t="shared" si="1068"/>
        <v xml:space="preserve">N711JA  </v>
      </c>
      <c r="BC2306">
        <v>1</v>
      </c>
      <c r="BE2306">
        <v>0</v>
      </c>
      <c r="BF2306">
        <v>0</v>
      </c>
      <c r="BG2306">
        <v>0</v>
      </c>
      <c r="BH2306">
        <v>2275</v>
      </c>
      <c r="BI2306">
        <v>1</v>
      </c>
      <c r="BJ2306">
        <v>1</v>
      </c>
      <c r="BK2306">
        <v>0</v>
      </c>
      <c r="BL2306">
        <v>0</v>
      </c>
      <c r="BO2306">
        <v>0</v>
      </c>
      <c r="BP2306">
        <v>0</v>
      </c>
      <c r="BW2306" t="str">
        <f t="shared" si="1087"/>
        <v>14:45:13.436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8</v>
      </c>
      <c r="CR2306">
        <v>3</v>
      </c>
      <c r="CW2306">
        <v>8896788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1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 t="shared" si="1084"/>
        <v>05/12/2020 14:44:55.602</v>
      </c>
      <c r="C2307" t="str">
        <f t="shared" si="1067"/>
        <v>FFDFD3C0</v>
      </c>
      <c r="D2307" t="s">
        <v>113</v>
      </c>
      <c r="E2307">
        <v>3</v>
      </c>
      <c r="H2307">
        <v>164</v>
      </c>
      <c r="I2307" t="s">
        <v>114</v>
      </c>
      <c r="J2307" t="s">
        <v>115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085"/>
        <v>14:45:13.430</v>
      </c>
      <c r="T2307" t="str">
        <f t="shared" si="1086"/>
        <v>14:45:13.130</v>
      </c>
      <c r="U2307" t="str">
        <f t="shared" si="1088"/>
        <v>A9808D</v>
      </c>
      <c r="V2307">
        <v>0</v>
      </c>
      <c r="W2307">
        <v>0</v>
      </c>
      <c r="X2307">
        <v>1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0</v>
      </c>
      <c r="AI2307" t="s">
        <v>584</v>
      </c>
      <c r="AJ2307">
        <v>28.257522999999999</v>
      </c>
      <c r="AK2307" t="s">
        <v>585</v>
      </c>
      <c r="AL2307">
        <v>-82.335620000000006</v>
      </c>
      <c r="AM2307">
        <v>100</v>
      </c>
      <c r="AN2307">
        <v>2200</v>
      </c>
      <c r="AO2307" t="s">
        <v>118</v>
      </c>
      <c r="AP2307">
        <v>95</v>
      </c>
      <c r="AQ2307">
        <v>-50</v>
      </c>
      <c r="AR2307">
        <v>256</v>
      </c>
      <c r="AZ2307">
        <v>1200</v>
      </c>
      <c r="BA2307">
        <v>1</v>
      </c>
      <c r="BB2307" t="str">
        <f t="shared" si="1068"/>
        <v xml:space="preserve">N711JA  </v>
      </c>
      <c r="BC2307">
        <v>1</v>
      </c>
      <c r="BE2307">
        <v>0</v>
      </c>
      <c r="BF2307">
        <v>0</v>
      </c>
      <c r="BG2307">
        <v>0</v>
      </c>
      <c r="BH2307">
        <v>2275</v>
      </c>
      <c r="BI2307">
        <v>1</v>
      </c>
      <c r="BJ2307">
        <v>1</v>
      </c>
      <c r="BK2307">
        <v>0</v>
      </c>
      <c r="BL2307">
        <v>0</v>
      </c>
      <c r="BO2307">
        <v>0</v>
      </c>
      <c r="BP2307">
        <v>0</v>
      </c>
      <c r="BW2307" t="str">
        <f t="shared" si="1087"/>
        <v>14:45:13.436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8</v>
      </c>
      <c r="CR2307">
        <v>3</v>
      </c>
      <c r="CW2307">
        <v>8896788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1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 t="shared" si="1084"/>
        <v>05/12/2020 14:44:55.602</v>
      </c>
      <c r="C2308" t="str">
        <f t="shared" si="1067"/>
        <v>FFDFD3C0</v>
      </c>
      <c r="D2308" t="s">
        <v>138</v>
      </c>
      <c r="E2308">
        <v>3</v>
      </c>
      <c r="H2308">
        <v>9</v>
      </c>
      <c r="I2308" t="s">
        <v>140</v>
      </c>
      <c r="J2308" t="s">
        <v>136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085"/>
        <v>14:45:13.430</v>
      </c>
      <c r="T2308" t="str">
        <f t="shared" si="1086"/>
        <v>14:45:13.130</v>
      </c>
      <c r="U2308" t="str">
        <f t="shared" si="1088"/>
        <v>A9808D</v>
      </c>
      <c r="V2308">
        <v>0</v>
      </c>
      <c r="W2308">
        <v>0</v>
      </c>
      <c r="X2308">
        <v>1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0</v>
      </c>
      <c r="AI2308" t="s">
        <v>584</v>
      </c>
      <c r="AJ2308">
        <v>28.257522999999999</v>
      </c>
      <c r="AK2308" t="s">
        <v>585</v>
      </c>
      <c r="AL2308">
        <v>-82.335620000000006</v>
      </c>
      <c r="AM2308">
        <v>100</v>
      </c>
      <c r="AN2308">
        <v>2200</v>
      </c>
      <c r="AO2308" t="s">
        <v>118</v>
      </c>
      <c r="AP2308">
        <v>95</v>
      </c>
      <c r="AQ2308">
        <v>-50</v>
      </c>
      <c r="AR2308">
        <v>256</v>
      </c>
      <c r="AZ2308">
        <v>1200</v>
      </c>
      <c r="BA2308">
        <v>1</v>
      </c>
      <c r="BB2308" t="str">
        <f t="shared" si="1068"/>
        <v xml:space="preserve">N711JA  </v>
      </c>
      <c r="BC2308">
        <v>1</v>
      </c>
      <c r="BE2308">
        <v>0</v>
      </c>
      <c r="BF2308">
        <v>0</v>
      </c>
      <c r="BG2308">
        <v>0</v>
      </c>
      <c r="BH2308">
        <v>2275</v>
      </c>
      <c r="BI2308">
        <v>1</v>
      </c>
      <c r="BJ2308">
        <v>1</v>
      </c>
      <c r="BK2308">
        <v>0</v>
      </c>
      <c r="BL2308">
        <v>0</v>
      </c>
      <c r="BO2308">
        <v>0</v>
      </c>
      <c r="BP2308">
        <v>0</v>
      </c>
      <c r="BW2308" t="str">
        <f t="shared" si="1087"/>
        <v>14:45:13.436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8</v>
      </c>
      <c r="CR2308">
        <v>3</v>
      </c>
      <c r="CW2308">
        <v>8896788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1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 t="shared" ref="A2309:A2317" si="1089">"05/12/2020 14:44:56.603"</f>
        <v>05/12/2020 14:44:56.603</v>
      </c>
      <c r="C2309" t="str">
        <f t="shared" si="1067"/>
        <v>FFDFD3C0</v>
      </c>
      <c r="D2309" t="s">
        <v>138</v>
      </c>
      <c r="E2309">
        <v>3</v>
      </c>
      <c r="H2309">
        <v>9</v>
      </c>
      <c r="I2309" t="s">
        <v>140</v>
      </c>
      <c r="J2309" t="s">
        <v>136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ref="S2309:S2317" si="1090">"14:45:14.438"</f>
        <v>14:45:14.438</v>
      </c>
      <c r="T2309" t="str">
        <f t="shared" ref="T2309:T2317" si="1091">"14:45:14.338"</f>
        <v>14:45:14.338</v>
      </c>
      <c r="U2309" t="str">
        <f t="shared" si="1088"/>
        <v>A9808D</v>
      </c>
      <c r="V2309">
        <v>0</v>
      </c>
      <c r="W2309">
        <v>0</v>
      </c>
      <c r="X2309">
        <v>1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0</v>
      </c>
      <c r="AI2309" t="s">
        <v>586</v>
      </c>
      <c r="AJ2309">
        <v>28.257287000000002</v>
      </c>
      <c r="AK2309" t="s">
        <v>587</v>
      </c>
      <c r="AL2309">
        <v>-82.335126000000002</v>
      </c>
      <c r="AM2309">
        <v>100</v>
      </c>
      <c r="AN2309">
        <v>2200</v>
      </c>
      <c r="AO2309" t="s">
        <v>118</v>
      </c>
      <c r="AP2309">
        <v>94</v>
      </c>
      <c r="AQ2309">
        <v>-50</v>
      </c>
      <c r="AR2309">
        <v>448</v>
      </c>
      <c r="AZ2309">
        <v>1200</v>
      </c>
      <c r="BA2309">
        <v>1</v>
      </c>
      <c r="BB2309" t="str">
        <f t="shared" si="1068"/>
        <v xml:space="preserve">N711JA  </v>
      </c>
      <c r="BC2309">
        <v>1</v>
      </c>
      <c r="BE2309">
        <v>0</v>
      </c>
      <c r="BF2309">
        <v>0</v>
      </c>
      <c r="BG2309">
        <v>0</v>
      </c>
      <c r="BH2309">
        <v>2275</v>
      </c>
      <c r="BI2309">
        <v>1</v>
      </c>
      <c r="BJ2309">
        <v>1</v>
      </c>
      <c r="BK2309">
        <v>0</v>
      </c>
      <c r="BL2309">
        <v>0</v>
      </c>
      <c r="BO2309">
        <v>0</v>
      </c>
      <c r="BP2309">
        <v>0</v>
      </c>
      <c r="BW2309" t="str">
        <f t="shared" ref="BW2309:BW2317" si="1092">"14:45:14.440"</f>
        <v>14:45:14.440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56</v>
      </c>
      <c r="CR2309">
        <v>2</v>
      </c>
      <c r="CW2309">
        <v>4841910</v>
      </c>
      <c r="CY2309">
        <v>1</v>
      </c>
      <c r="CZ2309">
        <v>0</v>
      </c>
      <c r="DA2309">
        <v>0</v>
      </c>
      <c r="DB2309">
        <v>0</v>
      </c>
      <c r="DC2309">
        <v>0</v>
      </c>
      <c r="DD2309">
        <v>1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 t="shared" si="1089"/>
        <v>05/12/2020 14:44:56.603</v>
      </c>
      <c r="C2310" t="str">
        <f t="shared" si="1067"/>
        <v>FFDFD3C0</v>
      </c>
      <c r="D2310" t="s">
        <v>131</v>
      </c>
      <c r="E2310">
        <v>10</v>
      </c>
      <c r="F2310">
        <v>2010</v>
      </c>
      <c r="G2310" t="s">
        <v>132</v>
      </c>
      <c r="J2310" t="s">
        <v>133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090"/>
        <v>14:45:14.438</v>
      </c>
      <c r="T2310" t="str">
        <f t="shared" si="1091"/>
        <v>14:45:14.338</v>
      </c>
      <c r="U2310" t="str">
        <f t="shared" si="1088"/>
        <v>A9808D</v>
      </c>
      <c r="V2310">
        <v>0</v>
      </c>
      <c r="W2310">
        <v>0</v>
      </c>
      <c r="X2310">
        <v>1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0</v>
      </c>
      <c r="AI2310" t="s">
        <v>586</v>
      </c>
      <c r="AJ2310">
        <v>28.257287000000002</v>
      </c>
      <c r="AK2310" t="s">
        <v>587</v>
      </c>
      <c r="AL2310">
        <v>-82.335126000000002</v>
      </c>
      <c r="AM2310">
        <v>100</v>
      </c>
      <c r="AN2310">
        <v>2200</v>
      </c>
      <c r="AO2310" t="s">
        <v>118</v>
      </c>
      <c r="AP2310">
        <v>94</v>
      </c>
      <c r="AQ2310">
        <v>-50</v>
      </c>
      <c r="AR2310">
        <v>448</v>
      </c>
      <c r="AZ2310">
        <v>1200</v>
      </c>
      <c r="BA2310">
        <v>1</v>
      </c>
      <c r="BB2310" t="str">
        <f t="shared" si="1068"/>
        <v xml:space="preserve">N711JA  </v>
      </c>
      <c r="BC2310">
        <v>1</v>
      </c>
      <c r="BE2310">
        <v>0</v>
      </c>
      <c r="BF2310">
        <v>0</v>
      </c>
      <c r="BG2310">
        <v>0</v>
      </c>
      <c r="BH2310">
        <v>2275</v>
      </c>
      <c r="BI2310">
        <v>1</v>
      </c>
      <c r="BJ2310">
        <v>1</v>
      </c>
      <c r="BK2310">
        <v>0</v>
      </c>
      <c r="BL2310">
        <v>0</v>
      </c>
      <c r="BO2310">
        <v>0</v>
      </c>
      <c r="BP2310">
        <v>0</v>
      </c>
      <c r="BW2310" t="str">
        <f t="shared" si="1092"/>
        <v>14:45:14.440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56</v>
      </c>
      <c r="CR2310">
        <v>2</v>
      </c>
      <c r="CW2310">
        <v>4841910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1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 t="shared" si="1089"/>
        <v>05/12/2020 14:44:56.603</v>
      </c>
      <c r="C2311" t="str">
        <f t="shared" si="1067"/>
        <v>FFDFD3C0</v>
      </c>
      <c r="D2311" t="s">
        <v>126</v>
      </c>
      <c r="E2311">
        <v>7</v>
      </c>
      <c r="F2311">
        <v>1007</v>
      </c>
      <c r="G2311" t="s">
        <v>127</v>
      </c>
      <c r="J2311" t="s">
        <v>128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090"/>
        <v>14:45:14.438</v>
      </c>
      <c r="T2311" t="str">
        <f t="shared" si="1091"/>
        <v>14:45:14.338</v>
      </c>
      <c r="U2311" t="str">
        <f t="shared" si="1088"/>
        <v>A9808D</v>
      </c>
      <c r="V2311">
        <v>0</v>
      </c>
      <c r="W2311">
        <v>0</v>
      </c>
      <c r="X2311">
        <v>1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0</v>
      </c>
      <c r="AI2311" t="s">
        <v>586</v>
      </c>
      <c r="AJ2311">
        <v>28.257287000000002</v>
      </c>
      <c r="AK2311" t="s">
        <v>587</v>
      </c>
      <c r="AL2311">
        <v>-82.335126000000002</v>
      </c>
      <c r="AM2311">
        <v>100</v>
      </c>
      <c r="AN2311">
        <v>2200</v>
      </c>
      <c r="AO2311" t="s">
        <v>118</v>
      </c>
      <c r="AP2311">
        <v>94</v>
      </c>
      <c r="AQ2311">
        <v>-50</v>
      </c>
      <c r="AR2311">
        <v>448</v>
      </c>
      <c r="AZ2311">
        <v>1200</v>
      </c>
      <c r="BA2311">
        <v>1</v>
      </c>
      <c r="BB2311" t="str">
        <f t="shared" si="1068"/>
        <v xml:space="preserve">N711JA  </v>
      </c>
      <c r="BC2311">
        <v>1</v>
      </c>
      <c r="BE2311">
        <v>0</v>
      </c>
      <c r="BF2311">
        <v>0</v>
      </c>
      <c r="BG2311">
        <v>0</v>
      </c>
      <c r="BH2311">
        <v>2275</v>
      </c>
      <c r="BI2311">
        <v>1</v>
      </c>
      <c r="BJ2311">
        <v>1</v>
      </c>
      <c r="BK2311">
        <v>0</v>
      </c>
      <c r="BL2311">
        <v>0</v>
      </c>
      <c r="BO2311">
        <v>0</v>
      </c>
      <c r="BP2311">
        <v>0</v>
      </c>
      <c r="BW2311" t="str">
        <f t="shared" si="1092"/>
        <v>14:45:14.440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56</v>
      </c>
      <c r="CR2311">
        <v>2</v>
      </c>
      <c r="CW2311">
        <v>4841910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1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 t="shared" si="1089"/>
        <v>05/12/2020 14:44:56.603</v>
      </c>
      <c r="C2312" t="str">
        <f t="shared" si="1067"/>
        <v>FFDFD3C0</v>
      </c>
      <c r="D2312" t="s">
        <v>131</v>
      </c>
      <c r="E2312">
        <v>12</v>
      </c>
      <c r="F2312">
        <v>2012</v>
      </c>
      <c r="G2312" t="s">
        <v>137</v>
      </c>
      <c r="J2312" t="s">
        <v>133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090"/>
        <v>14:45:14.438</v>
      </c>
      <c r="T2312" t="str">
        <f t="shared" si="1091"/>
        <v>14:45:14.338</v>
      </c>
      <c r="U2312" t="str">
        <f t="shared" si="1088"/>
        <v>A9808D</v>
      </c>
      <c r="V2312">
        <v>0</v>
      </c>
      <c r="W2312">
        <v>0</v>
      </c>
      <c r="X2312">
        <v>1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0</v>
      </c>
      <c r="AI2312" t="s">
        <v>586</v>
      </c>
      <c r="AJ2312">
        <v>28.257287000000002</v>
      </c>
      <c r="AK2312" t="s">
        <v>587</v>
      </c>
      <c r="AL2312">
        <v>-82.335126000000002</v>
      </c>
      <c r="AM2312">
        <v>100</v>
      </c>
      <c r="AN2312">
        <v>2200</v>
      </c>
      <c r="AO2312" t="s">
        <v>118</v>
      </c>
      <c r="AP2312">
        <v>94</v>
      </c>
      <c r="AQ2312">
        <v>-50</v>
      </c>
      <c r="AR2312">
        <v>448</v>
      </c>
      <c r="AZ2312">
        <v>1200</v>
      </c>
      <c r="BA2312">
        <v>1</v>
      </c>
      <c r="BB2312" t="str">
        <f t="shared" si="1068"/>
        <v xml:space="preserve">N711JA  </v>
      </c>
      <c r="BC2312">
        <v>1</v>
      </c>
      <c r="BE2312">
        <v>0</v>
      </c>
      <c r="BF2312">
        <v>0</v>
      </c>
      <c r="BG2312">
        <v>0</v>
      </c>
      <c r="BH2312">
        <v>2275</v>
      </c>
      <c r="BI2312">
        <v>1</v>
      </c>
      <c r="BJ2312">
        <v>1</v>
      </c>
      <c r="BK2312">
        <v>0</v>
      </c>
      <c r="BL2312">
        <v>0</v>
      </c>
      <c r="BO2312">
        <v>0</v>
      </c>
      <c r="BP2312">
        <v>0</v>
      </c>
      <c r="BW2312" t="str">
        <f t="shared" si="1092"/>
        <v>14:45:14.440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56</v>
      </c>
      <c r="CR2312">
        <v>2</v>
      </c>
      <c r="CW2312">
        <v>4841910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1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si="1089"/>
        <v>05/12/2020 14:44:56.603</v>
      </c>
      <c r="C2313" t="str">
        <f t="shared" si="1067"/>
        <v>FFDFD3C0</v>
      </c>
      <c r="D2313" t="s">
        <v>131</v>
      </c>
      <c r="E2313">
        <v>18</v>
      </c>
      <c r="F2313">
        <v>2018</v>
      </c>
      <c r="G2313" t="s">
        <v>161</v>
      </c>
      <c r="J2313" t="s">
        <v>133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090"/>
        <v>14:45:14.438</v>
      </c>
      <c r="T2313" t="str">
        <f t="shared" si="1091"/>
        <v>14:45:14.338</v>
      </c>
      <c r="U2313" t="str">
        <f t="shared" si="1088"/>
        <v>A9808D</v>
      </c>
      <c r="V2313">
        <v>0</v>
      </c>
      <c r="W2313">
        <v>0</v>
      </c>
      <c r="X2313">
        <v>1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0</v>
      </c>
      <c r="AI2313" t="s">
        <v>586</v>
      </c>
      <c r="AJ2313">
        <v>28.257287000000002</v>
      </c>
      <c r="AK2313" t="s">
        <v>587</v>
      </c>
      <c r="AL2313">
        <v>-82.335126000000002</v>
      </c>
      <c r="AM2313">
        <v>100</v>
      </c>
      <c r="AN2313">
        <v>2200</v>
      </c>
      <c r="AO2313" t="s">
        <v>118</v>
      </c>
      <c r="AP2313">
        <v>94</v>
      </c>
      <c r="AQ2313">
        <v>-50</v>
      </c>
      <c r="AR2313">
        <v>448</v>
      </c>
      <c r="AZ2313">
        <v>1200</v>
      </c>
      <c r="BA2313">
        <v>1</v>
      </c>
      <c r="BB2313" t="str">
        <f t="shared" si="1068"/>
        <v xml:space="preserve">N711JA  </v>
      </c>
      <c r="BC2313">
        <v>1</v>
      </c>
      <c r="BE2313">
        <v>0</v>
      </c>
      <c r="BF2313">
        <v>0</v>
      </c>
      <c r="BG2313">
        <v>0</v>
      </c>
      <c r="BH2313">
        <v>2275</v>
      </c>
      <c r="BI2313">
        <v>1</v>
      </c>
      <c r="BJ2313">
        <v>1</v>
      </c>
      <c r="BK2313">
        <v>0</v>
      </c>
      <c r="BL2313">
        <v>0</v>
      </c>
      <c r="BO2313">
        <v>0</v>
      </c>
      <c r="BP2313">
        <v>0</v>
      </c>
      <c r="BW2313" t="str">
        <f t="shared" si="1092"/>
        <v>14:45:14.440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56</v>
      </c>
      <c r="CR2313">
        <v>2</v>
      </c>
      <c r="CW2313">
        <v>4841910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1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si="1089"/>
        <v>05/12/2020 14:44:56.603</v>
      </c>
      <c r="C2314" t="str">
        <f t="shared" si="1067"/>
        <v>FFDFD3C0</v>
      </c>
      <c r="D2314" t="s">
        <v>126</v>
      </c>
      <c r="E2314">
        <v>6</v>
      </c>
      <c r="F2314">
        <v>1006</v>
      </c>
      <c r="G2314" t="s">
        <v>114</v>
      </c>
      <c r="J2314" t="s">
        <v>128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090"/>
        <v>14:45:14.438</v>
      </c>
      <c r="T2314" t="str">
        <f t="shared" si="1091"/>
        <v>14:45:14.338</v>
      </c>
      <c r="U2314" t="str">
        <f t="shared" si="1088"/>
        <v>A9808D</v>
      </c>
      <c r="V2314">
        <v>0</v>
      </c>
      <c r="W2314">
        <v>0</v>
      </c>
      <c r="X2314">
        <v>1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0</v>
      </c>
      <c r="AI2314" t="s">
        <v>586</v>
      </c>
      <c r="AJ2314">
        <v>28.257287000000002</v>
      </c>
      <c r="AK2314" t="s">
        <v>587</v>
      </c>
      <c r="AL2314">
        <v>-82.335126000000002</v>
      </c>
      <c r="AM2314">
        <v>100</v>
      </c>
      <c r="AN2314">
        <v>2200</v>
      </c>
      <c r="AO2314" t="s">
        <v>118</v>
      </c>
      <c r="AP2314">
        <v>94</v>
      </c>
      <c r="AQ2314">
        <v>-50</v>
      </c>
      <c r="AR2314">
        <v>448</v>
      </c>
      <c r="AZ2314">
        <v>1200</v>
      </c>
      <c r="BA2314">
        <v>1</v>
      </c>
      <c r="BB2314" t="str">
        <f t="shared" si="1068"/>
        <v xml:space="preserve">N711JA  </v>
      </c>
      <c r="BC2314">
        <v>1</v>
      </c>
      <c r="BE2314">
        <v>0</v>
      </c>
      <c r="BF2314">
        <v>0</v>
      </c>
      <c r="BG2314">
        <v>0</v>
      </c>
      <c r="BH2314">
        <v>2275</v>
      </c>
      <c r="BI2314">
        <v>1</v>
      </c>
      <c r="BJ2314">
        <v>1</v>
      </c>
      <c r="BK2314">
        <v>0</v>
      </c>
      <c r="BL2314">
        <v>0</v>
      </c>
      <c r="BO2314">
        <v>0</v>
      </c>
      <c r="BP2314">
        <v>0</v>
      </c>
      <c r="BW2314" t="str">
        <f t="shared" si="1092"/>
        <v>14:45:14.440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56</v>
      </c>
      <c r="CR2314">
        <v>2</v>
      </c>
      <c r="CW2314">
        <v>4841910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1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1089"/>
        <v>05/12/2020 14:44:56.603</v>
      </c>
      <c r="C2315" t="str">
        <f t="shared" si="1067"/>
        <v>FFDFD3C0</v>
      </c>
      <c r="D2315" t="s">
        <v>138</v>
      </c>
      <c r="E2315">
        <v>2</v>
      </c>
      <c r="H2315">
        <v>8</v>
      </c>
      <c r="I2315" t="s">
        <v>139</v>
      </c>
      <c r="J2315" t="s">
        <v>136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090"/>
        <v>14:45:14.438</v>
      </c>
      <c r="T2315" t="str">
        <f t="shared" si="1091"/>
        <v>14:45:14.338</v>
      </c>
      <c r="U2315" t="str">
        <f t="shared" si="1088"/>
        <v>A9808D</v>
      </c>
      <c r="V2315">
        <v>0</v>
      </c>
      <c r="W2315">
        <v>0</v>
      </c>
      <c r="X2315">
        <v>1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0</v>
      </c>
      <c r="AI2315" t="s">
        <v>586</v>
      </c>
      <c r="AJ2315">
        <v>28.257287000000002</v>
      </c>
      <c r="AK2315" t="s">
        <v>587</v>
      </c>
      <c r="AL2315">
        <v>-82.335126000000002</v>
      </c>
      <c r="AM2315">
        <v>100</v>
      </c>
      <c r="AN2315">
        <v>2200</v>
      </c>
      <c r="AO2315" t="s">
        <v>118</v>
      </c>
      <c r="AP2315">
        <v>94</v>
      </c>
      <c r="AQ2315">
        <v>-50</v>
      </c>
      <c r="AR2315">
        <v>448</v>
      </c>
      <c r="AZ2315">
        <v>1200</v>
      </c>
      <c r="BA2315">
        <v>1</v>
      </c>
      <c r="BB2315" t="str">
        <f t="shared" si="1068"/>
        <v xml:space="preserve">N711JA  </v>
      </c>
      <c r="BC2315">
        <v>1</v>
      </c>
      <c r="BE2315">
        <v>0</v>
      </c>
      <c r="BF2315">
        <v>0</v>
      </c>
      <c r="BG2315">
        <v>0</v>
      </c>
      <c r="BH2315">
        <v>2275</v>
      </c>
      <c r="BI2315">
        <v>1</v>
      </c>
      <c r="BJ2315">
        <v>1</v>
      </c>
      <c r="BK2315">
        <v>0</v>
      </c>
      <c r="BL2315">
        <v>0</v>
      </c>
      <c r="BO2315">
        <v>0</v>
      </c>
      <c r="BP2315">
        <v>0</v>
      </c>
      <c r="BW2315" t="str">
        <f t="shared" si="1092"/>
        <v>14:45:14.440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56</v>
      </c>
      <c r="CR2315">
        <v>2</v>
      </c>
      <c r="CW2315">
        <v>4841910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1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si="1089"/>
        <v>05/12/2020 14:44:56.603</v>
      </c>
      <c r="C2316" t="str">
        <f t="shared" si="1067"/>
        <v>FFDFD3C0</v>
      </c>
      <c r="D2316" t="s">
        <v>134</v>
      </c>
      <c r="E2316">
        <v>12</v>
      </c>
      <c r="H2316">
        <v>64</v>
      </c>
      <c r="I2316" t="s">
        <v>135</v>
      </c>
      <c r="J2316" t="s">
        <v>136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090"/>
        <v>14:45:14.438</v>
      </c>
      <c r="T2316" t="str">
        <f t="shared" si="1091"/>
        <v>14:45:14.338</v>
      </c>
      <c r="U2316" t="str">
        <f t="shared" si="1088"/>
        <v>A9808D</v>
      </c>
      <c r="V2316">
        <v>0</v>
      </c>
      <c r="W2316">
        <v>0</v>
      </c>
      <c r="X2316">
        <v>1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0</v>
      </c>
      <c r="AI2316" t="s">
        <v>586</v>
      </c>
      <c r="AJ2316">
        <v>28.257287000000002</v>
      </c>
      <c r="AK2316" t="s">
        <v>587</v>
      </c>
      <c r="AL2316">
        <v>-82.335126000000002</v>
      </c>
      <c r="AM2316">
        <v>100</v>
      </c>
      <c r="AN2316">
        <v>2200</v>
      </c>
      <c r="AO2316" t="s">
        <v>118</v>
      </c>
      <c r="AP2316">
        <v>94</v>
      </c>
      <c r="AQ2316">
        <v>-50</v>
      </c>
      <c r="AR2316">
        <v>448</v>
      </c>
      <c r="AZ2316">
        <v>1200</v>
      </c>
      <c r="BA2316">
        <v>1</v>
      </c>
      <c r="BB2316" t="str">
        <f t="shared" si="1068"/>
        <v xml:space="preserve">N711JA  </v>
      </c>
      <c r="BC2316">
        <v>1</v>
      </c>
      <c r="BE2316">
        <v>0</v>
      </c>
      <c r="BF2316">
        <v>0</v>
      </c>
      <c r="BG2316">
        <v>0</v>
      </c>
      <c r="BH2316">
        <v>2275</v>
      </c>
      <c r="BI2316">
        <v>1</v>
      </c>
      <c r="BJ2316">
        <v>1</v>
      </c>
      <c r="BK2316">
        <v>0</v>
      </c>
      <c r="BL2316">
        <v>0</v>
      </c>
      <c r="BO2316">
        <v>0</v>
      </c>
      <c r="BP2316">
        <v>0</v>
      </c>
      <c r="BW2316" t="str">
        <f t="shared" si="1092"/>
        <v>14:45:14.440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343</v>
      </c>
      <c r="CR2316">
        <v>1</v>
      </c>
      <c r="CW2316">
        <v>10772057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1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1089"/>
        <v>05/12/2020 14:44:56.603</v>
      </c>
      <c r="C2317" t="str">
        <f t="shared" si="1067"/>
        <v>FFDFD3C0</v>
      </c>
      <c r="D2317" t="s">
        <v>113</v>
      </c>
      <c r="E2317">
        <v>3</v>
      </c>
      <c r="H2317">
        <v>164</v>
      </c>
      <c r="I2317" t="s">
        <v>114</v>
      </c>
      <c r="J2317" t="s">
        <v>115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090"/>
        <v>14:45:14.438</v>
      </c>
      <c r="T2317" t="str">
        <f t="shared" si="1091"/>
        <v>14:45:14.338</v>
      </c>
      <c r="U2317" t="str">
        <f t="shared" si="1088"/>
        <v>A9808D</v>
      </c>
      <c r="V2317">
        <v>0</v>
      </c>
      <c r="W2317">
        <v>0</v>
      </c>
      <c r="X2317">
        <v>1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0</v>
      </c>
      <c r="AI2317" t="s">
        <v>586</v>
      </c>
      <c r="AJ2317">
        <v>28.257287000000002</v>
      </c>
      <c r="AK2317" t="s">
        <v>587</v>
      </c>
      <c r="AL2317">
        <v>-82.335126000000002</v>
      </c>
      <c r="AM2317">
        <v>100</v>
      </c>
      <c r="AN2317">
        <v>2200</v>
      </c>
      <c r="AO2317" t="s">
        <v>118</v>
      </c>
      <c r="AP2317">
        <v>94</v>
      </c>
      <c r="AQ2317">
        <v>-50</v>
      </c>
      <c r="AR2317">
        <v>448</v>
      </c>
      <c r="AZ2317">
        <v>1200</v>
      </c>
      <c r="BA2317">
        <v>1</v>
      </c>
      <c r="BB2317" t="str">
        <f t="shared" si="1068"/>
        <v xml:space="preserve">N711JA  </v>
      </c>
      <c r="BC2317">
        <v>1</v>
      </c>
      <c r="BE2317">
        <v>0</v>
      </c>
      <c r="BF2317">
        <v>0</v>
      </c>
      <c r="BG2317">
        <v>0</v>
      </c>
      <c r="BH2317">
        <v>2275</v>
      </c>
      <c r="BI2317">
        <v>1</v>
      </c>
      <c r="BJ2317">
        <v>1</v>
      </c>
      <c r="BK2317">
        <v>0</v>
      </c>
      <c r="BL2317">
        <v>0</v>
      </c>
      <c r="BO2317">
        <v>0</v>
      </c>
      <c r="BP2317">
        <v>0</v>
      </c>
      <c r="BW2317" t="str">
        <f t="shared" si="1092"/>
        <v>14:45:14.440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56</v>
      </c>
      <c r="CR2317">
        <v>2</v>
      </c>
      <c r="CW2317">
        <v>4841910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1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ref="A2318:A2326" si="1093">"05/12/2020 14:44:57.594"</f>
        <v>05/12/2020 14:44:57.594</v>
      </c>
      <c r="C2318" t="str">
        <f t="shared" si="1067"/>
        <v>FFDFD3C0</v>
      </c>
      <c r="D2318" t="s">
        <v>138</v>
      </c>
      <c r="E2318">
        <v>2</v>
      </c>
      <c r="H2318">
        <v>8</v>
      </c>
      <c r="I2318" t="s">
        <v>139</v>
      </c>
      <c r="J2318" t="s">
        <v>136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ref="S2318:S2326" si="1094">"14:45:15.422"</f>
        <v>14:45:15.422</v>
      </c>
      <c r="T2318" t="str">
        <f t="shared" ref="T2318:T2326" si="1095">"14:45:15.322"</f>
        <v>14:45:15.322</v>
      </c>
      <c r="U2318" t="str">
        <f t="shared" si="1088"/>
        <v>A9808D</v>
      </c>
      <c r="V2318">
        <v>0</v>
      </c>
      <c r="W2318">
        <v>0</v>
      </c>
      <c r="X2318">
        <v>1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0</v>
      </c>
      <c r="AI2318" t="s">
        <v>588</v>
      </c>
      <c r="AJ2318">
        <v>28.257072000000001</v>
      </c>
      <c r="AK2318" t="s">
        <v>589</v>
      </c>
      <c r="AL2318">
        <v>-82.334610999999995</v>
      </c>
      <c r="AM2318">
        <v>100</v>
      </c>
      <c r="AN2318">
        <v>2200</v>
      </c>
      <c r="AO2318" t="s">
        <v>118</v>
      </c>
      <c r="AP2318">
        <v>94</v>
      </c>
      <c r="AQ2318">
        <v>-49</v>
      </c>
      <c r="AR2318">
        <v>768</v>
      </c>
      <c r="AZ2318">
        <v>1200</v>
      </c>
      <c r="BA2318">
        <v>1</v>
      </c>
      <c r="BB2318" t="str">
        <f t="shared" si="1068"/>
        <v xml:space="preserve">N711JA  </v>
      </c>
      <c r="BC2318">
        <v>1</v>
      </c>
      <c r="BE2318">
        <v>0</v>
      </c>
      <c r="BF2318">
        <v>0</v>
      </c>
      <c r="BG2318">
        <v>0</v>
      </c>
      <c r="BH2318">
        <v>2300</v>
      </c>
      <c r="BI2318">
        <v>1</v>
      </c>
      <c r="BJ2318">
        <v>1</v>
      </c>
      <c r="BK2318">
        <v>0</v>
      </c>
      <c r="BL2318">
        <v>0</v>
      </c>
      <c r="BO2318">
        <v>0</v>
      </c>
      <c r="BP2318">
        <v>0</v>
      </c>
      <c r="BW2318" t="str">
        <f t="shared" ref="BW2318:BW2324" si="1096">"14:45:15.427"</f>
        <v>14:45:15.427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8</v>
      </c>
      <c r="CR2318">
        <v>3</v>
      </c>
      <c r="CW2318">
        <v>8898895</v>
      </c>
      <c r="CY2318">
        <v>1</v>
      </c>
      <c r="CZ2318">
        <v>0</v>
      </c>
      <c r="DA2318">
        <v>0</v>
      </c>
      <c r="DB2318">
        <v>0</v>
      </c>
      <c r="DC2318">
        <v>0</v>
      </c>
      <c r="DD2318">
        <v>1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 t="shared" si="1093"/>
        <v>05/12/2020 14:44:57.594</v>
      </c>
      <c r="C2319" t="str">
        <f t="shared" si="1067"/>
        <v>FFDFD3C0</v>
      </c>
      <c r="D2319" t="s">
        <v>134</v>
      </c>
      <c r="E2319">
        <v>12</v>
      </c>
      <c r="H2319">
        <v>64</v>
      </c>
      <c r="I2319" t="s">
        <v>135</v>
      </c>
      <c r="J2319" t="s">
        <v>136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094"/>
        <v>14:45:15.422</v>
      </c>
      <c r="T2319" t="str">
        <f t="shared" si="1095"/>
        <v>14:45:15.322</v>
      </c>
      <c r="U2319" t="str">
        <f t="shared" si="1088"/>
        <v>A9808D</v>
      </c>
      <c r="V2319">
        <v>0</v>
      </c>
      <c r="W2319">
        <v>0</v>
      </c>
      <c r="X2319">
        <v>1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0</v>
      </c>
      <c r="AI2319" t="s">
        <v>588</v>
      </c>
      <c r="AJ2319">
        <v>28.257072000000001</v>
      </c>
      <c r="AK2319" t="s">
        <v>589</v>
      </c>
      <c r="AL2319">
        <v>-82.334610999999995</v>
      </c>
      <c r="AM2319">
        <v>100</v>
      </c>
      <c r="AN2319">
        <v>2200</v>
      </c>
      <c r="AO2319" t="s">
        <v>118</v>
      </c>
      <c r="AP2319">
        <v>94</v>
      </c>
      <c r="AQ2319">
        <v>-49</v>
      </c>
      <c r="AR2319">
        <v>768</v>
      </c>
      <c r="AZ2319">
        <v>1200</v>
      </c>
      <c r="BA2319">
        <v>1</v>
      </c>
      <c r="BB2319" t="str">
        <f t="shared" si="1068"/>
        <v xml:space="preserve">N711JA  </v>
      </c>
      <c r="BC2319">
        <v>1</v>
      </c>
      <c r="BE2319">
        <v>0</v>
      </c>
      <c r="BF2319">
        <v>0</v>
      </c>
      <c r="BG2319">
        <v>0</v>
      </c>
      <c r="BH2319">
        <v>2300</v>
      </c>
      <c r="BI2319">
        <v>1</v>
      </c>
      <c r="BJ2319">
        <v>1</v>
      </c>
      <c r="BK2319">
        <v>0</v>
      </c>
      <c r="BL2319">
        <v>0</v>
      </c>
      <c r="BO2319">
        <v>0</v>
      </c>
      <c r="BP2319">
        <v>0</v>
      </c>
      <c r="BW2319" t="str">
        <f t="shared" si="1096"/>
        <v>14:45:15.427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8</v>
      </c>
      <c r="CR2319">
        <v>3</v>
      </c>
      <c r="CW2319">
        <v>8898895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1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 t="shared" si="1093"/>
        <v>05/12/2020 14:44:57.594</v>
      </c>
      <c r="C2320" t="str">
        <f t="shared" si="1067"/>
        <v>FFDFD3C0</v>
      </c>
      <c r="D2320" t="s">
        <v>113</v>
      </c>
      <c r="E2320">
        <v>3</v>
      </c>
      <c r="H2320">
        <v>164</v>
      </c>
      <c r="I2320" t="s">
        <v>114</v>
      </c>
      <c r="J2320" t="s">
        <v>115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094"/>
        <v>14:45:15.422</v>
      </c>
      <c r="T2320" t="str">
        <f t="shared" si="1095"/>
        <v>14:45:15.322</v>
      </c>
      <c r="U2320" t="str">
        <f t="shared" si="1088"/>
        <v>A9808D</v>
      </c>
      <c r="V2320">
        <v>0</v>
      </c>
      <c r="W2320">
        <v>0</v>
      </c>
      <c r="X2320">
        <v>1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0</v>
      </c>
      <c r="AI2320" t="s">
        <v>588</v>
      </c>
      <c r="AJ2320">
        <v>28.257072000000001</v>
      </c>
      <c r="AK2320" t="s">
        <v>589</v>
      </c>
      <c r="AL2320">
        <v>-82.334610999999995</v>
      </c>
      <c r="AM2320">
        <v>100</v>
      </c>
      <c r="AN2320">
        <v>2200</v>
      </c>
      <c r="AO2320" t="s">
        <v>118</v>
      </c>
      <c r="AP2320">
        <v>94</v>
      </c>
      <c r="AQ2320">
        <v>-49</v>
      </c>
      <c r="AR2320">
        <v>768</v>
      </c>
      <c r="AZ2320">
        <v>1200</v>
      </c>
      <c r="BA2320">
        <v>1</v>
      </c>
      <c r="BB2320" t="str">
        <f t="shared" si="1068"/>
        <v xml:space="preserve">N711JA  </v>
      </c>
      <c r="BC2320">
        <v>1</v>
      </c>
      <c r="BE2320">
        <v>0</v>
      </c>
      <c r="BF2320">
        <v>0</v>
      </c>
      <c r="BG2320">
        <v>0</v>
      </c>
      <c r="BH2320">
        <v>2300</v>
      </c>
      <c r="BI2320">
        <v>1</v>
      </c>
      <c r="BJ2320">
        <v>1</v>
      </c>
      <c r="BK2320">
        <v>0</v>
      </c>
      <c r="BL2320">
        <v>0</v>
      </c>
      <c r="BO2320">
        <v>0</v>
      </c>
      <c r="BP2320">
        <v>0</v>
      </c>
      <c r="BW2320" t="str">
        <f t="shared" si="1096"/>
        <v>14:45:15.427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8</v>
      </c>
      <c r="CR2320">
        <v>3</v>
      </c>
      <c r="CW2320">
        <v>8898895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1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 t="shared" si="1093"/>
        <v>05/12/2020 14:44:57.594</v>
      </c>
      <c r="C2321" t="str">
        <f t="shared" si="1067"/>
        <v>FFDFD3C0</v>
      </c>
      <c r="D2321" t="s">
        <v>126</v>
      </c>
      <c r="E2321">
        <v>7</v>
      </c>
      <c r="F2321">
        <v>1007</v>
      </c>
      <c r="G2321" t="s">
        <v>127</v>
      </c>
      <c r="J2321" t="s">
        <v>128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094"/>
        <v>14:45:15.422</v>
      </c>
      <c r="T2321" t="str">
        <f t="shared" si="1095"/>
        <v>14:45:15.322</v>
      </c>
      <c r="U2321" t="str">
        <f t="shared" si="1088"/>
        <v>A9808D</v>
      </c>
      <c r="V2321">
        <v>0</v>
      </c>
      <c r="W2321">
        <v>0</v>
      </c>
      <c r="X2321">
        <v>1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0</v>
      </c>
      <c r="AI2321" t="s">
        <v>588</v>
      </c>
      <c r="AJ2321">
        <v>28.257072000000001</v>
      </c>
      <c r="AK2321" t="s">
        <v>589</v>
      </c>
      <c r="AL2321">
        <v>-82.334610999999995</v>
      </c>
      <c r="AM2321">
        <v>100</v>
      </c>
      <c r="AN2321">
        <v>2200</v>
      </c>
      <c r="AO2321" t="s">
        <v>118</v>
      </c>
      <c r="AP2321">
        <v>94</v>
      </c>
      <c r="AQ2321">
        <v>-49</v>
      </c>
      <c r="AR2321">
        <v>768</v>
      </c>
      <c r="AZ2321">
        <v>1200</v>
      </c>
      <c r="BA2321">
        <v>1</v>
      </c>
      <c r="BB2321" t="str">
        <f t="shared" si="1068"/>
        <v xml:space="preserve">N711JA  </v>
      </c>
      <c r="BC2321">
        <v>1</v>
      </c>
      <c r="BE2321">
        <v>0</v>
      </c>
      <c r="BF2321">
        <v>0</v>
      </c>
      <c r="BG2321">
        <v>0</v>
      </c>
      <c r="BH2321">
        <v>2300</v>
      </c>
      <c r="BI2321">
        <v>1</v>
      </c>
      <c r="BJ2321">
        <v>1</v>
      </c>
      <c r="BK2321">
        <v>0</v>
      </c>
      <c r="BL2321">
        <v>0</v>
      </c>
      <c r="BO2321">
        <v>0</v>
      </c>
      <c r="BP2321">
        <v>0</v>
      </c>
      <c r="BW2321" t="str">
        <f t="shared" si="1096"/>
        <v>14:45:15.427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8</v>
      </c>
      <c r="CR2321">
        <v>3</v>
      </c>
      <c r="CW2321">
        <v>8898895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1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 t="shared" si="1093"/>
        <v>05/12/2020 14:44:57.594</v>
      </c>
      <c r="C2322" t="str">
        <f t="shared" si="1067"/>
        <v>FFDFD3C0</v>
      </c>
      <c r="D2322" t="s">
        <v>138</v>
      </c>
      <c r="E2322">
        <v>3</v>
      </c>
      <c r="H2322">
        <v>9</v>
      </c>
      <c r="I2322" t="s">
        <v>140</v>
      </c>
      <c r="J2322" t="s">
        <v>136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094"/>
        <v>14:45:15.422</v>
      </c>
      <c r="T2322" t="str">
        <f t="shared" si="1095"/>
        <v>14:45:15.322</v>
      </c>
      <c r="U2322" t="str">
        <f t="shared" si="1088"/>
        <v>A9808D</v>
      </c>
      <c r="V2322">
        <v>0</v>
      </c>
      <c r="W2322">
        <v>0</v>
      </c>
      <c r="X2322">
        <v>1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0</v>
      </c>
      <c r="AI2322" t="s">
        <v>588</v>
      </c>
      <c r="AJ2322">
        <v>28.257072000000001</v>
      </c>
      <c r="AK2322" t="s">
        <v>589</v>
      </c>
      <c r="AL2322">
        <v>-82.334610999999995</v>
      </c>
      <c r="AM2322">
        <v>100</v>
      </c>
      <c r="AN2322">
        <v>2200</v>
      </c>
      <c r="AO2322" t="s">
        <v>118</v>
      </c>
      <c r="AP2322">
        <v>94</v>
      </c>
      <c r="AQ2322">
        <v>-49</v>
      </c>
      <c r="AR2322">
        <v>768</v>
      </c>
      <c r="AZ2322">
        <v>1200</v>
      </c>
      <c r="BA2322">
        <v>1</v>
      </c>
      <c r="BB2322" t="str">
        <f t="shared" si="1068"/>
        <v xml:space="preserve">N711JA  </v>
      </c>
      <c r="BC2322">
        <v>1</v>
      </c>
      <c r="BE2322">
        <v>0</v>
      </c>
      <c r="BF2322">
        <v>0</v>
      </c>
      <c r="BG2322">
        <v>0</v>
      </c>
      <c r="BH2322">
        <v>2300</v>
      </c>
      <c r="BI2322">
        <v>1</v>
      </c>
      <c r="BJ2322">
        <v>1</v>
      </c>
      <c r="BK2322">
        <v>0</v>
      </c>
      <c r="BL2322">
        <v>0</v>
      </c>
      <c r="BO2322">
        <v>0</v>
      </c>
      <c r="BP2322">
        <v>0</v>
      </c>
      <c r="BW2322" t="str">
        <f t="shared" si="1096"/>
        <v>14:45:15.427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8</v>
      </c>
      <c r="CR2322">
        <v>3</v>
      </c>
      <c r="CW2322">
        <v>8898895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1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 t="shared" si="1093"/>
        <v>05/12/2020 14:44:57.594</v>
      </c>
      <c r="C2323" t="str">
        <f t="shared" si="1067"/>
        <v>FFDFD3C0</v>
      </c>
      <c r="D2323" t="s">
        <v>131</v>
      </c>
      <c r="E2323">
        <v>10</v>
      </c>
      <c r="F2323">
        <v>2010</v>
      </c>
      <c r="G2323" t="s">
        <v>132</v>
      </c>
      <c r="J2323" t="s">
        <v>133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094"/>
        <v>14:45:15.422</v>
      </c>
      <c r="T2323" t="str">
        <f t="shared" si="1095"/>
        <v>14:45:15.322</v>
      </c>
      <c r="U2323" t="str">
        <f t="shared" si="1088"/>
        <v>A9808D</v>
      </c>
      <c r="V2323">
        <v>0</v>
      </c>
      <c r="W2323">
        <v>0</v>
      </c>
      <c r="X2323">
        <v>1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0</v>
      </c>
      <c r="AI2323" t="s">
        <v>588</v>
      </c>
      <c r="AJ2323">
        <v>28.257072000000001</v>
      </c>
      <c r="AK2323" t="s">
        <v>589</v>
      </c>
      <c r="AL2323">
        <v>-82.334610999999995</v>
      </c>
      <c r="AM2323">
        <v>100</v>
      </c>
      <c r="AN2323">
        <v>2200</v>
      </c>
      <c r="AO2323" t="s">
        <v>118</v>
      </c>
      <c r="AP2323">
        <v>94</v>
      </c>
      <c r="AQ2323">
        <v>-49</v>
      </c>
      <c r="AR2323">
        <v>768</v>
      </c>
      <c r="AZ2323">
        <v>1200</v>
      </c>
      <c r="BA2323">
        <v>1</v>
      </c>
      <c r="BB2323" t="str">
        <f t="shared" si="1068"/>
        <v xml:space="preserve">N711JA  </v>
      </c>
      <c r="BC2323">
        <v>1</v>
      </c>
      <c r="BE2323">
        <v>0</v>
      </c>
      <c r="BF2323">
        <v>0</v>
      </c>
      <c r="BG2323">
        <v>0</v>
      </c>
      <c r="BH2323">
        <v>2300</v>
      </c>
      <c r="BI2323">
        <v>1</v>
      </c>
      <c r="BJ2323">
        <v>1</v>
      </c>
      <c r="BK2323">
        <v>0</v>
      </c>
      <c r="BL2323">
        <v>0</v>
      </c>
      <c r="BO2323">
        <v>0</v>
      </c>
      <c r="BP2323">
        <v>0</v>
      </c>
      <c r="BW2323" t="str">
        <f t="shared" si="1096"/>
        <v>14:45:15.427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8</v>
      </c>
      <c r="CR2323">
        <v>3</v>
      </c>
      <c r="CW2323">
        <v>8898895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1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 t="shared" si="1093"/>
        <v>05/12/2020 14:44:57.594</v>
      </c>
      <c r="C2324" t="str">
        <f t="shared" si="1067"/>
        <v>FFDFD3C0</v>
      </c>
      <c r="D2324" t="s">
        <v>131</v>
      </c>
      <c r="E2324">
        <v>12</v>
      </c>
      <c r="F2324">
        <v>2012</v>
      </c>
      <c r="G2324" t="s">
        <v>137</v>
      </c>
      <c r="J2324" t="s">
        <v>133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094"/>
        <v>14:45:15.422</v>
      </c>
      <c r="T2324" t="str">
        <f t="shared" si="1095"/>
        <v>14:45:15.322</v>
      </c>
      <c r="U2324" t="str">
        <f t="shared" si="1088"/>
        <v>A9808D</v>
      </c>
      <c r="V2324">
        <v>0</v>
      </c>
      <c r="W2324">
        <v>0</v>
      </c>
      <c r="X2324">
        <v>1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0</v>
      </c>
      <c r="AI2324" t="s">
        <v>588</v>
      </c>
      <c r="AJ2324">
        <v>28.257072000000001</v>
      </c>
      <c r="AK2324" t="s">
        <v>589</v>
      </c>
      <c r="AL2324">
        <v>-82.334610999999995</v>
      </c>
      <c r="AM2324">
        <v>100</v>
      </c>
      <c r="AN2324">
        <v>2200</v>
      </c>
      <c r="AO2324" t="s">
        <v>118</v>
      </c>
      <c r="AP2324">
        <v>94</v>
      </c>
      <c r="AQ2324">
        <v>-49</v>
      </c>
      <c r="AR2324">
        <v>768</v>
      </c>
      <c r="AZ2324">
        <v>1200</v>
      </c>
      <c r="BA2324">
        <v>1</v>
      </c>
      <c r="BB2324" t="str">
        <f t="shared" si="1068"/>
        <v xml:space="preserve">N711JA  </v>
      </c>
      <c r="BC2324">
        <v>1</v>
      </c>
      <c r="BE2324">
        <v>0</v>
      </c>
      <c r="BF2324">
        <v>0</v>
      </c>
      <c r="BG2324">
        <v>0</v>
      </c>
      <c r="BH2324">
        <v>2300</v>
      </c>
      <c r="BI2324">
        <v>1</v>
      </c>
      <c r="BJ2324">
        <v>1</v>
      </c>
      <c r="BK2324">
        <v>0</v>
      </c>
      <c r="BL2324">
        <v>0</v>
      </c>
      <c r="BO2324">
        <v>0</v>
      </c>
      <c r="BP2324">
        <v>0</v>
      </c>
      <c r="BW2324" t="str">
        <f t="shared" si="1096"/>
        <v>14:45:15.427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8</v>
      </c>
      <c r="CR2324">
        <v>3</v>
      </c>
      <c r="CW2324">
        <v>8898895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1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 t="shared" si="1093"/>
        <v>05/12/2020 14:44:57.594</v>
      </c>
      <c r="C2325" t="str">
        <f t="shared" si="1067"/>
        <v>FFDFD3C0</v>
      </c>
      <c r="D2325" t="s">
        <v>131</v>
      </c>
      <c r="E2325">
        <v>18</v>
      </c>
      <c r="F2325">
        <v>2018</v>
      </c>
      <c r="G2325" t="s">
        <v>161</v>
      </c>
      <c r="J2325" t="s">
        <v>133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094"/>
        <v>14:45:15.422</v>
      </c>
      <c r="T2325" t="str">
        <f t="shared" si="1095"/>
        <v>14:45:15.322</v>
      </c>
      <c r="U2325" t="str">
        <f t="shared" si="1088"/>
        <v>A9808D</v>
      </c>
      <c r="V2325">
        <v>0</v>
      </c>
      <c r="W2325">
        <v>0</v>
      </c>
      <c r="X2325">
        <v>1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0</v>
      </c>
      <c r="AI2325" t="s">
        <v>588</v>
      </c>
      <c r="AJ2325">
        <v>28.257072000000001</v>
      </c>
      <c r="AK2325" t="s">
        <v>589</v>
      </c>
      <c r="AL2325">
        <v>-82.334610999999995</v>
      </c>
      <c r="AM2325">
        <v>100</v>
      </c>
      <c r="AN2325">
        <v>2200</v>
      </c>
      <c r="AO2325" t="s">
        <v>118</v>
      </c>
      <c r="AP2325">
        <v>94</v>
      </c>
      <c r="AQ2325">
        <v>-49</v>
      </c>
      <c r="AR2325">
        <v>768</v>
      </c>
      <c r="AZ2325">
        <v>1200</v>
      </c>
      <c r="BA2325">
        <v>1</v>
      </c>
      <c r="BB2325" t="str">
        <f t="shared" si="1068"/>
        <v xml:space="preserve">N711JA  </v>
      </c>
      <c r="BC2325">
        <v>1</v>
      </c>
      <c r="BE2325">
        <v>0</v>
      </c>
      <c r="BF2325">
        <v>0</v>
      </c>
      <c r="BG2325">
        <v>0</v>
      </c>
      <c r="BH2325">
        <v>2300</v>
      </c>
      <c r="BI2325">
        <v>1</v>
      </c>
      <c r="BJ2325">
        <v>1</v>
      </c>
      <c r="BK2325">
        <v>0</v>
      </c>
      <c r="BL2325">
        <v>0</v>
      </c>
      <c r="BO2325">
        <v>0</v>
      </c>
      <c r="BP2325">
        <v>0</v>
      </c>
      <c r="BW2325" t="str">
        <f>"14:45:15.428"</f>
        <v>14:45:15.428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56</v>
      </c>
      <c r="CR2325">
        <v>2</v>
      </c>
      <c r="CW2325">
        <v>4843157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1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 t="shared" si="1093"/>
        <v>05/12/2020 14:44:57.594</v>
      </c>
      <c r="C2326" t="str">
        <f t="shared" ref="C2326:C2389" si="1097">"FFDFD3C0"</f>
        <v>FFDFD3C0</v>
      </c>
      <c r="D2326" t="s">
        <v>126</v>
      </c>
      <c r="E2326">
        <v>6</v>
      </c>
      <c r="F2326">
        <v>1006</v>
      </c>
      <c r="G2326" t="s">
        <v>114</v>
      </c>
      <c r="J2326" t="s">
        <v>128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094"/>
        <v>14:45:15.422</v>
      </c>
      <c r="T2326" t="str">
        <f t="shared" si="1095"/>
        <v>14:45:15.322</v>
      </c>
      <c r="U2326" t="str">
        <f t="shared" si="1088"/>
        <v>A9808D</v>
      </c>
      <c r="V2326">
        <v>0</v>
      </c>
      <c r="W2326">
        <v>0</v>
      </c>
      <c r="X2326">
        <v>1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0</v>
      </c>
      <c r="AI2326" t="s">
        <v>588</v>
      </c>
      <c r="AJ2326">
        <v>28.257072000000001</v>
      </c>
      <c r="AK2326" t="s">
        <v>589</v>
      </c>
      <c r="AL2326">
        <v>-82.334610999999995</v>
      </c>
      <c r="AM2326">
        <v>100</v>
      </c>
      <c r="AN2326">
        <v>2200</v>
      </c>
      <c r="AO2326" t="s">
        <v>118</v>
      </c>
      <c r="AP2326">
        <v>94</v>
      </c>
      <c r="AQ2326">
        <v>-49</v>
      </c>
      <c r="AR2326">
        <v>768</v>
      </c>
      <c r="AZ2326">
        <v>1200</v>
      </c>
      <c r="BA2326">
        <v>1</v>
      </c>
      <c r="BB2326" t="str">
        <f t="shared" ref="BB2326:BB2389" si="1098">"N711JA  "</f>
        <v xml:space="preserve">N711JA  </v>
      </c>
      <c r="BC2326">
        <v>1</v>
      </c>
      <c r="BE2326">
        <v>0</v>
      </c>
      <c r="BF2326">
        <v>0</v>
      </c>
      <c r="BG2326">
        <v>0</v>
      </c>
      <c r="BH2326">
        <v>2300</v>
      </c>
      <c r="BI2326">
        <v>1</v>
      </c>
      <c r="BJ2326">
        <v>1</v>
      </c>
      <c r="BK2326">
        <v>0</v>
      </c>
      <c r="BL2326">
        <v>0</v>
      </c>
      <c r="BO2326">
        <v>0</v>
      </c>
      <c r="BP2326">
        <v>0</v>
      </c>
      <c r="BW2326" t="str">
        <f>"14:45:15.427"</f>
        <v>14:45:15.427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8</v>
      </c>
      <c r="CR2326">
        <v>3</v>
      </c>
      <c r="CW2326">
        <v>8898895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1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 t="shared" ref="A2327:A2335" si="1099">"05/12/2020 14:44:58.710"</f>
        <v>05/12/2020 14:44:58.710</v>
      </c>
      <c r="C2327" t="str">
        <f t="shared" si="1097"/>
        <v>FFDFD3C0</v>
      </c>
      <c r="D2327" t="s">
        <v>138</v>
      </c>
      <c r="E2327">
        <v>2</v>
      </c>
      <c r="H2327">
        <v>8</v>
      </c>
      <c r="I2327" t="s">
        <v>139</v>
      </c>
      <c r="J2327" t="s">
        <v>136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S2335" si="1100">"14:45:16.547"</f>
        <v>14:45:16.547</v>
      </c>
      <c r="T2327" t="str">
        <f t="shared" ref="T2327:T2335" si="1101">"14:45:16.347"</f>
        <v>14:45:16.347</v>
      </c>
      <c r="U2327" t="str">
        <f t="shared" si="1088"/>
        <v>A9808D</v>
      </c>
      <c r="V2327">
        <v>0</v>
      </c>
      <c r="W2327">
        <v>0</v>
      </c>
      <c r="X2327">
        <v>1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0</v>
      </c>
      <c r="AI2327" t="s">
        <v>272</v>
      </c>
      <c r="AJ2327">
        <v>28.256836</v>
      </c>
      <c r="AK2327" t="s">
        <v>590</v>
      </c>
      <c r="AL2327">
        <v>-82.334074999999999</v>
      </c>
      <c r="AM2327">
        <v>100</v>
      </c>
      <c r="AN2327">
        <v>2200</v>
      </c>
      <c r="AO2327" t="s">
        <v>118</v>
      </c>
      <c r="AP2327">
        <v>92</v>
      </c>
      <c r="AQ2327">
        <v>-49</v>
      </c>
      <c r="AR2327">
        <v>1024</v>
      </c>
      <c r="AZ2327">
        <v>1200</v>
      </c>
      <c r="BA2327">
        <v>1</v>
      </c>
      <c r="BB2327" t="str">
        <f t="shared" si="1098"/>
        <v xml:space="preserve">N711JA  </v>
      </c>
      <c r="BC2327">
        <v>1</v>
      </c>
      <c r="BE2327">
        <v>0</v>
      </c>
      <c r="BF2327">
        <v>0</v>
      </c>
      <c r="BG2327">
        <v>0</v>
      </c>
      <c r="BH2327">
        <v>2300</v>
      </c>
      <c r="BI2327">
        <v>1</v>
      </c>
      <c r="BJ2327">
        <v>1</v>
      </c>
      <c r="BK2327">
        <v>0</v>
      </c>
      <c r="BL2327">
        <v>0</v>
      </c>
      <c r="BO2327">
        <v>0</v>
      </c>
      <c r="BP2327">
        <v>0</v>
      </c>
      <c r="BW2327" t="str">
        <f t="shared" ref="BW2327:BW2335" si="1102">"14:45:16.547"</f>
        <v>14:45:16.547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8</v>
      </c>
      <c r="CR2327">
        <v>3</v>
      </c>
      <c r="CW2327">
        <v>8900081</v>
      </c>
      <c r="CY2327">
        <v>1</v>
      </c>
      <c r="CZ2327">
        <v>0</v>
      </c>
      <c r="DA2327">
        <v>0</v>
      </c>
      <c r="DB2327">
        <v>0</v>
      </c>
      <c r="DC2327">
        <v>0</v>
      </c>
      <c r="DD2327">
        <v>1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 t="shared" si="1099"/>
        <v>05/12/2020 14:44:58.710</v>
      </c>
      <c r="C2328" t="str">
        <f t="shared" si="1097"/>
        <v>FFDFD3C0</v>
      </c>
      <c r="D2328" t="s">
        <v>113</v>
      </c>
      <c r="E2328">
        <v>3</v>
      </c>
      <c r="H2328">
        <v>164</v>
      </c>
      <c r="I2328" t="s">
        <v>114</v>
      </c>
      <c r="J2328" t="s">
        <v>115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100"/>
        <v>14:45:16.547</v>
      </c>
      <c r="T2328" t="str">
        <f t="shared" si="1101"/>
        <v>14:45:16.347</v>
      </c>
      <c r="U2328" t="str">
        <f t="shared" si="1088"/>
        <v>A9808D</v>
      </c>
      <c r="V2328">
        <v>0</v>
      </c>
      <c r="W2328">
        <v>0</v>
      </c>
      <c r="X2328">
        <v>1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0</v>
      </c>
      <c r="AI2328" t="s">
        <v>272</v>
      </c>
      <c r="AJ2328">
        <v>28.256836</v>
      </c>
      <c r="AK2328" t="s">
        <v>590</v>
      </c>
      <c r="AL2328">
        <v>-82.334074999999999</v>
      </c>
      <c r="AM2328">
        <v>100</v>
      </c>
      <c r="AN2328">
        <v>2200</v>
      </c>
      <c r="AO2328" t="s">
        <v>118</v>
      </c>
      <c r="AP2328">
        <v>92</v>
      </c>
      <c r="AQ2328">
        <v>-49</v>
      </c>
      <c r="AR2328">
        <v>1024</v>
      </c>
      <c r="AZ2328">
        <v>1200</v>
      </c>
      <c r="BA2328">
        <v>1</v>
      </c>
      <c r="BB2328" t="str">
        <f t="shared" si="1098"/>
        <v xml:space="preserve">N711JA  </v>
      </c>
      <c r="BC2328">
        <v>1</v>
      </c>
      <c r="BE2328">
        <v>0</v>
      </c>
      <c r="BF2328">
        <v>0</v>
      </c>
      <c r="BG2328">
        <v>0</v>
      </c>
      <c r="BH2328">
        <v>2300</v>
      </c>
      <c r="BI2328">
        <v>1</v>
      </c>
      <c r="BJ2328">
        <v>1</v>
      </c>
      <c r="BK2328">
        <v>0</v>
      </c>
      <c r="BL2328">
        <v>0</v>
      </c>
      <c r="BO2328">
        <v>0</v>
      </c>
      <c r="BP2328">
        <v>0</v>
      </c>
      <c r="BW2328" t="str">
        <f t="shared" si="1102"/>
        <v>14:45:16.547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8</v>
      </c>
      <c r="CR2328">
        <v>3</v>
      </c>
      <c r="CW2328">
        <v>8900081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1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 t="shared" si="1099"/>
        <v>05/12/2020 14:44:58.710</v>
      </c>
      <c r="C2329" t="str">
        <f t="shared" si="1097"/>
        <v>FFDFD3C0</v>
      </c>
      <c r="D2329" t="s">
        <v>134</v>
      </c>
      <c r="E2329">
        <v>12</v>
      </c>
      <c r="H2329">
        <v>64</v>
      </c>
      <c r="I2329" t="s">
        <v>135</v>
      </c>
      <c r="J2329" t="s">
        <v>136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100"/>
        <v>14:45:16.547</v>
      </c>
      <c r="T2329" t="str">
        <f t="shared" si="1101"/>
        <v>14:45:16.347</v>
      </c>
      <c r="U2329" t="str">
        <f t="shared" si="1088"/>
        <v>A9808D</v>
      </c>
      <c r="V2329">
        <v>0</v>
      </c>
      <c r="W2329">
        <v>0</v>
      </c>
      <c r="X2329">
        <v>1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0</v>
      </c>
      <c r="AI2329" t="s">
        <v>272</v>
      </c>
      <c r="AJ2329">
        <v>28.256836</v>
      </c>
      <c r="AK2329" t="s">
        <v>590</v>
      </c>
      <c r="AL2329">
        <v>-82.334074999999999</v>
      </c>
      <c r="AM2329">
        <v>100</v>
      </c>
      <c r="AN2329">
        <v>2200</v>
      </c>
      <c r="AO2329" t="s">
        <v>118</v>
      </c>
      <c r="AP2329">
        <v>92</v>
      </c>
      <c r="AQ2329">
        <v>-49</v>
      </c>
      <c r="AR2329">
        <v>1024</v>
      </c>
      <c r="AZ2329">
        <v>1200</v>
      </c>
      <c r="BA2329">
        <v>1</v>
      </c>
      <c r="BB2329" t="str">
        <f t="shared" si="1098"/>
        <v xml:space="preserve">N711JA  </v>
      </c>
      <c r="BC2329">
        <v>1</v>
      </c>
      <c r="BE2329">
        <v>0</v>
      </c>
      <c r="BF2329">
        <v>0</v>
      </c>
      <c r="BG2329">
        <v>0</v>
      </c>
      <c r="BH2329">
        <v>2300</v>
      </c>
      <c r="BI2329">
        <v>1</v>
      </c>
      <c r="BJ2329">
        <v>1</v>
      </c>
      <c r="BK2329">
        <v>0</v>
      </c>
      <c r="BL2329">
        <v>0</v>
      </c>
      <c r="BO2329">
        <v>0</v>
      </c>
      <c r="BP2329">
        <v>0</v>
      </c>
      <c r="BW2329" t="str">
        <f t="shared" si="1102"/>
        <v>14:45:16.547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8</v>
      </c>
      <c r="CR2329">
        <v>3</v>
      </c>
      <c r="CW2329">
        <v>8900081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1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 t="shared" si="1099"/>
        <v>05/12/2020 14:44:58.710</v>
      </c>
      <c r="C2330" t="str">
        <f t="shared" si="1097"/>
        <v>FFDFD3C0</v>
      </c>
      <c r="D2330" t="s">
        <v>126</v>
      </c>
      <c r="E2330">
        <v>7</v>
      </c>
      <c r="F2330">
        <v>1007</v>
      </c>
      <c r="G2330" t="s">
        <v>127</v>
      </c>
      <c r="J2330" t="s">
        <v>128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100"/>
        <v>14:45:16.547</v>
      </c>
      <c r="T2330" t="str">
        <f t="shared" si="1101"/>
        <v>14:45:16.347</v>
      </c>
      <c r="U2330" t="str">
        <f t="shared" si="1088"/>
        <v>A9808D</v>
      </c>
      <c r="V2330">
        <v>0</v>
      </c>
      <c r="W2330">
        <v>0</v>
      </c>
      <c r="X2330">
        <v>1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0</v>
      </c>
      <c r="AI2330" t="s">
        <v>272</v>
      </c>
      <c r="AJ2330">
        <v>28.256836</v>
      </c>
      <c r="AK2330" t="s">
        <v>590</v>
      </c>
      <c r="AL2330">
        <v>-82.334074999999999</v>
      </c>
      <c r="AM2330">
        <v>100</v>
      </c>
      <c r="AN2330">
        <v>2200</v>
      </c>
      <c r="AO2330" t="s">
        <v>118</v>
      </c>
      <c r="AP2330">
        <v>92</v>
      </c>
      <c r="AQ2330">
        <v>-49</v>
      </c>
      <c r="AR2330">
        <v>1024</v>
      </c>
      <c r="AZ2330">
        <v>1200</v>
      </c>
      <c r="BA2330">
        <v>1</v>
      </c>
      <c r="BB2330" t="str">
        <f t="shared" si="1098"/>
        <v xml:space="preserve">N711JA  </v>
      </c>
      <c r="BC2330">
        <v>1</v>
      </c>
      <c r="BE2330">
        <v>0</v>
      </c>
      <c r="BF2330">
        <v>0</v>
      </c>
      <c r="BG2330">
        <v>0</v>
      </c>
      <c r="BH2330">
        <v>2300</v>
      </c>
      <c r="BI2330">
        <v>1</v>
      </c>
      <c r="BJ2330">
        <v>1</v>
      </c>
      <c r="BK2330">
        <v>0</v>
      </c>
      <c r="BL2330">
        <v>0</v>
      </c>
      <c r="BO2330">
        <v>0</v>
      </c>
      <c r="BP2330">
        <v>0</v>
      </c>
      <c r="BW2330" t="str">
        <f t="shared" si="1102"/>
        <v>14:45:16.547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8</v>
      </c>
      <c r="CR2330">
        <v>3</v>
      </c>
      <c r="CW2330">
        <v>8900081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1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 t="shared" si="1099"/>
        <v>05/12/2020 14:44:58.710</v>
      </c>
      <c r="C2331" t="str">
        <f t="shared" si="1097"/>
        <v>FFDFD3C0</v>
      </c>
      <c r="D2331" t="s">
        <v>131</v>
      </c>
      <c r="E2331">
        <v>10</v>
      </c>
      <c r="F2331">
        <v>2010</v>
      </c>
      <c r="G2331" t="s">
        <v>132</v>
      </c>
      <c r="J2331" t="s">
        <v>133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100"/>
        <v>14:45:16.547</v>
      </c>
      <c r="T2331" t="str">
        <f t="shared" si="1101"/>
        <v>14:45:16.347</v>
      </c>
      <c r="U2331" t="str">
        <f t="shared" si="1088"/>
        <v>A9808D</v>
      </c>
      <c r="V2331">
        <v>0</v>
      </c>
      <c r="W2331">
        <v>0</v>
      </c>
      <c r="X2331">
        <v>1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0</v>
      </c>
      <c r="AI2331" t="s">
        <v>272</v>
      </c>
      <c r="AJ2331">
        <v>28.256836</v>
      </c>
      <c r="AK2331" t="s">
        <v>590</v>
      </c>
      <c r="AL2331">
        <v>-82.334074999999999</v>
      </c>
      <c r="AM2331">
        <v>100</v>
      </c>
      <c r="AN2331">
        <v>2200</v>
      </c>
      <c r="AO2331" t="s">
        <v>118</v>
      </c>
      <c r="AP2331">
        <v>92</v>
      </c>
      <c r="AQ2331">
        <v>-49</v>
      </c>
      <c r="AR2331">
        <v>1024</v>
      </c>
      <c r="AZ2331">
        <v>1200</v>
      </c>
      <c r="BA2331">
        <v>1</v>
      </c>
      <c r="BB2331" t="str">
        <f t="shared" si="1098"/>
        <v xml:space="preserve">N711JA  </v>
      </c>
      <c r="BC2331">
        <v>1</v>
      </c>
      <c r="BE2331">
        <v>0</v>
      </c>
      <c r="BF2331">
        <v>0</v>
      </c>
      <c r="BG2331">
        <v>0</v>
      </c>
      <c r="BH2331">
        <v>2300</v>
      </c>
      <c r="BI2331">
        <v>1</v>
      </c>
      <c r="BJ2331">
        <v>1</v>
      </c>
      <c r="BK2331">
        <v>0</v>
      </c>
      <c r="BL2331">
        <v>0</v>
      </c>
      <c r="BO2331">
        <v>0</v>
      </c>
      <c r="BP2331">
        <v>0</v>
      </c>
      <c r="BW2331" t="str">
        <f t="shared" si="1102"/>
        <v>14:45:16.547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8</v>
      </c>
      <c r="CR2331">
        <v>3</v>
      </c>
      <c r="CW2331">
        <v>8900081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1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 t="shared" si="1099"/>
        <v>05/12/2020 14:44:58.710</v>
      </c>
      <c r="C2332" t="str">
        <f t="shared" si="1097"/>
        <v>FFDFD3C0</v>
      </c>
      <c r="D2332" t="s">
        <v>131</v>
      </c>
      <c r="E2332">
        <v>12</v>
      </c>
      <c r="F2332">
        <v>2012</v>
      </c>
      <c r="G2332" t="s">
        <v>137</v>
      </c>
      <c r="J2332" t="s">
        <v>133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100"/>
        <v>14:45:16.547</v>
      </c>
      <c r="T2332" t="str">
        <f t="shared" si="1101"/>
        <v>14:45:16.347</v>
      </c>
      <c r="U2332" t="str">
        <f t="shared" si="1088"/>
        <v>A9808D</v>
      </c>
      <c r="V2332">
        <v>0</v>
      </c>
      <c r="W2332">
        <v>0</v>
      </c>
      <c r="X2332">
        <v>1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0</v>
      </c>
      <c r="AI2332" t="s">
        <v>272</v>
      </c>
      <c r="AJ2332">
        <v>28.256836</v>
      </c>
      <c r="AK2332" t="s">
        <v>590</v>
      </c>
      <c r="AL2332">
        <v>-82.334074999999999</v>
      </c>
      <c r="AM2332">
        <v>100</v>
      </c>
      <c r="AN2332">
        <v>2200</v>
      </c>
      <c r="AO2332" t="s">
        <v>118</v>
      </c>
      <c r="AP2332">
        <v>92</v>
      </c>
      <c r="AQ2332">
        <v>-49</v>
      </c>
      <c r="AR2332">
        <v>1024</v>
      </c>
      <c r="AZ2332">
        <v>1200</v>
      </c>
      <c r="BA2332">
        <v>1</v>
      </c>
      <c r="BB2332" t="str">
        <f t="shared" si="1098"/>
        <v xml:space="preserve">N711JA  </v>
      </c>
      <c r="BC2332">
        <v>1</v>
      </c>
      <c r="BE2332">
        <v>0</v>
      </c>
      <c r="BF2332">
        <v>0</v>
      </c>
      <c r="BG2332">
        <v>0</v>
      </c>
      <c r="BH2332">
        <v>2300</v>
      </c>
      <c r="BI2332">
        <v>1</v>
      </c>
      <c r="BJ2332">
        <v>1</v>
      </c>
      <c r="BK2332">
        <v>0</v>
      </c>
      <c r="BL2332">
        <v>0</v>
      </c>
      <c r="BO2332">
        <v>0</v>
      </c>
      <c r="BP2332">
        <v>0</v>
      </c>
      <c r="BW2332" t="str">
        <f t="shared" si="1102"/>
        <v>14:45:16.547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8</v>
      </c>
      <c r="CR2332">
        <v>3</v>
      </c>
      <c r="CW2332">
        <v>8900081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1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 t="shared" si="1099"/>
        <v>05/12/2020 14:44:58.710</v>
      </c>
      <c r="C2333" t="str">
        <f t="shared" si="1097"/>
        <v>FFDFD3C0</v>
      </c>
      <c r="D2333" t="s">
        <v>138</v>
      </c>
      <c r="E2333">
        <v>3</v>
      </c>
      <c r="H2333">
        <v>9</v>
      </c>
      <c r="I2333" t="s">
        <v>140</v>
      </c>
      <c r="J2333" t="s">
        <v>136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100"/>
        <v>14:45:16.547</v>
      </c>
      <c r="T2333" t="str">
        <f t="shared" si="1101"/>
        <v>14:45:16.347</v>
      </c>
      <c r="U2333" t="str">
        <f t="shared" si="1088"/>
        <v>A9808D</v>
      </c>
      <c r="V2333">
        <v>0</v>
      </c>
      <c r="W2333">
        <v>0</v>
      </c>
      <c r="X2333">
        <v>1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0</v>
      </c>
      <c r="AI2333" t="s">
        <v>272</v>
      </c>
      <c r="AJ2333">
        <v>28.256836</v>
      </c>
      <c r="AK2333" t="s">
        <v>590</v>
      </c>
      <c r="AL2333">
        <v>-82.334074999999999</v>
      </c>
      <c r="AM2333">
        <v>100</v>
      </c>
      <c r="AN2333">
        <v>2200</v>
      </c>
      <c r="AO2333" t="s">
        <v>118</v>
      </c>
      <c r="AP2333">
        <v>92</v>
      </c>
      <c r="AQ2333">
        <v>-49</v>
      </c>
      <c r="AR2333">
        <v>1024</v>
      </c>
      <c r="AZ2333">
        <v>1200</v>
      </c>
      <c r="BA2333">
        <v>1</v>
      </c>
      <c r="BB2333" t="str">
        <f t="shared" si="1098"/>
        <v xml:space="preserve">N711JA  </v>
      </c>
      <c r="BC2333">
        <v>1</v>
      </c>
      <c r="BE2333">
        <v>0</v>
      </c>
      <c r="BF2333">
        <v>0</v>
      </c>
      <c r="BG2333">
        <v>0</v>
      </c>
      <c r="BH2333">
        <v>2300</v>
      </c>
      <c r="BI2333">
        <v>1</v>
      </c>
      <c r="BJ2333">
        <v>1</v>
      </c>
      <c r="BK2333">
        <v>0</v>
      </c>
      <c r="BL2333">
        <v>0</v>
      </c>
      <c r="BO2333">
        <v>0</v>
      </c>
      <c r="BP2333">
        <v>0</v>
      </c>
      <c r="BW2333" t="str">
        <f t="shared" si="1102"/>
        <v>14:45:16.547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8</v>
      </c>
      <c r="CR2333">
        <v>3</v>
      </c>
      <c r="CW2333">
        <v>8900081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1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 t="shared" si="1099"/>
        <v>05/12/2020 14:44:58.710</v>
      </c>
      <c r="C2334" t="str">
        <f t="shared" si="1097"/>
        <v>FFDFD3C0</v>
      </c>
      <c r="D2334" t="s">
        <v>131</v>
      </c>
      <c r="E2334">
        <v>18</v>
      </c>
      <c r="F2334">
        <v>2018</v>
      </c>
      <c r="G2334" t="s">
        <v>161</v>
      </c>
      <c r="J2334" t="s">
        <v>133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100"/>
        <v>14:45:16.547</v>
      </c>
      <c r="T2334" t="str">
        <f t="shared" si="1101"/>
        <v>14:45:16.347</v>
      </c>
      <c r="U2334" t="str">
        <f t="shared" si="1088"/>
        <v>A9808D</v>
      </c>
      <c r="V2334">
        <v>0</v>
      </c>
      <c r="W2334">
        <v>0</v>
      </c>
      <c r="X2334">
        <v>1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0</v>
      </c>
      <c r="AI2334" t="s">
        <v>272</v>
      </c>
      <c r="AJ2334">
        <v>28.256836</v>
      </c>
      <c r="AK2334" t="s">
        <v>590</v>
      </c>
      <c r="AL2334">
        <v>-82.334074999999999</v>
      </c>
      <c r="AM2334">
        <v>100</v>
      </c>
      <c r="AN2334">
        <v>2200</v>
      </c>
      <c r="AO2334" t="s">
        <v>118</v>
      </c>
      <c r="AP2334">
        <v>92</v>
      </c>
      <c r="AQ2334">
        <v>-49</v>
      </c>
      <c r="AR2334">
        <v>1024</v>
      </c>
      <c r="AZ2334">
        <v>1200</v>
      </c>
      <c r="BA2334">
        <v>1</v>
      </c>
      <c r="BB2334" t="str">
        <f t="shared" si="1098"/>
        <v xml:space="preserve">N711JA  </v>
      </c>
      <c r="BC2334">
        <v>1</v>
      </c>
      <c r="BE2334">
        <v>0</v>
      </c>
      <c r="BF2334">
        <v>0</v>
      </c>
      <c r="BG2334">
        <v>0</v>
      </c>
      <c r="BH2334">
        <v>2300</v>
      </c>
      <c r="BI2334">
        <v>1</v>
      </c>
      <c r="BJ2334">
        <v>1</v>
      </c>
      <c r="BK2334">
        <v>0</v>
      </c>
      <c r="BL2334">
        <v>0</v>
      </c>
      <c r="BO2334">
        <v>0</v>
      </c>
      <c r="BP2334">
        <v>0</v>
      </c>
      <c r="BW2334" t="str">
        <f t="shared" si="1102"/>
        <v>14:45:16.547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56</v>
      </c>
      <c r="CR2334">
        <v>2</v>
      </c>
      <c r="CW2334">
        <v>4844554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1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 t="shared" si="1099"/>
        <v>05/12/2020 14:44:58.710</v>
      </c>
      <c r="C2335" t="str">
        <f t="shared" si="1097"/>
        <v>FFDFD3C0</v>
      </c>
      <c r="D2335" t="s">
        <v>126</v>
      </c>
      <c r="E2335">
        <v>6</v>
      </c>
      <c r="F2335">
        <v>1006</v>
      </c>
      <c r="G2335" t="s">
        <v>114</v>
      </c>
      <c r="J2335" t="s">
        <v>128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100"/>
        <v>14:45:16.547</v>
      </c>
      <c r="T2335" t="str">
        <f t="shared" si="1101"/>
        <v>14:45:16.347</v>
      </c>
      <c r="U2335" t="str">
        <f t="shared" si="1088"/>
        <v>A9808D</v>
      </c>
      <c r="V2335">
        <v>0</v>
      </c>
      <c r="W2335">
        <v>0</v>
      </c>
      <c r="X2335">
        <v>1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0</v>
      </c>
      <c r="AI2335" t="s">
        <v>272</v>
      </c>
      <c r="AJ2335">
        <v>28.256836</v>
      </c>
      <c r="AK2335" t="s">
        <v>590</v>
      </c>
      <c r="AL2335">
        <v>-82.334074999999999</v>
      </c>
      <c r="AM2335">
        <v>100</v>
      </c>
      <c r="AN2335">
        <v>2200</v>
      </c>
      <c r="AO2335" t="s">
        <v>118</v>
      </c>
      <c r="AP2335">
        <v>92</v>
      </c>
      <c r="AQ2335">
        <v>-49</v>
      </c>
      <c r="AR2335">
        <v>1024</v>
      </c>
      <c r="AZ2335">
        <v>1200</v>
      </c>
      <c r="BA2335">
        <v>1</v>
      </c>
      <c r="BB2335" t="str">
        <f t="shared" si="1098"/>
        <v xml:space="preserve">N711JA  </v>
      </c>
      <c r="BC2335">
        <v>1</v>
      </c>
      <c r="BE2335">
        <v>0</v>
      </c>
      <c r="BF2335">
        <v>0</v>
      </c>
      <c r="BG2335">
        <v>0</v>
      </c>
      <c r="BH2335">
        <v>2300</v>
      </c>
      <c r="BI2335">
        <v>1</v>
      </c>
      <c r="BJ2335">
        <v>1</v>
      </c>
      <c r="BK2335">
        <v>0</v>
      </c>
      <c r="BL2335">
        <v>0</v>
      </c>
      <c r="BO2335">
        <v>0</v>
      </c>
      <c r="BP2335">
        <v>0</v>
      </c>
      <c r="BW2335" t="str">
        <f t="shared" si="1102"/>
        <v>14:45:16.547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8</v>
      </c>
      <c r="CR2335">
        <v>3</v>
      </c>
      <c r="CW2335">
        <v>8900081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1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 t="shared" ref="A2336:A2344" si="1103">"05/12/2020 14:44:59.773"</f>
        <v>05/12/2020 14:44:59.773</v>
      </c>
      <c r="C2336" t="str">
        <f t="shared" si="1097"/>
        <v>FFDFD3C0</v>
      </c>
      <c r="D2336" t="s">
        <v>113</v>
      </c>
      <c r="E2336">
        <v>3</v>
      </c>
      <c r="H2336">
        <v>164</v>
      </c>
      <c r="I2336" t="s">
        <v>114</v>
      </c>
      <c r="J2336" t="s">
        <v>115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ref="S2336:S2344" si="1104">"14:45:17.586"</f>
        <v>14:45:17.586</v>
      </c>
      <c r="T2336" t="str">
        <f t="shared" ref="T2336:T2344" si="1105">"14:45:17.486"</f>
        <v>14:45:17.486</v>
      </c>
      <c r="U2336" t="str">
        <f t="shared" si="1088"/>
        <v>A9808D</v>
      </c>
      <c r="V2336">
        <v>0</v>
      </c>
      <c r="W2336">
        <v>0</v>
      </c>
      <c r="X2336">
        <v>1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0</v>
      </c>
      <c r="AI2336" t="s">
        <v>591</v>
      </c>
      <c r="AJ2336">
        <v>28.256599999999999</v>
      </c>
      <c r="AK2336" t="s">
        <v>592</v>
      </c>
      <c r="AL2336">
        <v>-82.333580999999995</v>
      </c>
      <c r="AM2336">
        <v>100</v>
      </c>
      <c r="AN2336">
        <v>2200</v>
      </c>
      <c r="AO2336" t="s">
        <v>118</v>
      </c>
      <c r="AP2336">
        <v>91</v>
      </c>
      <c r="AQ2336">
        <v>-49</v>
      </c>
      <c r="AR2336">
        <v>1088</v>
      </c>
      <c r="AZ2336">
        <v>1200</v>
      </c>
      <c r="BA2336">
        <v>1</v>
      </c>
      <c r="BB2336" t="str">
        <f t="shared" si="1098"/>
        <v xml:space="preserve">N711JA  </v>
      </c>
      <c r="BC2336">
        <v>1</v>
      </c>
      <c r="BE2336">
        <v>0</v>
      </c>
      <c r="BF2336">
        <v>0</v>
      </c>
      <c r="BG2336">
        <v>0</v>
      </c>
      <c r="BH2336">
        <v>2325</v>
      </c>
      <c r="BI2336">
        <v>1</v>
      </c>
      <c r="BJ2336">
        <v>1</v>
      </c>
      <c r="BK2336">
        <v>0</v>
      </c>
      <c r="BL2336">
        <v>0</v>
      </c>
      <c r="BO2336">
        <v>0</v>
      </c>
      <c r="BP2336">
        <v>0</v>
      </c>
      <c r="BW2336" t="str">
        <f t="shared" ref="BW2336:BW2344" si="1106">"14:45:17.591"</f>
        <v>14:45:17.591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343</v>
      </c>
      <c r="CR2336">
        <v>1</v>
      </c>
      <c r="CW2336">
        <v>10775283</v>
      </c>
      <c r="CY2336">
        <v>1</v>
      </c>
      <c r="CZ2336">
        <v>0</v>
      </c>
      <c r="DA2336">
        <v>0</v>
      </c>
      <c r="DB2336">
        <v>0</v>
      </c>
      <c r="DC2336">
        <v>0</v>
      </c>
      <c r="DD2336">
        <v>1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 t="shared" si="1103"/>
        <v>05/12/2020 14:44:59.773</v>
      </c>
      <c r="C2337" t="str">
        <f t="shared" si="1097"/>
        <v>FFDFD3C0</v>
      </c>
      <c r="D2337" t="s">
        <v>138</v>
      </c>
      <c r="E2337">
        <v>2</v>
      </c>
      <c r="H2337">
        <v>8</v>
      </c>
      <c r="I2337" t="s">
        <v>139</v>
      </c>
      <c r="J2337" t="s">
        <v>136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1104"/>
        <v>14:45:17.586</v>
      </c>
      <c r="T2337" t="str">
        <f t="shared" si="1105"/>
        <v>14:45:17.486</v>
      </c>
      <c r="U2337" t="str">
        <f t="shared" si="1088"/>
        <v>A9808D</v>
      </c>
      <c r="V2337">
        <v>0</v>
      </c>
      <c r="W2337">
        <v>0</v>
      </c>
      <c r="X2337">
        <v>1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0</v>
      </c>
      <c r="AI2337" t="s">
        <v>591</v>
      </c>
      <c r="AJ2337">
        <v>28.256599999999999</v>
      </c>
      <c r="AK2337" t="s">
        <v>592</v>
      </c>
      <c r="AL2337">
        <v>-82.333580999999995</v>
      </c>
      <c r="AM2337">
        <v>100</v>
      </c>
      <c r="AN2337">
        <v>2200</v>
      </c>
      <c r="AO2337" t="s">
        <v>118</v>
      </c>
      <c r="AP2337">
        <v>91</v>
      </c>
      <c r="AQ2337">
        <v>-49</v>
      </c>
      <c r="AR2337">
        <v>1088</v>
      </c>
      <c r="AZ2337">
        <v>1200</v>
      </c>
      <c r="BA2337">
        <v>1</v>
      </c>
      <c r="BB2337" t="str">
        <f t="shared" si="1098"/>
        <v xml:space="preserve">N711JA  </v>
      </c>
      <c r="BC2337">
        <v>1</v>
      </c>
      <c r="BE2337">
        <v>0</v>
      </c>
      <c r="BF2337">
        <v>0</v>
      </c>
      <c r="BG2337">
        <v>0</v>
      </c>
      <c r="BH2337">
        <v>2325</v>
      </c>
      <c r="BI2337">
        <v>1</v>
      </c>
      <c r="BJ2337">
        <v>1</v>
      </c>
      <c r="BK2337">
        <v>0</v>
      </c>
      <c r="BL2337">
        <v>0</v>
      </c>
      <c r="BO2337">
        <v>0</v>
      </c>
      <c r="BP2337">
        <v>0</v>
      </c>
      <c r="BW2337" t="str">
        <f t="shared" si="1106"/>
        <v>14:45:17.591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343</v>
      </c>
      <c r="CR2337">
        <v>1</v>
      </c>
      <c r="CW2337">
        <v>10775283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1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 t="shared" si="1103"/>
        <v>05/12/2020 14:44:59.773</v>
      </c>
      <c r="C2338" t="str">
        <f t="shared" si="1097"/>
        <v>FFDFD3C0</v>
      </c>
      <c r="D2338" t="s">
        <v>134</v>
      </c>
      <c r="E2338">
        <v>12</v>
      </c>
      <c r="H2338">
        <v>64</v>
      </c>
      <c r="I2338" t="s">
        <v>135</v>
      </c>
      <c r="J2338" t="s">
        <v>136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104"/>
        <v>14:45:17.586</v>
      </c>
      <c r="T2338" t="str">
        <f t="shared" si="1105"/>
        <v>14:45:17.486</v>
      </c>
      <c r="U2338" t="str">
        <f t="shared" si="1088"/>
        <v>A9808D</v>
      </c>
      <c r="V2338">
        <v>0</v>
      </c>
      <c r="W2338">
        <v>0</v>
      </c>
      <c r="X2338">
        <v>1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0</v>
      </c>
      <c r="AI2338" t="s">
        <v>591</v>
      </c>
      <c r="AJ2338">
        <v>28.256599999999999</v>
      </c>
      <c r="AK2338" t="s">
        <v>592</v>
      </c>
      <c r="AL2338">
        <v>-82.333580999999995</v>
      </c>
      <c r="AM2338">
        <v>100</v>
      </c>
      <c r="AN2338">
        <v>2200</v>
      </c>
      <c r="AO2338" t="s">
        <v>118</v>
      </c>
      <c r="AP2338">
        <v>91</v>
      </c>
      <c r="AQ2338">
        <v>-49</v>
      </c>
      <c r="AR2338">
        <v>1088</v>
      </c>
      <c r="AZ2338">
        <v>1200</v>
      </c>
      <c r="BA2338">
        <v>1</v>
      </c>
      <c r="BB2338" t="str">
        <f t="shared" si="1098"/>
        <v xml:space="preserve">N711JA  </v>
      </c>
      <c r="BC2338">
        <v>1</v>
      </c>
      <c r="BE2338">
        <v>0</v>
      </c>
      <c r="BF2338">
        <v>0</v>
      </c>
      <c r="BG2338">
        <v>0</v>
      </c>
      <c r="BH2338">
        <v>2325</v>
      </c>
      <c r="BI2338">
        <v>1</v>
      </c>
      <c r="BJ2338">
        <v>1</v>
      </c>
      <c r="BK2338">
        <v>0</v>
      </c>
      <c r="BL2338">
        <v>0</v>
      </c>
      <c r="BO2338">
        <v>0</v>
      </c>
      <c r="BP2338">
        <v>0</v>
      </c>
      <c r="BW2338" t="str">
        <f t="shared" si="1106"/>
        <v>14:45:17.591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343</v>
      </c>
      <c r="CR2338">
        <v>1</v>
      </c>
      <c r="CW2338">
        <v>10775283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1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 t="shared" si="1103"/>
        <v>05/12/2020 14:44:59.773</v>
      </c>
      <c r="C2339" t="str">
        <f t="shared" si="1097"/>
        <v>FFDFD3C0</v>
      </c>
      <c r="D2339" t="s">
        <v>131</v>
      </c>
      <c r="E2339">
        <v>10</v>
      </c>
      <c r="F2339">
        <v>2010</v>
      </c>
      <c r="G2339" t="s">
        <v>132</v>
      </c>
      <c r="J2339" t="s">
        <v>133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104"/>
        <v>14:45:17.586</v>
      </c>
      <c r="T2339" t="str">
        <f t="shared" si="1105"/>
        <v>14:45:17.486</v>
      </c>
      <c r="U2339" t="str">
        <f t="shared" si="1088"/>
        <v>A9808D</v>
      </c>
      <c r="V2339">
        <v>0</v>
      </c>
      <c r="W2339">
        <v>0</v>
      </c>
      <c r="X2339">
        <v>1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0</v>
      </c>
      <c r="AI2339" t="s">
        <v>591</v>
      </c>
      <c r="AJ2339">
        <v>28.256599999999999</v>
      </c>
      <c r="AK2339" t="s">
        <v>592</v>
      </c>
      <c r="AL2339">
        <v>-82.333580999999995</v>
      </c>
      <c r="AM2339">
        <v>100</v>
      </c>
      <c r="AN2339">
        <v>2200</v>
      </c>
      <c r="AO2339" t="s">
        <v>118</v>
      </c>
      <c r="AP2339">
        <v>91</v>
      </c>
      <c r="AQ2339">
        <v>-49</v>
      </c>
      <c r="AR2339">
        <v>1088</v>
      </c>
      <c r="AZ2339">
        <v>1200</v>
      </c>
      <c r="BA2339">
        <v>1</v>
      </c>
      <c r="BB2339" t="str">
        <f t="shared" si="1098"/>
        <v xml:space="preserve">N711JA  </v>
      </c>
      <c r="BC2339">
        <v>1</v>
      </c>
      <c r="BE2339">
        <v>0</v>
      </c>
      <c r="BF2339">
        <v>0</v>
      </c>
      <c r="BG2339">
        <v>0</v>
      </c>
      <c r="BH2339">
        <v>2325</v>
      </c>
      <c r="BI2339">
        <v>1</v>
      </c>
      <c r="BJ2339">
        <v>1</v>
      </c>
      <c r="BK2339">
        <v>0</v>
      </c>
      <c r="BL2339">
        <v>0</v>
      </c>
      <c r="BO2339">
        <v>0</v>
      </c>
      <c r="BP2339">
        <v>0</v>
      </c>
      <c r="BW2339" t="str">
        <f t="shared" si="1106"/>
        <v>14:45:17.591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343</v>
      </c>
      <c r="CR2339">
        <v>1</v>
      </c>
      <c r="CW2339">
        <v>10775283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1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 t="shared" si="1103"/>
        <v>05/12/2020 14:44:59.773</v>
      </c>
      <c r="C2340" t="str">
        <f t="shared" si="1097"/>
        <v>FFDFD3C0</v>
      </c>
      <c r="D2340" t="s">
        <v>126</v>
      </c>
      <c r="E2340">
        <v>7</v>
      </c>
      <c r="F2340">
        <v>1007</v>
      </c>
      <c r="G2340" t="s">
        <v>127</v>
      </c>
      <c r="J2340" t="s">
        <v>128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104"/>
        <v>14:45:17.586</v>
      </c>
      <c r="T2340" t="str">
        <f t="shared" si="1105"/>
        <v>14:45:17.486</v>
      </c>
      <c r="U2340" t="str">
        <f t="shared" si="1088"/>
        <v>A9808D</v>
      </c>
      <c r="V2340">
        <v>0</v>
      </c>
      <c r="W2340">
        <v>0</v>
      </c>
      <c r="X2340">
        <v>1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0</v>
      </c>
      <c r="AI2340" t="s">
        <v>591</v>
      </c>
      <c r="AJ2340">
        <v>28.256599999999999</v>
      </c>
      <c r="AK2340" t="s">
        <v>592</v>
      </c>
      <c r="AL2340">
        <v>-82.333580999999995</v>
      </c>
      <c r="AM2340">
        <v>100</v>
      </c>
      <c r="AN2340">
        <v>2200</v>
      </c>
      <c r="AO2340" t="s">
        <v>118</v>
      </c>
      <c r="AP2340">
        <v>91</v>
      </c>
      <c r="AQ2340">
        <v>-49</v>
      </c>
      <c r="AR2340">
        <v>1088</v>
      </c>
      <c r="AZ2340">
        <v>1200</v>
      </c>
      <c r="BA2340">
        <v>1</v>
      </c>
      <c r="BB2340" t="str">
        <f t="shared" si="1098"/>
        <v xml:space="preserve">N711JA  </v>
      </c>
      <c r="BC2340">
        <v>1</v>
      </c>
      <c r="BE2340">
        <v>0</v>
      </c>
      <c r="BF2340">
        <v>0</v>
      </c>
      <c r="BG2340">
        <v>0</v>
      </c>
      <c r="BH2340">
        <v>2325</v>
      </c>
      <c r="BI2340">
        <v>1</v>
      </c>
      <c r="BJ2340">
        <v>1</v>
      </c>
      <c r="BK2340">
        <v>0</v>
      </c>
      <c r="BL2340">
        <v>0</v>
      </c>
      <c r="BO2340">
        <v>0</v>
      </c>
      <c r="BP2340">
        <v>0</v>
      </c>
      <c r="BW2340" t="str">
        <f t="shared" si="1106"/>
        <v>14:45:17.591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343</v>
      </c>
      <c r="CR2340">
        <v>1</v>
      </c>
      <c r="CW2340">
        <v>10775283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1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 t="shared" si="1103"/>
        <v>05/12/2020 14:44:59.773</v>
      </c>
      <c r="C2341" t="str">
        <f t="shared" si="1097"/>
        <v>FFDFD3C0</v>
      </c>
      <c r="D2341" t="s">
        <v>131</v>
      </c>
      <c r="E2341">
        <v>12</v>
      </c>
      <c r="F2341">
        <v>2012</v>
      </c>
      <c r="G2341" t="s">
        <v>137</v>
      </c>
      <c r="J2341" t="s">
        <v>133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104"/>
        <v>14:45:17.586</v>
      </c>
      <c r="T2341" t="str">
        <f t="shared" si="1105"/>
        <v>14:45:17.486</v>
      </c>
      <c r="U2341" t="str">
        <f t="shared" si="1088"/>
        <v>A9808D</v>
      </c>
      <c r="V2341">
        <v>0</v>
      </c>
      <c r="W2341">
        <v>0</v>
      </c>
      <c r="X2341">
        <v>1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0</v>
      </c>
      <c r="AI2341" t="s">
        <v>591</v>
      </c>
      <c r="AJ2341">
        <v>28.256599999999999</v>
      </c>
      <c r="AK2341" t="s">
        <v>592</v>
      </c>
      <c r="AL2341">
        <v>-82.333580999999995</v>
      </c>
      <c r="AM2341">
        <v>100</v>
      </c>
      <c r="AN2341">
        <v>2200</v>
      </c>
      <c r="AO2341" t="s">
        <v>118</v>
      </c>
      <c r="AP2341">
        <v>91</v>
      </c>
      <c r="AQ2341">
        <v>-49</v>
      </c>
      <c r="AR2341">
        <v>1088</v>
      </c>
      <c r="AZ2341">
        <v>1200</v>
      </c>
      <c r="BA2341">
        <v>1</v>
      </c>
      <c r="BB2341" t="str">
        <f t="shared" si="1098"/>
        <v xml:space="preserve">N711JA  </v>
      </c>
      <c r="BC2341">
        <v>1</v>
      </c>
      <c r="BE2341">
        <v>0</v>
      </c>
      <c r="BF2341">
        <v>0</v>
      </c>
      <c r="BG2341">
        <v>0</v>
      </c>
      <c r="BH2341">
        <v>2325</v>
      </c>
      <c r="BI2341">
        <v>1</v>
      </c>
      <c r="BJ2341">
        <v>1</v>
      </c>
      <c r="BK2341">
        <v>0</v>
      </c>
      <c r="BL2341">
        <v>0</v>
      </c>
      <c r="BO2341">
        <v>0</v>
      </c>
      <c r="BP2341">
        <v>0</v>
      </c>
      <c r="BW2341" t="str">
        <f t="shared" si="1106"/>
        <v>14:45:17.591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343</v>
      </c>
      <c r="CR2341">
        <v>1</v>
      </c>
      <c r="CW2341">
        <v>10775283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1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 t="shared" si="1103"/>
        <v>05/12/2020 14:44:59.773</v>
      </c>
      <c r="C2342" t="str">
        <f t="shared" si="1097"/>
        <v>FFDFD3C0</v>
      </c>
      <c r="D2342" t="s">
        <v>131</v>
      </c>
      <c r="E2342">
        <v>18</v>
      </c>
      <c r="F2342">
        <v>2018</v>
      </c>
      <c r="G2342" t="s">
        <v>161</v>
      </c>
      <c r="J2342" t="s">
        <v>133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104"/>
        <v>14:45:17.586</v>
      </c>
      <c r="T2342" t="str">
        <f t="shared" si="1105"/>
        <v>14:45:17.486</v>
      </c>
      <c r="U2342" t="str">
        <f t="shared" si="1088"/>
        <v>A9808D</v>
      </c>
      <c r="V2342">
        <v>0</v>
      </c>
      <c r="W2342">
        <v>0</v>
      </c>
      <c r="X2342">
        <v>1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0</v>
      </c>
      <c r="AI2342" t="s">
        <v>591</v>
      </c>
      <c r="AJ2342">
        <v>28.256599999999999</v>
      </c>
      <c r="AK2342" t="s">
        <v>592</v>
      </c>
      <c r="AL2342">
        <v>-82.333580999999995</v>
      </c>
      <c r="AM2342">
        <v>100</v>
      </c>
      <c r="AN2342">
        <v>2200</v>
      </c>
      <c r="AO2342" t="s">
        <v>118</v>
      </c>
      <c r="AP2342">
        <v>91</v>
      </c>
      <c r="AQ2342">
        <v>-49</v>
      </c>
      <c r="AR2342">
        <v>1088</v>
      </c>
      <c r="AZ2342">
        <v>1200</v>
      </c>
      <c r="BA2342">
        <v>1</v>
      </c>
      <c r="BB2342" t="str">
        <f t="shared" si="1098"/>
        <v xml:space="preserve">N711JA  </v>
      </c>
      <c r="BC2342">
        <v>1</v>
      </c>
      <c r="BE2342">
        <v>0</v>
      </c>
      <c r="BF2342">
        <v>0</v>
      </c>
      <c r="BG2342">
        <v>0</v>
      </c>
      <c r="BH2342">
        <v>2325</v>
      </c>
      <c r="BI2342">
        <v>1</v>
      </c>
      <c r="BJ2342">
        <v>1</v>
      </c>
      <c r="BK2342">
        <v>0</v>
      </c>
      <c r="BL2342">
        <v>0</v>
      </c>
      <c r="BO2342">
        <v>0</v>
      </c>
      <c r="BP2342">
        <v>0</v>
      </c>
      <c r="BW2342" t="str">
        <f t="shared" si="1106"/>
        <v>14:45:17.591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343</v>
      </c>
      <c r="CR2342">
        <v>1</v>
      </c>
      <c r="CW2342">
        <v>10775283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1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 t="shared" si="1103"/>
        <v>05/12/2020 14:44:59.773</v>
      </c>
      <c r="C2343" t="str">
        <f t="shared" si="1097"/>
        <v>FFDFD3C0</v>
      </c>
      <c r="D2343" t="s">
        <v>138</v>
      </c>
      <c r="E2343">
        <v>3</v>
      </c>
      <c r="H2343">
        <v>9</v>
      </c>
      <c r="I2343" t="s">
        <v>140</v>
      </c>
      <c r="J2343" t="s">
        <v>136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104"/>
        <v>14:45:17.586</v>
      </c>
      <c r="T2343" t="str">
        <f t="shared" si="1105"/>
        <v>14:45:17.486</v>
      </c>
      <c r="U2343" t="str">
        <f t="shared" si="1088"/>
        <v>A9808D</v>
      </c>
      <c r="V2343">
        <v>0</v>
      </c>
      <c r="W2343">
        <v>0</v>
      </c>
      <c r="X2343">
        <v>1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0</v>
      </c>
      <c r="AI2343" t="s">
        <v>591</v>
      </c>
      <c r="AJ2343">
        <v>28.256599999999999</v>
      </c>
      <c r="AK2343" t="s">
        <v>592</v>
      </c>
      <c r="AL2343">
        <v>-82.333580999999995</v>
      </c>
      <c r="AM2343">
        <v>100</v>
      </c>
      <c r="AN2343">
        <v>2200</v>
      </c>
      <c r="AO2343" t="s">
        <v>118</v>
      </c>
      <c r="AP2343">
        <v>91</v>
      </c>
      <c r="AQ2343">
        <v>-49</v>
      </c>
      <c r="AR2343">
        <v>1088</v>
      </c>
      <c r="AZ2343">
        <v>1200</v>
      </c>
      <c r="BA2343">
        <v>1</v>
      </c>
      <c r="BB2343" t="str">
        <f t="shared" si="1098"/>
        <v xml:space="preserve">N711JA  </v>
      </c>
      <c r="BC2343">
        <v>1</v>
      </c>
      <c r="BE2343">
        <v>0</v>
      </c>
      <c r="BF2343">
        <v>0</v>
      </c>
      <c r="BG2343">
        <v>0</v>
      </c>
      <c r="BH2343">
        <v>2325</v>
      </c>
      <c r="BI2343">
        <v>1</v>
      </c>
      <c r="BJ2343">
        <v>1</v>
      </c>
      <c r="BK2343">
        <v>0</v>
      </c>
      <c r="BL2343">
        <v>0</v>
      </c>
      <c r="BO2343">
        <v>0</v>
      </c>
      <c r="BP2343">
        <v>0</v>
      </c>
      <c r="BW2343" t="str">
        <f t="shared" si="1106"/>
        <v>14:45:17.591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343</v>
      </c>
      <c r="CR2343">
        <v>1</v>
      </c>
      <c r="CW2343">
        <v>10775283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1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 t="shared" si="1103"/>
        <v>05/12/2020 14:44:59.773</v>
      </c>
      <c r="C2344" t="str">
        <f t="shared" si="1097"/>
        <v>FFDFD3C0</v>
      </c>
      <c r="D2344" t="s">
        <v>126</v>
      </c>
      <c r="E2344">
        <v>6</v>
      </c>
      <c r="F2344">
        <v>1006</v>
      </c>
      <c r="G2344" t="s">
        <v>114</v>
      </c>
      <c r="J2344" t="s">
        <v>128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104"/>
        <v>14:45:17.586</v>
      </c>
      <c r="T2344" t="str">
        <f t="shared" si="1105"/>
        <v>14:45:17.486</v>
      </c>
      <c r="U2344" t="str">
        <f t="shared" si="1088"/>
        <v>A9808D</v>
      </c>
      <c r="V2344">
        <v>0</v>
      </c>
      <c r="W2344">
        <v>0</v>
      </c>
      <c r="X2344">
        <v>1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0</v>
      </c>
      <c r="AI2344" t="s">
        <v>591</v>
      </c>
      <c r="AJ2344">
        <v>28.256599999999999</v>
      </c>
      <c r="AK2344" t="s">
        <v>592</v>
      </c>
      <c r="AL2344">
        <v>-82.333580999999995</v>
      </c>
      <c r="AM2344">
        <v>100</v>
      </c>
      <c r="AN2344">
        <v>2200</v>
      </c>
      <c r="AO2344" t="s">
        <v>118</v>
      </c>
      <c r="AP2344">
        <v>91</v>
      </c>
      <c r="AQ2344">
        <v>-49</v>
      </c>
      <c r="AR2344">
        <v>1088</v>
      </c>
      <c r="AZ2344">
        <v>1200</v>
      </c>
      <c r="BA2344">
        <v>1</v>
      </c>
      <c r="BB2344" t="str">
        <f t="shared" si="1098"/>
        <v xml:space="preserve">N711JA  </v>
      </c>
      <c r="BC2344">
        <v>1</v>
      </c>
      <c r="BE2344">
        <v>0</v>
      </c>
      <c r="BF2344">
        <v>0</v>
      </c>
      <c r="BG2344">
        <v>0</v>
      </c>
      <c r="BH2344">
        <v>2325</v>
      </c>
      <c r="BI2344">
        <v>1</v>
      </c>
      <c r="BJ2344">
        <v>1</v>
      </c>
      <c r="BK2344">
        <v>0</v>
      </c>
      <c r="BL2344">
        <v>0</v>
      </c>
      <c r="BO2344">
        <v>0</v>
      </c>
      <c r="BP2344">
        <v>0</v>
      </c>
      <c r="BW2344" t="str">
        <f t="shared" si="1106"/>
        <v>14:45:17.591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343</v>
      </c>
      <c r="CR2344">
        <v>1</v>
      </c>
      <c r="CW2344">
        <v>10775283</v>
      </c>
      <c r="CY2344">
        <v>1</v>
      </c>
      <c r="CZ2344">
        <v>0</v>
      </c>
      <c r="DA2344">
        <v>1</v>
      </c>
      <c r="DB2344">
        <v>0</v>
      </c>
      <c r="DC2344">
        <v>0</v>
      </c>
      <c r="DD2344">
        <v>1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 t="shared" ref="A2345:A2353" si="1107">"05/12/2020 14:45:00.857"</f>
        <v>05/12/2020 14:45:00.857</v>
      </c>
      <c r="C2345" t="str">
        <f t="shared" si="1097"/>
        <v>FFDFD3C0</v>
      </c>
      <c r="D2345" t="s">
        <v>138</v>
      </c>
      <c r="E2345">
        <v>3</v>
      </c>
      <c r="H2345">
        <v>9</v>
      </c>
      <c r="I2345" t="s">
        <v>140</v>
      </c>
      <c r="J2345" t="s">
        <v>136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ref="S2345:S2353" si="1108">"14:45:18.680"</f>
        <v>14:45:18.680</v>
      </c>
      <c r="T2345" t="str">
        <f t="shared" ref="T2345:T2353" si="1109">"14:45:18.480"</f>
        <v>14:45:18.480</v>
      </c>
      <c r="U2345" t="str">
        <f t="shared" si="1088"/>
        <v>A9808D</v>
      </c>
      <c r="V2345">
        <v>0</v>
      </c>
      <c r="W2345">
        <v>0</v>
      </c>
      <c r="X2345">
        <v>1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0</v>
      </c>
      <c r="AI2345" t="s">
        <v>593</v>
      </c>
      <c r="AJ2345">
        <v>28.256342</v>
      </c>
      <c r="AK2345" t="s">
        <v>594</v>
      </c>
      <c r="AL2345">
        <v>-82.333066000000002</v>
      </c>
      <c r="AM2345">
        <v>100</v>
      </c>
      <c r="AN2345">
        <v>2200</v>
      </c>
      <c r="AO2345" t="s">
        <v>118</v>
      </c>
      <c r="AP2345">
        <v>90</v>
      </c>
      <c r="AQ2345">
        <v>-49</v>
      </c>
      <c r="AR2345">
        <v>896</v>
      </c>
      <c r="AZ2345">
        <v>1200</v>
      </c>
      <c r="BA2345">
        <v>1</v>
      </c>
      <c r="BB2345" t="str">
        <f t="shared" si="1098"/>
        <v xml:space="preserve">N711JA  </v>
      </c>
      <c r="BC2345">
        <v>1</v>
      </c>
      <c r="BE2345">
        <v>0</v>
      </c>
      <c r="BF2345">
        <v>0</v>
      </c>
      <c r="BG2345">
        <v>0</v>
      </c>
      <c r="BH2345">
        <v>2350</v>
      </c>
      <c r="BI2345">
        <v>1</v>
      </c>
      <c r="BJ2345">
        <v>1</v>
      </c>
      <c r="BK2345">
        <v>0</v>
      </c>
      <c r="BL2345">
        <v>0</v>
      </c>
      <c r="BO2345">
        <v>0</v>
      </c>
      <c r="BP2345">
        <v>0</v>
      </c>
      <c r="BW2345" t="str">
        <f t="shared" ref="BW2345:BW2353" si="1110">"14:45:18.683"</f>
        <v>14:45:18.683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343</v>
      </c>
      <c r="CR2345">
        <v>1</v>
      </c>
      <c r="CW2345">
        <v>10776392</v>
      </c>
      <c r="CY2345">
        <v>1</v>
      </c>
      <c r="CZ2345">
        <v>0</v>
      </c>
      <c r="DA2345">
        <v>0</v>
      </c>
      <c r="DB2345">
        <v>0</v>
      </c>
      <c r="DC2345">
        <v>0</v>
      </c>
      <c r="DD2345">
        <v>1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 t="shared" si="1107"/>
        <v>05/12/2020 14:45:00.857</v>
      </c>
      <c r="C2346" t="str">
        <f t="shared" si="1097"/>
        <v>FFDFD3C0</v>
      </c>
      <c r="D2346" t="s">
        <v>131</v>
      </c>
      <c r="E2346">
        <v>10</v>
      </c>
      <c r="F2346">
        <v>2010</v>
      </c>
      <c r="G2346" t="s">
        <v>132</v>
      </c>
      <c r="J2346" t="s">
        <v>133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108"/>
        <v>14:45:18.680</v>
      </c>
      <c r="T2346" t="str">
        <f t="shared" si="1109"/>
        <v>14:45:18.480</v>
      </c>
      <c r="U2346" t="str">
        <f t="shared" si="1088"/>
        <v>A9808D</v>
      </c>
      <c r="V2346">
        <v>0</v>
      </c>
      <c r="W2346">
        <v>0</v>
      </c>
      <c r="X2346">
        <v>1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0</v>
      </c>
      <c r="AI2346" t="s">
        <v>593</v>
      </c>
      <c r="AJ2346">
        <v>28.256342</v>
      </c>
      <c r="AK2346" t="s">
        <v>594</v>
      </c>
      <c r="AL2346">
        <v>-82.333066000000002</v>
      </c>
      <c r="AM2346">
        <v>100</v>
      </c>
      <c r="AN2346">
        <v>2200</v>
      </c>
      <c r="AO2346" t="s">
        <v>118</v>
      </c>
      <c r="AP2346">
        <v>90</v>
      </c>
      <c r="AQ2346">
        <v>-49</v>
      </c>
      <c r="AR2346">
        <v>896</v>
      </c>
      <c r="AZ2346">
        <v>1200</v>
      </c>
      <c r="BA2346">
        <v>1</v>
      </c>
      <c r="BB2346" t="str">
        <f t="shared" si="1098"/>
        <v xml:space="preserve">N711JA  </v>
      </c>
      <c r="BC2346">
        <v>1</v>
      </c>
      <c r="BE2346">
        <v>0</v>
      </c>
      <c r="BF2346">
        <v>0</v>
      </c>
      <c r="BG2346">
        <v>0</v>
      </c>
      <c r="BH2346">
        <v>2350</v>
      </c>
      <c r="BI2346">
        <v>1</v>
      </c>
      <c r="BJ2346">
        <v>1</v>
      </c>
      <c r="BK2346">
        <v>0</v>
      </c>
      <c r="BL2346">
        <v>0</v>
      </c>
      <c r="BO2346">
        <v>0</v>
      </c>
      <c r="BP2346">
        <v>0</v>
      </c>
      <c r="BW2346" t="str">
        <f t="shared" si="1110"/>
        <v>14:45:18.683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343</v>
      </c>
      <c r="CR2346">
        <v>1</v>
      </c>
      <c r="CW2346">
        <v>10776392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1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 t="shared" si="1107"/>
        <v>05/12/2020 14:45:00.857</v>
      </c>
      <c r="C2347" t="str">
        <f t="shared" si="1097"/>
        <v>FFDFD3C0</v>
      </c>
      <c r="D2347" t="s">
        <v>134</v>
      </c>
      <c r="E2347">
        <v>12</v>
      </c>
      <c r="H2347">
        <v>64</v>
      </c>
      <c r="I2347" t="s">
        <v>135</v>
      </c>
      <c r="J2347" t="s">
        <v>136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108"/>
        <v>14:45:18.680</v>
      </c>
      <c r="T2347" t="str">
        <f t="shared" si="1109"/>
        <v>14:45:18.480</v>
      </c>
      <c r="U2347" t="str">
        <f t="shared" si="1088"/>
        <v>A9808D</v>
      </c>
      <c r="V2347">
        <v>0</v>
      </c>
      <c r="W2347">
        <v>0</v>
      </c>
      <c r="X2347">
        <v>1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0</v>
      </c>
      <c r="AI2347" t="s">
        <v>593</v>
      </c>
      <c r="AJ2347">
        <v>28.256342</v>
      </c>
      <c r="AK2347" t="s">
        <v>594</v>
      </c>
      <c r="AL2347">
        <v>-82.333066000000002</v>
      </c>
      <c r="AM2347">
        <v>100</v>
      </c>
      <c r="AN2347">
        <v>2200</v>
      </c>
      <c r="AO2347" t="s">
        <v>118</v>
      </c>
      <c r="AP2347">
        <v>90</v>
      </c>
      <c r="AQ2347">
        <v>-49</v>
      </c>
      <c r="AR2347">
        <v>896</v>
      </c>
      <c r="AZ2347">
        <v>1200</v>
      </c>
      <c r="BA2347">
        <v>1</v>
      </c>
      <c r="BB2347" t="str">
        <f t="shared" si="1098"/>
        <v xml:space="preserve">N711JA  </v>
      </c>
      <c r="BC2347">
        <v>1</v>
      </c>
      <c r="BE2347">
        <v>0</v>
      </c>
      <c r="BF2347">
        <v>0</v>
      </c>
      <c r="BG2347">
        <v>0</v>
      </c>
      <c r="BH2347">
        <v>2350</v>
      </c>
      <c r="BI2347">
        <v>1</v>
      </c>
      <c r="BJ2347">
        <v>1</v>
      </c>
      <c r="BK2347">
        <v>0</v>
      </c>
      <c r="BL2347">
        <v>0</v>
      </c>
      <c r="BO2347">
        <v>0</v>
      </c>
      <c r="BP2347">
        <v>0</v>
      </c>
      <c r="BW2347" t="str">
        <f t="shared" si="1110"/>
        <v>14:45:18.683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343</v>
      </c>
      <c r="CR2347">
        <v>1</v>
      </c>
      <c r="CW2347">
        <v>10776392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1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 t="shared" si="1107"/>
        <v>05/12/2020 14:45:00.857</v>
      </c>
      <c r="C2348" t="str">
        <f t="shared" si="1097"/>
        <v>FFDFD3C0</v>
      </c>
      <c r="D2348" t="s">
        <v>126</v>
      </c>
      <c r="E2348">
        <v>7</v>
      </c>
      <c r="F2348">
        <v>1007</v>
      </c>
      <c r="G2348" t="s">
        <v>127</v>
      </c>
      <c r="J2348" t="s">
        <v>128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108"/>
        <v>14:45:18.680</v>
      </c>
      <c r="T2348" t="str">
        <f t="shared" si="1109"/>
        <v>14:45:18.480</v>
      </c>
      <c r="U2348" t="str">
        <f t="shared" si="1088"/>
        <v>A9808D</v>
      </c>
      <c r="V2348">
        <v>0</v>
      </c>
      <c r="W2348">
        <v>0</v>
      </c>
      <c r="X2348">
        <v>1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0</v>
      </c>
      <c r="AI2348" t="s">
        <v>593</v>
      </c>
      <c r="AJ2348">
        <v>28.256342</v>
      </c>
      <c r="AK2348" t="s">
        <v>594</v>
      </c>
      <c r="AL2348">
        <v>-82.333066000000002</v>
      </c>
      <c r="AM2348">
        <v>100</v>
      </c>
      <c r="AN2348">
        <v>2200</v>
      </c>
      <c r="AO2348" t="s">
        <v>118</v>
      </c>
      <c r="AP2348">
        <v>90</v>
      </c>
      <c r="AQ2348">
        <v>-49</v>
      </c>
      <c r="AR2348">
        <v>896</v>
      </c>
      <c r="AZ2348">
        <v>1200</v>
      </c>
      <c r="BA2348">
        <v>1</v>
      </c>
      <c r="BB2348" t="str">
        <f t="shared" si="1098"/>
        <v xml:space="preserve">N711JA  </v>
      </c>
      <c r="BC2348">
        <v>1</v>
      </c>
      <c r="BE2348">
        <v>0</v>
      </c>
      <c r="BF2348">
        <v>0</v>
      </c>
      <c r="BG2348">
        <v>0</v>
      </c>
      <c r="BH2348">
        <v>2350</v>
      </c>
      <c r="BI2348">
        <v>1</v>
      </c>
      <c r="BJ2348">
        <v>1</v>
      </c>
      <c r="BK2348">
        <v>0</v>
      </c>
      <c r="BL2348">
        <v>0</v>
      </c>
      <c r="BO2348">
        <v>0</v>
      </c>
      <c r="BP2348">
        <v>0</v>
      </c>
      <c r="BW2348" t="str">
        <f t="shared" si="1110"/>
        <v>14:45:18.683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343</v>
      </c>
      <c r="CR2348">
        <v>1</v>
      </c>
      <c r="CW2348">
        <v>10776392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1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 t="shared" si="1107"/>
        <v>05/12/2020 14:45:00.857</v>
      </c>
      <c r="C2349" t="str">
        <f t="shared" si="1097"/>
        <v>FFDFD3C0</v>
      </c>
      <c r="D2349" t="s">
        <v>113</v>
      </c>
      <c r="E2349">
        <v>3</v>
      </c>
      <c r="H2349">
        <v>164</v>
      </c>
      <c r="I2349" t="s">
        <v>114</v>
      </c>
      <c r="J2349" t="s">
        <v>115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108"/>
        <v>14:45:18.680</v>
      </c>
      <c r="T2349" t="str">
        <f t="shared" si="1109"/>
        <v>14:45:18.480</v>
      </c>
      <c r="U2349" t="str">
        <f t="shared" si="1088"/>
        <v>A9808D</v>
      </c>
      <c r="V2349">
        <v>0</v>
      </c>
      <c r="W2349">
        <v>0</v>
      </c>
      <c r="X2349">
        <v>1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0</v>
      </c>
      <c r="AI2349" t="s">
        <v>593</v>
      </c>
      <c r="AJ2349">
        <v>28.256342</v>
      </c>
      <c r="AK2349" t="s">
        <v>594</v>
      </c>
      <c r="AL2349">
        <v>-82.333066000000002</v>
      </c>
      <c r="AM2349">
        <v>100</v>
      </c>
      <c r="AN2349">
        <v>2200</v>
      </c>
      <c r="AO2349" t="s">
        <v>118</v>
      </c>
      <c r="AP2349">
        <v>90</v>
      </c>
      <c r="AQ2349">
        <v>-49</v>
      </c>
      <c r="AR2349">
        <v>896</v>
      </c>
      <c r="AZ2349">
        <v>1200</v>
      </c>
      <c r="BA2349">
        <v>1</v>
      </c>
      <c r="BB2349" t="str">
        <f t="shared" si="1098"/>
        <v xml:space="preserve">N711JA  </v>
      </c>
      <c r="BC2349">
        <v>1</v>
      </c>
      <c r="BE2349">
        <v>0</v>
      </c>
      <c r="BF2349">
        <v>0</v>
      </c>
      <c r="BG2349">
        <v>0</v>
      </c>
      <c r="BH2349">
        <v>2350</v>
      </c>
      <c r="BI2349">
        <v>1</v>
      </c>
      <c r="BJ2349">
        <v>1</v>
      </c>
      <c r="BK2349">
        <v>0</v>
      </c>
      <c r="BL2349">
        <v>0</v>
      </c>
      <c r="BO2349">
        <v>0</v>
      </c>
      <c r="BP2349">
        <v>0</v>
      </c>
      <c r="BW2349" t="str">
        <f t="shared" si="1110"/>
        <v>14:45:18.683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343</v>
      </c>
      <c r="CR2349">
        <v>1</v>
      </c>
      <c r="CW2349">
        <v>10776392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1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 t="shared" si="1107"/>
        <v>05/12/2020 14:45:00.857</v>
      </c>
      <c r="C2350" t="str">
        <f t="shared" si="1097"/>
        <v>FFDFD3C0</v>
      </c>
      <c r="D2350" t="s">
        <v>131</v>
      </c>
      <c r="E2350">
        <v>12</v>
      </c>
      <c r="F2350">
        <v>2012</v>
      </c>
      <c r="G2350" t="s">
        <v>137</v>
      </c>
      <c r="J2350" t="s">
        <v>133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108"/>
        <v>14:45:18.680</v>
      </c>
      <c r="T2350" t="str">
        <f t="shared" si="1109"/>
        <v>14:45:18.480</v>
      </c>
      <c r="U2350" t="str">
        <f t="shared" si="1088"/>
        <v>A9808D</v>
      </c>
      <c r="V2350">
        <v>0</v>
      </c>
      <c r="W2350">
        <v>0</v>
      </c>
      <c r="X2350">
        <v>1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0</v>
      </c>
      <c r="AI2350" t="s">
        <v>593</v>
      </c>
      <c r="AJ2350">
        <v>28.256342</v>
      </c>
      <c r="AK2350" t="s">
        <v>594</v>
      </c>
      <c r="AL2350">
        <v>-82.333066000000002</v>
      </c>
      <c r="AM2350">
        <v>100</v>
      </c>
      <c r="AN2350">
        <v>2200</v>
      </c>
      <c r="AO2350" t="s">
        <v>118</v>
      </c>
      <c r="AP2350">
        <v>90</v>
      </c>
      <c r="AQ2350">
        <v>-49</v>
      </c>
      <c r="AR2350">
        <v>896</v>
      </c>
      <c r="AZ2350">
        <v>1200</v>
      </c>
      <c r="BA2350">
        <v>1</v>
      </c>
      <c r="BB2350" t="str">
        <f t="shared" si="1098"/>
        <v xml:space="preserve">N711JA  </v>
      </c>
      <c r="BC2350">
        <v>1</v>
      </c>
      <c r="BE2350">
        <v>0</v>
      </c>
      <c r="BF2350">
        <v>0</v>
      </c>
      <c r="BG2350">
        <v>0</v>
      </c>
      <c r="BH2350">
        <v>2350</v>
      </c>
      <c r="BI2350">
        <v>1</v>
      </c>
      <c r="BJ2350">
        <v>1</v>
      </c>
      <c r="BK2350">
        <v>0</v>
      </c>
      <c r="BL2350">
        <v>0</v>
      </c>
      <c r="BO2350">
        <v>0</v>
      </c>
      <c r="BP2350">
        <v>0</v>
      </c>
      <c r="BW2350" t="str">
        <f t="shared" si="1110"/>
        <v>14:45:18.683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343</v>
      </c>
      <c r="CR2350">
        <v>1</v>
      </c>
      <c r="CW2350">
        <v>10776392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1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 t="shared" si="1107"/>
        <v>05/12/2020 14:45:00.857</v>
      </c>
      <c r="C2351" t="str">
        <f t="shared" si="1097"/>
        <v>FFDFD3C0</v>
      </c>
      <c r="D2351" t="s">
        <v>138</v>
      </c>
      <c r="E2351">
        <v>2</v>
      </c>
      <c r="H2351">
        <v>8</v>
      </c>
      <c r="I2351" t="s">
        <v>139</v>
      </c>
      <c r="J2351" t="s">
        <v>136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108"/>
        <v>14:45:18.680</v>
      </c>
      <c r="T2351" t="str">
        <f t="shared" si="1109"/>
        <v>14:45:18.480</v>
      </c>
      <c r="U2351" t="str">
        <f t="shared" si="1088"/>
        <v>A9808D</v>
      </c>
      <c r="V2351">
        <v>0</v>
      </c>
      <c r="W2351">
        <v>0</v>
      </c>
      <c r="X2351">
        <v>1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0</v>
      </c>
      <c r="AI2351" t="s">
        <v>593</v>
      </c>
      <c r="AJ2351">
        <v>28.256342</v>
      </c>
      <c r="AK2351" t="s">
        <v>594</v>
      </c>
      <c r="AL2351">
        <v>-82.333066000000002</v>
      </c>
      <c r="AM2351">
        <v>100</v>
      </c>
      <c r="AN2351">
        <v>2200</v>
      </c>
      <c r="AO2351" t="s">
        <v>118</v>
      </c>
      <c r="AP2351">
        <v>90</v>
      </c>
      <c r="AQ2351">
        <v>-49</v>
      </c>
      <c r="AR2351">
        <v>896</v>
      </c>
      <c r="AZ2351">
        <v>1200</v>
      </c>
      <c r="BA2351">
        <v>1</v>
      </c>
      <c r="BB2351" t="str">
        <f t="shared" si="1098"/>
        <v xml:space="preserve">N711JA  </v>
      </c>
      <c r="BC2351">
        <v>1</v>
      </c>
      <c r="BE2351">
        <v>0</v>
      </c>
      <c r="BF2351">
        <v>0</v>
      </c>
      <c r="BG2351">
        <v>0</v>
      </c>
      <c r="BH2351">
        <v>2350</v>
      </c>
      <c r="BI2351">
        <v>1</v>
      </c>
      <c r="BJ2351">
        <v>1</v>
      </c>
      <c r="BK2351">
        <v>0</v>
      </c>
      <c r="BL2351">
        <v>0</v>
      </c>
      <c r="BO2351">
        <v>0</v>
      </c>
      <c r="BP2351">
        <v>0</v>
      </c>
      <c r="BW2351" t="str">
        <f t="shared" si="1110"/>
        <v>14:45:18.683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343</v>
      </c>
      <c r="CR2351">
        <v>1</v>
      </c>
      <c r="CW2351">
        <v>10776392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1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 t="shared" si="1107"/>
        <v>05/12/2020 14:45:00.857</v>
      </c>
      <c r="C2352" t="str">
        <f t="shared" si="1097"/>
        <v>FFDFD3C0</v>
      </c>
      <c r="D2352" t="s">
        <v>131</v>
      </c>
      <c r="E2352">
        <v>18</v>
      </c>
      <c r="F2352">
        <v>2018</v>
      </c>
      <c r="G2352" t="s">
        <v>161</v>
      </c>
      <c r="J2352" t="s">
        <v>133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108"/>
        <v>14:45:18.680</v>
      </c>
      <c r="T2352" t="str">
        <f t="shared" si="1109"/>
        <v>14:45:18.480</v>
      </c>
      <c r="U2352" t="str">
        <f t="shared" si="1088"/>
        <v>A9808D</v>
      </c>
      <c r="V2352">
        <v>0</v>
      </c>
      <c r="W2352">
        <v>0</v>
      </c>
      <c r="X2352">
        <v>1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0</v>
      </c>
      <c r="AI2352" t="s">
        <v>593</v>
      </c>
      <c r="AJ2352">
        <v>28.256342</v>
      </c>
      <c r="AK2352" t="s">
        <v>594</v>
      </c>
      <c r="AL2352">
        <v>-82.333066000000002</v>
      </c>
      <c r="AM2352">
        <v>100</v>
      </c>
      <c r="AN2352">
        <v>2200</v>
      </c>
      <c r="AO2352" t="s">
        <v>118</v>
      </c>
      <c r="AP2352">
        <v>90</v>
      </c>
      <c r="AQ2352">
        <v>-49</v>
      </c>
      <c r="AR2352">
        <v>896</v>
      </c>
      <c r="AZ2352">
        <v>1200</v>
      </c>
      <c r="BA2352">
        <v>1</v>
      </c>
      <c r="BB2352" t="str">
        <f t="shared" si="1098"/>
        <v xml:space="preserve">N711JA  </v>
      </c>
      <c r="BC2352">
        <v>1</v>
      </c>
      <c r="BE2352">
        <v>0</v>
      </c>
      <c r="BF2352">
        <v>0</v>
      </c>
      <c r="BG2352">
        <v>0</v>
      </c>
      <c r="BH2352">
        <v>2350</v>
      </c>
      <c r="BI2352">
        <v>1</v>
      </c>
      <c r="BJ2352">
        <v>1</v>
      </c>
      <c r="BK2352">
        <v>0</v>
      </c>
      <c r="BL2352">
        <v>0</v>
      </c>
      <c r="BO2352">
        <v>0</v>
      </c>
      <c r="BP2352">
        <v>0</v>
      </c>
      <c r="BW2352" t="str">
        <f t="shared" si="1110"/>
        <v>14:45:18.683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343</v>
      </c>
      <c r="CR2352">
        <v>1</v>
      </c>
      <c r="CW2352">
        <v>10776392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1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 t="shared" si="1107"/>
        <v>05/12/2020 14:45:00.857</v>
      </c>
      <c r="C2353" t="str">
        <f t="shared" si="1097"/>
        <v>FFDFD3C0</v>
      </c>
      <c r="D2353" t="s">
        <v>126</v>
      </c>
      <c r="E2353">
        <v>6</v>
      </c>
      <c r="F2353">
        <v>1006</v>
      </c>
      <c r="G2353" t="s">
        <v>114</v>
      </c>
      <c r="J2353" t="s">
        <v>128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108"/>
        <v>14:45:18.680</v>
      </c>
      <c r="T2353" t="str">
        <f t="shared" si="1109"/>
        <v>14:45:18.480</v>
      </c>
      <c r="U2353" t="str">
        <f t="shared" si="1088"/>
        <v>A9808D</v>
      </c>
      <c r="V2353">
        <v>0</v>
      </c>
      <c r="W2353">
        <v>0</v>
      </c>
      <c r="X2353">
        <v>1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0</v>
      </c>
      <c r="AI2353" t="s">
        <v>593</v>
      </c>
      <c r="AJ2353">
        <v>28.256342</v>
      </c>
      <c r="AK2353" t="s">
        <v>594</v>
      </c>
      <c r="AL2353">
        <v>-82.333066000000002</v>
      </c>
      <c r="AM2353">
        <v>100</v>
      </c>
      <c r="AN2353">
        <v>2200</v>
      </c>
      <c r="AO2353" t="s">
        <v>118</v>
      </c>
      <c r="AP2353">
        <v>90</v>
      </c>
      <c r="AQ2353">
        <v>-49</v>
      </c>
      <c r="AR2353">
        <v>896</v>
      </c>
      <c r="AZ2353">
        <v>1200</v>
      </c>
      <c r="BA2353">
        <v>1</v>
      </c>
      <c r="BB2353" t="str">
        <f t="shared" si="1098"/>
        <v xml:space="preserve">N711JA  </v>
      </c>
      <c r="BC2353">
        <v>1</v>
      </c>
      <c r="BE2353">
        <v>0</v>
      </c>
      <c r="BF2353">
        <v>0</v>
      </c>
      <c r="BG2353">
        <v>0</v>
      </c>
      <c r="BH2353">
        <v>2350</v>
      </c>
      <c r="BI2353">
        <v>1</v>
      </c>
      <c r="BJ2353">
        <v>1</v>
      </c>
      <c r="BK2353">
        <v>0</v>
      </c>
      <c r="BL2353">
        <v>0</v>
      </c>
      <c r="BO2353">
        <v>0</v>
      </c>
      <c r="BP2353">
        <v>0</v>
      </c>
      <c r="BW2353" t="str">
        <f t="shared" si="1110"/>
        <v>14:45:18.683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343</v>
      </c>
      <c r="CR2353">
        <v>1</v>
      </c>
      <c r="CW2353">
        <v>10776392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1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 t="shared" ref="A2354:A2362" si="1111">"05/12/2020 14:45:01.746"</f>
        <v>05/12/2020 14:45:01.746</v>
      </c>
      <c r="C2354" t="str">
        <f t="shared" si="1097"/>
        <v>FFDFD3C0</v>
      </c>
      <c r="D2354" t="s">
        <v>113</v>
      </c>
      <c r="E2354">
        <v>3</v>
      </c>
      <c r="H2354">
        <v>164</v>
      </c>
      <c r="I2354" t="s">
        <v>114</v>
      </c>
      <c r="J2354" t="s">
        <v>115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ref="S2354:S2362" si="1112">"14:45:19.578"</f>
        <v>14:45:19.578</v>
      </c>
      <c r="T2354" t="str">
        <f t="shared" ref="T2354:T2362" si="1113">"14:45:19.378"</f>
        <v>14:45:19.378</v>
      </c>
      <c r="U2354" t="str">
        <f t="shared" si="1088"/>
        <v>A9808D</v>
      </c>
      <c r="V2354">
        <v>0</v>
      </c>
      <c r="W2354">
        <v>0</v>
      </c>
      <c r="X2354">
        <v>1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0</v>
      </c>
      <c r="AI2354" t="s">
        <v>595</v>
      </c>
      <c r="AJ2354">
        <v>28.256128</v>
      </c>
      <c r="AK2354" t="s">
        <v>596</v>
      </c>
      <c r="AL2354">
        <v>-82.332679999999996</v>
      </c>
      <c r="AM2354">
        <v>100</v>
      </c>
      <c r="AN2354">
        <v>2200</v>
      </c>
      <c r="AO2354" t="s">
        <v>118</v>
      </c>
      <c r="AP2354">
        <v>90</v>
      </c>
      <c r="AQ2354">
        <v>-48</v>
      </c>
      <c r="AR2354">
        <v>512</v>
      </c>
      <c r="AZ2354">
        <v>1200</v>
      </c>
      <c r="BA2354">
        <v>1</v>
      </c>
      <c r="BB2354" t="str">
        <f t="shared" si="1098"/>
        <v xml:space="preserve">N711JA  </v>
      </c>
      <c r="BC2354">
        <v>1</v>
      </c>
      <c r="BE2354">
        <v>0</v>
      </c>
      <c r="BF2354">
        <v>0</v>
      </c>
      <c r="BG2354">
        <v>0</v>
      </c>
      <c r="BH2354">
        <v>2350</v>
      </c>
      <c r="BI2354">
        <v>1</v>
      </c>
      <c r="BJ2354">
        <v>1</v>
      </c>
      <c r="BK2354">
        <v>0</v>
      </c>
      <c r="BL2354">
        <v>0</v>
      </c>
      <c r="BO2354">
        <v>0</v>
      </c>
      <c r="BP2354">
        <v>0</v>
      </c>
      <c r="BW2354" t="str">
        <f t="shared" ref="BW2354:BW2362" si="1114">"14:45:19.582"</f>
        <v>14:45:19.582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343</v>
      </c>
      <c r="CR2354">
        <v>2</v>
      </c>
      <c r="CW2354">
        <v>13130663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1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 t="shared" si="1111"/>
        <v>05/12/2020 14:45:01.746</v>
      </c>
      <c r="C2355" t="str">
        <f t="shared" si="1097"/>
        <v>FFDFD3C0</v>
      </c>
      <c r="D2355" t="s">
        <v>134</v>
      </c>
      <c r="E2355">
        <v>12</v>
      </c>
      <c r="H2355">
        <v>64</v>
      </c>
      <c r="I2355" t="s">
        <v>135</v>
      </c>
      <c r="J2355" t="s">
        <v>136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112"/>
        <v>14:45:19.578</v>
      </c>
      <c r="T2355" t="str">
        <f t="shared" si="1113"/>
        <v>14:45:19.378</v>
      </c>
      <c r="U2355" t="str">
        <f t="shared" si="1088"/>
        <v>A9808D</v>
      </c>
      <c r="V2355">
        <v>0</v>
      </c>
      <c r="W2355">
        <v>0</v>
      </c>
      <c r="X2355">
        <v>1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0</v>
      </c>
      <c r="AI2355" t="s">
        <v>595</v>
      </c>
      <c r="AJ2355">
        <v>28.256128</v>
      </c>
      <c r="AK2355" t="s">
        <v>596</v>
      </c>
      <c r="AL2355">
        <v>-82.332679999999996</v>
      </c>
      <c r="AM2355">
        <v>100</v>
      </c>
      <c r="AN2355">
        <v>2200</v>
      </c>
      <c r="AO2355" t="s">
        <v>118</v>
      </c>
      <c r="AP2355">
        <v>90</v>
      </c>
      <c r="AQ2355">
        <v>-48</v>
      </c>
      <c r="AR2355">
        <v>512</v>
      </c>
      <c r="AZ2355">
        <v>1200</v>
      </c>
      <c r="BA2355">
        <v>1</v>
      </c>
      <c r="BB2355" t="str">
        <f t="shared" si="1098"/>
        <v xml:space="preserve">N711JA  </v>
      </c>
      <c r="BC2355">
        <v>1</v>
      </c>
      <c r="BE2355">
        <v>0</v>
      </c>
      <c r="BF2355">
        <v>0</v>
      </c>
      <c r="BG2355">
        <v>0</v>
      </c>
      <c r="BH2355">
        <v>2350</v>
      </c>
      <c r="BI2355">
        <v>1</v>
      </c>
      <c r="BJ2355">
        <v>1</v>
      </c>
      <c r="BK2355">
        <v>0</v>
      </c>
      <c r="BL2355">
        <v>0</v>
      </c>
      <c r="BO2355">
        <v>0</v>
      </c>
      <c r="BP2355">
        <v>0</v>
      </c>
      <c r="BW2355" t="str">
        <f t="shared" si="1114"/>
        <v>14:45:19.582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343</v>
      </c>
      <c r="CR2355">
        <v>2</v>
      </c>
      <c r="CW2355">
        <v>13130663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1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 t="shared" si="1111"/>
        <v>05/12/2020 14:45:01.746</v>
      </c>
      <c r="C2356" t="str">
        <f t="shared" si="1097"/>
        <v>FFDFD3C0</v>
      </c>
      <c r="D2356" t="s">
        <v>131</v>
      </c>
      <c r="E2356">
        <v>18</v>
      </c>
      <c r="F2356">
        <v>2018</v>
      </c>
      <c r="G2356" t="s">
        <v>161</v>
      </c>
      <c r="J2356" t="s">
        <v>133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112"/>
        <v>14:45:19.578</v>
      </c>
      <c r="T2356" t="str">
        <f t="shared" si="1113"/>
        <v>14:45:19.378</v>
      </c>
      <c r="U2356" t="str">
        <f t="shared" si="1088"/>
        <v>A9808D</v>
      </c>
      <c r="V2356">
        <v>0</v>
      </c>
      <c r="W2356">
        <v>0</v>
      </c>
      <c r="X2356">
        <v>1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0</v>
      </c>
      <c r="AI2356" t="s">
        <v>595</v>
      </c>
      <c r="AJ2356">
        <v>28.256128</v>
      </c>
      <c r="AK2356" t="s">
        <v>596</v>
      </c>
      <c r="AL2356">
        <v>-82.332679999999996</v>
      </c>
      <c r="AM2356">
        <v>100</v>
      </c>
      <c r="AN2356">
        <v>2200</v>
      </c>
      <c r="AO2356" t="s">
        <v>118</v>
      </c>
      <c r="AP2356">
        <v>90</v>
      </c>
      <c r="AQ2356">
        <v>-48</v>
      </c>
      <c r="AR2356">
        <v>512</v>
      </c>
      <c r="AZ2356">
        <v>1200</v>
      </c>
      <c r="BA2356">
        <v>1</v>
      </c>
      <c r="BB2356" t="str">
        <f t="shared" si="1098"/>
        <v xml:space="preserve">N711JA  </v>
      </c>
      <c r="BC2356">
        <v>1</v>
      </c>
      <c r="BE2356">
        <v>0</v>
      </c>
      <c r="BF2356">
        <v>0</v>
      </c>
      <c r="BG2356">
        <v>0</v>
      </c>
      <c r="BH2356">
        <v>2350</v>
      </c>
      <c r="BI2356">
        <v>1</v>
      </c>
      <c r="BJ2356">
        <v>1</v>
      </c>
      <c r="BK2356">
        <v>0</v>
      </c>
      <c r="BL2356">
        <v>0</v>
      </c>
      <c r="BO2356">
        <v>0</v>
      </c>
      <c r="BP2356">
        <v>0</v>
      </c>
      <c r="BW2356" t="str">
        <f t="shared" si="1114"/>
        <v>14:45:19.582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343</v>
      </c>
      <c r="CR2356">
        <v>2</v>
      </c>
      <c r="CW2356">
        <v>13130663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1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 t="shared" si="1111"/>
        <v>05/12/2020 14:45:01.746</v>
      </c>
      <c r="C2357" t="str">
        <f t="shared" si="1097"/>
        <v>FFDFD3C0</v>
      </c>
      <c r="D2357" t="s">
        <v>138</v>
      </c>
      <c r="E2357">
        <v>2</v>
      </c>
      <c r="H2357">
        <v>8</v>
      </c>
      <c r="I2357" t="s">
        <v>139</v>
      </c>
      <c r="J2357" t="s">
        <v>136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112"/>
        <v>14:45:19.578</v>
      </c>
      <c r="T2357" t="str">
        <f t="shared" si="1113"/>
        <v>14:45:19.378</v>
      </c>
      <c r="U2357" t="str">
        <f t="shared" si="1088"/>
        <v>A9808D</v>
      </c>
      <c r="V2357">
        <v>0</v>
      </c>
      <c r="W2357">
        <v>0</v>
      </c>
      <c r="X2357">
        <v>1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0</v>
      </c>
      <c r="AI2357" t="s">
        <v>595</v>
      </c>
      <c r="AJ2357">
        <v>28.256128</v>
      </c>
      <c r="AK2357" t="s">
        <v>596</v>
      </c>
      <c r="AL2357">
        <v>-82.332679999999996</v>
      </c>
      <c r="AM2357">
        <v>100</v>
      </c>
      <c r="AN2357">
        <v>2200</v>
      </c>
      <c r="AO2357" t="s">
        <v>118</v>
      </c>
      <c r="AP2357">
        <v>90</v>
      </c>
      <c r="AQ2357">
        <v>-48</v>
      </c>
      <c r="AR2357">
        <v>512</v>
      </c>
      <c r="AZ2357">
        <v>1200</v>
      </c>
      <c r="BA2357">
        <v>1</v>
      </c>
      <c r="BB2357" t="str">
        <f t="shared" si="1098"/>
        <v xml:space="preserve">N711JA  </v>
      </c>
      <c r="BC2357">
        <v>1</v>
      </c>
      <c r="BE2357">
        <v>0</v>
      </c>
      <c r="BF2357">
        <v>0</v>
      </c>
      <c r="BG2357">
        <v>0</v>
      </c>
      <c r="BH2357">
        <v>2350</v>
      </c>
      <c r="BI2357">
        <v>1</v>
      </c>
      <c r="BJ2357">
        <v>1</v>
      </c>
      <c r="BK2357">
        <v>0</v>
      </c>
      <c r="BL2357">
        <v>0</v>
      </c>
      <c r="BO2357">
        <v>0</v>
      </c>
      <c r="BP2357">
        <v>0</v>
      </c>
      <c r="BW2357" t="str">
        <f t="shared" si="1114"/>
        <v>14:45:19.582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343</v>
      </c>
      <c r="CR2357">
        <v>2</v>
      </c>
      <c r="CW2357">
        <v>13130663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1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 t="shared" si="1111"/>
        <v>05/12/2020 14:45:01.746</v>
      </c>
      <c r="C2358" t="str">
        <f t="shared" si="1097"/>
        <v>FFDFD3C0</v>
      </c>
      <c r="D2358" t="s">
        <v>126</v>
      </c>
      <c r="E2358">
        <v>6</v>
      </c>
      <c r="F2358">
        <v>1006</v>
      </c>
      <c r="G2358" t="s">
        <v>114</v>
      </c>
      <c r="J2358" t="s">
        <v>128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112"/>
        <v>14:45:19.578</v>
      </c>
      <c r="T2358" t="str">
        <f t="shared" si="1113"/>
        <v>14:45:19.378</v>
      </c>
      <c r="U2358" t="str">
        <f t="shared" si="1088"/>
        <v>A9808D</v>
      </c>
      <c r="V2358">
        <v>0</v>
      </c>
      <c r="W2358">
        <v>0</v>
      </c>
      <c r="X2358">
        <v>1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0</v>
      </c>
      <c r="AI2358" t="s">
        <v>595</v>
      </c>
      <c r="AJ2358">
        <v>28.256128</v>
      </c>
      <c r="AK2358" t="s">
        <v>596</v>
      </c>
      <c r="AL2358">
        <v>-82.332679999999996</v>
      </c>
      <c r="AM2358">
        <v>100</v>
      </c>
      <c r="AN2358">
        <v>2200</v>
      </c>
      <c r="AO2358" t="s">
        <v>118</v>
      </c>
      <c r="AP2358">
        <v>90</v>
      </c>
      <c r="AQ2358">
        <v>-48</v>
      </c>
      <c r="AR2358">
        <v>512</v>
      </c>
      <c r="AZ2358">
        <v>1200</v>
      </c>
      <c r="BA2358">
        <v>1</v>
      </c>
      <c r="BB2358" t="str">
        <f t="shared" si="1098"/>
        <v xml:space="preserve">N711JA  </v>
      </c>
      <c r="BC2358">
        <v>1</v>
      </c>
      <c r="BE2358">
        <v>0</v>
      </c>
      <c r="BF2358">
        <v>0</v>
      </c>
      <c r="BG2358">
        <v>0</v>
      </c>
      <c r="BH2358">
        <v>2350</v>
      </c>
      <c r="BI2358">
        <v>1</v>
      </c>
      <c r="BJ2358">
        <v>1</v>
      </c>
      <c r="BK2358">
        <v>0</v>
      </c>
      <c r="BL2358">
        <v>0</v>
      </c>
      <c r="BO2358">
        <v>0</v>
      </c>
      <c r="BP2358">
        <v>0</v>
      </c>
      <c r="BW2358" t="str">
        <f t="shared" si="1114"/>
        <v>14:45:19.582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343</v>
      </c>
      <c r="CR2358">
        <v>2</v>
      </c>
      <c r="CW2358">
        <v>13130663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1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 t="shared" si="1111"/>
        <v>05/12/2020 14:45:01.746</v>
      </c>
      <c r="C2359" t="str">
        <f t="shared" si="1097"/>
        <v>FFDFD3C0</v>
      </c>
      <c r="D2359" t="s">
        <v>138</v>
      </c>
      <c r="E2359">
        <v>3</v>
      </c>
      <c r="H2359">
        <v>9</v>
      </c>
      <c r="I2359" t="s">
        <v>140</v>
      </c>
      <c r="J2359" t="s">
        <v>136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112"/>
        <v>14:45:19.578</v>
      </c>
      <c r="T2359" t="str">
        <f t="shared" si="1113"/>
        <v>14:45:19.378</v>
      </c>
      <c r="U2359" t="str">
        <f t="shared" si="1088"/>
        <v>A9808D</v>
      </c>
      <c r="V2359">
        <v>0</v>
      </c>
      <c r="W2359">
        <v>0</v>
      </c>
      <c r="X2359">
        <v>1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0</v>
      </c>
      <c r="AI2359" t="s">
        <v>595</v>
      </c>
      <c r="AJ2359">
        <v>28.256128</v>
      </c>
      <c r="AK2359" t="s">
        <v>596</v>
      </c>
      <c r="AL2359">
        <v>-82.332679999999996</v>
      </c>
      <c r="AM2359">
        <v>100</v>
      </c>
      <c r="AN2359">
        <v>2200</v>
      </c>
      <c r="AO2359" t="s">
        <v>118</v>
      </c>
      <c r="AP2359">
        <v>90</v>
      </c>
      <c r="AQ2359">
        <v>-48</v>
      </c>
      <c r="AR2359">
        <v>512</v>
      </c>
      <c r="AZ2359">
        <v>1200</v>
      </c>
      <c r="BA2359">
        <v>1</v>
      </c>
      <c r="BB2359" t="str">
        <f t="shared" si="1098"/>
        <v xml:space="preserve">N711JA  </v>
      </c>
      <c r="BC2359">
        <v>1</v>
      </c>
      <c r="BE2359">
        <v>0</v>
      </c>
      <c r="BF2359">
        <v>0</v>
      </c>
      <c r="BG2359">
        <v>0</v>
      </c>
      <c r="BH2359">
        <v>2350</v>
      </c>
      <c r="BI2359">
        <v>1</v>
      </c>
      <c r="BJ2359">
        <v>1</v>
      </c>
      <c r="BK2359">
        <v>0</v>
      </c>
      <c r="BL2359">
        <v>0</v>
      </c>
      <c r="BO2359">
        <v>0</v>
      </c>
      <c r="BP2359">
        <v>0</v>
      </c>
      <c r="BW2359" t="str">
        <f t="shared" si="1114"/>
        <v>14:45:19.582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343</v>
      </c>
      <c r="CR2359">
        <v>2</v>
      </c>
      <c r="CW2359">
        <v>13130663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1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 t="shared" si="1111"/>
        <v>05/12/2020 14:45:01.746</v>
      </c>
      <c r="C2360" t="str">
        <f t="shared" si="1097"/>
        <v>FFDFD3C0</v>
      </c>
      <c r="D2360" t="s">
        <v>131</v>
      </c>
      <c r="E2360">
        <v>10</v>
      </c>
      <c r="F2360">
        <v>2010</v>
      </c>
      <c r="G2360" t="s">
        <v>132</v>
      </c>
      <c r="J2360" t="s">
        <v>133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112"/>
        <v>14:45:19.578</v>
      </c>
      <c r="T2360" t="str">
        <f t="shared" si="1113"/>
        <v>14:45:19.378</v>
      </c>
      <c r="U2360" t="str">
        <f t="shared" si="1088"/>
        <v>A9808D</v>
      </c>
      <c r="V2360">
        <v>0</v>
      </c>
      <c r="W2360">
        <v>0</v>
      </c>
      <c r="X2360">
        <v>1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0</v>
      </c>
      <c r="AI2360" t="s">
        <v>595</v>
      </c>
      <c r="AJ2360">
        <v>28.256128</v>
      </c>
      <c r="AK2360" t="s">
        <v>596</v>
      </c>
      <c r="AL2360">
        <v>-82.332679999999996</v>
      </c>
      <c r="AM2360">
        <v>100</v>
      </c>
      <c r="AN2360">
        <v>2200</v>
      </c>
      <c r="AO2360" t="s">
        <v>118</v>
      </c>
      <c r="AP2360">
        <v>90</v>
      </c>
      <c r="AQ2360">
        <v>-48</v>
      </c>
      <c r="AR2360">
        <v>512</v>
      </c>
      <c r="AZ2360">
        <v>1200</v>
      </c>
      <c r="BA2360">
        <v>1</v>
      </c>
      <c r="BB2360" t="str">
        <f t="shared" si="1098"/>
        <v xml:space="preserve">N711JA  </v>
      </c>
      <c r="BC2360">
        <v>1</v>
      </c>
      <c r="BE2360">
        <v>0</v>
      </c>
      <c r="BF2360">
        <v>0</v>
      </c>
      <c r="BG2360">
        <v>0</v>
      </c>
      <c r="BH2360">
        <v>2350</v>
      </c>
      <c r="BI2360">
        <v>1</v>
      </c>
      <c r="BJ2360">
        <v>1</v>
      </c>
      <c r="BK2360">
        <v>0</v>
      </c>
      <c r="BL2360">
        <v>0</v>
      </c>
      <c r="BO2360">
        <v>0</v>
      </c>
      <c r="BP2360">
        <v>0</v>
      </c>
      <c r="BW2360" t="str">
        <f t="shared" si="1114"/>
        <v>14:45:19.582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343</v>
      </c>
      <c r="CR2360">
        <v>2</v>
      </c>
      <c r="CW2360">
        <v>13130663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1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 t="shared" si="1111"/>
        <v>05/12/2020 14:45:01.746</v>
      </c>
      <c r="C2361" t="str">
        <f t="shared" si="1097"/>
        <v>FFDFD3C0</v>
      </c>
      <c r="D2361" t="s">
        <v>126</v>
      </c>
      <c r="E2361">
        <v>7</v>
      </c>
      <c r="F2361">
        <v>1007</v>
      </c>
      <c r="G2361" t="s">
        <v>127</v>
      </c>
      <c r="J2361" t="s">
        <v>128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si="1112"/>
        <v>14:45:19.578</v>
      </c>
      <c r="T2361" t="str">
        <f t="shared" si="1113"/>
        <v>14:45:19.378</v>
      </c>
      <c r="U2361" t="str">
        <f t="shared" si="1088"/>
        <v>A9808D</v>
      </c>
      <c r="V2361">
        <v>0</v>
      </c>
      <c r="W2361">
        <v>0</v>
      </c>
      <c r="X2361">
        <v>1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0</v>
      </c>
      <c r="AI2361" t="s">
        <v>595</v>
      </c>
      <c r="AJ2361">
        <v>28.256128</v>
      </c>
      <c r="AK2361" t="s">
        <v>596</v>
      </c>
      <c r="AL2361">
        <v>-82.332679999999996</v>
      </c>
      <c r="AM2361">
        <v>100</v>
      </c>
      <c r="AN2361">
        <v>2200</v>
      </c>
      <c r="AO2361" t="s">
        <v>118</v>
      </c>
      <c r="AP2361">
        <v>90</v>
      </c>
      <c r="AQ2361">
        <v>-48</v>
      </c>
      <c r="AR2361">
        <v>512</v>
      </c>
      <c r="AZ2361">
        <v>1200</v>
      </c>
      <c r="BA2361">
        <v>1</v>
      </c>
      <c r="BB2361" t="str">
        <f t="shared" si="1098"/>
        <v xml:space="preserve">N711JA  </v>
      </c>
      <c r="BC2361">
        <v>1</v>
      </c>
      <c r="BE2361">
        <v>0</v>
      </c>
      <c r="BF2361">
        <v>0</v>
      </c>
      <c r="BG2361">
        <v>0</v>
      </c>
      <c r="BH2361">
        <v>2350</v>
      </c>
      <c r="BI2361">
        <v>1</v>
      </c>
      <c r="BJ2361">
        <v>1</v>
      </c>
      <c r="BK2361">
        <v>0</v>
      </c>
      <c r="BL2361">
        <v>0</v>
      </c>
      <c r="BO2361">
        <v>0</v>
      </c>
      <c r="BP2361">
        <v>0</v>
      </c>
      <c r="BW2361" t="str">
        <f t="shared" si="1114"/>
        <v>14:45:19.582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343</v>
      </c>
      <c r="CR2361">
        <v>2</v>
      </c>
      <c r="CW2361">
        <v>13130663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1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 t="shared" si="1111"/>
        <v>05/12/2020 14:45:01.746</v>
      </c>
      <c r="C2362" t="str">
        <f t="shared" si="1097"/>
        <v>FFDFD3C0</v>
      </c>
      <c r="D2362" t="s">
        <v>131</v>
      </c>
      <c r="E2362">
        <v>12</v>
      </c>
      <c r="F2362">
        <v>2012</v>
      </c>
      <c r="G2362" t="s">
        <v>137</v>
      </c>
      <c r="J2362" t="s">
        <v>133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112"/>
        <v>14:45:19.578</v>
      </c>
      <c r="T2362" t="str">
        <f t="shared" si="1113"/>
        <v>14:45:19.378</v>
      </c>
      <c r="U2362" t="str">
        <f t="shared" si="1088"/>
        <v>A9808D</v>
      </c>
      <c r="V2362">
        <v>0</v>
      </c>
      <c r="W2362">
        <v>0</v>
      </c>
      <c r="X2362">
        <v>1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0</v>
      </c>
      <c r="AI2362" t="s">
        <v>595</v>
      </c>
      <c r="AJ2362">
        <v>28.256128</v>
      </c>
      <c r="AK2362" t="s">
        <v>596</v>
      </c>
      <c r="AL2362">
        <v>-82.332679999999996</v>
      </c>
      <c r="AM2362">
        <v>100</v>
      </c>
      <c r="AN2362">
        <v>2200</v>
      </c>
      <c r="AO2362" t="s">
        <v>118</v>
      </c>
      <c r="AP2362">
        <v>90</v>
      </c>
      <c r="AQ2362">
        <v>-48</v>
      </c>
      <c r="AR2362">
        <v>512</v>
      </c>
      <c r="AZ2362">
        <v>1200</v>
      </c>
      <c r="BA2362">
        <v>1</v>
      </c>
      <c r="BB2362" t="str">
        <f t="shared" si="1098"/>
        <v xml:space="preserve">N711JA  </v>
      </c>
      <c r="BC2362">
        <v>1</v>
      </c>
      <c r="BE2362">
        <v>0</v>
      </c>
      <c r="BF2362">
        <v>0</v>
      </c>
      <c r="BG2362">
        <v>0</v>
      </c>
      <c r="BH2362">
        <v>2350</v>
      </c>
      <c r="BI2362">
        <v>1</v>
      </c>
      <c r="BJ2362">
        <v>1</v>
      </c>
      <c r="BK2362">
        <v>0</v>
      </c>
      <c r="BL2362">
        <v>0</v>
      </c>
      <c r="BO2362">
        <v>0</v>
      </c>
      <c r="BP2362">
        <v>0</v>
      </c>
      <c r="BW2362" t="str">
        <f t="shared" si="1114"/>
        <v>14:45:19.582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343</v>
      </c>
      <c r="CR2362">
        <v>2</v>
      </c>
      <c r="CW2362">
        <v>13130663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1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 t="shared" ref="A2363:A2371" si="1115">"05/12/2020 14:45:02.834"</f>
        <v>05/12/2020 14:45:02.834</v>
      </c>
      <c r="C2363" t="str">
        <f t="shared" si="1097"/>
        <v>FFDFD3C0</v>
      </c>
      <c r="D2363" t="s">
        <v>138</v>
      </c>
      <c r="E2363">
        <v>3</v>
      </c>
      <c r="H2363">
        <v>9</v>
      </c>
      <c r="I2363" t="s">
        <v>140</v>
      </c>
      <c r="J2363" t="s">
        <v>136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ref="S2363:S2371" si="1116">"14:45:20.664"</f>
        <v>14:45:20.664</v>
      </c>
      <c r="T2363" t="str">
        <f t="shared" ref="T2363:T2371" si="1117">"14:45:20.464"</f>
        <v>14:45:20.464</v>
      </c>
      <c r="U2363" t="str">
        <f t="shared" si="1088"/>
        <v>A9808D</v>
      </c>
      <c r="V2363">
        <v>0</v>
      </c>
      <c r="W2363">
        <v>0</v>
      </c>
      <c r="X2363">
        <v>1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0</v>
      </c>
      <c r="AI2363" t="s">
        <v>269</v>
      </c>
      <c r="AJ2363">
        <v>28.255913</v>
      </c>
      <c r="AK2363" t="s">
        <v>597</v>
      </c>
      <c r="AL2363">
        <v>-82.332187000000005</v>
      </c>
      <c r="AM2363">
        <v>100</v>
      </c>
      <c r="AN2363">
        <v>2300</v>
      </c>
      <c r="AO2363" t="s">
        <v>118</v>
      </c>
      <c r="AP2363">
        <v>90</v>
      </c>
      <c r="AQ2363">
        <v>-48</v>
      </c>
      <c r="AR2363">
        <v>256</v>
      </c>
      <c r="AZ2363">
        <v>1200</v>
      </c>
      <c r="BA2363">
        <v>1</v>
      </c>
      <c r="BB2363" t="str">
        <f t="shared" si="1098"/>
        <v xml:space="preserve">N711JA  </v>
      </c>
      <c r="BC2363">
        <v>1</v>
      </c>
      <c r="BE2363">
        <v>0</v>
      </c>
      <c r="BF2363">
        <v>0</v>
      </c>
      <c r="BG2363">
        <v>0</v>
      </c>
      <c r="BH2363">
        <v>2250</v>
      </c>
      <c r="BI2363">
        <v>1</v>
      </c>
      <c r="BJ2363">
        <v>1</v>
      </c>
      <c r="BK2363">
        <v>0</v>
      </c>
      <c r="BL2363">
        <v>0</v>
      </c>
      <c r="BO2363">
        <v>0</v>
      </c>
      <c r="BP2363">
        <v>0</v>
      </c>
      <c r="BW2363" t="str">
        <f t="shared" ref="BW2363:BW2371" si="1118">"14:45:20.664"</f>
        <v>14:45:20.664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343</v>
      </c>
      <c r="CR2363">
        <v>1</v>
      </c>
      <c r="CW2363">
        <v>10778451</v>
      </c>
      <c r="CY2363">
        <v>1</v>
      </c>
      <c r="CZ2363">
        <v>0</v>
      </c>
      <c r="DA2363">
        <v>0</v>
      </c>
      <c r="DB2363">
        <v>0</v>
      </c>
      <c r="DC2363">
        <v>0</v>
      </c>
      <c r="DD2363">
        <v>1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 t="shared" si="1115"/>
        <v>05/12/2020 14:45:02.834</v>
      </c>
      <c r="C2364" t="str">
        <f t="shared" si="1097"/>
        <v>FFDFD3C0</v>
      </c>
      <c r="D2364" t="s">
        <v>126</v>
      </c>
      <c r="E2364">
        <v>7</v>
      </c>
      <c r="F2364">
        <v>1007</v>
      </c>
      <c r="G2364" t="s">
        <v>127</v>
      </c>
      <c r="J2364" t="s">
        <v>128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116"/>
        <v>14:45:20.664</v>
      </c>
      <c r="T2364" t="str">
        <f t="shared" si="1117"/>
        <v>14:45:20.464</v>
      </c>
      <c r="U2364" t="str">
        <f t="shared" si="1088"/>
        <v>A9808D</v>
      </c>
      <c r="V2364">
        <v>0</v>
      </c>
      <c r="W2364">
        <v>0</v>
      </c>
      <c r="X2364">
        <v>1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0</v>
      </c>
      <c r="AI2364" t="s">
        <v>269</v>
      </c>
      <c r="AJ2364">
        <v>28.255913</v>
      </c>
      <c r="AK2364" t="s">
        <v>597</v>
      </c>
      <c r="AL2364">
        <v>-82.332187000000005</v>
      </c>
      <c r="AM2364">
        <v>100</v>
      </c>
      <c r="AN2364">
        <v>2300</v>
      </c>
      <c r="AO2364" t="s">
        <v>118</v>
      </c>
      <c r="AP2364">
        <v>90</v>
      </c>
      <c r="AQ2364">
        <v>-48</v>
      </c>
      <c r="AR2364">
        <v>256</v>
      </c>
      <c r="AZ2364">
        <v>1200</v>
      </c>
      <c r="BA2364">
        <v>1</v>
      </c>
      <c r="BB2364" t="str">
        <f t="shared" si="1098"/>
        <v xml:space="preserve">N711JA  </v>
      </c>
      <c r="BC2364">
        <v>1</v>
      </c>
      <c r="BE2364">
        <v>0</v>
      </c>
      <c r="BF2364">
        <v>0</v>
      </c>
      <c r="BG2364">
        <v>0</v>
      </c>
      <c r="BH2364">
        <v>2250</v>
      </c>
      <c r="BI2364">
        <v>1</v>
      </c>
      <c r="BJ2364">
        <v>1</v>
      </c>
      <c r="BK2364">
        <v>0</v>
      </c>
      <c r="BL2364">
        <v>0</v>
      </c>
      <c r="BO2364">
        <v>0</v>
      </c>
      <c r="BP2364">
        <v>0</v>
      </c>
      <c r="BW2364" t="str">
        <f t="shared" si="1118"/>
        <v>14:45:20.664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343</v>
      </c>
      <c r="CR2364">
        <v>1</v>
      </c>
      <c r="CW2364">
        <v>10778451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1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 t="shared" si="1115"/>
        <v>05/12/2020 14:45:02.834</v>
      </c>
      <c r="C2365" t="str">
        <f t="shared" si="1097"/>
        <v>FFDFD3C0</v>
      </c>
      <c r="D2365" t="s">
        <v>131</v>
      </c>
      <c r="E2365">
        <v>10</v>
      </c>
      <c r="F2365">
        <v>2010</v>
      </c>
      <c r="G2365" t="s">
        <v>132</v>
      </c>
      <c r="J2365" t="s">
        <v>133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116"/>
        <v>14:45:20.664</v>
      </c>
      <c r="T2365" t="str">
        <f t="shared" si="1117"/>
        <v>14:45:20.464</v>
      </c>
      <c r="U2365" t="str">
        <f t="shared" si="1088"/>
        <v>A9808D</v>
      </c>
      <c r="V2365">
        <v>0</v>
      </c>
      <c r="W2365">
        <v>0</v>
      </c>
      <c r="X2365">
        <v>1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0</v>
      </c>
      <c r="AI2365" t="s">
        <v>269</v>
      </c>
      <c r="AJ2365">
        <v>28.255913</v>
      </c>
      <c r="AK2365" t="s">
        <v>597</v>
      </c>
      <c r="AL2365">
        <v>-82.332187000000005</v>
      </c>
      <c r="AM2365">
        <v>100</v>
      </c>
      <c r="AN2365">
        <v>2300</v>
      </c>
      <c r="AO2365" t="s">
        <v>118</v>
      </c>
      <c r="AP2365">
        <v>90</v>
      </c>
      <c r="AQ2365">
        <v>-48</v>
      </c>
      <c r="AR2365">
        <v>256</v>
      </c>
      <c r="AZ2365">
        <v>1200</v>
      </c>
      <c r="BA2365">
        <v>1</v>
      </c>
      <c r="BB2365" t="str">
        <f t="shared" si="1098"/>
        <v xml:space="preserve">N711JA  </v>
      </c>
      <c r="BC2365">
        <v>1</v>
      </c>
      <c r="BE2365">
        <v>0</v>
      </c>
      <c r="BF2365">
        <v>0</v>
      </c>
      <c r="BG2365">
        <v>0</v>
      </c>
      <c r="BH2365">
        <v>2250</v>
      </c>
      <c r="BI2365">
        <v>1</v>
      </c>
      <c r="BJ2365">
        <v>1</v>
      </c>
      <c r="BK2365">
        <v>0</v>
      </c>
      <c r="BL2365">
        <v>0</v>
      </c>
      <c r="BO2365">
        <v>0</v>
      </c>
      <c r="BP2365">
        <v>0</v>
      </c>
      <c r="BW2365" t="str">
        <f t="shared" si="1118"/>
        <v>14:45:20.664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343</v>
      </c>
      <c r="CR2365">
        <v>1</v>
      </c>
      <c r="CW2365">
        <v>10778451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1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 t="shared" si="1115"/>
        <v>05/12/2020 14:45:02.834</v>
      </c>
      <c r="C2366" t="str">
        <f t="shared" si="1097"/>
        <v>FFDFD3C0</v>
      </c>
      <c r="D2366" t="s">
        <v>131</v>
      </c>
      <c r="E2366">
        <v>12</v>
      </c>
      <c r="F2366">
        <v>2012</v>
      </c>
      <c r="G2366" t="s">
        <v>137</v>
      </c>
      <c r="J2366" t="s">
        <v>133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116"/>
        <v>14:45:20.664</v>
      </c>
      <c r="T2366" t="str">
        <f t="shared" si="1117"/>
        <v>14:45:20.464</v>
      </c>
      <c r="U2366" t="str">
        <f t="shared" si="1088"/>
        <v>A9808D</v>
      </c>
      <c r="V2366">
        <v>0</v>
      </c>
      <c r="W2366">
        <v>0</v>
      </c>
      <c r="X2366">
        <v>1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0</v>
      </c>
      <c r="AI2366" t="s">
        <v>269</v>
      </c>
      <c r="AJ2366">
        <v>28.255913</v>
      </c>
      <c r="AK2366" t="s">
        <v>597</v>
      </c>
      <c r="AL2366">
        <v>-82.332187000000005</v>
      </c>
      <c r="AM2366">
        <v>100</v>
      </c>
      <c r="AN2366">
        <v>2300</v>
      </c>
      <c r="AO2366" t="s">
        <v>118</v>
      </c>
      <c r="AP2366">
        <v>90</v>
      </c>
      <c r="AQ2366">
        <v>-48</v>
      </c>
      <c r="AR2366">
        <v>256</v>
      </c>
      <c r="AZ2366">
        <v>1200</v>
      </c>
      <c r="BA2366">
        <v>1</v>
      </c>
      <c r="BB2366" t="str">
        <f t="shared" si="1098"/>
        <v xml:space="preserve">N711JA  </v>
      </c>
      <c r="BC2366">
        <v>1</v>
      </c>
      <c r="BE2366">
        <v>0</v>
      </c>
      <c r="BF2366">
        <v>0</v>
      </c>
      <c r="BG2366">
        <v>0</v>
      </c>
      <c r="BH2366">
        <v>2250</v>
      </c>
      <c r="BI2366">
        <v>1</v>
      </c>
      <c r="BJ2366">
        <v>1</v>
      </c>
      <c r="BK2366">
        <v>0</v>
      </c>
      <c r="BL2366">
        <v>0</v>
      </c>
      <c r="BO2366">
        <v>0</v>
      </c>
      <c r="BP2366">
        <v>0</v>
      </c>
      <c r="BW2366" t="str">
        <f t="shared" si="1118"/>
        <v>14:45:20.664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343</v>
      </c>
      <c r="CR2366">
        <v>1</v>
      </c>
      <c r="CW2366">
        <v>10778451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1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 t="shared" si="1115"/>
        <v>05/12/2020 14:45:02.834</v>
      </c>
      <c r="C2367" t="str">
        <f t="shared" si="1097"/>
        <v>FFDFD3C0</v>
      </c>
      <c r="D2367" t="s">
        <v>131</v>
      </c>
      <c r="E2367">
        <v>18</v>
      </c>
      <c r="F2367">
        <v>2018</v>
      </c>
      <c r="G2367" t="s">
        <v>161</v>
      </c>
      <c r="J2367" t="s">
        <v>133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116"/>
        <v>14:45:20.664</v>
      </c>
      <c r="T2367" t="str">
        <f t="shared" si="1117"/>
        <v>14:45:20.464</v>
      </c>
      <c r="U2367" t="str">
        <f t="shared" si="1088"/>
        <v>A9808D</v>
      </c>
      <c r="V2367">
        <v>0</v>
      </c>
      <c r="W2367">
        <v>0</v>
      </c>
      <c r="X2367">
        <v>1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0</v>
      </c>
      <c r="AI2367" t="s">
        <v>269</v>
      </c>
      <c r="AJ2367">
        <v>28.255913</v>
      </c>
      <c r="AK2367" t="s">
        <v>597</v>
      </c>
      <c r="AL2367">
        <v>-82.332187000000005</v>
      </c>
      <c r="AM2367">
        <v>100</v>
      </c>
      <c r="AN2367">
        <v>2300</v>
      </c>
      <c r="AO2367" t="s">
        <v>118</v>
      </c>
      <c r="AP2367">
        <v>90</v>
      </c>
      <c r="AQ2367">
        <v>-48</v>
      </c>
      <c r="AR2367">
        <v>256</v>
      </c>
      <c r="AZ2367">
        <v>1200</v>
      </c>
      <c r="BA2367">
        <v>1</v>
      </c>
      <c r="BB2367" t="str">
        <f t="shared" si="1098"/>
        <v xml:space="preserve">N711JA  </v>
      </c>
      <c r="BC2367">
        <v>1</v>
      </c>
      <c r="BE2367">
        <v>0</v>
      </c>
      <c r="BF2367">
        <v>0</v>
      </c>
      <c r="BG2367">
        <v>0</v>
      </c>
      <c r="BH2367">
        <v>2250</v>
      </c>
      <c r="BI2367">
        <v>1</v>
      </c>
      <c r="BJ2367">
        <v>1</v>
      </c>
      <c r="BK2367">
        <v>0</v>
      </c>
      <c r="BL2367">
        <v>0</v>
      </c>
      <c r="BO2367">
        <v>0</v>
      </c>
      <c r="BP2367">
        <v>0</v>
      </c>
      <c r="BW2367" t="str">
        <f t="shared" si="1118"/>
        <v>14:45:20.664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343</v>
      </c>
      <c r="CR2367">
        <v>1</v>
      </c>
      <c r="CW2367">
        <v>10778451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1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 t="shared" si="1115"/>
        <v>05/12/2020 14:45:02.834</v>
      </c>
      <c r="C2368" t="str">
        <f t="shared" si="1097"/>
        <v>FFDFD3C0</v>
      </c>
      <c r="D2368" t="s">
        <v>113</v>
      </c>
      <c r="E2368">
        <v>3</v>
      </c>
      <c r="H2368">
        <v>164</v>
      </c>
      <c r="I2368" t="s">
        <v>114</v>
      </c>
      <c r="J2368" t="s">
        <v>115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116"/>
        <v>14:45:20.664</v>
      </c>
      <c r="T2368" t="str">
        <f t="shared" si="1117"/>
        <v>14:45:20.464</v>
      </c>
      <c r="U2368" t="str">
        <f t="shared" si="1088"/>
        <v>A9808D</v>
      </c>
      <c r="V2368">
        <v>0</v>
      </c>
      <c r="W2368">
        <v>0</v>
      </c>
      <c r="X2368">
        <v>1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0</v>
      </c>
      <c r="AI2368" t="s">
        <v>269</v>
      </c>
      <c r="AJ2368">
        <v>28.255913</v>
      </c>
      <c r="AK2368" t="s">
        <v>597</v>
      </c>
      <c r="AL2368">
        <v>-82.332187000000005</v>
      </c>
      <c r="AM2368">
        <v>100</v>
      </c>
      <c r="AN2368">
        <v>2300</v>
      </c>
      <c r="AO2368" t="s">
        <v>118</v>
      </c>
      <c r="AP2368">
        <v>90</v>
      </c>
      <c r="AQ2368">
        <v>-48</v>
      </c>
      <c r="AR2368">
        <v>256</v>
      </c>
      <c r="AZ2368">
        <v>1200</v>
      </c>
      <c r="BA2368">
        <v>1</v>
      </c>
      <c r="BB2368" t="str">
        <f t="shared" si="1098"/>
        <v xml:space="preserve">N711JA  </v>
      </c>
      <c r="BC2368">
        <v>1</v>
      </c>
      <c r="BE2368">
        <v>0</v>
      </c>
      <c r="BF2368">
        <v>0</v>
      </c>
      <c r="BG2368">
        <v>0</v>
      </c>
      <c r="BH2368">
        <v>2250</v>
      </c>
      <c r="BI2368">
        <v>1</v>
      </c>
      <c r="BJ2368">
        <v>1</v>
      </c>
      <c r="BK2368">
        <v>0</v>
      </c>
      <c r="BL2368">
        <v>0</v>
      </c>
      <c r="BO2368">
        <v>0</v>
      </c>
      <c r="BP2368">
        <v>0</v>
      </c>
      <c r="BW2368" t="str">
        <f t="shared" si="1118"/>
        <v>14:45:20.664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343</v>
      </c>
      <c r="CR2368">
        <v>1</v>
      </c>
      <c r="CW2368">
        <v>10778451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1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 t="shared" si="1115"/>
        <v>05/12/2020 14:45:02.834</v>
      </c>
      <c r="C2369" t="str">
        <f t="shared" si="1097"/>
        <v>FFDFD3C0</v>
      </c>
      <c r="D2369" t="s">
        <v>134</v>
      </c>
      <c r="E2369">
        <v>12</v>
      </c>
      <c r="H2369">
        <v>64</v>
      </c>
      <c r="I2369" t="s">
        <v>135</v>
      </c>
      <c r="J2369" t="s">
        <v>136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1116"/>
        <v>14:45:20.664</v>
      </c>
      <c r="T2369" t="str">
        <f t="shared" si="1117"/>
        <v>14:45:20.464</v>
      </c>
      <c r="U2369" t="str">
        <f t="shared" si="1088"/>
        <v>A9808D</v>
      </c>
      <c r="V2369">
        <v>0</v>
      </c>
      <c r="W2369">
        <v>0</v>
      </c>
      <c r="X2369">
        <v>1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0</v>
      </c>
      <c r="AI2369" t="s">
        <v>269</v>
      </c>
      <c r="AJ2369">
        <v>28.255913</v>
      </c>
      <c r="AK2369" t="s">
        <v>597</v>
      </c>
      <c r="AL2369">
        <v>-82.332187000000005</v>
      </c>
      <c r="AM2369">
        <v>100</v>
      </c>
      <c r="AN2369">
        <v>2300</v>
      </c>
      <c r="AO2369" t="s">
        <v>118</v>
      </c>
      <c r="AP2369">
        <v>90</v>
      </c>
      <c r="AQ2369">
        <v>-48</v>
      </c>
      <c r="AR2369">
        <v>256</v>
      </c>
      <c r="AZ2369">
        <v>1200</v>
      </c>
      <c r="BA2369">
        <v>1</v>
      </c>
      <c r="BB2369" t="str">
        <f t="shared" si="1098"/>
        <v xml:space="preserve">N711JA  </v>
      </c>
      <c r="BC2369">
        <v>1</v>
      </c>
      <c r="BE2369">
        <v>0</v>
      </c>
      <c r="BF2369">
        <v>0</v>
      </c>
      <c r="BG2369">
        <v>0</v>
      </c>
      <c r="BH2369">
        <v>2250</v>
      </c>
      <c r="BI2369">
        <v>1</v>
      </c>
      <c r="BJ2369">
        <v>1</v>
      </c>
      <c r="BK2369">
        <v>0</v>
      </c>
      <c r="BL2369">
        <v>0</v>
      </c>
      <c r="BO2369">
        <v>0</v>
      </c>
      <c r="BP2369">
        <v>0</v>
      </c>
      <c r="BW2369" t="str">
        <f t="shared" si="1118"/>
        <v>14:45:20.664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343</v>
      </c>
      <c r="CR2369">
        <v>1</v>
      </c>
      <c r="CW2369">
        <v>10778451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1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 t="shared" si="1115"/>
        <v>05/12/2020 14:45:02.834</v>
      </c>
      <c r="C2370" t="str">
        <f t="shared" si="1097"/>
        <v>FFDFD3C0</v>
      </c>
      <c r="D2370" t="s">
        <v>126</v>
      </c>
      <c r="E2370">
        <v>6</v>
      </c>
      <c r="F2370">
        <v>1006</v>
      </c>
      <c r="G2370" t="s">
        <v>114</v>
      </c>
      <c r="J2370" t="s">
        <v>128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116"/>
        <v>14:45:20.664</v>
      </c>
      <c r="T2370" t="str">
        <f t="shared" si="1117"/>
        <v>14:45:20.464</v>
      </c>
      <c r="U2370" t="str">
        <f t="shared" ref="U2370:U2433" si="1119">"A9808D"</f>
        <v>A9808D</v>
      </c>
      <c r="V2370">
        <v>0</v>
      </c>
      <c r="W2370">
        <v>0</v>
      </c>
      <c r="X2370">
        <v>1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0</v>
      </c>
      <c r="AI2370" t="s">
        <v>269</v>
      </c>
      <c r="AJ2370">
        <v>28.255913</v>
      </c>
      <c r="AK2370" t="s">
        <v>597</v>
      </c>
      <c r="AL2370">
        <v>-82.332187000000005</v>
      </c>
      <c r="AM2370">
        <v>100</v>
      </c>
      <c r="AN2370">
        <v>2300</v>
      </c>
      <c r="AO2370" t="s">
        <v>118</v>
      </c>
      <c r="AP2370">
        <v>90</v>
      </c>
      <c r="AQ2370">
        <v>-48</v>
      </c>
      <c r="AR2370">
        <v>256</v>
      </c>
      <c r="AZ2370">
        <v>1200</v>
      </c>
      <c r="BA2370">
        <v>1</v>
      </c>
      <c r="BB2370" t="str">
        <f t="shared" si="1098"/>
        <v xml:space="preserve">N711JA  </v>
      </c>
      <c r="BC2370">
        <v>1</v>
      </c>
      <c r="BE2370">
        <v>0</v>
      </c>
      <c r="BF2370">
        <v>0</v>
      </c>
      <c r="BG2370">
        <v>0</v>
      </c>
      <c r="BH2370">
        <v>2250</v>
      </c>
      <c r="BI2370">
        <v>1</v>
      </c>
      <c r="BJ2370">
        <v>1</v>
      </c>
      <c r="BK2370">
        <v>0</v>
      </c>
      <c r="BL2370">
        <v>0</v>
      </c>
      <c r="BO2370">
        <v>0</v>
      </c>
      <c r="BP2370">
        <v>0</v>
      </c>
      <c r="BW2370" t="str">
        <f t="shared" si="1118"/>
        <v>14:45:20.664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343</v>
      </c>
      <c r="CR2370">
        <v>1</v>
      </c>
      <c r="CW2370">
        <v>10778451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1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 t="shared" si="1115"/>
        <v>05/12/2020 14:45:02.834</v>
      </c>
      <c r="C2371" t="str">
        <f t="shared" si="1097"/>
        <v>FFDFD3C0</v>
      </c>
      <c r="D2371" t="s">
        <v>138</v>
      </c>
      <c r="E2371">
        <v>2</v>
      </c>
      <c r="H2371">
        <v>8</v>
      </c>
      <c r="I2371" t="s">
        <v>139</v>
      </c>
      <c r="J2371" t="s">
        <v>136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116"/>
        <v>14:45:20.664</v>
      </c>
      <c r="T2371" t="str">
        <f t="shared" si="1117"/>
        <v>14:45:20.464</v>
      </c>
      <c r="U2371" t="str">
        <f t="shared" si="1119"/>
        <v>A9808D</v>
      </c>
      <c r="V2371">
        <v>0</v>
      </c>
      <c r="W2371">
        <v>0</v>
      </c>
      <c r="X2371">
        <v>1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0</v>
      </c>
      <c r="AI2371" t="s">
        <v>269</v>
      </c>
      <c r="AJ2371">
        <v>28.255913</v>
      </c>
      <c r="AK2371" t="s">
        <v>597</v>
      </c>
      <c r="AL2371">
        <v>-82.332187000000005</v>
      </c>
      <c r="AM2371">
        <v>100</v>
      </c>
      <c r="AN2371">
        <v>2300</v>
      </c>
      <c r="AO2371" t="s">
        <v>118</v>
      </c>
      <c r="AP2371">
        <v>90</v>
      </c>
      <c r="AQ2371">
        <v>-48</v>
      </c>
      <c r="AR2371">
        <v>256</v>
      </c>
      <c r="AZ2371">
        <v>1200</v>
      </c>
      <c r="BA2371">
        <v>1</v>
      </c>
      <c r="BB2371" t="str">
        <f t="shared" si="1098"/>
        <v xml:space="preserve">N711JA  </v>
      </c>
      <c r="BC2371">
        <v>1</v>
      </c>
      <c r="BE2371">
        <v>0</v>
      </c>
      <c r="BF2371">
        <v>0</v>
      </c>
      <c r="BG2371">
        <v>0</v>
      </c>
      <c r="BH2371">
        <v>2250</v>
      </c>
      <c r="BI2371">
        <v>1</v>
      </c>
      <c r="BJ2371">
        <v>1</v>
      </c>
      <c r="BK2371">
        <v>0</v>
      </c>
      <c r="BL2371">
        <v>0</v>
      </c>
      <c r="BO2371">
        <v>0</v>
      </c>
      <c r="BP2371">
        <v>0</v>
      </c>
      <c r="BW2371" t="str">
        <f t="shared" si="1118"/>
        <v>14:45:20.664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343</v>
      </c>
      <c r="CR2371">
        <v>1</v>
      </c>
      <c r="CW2371">
        <v>10778451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1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 t="shared" ref="A2372:A2380" si="1120">"05/12/2020 14:45:03.719"</f>
        <v>05/12/2020 14:45:03.719</v>
      </c>
      <c r="C2372" t="str">
        <f t="shared" si="1097"/>
        <v>FFDFD3C0</v>
      </c>
      <c r="D2372" t="s">
        <v>113</v>
      </c>
      <c r="E2372">
        <v>3</v>
      </c>
      <c r="H2372">
        <v>164</v>
      </c>
      <c r="I2372" t="s">
        <v>114</v>
      </c>
      <c r="J2372" t="s">
        <v>115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ref="S2372:T2380" si="1121">"14:45:21.539"</f>
        <v>14:45:21.539</v>
      </c>
      <c r="T2372" t="str">
        <f t="shared" si="1121"/>
        <v>14:45:21.539</v>
      </c>
      <c r="U2372" t="str">
        <f t="shared" si="1119"/>
        <v>A9808D</v>
      </c>
      <c r="V2372">
        <v>0</v>
      </c>
      <c r="W2372">
        <v>0</v>
      </c>
      <c r="X2372">
        <v>1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0</v>
      </c>
      <c r="AI2372" t="s">
        <v>598</v>
      </c>
      <c r="AJ2372">
        <v>28.25572</v>
      </c>
      <c r="AK2372" t="s">
        <v>599</v>
      </c>
      <c r="AL2372">
        <v>-82.331715000000003</v>
      </c>
      <c r="AM2372">
        <v>100</v>
      </c>
      <c r="AN2372">
        <v>2300</v>
      </c>
      <c r="AO2372" t="s">
        <v>118</v>
      </c>
      <c r="AP2372">
        <v>91</v>
      </c>
      <c r="AQ2372">
        <v>-47</v>
      </c>
      <c r="AR2372">
        <v>192</v>
      </c>
      <c r="AZ2372">
        <v>1200</v>
      </c>
      <c r="BA2372">
        <v>1</v>
      </c>
      <c r="BB2372" t="str">
        <f t="shared" si="1098"/>
        <v xml:space="preserve">N711JA  </v>
      </c>
      <c r="BC2372">
        <v>1</v>
      </c>
      <c r="BE2372">
        <v>0</v>
      </c>
      <c r="BF2372">
        <v>0</v>
      </c>
      <c r="BG2372">
        <v>0</v>
      </c>
      <c r="BH2372">
        <v>2375</v>
      </c>
      <c r="BI2372">
        <v>1</v>
      </c>
      <c r="BJ2372">
        <v>1</v>
      </c>
      <c r="BK2372">
        <v>0</v>
      </c>
      <c r="BL2372">
        <v>0</v>
      </c>
      <c r="BO2372">
        <v>0</v>
      </c>
      <c r="BP2372">
        <v>0</v>
      </c>
      <c r="BW2372" t="str">
        <f t="shared" ref="BW2372:BW2380" si="1122">"14:45:21.544"</f>
        <v>14:45:21.544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56</v>
      </c>
      <c r="CR2372">
        <v>2</v>
      </c>
      <c r="CW2372">
        <v>4850819</v>
      </c>
      <c r="CY2372">
        <v>1</v>
      </c>
      <c r="CZ2372">
        <v>0</v>
      </c>
      <c r="DA2372">
        <v>0</v>
      </c>
      <c r="DB2372">
        <v>0</v>
      </c>
      <c r="DC2372">
        <v>0</v>
      </c>
      <c r="DD2372">
        <v>1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 t="shared" si="1120"/>
        <v>05/12/2020 14:45:03.719</v>
      </c>
      <c r="C2373" t="str">
        <f t="shared" si="1097"/>
        <v>FFDFD3C0</v>
      </c>
      <c r="D2373" t="s">
        <v>134</v>
      </c>
      <c r="E2373">
        <v>12</v>
      </c>
      <c r="H2373">
        <v>64</v>
      </c>
      <c r="I2373" t="s">
        <v>135</v>
      </c>
      <c r="J2373" t="s">
        <v>136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121"/>
        <v>14:45:21.539</v>
      </c>
      <c r="T2373" t="str">
        <f t="shared" si="1121"/>
        <v>14:45:21.539</v>
      </c>
      <c r="U2373" t="str">
        <f t="shared" si="1119"/>
        <v>A9808D</v>
      </c>
      <c r="V2373">
        <v>0</v>
      </c>
      <c r="W2373">
        <v>0</v>
      </c>
      <c r="X2373">
        <v>1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0</v>
      </c>
      <c r="AI2373" t="s">
        <v>598</v>
      </c>
      <c r="AJ2373">
        <v>28.25572</v>
      </c>
      <c r="AK2373" t="s">
        <v>599</v>
      </c>
      <c r="AL2373">
        <v>-82.331715000000003</v>
      </c>
      <c r="AM2373">
        <v>100</v>
      </c>
      <c r="AN2373">
        <v>2300</v>
      </c>
      <c r="AO2373" t="s">
        <v>118</v>
      </c>
      <c r="AP2373">
        <v>91</v>
      </c>
      <c r="AQ2373">
        <v>-47</v>
      </c>
      <c r="AR2373">
        <v>192</v>
      </c>
      <c r="AZ2373">
        <v>1200</v>
      </c>
      <c r="BA2373">
        <v>1</v>
      </c>
      <c r="BB2373" t="str">
        <f t="shared" si="1098"/>
        <v xml:space="preserve">N711JA  </v>
      </c>
      <c r="BC2373">
        <v>1</v>
      </c>
      <c r="BE2373">
        <v>0</v>
      </c>
      <c r="BF2373">
        <v>0</v>
      </c>
      <c r="BG2373">
        <v>0</v>
      </c>
      <c r="BH2373">
        <v>2375</v>
      </c>
      <c r="BI2373">
        <v>1</v>
      </c>
      <c r="BJ2373">
        <v>1</v>
      </c>
      <c r="BK2373">
        <v>0</v>
      </c>
      <c r="BL2373">
        <v>0</v>
      </c>
      <c r="BO2373">
        <v>0</v>
      </c>
      <c r="BP2373">
        <v>0</v>
      </c>
      <c r="BW2373" t="str">
        <f t="shared" si="1122"/>
        <v>14:45:21.544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6</v>
      </c>
      <c r="CP2373" t="s">
        <v>119</v>
      </c>
      <c r="CQ2373">
        <v>358</v>
      </c>
      <c r="CR2373">
        <v>0</v>
      </c>
      <c r="CW2373">
        <v>4831814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1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 t="shared" si="1120"/>
        <v>05/12/2020 14:45:03.719</v>
      </c>
      <c r="C2374" t="str">
        <f t="shared" si="1097"/>
        <v>FFDFD3C0</v>
      </c>
      <c r="D2374" t="s">
        <v>138</v>
      </c>
      <c r="E2374">
        <v>2</v>
      </c>
      <c r="H2374">
        <v>8</v>
      </c>
      <c r="I2374" t="s">
        <v>139</v>
      </c>
      <c r="J2374" t="s">
        <v>136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121"/>
        <v>14:45:21.539</v>
      </c>
      <c r="T2374" t="str">
        <f t="shared" si="1121"/>
        <v>14:45:21.539</v>
      </c>
      <c r="U2374" t="str">
        <f t="shared" si="1119"/>
        <v>A9808D</v>
      </c>
      <c r="V2374">
        <v>0</v>
      </c>
      <c r="W2374">
        <v>0</v>
      </c>
      <c r="X2374">
        <v>1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0</v>
      </c>
      <c r="AI2374" t="s">
        <v>598</v>
      </c>
      <c r="AJ2374">
        <v>28.25572</v>
      </c>
      <c r="AK2374" t="s">
        <v>599</v>
      </c>
      <c r="AL2374">
        <v>-82.331715000000003</v>
      </c>
      <c r="AM2374">
        <v>100</v>
      </c>
      <c r="AN2374">
        <v>2300</v>
      </c>
      <c r="AO2374" t="s">
        <v>118</v>
      </c>
      <c r="AP2374">
        <v>91</v>
      </c>
      <c r="AQ2374">
        <v>-47</v>
      </c>
      <c r="AR2374">
        <v>192</v>
      </c>
      <c r="AZ2374">
        <v>1200</v>
      </c>
      <c r="BA2374">
        <v>1</v>
      </c>
      <c r="BB2374" t="str">
        <f t="shared" si="1098"/>
        <v xml:space="preserve">N711JA  </v>
      </c>
      <c r="BC2374">
        <v>1</v>
      </c>
      <c r="BE2374">
        <v>0</v>
      </c>
      <c r="BF2374">
        <v>0</v>
      </c>
      <c r="BG2374">
        <v>0</v>
      </c>
      <c r="BH2374">
        <v>2375</v>
      </c>
      <c r="BI2374">
        <v>1</v>
      </c>
      <c r="BJ2374">
        <v>1</v>
      </c>
      <c r="BK2374">
        <v>0</v>
      </c>
      <c r="BL2374">
        <v>0</v>
      </c>
      <c r="BO2374">
        <v>0</v>
      </c>
      <c r="BP2374">
        <v>0</v>
      </c>
      <c r="BW2374" t="str">
        <f t="shared" si="1122"/>
        <v>14:45:21.544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56</v>
      </c>
      <c r="CR2374">
        <v>2</v>
      </c>
      <c r="CW2374">
        <v>4850819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1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 t="shared" si="1120"/>
        <v>05/12/2020 14:45:03.719</v>
      </c>
      <c r="C2375" t="str">
        <f t="shared" si="1097"/>
        <v>FFDFD3C0</v>
      </c>
      <c r="D2375" t="s">
        <v>138</v>
      </c>
      <c r="E2375">
        <v>3</v>
      </c>
      <c r="H2375">
        <v>9</v>
      </c>
      <c r="I2375" t="s">
        <v>140</v>
      </c>
      <c r="J2375" t="s">
        <v>136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121"/>
        <v>14:45:21.539</v>
      </c>
      <c r="T2375" t="str">
        <f t="shared" si="1121"/>
        <v>14:45:21.539</v>
      </c>
      <c r="U2375" t="str">
        <f t="shared" si="1119"/>
        <v>A9808D</v>
      </c>
      <c r="V2375">
        <v>0</v>
      </c>
      <c r="W2375">
        <v>0</v>
      </c>
      <c r="X2375">
        <v>1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0</v>
      </c>
      <c r="AI2375" t="s">
        <v>598</v>
      </c>
      <c r="AJ2375">
        <v>28.25572</v>
      </c>
      <c r="AK2375" t="s">
        <v>599</v>
      </c>
      <c r="AL2375">
        <v>-82.331715000000003</v>
      </c>
      <c r="AM2375">
        <v>100</v>
      </c>
      <c r="AN2375">
        <v>2300</v>
      </c>
      <c r="AO2375" t="s">
        <v>118</v>
      </c>
      <c r="AP2375">
        <v>91</v>
      </c>
      <c r="AQ2375">
        <v>-47</v>
      </c>
      <c r="AR2375">
        <v>192</v>
      </c>
      <c r="AZ2375">
        <v>1200</v>
      </c>
      <c r="BA2375">
        <v>1</v>
      </c>
      <c r="BB2375" t="str">
        <f t="shared" si="1098"/>
        <v xml:space="preserve">N711JA  </v>
      </c>
      <c r="BC2375">
        <v>1</v>
      </c>
      <c r="BE2375">
        <v>0</v>
      </c>
      <c r="BF2375">
        <v>0</v>
      </c>
      <c r="BG2375">
        <v>0</v>
      </c>
      <c r="BH2375">
        <v>2375</v>
      </c>
      <c r="BI2375">
        <v>1</v>
      </c>
      <c r="BJ2375">
        <v>1</v>
      </c>
      <c r="BK2375">
        <v>0</v>
      </c>
      <c r="BL2375">
        <v>0</v>
      </c>
      <c r="BO2375">
        <v>0</v>
      </c>
      <c r="BP2375">
        <v>0</v>
      </c>
      <c r="BW2375" t="str">
        <f t="shared" si="1122"/>
        <v>14:45:21.544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56</v>
      </c>
      <c r="CR2375">
        <v>2</v>
      </c>
      <c r="CW2375">
        <v>4850819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1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 t="shared" si="1120"/>
        <v>05/12/2020 14:45:03.719</v>
      </c>
      <c r="C2376" t="str">
        <f t="shared" si="1097"/>
        <v>FFDFD3C0</v>
      </c>
      <c r="D2376" t="s">
        <v>131</v>
      </c>
      <c r="E2376">
        <v>10</v>
      </c>
      <c r="F2376">
        <v>2010</v>
      </c>
      <c r="G2376" t="s">
        <v>132</v>
      </c>
      <c r="J2376" t="s">
        <v>133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121"/>
        <v>14:45:21.539</v>
      </c>
      <c r="T2376" t="str">
        <f t="shared" si="1121"/>
        <v>14:45:21.539</v>
      </c>
      <c r="U2376" t="str">
        <f t="shared" si="1119"/>
        <v>A9808D</v>
      </c>
      <c r="V2376">
        <v>0</v>
      </c>
      <c r="W2376">
        <v>0</v>
      </c>
      <c r="X2376">
        <v>1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0</v>
      </c>
      <c r="AI2376" t="s">
        <v>598</v>
      </c>
      <c r="AJ2376">
        <v>28.25572</v>
      </c>
      <c r="AK2376" t="s">
        <v>599</v>
      </c>
      <c r="AL2376">
        <v>-82.331715000000003</v>
      </c>
      <c r="AM2376">
        <v>100</v>
      </c>
      <c r="AN2376">
        <v>2300</v>
      </c>
      <c r="AO2376" t="s">
        <v>118</v>
      </c>
      <c r="AP2376">
        <v>91</v>
      </c>
      <c r="AQ2376">
        <v>-47</v>
      </c>
      <c r="AR2376">
        <v>192</v>
      </c>
      <c r="AZ2376">
        <v>1200</v>
      </c>
      <c r="BA2376">
        <v>1</v>
      </c>
      <c r="BB2376" t="str">
        <f t="shared" si="1098"/>
        <v xml:space="preserve">N711JA  </v>
      </c>
      <c r="BC2376">
        <v>1</v>
      </c>
      <c r="BE2376">
        <v>0</v>
      </c>
      <c r="BF2376">
        <v>0</v>
      </c>
      <c r="BG2376">
        <v>0</v>
      </c>
      <c r="BH2376">
        <v>2375</v>
      </c>
      <c r="BI2376">
        <v>1</v>
      </c>
      <c r="BJ2376">
        <v>1</v>
      </c>
      <c r="BK2376">
        <v>0</v>
      </c>
      <c r="BL2376">
        <v>0</v>
      </c>
      <c r="BO2376">
        <v>0</v>
      </c>
      <c r="BP2376">
        <v>0</v>
      </c>
      <c r="BW2376" t="str">
        <f t="shared" si="1122"/>
        <v>14:45:21.544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56</v>
      </c>
      <c r="CR2376">
        <v>2</v>
      </c>
      <c r="CW2376">
        <v>4850819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1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 t="shared" si="1120"/>
        <v>05/12/2020 14:45:03.719</v>
      </c>
      <c r="C2377" t="str">
        <f t="shared" si="1097"/>
        <v>FFDFD3C0</v>
      </c>
      <c r="D2377" t="s">
        <v>126</v>
      </c>
      <c r="E2377">
        <v>7</v>
      </c>
      <c r="F2377">
        <v>1007</v>
      </c>
      <c r="G2377" t="s">
        <v>127</v>
      </c>
      <c r="J2377" t="s">
        <v>128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121"/>
        <v>14:45:21.539</v>
      </c>
      <c r="T2377" t="str">
        <f t="shared" si="1121"/>
        <v>14:45:21.539</v>
      </c>
      <c r="U2377" t="str">
        <f t="shared" si="1119"/>
        <v>A9808D</v>
      </c>
      <c r="V2377">
        <v>0</v>
      </c>
      <c r="W2377">
        <v>0</v>
      </c>
      <c r="X2377">
        <v>1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0</v>
      </c>
      <c r="AI2377" t="s">
        <v>598</v>
      </c>
      <c r="AJ2377">
        <v>28.25572</v>
      </c>
      <c r="AK2377" t="s">
        <v>599</v>
      </c>
      <c r="AL2377">
        <v>-82.331715000000003</v>
      </c>
      <c r="AM2377">
        <v>100</v>
      </c>
      <c r="AN2377">
        <v>2300</v>
      </c>
      <c r="AO2377" t="s">
        <v>118</v>
      </c>
      <c r="AP2377">
        <v>91</v>
      </c>
      <c r="AQ2377">
        <v>-47</v>
      </c>
      <c r="AR2377">
        <v>192</v>
      </c>
      <c r="AZ2377">
        <v>1200</v>
      </c>
      <c r="BA2377">
        <v>1</v>
      </c>
      <c r="BB2377" t="str">
        <f t="shared" si="1098"/>
        <v xml:space="preserve">N711JA  </v>
      </c>
      <c r="BC2377">
        <v>1</v>
      </c>
      <c r="BE2377">
        <v>0</v>
      </c>
      <c r="BF2377">
        <v>0</v>
      </c>
      <c r="BG2377">
        <v>0</v>
      </c>
      <c r="BH2377">
        <v>2375</v>
      </c>
      <c r="BI2377">
        <v>1</v>
      </c>
      <c r="BJ2377">
        <v>1</v>
      </c>
      <c r="BK2377">
        <v>0</v>
      </c>
      <c r="BL2377">
        <v>0</v>
      </c>
      <c r="BO2377">
        <v>0</v>
      </c>
      <c r="BP2377">
        <v>0</v>
      </c>
      <c r="BW2377" t="str">
        <f t="shared" si="1122"/>
        <v>14:45:21.544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56</v>
      </c>
      <c r="CR2377">
        <v>2</v>
      </c>
      <c r="CW2377">
        <v>4850819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1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 t="shared" si="1120"/>
        <v>05/12/2020 14:45:03.719</v>
      </c>
      <c r="C2378" t="str">
        <f t="shared" si="1097"/>
        <v>FFDFD3C0</v>
      </c>
      <c r="D2378" t="s">
        <v>131</v>
      </c>
      <c r="E2378">
        <v>12</v>
      </c>
      <c r="F2378">
        <v>2012</v>
      </c>
      <c r="G2378" t="s">
        <v>137</v>
      </c>
      <c r="J2378" t="s">
        <v>133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121"/>
        <v>14:45:21.539</v>
      </c>
      <c r="T2378" t="str">
        <f t="shared" si="1121"/>
        <v>14:45:21.539</v>
      </c>
      <c r="U2378" t="str">
        <f t="shared" si="1119"/>
        <v>A9808D</v>
      </c>
      <c r="V2378">
        <v>0</v>
      </c>
      <c r="W2378">
        <v>0</v>
      </c>
      <c r="X2378">
        <v>1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0</v>
      </c>
      <c r="AI2378" t="s">
        <v>598</v>
      </c>
      <c r="AJ2378">
        <v>28.25572</v>
      </c>
      <c r="AK2378" t="s">
        <v>599</v>
      </c>
      <c r="AL2378">
        <v>-82.331715000000003</v>
      </c>
      <c r="AM2378">
        <v>100</v>
      </c>
      <c r="AN2378">
        <v>2300</v>
      </c>
      <c r="AO2378" t="s">
        <v>118</v>
      </c>
      <c r="AP2378">
        <v>91</v>
      </c>
      <c r="AQ2378">
        <v>-47</v>
      </c>
      <c r="AR2378">
        <v>192</v>
      </c>
      <c r="AZ2378">
        <v>1200</v>
      </c>
      <c r="BA2378">
        <v>1</v>
      </c>
      <c r="BB2378" t="str">
        <f t="shared" si="1098"/>
        <v xml:space="preserve">N711JA  </v>
      </c>
      <c r="BC2378">
        <v>1</v>
      </c>
      <c r="BE2378">
        <v>0</v>
      </c>
      <c r="BF2378">
        <v>0</v>
      </c>
      <c r="BG2378">
        <v>0</v>
      </c>
      <c r="BH2378">
        <v>2375</v>
      </c>
      <c r="BI2378">
        <v>1</v>
      </c>
      <c r="BJ2378">
        <v>1</v>
      </c>
      <c r="BK2378">
        <v>0</v>
      </c>
      <c r="BL2378">
        <v>0</v>
      </c>
      <c r="BO2378">
        <v>0</v>
      </c>
      <c r="BP2378">
        <v>0</v>
      </c>
      <c r="BW2378" t="str">
        <f t="shared" si="1122"/>
        <v>14:45:21.544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56</v>
      </c>
      <c r="CR2378">
        <v>2</v>
      </c>
      <c r="CW2378">
        <v>4850819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1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 t="shared" si="1120"/>
        <v>05/12/2020 14:45:03.719</v>
      </c>
      <c r="C2379" t="str">
        <f t="shared" si="1097"/>
        <v>FFDFD3C0</v>
      </c>
      <c r="D2379" t="s">
        <v>131</v>
      </c>
      <c r="E2379">
        <v>18</v>
      </c>
      <c r="F2379">
        <v>2018</v>
      </c>
      <c r="G2379" t="s">
        <v>161</v>
      </c>
      <c r="J2379" t="s">
        <v>133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121"/>
        <v>14:45:21.539</v>
      </c>
      <c r="T2379" t="str">
        <f t="shared" si="1121"/>
        <v>14:45:21.539</v>
      </c>
      <c r="U2379" t="str">
        <f t="shared" si="1119"/>
        <v>A9808D</v>
      </c>
      <c r="V2379">
        <v>0</v>
      </c>
      <c r="W2379">
        <v>0</v>
      </c>
      <c r="X2379">
        <v>1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0</v>
      </c>
      <c r="AI2379" t="s">
        <v>598</v>
      </c>
      <c r="AJ2379">
        <v>28.25572</v>
      </c>
      <c r="AK2379" t="s">
        <v>599</v>
      </c>
      <c r="AL2379">
        <v>-82.331715000000003</v>
      </c>
      <c r="AM2379">
        <v>100</v>
      </c>
      <c r="AN2379">
        <v>2300</v>
      </c>
      <c r="AO2379" t="s">
        <v>118</v>
      </c>
      <c r="AP2379">
        <v>91</v>
      </c>
      <c r="AQ2379">
        <v>-47</v>
      </c>
      <c r="AR2379">
        <v>192</v>
      </c>
      <c r="AZ2379">
        <v>1200</v>
      </c>
      <c r="BA2379">
        <v>1</v>
      </c>
      <c r="BB2379" t="str">
        <f t="shared" si="1098"/>
        <v xml:space="preserve">N711JA  </v>
      </c>
      <c r="BC2379">
        <v>1</v>
      </c>
      <c r="BE2379">
        <v>0</v>
      </c>
      <c r="BF2379">
        <v>0</v>
      </c>
      <c r="BG2379">
        <v>0</v>
      </c>
      <c r="BH2379">
        <v>2375</v>
      </c>
      <c r="BI2379">
        <v>1</v>
      </c>
      <c r="BJ2379">
        <v>1</v>
      </c>
      <c r="BK2379">
        <v>0</v>
      </c>
      <c r="BL2379">
        <v>0</v>
      </c>
      <c r="BO2379">
        <v>0</v>
      </c>
      <c r="BP2379">
        <v>0</v>
      </c>
      <c r="BW2379" t="str">
        <f t="shared" si="1122"/>
        <v>14:45:21.544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56</v>
      </c>
      <c r="CR2379">
        <v>2</v>
      </c>
      <c r="CW2379">
        <v>4850819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1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 t="shared" si="1120"/>
        <v>05/12/2020 14:45:03.719</v>
      </c>
      <c r="C2380" t="str">
        <f t="shared" si="1097"/>
        <v>FFDFD3C0</v>
      </c>
      <c r="D2380" t="s">
        <v>126</v>
      </c>
      <c r="E2380">
        <v>6</v>
      </c>
      <c r="F2380">
        <v>1006</v>
      </c>
      <c r="G2380" t="s">
        <v>114</v>
      </c>
      <c r="J2380" t="s">
        <v>128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121"/>
        <v>14:45:21.539</v>
      </c>
      <c r="T2380" t="str">
        <f t="shared" si="1121"/>
        <v>14:45:21.539</v>
      </c>
      <c r="U2380" t="str">
        <f t="shared" si="1119"/>
        <v>A9808D</v>
      </c>
      <c r="V2380">
        <v>0</v>
      </c>
      <c r="W2380">
        <v>0</v>
      </c>
      <c r="X2380">
        <v>1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0</v>
      </c>
      <c r="AI2380" t="s">
        <v>598</v>
      </c>
      <c r="AJ2380">
        <v>28.25572</v>
      </c>
      <c r="AK2380" t="s">
        <v>599</v>
      </c>
      <c r="AL2380">
        <v>-82.331715000000003</v>
      </c>
      <c r="AM2380">
        <v>100</v>
      </c>
      <c r="AN2380">
        <v>2300</v>
      </c>
      <c r="AO2380" t="s">
        <v>118</v>
      </c>
      <c r="AP2380">
        <v>91</v>
      </c>
      <c r="AQ2380">
        <v>-47</v>
      </c>
      <c r="AR2380">
        <v>192</v>
      </c>
      <c r="AZ2380">
        <v>1200</v>
      </c>
      <c r="BA2380">
        <v>1</v>
      </c>
      <c r="BB2380" t="str">
        <f t="shared" si="1098"/>
        <v xml:space="preserve">N711JA  </v>
      </c>
      <c r="BC2380">
        <v>1</v>
      </c>
      <c r="BE2380">
        <v>0</v>
      </c>
      <c r="BF2380">
        <v>0</v>
      </c>
      <c r="BG2380">
        <v>0</v>
      </c>
      <c r="BH2380">
        <v>2375</v>
      </c>
      <c r="BI2380">
        <v>1</v>
      </c>
      <c r="BJ2380">
        <v>1</v>
      </c>
      <c r="BK2380">
        <v>0</v>
      </c>
      <c r="BL2380">
        <v>0</v>
      </c>
      <c r="BO2380">
        <v>0</v>
      </c>
      <c r="BP2380">
        <v>0</v>
      </c>
      <c r="BW2380" t="str">
        <f t="shared" si="1122"/>
        <v>14:45:21.544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56</v>
      </c>
      <c r="CR2380">
        <v>2</v>
      </c>
      <c r="CW2380">
        <v>4850819</v>
      </c>
      <c r="CY2380">
        <v>1</v>
      </c>
      <c r="CZ2380">
        <v>0</v>
      </c>
      <c r="DA2380">
        <v>1</v>
      </c>
      <c r="DB2380">
        <v>0</v>
      </c>
      <c r="DC2380">
        <v>0</v>
      </c>
      <c r="DD2380">
        <v>1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 t="shared" ref="A2381:A2389" si="1123">"05/12/2020 14:45:04.724"</f>
        <v>05/12/2020 14:45:04.724</v>
      </c>
      <c r="C2381" t="str">
        <f t="shared" si="1097"/>
        <v>FFDFD3C0</v>
      </c>
      <c r="D2381" t="s">
        <v>126</v>
      </c>
      <c r="E2381">
        <v>6</v>
      </c>
      <c r="F2381">
        <v>1006</v>
      </c>
      <c r="G2381" t="s">
        <v>114</v>
      </c>
      <c r="J2381" t="s">
        <v>128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ref="S2381:T2389" si="1124">"14:45:22.539"</f>
        <v>14:45:22.539</v>
      </c>
      <c r="T2381" t="str">
        <f t="shared" si="1124"/>
        <v>14:45:22.539</v>
      </c>
      <c r="U2381" t="str">
        <f t="shared" si="1119"/>
        <v>A9808D</v>
      </c>
      <c r="V2381">
        <v>0</v>
      </c>
      <c r="W2381">
        <v>0</v>
      </c>
      <c r="X2381">
        <v>1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0</v>
      </c>
      <c r="AI2381" t="s">
        <v>600</v>
      </c>
      <c r="AJ2381">
        <v>28.255483999999999</v>
      </c>
      <c r="AK2381" t="s">
        <v>601</v>
      </c>
      <c r="AL2381">
        <v>-82.331220999999999</v>
      </c>
      <c r="AM2381">
        <v>100</v>
      </c>
      <c r="AN2381">
        <v>2300</v>
      </c>
      <c r="AO2381" t="s">
        <v>118</v>
      </c>
      <c r="AP2381">
        <v>91</v>
      </c>
      <c r="AQ2381">
        <v>-47</v>
      </c>
      <c r="AR2381">
        <v>192</v>
      </c>
      <c r="AZ2381">
        <v>1200</v>
      </c>
      <c r="BA2381">
        <v>1</v>
      </c>
      <c r="BB2381" t="str">
        <f t="shared" si="1098"/>
        <v xml:space="preserve">N711JA  </v>
      </c>
      <c r="BC2381">
        <v>1</v>
      </c>
      <c r="BE2381">
        <v>0</v>
      </c>
      <c r="BF2381">
        <v>0</v>
      </c>
      <c r="BG2381">
        <v>0</v>
      </c>
      <c r="BH2381">
        <v>2375</v>
      </c>
      <c r="BI2381">
        <v>1</v>
      </c>
      <c r="BJ2381">
        <v>1</v>
      </c>
      <c r="BK2381">
        <v>0</v>
      </c>
      <c r="BL2381">
        <v>0</v>
      </c>
      <c r="BO2381">
        <v>0</v>
      </c>
      <c r="BP2381">
        <v>0</v>
      </c>
      <c r="BW2381" t="str">
        <f t="shared" ref="BW2381:BW2389" si="1125">"14:45:22.546"</f>
        <v>14:45:22.546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56</v>
      </c>
      <c r="CR2381">
        <v>2</v>
      </c>
      <c r="CW2381">
        <v>4852091</v>
      </c>
      <c r="CY2381">
        <v>1</v>
      </c>
      <c r="CZ2381">
        <v>0</v>
      </c>
      <c r="DA2381">
        <v>0</v>
      </c>
      <c r="DB2381">
        <v>0</v>
      </c>
      <c r="DC2381">
        <v>0</v>
      </c>
      <c r="DD2381">
        <v>1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 t="shared" si="1123"/>
        <v>05/12/2020 14:45:04.724</v>
      </c>
      <c r="C2382" t="str">
        <f t="shared" si="1097"/>
        <v>FFDFD3C0</v>
      </c>
      <c r="D2382" t="s">
        <v>113</v>
      </c>
      <c r="E2382">
        <v>3</v>
      </c>
      <c r="H2382">
        <v>164</v>
      </c>
      <c r="I2382" t="s">
        <v>114</v>
      </c>
      <c r="J2382" t="s">
        <v>115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124"/>
        <v>14:45:22.539</v>
      </c>
      <c r="T2382" t="str">
        <f t="shared" si="1124"/>
        <v>14:45:22.539</v>
      </c>
      <c r="U2382" t="str">
        <f t="shared" si="1119"/>
        <v>A9808D</v>
      </c>
      <c r="V2382">
        <v>0</v>
      </c>
      <c r="W2382">
        <v>0</v>
      </c>
      <c r="X2382">
        <v>1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0</v>
      </c>
      <c r="AI2382" t="s">
        <v>600</v>
      </c>
      <c r="AJ2382">
        <v>28.255483999999999</v>
      </c>
      <c r="AK2382" t="s">
        <v>601</v>
      </c>
      <c r="AL2382">
        <v>-82.331220999999999</v>
      </c>
      <c r="AM2382">
        <v>100</v>
      </c>
      <c r="AN2382">
        <v>2300</v>
      </c>
      <c r="AO2382" t="s">
        <v>118</v>
      </c>
      <c r="AP2382">
        <v>91</v>
      </c>
      <c r="AQ2382">
        <v>-47</v>
      </c>
      <c r="AR2382">
        <v>192</v>
      </c>
      <c r="AZ2382">
        <v>1200</v>
      </c>
      <c r="BA2382">
        <v>1</v>
      </c>
      <c r="BB2382" t="str">
        <f t="shared" si="1098"/>
        <v xml:space="preserve">N711JA  </v>
      </c>
      <c r="BC2382">
        <v>1</v>
      </c>
      <c r="BE2382">
        <v>0</v>
      </c>
      <c r="BF2382">
        <v>0</v>
      </c>
      <c r="BG2382">
        <v>0</v>
      </c>
      <c r="BH2382">
        <v>2375</v>
      </c>
      <c r="BI2382">
        <v>1</v>
      </c>
      <c r="BJ2382">
        <v>1</v>
      </c>
      <c r="BK2382">
        <v>0</v>
      </c>
      <c r="BL2382">
        <v>0</v>
      </c>
      <c r="BO2382">
        <v>0</v>
      </c>
      <c r="BP2382">
        <v>0</v>
      </c>
      <c r="BW2382" t="str">
        <f t="shared" si="1125"/>
        <v>14:45:22.546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56</v>
      </c>
      <c r="CR2382">
        <v>2</v>
      </c>
      <c r="CW2382">
        <v>4852091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1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 t="shared" si="1123"/>
        <v>05/12/2020 14:45:04.724</v>
      </c>
      <c r="C2383" t="str">
        <f t="shared" si="1097"/>
        <v>FFDFD3C0</v>
      </c>
      <c r="D2383" t="s">
        <v>134</v>
      </c>
      <c r="E2383">
        <v>12</v>
      </c>
      <c r="H2383">
        <v>64</v>
      </c>
      <c r="I2383" t="s">
        <v>135</v>
      </c>
      <c r="J2383" t="s">
        <v>136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124"/>
        <v>14:45:22.539</v>
      </c>
      <c r="T2383" t="str">
        <f t="shared" si="1124"/>
        <v>14:45:22.539</v>
      </c>
      <c r="U2383" t="str">
        <f t="shared" si="1119"/>
        <v>A9808D</v>
      </c>
      <c r="V2383">
        <v>0</v>
      </c>
      <c r="W2383">
        <v>0</v>
      </c>
      <c r="X2383">
        <v>1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0</v>
      </c>
      <c r="AI2383" t="s">
        <v>600</v>
      </c>
      <c r="AJ2383">
        <v>28.255483999999999</v>
      </c>
      <c r="AK2383" t="s">
        <v>601</v>
      </c>
      <c r="AL2383">
        <v>-82.331220999999999</v>
      </c>
      <c r="AM2383">
        <v>100</v>
      </c>
      <c r="AN2383">
        <v>2300</v>
      </c>
      <c r="AO2383" t="s">
        <v>118</v>
      </c>
      <c r="AP2383">
        <v>91</v>
      </c>
      <c r="AQ2383">
        <v>-47</v>
      </c>
      <c r="AR2383">
        <v>192</v>
      </c>
      <c r="AZ2383">
        <v>1200</v>
      </c>
      <c r="BA2383">
        <v>1</v>
      </c>
      <c r="BB2383" t="str">
        <f t="shared" si="1098"/>
        <v xml:space="preserve">N711JA  </v>
      </c>
      <c r="BC2383">
        <v>1</v>
      </c>
      <c r="BE2383">
        <v>0</v>
      </c>
      <c r="BF2383">
        <v>0</v>
      </c>
      <c r="BG2383">
        <v>0</v>
      </c>
      <c r="BH2383">
        <v>2375</v>
      </c>
      <c r="BI2383">
        <v>1</v>
      </c>
      <c r="BJ2383">
        <v>1</v>
      </c>
      <c r="BK2383">
        <v>0</v>
      </c>
      <c r="BL2383">
        <v>0</v>
      </c>
      <c r="BO2383">
        <v>0</v>
      </c>
      <c r="BP2383">
        <v>0</v>
      </c>
      <c r="BW2383" t="str">
        <f t="shared" si="1125"/>
        <v>14:45:22.546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343</v>
      </c>
      <c r="CR2383">
        <v>1</v>
      </c>
      <c r="CW2383">
        <v>10780431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1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 t="shared" si="1123"/>
        <v>05/12/2020 14:45:04.724</v>
      </c>
      <c r="C2384" t="str">
        <f t="shared" si="1097"/>
        <v>FFDFD3C0</v>
      </c>
      <c r="D2384" t="s">
        <v>138</v>
      </c>
      <c r="E2384">
        <v>2</v>
      </c>
      <c r="H2384">
        <v>8</v>
      </c>
      <c r="I2384" t="s">
        <v>139</v>
      </c>
      <c r="J2384" t="s">
        <v>136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124"/>
        <v>14:45:22.539</v>
      </c>
      <c r="T2384" t="str">
        <f t="shared" si="1124"/>
        <v>14:45:22.539</v>
      </c>
      <c r="U2384" t="str">
        <f t="shared" si="1119"/>
        <v>A9808D</v>
      </c>
      <c r="V2384">
        <v>0</v>
      </c>
      <c r="W2384">
        <v>0</v>
      </c>
      <c r="X2384">
        <v>1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0</v>
      </c>
      <c r="AI2384" t="s">
        <v>600</v>
      </c>
      <c r="AJ2384">
        <v>28.255483999999999</v>
      </c>
      <c r="AK2384" t="s">
        <v>601</v>
      </c>
      <c r="AL2384">
        <v>-82.331220999999999</v>
      </c>
      <c r="AM2384">
        <v>100</v>
      </c>
      <c r="AN2384">
        <v>2300</v>
      </c>
      <c r="AO2384" t="s">
        <v>118</v>
      </c>
      <c r="AP2384">
        <v>91</v>
      </c>
      <c r="AQ2384">
        <v>-47</v>
      </c>
      <c r="AR2384">
        <v>192</v>
      </c>
      <c r="AZ2384">
        <v>1200</v>
      </c>
      <c r="BA2384">
        <v>1</v>
      </c>
      <c r="BB2384" t="str">
        <f t="shared" si="1098"/>
        <v xml:space="preserve">N711JA  </v>
      </c>
      <c r="BC2384">
        <v>1</v>
      </c>
      <c r="BE2384">
        <v>0</v>
      </c>
      <c r="BF2384">
        <v>0</v>
      </c>
      <c r="BG2384">
        <v>0</v>
      </c>
      <c r="BH2384">
        <v>2375</v>
      </c>
      <c r="BI2384">
        <v>1</v>
      </c>
      <c r="BJ2384">
        <v>1</v>
      </c>
      <c r="BK2384">
        <v>0</v>
      </c>
      <c r="BL2384">
        <v>0</v>
      </c>
      <c r="BO2384">
        <v>0</v>
      </c>
      <c r="BP2384">
        <v>0</v>
      </c>
      <c r="BW2384" t="str">
        <f t="shared" si="1125"/>
        <v>14:45:22.546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56</v>
      </c>
      <c r="CR2384">
        <v>2</v>
      </c>
      <c r="CW2384">
        <v>4852091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1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 t="shared" si="1123"/>
        <v>05/12/2020 14:45:04.724</v>
      </c>
      <c r="C2385" t="str">
        <f t="shared" si="1097"/>
        <v>FFDFD3C0</v>
      </c>
      <c r="D2385" t="s">
        <v>126</v>
      </c>
      <c r="E2385">
        <v>7</v>
      </c>
      <c r="F2385">
        <v>1007</v>
      </c>
      <c r="G2385" t="s">
        <v>127</v>
      </c>
      <c r="J2385" t="s">
        <v>128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124"/>
        <v>14:45:22.539</v>
      </c>
      <c r="T2385" t="str">
        <f t="shared" si="1124"/>
        <v>14:45:22.539</v>
      </c>
      <c r="U2385" t="str">
        <f t="shared" si="1119"/>
        <v>A9808D</v>
      </c>
      <c r="V2385">
        <v>0</v>
      </c>
      <c r="W2385">
        <v>0</v>
      </c>
      <c r="X2385">
        <v>1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0</v>
      </c>
      <c r="AI2385" t="s">
        <v>600</v>
      </c>
      <c r="AJ2385">
        <v>28.255483999999999</v>
      </c>
      <c r="AK2385" t="s">
        <v>601</v>
      </c>
      <c r="AL2385">
        <v>-82.331220999999999</v>
      </c>
      <c r="AM2385">
        <v>100</v>
      </c>
      <c r="AN2385">
        <v>2300</v>
      </c>
      <c r="AO2385" t="s">
        <v>118</v>
      </c>
      <c r="AP2385">
        <v>91</v>
      </c>
      <c r="AQ2385">
        <v>-47</v>
      </c>
      <c r="AR2385">
        <v>192</v>
      </c>
      <c r="AZ2385">
        <v>1200</v>
      </c>
      <c r="BA2385">
        <v>1</v>
      </c>
      <c r="BB2385" t="str">
        <f t="shared" si="1098"/>
        <v xml:space="preserve">N711JA  </v>
      </c>
      <c r="BC2385">
        <v>1</v>
      </c>
      <c r="BE2385">
        <v>0</v>
      </c>
      <c r="BF2385">
        <v>0</v>
      </c>
      <c r="BG2385">
        <v>0</v>
      </c>
      <c r="BH2385">
        <v>2375</v>
      </c>
      <c r="BI2385">
        <v>1</v>
      </c>
      <c r="BJ2385">
        <v>1</v>
      </c>
      <c r="BK2385">
        <v>0</v>
      </c>
      <c r="BL2385">
        <v>0</v>
      </c>
      <c r="BO2385">
        <v>0</v>
      </c>
      <c r="BP2385">
        <v>0</v>
      </c>
      <c r="BW2385" t="str">
        <f t="shared" si="1125"/>
        <v>14:45:22.546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56</v>
      </c>
      <c r="CR2385">
        <v>2</v>
      </c>
      <c r="CW2385">
        <v>4852091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1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si="1123"/>
        <v>05/12/2020 14:45:04.724</v>
      </c>
      <c r="C2386" t="str">
        <f t="shared" si="1097"/>
        <v>FFDFD3C0</v>
      </c>
      <c r="D2386" t="s">
        <v>131</v>
      </c>
      <c r="E2386">
        <v>10</v>
      </c>
      <c r="F2386">
        <v>2010</v>
      </c>
      <c r="G2386" t="s">
        <v>132</v>
      </c>
      <c r="J2386" t="s">
        <v>133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124"/>
        <v>14:45:22.539</v>
      </c>
      <c r="T2386" t="str">
        <f t="shared" si="1124"/>
        <v>14:45:22.539</v>
      </c>
      <c r="U2386" t="str">
        <f t="shared" si="1119"/>
        <v>A9808D</v>
      </c>
      <c r="V2386">
        <v>0</v>
      </c>
      <c r="W2386">
        <v>0</v>
      </c>
      <c r="X2386">
        <v>1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0</v>
      </c>
      <c r="AI2386" t="s">
        <v>600</v>
      </c>
      <c r="AJ2386">
        <v>28.255483999999999</v>
      </c>
      <c r="AK2386" t="s">
        <v>601</v>
      </c>
      <c r="AL2386">
        <v>-82.331220999999999</v>
      </c>
      <c r="AM2386">
        <v>100</v>
      </c>
      <c r="AN2386">
        <v>2300</v>
      </c>
      <c r="AO2386" t="s">
        <v>118</v>
      </c>
      <c r="AP2386">
        <v>91</v>
      </c>
      <c r="AQ2386">
        <v>-47</v>
      </c>
      <c r="AR2386">
        <v>192</v>
      </c>
      <c r="AZ2386">
        <v>1200</v>
      </c>
      <c r="BA2386">
        <v>1</v>
      </c>
      <c r="BB2386" t="str">
        <f t="shared" si="1098"/>
        <v xml:space="preserve">N711JA  </v>
      </c>
      <c r="BC2386">
        <v>1</v>
      </c>
      <c r="BE2386">
        <v>0</v>
      </c>
      <c r="BF2386">
        <v>0</v>
      </c>
      <c r="BG2386">
        <v>0</v>
      </c>
      <c r="BH2386">
        <v>2375</v>
      </c>
      <c r="BI2386">
        <v>1</v>
      </c>
      <c r="BJ2386">
        <v>1</v>
      </c>
      <c r="BK2386">
        <v>0</v>
      </c>
      <c r="BL2386">
        <v>0</v>
      </c>
      <c r="BO2386">
        <v>0</v>
      </c>
      <c r="BP2386">
        <v>0</v>
      </c>
      <c r="BW2386" t="str">
        <f t="shared" si="1125"/>
        <v>14:45:22.546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56</v>
      </c>
      <c r="CR2386">
        <v>2</v>
      </c>
      <c r="CW2386">
        <v>4852091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1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 t="shared" si="1123"/>
        <v>05/12/2020 14:45:04.724</v>
      </c>
      <c r="C2387" t="str">
        <f t="shared" si="1097"/>
        <v>FFDFD3C0</v>
      </c>
      <c r="D2387" t="s">
        <v>138</v>
      </c>
      <c r="E2387">
        <v>3</v>
      </c>
      <c r="H2387">
        <v>9</v>
      </c>
      <c r="I2387" t="s">
        <v>140</v>
      </c>
      <c r="J2387" t="s">
        <v>136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124"/>
        <v>14:45:22.539</v>
      </c>
      <c r="T2387" t="str">
        <f t="shared" si="1124"/>
        <v>14:45:22.539</v>
      </c>
      <c r="U2387" t="str">
        <f t="shared" si="1119"/>
        <v>A9808D</v>
      </c>
      <c r="V2387">
        <v>0</v>
      </c>
      <c r="W2387">
        <v>0</v>
      </c>
      <c r="X2387">
        <v>1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0</v>
      </c>
      <c r="AI2387" t="s">
        <v>600</v>
      </c>
      <c r="AJ2387">
        <v>28.255483999999999</v>
      </c>
      <c r="AK2387" t="s">
        <v>601</v>
      </c>
      <c r="AL2387">
        <v>-82.331220999999999</v>
      </c>
      <c r="AM2387">
        <v>100</v>
      </c>
      <c r="AN2387">
        <v>2300</v>
      </c>
      <c r="AO2387" t="s">
        <v>118</v>
      </c>
      <c r="AP2387">
        <v>91</v>
      </c>
      <c r="AQ2387">
        <v>-47</v>
      </c>
      <c r="AR2387">
        <v>192</v>
      </c>
      <c r="AZ2387">
        <v>1200</v>
      </c>
      <c r="BA2387">
        <v>1</v>
      </c>
      <c r="BB2387" t="str">
        <f t="shared" si="1098"/>
        <v xml:space="preserve">N711JA  </v>
      </c>
      <c r="BC2387">
        <v>1</v>
      </c>
      <c r="BE2387">
        <v>0</v>
      </c>
      <c r="BF2387">
        <v>0</v>
      </c>
      <c r="BG2387">
        <v>0</v>
      </c>
      <c r="BH2387">
        <v>2375</v>
      </c>
      <c r="BI2387">
        <v>1</v>
      </c>
      <c r="BJ2387">
        <v>1</v>
      </c>
      <c r="BK2387">
        <v>0</v>
      </c>
      <c r="BL2387">
        <v>0</v>
      </c>
      <c r="BO2387">
        <v>0</v>
      </c>
      <c r="BP2387">
        <v>0</v>
      </c>
      <c r="BW2387" t="str">
        <f t="shared" si="1125"/>
        <v>14:45:22.546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56</v>
      </c>
      <c r="CR2387">
        <v>2</v>
      </c>
      <c r="CW2387">
        <v>4852091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1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 t="shared" si="1123"/>
        <v>05/12/2020 14:45:04.724</v>
      </c>
      <c r="C2388" t="str">
        <f t="shared" si="1097"/>
        <v>FFDFD3C0</v>
      </c>
      <c r="D2388" t="s">
        <v>131</v>
      </c>
      <c r="E2388">
        <v>12</v>
      </c>
      <c r="F2388">
        <v>2012</v>
      </c>
      <c r="G2388" t="s">
        <v>137</v>
      </c>
      <c r="J2388" t="s">
        <v>133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124"/>
        <v>14:45:22.539</v>
      </c>
      <c r="T2388" t="str">
        <f t="shared" si="1124"/>
        <v>14:45:22.539</v>
      </c>
      <c r="U2388" t="str">
        <f t="shared" si="1119"/>
        <v>A9808D</v>
      </c>
      <c r="V2388">
        <v>0</v>
      </c>
      <c r="W2388">
        <v>0</v>
      </c>
      <c r="X2388">
        <v>1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0</v>
      </c>
      <c r="AI2388" t="s">
        <v>600</v>
      </c>
      <c r="AJ2388">
        <v>28.255483999999999</v>
      </c>
      <c r="AK2388" t="s">
        <v>601</v>
      </c>
      <c r="AL2388">
        <v>-82.331220999999999</v>
      </c>
      <c r="AM2388">
        <v>100</v>
      </c>
      <c r="AN2388">
        <v>2300</v>
      </c>
      <c r="AO2388" t="s">
        <v>118</v>
      </c>
      <c r="AP2388">
        <v>91</v>
      </c>
      <c r="AQ2388">
        <v>-47</v>
      </c>
      <c r="AR2388">
        <v>192</v>
      </c>
      <c r="AZ2388">
        <v>1200</v>
      </c>
      <c r="BA2388">
        <v>1</v>
      </c>
      <c r="BB2388" t="str">
        <f t="shared" si="1098"/>
        <v xml:space="preserve">N711JA  </v>
      </c>
      <c r="BC2388">
        <v>1</v>
      </c>
      <c r="BE2388">
        <v>0</v>
      </c>
      <c r="BF2388">
        <v>0</v>
      </c>
      <c r="BG2388">
        <v>0</v>
      </c>
      <c r="BH2388">
        <v>2375</v>
      </c>
      <c r="BI2388">
        <v>1</v>
      </c>
      <c r="BJ2388">
        <v>1</v>
      </c>
      <c r="BK2388">
        <v>0</v>
      </c>
      <c r="BL2388">
        <v>0</v>
      </c>
      <c r="BO2388">
        <v>0</v>
      </c>
      <c r="BP2388">
        <v>0</v>
      </c>
      <c r="BW2388" t="str">
        <f t="shared" si="1125"/>
        <v>14:45:22.546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56</v>
      </c>
      <c r="CR2388">
        <v>2</v>
      </c>
      <c r="CW2388">
        <v>4852091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1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 t="shared" si="1123"/>
        <v>05/12/2020 14:45:04.724</v>
      </c>
      <c r="C2389" t="str">
        <f t="shared" si="1097"/>
        <v>FFDFD3C0</v>
      </c>
      <c r="D2389" t="s">
        <v>131</v>
      </c>
      <c r="E2389">
        <v>18</v>
      </c>
      <c r="F2389">
        <v>2018</v>
      </c>
      <c r="G2389" t="s">
        <v>161</v>
      </c>
      <c r="J2389" t="s">
        <v>133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124"/>
        <v>14:45:22.539</v>
      </c>
      <c r="T2389" t="str">
        <f t="shared" si="1124"/>
        <v>14:45:22.539</v>
      </c>
      <c r="U2389" t="str">
        <f t="shared" si="1119"/>
        <v>A9808D</v>
      </c>
      <c r="V2389">
        <v>0</v>
      </c>
      <c r="W2389">
        <v>0</v>
      </c>
      <c r="X2389">
        <v>1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0</v>
      </c>
      <c r="AI2389" t="s">
        <v>600</v>
      </c>
      <c r="AJ2389">
        <v>28.255483999999999</v>
      </c>
      <c r="AK2389" t="s">
        <v>601</v>
      </c>
      <c r="AL2389">
        <v>-82.331220999999999</v>
      </c>
      <c r="AM2389">
        <v>100</v>
      </c>
      <c r="AN2389">
        <v>2300</v>
      </c>
      <c r="AO2389" t="s">
        <v>118</v>
      </c>
      <c r="AP2389">
        <v>91</v>
      </c>
      <c r="AQ2389">
        <v>-47</v>
      </c>
      <c r="AR2389">
        <v>192</v>
      </c>
      <c r="AZ2389">
        <v>1200</v>
      </c>
      <c r="BA2389">
        <v>1</v>
      </c>
      <c r="BB2389" t="str">
        <f t="shared" si="1098"/>
        <v xml:space="preserve">N711JA  </v>
      </c>
      <c r="BC2389">
        <v>1</v>
      </c>
      <c r="BE2389">
        <v>0</v>
      </c>
      <c r="BF2389">
        <v>0</v>
      </c>
      <c r="BG2389">
        <v>0</v>
      </c>
      <c r="BH2389">
        <v>2375</v>
      </c>
      <c r="BI2389">
        <v>1</v>
      </c>
      <c r="BJ2389">
        <v>1</v>
      </c>
      <c r="BK2389">
        <v>0</v>
      </c>
      <c r="BL2389">
        <v>0</v>
      </c>
      <c r="BO2389">
        <v>0</v>
      </c>
      <c r="BP2389">
        <v>0</v>
      </c>
      <c r="BW2389" t="str">
        <f t="shared" si="1125"/>
        <v>14:45:22.546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56</v>
      </c>
      <c r="CR2389">
        <v>2</v>
      </c>
      <c r="CW2389">
        <v>4852091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1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 t="shared" ref="A2390:A2398" si="1126">"05/12/2020 14:45:05.716"</f>
        <v>05/12/2020 14:45:05.716</v>
      </c>
      <c r="C2390" t="str">
        <f t="shared" ref="C2390:C2453" si="1127">"FFDFD3C0"</f>
        <v>FFDFD3C0</v>
      </c>
      <c r="D2390" t="s">
        <v>131</v>
      </c>
      <c r="E2390">
        <v>12</v>
      </c>
      <c r="F2390">
        <v>2012</v>
      </c>
      <c r="G2390" t="s">
        <v>137</v>
      </c>
      <c r="J2390" t="s">
        <v>133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ref="S2390:S2398" si="1128">"14:45:23.547"</f>
        <v>14:45:23.547</v>
      </c>
      <c r="T2390" t="str">
        <f t="shared" ref="T2390:T2398" si="1129">"14:45:23.447"</f>
        <v>14:45:23.447</v>
      </c>
      <c r="U2390" t="str">
        <f t="shared" si="1119"/>
        <v>A9808D</v>
      </c>
      <c r="V2390">
        <v>0</v>
      </c>
      <c r="W2390">
        <v>0</v>
      </c>
      <c r="X2390">
        <v>1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0</v>
      </c>
      <c r="AI2390" t="s">
        <v>602</v>
      </c>
      <c r="AJ2390">
        <v>28.255248000000002</v>
      </c>
      <c r="AK2390" t="s">
        <v>603</v>
      </c>
      <c r="AL2390">
        <v>-82.330792000000002</v>
      </c>
      <c r="AM2390">
        <v>100</v>
      </c>
      <c r="AN2390">
        <v>2300</v>
      </c>
      <c r="AO2390" t="s">
        <v>118</v>
      </c>
      <c r="AP2390">
        <v>92</v>
      </c>
      <c r="AQ2390">
        <v>-47</v>
      </c>
      <c r="AR2390">
        <v>192</v>
      </c>
      <c r="AZ2390">
        <v>1200</v>
      </c>
      <c r="BA2390">
        <v>1</v>
      </c>
      <c r="BB2390" t="str">
        <f t="shared" ref="BB2390:BB2453" si="1130">"N711JA  "</f>
        <v xml:space="preserve">N711JA  </v>
      </c>
      <c r="BC2390">
        <v>1</v>
      </c>
      <c r="BE2390">
        <v>0</v>
      </c>
      <c r="BF2390">
        <v>0</v>
      </c>
      <c r="BG2390">
        <v>0</v>
      </c>
      <c r="BH2390">
        <v>2375</v>
      </c>
      <c r="BI2390">
        <v>1</v>
      </c>
      <c r="BJ2390">
        <v>1</v>
      </c>
      <c r="BK2390">
        <v>0</v>
      </c>
      <c r="BL2390">
        <v>0</v>
      </c>
      <c r="BO2390">
        <v>0</v>
      </c>
      <c r="BP2390">
        <v>0</v>
      </c>
      <c r="BW2390" t="str">
        <f>"14:45:23.552"</f>
        <v>14:45:23.552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56</v>
      </c>
      <c r="CR2390">
        <v>2</v>
      </c>
      <c r="CW2390">
        <v>4853389</v>
      </c>
      <c r="CY2390">
        <v>1</v>
      </c>
      <c r="CZ2390">
        <v>0</v>
      </c>
      <c r="DA2390">
        <v>0</v>
      </c>
      <c r="DB2390">
        <v>0</v>
      </c>
      <c r="DC2390">
        <v>0</v>
      </c>
      <c r="DD2390">
        <v>1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 t="shared" si="1126"/>
        <v>05/12/2020 14:45:05.716</v>
      </c>
      <c r="C2391" t="str">
        <f t="shared" si="1127"/>
        <v>FFDFD3C0</v>
      </c>
      <c r="D2391" t="s">
        <v>131</v>
      </c>
      <c r="E2391">
        <v>18</v>
      </c>
      <c r="F2391">
        <v>2018</v>
      </c>
      <c r="G2391" t="s">
        <v>161</v>
      </c>
      <c r="J2391" t="s">
        <v>133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128"/>
        <v>14:45:23.547</v>
      </c>
      <c r="T2391" t="str">
        <f t="shared" si="1129"/>
        <v>14:45:23.447</v>
      </c>
      <c r="U2391" t="str">
        <f t="shared" si="1119"/>
        <v>A9808D</v>
      </c>
      <c r="V2391">
        <v>0</v>
      </c>
      <c r="W2391">
        <v>0</v>
      </c>
      <c r="X2391">
        <v>1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0</v>
      </c>
      <c r="AI2391" t="s">
        <v>602</v>
      </c>
      <c r="AJ2391">
        <v>28.255248000000002</v>
      </c>
      <c r="AK2391" t="s">
        <v>603</v>
      </c>
      <c r="AL2391">
        <v>-82.330792000000002</v>
      </c>
      <c r="AM2391">
        <v>100</v>
      </c>
      <c r="AN2391">
        <v>2300</v>
      </c>
      <c r="AO2391" t="s">
        <v>118</v>
      </c>
      <c r="AP2391">
        <v>92</v>
      </c>
      <c r="AQ2391">
        <v>-47</v>
      </c>
      <c r="AR2391">
        <v>192</v>
      </c>
      <c r="AZ2391">
        <v>1200</v>
      </c>
      <c r="BA2391">
        <v>1</v>
      </c>
      <c r="BB2391" t="str">
        <f t="shared" si="1130"/>
        <v xml:space="preserve">N711JA  </v>
      </c>
      <c r="BC2391">
        <v>1</v>
      </c>
      <c r="BE2391">
        <v>0</v>
      </c>
      <c r="BF2391">
        <v>0</v>
      </c>
      <c r="BG2391">
        <v>0</v>
      </c>
      <c r="BH2391">
        <v>2375</v>
      </c>
      <c r="BI2391">
        <v>1</v>
      </c>
      <c r="BJ2391">
        <v>1</v>
      </c>
      <c r="BK2391">
        <v>0</v>
      </c>
      <c r="BL2391">
        <v>0</v>
      </c>
      <c r="BO2391">
        <v>0</v>
      </c>
      <c r="BP2391">
        <v>0</v>
      </c>
      <c r="BW2391" t="str">
        <f>"14:45:23.552"</f>
        <v>14:45:23.552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56</v>
      </c>
      <c r="CR2391">
        <v>2</v>
      </c>
      <c r="CW2391">
        <v>4853389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1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 t="shared" si="1126"/>
        <v>05/12/2020 14:45:05.716</v>
      </c>
      <c r="C2392" t="str">
        <f t="shared" si="1127"/>
        <v>FFDFD3C0</v>
      </c>
      <c r="D2392" t="s">
        <v>138</v>
      </c>
      <c r="E2392">
        <v>3</v>
      </c>
      <c r="H2392">
        <v>9</v>
      </c>
      <c r="I2392" t="s">
        <v>140</v>
      </c>
      <c r="J2392" t="s">
        <v>136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128"/>
        <v>14:45:23.547</v>
      </c>
      <c r="T2392" t="str">
        <f t="shared" si="1129"/>
        <v>14:45:23.447</v>
      </c>
      <c r="U2392" t="str">
        <f t="shared" si="1119"/>
        <v>A9808D</v>
      </c>
      <c r="V2392">
        <v>0</v>
      </c>
      <c r="W2392">
        <v>0</v>
      </c>
      <c r="X2392">
        <v>1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0</v>
      </c>
      <c r="AI2392" t="s">
        <v>602</v>
      </c>
      <c r="AJ2392">
        <v>28.255248000000002</v>
      </c>
      <c r="AK2392" t="s">
        <v>603</v>
      </c>
      <c r="AL2392">
        <v>-82.330792000000002</v>
      </c>
      <c r="AM2392">
        <v>100</v>
      </c>
      <c r="AN2392">
        <v>2300</v>
      </c>
      <c r="AO2392" t="s">
        <v>118</v>
      </c>
      <c r="AP2392">
        <v>92</v>
      </c>
      <c r="AQ2392">
        <v>-47</v>
      </c>
      <c r="AR2392">
        <v>192</v>
      </c>
      <c r="AZ2392">
        <v>1200</v>
      </c>
      <c r="BA2392">
        <v>1</v>
      </c>
      <c r="BB2392" t="str">
        <f t="shared" si="1130"/>
        <v xml:space="preserve">N711JA  </v>
      </c>
      <c r="BC2392">
        <v>1</v>
      </c>
      <c r="BE2392">
        <v>0</v>
      </c>
      <c r="BF2392">
        <v>0</v>
      </c>
      <c r="BG2392">
        <v>0</v>
      </c>
      <c r="BH2392">
        <v>2375</v>
      </c>
      <c r="BI2392">
        <v>1</v>
      </c>
      <c r="BJ2392">
        <v>1</v>
      </c>
      <c r="BK2392">
        <v>0</v>
      </c>
      <c r="BL2392">
        <v>0</v>
      </c>
      <c r="BO2392">
        <v>0</v>
      </c>
      <c r="BP2392">
        <v>0</v>
      </c>
      <c r="BW2392" t="str">
        <f>"14:45:23.552"</f>
        <v>14:45:23.552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56</v>
      </c>
      <c r="CR2392">
        <v>2</v>
      </c>
      <c r="CW2392">
        <v>4853389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1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 t="shared" si="1126"/>
        <v>05/12/2020 14:45:05.716</v>
      </c>
      <c r="C2393" t="str">
        <f t="shared" si="1127"/>
        <v>FFDFD3C0</v>
      </c>
      <c r="D2393" t="s">
        <v>126</v>
      </c>
      <c r="E2393">
        <v>6</v>
      </c>
      <c r="F2393">
        <v>1006</v>
      </c>
      <c r="G2393" t="s">
        <v>114</v>
      </c>
      <c r="J2393" t="s">
        <v>128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128"/>
        <v>14:45:23.547</v>
      </c>
      <c r="T2393" t="str">
        <f t="shared" si="1129"/>
        <v>14:45:23.447</v>
      </c>
      <c r="U2393" t="str">
        <f t="shared" si="1119"/>
        <v>A9808D</v>
      </c>
      <c r="V2393">
        <v>0</v>
      </c>
      <c r="W2393">
        <v>0</v>
      </c>
      <c r="X2393">
        <v>1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0</v>
      </c>
      <c r="AI2393" t="s">
        <v>602</v>
      </c>
      <c r="AJ2393">
        <v>28.255248000000002</v>
      </c>
      <c r="AK2393" t="s">
        <v>603</v>
      </c>
      <c r="AL2393">
        <v>-82.330792000000002</v>
      </c>
      <c r="AM2393">
        <v>100</v>
      </c>
      <c r="AN2393">
        <v>2300</v>
      </c>
      <c r="AO2393" t="s">
        <v>118</v>
      </c>
      <c r="AP2393">
        <v>92</v>
      </c>
      <c r="AQ2393">
        <v>-47</v>
      </c>
      <c r="AR2393">
        <v>192</v>
      </c>
      <c r="AZ2393">
        <v>1200</v>
      </c>
      <c r="BA2393">
        <v>1</v>
      </c>
      <c r="BB2393" t="str">
        <f t="shared" si="1130"/>
        <v xml:space="preserve">N711JA  </v>
      </c>
      <c r="BC2393">
        <v>1</v>
      </c>
      <c r="BE2393">
        <v>0</v>
      </c>
      <c r="BF2393">
        <v>0</v>
      </c>
      <c r="BG2393">
        <v>0</v>
      </c>
      <c r="BH2393">
        <v>2375</v>
      </c>
      <c r="BI2393">
        <v>1</v>
      </c>
      <c r="BJ2393">
        <v>1</v>
      </c>
      <c r="BK2393">
        <v>0</v>
      </c>
      <c r="BL2393">
        <v>0</v>
      </c>
      <c r="BO2393">
        <v>0</v>
      </c>
      <c r="BP2393">
        <v>0</v>
      </c>
      <c r="BW2393" t="str">
        <f>"14:45:23.552"</f>
        <v>14:45:23.552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56</v>
      </c>
      <c r="CR2393">
        <v>2</v>
      </c>
      <c r="CW2393">
        <v>4853389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si="1126"/>
        <v>05/12/2020 14:45:05.716</v>
      </c>
      <c r="C2394" t="str">
        <f t="shared" si="1127"/>
        <v>FFDFD3C0</v>
      </c>
      <c r="D2394" t="s">
        <v>113</v>
      </c>
      <c r="E2394">
        <v>3</v>
      </c>
      <c r="H2394">
        <v>164</v>
      </c>
      <c r="I2394" t="s">
        <v>114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128"/>
        <v>14:45:23.547</v>
      </c>
      <c r="T2394" t="str">
        <f t="shared" si="1129"/>
        <v>14:45:23.447</v>
      </c>
      <c r="U2394" t="str">
        <f t="shared" si="1119"/>
        <v>A9808D</v>
      </c>
      <c r="V2394">
        <v>0</v>
      </c>
      <c r="W2394">
        <v>0</v>
      </c>
      <c r="X2394">
        <v>1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0</v>
      </c>
      <c r="AI2394" t="s">
        <v>602</v>
      </c>
      <c r="AJ2394">
        <v>28.255248000000002</v>
      </c>
      <c r="AK2394" t="s">
        <v>603</v>
      </c>
      <c r="AL2394">
        <v>-82.330792000000002</v>
      </c>
      <c r="AM2394">
        <v>100</v>
      </c>
      <c r="AN2394">
        <v>2300</v>
      </c>
      <c r="AO2394" t="s">
        <v>118</v>
      </c>
      <c r="AP2394">
        <v>92</v>
      </c>
      <c r="AQ2394">
        <v>-47</v>
      </c>
      <c r="AR2394">
        <v>192</v>
      </c>
      <c r="AZ2394">
        <v>1200</v>
      </c>
      <c r="BA2394">
        <v>1</v>
      </c>
      <c r="BB2394" t="str">
        <f t="shared" si="1130"/>
        <v xml:space="preserve">N711JA  </v>
      </c>
      <c r="BC2394">
        <v>1</v>
      </c>
      <c r="BE2394">
        <v>0</v>
      </c>
      <c r="BF2394">
        <v>0</v>
      </c>
      <c r="BG2394">
        <v>0</v>
      </c>
      <c r="BH2394">
        <v>2375</v>
      </c>
      <c r="BI2394">
        <v>1</v>
      </c>
      <c r="BJ2394">
        <v>1</v>
      </c>
      <c r="BK2394">
        <v>0</v>
      </c>
      <c r="BL2394">
        <v>0</v>
      </c>
      <c r="BO2394">
        <v>0</v>
      </c>
      <c r="BP2394">
        <v>0</v>
      </c>
      <c r="BW2394" t="str">
        <f>"14:45:23.552"</f>
        <v>14:45:23.552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56</v>
      </c>
      <c r="CR2394">
        <v>2</v>
      </c>
      <c r="CW2394">
        <v>4853389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1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1126"/>
        <v>05/12/2020 14:45:05.716</v>
      </c>
      <c r="C2395" t="str">
        <f t="shared" si="1127"/>
        <v>FFDFD3C0</v>
      </c>
      <c r="D2395" t="s">
        <v>134</v>
      </c>
      <c r="E2395">
        <v>12</v>
      </c>
      <c r="H2395">
        <v>64</v>
      </c>
      <c r="I2395" t="s">
        <v>135</v>
      </c>
      <c r="J2395" t="s">
        <v>136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128"/>
        <v>14:45:23.547</v>
      </c>
      <c r="T2395" t="str">
        <f t="shared" si="1129"/>
        <v>14:45:23.447</v>
      </c>
      <c r="U2395" t="str">
        <f t="shared" si="1119"/>
        <v>A9808D</v>
      </c>
      <c r="V2395">
        <v>0</v>
      </c>
      <c r="W2395">
        <v>0</v>
      </c>
      <c r="X2395">
        <v>1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0</v>
      </c>
      <c r="AI2395" t="s">
        <v>602</v>
      </c>
      <c r="AJ2395">
        <v>28.255248000000002</v>
      </c>
      <c r="AK2395" t="s">
        <v>603</v>
      </c>
      <c r="AL2395">
        <v>-82.330792000000002</v>
      </c>
      <c r="AM2395">
        <v>100</v>
      </c>
      <c r="AN2395">
        <v>2300</v>
      </c>
      <c r="AO2395" t="s">
        <v>118</v>
      </c>
      <c r="AP2395">
        <v>92</v>
      </c>
      <c r="AQ2395">
        <v>-47</v>
      </c>
      <c r="AR2395">
        <v>192</v>
      </c>
      <c r="AZ2395">
        <v>1200</v>
      </c>
      <c r="BA2395">
        <v>1</v>
      </c>
      <c r="BB2395" t="str">
        <f t="shared" si="1130"/>
        <v xml:space="preserve">N711JA  </v>
      </c>
      <c r="BC2395">
        <v>1</v>
      </c>
      <c r="BE2395">
        <v>0</v>
      </c>
      <c r="BF2395">
        <v>0</v>
      </c>
      <c r="BG2395">
        <v>0</v>
      </c>
      <c r="BH2395">
        <v>2375</v>
      </c>
      <c r="BI2395">
        <v>1</v>
      </c>
      <c r="BJ2395">
        <v>1</v>
      </c>
      <c r="BK2395">
        <v>0</v>
      </c>
      <c r="BL2395">
        <v>0</v>
      </c>
      <c r="BO2395">
        <v>0</v>
      </c>
      <c r="BP2395">
        <v>0</v>
      </c>
      <c r="BW2395" t="str">
        <f>"14:45:23.551"</f>
        <v>14:45:23.551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343</v>
      </c>
      <c r="CR2395">
        <v>1</v>
      </c>
      <c r="CW2395">
        <v>10781483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1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1126"/>
        <v>05/12/2020 14:45:05.716</v>
      </c>
      <c r="C2396" t="str">
        <f t="shared" si="1127"/>
        <v>FFDFD3C0</v>
      </c>
      <c r="D2396" t="s">
        <v>138</v>
      </c>
      <c r="E2396">
        <v>2</v>
      </c>
      <c r="H2396">
        <v>8</v>
      </c>
      <c r="I2396" t="s">
        <v>139</v>
      </c>
      <c r="J2396" t="s">
        <v>136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128"/>
        <v>14:45:23.547</v>
      </c>
      <c r="T2396" t="str">
        <f t="shared" si="1129"/>
        <v>14:45:23.447</v>
      </c>
      <c r="U2396" t="str">
        <f t="shared" si="1119"/>
        <v>A9808D</v>
      </c>
      <c r="V2396">
        <v>0</v>
      </c>
      <c r="W2396">
        <v>0</v>
      </c>
      <c r="X2396">
        <v>1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0</v>
      </c>
      <c r="AI2396" t="s">
        <v>602</v>
      </c>
      <c r="AJ2396">
        <v>28.255248000000002</v>
      </c>
      <c r="AK2396" t="s">
        <v>603</v>
      </c>
      <c r="AL2396">
        <v>-82.330792000000002</v>
      </c>
      <c r="AM2396">
        <v>100</v>
      </c>
      <c r="AN2396">
        <v>2300</v>
      </c>
      <c r="AO2396" t="s">
        <v>118</v>
      </c>
      <c r="AP2396">
        <v>92</v>
      </c>
      <c r="AQ2396">
        <v>-47</v>
      </c>
      <c r="AR2396">
        <v>192</v>
      </c>
      <c r="AZ2396">
        <v>1200</v>
      </c>
      <c r="BA2396">
        <v>1</v>
      </c>
      <c r="BB2396" t="str">
        <f t="shared" si="1130"/>
        <v xml:space="preserve">N711JA  </v>
      </c>
      <c r="BC2396">
        <v>1</v>
      </c>
      <c r="BE2396">
        <v>0</v>
      </c>
      <c r="BF2396">
        <v>0</v>
      </c>
      <c r="BG2396">
        <v>0</v>
      </c>
      <c r="BH2396">
        <v>2375</v>
      </c>
      <c r="BI2396">
        <v>1</v>
      </c>
      <c r="BJ2396">
        <v>1</v>
      </c>
      <c r="BK2396">
        <v>0</v>
      </c>
      <c r="BL2396">
        <v>0</v>
      </c>
      <c r="BO2396">
        <v>0</v>
      </c>
      <c r="BP2396">
        <v>0</v>
      </c>
      <c r="BW2396" t="str">
        <f>"14:45:23.552"</f>
        <v>14:45:23.552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56</v>
      </c>
      <c r="CR2396">
        <v>2</v>
      </c>
      <c r="CW2396">
        <v>4853389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1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si="1126"/>
        <v>05/12/2020 14:45:05.716</v>
      </c>
      <c r="C2397" t="str">
        <f t="shared" si="1127"/>
        <v>FFDFD3C0</v>
      </c>
      <c r="D2397" t="s">
        <v>126</v>
      </c>
      <c r="E2397">
        <v>7</v>
      </c>
      <c r="F2397">
        <v>1007</v>
      </c>
      <c r="G2397" t="s">
        <v>127</v>
      </c>
      <c r="J2397" t="s">
        <v>128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128"/>
        <v>14:45:23.547</v>
      </c>
      <c r="T2397" t="str">
        <f t="shared" si="1129"/>
        <v>14:45:23.447</v>
      </c>
      <c r="U2397" t="str">
        <f t="shared" si="1119"/>
        <v>A9808D</v>
      </c>
      <c r="V2397">
        <v>0</v>
      </c>
      <c r="W2397">
        <v>0</v>
      </c>
      <c r="X2397">
        <v>1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0</v>
      </c>
      <c r="AI2397" t="s">
        <v>602</v>
      </c>
      <c r="AJ2397">
        <v>28.255248000000002</v>
      </c>
      <c r="AK2397" t="s">
        <v>603</v>
      </c>
      <c r="AL2397">
        <v>-82.330792000000002</v>
      </c>
      <c r="AM2397">
        <v>100</v>
      </c>
      <c r="AN2397">
        <v>2300</v>
      </c>
      <c r="AO2397" t="s">
        <v>118</v>
      </c>
      <c r="AP2397">
        <v>92</v>
      </c>
      <c r="AQ2397">
        <v>-47</v>
      </c>
      <c r="AR2397">
        <v>192</v>
      </c>
      <c r="AZ2397">
        <v>1200</v>
      </c>
      <c r="BA2397">
        <v>1</v>
      </c>
      <c r="BB2397" t="str">
        <f t="shared" si="1130"/>
        <v xml:space="preserve">N711JA  </v>
      </c>
      <c r="BC2397">
        <v>1</v>
      </c>
      <c r="BE2397">
        <v>0</v>
      </c>
      <c r="BF2397">
        <v>0</v>
      </c>
      <c r="BG2397">
        <v>0</v>
      </c>
      <c r="BH2397">
        <v>2375</v>
      </c>
      <c r="BI2397">
        <v>1</v>
      </c>
      <c r="BJ2397">
        <v>1</v>
      </c>
      <c r="BK2397">
        <v>0</v>
      </c>
      <c r="BL2397">
        <v>0</v>
      </c>
      <c r="BO2397">
        <v>0</v>
      </c>
      <c r="BP2397">
        <v>0</v>
      </c>
      <c r="BW2397" t="str">
        <f>"14:45:23.552"</f>
        <v>14:45:23.552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56</v>
      </c>
      <c r="CR2397">
        <v>2</v>
      </c>
      <c r="CW2397">
        <v>4853389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1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si="1126"/>
        <v>05/12/2020 14:45:05.716</v>
      </c>
      <c r="C2398" t="str">
        <f t="shared" si="1127"/>
        <v>FFDFD3C0</v>
      </c>
      <c r="D2398" t="s">
        <v>131</v>
      </c>
      <c r="E2398">
        <v>10</v>
      </c>
      <c r="F2398">
        <v>2010</v>
      </c>
      <c r="G2398" t="s">
        <v>132</v>
      </c>
      <c r="J2398" t="s">
        <v>133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128"/>
        <v>14:45:23.547</v>
      </c>
      <c r="T2398" t="str">
        <f t="shared" si="1129"/>
        <v>14:45:23.447</v>
      </c>
      <c r="U2398" t="str">
        <f t="shared" si="1119"/>
        <v>A9808D</v>
      </c>
      <c r="V2398">
        <v>0</v>
      </c>
      <c r="W2398">
        <v>0</v>
      </c>
      <c r="X2398">
        <v>1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0</v>
      </c>
      <c r="AI2398" t="s">
        <v>602</v>
      </c>
      <c r="AJ2398">
        <v>28.255248000000002</v>
      </c>
      <c r="AK2398" t="s">
        <v>603</v>
      </c>
      <c r="AL2398">
        <v>-82.330792000000002</v>
      </c>
      <c r="AM2398">
        <v>100</v>
      </c>
      <c r="AN2398">
        <v>2300</v>
      </c>
      <c r="AO2398" t="s">
        <v>118</v>
      </c>
      <c r="AP2398">
        <v>92</v>
      </c>
      <c r="AQ2398">
        <v>-47</v>
      </c>
      <c r="AR2398">
        <v>192</v>
      </c>
      <c r="AZ2398">
        <v>1200</v>
      </c>
      <c r="BA2398">
        <v>1</v>
      </c>
      <c r="BB2398" t="str">
        <f t="shared" si="1130"/>
        <v xml:space="preserve">N711JA  </v>
      </c>
      <c r="BC2398">
        <v>1</v>
      </c>
      <c r="BE2398">
        <v>0</v>
      </c>
      <c r="BF2398">
        <v>0</v>
      </c>
      <c r="BG2398">
        <v>0</v>
      </c>
      <c r="BH2398">
        <v>2375</v>
      </c>
      <c r="BI2398">
        <v>1</v>
      </c>
      <c r="BJ2398">
        <v>1</v>
      </c>
      <c r="BK2398">
        <v>0</v>
      </c>
      <c r="BL2398">
        <v>0</v>
      </c>
      <c r="BO2398">
        <v>0</v>
      </c>
      <c r="BP2398">
        <v>0</v>
      </c>
      <c r="BW2398" t="str">
        <f>"14:45:23.552"</f>
        <v>14:45:23.552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56</v>
      </c>
      <c r="CR2398">
        <v>2</v>
      </c>
      <c r="CW2398">
        <v>4853389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1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 t="shared" ref="A2399:A2407" si="1131">"05/12/2020 14:45:06.718"</f>
        <v>05/12/2020 14:45:06.718</v>
      </c>
      <c r="C2399" t="str">
        <f t="shared" si="1127"/>
        <v>FFDFD3C0</v>
      </c>
      <c r="D2399" t="s">
        <v>131</v>
      </c>
      <c r="E2399">
        <v>10</v>
      </c>
      <c r="F2399">
        <v>2010</v>
      </c>
      <c r="G2399" t="s">
        <v>132</v>
      </c>
      <c r="J2399" t="s">
        <v>133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ref="S2399:S2407" si="1132">"14:45:24.555"</f>
        <v>14:45:24.555</v>
      </c>
      <c r="T2399" t="str">
        <f t="shared" ref="T2399:T2407" si="1133">"14:45:24.455"</f>
        <v>14:45:24.455</v>
      </c>
      <c r="U2399" t="str">
        <f t="shared" si="1119"/>
        <v>A9808D</v>
      </c>
      <c r="V2399">
        <v>0</v>
      </c>
      <c r="W2399">
        <v>0</v>
      </c>
      <c r="X2399">
        <v>1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0</v>
      </c>
      <c r="AI2399" t="s">
        <v>604</v>
      </c>
      <c r="AJ2399">
        <v>28.255075999999999</v>
      </c>
      <c r="AK2399" t="s">
        <v>605</v>
      </c>
      <c r="AL2399">
        <v>-82.330297999999999</v>
      </c>
      <c r="AM2399">
        <v>100</v>
      </c>
      <c r="AN2399">
        <v>2300</v>
      </c>
      <c r="AO2399" t="s">
        <v>118</v>
      </c>
      <c r="AP2399">
        <v>92</v>
      </c>
      <c r="AQ2399">
        <v>-46</v>
      </c>
      <c r="AR2399">
        <v>192</v>
      </c>
      <c r="AZ2399">
        <v>1200</v>
      </c>
      <c r="BA2399">
        <v>1</v>
      </c>
      <c r="BB2399" t="str">
        <f t="shared" si="1130"/>
        <v xml:space="preserve">N711JA  </v>
      </c>
      <c r="BC2399">
        <v>1</v>
      </c>
      <c r="BE2399">
        <v>0</v>
      </c>
      <c r="BF2399">
        <v>0</v>
      </c>
      <c r="BG2399">
        <v>0</v>
      </c>
      <c r="BH2399">
        <v>2375</v>
      </c>
      <c r="BI2399">
        <v>1</v>
      </c>
      <c r="BJ2399">
        <v>1</v>
      </c>
      <c r="BK2399">
        <v>0</v>
      </c>
      <c r="BL2399">
        <v>0</v>
      </c>
      <c r="BO2399">
        <v>0</v>
      </c>
      <c r="BP2399">
        <v>0</v>
      </c>
      <c r="BW2399" t="str">
        <f t="shared" ref="BW2399:BW2407" si="1134">"14:45:24.555"</f>
        <v>14:45:24.555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56</v>
      </c>
      <c r="CR2399">
        <v>2</v>
      </c>
      <c r="CW2399">
        <v>4854721</v>
      </c>
      <c r="CY2399">
        <v>1</v>
      </c>
      <c r="CZ2399">
        <v>0</v>
      </c>
      <c r="DA2399">
        <v>0</v>
      </c>
      <c r="DB2399">
        <v>0</v>
      </c>
      <c r="DC2399">
        <v>0</v>
      </c>
      <c r="DD2399">
        <v>1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 t="shared" si="1131"/>
        <v>05/12/2020 14:45:06.718</v>
      </c>
      <c r="C2400" t="str">
        <f t="shared" si="1127"/>
        <v>FFDFD3C0</v>
      </c>
      <c r="D2400" t="s">
        <v>131</v>
      </c>
      <c r="E2400">
        <v>12</v>
      </c>
      <c r="F2400">
        <v>2012</v>
      </c>
      <c r="G2400" t="s">
        <v>137</v>
      </c>
      <c r="J2400" t="s">
        <v>133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132"/>
        <v>14:45:24.555</v>
      </c>
      <c r="T2400" t="str">
        <f t="shared" si="1133"/>
        <v>14:45:24.455</v>
      </c>
      <c r="U2400" t="str">
        <f t="shared" si="1119"/>
        <v>A9808D</v>
      </c>
      <c r="V2400">
        <v>0</v>
      </c>
      <c r="W2400">
        <v>0</v>
      </c>
      <c r="X2400">
        <v>1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0</v>
      </c>
      <c r="AI2400" t="s">
        <v>604</v>
      </c>
      <c r="AJ2400">
        <v>28.255075999999999</v>
      </c>
      <c r="AK2400" t="s">
        <v>605</v>
      </c>
      <c r="AL2400">
        <v>-82.330297999999999</v>
      </c>
      <c r="AM2400">
        <v>100</v>
      </c>
      <c r="AN2400">
        <v>2300</v>
      </c>
      <c r="AO2400" t="s">
        <v>118</v>
      </c>
      <c r="AP2400">
        <v>92</v>
      </c>
      <c r="AQ2400">
        <v>-46</v>
      </c>
      <c r="AR2400">
        <v>192</v>
      </c>
      <c r="AZ2400">
        <v>1200</v>
      </c>
      <c r="BA2400">
        <v>1</v>
      </c>
      <c r="BB2400" t="str">
        <f t="shared" si="1130"/>
        <v xml:space="preserve">N711JA  </v>
      </c>
      <c r="BC2400">
        <v>1</v>
      </c>
      <c r="BE2400">
        <v>0</v>
      </c>
      <c r="BF2400">
        <v>0</v>
      </c>
      <c r="BG2400">
        <v>0</v>
      </c>
      <c r="BH2400">
        <v>2375</v>
      </c>
      <c r="BI2400">
        <v>1</v>
      </c>
      <c r="BJ2400">
        <v>1</v>
      </c>
      <c r="BK2400">
        <v>0</v>
      </c>
      <c r="BL2400">
        <v>0</v>
      </c>
      <c r="BO2400">
        <v>0</v>
      </c>
      <c r="BP2400">
        <v>0</v>
      </c>
      <c r="BW2400" t="str">
        <f t="shared" si="1134"/>
        <v>14:45:24.555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56</v>
      </c>
      <c r="CR2400">
        <v>2</v>
      </c>
      <c r="CW2400">
        <v>4854721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1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si="1131"/>
        <v>05/12/2020 14:45:06.718</v>
      </c>
      <c r="C2401" t="str">
        <f t="shared" si="1127"/>
        <v>FFDFD3C0</v>
      </c>
      <c r="D2401" t="s">
        <v>131</v>
      </c>
      <c r="E2401">
        <v>18</v>
      </c>
      <c r="F2401">
        <v>2018</v>
      </c>
      <c r="G2401" t="s">
        <v>161</v>
      </c>
      <c r="J2401" t="s">
        <v>133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132"/>
        <v>14:45:24.555</v>
      </c>
      <c r="T2401" t="str">
        <f t="shared" si="1133"/>
        <v>14:45:24.455</v>
      </c>
      <c r="U2401" t="str">
        <f t="shared" si="1119"/>
        <v>A9808D</v>
      </c>
      <c r="V2401">
        <v>0</v>
      </c>
      <c r="W2401">
        <v>0</v>
      </c>
      <c r="X2401">
        <v>1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0</v>
      </c>
      <c r="AI2401" t="s">
        <v>604</v>
      </c>
      <c r="AJ2401">
        <v>28.255075999999999</v>
      </c>
      <c r="AK2401" t="s">
        <v>605</v>
      </c>
      <c r="AL2401">
        <v>-82.330297999999999</v>
      </c>
      <c r="AM2401">
        <v>100</v>
      </c>
      <c r="AN2401">
        <v>2300</v>
      </c>
      <c r="AO2401" t="s">
        <v>118</v>
      </c>
      <c r="AP2401">
        <v>92</v>
      </c>
      <c r="AQ2401">
        <v>-46</v>
      </c>
      <c r="AR2401">
        <v>192</v>
      </c>
      <c r="AZ2401">
        <v>1200</v>
      </c>
      <c r="BA2401">
        <v>1</v>
      </c>
      <c r="BB2401" t="str">
        <f t="shared" si="1130"/>
        <v xml:space="preserve">N711JA  </v>
      </c>
      <c r="BC2401">
        <v>1</v>
      </c>
      <c r="BE2401">
        <v>0</v>
      </c>
      <c r="BF2401">
        <v>0</v>
      </c>
      <c r="BG2401">
        <v>0</v>
      </c>
      <c r="BH2401">
        <v>2375</v>
      </c>
      <c r="BI2401">
        <v>1</v>
      </c>
      <c r="BJ2401">
        <v>1</v>
      </c>
      <c r="BK2401">
        <v>0</v>
      </c>
      <c r="BL2401">
        <v>0</v>
      </c>
      <c r="BO2401">
        <v>0</v>
      </c>
      <c r="BP2401">
        <v>0</v>
      </c>
      <c r="BW2401" t="str">
        <f t="shared" si="1134"/>
        <v>14:45:24.555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56</v>
      </c>
      <c r="CR2401">
        <v>2</v>
      </c>
      <c r="CW2401">
        <v>4854721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1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1131"/>
        <v>05/12/2020 14:45:06.718</v>
      </c>
      <c r="C2402" t="str">
        <f t="shared" si="1127"/>
        <v>FFDFD3C0</v>
      </c>
      <c r="D2402" t="s">
        <v>126</v>
      </c>
      <c r="E2402">
        <v>6</v>
      </c>
      <c r="F2402">
        <v>1006</v>
      </c>
      <c r="G2402" t="s">
        <v>114</v>
      </c>
      <c r="J2402" t="s">
        <v>128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132"/>
        <v>14:45:24.555</v>
      </c>
      <c r="T2402" t="str">
        <f t="shared" si="1133"/>
        <v>14:45:24.455</v>
      </c>
      <c r="U2402" t="str">
        <f t="shared" si="1119"/>
        <v>A9808D</v>
      </c>
      <c r="V2402">
        <v>0</v>
      </c>
      <c r="W2402">
        <v>0</v>
      </c>
      <c r="X2402">
        <v>1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0</v>
      </c>
      <c r="AI2402" t="s">
        <v>604</v>
      </c>
      <c r="AJ2402">
        <v>28.255075999999999</v>
      </c>
      <c r="AK2402" t="s">
        <v>605</v>
      </c>
      <c r="AL2402">
        <v>-82.330297999999999</v>
      </c>
      <c r="AM2402">
        <v>100</v>
      </c>
      <c r="AN2402">
        <v>2300</v>
      </c>
      <c r="AO2402" t="s">
        <v>118</v>
      </c>
      <c r="AP2402">
        <v>92</v>
      </c>
      <c r="AQ2402">
        <v>-46</v>
      </c>
      <c r="AR2402">
        <v>192</v>
      </c>
      <c r="AZ2402">
        <v>1200</v>
      </c>
      <c r="BA2402">
        <v>1</v>
      </c>
      <c r="BB2402" t="str">
        <f t="shared" si="1130"/>
        <v xml:space="preserve">N711JA  </v>
      </c>
      <c r="BC2402">
        <v>1</v>
      </c>
      <c r="BE2402">
        <v>0</v>
      </c>
      <c r="BF2402">
        <v>0</v>
      </c>
      <c r="BG2402">
        <v>0</v>
      </c>
      <c r="BH2402">
        <v>2375</v>
      </c>
      <c r="BI2402">
        <v>1</v>
      </c>
      <c r="BJ2402">
        <v>1</v>
      </c>
      <c r="BK2402">
        <v>0</v>
      </c>
      <c r="BL2402">
        <v>0</v>
      </c>
      <c r="BO2402">
        <v>0</v>
      </c>
      <c r="BP2402">
        <v>0</v>
      </c>
      <c r="BW2402" t="str">
        <f t="shared" si="1134"/>
        <v>14:45:24.555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56</v>
      </c>
      <c r="CR2402">
        <v>2</v>
      </c>
      <c r="CW2402">
        <v>4854721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1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si="1131"/>
        <v>05/12/2020 14:45:06.718</v>
      </c>
      <c r="C2403" t="str">
        <f t="shared" si="1127"/>
        <v>FFDFD3C0</v>
      </c>
      <c r="D2403" t="s">
        <v>138</v>
      </c>
      <c r="E2403">
        <v>3</v>
      </c>
      <c r="H2403">
        <v>9</v>
      </c>
      <c r="I2403" t="s">
        <v>140</v>
      </c>
      <c r="J2403" t="s">
        <v>136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132"/>
        <v>14:45:24.555</v>
      </c>
      <c r="T2403" t="str">
        <f t="shared" si="1133"/>
        <v>14:45:24.455</v>
      </c>
      <c r="U2403" t="str">
        <f t="shared" si="1119"/>
        <v>A9808D</v>
      </c>
      <c r="V2403">
        <v>0</v>
      </c>
      <c r="W2403">
        <v>0</v>
      </c>
      <c r="X2403">
        <v>1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0</v>
      </c>
      <c r="AI2403" t="s">
        <v>604</v>
      </c>
      <c r="AJ2403">
        <v>28.255075999999999</v>
      </c>
      <c r="AK2403" t="s">
        <v>605</v>
      </c>
      <c r="AL2403">
        <v>-82.330297999999999</v>
      </c>
      <c r="AM2403">
        <v>100</v>
      </c>
      <c r="AN2403">
        <v>2300</v>
      </c>
      <c r="AO2403" t="s">
        <v>118</v>
      </c>
      <c r="AP2403">
        <v>92</v>
      </c>
      <c r="AQ2403">
        <v>-46</v>
      </c>
      <c r="AR2403">
        <v>192</v>
      </c>
      <c r="AZ2403">
        <v>1200</v>
      </c>
      <c r="BA2403">
        <v>1</v>
      </c>
      <c r="BB2403" t="str">
        <f t="shared" si="1130"/>
        <v xml:space="preserve">N711JA  </v>
      </c>
      <c r="BC2403">
        <v>1</v>
      </c>
      <c r="BE2403">
        <v>0</v>
      </c>
      <c r="BF2403">
        <v>0</v>
      </c>
      <c r="BG2403">
        <v>0</v>
      </c>
      <c r="BH2403">
        <v>2375</v>
      </c>
      <c r="BI2403">
        <v>1</v>
      </c>
      <c r="BJ2403">
        <v>1</v>
      </c>
      <c r="BK2403">
        <v>0</v>
      </c>
      <c r="BL2403">
        <v>0</v>
      </c>
      <c r="BO2403">
        <v>0</v>
      </c>
      <c r="BP2403">
        <v>0</v>
      </c>
      <c r="BW2403" t="str">
        <f t="shared" si="1134"/>
        <v>14:45:24.555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56</v>
      </c>
      <c r="CR2403">
        <v>2</v>
      </c>
      <c r="CW2403">
        <v>4854721</v>
      </c>
      <c r="CY2403">
        <v>1</v>
      </c>
      <c r="CZ2403">
        <v>0</v>
      </c>
      <c r="DA2403">
        <v>1</v>
      </c>
      <c r="DB2403">
        <v>0</v>
      </c>
      <c r="DC2403">
        <v>0</v>
      </c>
      <c r="DD2403">
        <v>1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si="1131"/>
        <v>05/12/2020 14:45:06.718</v>
      </c>
      <c r="C2404" t="str">
        <f t="shared" si="1127"/>
        <v>FFDFD3C0</v>
      </c>
      <c r="D2404" t="s">
        <v>138</v>
      </c>
      <c r="E2404">
        <v>2</v>
      </c>
      <c r="H2404">
        <v>8</v>
      </c>
      <c r="I2404" t="s">
        <v>139</v>
      </c>
      <c r="J2404" t="s">
        <v>136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132"/>
        <v>14:45:24.555</v>
      </c>
      <c r="T2404" t="str">
        <f t="shared" si="1133"/>
        <v>14:45:24.455</v>
      </c>
      <c r="U2404" t="str">
        <f t="shared" si="1119"/>
        <v>A9808D</v>
      </c>
      <c r="V2404">
        <v>0</v>
      </c>
      <c r="W2404">
        <v>0</v>
      </c>
      <c r="X2404">
        <v>1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0</v>
      </c>
      <c r="AI2404" t="s">
        <v>604</v>
      </c>
      <c r="AJ2404">
        <v>28.255075999999999</v>
      </c>
      <c r="AK2404" t="s">
        <v>605</v>
      </c>
      <c r="AL2404">
        <v>-82.330297999999999</v>
      </c>
      <c r="AM2404">
        <v>100</v>
      </c>
      <c r="AN2404">
        <v>2300</v>
      </c>
      <c r="AO2404" t="s">
        <v>118</v>
      </c>
      <c r="AP2404">
        <v>92</v>
      </c>
      <c r="AQ2404">
        <v>-46</v>
      </c>
      <c r="AR2404">
        <v>192</v>
      </c>
      <c r="AZ2404">
        <v>1200</v>
      </c>
      <c r="BA2404">
        <v>1</v>
      </c>
      <c r="BB2404" t="str">
        <f t="shared" si="1130"/>
        <v xml:space="preserve">N711JA  </v>
      </c>
      <c r="BC2404">
        <v>1</v>
      </c>
      <c r="BE2404">
        <v>0</v>
      </c>
      <c r="BF2404">
        <v>0</v>
      </c>
      <c r="BG2404">
        <v>0</v>
      </c>
      <c r="BH2404">
        <v>2375</v>
      </c>
      <c r="BI2404">
        <v>1</v>
      </c>
      <c r="BJ2404">
        <v>1</v>
      </c>
      <c r="BK2404">
        <v>0</v>
      </c>
      <c r="BL2404">
        <v>0</v>
      </c>
      <c r="BO2404">
        <v>0</v>
      </c>
      <c r="BP2404">
        <v>0</v>
      </c>
      <c r="BW2404" t="str">
        <f t="shared" si="1134"/>
        <v>14:45:24.555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56</v>
      </c>
      <c r="CR2404">
        <v>2</v>
      </c>
      <c r="CW2404">
        <v>4854721</v>
      </c>
      <c r="CY2404">
        <v>1</v>
      </c>
      <c r="CZ2404">
        <v>0</v>
      </c>
      <c r="DA2404">
        <v>1</v>
      </c>
      <c r="DB2404">
        <v>0</v>
      </c>
      <c r="DC2404">
        <v>0</v>
      </c>
      <c r="DD2404">
        <v>1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1131"/>
        <v>05/12/2020 14:45:06.718</v>
      </c>
      <c r="C2405" t="str">
        <f t="shared" si="1127"/>
        <v>FFDFD3C0</v>
      </c>
      <c r="D2405" t="s">
        <v>113</v>
      </c>
      <c r="E2405">
        <v>3</v>
      </c>
      <c r="H2405">
        <v>164</v>
      </c>
      <c r="I2405" t="s">
        <v>114</v>
      </c>
      <c r="J2405" t="s">
        <v>115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132"/>
        <v>14:45:24.555</v>
      </c>
      <c r="T2405" t="str">
        <f t="shared" si="1133"/>
        <v>14:45:24.455</v>
      </c>
      <c r="U2405" t="str">
        <f t="shared" si="1119"/>
        <v>A9808D</v>
      </c>
      <c r="V2405">
        <v>0</v>
      </c>
      <c r="W2405">
        <v>0</v>
      </c>
      <c r="X2405">
        <v>1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0</v>
      </c>
      <c r="AI2405" t="s">
        <v>604</v>
      </c>
      <c r="AJ2405">
        <v>28.255075999999999</v>
      </c>
      <c r="AK2405" t="s">
        <v>605</v>
      </c>
      <c r="AL2405">
        <v>-82.330297999999999</v>
      </c>
      <c r="AM2405">
        <v>100</v>
      </c>
      <c r="AN2405">
        <v>2300</v>
      </c>
      <c r="AO2405" t="s">
        <v>118</v>
      </c>
      <c r="AP2405">
        <v>92</v>
      </c>
      <c r="AQ2405">
        <v>-46</v>
      </c>
      <c r="AR2405">
        <v>192</v>
      </c>
      <c r="AZ2405">
        <v>1200</v>
      </c>
      <c r="BA2405">
        <v>1</v>
      </c>
      <c r="BB2405" t="str">
        <f t="shared" si="1130"/>
        <v xml:space="preserve">N711JA  </v>
      </c>
      <c r="BC2405">
        <v>1</v>
      </c>
      <c r="BE2405">
        <v>0</v>
      </c>
      <c r="BF2405">
        <v>0</v>
      </c>
      <c r="BG2405">
        <v>0</v>
      </c>
      <c r="BH2405">
        <v>2375</v>
      </c>
      <c r="BI2405">
        <v>1</v>
      </c>
      <c r="BJ2405">
        <v>1</v>
      </c>
      <c r="BK2405">
        <v>0</v>
      </c>
      <c r="BL2405">
        <v>0</v>
      </c>
      <c r="BO2405">
        <v>0</v>
      </c>
      <c r="BP2405">
        <v>0</v>
      </c>
      <c r="BW2405" t="str">
        <f t="shared" si="1134"/>
        <v>14:45:24.555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56</v>
      </c>
      <c r="CR2405">
        <v>2</v>
      </c>
      <c r="CW2405">
        <v>4854721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1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1131"/>
        <v>05/12/2020 14:45:06.718</v>
      </c>
      <c r="C2406" t="str">
        <f t="shared" si="1127"/>
        <v>FFDFD3C0</v>
      </c>
      <c r="D2406" t="s">
        <v>134</v>
      </c>
      <c r="E2406">
        <v>12</v>
      </c>
      <c r="H2406">
        <v>64</v>
      </c>
      <c r="I2406" t="s">
        <v>135</v>
      </c>
      <c r="J2406" t="s">
        <v>136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132"/>
        <v>14:45:24.555</v>
      </c>
      <c r="T2406" t="str">
        <f t="shared" si="1133"/>
        <v>14:45:24.455</v>
      </c>
      <c r="U2406" t="str">
        <f t="shared" si="1119"/>
        <v>A9808D</v>
      </c>
      <c r="V2406">
        <v>0</v>
      </c>
      <c r="W2406">
        <v>0</v>
      </c>
      <c r="X2406">
        <v>1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0</v>
      </c>
      <c r="AI2406" t="s">
        <v>604</v>
      </c>
      <c r="AJ2406">
        <v>28.255075999999999</v>
      </c>
      <c r="AK2406" t="s">
        <v>605</v>
      </c>
      <c r="AL2406">
        <v>-82.330297999999999</v>
      </c>
      <c r="AM2406">
        <v>100</v>
      </c>
      <c r="AN2406">
        <v>2300</v>
      </c>
      <c r="AO2406" t="s">
        <v>118</v>
      </c>
      <c r="AP2406">
        <v>92</v>
      </c>
      <c r="AQ2406">
        <v>-46</v>
      </c>
      <c r="AR2406">
        <v>192</v>
      </c>
      <c r="AZ2406">
        <v>1200</v>
      </c>
      <c r="BA2406">
        <v>1</v>
      </c>
      <c r="BB2406" t="str">
        <f t="shared" si="1130"/>
        <v xml:space="preserve">N711JA  </v>
      </c>
      <c r="BC2406">
        <v>1</v>
      </c>
      <c r="BE2406">
        <v>0</v>
      </c>
      <c r="BF2406">
        <v>0</v>
      </c>
      <c r="BG2406">
        <v>0</v>
      </c>
      <c r="BH2406">
        <v>2375</v>
      </c>
      <c r="BI2406">
        <v>1</v>
      </c>
      <c r="BJ2406">
        <v>1</v>
      </c>
      <c r="BK2406">
        <v>0</v>
      </c>
      <c r="BL2406">
        <v>0</v>
      </c>
      <c r="BO2406">
        <v>0</v>
      </c>
      <c r="BP2406">
        <v>0</v>
      </c>
      <c r="BW2406" t="str">
        <f t="shared" si="1134"/>
        <v>14:45:24.555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343</v>
      </c>
      <c r="CR2406">
        <v>1</v>
      </c>
      <c r="CW2406">
        <v>10782569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 t="shared" si="1131"/>
        <v>05/12/2020 14:45:06.718</v>
      </c>
      <c r="C2407" t="str">
        <f t="shared" si="1127"/>
        <v>FFDFD3C0</v>
      </c>
      <c r="D2407" t="s">
        <v>126</v>
      </c>
      <c r="E2407">
        <v>7</v>
      </c>
      <c r="F2407">
        <v>1007</v>
      </c>
      <c r="G2407" t="s">
        <v>127</v>
      </c>
      <c r="J2407" t="s">
        <v>128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132"/>
        <v>14:45:24.555</v>
      </c>
      <c r="T2407" t="str">
        <f t="shared" si="1133"/>
        <v>14:45:24.455</v>
      </c>
      <c r="U2407" t="str">
        <f t="shared" si="1119"/>
        <v>A9808D</v>
      </c>
      <c r="V2407">
        <v>0</v>
      </c>
      <c r="W2407">
        <v>0</v>
      </c>
      <c r="X2407">
        <v>1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0</v>
      </c>
      <c r="AI2407" t="s">
        <v>604</v>
      </c>
      <c r="AJ2407">
        <v>28.255075999999999</v>
      </c>
      <c r="AK2407" t="s">
        <v>605</v>
      </c>
      <c r="AL2407">
        <v>-82.330297999999999</v>
      </c>
      <c r="AM2407">
        <v>100</v>
      </c>
      <c r="AN2407">
        <v>2300</v>
      </c>
      <c r="AO2407" t="s">
        <v>118</v>
      </c>
      <c r="AP2407">
        <v>92</v>
      </c>
      <c r="AQ2407">
        <v>-46</v>
      </c>
      <c r="AR2407">
        <v>192</v>
      </c>
      <c r="AZ2407">
        <v>1200</v>
      </c>
      <c r="BA2407">
        <v>1</v>
      </c>
      <c r="BB2407" t="str">
        <f t="shared" si="1130"/>
        <v xml:space="preserve">N711JA  </v>
      </c>
      <c r="BC2407">
        <v>1</v>
      </c>
      <c r="BE2407">
        <v>0</v>
      </c>
      <c r="BF2407">
        <v>0</v>
      </c>
      <c r="BG2407">
        <v>0</v>
      </c>
      <c r="BH2407">
        <v>2375</v>
      </c>
      <c r="BI2407">
        <v>1</v>
      </c>
      <c r="BJ2407">
        <v>1</v>
      </c>
      <c r="BK2407">
        <v>0</v>
      </c>
      <c r="BL2407">
        <v>0</v>
      </c>
      <c r="BO2407">
        <v>0</v>
      </c>
      <c r="BP2407">
        <v>0</v>
      </c>
      <c r="BW2407" t="str">
        <f t="shared" si="1134"/>
        <v>14:45:24.555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56</v>
      </c>
      <c r="CR2407">
        <v>2</v>
      </c>
      <c r="CW2407">
        <v>4854721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1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 t="shared" ref="A2408:A2416" si="1135">"05/12/2020 14:45:07.746"</f>
        <v>05/12/2020 14:45:07.746</v>
      </c>
      <c r="C2408" t="str">
        <f t="shared" si="1127"/>
        <v>FFDFD3C0</v>
      </c>
      <c r="D2408" t="s">
        <v>138</v>
      </c>
      <c r="E2408">
        <v>3</v>
      </c>
      <c r="H2408">
        <v>9</v>
      </c>
      <c r="I2408" t="s">
        <v>140</v>
      </c>
      <c r="J2408" t="s">
        <v>136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ref="S2408:S2416" si="1136">"14:45:25.578"</f>
        <v>14:45:25.578</v>
      </c>
      <c r="T2408" t="str">
        <f t="shared" ref="T2408:T2416" si="1137">"14:45:25.378"</f>
        <v>14:45:25.378</v>
      </c>
      <c r="U2408" t="str">
        <f t="shared" si="1119"/>
        <v>A9808D</v>
      </c>
      <c r="V2408">
        <v>0</v>
      </c>
      <c r="W2408">
        <v>0</v>
      </c>
      <c r="X2408">
        <v>1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0</v>
      </c>
      <c r="AI2408" t="s">
        <v>263</v>
      </c>
      <c r="AJ2408">
        <v>28.254840000000002</v>
      </c>
      <c r="AK2408" t="s">
        <v>606</v>
      </c>
      <c r="AL2408">
        <v>-82.329825999999997</v>
      </c>
      <c r="AM2408">
        <v>100</v>
      </c>
      <c r="AN2408">
        <v>2300</v>
      </c>
      <c r="AO2408" t="s">
        <v>118</v>
      </c>
      <c r="AP2408">
        <v>92</v>
      </c>
      <c r="AQ2408">
        <v>-46</v>
      </c>
      <c r="AR2408">
        <v>256</v>
      </c>
      <c r="AZ2408">
        <v>1200</v>
      </c>
      <c r="BA2408">
        <v>1</v>
      </c>
      <c r="BB2408" t="str">
        <f t="shared" si="1130"/>
        <v xml:space="preserve">N711JA  </v>
      </c>
      <c r="BC2408">
        <v>1</v>
      </c>
      <c r="BE2408">
        <v>0</v>
      </c>
      <c r="BF2408">
        <v>0</v>
      </c>
      <c r="BG2408">
        <v>0</v>
      </c>
      <c r="BH2408">
        <v>2375</v>
      </c>
      <c r="BI2408">
        <v>1</v>
      </c>
      <c r="BJ2408">
        <v>1</v>
      </c>
      <c r="BK2408">
        <v>0</v>
      </c>
      <c r="BL2408">
        <v>0</v>
      </c>
      <c r="BO2408">
        <v>0</v>
      </c>
      <c r="BP2408">
        <v>0</v>
      </c>
      <c r="BW2408" t="str">
        <f t="shared" ref="BW2408:BW2416" si="1138">"14:45:25.579"</f>
        <v>14:45:25.579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343</v>
      </c>
      <c r="CR2408">
        <v>1</v>
      </c>
      <c r="CW2408">
        <v>10783612</v>
      </c>
      <c r="CY2408">
        <v>1</v>
      </c>
      <c r="CZ2408">
        <v>0</v>
      </c>
      <c r="DA2408">
        <v>0</v>
      </c>
      <c r="DB2408">
        <v>0</v>
      </c>
      <c r="DC2408">
        <v>0</v>
      </c>
      <c r="DD2408">
        <v>1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 t="shared" si="1135"/>
        <v>05/12/2020 14:45:07.746</v>
      </c>
      <c r="C2409" t="str">
        <f t="shared" si="1127"/>
        <v>FFDFD3C0</v>
      </c>
      <c r="D2409" t="s">
        <v>138</v>
      </c>
      <c r="E2409">
        <v>2</v>
      </c>
      <c r="H2409">
        <v>8</v>
      </c>
      <c r="I2409" t="s">
        <v>139</v>
      </c>
      <c r="J2409" t="s">
        <v>136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136"/>
        <v>14:45:25.578</v>
      </c>
      <c r="T2409" t="str">
        <f t="shared" si="1137"/>
        <v>14:45:25.378</v>
      </c>
      <c r="U2409" t="str">
        <f t="shared" si="1119"/>
        <v>A9808D</v>
      </c>
      <c r="V2409">
        <v>0</v>
      </c>
      <c r="W2409">
        <v>0</v>
      </c>
      <c r="X2409">
        <v>1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0</v>
      </c>
      <c r="AI2409" t="s">
        <v>263</v>
      </c>
      <c r="AJ2409">
        <v>28.254840000000002</v>
      </c>
      <c r="AK2409" t="s">
        <v>606</v>
      </c>
      <c r="AL2409">
        <v>-82.329825999999997</v>
      </c>
      <c r="AM2409">
        <v>100</v>
      </c>
      <c r="AN2409">
        <v>2300</v>
      </c>
      <c r="AO2409" t="s">
        <v>118</v>
      </c>
      <c r="AP2409">
        <v>92</v>
      </c>
      <c r="AQ2409">
        <v>-46</v>
      </c>
      <c r="AR2409">
        <v>256</v>
      </c>
      <c r="AZ2409">
        <v>1200</v>
      </c>
      <c r="BA2409">
        <v>1</v>
      </c>
      <c r="BB2409" t="str">
        <f t="shared" si="1130"/>
        <v xml:space="preserve">N711JA  </v>
      </c>
      <c r="BC2409">
        <v>1</v>
      </c>
      <c r="BE2409">
        <v>0</v>
      </c>
      <c r="BF2409">
        <v>0</v>
      </c>
      <c r="BG2409">
        <v>0</v>
      </c>
      <c r="BH2409">
        <v>2375</v>
      </c>
      <c r="BI2409">
        <v>1</v>
      </c>
      <c r="BJ2409">
        <v>1</v>
      </c>
      <c r="BK2409">
        <v>0</v>
      </c>
      <c r="BL2409">
        <v>0</v>
      </c>
      <c r="BO2409">
        <v>0</v>
      </c>
      <c r="BP2409">
        <v>0</v>
      </c>
      <c r="BW2409" t="str">
        <f t="shared" si="1138"/>
        <v>14:45:25.579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343</v>
      </c>
      <c r="CR2409">
        <v>1</v>
      </c>
      <c r="CW2409">
        <v>10783612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1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 t="shared" si="1135"/>
        <v>05/12/2020 14:45:07.746</v>
      </c>
      <c r="C2410" t="str">
        <f t="shared" si="1127"/>
        <v>FFDFD3C0</v>
      </c>
      <c r="D2410" t="s">
        <v>113</v>
      </c>
      <c r="E2410">
        <v>3</v>
      </c>
      <c r="H2410">
        <v>164</v>
      </c>
      <c r="I2410" t="s">
        <v>114</v>
      </c>
      <c r="J2410" t="s">
        <v>115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136"/>
        <v>14:45:25.578</v>
      </c>
      <c r="T2410" t="str">
        <f t="shared" si="1137"/>
        <v>14:45:25.378</v>
      </c>
      <c r="U2410" t="str">
        <f t="shared" si="1119"/>
        <v>A9808D</v>
      </c>
      <c r="V2410">
        <v>0</v>
      </c>
      <c r="W2410">
        <v>0</v>
      </c>
      <c r="X2410">
        <v>1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0</v>
      </c>
      <c r="AI2410" t="s">
        <v>263</v>
      </c>
      <c r="AJ2410">
        <v>28.254840000000002</v>
      </c>
      <c r="AK2410" t="s">
        <v>606</v>
      </c>
      <c r="AL2410">
        <v>-82.329825999999997</v>
      </c>
      <c r="AM2410">
        <v>100</v>
      </c>
      <c r="AN2410">
        <v>2300</v>
      </c>
      <c r="AO2410" t="s">
        <v>118</v>
      </c>
      <c r="AP2410">
        <v>92</v>
      </c>
      <c r="AQ2410">
        <v>-46</v>
      </c>
      <c r="AR2410">
        <v>256</v>
      </c>
      <c r="AZ2410">
        <v>1200</v>
      </c>
      <c r="BA2410">
        <v>1</v>
      </c>
      <c r="BB2410" t="str">
        <f t="shared" si="1130"/>
        <v xml:space="preserve">N711JA  </v>
      </c>
      <c r="BC2410">
        <v>1</v>
      </c>
      <c r="BE2410">
        <v>0</v>
      </c>
      <c r="BF2410">
        <v>0</v>
      </c>
      <c r="BG2410">
        <v>0</v>
      </c>
      <c r="BH2410">
        <v>2375</v>
      </c>
      <c r="BI2410">
        <v>1</v>
      </c>
      <c r="BJ2410">
        <v>1</v>
      </c>
      <c r="BK2410">
        <v>0</v>
      </c>
      <c r="BL2410">
        <v>0</v>
      </c>
      <c r="BO2410">
        <v>0</v>
      </c>
      <c r="BP2410">
        <v>0</v>
      </c>
      <c r="BW2410" t="str">
        <f t="shared" si="1138"/>
        <v>14:45:25.579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343</v>
      </c>
      <c r="CR2410">
        <v>1</v>
      </c>
      <c r="CW2410">
        <v>10783612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1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 t="shared" si="1135"/>
        <v>05/12/2020 14:45:07.746</v>
      </c>
      <c r="C2411" t="str">
        <f t="shared" si="1127"/>
        <v>FFDFD3C0</v>
      </c>
      <c r="D2411" t="s">
        <v>126</v>
      </c>
      <c r="E2411">
        <v>7</v>
      </c>
      <c r="F2411">
        <v>1007</v>
      </c>
      <c r="G2411" t="s">
        <v>127</v>
      </c>
      <c r="J2411" t="s">
        <v>128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136"/>
        <v>14:45:25.578</v>
      </c>
      <c r="T2411" t="str">
        <f t="shared" si="1137"/>
        <v>14:45:25.378</v>
      </c>
      <c r="U2411" t="str">
        <f t="shared" si="1119"/>
        <v>A9808D</v>
      </c>
      <c r="V2411">
        <v>0</v>
      </c>
      <c r="W2411">
        <v>0</v>
      </c>
      <c r="X2411">
        <v>1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0</v>
      </c>
      <c r="AI2411" t="s">
        <v>263</v>
      </c>
      <c r="AJ2411">
        <v>28.254840000000002</v>
      </c>
      <c r="AK2411" t="s">
        <v>606</v>
      </c>
      <c r="AL2411">
        <v>-82.329825999999997</v>
      </c>
      <c r="AM2411">
        <v>100</v>
      </c>
      <c r="AN2411">
        <v>2300</v>
      </c>
      <c r="AO2411" t="s">
        <v>118</v>
      </c>
      <c r="AP2411">
        <v>92</v>
      </c>
      <c r="AQ2411">
        <v>-46</v>
      </c>
      <c r="AR2411">
        <v>256</v>
      </c>
      <c r="AZ2411">
        <v>1200</v>
      </c>
      <c r="BA2411">
        <v>1</v>
      </c>
      <c r="BB2411" t="str">
        <f t="shared" si="1130"/>
        <v xml:space="preserve">N711JA  </v>
      </c>
      <c r="BC2411">
        <v>1</v>
      </c>
      <c r="BE2411">
        <v>0</v>
      </c>
      <c r="BF2411">
        <v>0</v>
      </c>
      <c r="BG2411">
        <v>0</v>
      </c>
      <c r="BH2411">
        <v>2375</v>
      </c>
      <c r="BI2411">
        <v>1</v>
      </c>
      <c r="BJ2411">
        <v>1</v>
      </c>
      <c r="BK2411">
        <v>0</v>
      </c>
      <c r="BL2411">
        <v>0</v>
      </c>
      <c r="BO2411">
        <v>0</v>
      </c>
      <c r="BP2411">
        <v>0</v>
      </c>
      <c r="BW2411" t="str">
        <f t="shared" si="1138"/>
        <v>14:45:25.579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343</v>
      </c>
      <c r="CR2411">
        <v>1</v>
      </c>
      <c r="CW2411">
        <v>10783612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1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 t="shared" si="1135"/>
        <v>05/12/2020 14:45:07.746</v>
      </c>
      <c r="C2412" t="str">
        <f t="shared" si="1127"/>
        <v>FFDFD3C0</v>
      </c>
      <c r="D2412" t="s">
        <v>134</v>
      </c>
      <c r="E2412">
        <v>12</v>
      </c>
      <c r="H2412">
        <v>64</v>
      </c>
      <c r="I2412" t="s">
        <v>135</v>
      </c>
      <c r="J2412" t="s">
        <v>136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136"/>
        <v>14:45:25.578</v>
      </c>
      <c r="T2412" t="str">
        <f t="shared" si="1137"/>
        <v>14:45:25.378</v>
      </c>
      <c r="U2412" t="str">
        <f t="shared" si="1119"/>
        <v>A9808D</v>
      </c>
      <c r="V2412">
        <v>0</v>
      </c>
      <c r="W2412">
        <v>0</v>
      </c>
      <c r="X2412">
        <v>1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0</v>
      </c>
      <c r="AI2412" t="s">
        <v>263</v>
      </c>
      <c r="AJ2412">
        <v>28.254840000000002</v>
      </c>
      <c r="AK2412" t="s">
        <v>606</v>
      </c>
      <c r="AL2412">
        <v>-82.329825999999997</v>
      </c>
      <c r="AM2412">
        <v>100</v>
      </c>
      <c r="AN2412">
        <v>2300</v>
      </c>
      <c r="AO2412" t="s">
        <v>118</v>
      </c>
      <c r="AP2412">
        <v>92</v>
      </c>
      <c r="AQ2412">
        <v>-46</v>
      </c>
      <c r="AR2412">
        <v>256</v>
      </c>
      <c r="AZ2412">
        <v>1200</v>
      </c>
      <c r="BA2412">
        <v>1</v>
      </c>
      <c r="BB2412" t="str">
        <f t="shared" si="1130"/>
        <v xml:space="preserve">N711JA  </v>
      </c>
      <c r="BC2412">
        <v>1</v>
      </c>
      <c r="BE2412">
        <v>0</v>
      </c>
      <c r="BF2412">
        <v>0</v>
      </c>
      <c r="BG2412">
        <v>0</v>
      </c>
      <c r="BH2412">
        <v>2375</v>
      </c>
      <c r="BI2412">
        <v>1</v>
      </c>
      <c r="BJ2412">
        <v>1</v>
      </c>
      <c r="BK2412">
        <v>0</v>
      </c>
      <c r="BL2412">
        <v>0</v>
      </c>
      <c r="BO2412">
        <v>0</v>
      </c>
      <c r="BP2412">
        <v>0</v>
      </c>
      <c r="BW2412" t="str">
        <f t="shared" si="1138"/>
        <v>14:45:25.579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343</v>
      </c>
      <c r="CR2412">
        <v>1</v>
      </c>
      <c r="CW2412">
        <v>10783612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1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 t="shared" si="1135"/>
        <v>05/12/2020 14:45:07.746</v>
      </c>
      <c r="C2413" t="str">
        <f t="shared" si="1127"/>
        <v>FFDFD3C0</v>
      </c>
      <c r="D2413" t="s">
        <v>131</v>
      </c>
      <c r="E2413">
        <v>10</v>
      </c>
      <c r="F2413">
        <v>2010</v>
      </c>
      <c r="G2413" t="s">
        <v>132</v>
      </c>
      <c r="J2413" t="s">
        <v>133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136"/>
        <v>14:45:25.578</v>
      </c>
      <c r="T2413" t="str">
        <f t="shared" si="1137"/>
        <v>14:45:25.378</v>
      </c>
      <c r="U2413" t="str">
        <f t="shared" si="1119"/>
        <v>A9808D</v>
      </c>
      <c r="V2413">
        <v>0</v>
      </c>
      <c r="W2413">
        <v>0</v>
      </c>
      <c r="X2413">
        <v>1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0</v>
      </c>
      <c r="AI2413" t="s">
        <v>263</v>
      </c>
      <c r="AJ2413">
        <v>28.254840000000002</v>
      </c>
      <c r="AK2413" t="s">
        <v>606</v>
      </c>
      <c r="AL2413">
        <v>-82.329825999999997</v>
      </c>
      <c r="AM2413">
        <v>100</v>
      </c>
      <c r="AN2413">
        <v>2300</v>
      </c>
      <c r="AO2413" t="s">
        <v>118</v>
      </c>
      <c r="AP2413">
        <v>92</v>
      </c>
      <c r="AQ2413">
        <v>-46</v>
      </c>
      <c r="AR2413">
        <v>256</v>
      </c>
      <c r="AZ2413">
        <v>1200</v>
      </c>
      <c r="BA2413">
        <v>1</v>
      </c>
      <c r="BB2413" t="str">
        <f t="shared" si="1130"/>
        <v xml:space="preserve">N711JA  </v>
      </c>
      <c r="BC2413">
        <v>1</v>
      </c>
      <c r="BE2413">
        <v>0</v>
      </c>
      <c r="BF2413">
        <v>0</v>
      </c>
      <c r="BG2413">
        <v>0</v>
      </c>
      <c r="BH2413">
        <v>2375</v>
      </c>
      <c r="BI2413">
        <v>1</v>
      </c>
      <c r="BJ2413">
        <v>1</v>
      </c>
      <c r="BK2413">
        <v>0</v>
      </c>
      <c r="BL2413">
        <v>0</v>
      </c>
      <c r="BO2413">
        <v>0</v>
      </c>
      <c r="BP2413">
        <v>0</v>
      </c>
      <c r="BW2413" t="str">
        <f t="shared" si="1138"/>
        <v>14:45:25.579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343</v>
      </c>
      <c r="CR2413">
        <v>1</v>
      </c>
      <c r="CW2413">
        <v>10783612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1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 t="shared" si="1135"/>
        <v>05/12/2020 14:45:07.746</v>
      </c>
      <c r="C2414" t="str">
        <f t="shared" si="1127"/>
        <v>FFDFD3C0</v>
      </c>
      <c r="D2414" t="s">
        <v>131</v>
      </c>
      <c r="E2414">
        <v>12</v>
      </c>
      <c r="F2414">
        <v>2012</v>
      </c>
      <c r="G2414" t="s">
        <v>137</v>
      </c>
      <c r="J2414" t="s">
        <v>133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136"/>
        <v>14:45:25.578</v>
      </c>
      <c r="T2414" t="str">
        <f t="shared" si="1137"/>
        <v>14:45:25.378</v>
      </c>
      <c r="U2414" t="str">
        <f t="shared" si="1119"/>
        <v>A9808D</v>
      </c>
      <c r="V2414">
        <v>0</v>
      </c>
      <c r="W2414">
        <v>0</v>
      </c>
      <c r="X2414">
        <v>1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0</v>
      </c>
      <c r="AI2414" t="s">
        <v>263</v>
      </c>
      <c r="AJ2414">
        <v>28.254840000000002</v>
      </c>
      <c r="AK2414" t="s">
        <v>606</v>
      </c>
      <c r="AL2414">
        <v>-82.329825999999997</v>
      </c>
      <c r="AM2414">
        <v>100</v>
      </c>
      <c r="AN2414">
        <v>2300</v>
      </c>
      <c r="AO2414" t="s">
        <v>118</v>
      </c>
      <c r="AP2414">
        <v>92</v>
      </c>
      <c r="AQ2414">
        <v>-46</v>
      </c>
      <c r="AR2414">
        <v>256</v>
      </c>
      <c r="AZ2414">
        <v>1200</v>
      </c>
      <c r="BA2414">
        <v>1</v>
      </c>
      <c r="BB2414" t="str">
        <f t="shared" si="1130"/>
        <v xml:space="preserve">N711JA  </v>
      </c>
      <c r="BC2414">
        <v>1</v>
      </c>
      <c r="BE2414">
        <v>0</v>
      </c>
      <c r="BF2414">
        <v>0</v>
      </c>
      <c r="BG2414">
        <v>0</v>
      </c>
      <c r="BH2414">
        <v>2375</v>
      </c>
      <c r="BI2414">
        <v>1</v>
      </c>
      <c r="BJ2414">
        <v>1</v>
      </c>
      <c r="BK2414">
        <v>0</v>
      </c>
      <c r="BL2414">
        <v>0</v>
      </c>
      <c r="BO2414">
        <v>0</v>
      </c>
      <c r="BP2414">
        <v>0</v>
      </c>
      <c r="BW2414" t="str">
        <f t="shared" si="1138"/>
        <v>14:45:25.579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343</v>
      </c>
      <c r="CR2414">
        <v>1</v>
      </c>
      <c r="CW2414">
        <v>10783612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1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 t="shared" si="1135"/>
        <v>05/12/2020 14:45:07.746</v>
      </c>
      <c r="C2415" t="str">
        <f t="shared" si="1127"/>
        <v>FFDFD3C0</v>
      </c>
      <c r="D2415" t="s">
        <v>131</v>
      </c>
      <c r="E2415">
        <v>18</v>
      </c>
      <c r="F2415">
        <v>2018</v>
      </c>
      <c r="G2415" t="s">
        <v>161</v>
      </c>
      <c r="J2415" t="s">
        <v>133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136"/>
        <v>14:45:25.578</v>
      </c>
      <c r="T2415" t="str">
        <f t="shared" si="1137"/>
        <v>14:45:25.378</v>
      </c>
      <c r="U2415" t="str">
        <f t="shared" si="1119"/>
        <v>A9808D</v>
      </c>
      <c r="V2415">
        <v>0</v>
      </c>
      <c r="W2415">
        <v>0</v>
      </c>
      <c r="X2415">
        <v>1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0</v>
      </c>
      <c r="AI2415" t="s">
        <v>263</v>
      </c>
      <c r="AJ2415">
        <v>28.254840000000002</v>
      </c>
      <c r="AK2415" t="s">
        <v>606</v>
      </c>
      <c r="AL2415">
        <v>-82.329825999999997</v>
      </c>
      <c r="AM2415">
        <v>100</v>
      </c>
      <c r="AN2415">
        <v>2300</v>
      </c>
      <c r="AO2415" t="s">
        <v>118</v>
      </c>
      <c r="AP2415">
        <v>92</v>
      </c>
      <c r="AQ2415">
        <v>-46</v>
      </c>
      <c r="AR2415">
        <v>256</v>
      </c>
      <c r="AZ2415">
        <v>1200</v>
      </c>
      <c r="BA2415">
        <v>1</v>
      </c>
      <c r="BB2415" t="str">
        <f t="shared" si="1130"/>
        <v xml:space="preserve">N711JA  </v>
      </c>
      <c r="BC2415">
        <v>1</v>
      </c>
      <c r="BE2415">
        <v>0</v>
      </c>
      <c r="BF2415">
        <v>0</v>
      </c>
      <c r="BG2415">
        <v>0</v>
      </c>
      <c r="BH2415">
        <v>2375</v>
      </c>
      <c r="BI2415">
        <v>1</v>
      </c>
      <c r="BJ2415">
        <v>1</v>
      </c>
      <c r="BK2415">
        <v>0</v>
      </c>
      <c r="BL2415">
        <v>0</v>
      </c>
      <c r="BO2415">
        <v>0</v>
      </c>
      <c r="BP2415">
        <v>0</v>
      </c>
      <c r="BW2415" t="str">
        <f t="shared" si="1138"/>
        <v>14:45:25.579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343</v>
      </c>
      <c r="CR2415">
        <v>1</v>
      </c>
      <c r="CW2415">
        <v>10783612</v>
      </c>
      <c r="CY2415">
        <v>1</v>
      </c>
      <c r="CZ2415">
        <v>0</v>
      </c>
      <c r="DA2415">
        <v>1</v>
      </c>
      <c r="DB2415">
        <v>0</v>
      </c>
      <c r="DC2415">
        <v>0</v>
      </c>
      <c r="DD2415">
        <v>1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 t="shared" si="1135"/>
        <v>05/12/2020 14:45:07.746</v>
      </c>
      <c r="C2416" t="str">
        <f t="shared" si="1127"/>
        <v>FFDFD3C0</v>
      </c>
      <c r="D2416" t="s">
        <v>126</v>
      </c>
      <c r="E2416">
        <v>6</v>
      </c>
      <c r="F2416">
        <v>1006</v>
      </c>
      <c r="G2416" t="s">
        <v>114</v>
      </c>
      <c r="J2416" t="s">
        <v>128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136"/>
        <v>14:45:25.578</v>
      </c>
      <c r="T2416" t="str">
        <f t="shared" si="1137"/>
        <v>14:45:25.378</v>
      </c>
      <c r="U2416" t="str">
        <f t="shared" si="1119"/>
        <v>A9808D</v>
      </c>
      <c r="V2416">
        <v>0</v>
      </c>
      <c r="W2416">
        <v>0</v>
      </c>
      <c r="X2416">
        <v>1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0</v>
      </c>
      <c r="AI2416" t="s">
        <v>263</v>
      </c>
      <c r="AJ2416">
        <v>28.254840000000002</v>
      </c>
      <c r="AK2416" t="s">
        <v>606</v>
      </c>
      <c r="AL2416">
        <v>-82.329825999999997</v>
      </c>
      <c r="AM2416">
        <v>100</v>
      </c>
      <c r="AN2416">
        <v>2300</v>
      </c>
      <c r="AO2416" t="s">
        <v>118</v>
      </c>
      <c r="AP2416">
        <v>92</v>
      </c>
      <c r="AQ2416">
        <v>-46</v>
      </c>
      <c r="AR2416">
        <v>256</v>
      </c>
      <c r="AZ2416">
        <v>1200</v>
      </c>
      <c r="BA2416">
        <v>1</v>
      </c>
      <c r="BB2416" t="str">
        <f t="shared" si="1130"/>
        <v xml:space="preserve">N711JA  </v>
      </c>
      <c r="BC2416">
        <v>1</v>
      </c>
      <c r="BE2416">
        <v>0</v>
      </c>
      <c r="BF2416">
        <v>0</v>
      </c>
      <c r="BG2416">
        <v>0</v>
      </c>
      <c r="BH2416">
        <v>2375</v>
      </c>
      <c r="BI2416">
        <v>1</v>
      </c>
      <c r="BJ2416">
        <v>1</v>
      </c>
      <c r="BK2416">
        <v>0</v>
      </c>
      <c r="BL2416">
        <v>0</v>
      </c>
      <c r="BO2416">
        <v>0</v>
      </c>
      <c r="BP2416">
        <v>0</v>
      </c>
      <c r="BW2416" t="str">
        <f t="shared" si="1138"/>
        <v>14:45:25.579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343</v>
      </c>
      <c r="CR2416">
        <v>1</v>
      </c>
      <c r="CW2416">
        <v>10783612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1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 t="shared" ref="A2417:A2425" si="1139">"05/12/2020 14:45:08.880"</f>
        <v>05/12/2020 14:45:08.880</v>
      </c>
      <c r="C2417" t="str">
        <f t="shared" si="1127"/>
        <v>FFDFD3C0</v>
      </c>
      <c r="D2417" t="s">
        <v>126</v>
      </c>
      <c r="E2417">
        <v>7</v>
      </c>
      <c r="F2417">
        <v>1007</v>
      </c>
      <c r="G2417" t="s">
        <v>127</v>
      </c>
      <c r="J2417" t="s">
        <v>128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ref="S2417:S2425" si="1140">"14:45:26.688"</f>
        <v>14:45:26.688</v>
      </c>
      <c r="T2417" t="str">
        <f t="shared" ref="T2417:T2425" si="1141">"14:45:26.388"</f>
        <v>14:45:26.388</v>
      </c>
      <c r="U2417" t="str">
        <f t="shared" si="1119"/>
        <v>A9808D</v>
      </c>
      <c r="V2417">
        <v>0</v>
      </c>
      <c r="W2417">
        <v>0</v>
      </c>
      <c r="X2417">
        <v>1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0</v>
      </c>
      <c r="AI2417" t="s">
        <v>607</v>
      </c>
      <c r="AJ2417">
        <v>28.254583</v>
      </c>
      <c r="AK2417" t="s">
        <v>608</v>
      </c>
      <c r="AL2417">
        <v>-82.329267999999999</v>
      </c>
      <c r="AM2417">
        <v>100</v>
      </c>
      <c r="AN2417">
        <v>2300</v>
      </c>
      <c r="AO2417" t="s">
        <v>118</v>
      </c>
      <c r="AP2417">
        <v>93</v>
      </c>
      <c r="AQ2417">
        <v>-45</v>
      </c>
      <c r="AR2417">
        <v>256</v>
      </c>
      <c r="AZ2417">
        <v>1200</v>
      </c>
      <c r="BA2417">
        <v>1</v>
      </c>
      <c r="BB2417" t="str">
        <f t="shared" si="1130"/>
        <v xml:space="preserve">N711JA  </v>
      </c>
      <c r="BC2417">
        <v>1</v>
      </c>
      <c r="BE2417">
        <v>0</v>
      </c>
      <c r="BF2417">
        <v>0</v>
      </c>
      <c r="BG2417">
        <v>0</v>
      </c>
      <c r="BH2417">
        <v>2375</v>
      </c>
      <c r="BI2417">
        <v>1</v>
      </c>
      <c r="BJ2417">
        <v>1</v>
      </c>
      <c r="BK2417">
        <v>0</v>
      </c>
      <c r="BL2417">
        <v>0</v>
      </c>
      <c r="BO2417">
        <v>0</v>
      </c>
      <c r="BP2417">
        <v>0</v>
      </c>
      <c r="BW2417" t="str">
        <f t="shared" ref="BW2417:BW2425" si="1142">"14:45:26.689"</f>
        <v>14:45:26.689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56</v>
      </c>
      <c r="CR2417">
        <v>2</v>
      </c>
      <c r="CW2417">
        <v>4857446</v>
      </c>
      <c r="CY2417">
        <v>1</v>
      </c>
      <c r="CZ2417">
        <v>0</v>
      </c>
      <c r="DA2417">
        <v>0</v>
      </c>
      <c r="DB2417">
        <v>0</v>
      </c>
      <c r="DC2417">
        <v>0</v>
      </c>
      <c r="DD2417">
        <v>1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 t="shared" si="1139"/>
        <v>05/12/2020 14:45:08.880</v>
      </c>
      <c r="C2418" t="str">
        <f t="shared" si="1127"/>
        <v>FFDFD3C0</v>
      </c>
      <c r="D2418" t="s">
        <v>138</v>
      </c>
      <c r="E2418">
        <v>2</v>
      </c>
      <c r="H2418">
        <v>8</v>
      </c>
      <c r="I2418" t="s">
        <v>139</v>
      </c>
      <c r="J2418" t="s">
        <v>136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140"/>
        <v>14:45:26.688</v>
      </c>
      <c r="T2418" t="str">
        <f t="shared" si="1141"/>
        <v>14:45:26.388</v>
      </c>
      <c r="U2418" t="str">
        <f t="shared" si="1119"/>
        <v>A9808D</v>
      </c>
      <c r="V2418">
        <v>0</v>
      </c>
      <c r="W2418">
        <v>0</v>
      </c>
      <c r="X2418">
        <v>1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0</v>
      </c>
      <c r="AI2418" t="s">
        <v>607</v>
      </c>
      <c r="AJ2418">
        <v>28.254583</v>
      </c>
      <c r="AK2418" t="s">
        <v>608</v>
      </c>
      <c r="AL2418">
        <v>-82.329267999999999</v>
      </c>
      <c r="AM2418">
        <v>100</v>
      </c>
      <c r="AN2418">
        <v>2300</v>
      </c>
      <c r="AO2418" t="s">
        <v>118</v>
      </c>
      <c r="AP2418">
        <v>93</v>
      </c>
      <c r="AQ2418">
        <v>-45</v>
      </c>
      <c r="AR2418">
        <v>256</v>
      </c>
      <c r="AZ2418">
        <v>1200</v>
      </c>
      <c r="BA2418">
        <v>1</v>
      </c>
      <c r="BB2418" t="str">
        <f t="shared" si="1130"/>
        <v xml:space="preserve">N711JA  </v>
      </c>
      <c r="BC2418">
        <v>1</v>
      </c>
      <c r="BE2418">
        <v>0</v>
      </c>
      <c r="BF2418">
        <v>0</v>
      </c>
      <c r="BG2418">
        <v>0</v>
      </c>
      <c r="BH2418">
        <v>2375</v>
      </c>
      <c r="BI2418">
        <v>1</v>
      </c>
      <c r="BJ2418">
        <v>1</v>
      </c>
      <c r="BK2418">
        <v>0</v>
      </c>
      <c r="BL2418">
        <v>0</v>
      </c>
      <c r="BO2418">
        <v>0</v>
      </c>
      <c r="BP2418">
        <v>0</v>
      </c>
      <c r="BW2418" t="str">
        <f t="shared" si="1142"/>
        <v>14:45:26.689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56</v>
      </c>
      <c r="CR2418">
        <v>2</v>
      </c>
      <c r="CW2418">
        <v>4857446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1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 t="shared" si="1139"/>
        <v>05/12/2020 14:45:08.880</v>
      </c>
      <c r="C2419" t="str">
        <f t="shared" si="1127"/>
        <v>FFDFD3C0</v>
      </c>
      <c r="D2419" t="s">
        <v>131</v>
      </c>
      <c r="E2419">
        <v>10</v>
      </c>
      <c r="F2419">
        <v>2010</v>
      </c>
      <c r="G2419" t="s">
        <v>132</v>
      </c>
      <c r="J2419" t="s">
        <v>133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140"/>
        <v>14:45:26.688</v>
      </c>
      <c r="T2419" t="str">
        <f t="shared" si="1141"/>
        <v>14:45:26.388</v>
      </c>
      <c r="U2419" t="str">
        <f t="shared" si="1119"/>
        <v>A9808D</v>
      </c>
      <c r="V2419">
        <v>0</v>
      </c>
      <c r="W2419">
        <v>0</v>
      </c>
      <c r="X2419">
        <v>1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0</v>
      </c>
      <c r="AI2419" t="s">
        <v>607</v>
      </c>
      <c r="AJ2419">
        <v>28.254583</v>
      </c>
      <c r="AK2419" t="s">
        <v>608</v>
      </c>
      <c r="AL2419">
        <v>-82.329267999999999</v>
      </c>
      <c r="AM2419">
        <v>100</v>
      </c>
      <c r="AN2419">
        <v>2300</v>
      </c>
      <c r="AO2419" t="s">
        <v>118</v>
      </c>
      <c r="AP2419">
        <v>93</v>
      </c>
      <c r="AQ2419">
        <v>-45</v>
      </c>
      <c r="AR2419">
        <v>256</v>
      </c>
      <c r="AZ2419">
        <v>1200</v>
      </c>
      <c r="BA2419">
        <v>1</v>
      </c>
      <c r="BB2419" t="str">
        <f t="shared" si="1130"/>
        <v xml:space="preserve">N711JA  </v>
      </c>
      <c r="BC2419">
        <v>1</v>
      </c>
      <c r="BE2419">
        <v>0</v>
      </c>
      <c r="BF2419">
        <v>0</v>
      </c>
      <c r="BG2419">
        <v>0</v>
      </c>
      <c r="BH2419">
        <v>2375</v>
      </c>
      <c r="BI2419">
        <v>1</v>
      </c>
      <c r="BJ2419">
        <v>1</v>
      </c>
      <c r="BK2419">
        <v>0</v>
      </c>
      <c r="BL2419">
        <v>0</v>
      </c>
      <c r="BO2419">
        <v>0</v>
      </c>
      <c r="BP2419">
        <v>0</v>
      </c>
      <c r="BW2419" t="str">
        <f t="shared" si="1142"/>
        <v>14:45:26.689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56</v>
      </c>
      <c r="CR2419">
        <v>2</v>
      </c>
      <c r="CW2419">
        <v>4857446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1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 t="shared" si="1139"/>
        <v>05/12/2020 14:45:08.880</v>
      </c>
      <c r="C2420" t="str">
        <f t="shared" si="1127"/>
        <v>FFDFD3C0</v>
      </c>
      <c r="D2420" t="s">
        <v>113</v>
      </c>
      <c r="E2420">
        <v>3</v>
      </c>
      <c r="H2420">
        <v>164</v>
      </c>
      <c r="I2420" t="s">
        <v>114</v>
      </c>
      <c r="J2420" t="s">
        <v>115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140"/>
        <v>14:45:26.688</v>
      </c>
      <c r="T2420" t="str">
        <f t="shared" si="1141"/>
        <v>14:45:26.388</v>
      </c>
      <c r="U2420" t="str">
        <f t="shared" si="1119"/>
        <v>A9808D</v>
      </c>
      <c r="V2420">
        <v>0</v>
      </c>
      <c r="W2420">
        <v>0</v>
      </c>
      <c r="X2420">
        <v>1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0</v>
      </c>
      <c r="AI2420" t="s">
        <v>607</v>
      </c>
      <c r="AJ2420">
        <v>28.254583</v>
      </c>
      <c r="AK2420" t="s">
        <v>608</v>
      </c>
      <c r="AL2420">
        <v>-82.329267999999999</v>
      </c>
      <c r="AM2420">
        <v>100</v>
      </c>
      <c r="AN2420">
        <v>2300</v>
      </c>
      <c r="AO2420" t="s">
        <v>118</v>
      </c>
      <c r="AP2420">
        <v>93</v>
      </c>
      <c r="AQ2420">
        <v>-45</v>
      </c>
      <c r="AR2420">
        <v>256</v>
      </c>
      <c r="AZ2420">
        <v>1200</v>
      </c>
      <c r="BA2420">
        <v>1</v>
      </c>
      <c r="BB2420" t="str">
        <f t="shared" si="1130"/>
        <v xml:space="preserve">N711JA  </v>
      </c>
      <c r="BC2420">
        <v>1</v>
      </c>
      <c r="BE2420">
        <v>0</v>
      </c>
      <c r="BF2420">
        <v>0</v>
      </c>
      <c r="BG2420">
        <v>0</v>
      </c>
      <c r="BH2420">
        <v>2375</v>
      </c>
      <c r="BI2420">
        <v>1</v>
      </c>
      <c r="BJ2420">
        <v>1</v>
      </c>
      <c r="BK2420">
        <v>0</v>
      </c>
      <c r="BL2420">
        <v>0</v>
      </c>
      <c r="BO2420">
        <v>0</v>
      </c>
      <c r="BP2420">
        <v>0</v>
      </c>
      <c r="BW2420" t="str">
        <f t="shared" si="1142"/>
        <v>14:45:26.689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56</v>
      </c>
      <c r="CR2420">
        <v>2</v>
      </c>
      <c r="CW2420">
        <v>4857446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1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 t="shared" si="1139"/>
        <v>05/12/2020 14:45:08.880</v>
      </c>
      <c r="C2421" t="str">
        <f t="shared" si="1127"/>
        <v>FFDFD3C0</v>
      </c>
      <c r="D2421" t="s">
        <v>131</v>
      </c>
      <c r="E2421">
        <v>12</v>
      </c>
      <c r="F2421">
        <v>2012</v>
      </c>
      <c r="G2421" t="s">
        <v>137</v>
      </c>
      <c r="J2421" t="s">
        <v>133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140"/>
        <v>14:45:26.688</v>
      </c>
      <c r="T2421" t="str">
        <f t="shared" si="1141"/>
        <v>14:45:26.388</v>
      </c>
      <c r="U2421" t="str">
        <f t="shared" si="1119"/>
        <v>A9808D</v>
      </c>
      <c r="V2421">
        <v>0</v>
      </c>
      <c r="W2421">
        <v>0</v>
      </c>
      <c r="X2421">
        <v>1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0</v>
      </c>
      <c r="AI2421" t="s">
        <v>607</v>
      </c>
      <c r="AJ2421">
        <v>28.254583</v>
      </c>
      <c r="AK2421" t="s">
        <v>608</v>
      </c>
      <c r="AL2421">
        <v>-82.329267999999999</v>
      </c>
      <c r="AM2421">
        <v>100</v>
      </c>
      <c r="AN2421">
        <v>2300</v>
      </c>
      <c r="AO2421" t="s">
        <v>118</v>
      </c>
      <c r="AP2421">
        <v>93</v>
      </c>
      <c r="AQ2421">
        <v>-45</v>
      </c>
      <c r="AR2421">
        <v>256</v>
      </c>
      <c r="AZ2421">
        <v>1200</v>
      </c>
      <c r="BA2421">
        <v>1</v>
      </c>
      <c r="BB2421" t="str">
        <f t="shared" si="1130"/>
        <v xml:space="preserve">N711JA  </v>
      </c>
      <c r="BC2421">
        <v>1</v>
      </c>
      <c r="BE2421">
        <v>0</v>
      </c>
      <c r="BF2421">
        <v>0</v>
      </c>
      <c r="BG2421">
        <v>0</v>
      </c>
      <c r="BH2421">
        <v>2375</v>
      </c>
      <c r="BI2421">
        <v>1</v>
      </c>
      <c r="BJ2421">
        <v>1</v>
      </c>
      <c r="BK2421">
        <v>0</v>
      </c>
      <c r="BL2421">
        <v>0</v>
      </c>
      <c r="BO2421">
        <v>0</v>
      </c>
      <c r="BP2421">
        <v>0</v>
      </c>
      <c r="BW2421" t="str">
        <f t="shared" si="1142"/>
        <v>14:45:26.689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56</v>
      </c>
      <c r="CR2421">
        <v>2</v>
      </c>
      <c r="CW2421">
        <v>4857446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1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 t="shared" si="1139"/>
        <v>05/12/2020 14:45:08.880</v>
      </c>
      <c r="C2422" t="str">
        <f t="shared" si="1127"/>
        <v>FFDFD3C0</v>
      </c>
      <c r="D2422" t="s">
        <v>134</v>
      </c>
      <c r="E2422">
        <v>12</v>
      </c>
      <c r="H2422">
        <v>64</v>
      </c>
      <c r="I2422" t="s">
        <v>135</v>
      </c>
      <c r="J2422" t="s">
        <v>136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140"/>
        <v>14:45:26.688</v>
      </c>
      <c r="T2422" t="str">
        <f t="shared" si="1141"/>
        <v>14:45:26.388</v>
      </c>
      <c r="U2422" t="str">
        <f t="shared" si="1119"/>
        <v>A9808D</v>
      </c>
      <c r="V2422">
        <v>0</v>
      </c>
      <c r="W2422">
        <v>0</v>
      </c>
      <c r="X2422">
        <v>1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0</v>
      </c>
      <c r="AI2422" t="s">
        <v>607</v>
      </c>
      <c r="AJ2422">
        <v>28.254583</v>
      </c>
      <c r="AK2422" t="s">
        <v>608</v>
      </c>
      <c r="AL2422">
        <v>-82.329267999999999</v>
      </c>
      <c r="AM2422">
        <v>100</v>
      </c>
      <c r="AN2422">
        <v>2300</v>
      </c>
      <c r="AO2422" t="s">
        <v>118</v>
      </c>
      <c r="AP2422">
        <v>93</v>
      </c>
      <c r="AQ2422">
        <v>-45</v>
      </c>
      <c r="AR2422">
        <v>256</v>
      </c>
      <c r="AZ2422">
        <v>1200</v>
      </c>
      <c r="BA2422">
        <v>1</v>
      </c>
      <c r="BB2422" t="str">
        <f t="shared" si="1130"/>
        <v xml:space="preserve">N711JA  </v>
      </c>
      <c r="BC2422">
        <v>1</v>
      </c>
      <c r="BE2422">
        <v>0</v>
      </c>
      <c r="BF2422">
        <v>0</v>
      </c>
      <c r="BG2422">
        <v>0</v>
      </c>
      <c r="BH2422">
        <v>2375</v>
      </c>
      <c r="BI2422">
        <v>1</v>
      </c>
      <c r="BJ2422">
        <v>1</v>
      </c>
      <c r="BK2422">
        <v>0</v>
      </c>
      <c r="BL2422">
        <v>0</v>
      </c>
      <c r="BO2422">
        <v>0</v>
      </c>
      <c r="BP2422">
        <v>0</v>
      </c>
      <c r="BW2422" t="str">
        <f t="shared" si="1142"/>
        <v>14:45:26.689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343</v>
      </c>
      <c r="CR2422">
        <v>1</v>
      </c>
      <c r="CW2422">
        <v>10784864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1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 t="shared" si="1139"/>
        <v>05/12/2020 14:45:08.880</v>
      </c>
      <c r="C2423" t="str">
        <f t="shared" si="1127"/>
        <v>FFDFD3C0</v>
      </c>
      <c r="D2423" t="s">
        <v>131</v>
      </c>
      <c r="E2423">
        <v>18</v>
      </c>
      <c r="F2423">
        <v>2018</v>
      </c>
      <c r="G2423" t="s">
        <v>161</v>
      </c>
      <c r="J2423" t="s">
        <v>133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140"/>
        <v>14:45:26.688</v>
      </c>
      <c r="T2423" t="str">
        <f t="shared" si="1141"/>
        <v>14:45:26.388</v>
      </c>
      <c r="U2423" t="str">
        <f t="shared" si="1119"/>
        <v>A9808D</v>
      </c>
      <c r="V2423">
        <v>0</v>
      </c>
      <c r="W2423">
        <v>0</v>
      </c>
      <c r="X2423">
        <v>1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0</v>
      </c>
      <c r="AI2423" t="s">
        <v>607</v>
      </c>
      <c r="AJ2423">
        <v>28.254583</v>
      </c>
      <c r="AK2423" t="s">
        <v>608</v>
      </c>
      <c r="AL2423">
        <v>-82.329267999999999</v>
      </c>
      <c r="AM2423">
        <v>100</v>
      </c>
      <c r="AN2423">
        <v>2300</v>
      </c>
      <c r="AO2423" t="s">
        <v>118</v>
      </c>
      <c r="AP2423">
        <v>93</v>
      </c>
      <c r="AQ2423">
        <v>-45</v>
      </c>
      <c r="AR2423">
        <v>256</v>
      </c>
      <c r="AZ2423">
        <v>1200</v>
      </c>
      <c r="BA2423">
        <v>1</v>
      </c>
      <c r="BB2423" t="str">
        <f t="shared" si="1130"/>
        <v xml:space="preserve">N711JA  </v>
      </c>
      <c r="BC2423">
        <v>1</v>
      </c>
      <c r="BE2423">
        <v>0</v>
      </c>
      <c r="BF2423">
        <v>0</v>
      </c>
      <c r="BG2423">
        <v>0</v>
      </c>
      <c r="BH2423">
        <v>2375</v>
      </c>
      <c r="BI2423">
        <v>1</v>
      </c>
      <c r="BJ2423">
        <v>1</v>
      </c>
      <c r="BK2423">
        <v>0</v>
      </c>
      <c r="BL2423">
        <v>0</v>
      </c>
      <c r="BO2423">
        <v>0</v>
      </c>
      <c r="BP2423">
        <v>0</v>
      </c>
      <c r="BW2423" t="str">
        <f t="shared" si="1142"/>
        <v>14:45:26.689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56</v>
      </c>
      <c r="CR2423">
        <v>2</v>
      </c>
      <c r="CW2423">
        <v>4857446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 t="shared" si="1139"/>
        <v>05/12/2020 14:45:08.880</v>
      </c>
      <c r="C2424" t="str">
        <f t="shared" si="1127"/>
        <v>FFDFD3C0</v>
      </c>
      <c r="D2424" t="s">
        <v>126</v>
      </c>
      <c r="E2424">
        <v>6</v>
      </c>
      <c r="F2424">
        <v>1006</v>
      </c>
      <c r="G2424" t="s">
        <v>114</v>
      </c>
      <c r="J2424" t="s">
        <v>128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140"/>
        <v>14:45:26.688</v>
      </c>
      <c r="T2424" t="str">
        <f t="shared" si="1141"/>
        <v>14:45:26.388</v>
      </c>
      <c r="U2424" t="str">
        <f t="shared" si="1119"/>
        <v>A9808D</v>
      </c>
      <c r="V2424">
        <v>0</v>
      </c>
      <c r="W2424">
        <v>0</v>
      </c>
      <c r="X2424">
        <v>1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0</v>
      </c>
      <c r="AI2424" t="s">
        <v>607</v>
      </c>
      <c r="AJ2424">
        <v>28.254583</v>
      </c>
      <c r="AK2424" t="s">
        <v>608</v>
      </c>
      <c r="AL2424">
        <v>-82.329267999999999</v>
      </c>
      <c r="AM2424">
        <v>100</v>
      </c>
      <c r="AN2424">
        <v>2300</v>
      </c>
      <c r="AO2424" t="s">
        <v>118</v>
      </c>
      <c r="AP2424">
        <v>93</v>
      </c>
      <c r="AQ2424">
        <v>-45</v>
      </c>
      <c r="AR2424">
        <v>256</v>
      </c>
      <c r="AZ2424">
        <v>1200</v>
      </c>
      <c r="BA2424">
        <v>1</v>
      </c>
      <c r="BB2424" t="str">
        <f t="shared" si="1130"/>
        <v xml:space="preserve">N711JA  </v>
      </c>
      <c r="BC2424">
        <v>1</v>
      </c>
      <c r="BE2424">
        <v>0</v>
      </c>
      <c r="BF2424">
        <v>0</v>
      </c>
      <c r="BG2424">
        <v>0</v>
      </c>
      <c r="BH2424">
        <v>2375</v>
      </c>
      <c r="BI2424">
        <v>1</v>
      </c>
      <c r="BJ2424">
        <v>1</v>
      </c>
      <c r="BK2424">
        <v>0</v>
      </c>
      <c r="BL2424">
        <v>0</v>
      </c>
      <c r="BO2424">
        <v>0</v>
      </c>
      <c r="BP2424">
        <v>0</v>
      </c>
      <c r="BW2424" t="str">
        <f t="shared" si="1142"/>
        <v>14:45:26.689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56</v>
      </c>
      <c r="CR2424">
        <v>2</v>
      </c>
      <c r="CW2424">
        <v>4857446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1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 t="shared" si="1139"/>
        <v>05/12/2020 14:45:08.880</v>
      </c>
      <c r="C2425" t="str">
        <f t="shared" si="1127"/>
        <v>FFDFD3C0</v>
      </c>
      <c r="D2425" t="s">
        <v>138</v>
      </c>
      <c r="E2425">
        <v>3</v>
      </c>
      <c r="H2425">
        <v>9</v>
      </c>
      <c r="I2425" t="s">
        <v>140</v>
      </c>
      <c r="J2425" t="s">
        <v>136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140"/>
        <v>14:45:26.688</v>
      </c>
      <c r="T2425" t="str">
        <f t="shared" si="1141"/>
        <v>14:45:26.388</v>
      </c>
      <c r="U2425" t="str">
        <f t="shared" si="1119"/>
        <v>A9808D</v>
      </c>
      <c r="V2425">
        <v>0</v>
      </c>
      <c r="W2425">
        <v>0</v>
      </c>
      <c r="X2425">
        <v>1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0</v>
      </c>
      <c r="AI2425" t="s">
        <v>607</v>
      </c>
      <c r="AJ2425">
        <v>28.254583</v>
      </c>
      <c r="AK2425" t="s">
        <v>608</v>
      </c>
      <c r="AL2425">
        <v>-82.329267999999999</v>
      </c>
      <c r="AM2425">
        <v>100</v>
      </c>
      <c r="AN2425">
        <v>2300</v>
      </c>
      <c r="AO2425" t="s">
        <v>118</v>
      </c>
      <c r="AP2425">
        <v>93</v>
      </c>
      <c r="AQ2425">
        <v>-45</v>
      </c>
      <c r="AR2425">
        <v>256</v>
      </c>
      <c r="AZ2425">
        <v>1200</v>
      </c>
      <c r="BA2425">
        <v>1</v>
      </c>
      <c r="BB2425" t="str">
        <f t="shared" si="1130"/>
        <v xml:space="preserve">N711JA  </v>
      </c>
      <c r="BC2425">
        <v>1</v>
      </c>
      <c r="BE2425">
        <v>0</v>
      </c>
      <c r="BF2425">
        <v>0</v>
      </c>
      <c r="BG2425">
        <v>0</v>
      </c>
      <c r="BH2425">
        <v>2375</v>
      </c>
      <c r="BI2425">
        <v>1</v>
      </c>
      <c r="BJ2425">
        <v>1</v>
      </c>
      <c r="BK2425">
        <v>0</v>
      </c>
      <c r="BL2425">
        <v>0</v>
      </c>
      <c r="BO2425">
        <v>0</v>
      </c>
      <c r="BP2425">
        <v>0</v>
      </c>
      <c r="BW2425" t="str">
        <f t="shared" si="1142"/>
        <v>14:45:26.689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56</v>
      </c>
      <c r="CR2425">
        <v>2</v>
      </c>
      <c r="CW2425">
        <v>4857446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1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 t="shared" ref="A2426:A2434" si="1143">"05/12/2020 14:45:09.734"</f>
        <v>05/12/2020 14:45:09.734</v>
      </c>
      <c r="C2426" t="str">
        <f t="shared" si="1127"/>
        <v>FFDFD3C0</v>
      </c>
      <c r="D2426" t="s">
        <v>126</v>
      </c>
      <c r="E2426">
        <v>7</v>
      </c>
      <c r="F2426">
        <v>1007</v>
      </c>
      <c r="G2426" t="s">
        <v>127</v>
      </c>
      <c r="J2426" t="s">
        <v>128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ref="S2426:S2434" si="1144">"14:45:27.570"</f>
        <v>14:45:27.570</v>
      </c>
      <c r="T2426" t="str">
        <f t="shared" ref="T2426:T2434" si="1145">"14:45:27.370"</f>
        <v>14:45:27.370</v>
      </c>
      <c r="U2426" t="str">
        <f t="shared" si="1119"/>
        <v>A9808D</v>
      </c>
      <c r="V2426">
        <v>0</v>
      </c>
      <c r="W2426">
        <v>0</v>
      </c>
      <c r="X2426">
        <v>1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0</v>
      </c>
      <c r="AI2426" t="s">
        <v>261</v>
      </c>
      <c r="AJ2426">
        <v>28.254411000000001</v>
      </c>
      <c r="AK2426" t="s">
        <v>609</v>
      </c>
      <c r="AL2426">
        <v>-82.328861000000003</v>
      </c>
      <c r="AM2426">
        <v>100</v>
      </c>
      <c r="AN2426">
        <v>2300</v>
      </c>
      <c r="AO2426" t="s">
        <v>118</v>
      </c>
      <c r="AP2426">
        <v>93</v>
      </c>
      <c r="AQ2426">
        <v>-44</v>
      </c>
      <c r="AR2426">
        <v>192</v>
      </c>
      <c r="AZ2426">
        <v>1200</v>
      </c>
      <c r="BA2426">
        <v>1</v>
      </c>
      <c r="BB2426" t="str">
        <f t="shared" si="1130"/>
        <v xml:space="preserve">N711JA  </v>
      </c>
      <c r="BC2426">
        <v>1</v>
      </c>
      <c r="BE2426">
        <v>0</v>
      </c>
      <c r="BF2426">
        <v>0</v>
      </c>
      <c r="BG2426">
        <v>0</v>
      </c>
      <c r="BH2426">
        <v>2375</v>
      </c>
      <c r="BI2426">
        <v>1</v>
      </c>
      <c r="BJ2426">
        <v>1</v>
      </c>
      <c r="BK2426">
        <v>0</v>
      </c>
      <c r="BL2426">
        <v>0</v>
      </c>
      <c r="BO2426">
        <v>0</v>
      </c>
      <c r="BP2426">
        <v>0</v>
      </c>
      <c r="BW2426" t="str">
        <f t="shared" ref="BW2426:BW2434" si="1146">"14:45:27.571"</f>
        <v>14:45:27.571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56</v>
      </c>
      <c r="CR2426">
        <v>2</v>
      </c>
      <c r="CW2426">
        <v>4858596</v>
      </c>
      <c r="CY2426">
        <v>1</v>
      </c>
      <c r="CZ2426">
        <v>0</v>
      </c>
      <c r="DA2426">
        <v>0</v>
      </c>
      <c r="DB2426">
        <v>0</v>
      </c>
      <c r="DC2426">
        <v>0</v>
      </c>
      <c r="DD2426">
        <v>1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 t="shared" si="1143"/>
        <v>05/12/2020 14:45:09.734</v>
      </c>
      <c r="C2427" t="str">
        <f t="shared" si="1127"/>
        <v>FFDFD3C0</v>
      </c>
      <c r="D2427" t="s">
        <v>131</v>
      </c>
      <c r="E2427">
        <v>10</v>
      </c>
      <c r="F2427">
        <v>2010</v>
      </c>
      <c r="G2427" t="s">
        <v>132</v>
      </c>
      <c r="J2427" t="s">
        <v>133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144"/>
        <v>14:45:27.570</v>
      </c>
      <c r="T2427" t="str">
        <f t="shared" si="1145"/>
        <v>14:45:27.370</v>
      </c>
      <c r="U2427" t="str">
        <f t="shared" si="1119"/>
        <v>A9808D</v>
      </c>
      <c r="V2427">
        <v>0</v>
      </c>
      <c r="W2427">
        <v>0</v>
      </c>
      <c r="X2427">
        <v>1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0</v>
      </c>
      <c r="AI2427" t="s">
        <v>261</v>
      </c>
      <c r="AJ2427">
        <v>28.254411000000001</v>
      </c>
      <c r="AK2427" t="s">
        <v>609</v>
      </c>
      <c r="AL2427">
        <v>-82.328861000000003</v>
      </c>
      <c r="AM2427">
        <v>100</v>
      </c>
      <c r="AN2427">
        <v>2300</v>
      </c>
      <c r="AO2427" t="s">
        <v>118</v>
      </c>
      <c r="AP2427">
        <v>93</v>
      </c>
      <c r="AQ2427">
        <v>-44</v>
      </c>
      <c r="AR2427">
        <v>192</v>
      </c>
      <c r="AZ2427">
        <v>1200</v>
      </c>
      <c r="BA2427">
        <v>1</v>
      </c>
      <c r="BB2427" t="str">
        <f t="shared" si="1130"/>
        <v xml:space="preserve">N711JA  </v>
      </c>
      <c r="BC2427">
        <v>1</v>
      </c>
      <c r="BE2427">
        <v>0</v>
      </c>
      <c r="BF2427">
        <v>0</v>
      </c>
      <c r="BG2427">
        <v>0</v>
      </c>
      <c r="BH2427">
        <v>2375</v>
      </c>
      <c r="BI2427">
        <v>1</v>
      </c>
      <c r="BJ2427">
        <v>1</v>
      </c>
      <c r="BK2427">
        <v>0</v>
      </c>
      <c r="BL2427">
        <v>0</v>
      </c>
      <c r="BO2427">
        <v>0</v>
      </c>
      <c r="BP2427">
        <v>0</v>
      </c>
      <c r="BW2427" t="str">
        <f t="shared" si="1146"/>
        <v>14:45:27.571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56</v>
      </c>
      <c r="CR2427">
        <v>2</v>
      </c>
      <c r="CW2427">
        <v>4858596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1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 t="shared" si="1143"/>
        <v>05/12/2020 14:45:09.734</v>
      </c>
      <c r="C2428" t="str">
        <f t="shared" si="1127"/>
        <v>FFDFD3C0</v>
      </c>
      <c r="D2428" t="s">
        <v>131</v>
      </c>
      <c r="E2428">
        <v>12</v>
      </c>
      <c r="F2428">
        <v>2012</v>
      </c>
      <c r="G2428" t="s">
        <v>137</v>
      </c>
      <c r="J2428" t="s">
        <v>133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144"/>
        <v>14:45:27.570</v>
      </c>
      <c r="T2428" t="str">
        <f t="shared" si="1145"/>
        <v>14:45:27.370</v>
      </c>
      <c r="U2428" t="str">
        <f t="shared" si="1119"/>
        <v>A9808D</v>
      </c>
      <c r="V2428">
        <v>0</v>
      </c>
      <c r="W2428">
        <v>0</v>
      </c>
      <c r="X2428">
        <v>1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0</v>
      </c>
      <c r="AI2428" t="s">
        <v>261</v>
      </c>
      <c r="AJ2428">
        <v>28.254411000000001</v>
      </c>
      <c r="AK2428" t="s">
        <v>609</v>
      </c>
      <c r="AL2428">
        <v>-82.328861000000003</v>
      </c>
      <c r="AM2428">
        <v>100</v>
      </c>
      <c r="AN2428">
        <v>2300</v>
      </c>
      <c r="AO2428" t="s">
        <v>118</v>
      </c>
      <c r="AP2428">
        <v>93</v>
      </c>
      <c r="AQ2428">
        <v>-44</v>
      </c>
      <c r="AR2428">
        <v>192</v>
      </c>
      <c r="AZ2428">
        <v>1200</v>
      </c>
      <c r="BA2428">
        <v>1</v>
      </c>
      <c r="BB2428" t="str">
        <f t="shared" si="1130"/>
        <v xml:space="preserve">N711JA  </v>
      </c>
      <c r="BC2428">
        <v>1</v>
      </c>
      <c r="BE2428">
        <v>0</v>
      </c>
      <c r="BF2428">
        <v>0</v>
      </c>
      <c r="BG2428">
        <v>0</v>
      </c>
      <c r="BH2428">
        <v>2375</v>
      </c>
      <c r="BI2428">
        <v>1</v>
      </c>
      <c r="BJ2428">
        <v>1</v>
      </c>
      <c r="BK2428">
        <v>0</v>
      </c>
      <c r="BL2428">
        <v>0</v>
      </c>
      <c r="BO2428">
        <v>0</v>
      </c>
      <c r="BP2428">
        <v>0</v>
      </c>
      <c r="BW2428" t="str">
        <f t="shared" si="1146"/>
        <v>14:45:27.571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56</v>
      </c>
      <c r="CR2428">
        <v>2</v>
      </c>
      <c r="CW2428">
        <v>4858596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1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 t="shared" si="1143"/>
        <v>05/12/2020 14:45:09.734</v>
      </c>
      <c r="C2429" t="str">
        <f t="shared" si="1127"/>
        <v>FFDFD3C0</v>
      </c>
      <c r="D2429" t="s">
        <v>138</v>
      </c>
      <c r="E2429">
        <v>2</v>
      </c>
      <c r="H2429">
        <v>8</v>
      </c>
      <c r="I2429" t="s">
        <v>139</v>
      </c>
      <c r="J2429" t="s">
        <v>136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144"/>
        <v>14:45:27.570</v>
      </c>
      <c r="T2429" t="str">
        <f t="shared" si="1145"/>
        <v>14:45:27.370</v>
      </c>
      <c r="U2429" t="str">
        <f t="shared" si="1119"/>
        <v>A9808D</v>
      </c>
      <c r="V2429">
        <v>0</v>
      </c>
      <c r="W2429">
        <v>0</v>
      </c>
      <c r="X2429">
        <v>1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0</v>
      </c>
      <c r="AI2429" t="s">
        <v>261</v>
      </c>
      <c r="AJ2429">
        <v>28.254411000000001</v>
      </c>
      <c r="AK2429" t="s">
        <v>609</v>
      </c>
      <c r="AL2429">
        <v>-82.328861000000003</v>
      </c>
      <c r="AM2429">
        <v>100</v>
      </c>
      <c r="AN2429">
        <v>2300</v>
      </c>
      <c r="AO2429" t="s">
        <v>118</v>
      </c>
      <c r="AP2429">
        <v>93</v>
      </c>
      <c r="AQ2429">
        <v>-44</v>
      </c>
      <c r="AR2429">
        <v>192</v>
      </c>
      <c r="AZ2429">
        <v>1200</v>
      </c>
      <c r="BA2429">
        <v>1</v>
      </c>
      <c r="BB2429" t="str">
        <f t="shared" si="1130"/>
        <v xml:space="preserve">N711JA  </v>
      </c>
      <c r="BC2429">
        <v>1</v>
      </c>
      <c r="BE2429">
        <v>0</v>
      </c>
      <c r="BF2429">
        <v>0</v>
      </c>
      <c r="BG2429">
        <v>0</v>
      </c>
      <c r="BH2429">
        <v>2375</v>
      </c>
      <c r="BI2429">
        <v>1</v>
      </c>
      <c r="BJ2429">
        <v>1</v>
      </c>
      <c r="BK2429">
        <v>0</v>
      </c>
      <c r="BL2429">
        <v>0</v>
      </c>
      <c r="BO2429">
        <v>0</v>
      </c>
      <c r="BP2429">
        <v>0</v>
      </c>
      <c r="BW2429" t="str">
        <f t="shared" si="1146"/>
        <v>14:45:27.571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56</v>
      </c>
      <c r="CR2429">
        <v>2</v>
      </c>
      <c r="CW2429">
        <v>4858596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1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 t="shared" si="1143"/>
        <v>05/12/2020 14:45:09.734</v>
      </c>
      <c r="C2430" t="str">
        <f t="shared" si="1127"/>
        <v>FFDFD3C0</v>
      </c>
      <c r="D2430" t="s">
        <v>113</v>
      </c>
      <c r="E2430">
        <v>3</v>
      </c>
      <c r="H2430">
        <v>164</v>
      </c>
      <c r="I2430" t="s">
        <v>114</v>
      </c>
      <c r="J2430" t="s">
        <v>115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144"/>
        <v>14:45:27.570</v>
      </c>
      <c r="T2430" t="str">
        <f t="shared" si="1145"/>
        <v>14:45:27.370</v>
      </c>
      <c r="U2430" t="str">
        <f t="shared" si="1119"/>
        <v>A9808D</v>
      </c>
      <c r="V2430">
        <v>0</v>
      </c>
      <c r="W2430">
        <v>0</v>
      </c>
      <c r="X2430">
        <v>1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0</v>
      </c>
      <c r="AI2430" t="s">
        <v>261</v>
      </c>
      <c r="AJ2430">
        <v>28.254411000000001</v>
      </c>
      <c r="AK2430" t="s">
        <v>609</v>
      </c>
      <c r="AL2430">
        <v>-82.328861000000003</v>
      </c>
      <c r="AM2430">
        <v>100</v>
      </c>
      <c r="AN2430">
        <v>2300</v>
      </c>
      <c r="AO2430" t="s">
        <v>118</v>
      </c>
      <c r="AP2430">
        <v>93</v>
      </c>
      <c r="AQ2430">
        <v>-44</v>
      </c>
      <c r="AR2430">
        <v>192</v>
      </c>
      <c r="AZ2430">
        <v>1200</v>
      </c>
      <c r="BA2430">
        <v>1</v>
      </c>
      <c r="BB2430" t="str">
        <f t="shared" si="1130"/>
        <v xml:space="preserve">N711JA  </v>
      </c>
      <c r="BC2430">
        <v>1</v>
      </c>
      <c r="BE2430">
        <v>0</v>
      </c>
      <c r="BF2430">
        <v>0</v>
      </c>
      <c r="BG2430">
        <v>0</v>
      </c>
      <c r="BH2430">
        <v>2375</v>
      </c>
      <c r="BI2430">
        <v>1</v>
      </c>
      <c r="BJ2430">
        <v>1</v>
      </c>
      <c r="BK2430">
        <v>0</v>
      </c>
      <c r="BL2430">
        <v>0</v>
      </c>
      <c r="BO2430">
        <v>0</v>
      </c>
      <c r="BP2430">
        <v>0</v>
      </c>
      <c r="BW2430" t="str">
        <f t="shared" si="1146"/>
        <v>14:45:27.571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56</v>
      </c>
      <c r="CR2430">
        <v>2</v>
      </c>
      <c r="CW2430">
        <v>4858596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1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 t="shared" si="1143"/>
        <v>05/12/2020 14:45:09.734</v>
      </c>
      <c r="C2431" t="str">
        <f t="shared" si="1127"/>
        <v>FFDFD3C0</v>
      </c>
      <c r="D2431" t="s">
        <v>134</v>
      </c>
      <c r="E2431">
        <v>12</v>
      </c>
      <c r="H2431">
        <v>64</v>
      </c>
      <c r="I2431" t="s">
        <v>135</v>
      </c>
      <c r="J2431" t="s">
        <v>136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144"/>
        <v>14:45:27.570</v>
      </c>
      <c r="T2431" t="str">
        <f t="shared" si="1145"/>
        <v>14:45:27.370</v>
      </c>
      <c r="U2431" t="str">
        <f t="shared" si="1119"/>
        <v>A9808D</v>
      </c>
      <c r="V2431">
        <v>0</v>
      </c>
      <c r="W2431">
        <v>0</v>
      </c>
      <c r="X2431">
        <v>1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0</v>
      </c>
      <c r="AI2431" t="s">
        <v>261</v>
      </c>
      <c r="AJ2431">
        <v>28.254411000000001</v>
      </c>
      <c r="AK2431" t="s">
        <v>609</v>
      </c>
      <c r="AL2431">
        <v>-82.328861000000003</v>
      </c>
      <c r="AM2431">
        <v>100</v>
      </c>
      <c r="AN2431">
        <v>2300</v>
      </c>
      <c r="AO2431" t="s">
        <v>118</v>
      </c>
      <c r="AP2431">
        <v>93</v>
      </c>
      <c r="AQ2431">
        <v>-44</v>
      </c>
      <c r="AR2431">
        <v>192</v>
      </c>
      <c r="AZ2431">
        <v>1200</v>
      </c>
      <c r="BA2431">
        <v>1</v>
      </c>
      <c r="BB2431" t="str">
        <f t="shared" si="1130"/>
        <v xml:space="preserve">N711JA  </v>
      </c>
      <c r="BC2431">
        <v>1</v>
      </c>
      <c r="BE2431">
        <v>0</v>
      </c>
      <c r="BF2431">
        <v>0</v>
      </c>
      <c r="BG2431">
        <v>0</v>
      </c>
      <c r="BH2431">
        <v>2375</v>
      </c>
      <c r="BI2431">
        <v>1</v>
      </c>
      <c r="BJ2431">
        <v>1</v>
      </c>
      <c r="BK2431">
        <v>0</v>
      </c>
      <c r="BL2431">
        <v>0</v>
      </c>
      <c r="BO2431">
        <v>0</v>
      </c>
      <c r="BP2431">
        <v>0</v>
      </c>
      <c r="BW2431" t="str">
        <f t="shared" si="1146"/>
        <v>14:45:27.571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6</v>
      </c>
      <c r="CP2431" t="s">
        <v>119</v>
      </c>
      <c r="CQ2431">
        <v>358</v>
      </c>
      <c r="CR2431">
        <v>0</v>
      </c>
      <c r="CW2431">
        <v>4839000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1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 t="shared" si="1143"/>
        <v>05/12/2020 14:45:09.734</v>
      </c>
      <c r="C2432" t="str">
        <f t="shared" si="1127"/>
        <v>FFDFD3C0</v>
      </c>
      <c r="D2432" t="s">
        <v>131</v>
      </c>
      <c r="E2432">
        <v>18</v>
      </c>
      <c r="F2432">
        <v>2018</v>
      </c>
      <c r="G2432" t="s">
        <v>161</v>
      </c>
      <c r="J2432" t="s">
        <v>133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144"/>
        <v>14:45:27.570</v>
      </c>
      <c r="T2432" t="str">
        <f t="shared" si="1145"/>
        <v>14:45:27.370</v>
      </c>
      <c r="U2432" t="str">
        <f t="shared" si="1119"/>
        <v>A9808D</v>
      </c>
      <c r="V2432">
        <v>0</v>
      </c>
      <c r="W2432">
        <v>0</v>
      </c>
      <c r="X2432">
        <v>1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0</v>
      </c>
      <c r="AI2432" t="s">
        <v>261</v>
      </c>
      <c r="AJ2432">
        <v>28.254411000000001</v>
      </c>
      <c r="AK2432" t="s">
        <v>609</v>
      </c>
      <c r="AL2432">
        <v>-82.328861000000003</v>
      </c>
      <c r="AM2432">
        <v>100</v>
      </c>
      <c r="AN2432">
        <v>2300</v>
      </c>
      <c r="AO2432" t="s">
        <v>118</v>
      </c>
      <c r="AP2432">
        <v>93</v>
      </c>
      <c r="AQ2432">
        <v>-44</v>
      </c>
      <c r="AR2432">
        <v>192</v>
      </c>
      <c r="AZ2432">
        <v>1200</v>
      </c>
      <c r="BA2432">
        <v>1</v>
      </c>
      <c r="BB2432" t="str">
        <f t="shared" si="1130"/>
        <v xml:space="preserve">N711JA  </v>
      </c>
      <c r="BC2432">
        <v>1</v>
      </c>
      <c r="BE2432">
        <v>0</v>
      </c>
      <c r="BF2432">
        <v>0</v>
      </c>
      <c r="BG2432">
        <v>0</v>
      </c>
      <c r="BH2432">
        <v>2375</v>
      </c>
      <c r="BI2432">
        <v>1</v>
      </c>
      <c r="BJ2432">
        <v>1</v>
      </c>
      <c r="BK2432">
        <v>0</v>
      </c>
      <c r="BL2432">
        <v>0</v>
      </c>
      <c r="BO2432">
        <v>0</v>
      </c>
      <c r="BP2432">
        <v>0</v>
      </c>
      <c r="BW2432" t="str">
        <f t="shared" si="1146"/>
        <v>14:45:27.571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56</v>
      </c>
      <c r="CR2432">
        <v>2</v>
      </c>
      <c r="CW2432">
        <v>4858596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1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 t="shared" si="1143"/>
        <v>05/12/2020 14:45:09.734</v>
      </c>
      <c r="C2433" t="str">
        <f t="shared" si="1127"/>
        <v>FFDFD3C0</v>
      </c>
      <c r="D2433" t="s">
        <v>126</v>
      </c>
      <c r="E2433">
        <v>6</v>
      </c>
      <c r="F2433">
        <v>1006</v>
      </c>
      <c r="G2433" t="s">
        <v>114</v>
      </c>
      <c r="J2433" t="s">
        <v>128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144"/>
        <v>14:45:27.570</v>
      </c>
      <c r="T2433" t="str">
        <f t="shared" si="1145"/>
        <v>14:45:27.370</v>
      </c>
      <c r="U2433" t="str">
        <f t="shared" si="1119"/>
        <v>A9808D</v>
      </c>
      <c r="V2433">
        <v>0</v>
      </c>
      <c r="W2433">
        <v>0</v>
      </c>
      <c r="X2433">
        <v>1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0</v>
      </c>
      <c r="AI2433" t="s">
        <v>261</v>
      </c>
      <c r="AJ2433">
        <v>28.254411000000001</v>
      </c>
      <c r="AK2433" t="s">
        <v>609</v>
      </c>
      <c r="AL2433">
        <v>-82.328861000000003</v>
      </c>
      <c r="AM2433">
        <v>100</v>
      </c>
      <c r="AN2433">
        <v>2300</v>
      </c>
      <c r="AO2433" t="s">
        <v>118</v>
      </c>
      <c r="AP2433">
        <v>93</v>
      </c>
      <c r="AQ2433">
        <v>-44</v>
      </c>
      <c r="AR2433">
        <v>192</v>
      </c>
      <c r="AZ2433">
        <v>1200</v>
      </c>
      <c r="BA2433">
        <v>1</v>
      </c>
      <c r="BB2433" t="str">
        <f t="shared" si="1130"/>
        <v xml:space="preserve">N711JA  </v>
      </c>
      <c r="BC2433">
        <v>1</v>
      </c>
      <c r="BE2433">
        <v>0</v>
      </c>
      <c r="BF2433">
        <v>0</v>
      </c>
      <c r="BG2433">
        <v>0</v>
      </c>
      <c r="BH2433">
        <v>2375</v>
      </c>
      <c r="BI2433">
        <v>1</v>
      </c>
      <c r="BJ2433">
        <v>1</v>
      </c>
      <c r="BK2433">
        <v>0</v>
      </c>
      <c r="BL2433">
        <v>0</v>
      </c>
      <c r="BO2433">
        <v>0</v>
      </c>
      <c r="BP2433">
        <v>0</v>
      </c>
      <c r="BW2433" t="str">
        <f t="shared" si="1146"/>
        <v>14:45:27.571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56</v>
      </c>
      <c r="CR2433">
        <v>2</v>
      </c>
      <c r="CW2433">
        <v>4858596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1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 t="shared" si="1143"/>
        <v>05/12/2020 14:45:09.734</v>
      </c>
      <c r="C2434" t="str">
        <f t="shared" si="1127"/>
        <v>FFDFD3C0</v>
      </c>
      <c r="D2434" t="s">
        <v>138</v>
      </c>
      <c r="E2434">
        <v>3</v>
      </c>
      <c r="H2434">
        <v>9</v>
      </c>
      <c r="I2434" t="s">
        <v>140</v>
      </c>
      <c r="J2434" t="s">
        <v>136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144"/>
        <v>14:45:27.570</v>
      </c>
      <c r="T2434" t="str">
        <f t="shared" si="1145"/>
        <v>14:45:27.370</v>
      </c>
      <c r="U2434" t="str">
        <f t="shared" ref="U2434:U2497" si="1147">"A9808D"</f>
        <v>A9808D</v>
      </c>
      <c r="V2434">
        <v>0</v>
      </c>
      <c r="W2434">
        <v>0</v>
      </c>
      <c r="X2434">
        <v>1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0</v>
      </c>
      <c r="AI2434" t="s">
        <v>261</v>
      </c>
      <c r="AJ2434">
        <v>28.254411000000001</v>
      </c>
      <c r="AK2434" t="s">
        <v>609</v>
      </c>
      <c r="AL2434">
        <v>-82.328861000000003</v>
      </c>
      <c r="AM2434">
        <v>100</v>
      </c>
      <c r="AN2434">
        <v>2300</v>
      </c>
      <c r="AO2434" t="s">
        <v>118</v>
      </c>
      <c r="AP2434">
        <v>93</v>
      </c>
      <c r="AQ2434">
        <v>-44</v>
      </c>
      <c r="AR2434">
        <v>192</v>
      </c>
      <c r="AZ2434">
        <v>1200</v>
      </c>
      <c r="BA2434">
        <v>1</v>
      </c>
      <c r="BB2434" t="str">
        <f t="shared" si="1130"/>
        <v xml:space="preserve">N711JA  </v>
      </c>
      <c r="BC2434">
        <v>1</v>
      </c>
      <c r="BE2434">
        <v>0</v>
      </c>
      <c r="BF2434">
        <v>0</v>
      </c>
      <c r="BG2434">
        <v>0</v>
      </c>
      <c r="BH2434">
        <v>2375</v>
      </c>
      <c r="BI2434">
        <v>1</v>
      </c>
      <c r="BJ2434">
        <v>1</v>
      </c>
      <c r="BK2434">
        <v>0</v>
      </c>
      <c r="BL2434">
        <v>0</v>
      </c>
      <c r="BO2434">
        <v>0</v>
      </c>
      <c r="BP2434">
        <v>0</v>
      </c>
      <c r="BW2434" t="str">
        <f t="shared" si="1146"/>
        <v>14:45:27.571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56</v>
      </c>
      <c r="CR2434">
        <v>2</v>
      </c>
      <c r="CW2434">
        <v>4858596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1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 t="shared" ref="A2435:A2443" si="1148">"05/12/2020 14:45:10.891"</f>
        <v>05/12/2020 14:45:10.891</v>
      </c>
      <c r="C2435" t="str">
        <f t="shared" si="1127"/>
        <v>FFDFD3C0</v>
      </c>
      <c r="D2435" t="s">
        <v>126</v>
      </c>
      <c r="E2435">
        <v>7</v>
      </c>
      <c r="F2435">
        <v>1007</v>
      </c>
      <c r="G2435" t="s">
        <v>127</v>
      </c>
      <c r="J2435" t="s">
        <v>128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ref="S2435:S2441" si="1149">"14:45:28.734"</f>
        <v>14:45:28.734</v>
      </c>
      <c r="T2435" t="str">
        <f t="shared" ref="T2435:T2441" si="1150">"14:45:28.334"</f>
        <v>14:45:28.334</v>
      </c>
      <c r="U2435" t="str">
        <f t="shared" si="1147"/>
        <v>A9808D</v>
      </c>
      <c r="V2435">
        <v>0</v>
      </c>
      <c r="W2435">
        <v>0</v>
      </c>
      <c r="X2435">
        <v>1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0</v>
      </c>
      <c r="AI2435" t="s">
        <v>610</v>
      </c>
      <c r="AJ2435">
        <v>28.254175</v>
      </c>
      <c r="AK2435" t="s">
        <v>611</v>
      </c>
      <c r="AL2435">
        <v>-82.32826</v>
      </c>
      <c r="AM2435">
        <v>100</v>
      </c>
      <c r="AN2435">
        <v>2300</v>
      </c>
      <c r="AO2435" t="s">
        <v>118</v>
      </c>
      <c r="AP2435">
        <v>93</v>
      </c>
      <c r="AQ2435">
        <v>-44</v>
      </c>
      <c r="AR2435">
        <v>192</v>
      </c>
      <c r="AZ2435">
        <v>1200</v>
      </c>
      <c r="BA2435">
        <v>1</v>
      </c>
      <c r="BB2435" t="str">
        <f t="shared" si="1130"/>
        <v xml:space="preserve">N711JA  </v>
      </c>
      <c r="BC2435">
        <v>1</v>
      </c>
      <c r="BE2435">
        <v>0</v>
      </c>
      <c r="BF2435">
        <v>0</v>
      </c>
      <c r="BG2435">
        <v>0</v>
      </c>
      <c r="BH2435">
        <v>2375</v>
      </c>
      <c r="BI2435">
        <v>1</v>
      </c>
      <c r="BJ2435">
        <v>1</v>
      </c>
      <c r="BK2435">
        <v>0</v>
      </c>
      <c r="BL2435">
        <v>0</v>
      </c>
      <c r="BO2435">
        <v>0</v>
      </c>
      <c r="BP2435">
        <v>0</v>
      </c>
      <c r="BW2435" t="str">
        <f t="shared" ref="BW2435:BW2443" si="1151">"14:45:28.734"</f>
        <v>14:45:28.734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56</v>
      </c>
      <c r="CR2435">
        <v>2</v>
      </c>
      <c r="CW2435">
        <v>4860131</v>
      </c>
      <c r="CY2435">
        <v>1</v>
      </c>
      <c r="CZ2435">
        <v>0</v>
      </c>
      <c r="DA2435">
        <v>0</v>
      </c>
      <c r="DB2435">
        <v>0</v>
      </c>
      <c r="DC2435">
        <v>0</v>
      </c>
      <c r="DD2435">
        <v>1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si="1148"/>
        <v>05/12/2020 14:45:10.891</v>
      </c>
      <c r="C2436" t="str">
        <f t="shared" si="1127"/>
        <v>FFDFD3C0</v>
      </c>
      <c r="D2436" t="s">
        <v>131</v>
      </c>
      <c r="E2436">
        <v>10</v>
      </c>
      <c r="F2436">
        <v>2010</v>
      </c>
      <c r="G2436" t="s">
        <v>132</v>
      </c>
      <c r="J2436" t="s">
        <v>133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149"/>
        <v>14:45:28.734</v>
      </c>
      <c r="T2436" t="str">
        <f t="shared" si="1150"/>
        <v>14:45:28.334</v>
      </c>
      <c r="U2436" t="str">
        <f t="shared" si="1147"/>
        <v>A9808D</v>
      </c>
      <c r="V2436">
        <v>0</v>
      </c>
      <c r="W2436">
        <v>0</v>
      </c>
      <c r="X2436">
        <v>1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0</v>
      </c>
      <c r="AI2436" t="s">
        <v>610</v>
      </c>
      <c r="AJ2436">
        <v>28.254175</v>
      </c>
      <c r="AK2436" t="s">
        <v>611</v>
      </c>
      <c r="AL2436">
        <v>-82.32826</v>
      </c>
      <c r="AM2436">
        <v>100</v>
      </c>
      <c r="AN2436">
        <v>2300</v>
      </c>
      <c r="AO2436" t="s">
        <v>118</v>
      </c>
      <c r="AP2436">
        <v>93</v>
      </c>
      <c r="AQ2436">
        <v>-44</v>
      </c>
      <c r="AR2436">
        <v>192</v>
      </c>
      <c r="AZ2436">
        <v>1200</v>
      </c>
      <c r="BA2436">
        <v>1</v>
      </c>
      <c r="BB2436" t="str">
        <f t="shared" si="1130"/>
        <v xml:space="preserve">N711JA  </v>
      </c>
      <c r="BC2436">
        <v>1</v>
      </c>
      <c r="BE2436">
        <v>0</v>
      </c>
      <c r="BF2436">
        <v>0</v>
      </c>
      <c r="BG2436">
        <v>0</v>
      </c>
      <c r="BH2436">
        <v>2375</v>
      </c>
      <c r="BI2436">
        <v>1</v>
      </c>
      <c r="BJ2436">
        <v>1</v>
      </c>
      <c r="BK2436">
        <v>0</v>
      </c>
      <c r="BL2436">
        <v>0</v>
      </c>
      <c r="BO2436">
        <v>0</v>
      </c>
      <c r="BP2436">
        <v>0</v>
      </c>
      <c r="BW2436" t="str">
        <f t="shared" si="1151"/>
        <v>14:45:28.734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56</v>
      </c>
      <c r="CR2436">
        <v>2</v>
      </c>
      <c r="CW2436">
        <v>4860131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 t="shared" si="1148"/>
        <v>05/12/2020 14:45:10.891</v>
      </c>
      <c r="C2437" t="str">
        <f t="shared" si="1127"/>
        <v>FFDFD3C0</v>
      </c>
      <c r="D2437" t="s">
        <v>131</v>
      </c>
      <c r="E2437">
        <v>12</v>
      </c>
      <c r="F2437">
        <v>2012</v>
      </c>
      <c r="G2437" t="s">
        <v>137</v>
      </c>
      <c r="J2437" t="s">
        <v>133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149"/>
        <v>14:45:28.734</v>
      </c>
      <c r="T2437" t="str">
        <f t="shared" si="1150"/>
        <v>14:45:28.334</v>
      </c>
      <c r="U2437" t="str">
        <f t="shared" si="1147"/>
        <v>A9808D</v>
      </c>
      <c r="V2437">
        <v>0</v>
      </c>
      <c r="W2437">
        <v>0</v>
      </c>
      <c r="X2437">
        <v>1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0</v>
      </c>
      <c r="AI2437" t="s">
        <v>610</v>
      </c>
      <c r="AJ2437">
        <v>28.254175</v>
      </c>
      <c r="AK2437" t="s">
        <v>611</v>
      </c>
      <c r="AL2437">
        <v>-82.32826</v>
      </c>
      <c r="AM2437">
        <v>100</v>
      </c>
      <c r="AN2437">
        <v>2300</v>
      </c>
      <c r="AO2437" t="s">
        <v>118</v>
      </c>
      <c r="AP2437">
        <v>93</v>
      </c>
      <c r="AQ2437">
        <v>-44</v>
      </c>
      <c r="AR2437">
        <v>192</v>
      </c>
      <c r="AZ2437">
        <v>1200</v>
      </c>
      <c r="BA2437">
        <v>1</v>
      </c>
      <c r="BB2437" t="str">
        <f t="shared" si="1130"/>
        <v xml:space="preserve">N711JA  </v>
      </c>
      <c r="BC2437">
        <v>1</v>
      </c>
      <c r="BE2437">
        <v>0</v>
      </c>
      <c r="BF2437">
        <v>0</v>
      </c>
      <c r="BG2437">
        <v>0</v>
      </c>
      <c r="BH2437">
        <v>2375</v>
      </c>
      <c r="BI2437">
        <v>1</v>
      </c>
      <c r="BJ2437">
        <v>1</v>
      </c>
      <c r="BK2437">
        <v>0</v>
      </c>
      <c r="BL2437">
        <v>0</v>
      </c>
      <c r="BO2437">
        <v>0</v>
      </c>
      <c r="BP2437">
        <v>0</v>
      </c>
      <c r="BW2437" t="str">
        <f t="shared" si="1151"/>
        <v>14:45:28.734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56</v>
      </c>
      <c r="CR2437">
        <v>2</v>
      </c>
      <c r="CW2437">
        <v>4860131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1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si="1148"/>
        <v>05/12/2020 14:45:10.891</v>
      </c>
      <c r="C2438" t="str">
        <f t="shared" si="1127"/>
        <v>FFDFD3C0</v>
      </c>
      <c r="D2438" t="s">
        <v>131</v>
      </c>
      <c r="E2438">
        <v>18</v>
      </c>
      <c r="F2438">
        <v>2018</v>
      </c>
      <c r="G2438" t="s">
        <v>161</v>
      </c>
      <c r="J2438" t="s">
        <v>133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149"/>
        <v>14:45:28.734</v>
      </c>
      <c r="T2438" t="str">
        <f t="shared" si="1150"/>
        <v>14:45:28.334</v>
      </c>
      <c r="U2438" t="str">
        <f t="shared" si="1147"/>
        <v>A9808D</v>
      </c>
      <c r="V2438">
        <v>0</v>
      </c>
      <c r="W2438">
        <v>0</v>
      </c>
      <c r="X2438">
        <v>1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0</v>
      </c>
      <c r="AI2438" t="s">
        <v>610</v>
      </c>
      <c r="AJ2438">
        <v>28.254175</v>
      </c>
      <c r="AK2438" t="s">
        <v>611</v>
      </c>
      <c r="AL2438">
        <v>-82.32826</v>
      </c>
      <c r="AM2438">
        <v>100</v>
      </c>
      <c r="AN2438">
        <v>2300</v>
      </c>
      <c r="AO2438" t="s">
        <v>118</v>
      </c>
      <c r="AP2438">
        <v>93</v>
      </c>
      <c r="AQ2438">
        <v>-44</v>
      </c>
      <c r="AR2438">
        <v>192</v>
      </c>
      <c r="AZ2438">
        <v>1200</v>
      </c>
      <c r="BA2438">
        <v>1</v>
      </c>
      <c r="BB2438" t="str">
        <f t="shared" si="1130"/>
        <v xml:space="preserve">N711JA  </v>
      </c>
      <c r="BC2438">
        <v>1</v>
      </c>
      <c r="BE2438">
        <v>0</v>
      </c>
      <c r="BF2438">
        <v>0</v>
      </c>
      <c r="BG2438">
        <v>0</v>
      </c>
      <c r="BH2438">
        <v>2375</v>
      </c>
      <c r="BI2438">
        <v>1</v>
      </c>
      <c r="BJ2438">
        <v>1</v>
      </c>
      <c r="BK2438">
        <v>0</v>
      </c>
      <c r="BL2438">
        <v>0</v>
      </c>
      <c r="BO2438">
        <v>0</v>
      </c>
      <c r="BP2438">
        <v>0</v>
      </c>
      <c r="BW2438" t="str">
        <f t="shared" si="1151"/>
        <v>14:45:28.734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56</v>
      </c>
      <c r="CR2438">
        <v>2</v>
      </c>
      <c r="CW2438">
        <v>4860131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1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si="1148"/>
        <v>05/12/2020 14:45:10.891</v>
      </c>
      <c r="C2439" t="str">
        <f t="shared" si="1127"/>
        <v>FFDFD3C0</v>
      </c>
      <c r="D2439" t="s">
        <v>126</v>
      </c>
      <c r="E2439">
        <v>6</v>
      </c>
      <c r="F2439">
        <v>1006</v>
      </c>
      <c r="G2439" t="s">
        <v>114</v>
      </c>
      <c r="J2439" t="s">
        <v>128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149"/>
        <v>14:45:28.734</v>
      </c>
      <c r="T2439" t="str">
        <f t="shared" si="1150"/>
        <v>14:45:28.334</v>
      </c>
      <c r="U2439" t="str">
        <f t="shared" si="1147"/>
        <v>A9808D</v>
      </c>
      <c r="V2439">
        <v>0</v>
      </c>
      <c r="W2439">
        <v>0</v>
      </c>
      <c r="X2439">
        <v>1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0</v>
      </c>
      <c r="AI2439" t="s">
        <v>610</v>
      </c>
      <c r="AJ2439">
        <v>28.254175</v>
      </c>
      <c r="AK2439" t="s">
        <v>611</v>
      </c>
      <c r="AL2439">
        <v>-82.32826</v>
      </c>
      <c r="AM2439">
        <v>100</v>
      </c>
      <c r="AN2439">
        <v>2300</v>
      </c>
      <c r="AO2439" t="s">
        <v>118</v>
      </c>
      <c r="AP2439">
        <v>93</v>
      </c>
      <c r="AQ2439">
        <v>-44</v>
      </c>
      <c r="AR2439">
        <v>192</v>
      </c>
      <c r="AZ2439">
        <v>1200</v>
      </c>
      <c r="BA2439">
        <v>1</v>
      </c>
      <c r="BB2439" t="str">
        <f t="shared" si="1130"/>
        <v xml:space="preserve">N711JA  </v>
      </c>
      <c r="BC2439">
        <v>1</v>
      </c>
      <c r="BE2439">
        <v>0</v>
      </c>
      <c r="BF2439">
        <v>0</v>
      </c>
      <c r="BG2439">
        <v>0</v>
      </c>
      <c r="BH2439">
        <v>2375</v>
      </c>
      <c r="BI2439">
        <v>1</v>
      </c>
      <c r="BJ2439">
        <v>1</v>
      </c>
      <c r="BK2439">
        <v>0</v>
      </c>
      <c r="BL2439">
        <v>0</v>
      </c>
      <c r="BO2439">
        <v>0</v>
      </c>
      <c r="BP2439">
        <v>0</v>
      </c>
      <c r="BW2439" t="str">
        <f t="shared" si="1151"/>
        <v>14:45:28.734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56</v>
      </c>
      <c r="CR2439">
        <v>2</v>
      </c>
      <c r="CW2439">
        <v>4860131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1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si="1148"/>
        <v>05/12/2020 14:45:10.891</v>
      </c>
      <c r="C2440" t="str">
        <f t="shared" si="1127"/>
        <v>FFDFD3C0</v>
      </c>
      <c r="D2440" t="s">
        <v>138</v>
      </c>
      <c r="E2440">
        <v>2</v>
      </c>
      <c r="H2440">
        <v>8</v>
      </c>
      <c r="I2440" t="s">
        <v>139</v>
      </c>
      <c r="J2440" t="s">
        <v>136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149"/>
        <v>14:45:28.734</v>
      </c>
      <c r="T2440" t="str">
        <f t="shared" si="1150"/>
        <v>14:45:28.334</v>
      </c>
      <c r="U2440" t="str">
        <f t="shared" si="1147"/>
        <v>A9808D</v>
      </c>
      <c r="V2440">
        <v>0</v>
      </c>
      <c r="W2440">
        <v>0</v>
      </c>
      <c r="X2440">
        <v>1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0</v>
      </c>
      <c r="AI2440" t="s">
        <v>610</v>
      </c>
      <c r="AJ2440">
        <v>28.254175</v>
      </c>
      <c r="AK2440" t="s">
        <v>611</v>
      </c>
      <c r="AL2440">
        <v>-82.32826</v>
      </c>
      <c r="AM2440">
        <v>100</v>
      </c>
      <c r="AN2440">
        <v>2300</v>
      </c>
      <c r="AO2440" t="s">
        <v>118</v>
      </c>
      <c r="AP2440">
        <v>93</v>
      </c>
      <c r="AQ2440">
        <v>-44</v>
      </c>
      <c r="AR2440">
        <v>192</v>
      </c>
      <c r="AZ2440">
        <v>1200</v>
      </c>
      <c r="BA2440">
        <v>1</v>
      </c>
      <c r="BB2440" t="str">
        <f t="shared" si="1130"/>
        <v xml:space="preserve">N711JA  </v>
      </c>
      <c r="BC2440">
        <v>1</v>
      </c>
      <c r="BE2440">
        <v>0</v>
      </c>
      <c r="BF2440">
        <v>0</v>
      </c>
      <c r="BG2440">
        <v>0</v>
      </c>
      <c r="BH2440">
        <v>2375</v>
      </c>
      <c r="BI2440">
        <v>1</v>
      </c>
      <c r="BJ2440">
        <v>1</v>
      </c>
      <c r="BK2440">
        <v>0</v>
      </c>
      <c r="BL2440">
        <v>0</v>
      </c>
      <c r="BO2440">
        <v>0</v>
      </c>
      <c r="BP2440">
        <v>0</v>
      </c>
      <c r="BW2440" t="str">
        <f t="shared" si="1151"/>
        <v>14:45:28.734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56</v>
      </c>
      <c r="CR2440">
        <v>2</v>
      </c>
      <c r="CW2440">
        <v>4860131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1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1148"/>
        <v>05/12/2020 14:45:10.891</v>
      </c>
      <c r="C2441" t="str">
        <f t="shared" si="1127"/>
        <v>FFDFD3C0</v>
      </c>
      <c r="D2441" t="s">
        <v>113</v>
      </c>
      <c r="E2441">
        <v>3</v>
      </c>
      <c r="H2441">
        <v>164</v>
      </c>
      <c r="I2441" t="s">
        <v>114</v>
      </c>
      <c r="J2441" t="s">
        <v>115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149"/>
        <v>14:45:28.734</v>
      </c>
      <c r="T2441" t="str">
        <f t="shared" si="1150"/>
        <v>14:45:28.334</v>
      </c>
      <c r="U2441" t="str">
        <f t="shared" si="1147"/>
        <v>A9808D</v>
      </c>
      <c r="V2441">
        <v>0</v>
      </c>
      <c r="W2441">
        <v>0</v>
      </c>
      <c r="X2441">
        <v>1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0</v>
      </c>
      <c r="AI2441" t="s">
        <v>610</v>
      </c>
      <c r="AJ2441">
        <v>28.254175</v>
      </c>
      <c r="AK2441" t="s">
        <v>611</v>
      </c>
      <c r="AL2441">
        <v>-82.32826</v>
      </c>
      <c r="AM2441">
        <v>100</v>
      </c>
      <c r="AN2441">
        <v>2300</v>
      </c>
      <c r="AO2441" t="s">
        <v>118</v>
      </c>
      <c r="AP2441">
        <v>93</v>
      </c>
      <c r="AQ2441">
        <v>-44</v>
      </c>
      <c r="AR2441">
        <v>192</v>
      </c>
      <c r="AZ2441">
        <v>1200</v>
      </c>
      <c r="BA2441">
        <v>1</v>
      </c>
      <c r="BB2441" t="str">
        <f t="shared" si="1130"/>
        <v xml:space="preserve">N711JA  </v>
      </c>
      <c r="BC2441">
        <v>1</v>
      </c>
      <c r="BE2441">
        <v>0</v>
      </c>
      <c r="BF2441">
        <v>0</v>
      </c>
      <c r="BG2441">
        <v>0</v>
      </c>
      <c r="BH2441">
        <v>2375</v>
      </c>
      <c r="BI2441">
        <v>1</v>
      </c>
      <c r="BJ2441">
        <v>1</v>
      </c>
      <c r="BK2441">
        <v>0</v>
      </c>
      <c r="BL2441">
        <v>0</v>
      </c>
      <c r="BO2441">
        <v>0</v>
      </c>
      <c r="BP2441">
        <v>0</v>
      </c>
      <c r="BW2441" t="str">
        <f t="shared" si="1151"/>
        <v>14:45:28.734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56</v>
      </c>
      <c r="CR2441">
        <v>2</v>
      </c>
      <c r="CW2441">
        <v>4860131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1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1148"/>
        <v>05/12/2020 14:45:10.891</v>
      </c>
      <c r="C2442" t="str">
        <f t="shared" si="1127"/>
        <v>FFDFD3C0</v>
      </c>
      <c r="D2442" t="s">
        <v>134</v>
      </c>
      <c r="E2442">
        <v>12</v>
      </c>
      <c r="H2442">
        <v>64</v>
      </c>
      <c r="I2442" t="s">
        <v>135</v>
      </c>
      <c r="J2442" t="s">
        <v>136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"14:45:28.727"</f>
        <v>14:45:28.727</v>
      </c>
      <c r="T2442" t="str">
        <f>"14:45:28.327"</f>
        <v>14:45:28.327</v>
      </c>
      <c r="U2442" t="str">
        <f t="shared" si="1147"/>
        <v>A9808D</v>
      </c>
      <c r="V2442">
        <v>0</v>
      </c>
      <c r="W2442">
        <v>0</v>
      </c>
      <c r="X2442">
        <v>1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0</v>
      </c>
      <c r="AI2442" t="s">
        <v>610</v>
      </c>
      <c r="AJ2442">
        <v>28.254175</v>
      </c>
      <c r="AK2442" t="s">
        <v>611</v>
      </c>
      <c r="AL2442">
        <v>-82.32826</v>
      </c>
      <c r="AM2442">
        <v>100</v>
      </c>
      <c r="AN2442">
        <v>2300</v>
      </c>
      <c r="AO2442" t="s">
        <v>118</v>
      </c>
      <c r="AP2442">
        <v>93</v>
      </c>
      <c r="AQ2442">
        <v>-44</v>
      </c>
      <c r="AR2442">
        <v>192</v>
      </c>
      <c r="AZ2442">
        <v>1200</v>
      </c>
      <c r="BA2442">
        <v>1</v>
      </c>
      <c r="BB2442" t="str">
        <f t="shared" si="1130"/>
        <v xml:space="preserve">N711JA  </v>
      </c>
      <c r="BC2442">
        <v>1</v>
      </c>
      <c r="BE2442">
        <v>0</v>
      </c>
      <c r="BF2442">
        <v>0</v>
      </c>
      <c r="BG2442">
        <v>0</v>
      </c>
      <c r="BH2442">
        <v>2375</v>
      </c>
      <c r="BI2442">
        <v>1</v>
      </c>
      <c r="BJ2442">
        <v>1</v>
      </c>
      <c r="BK2442">
        <v>0</v>
      </c>
      <c r="BL2442">
        <v>0</v>
      </c>
      <c r="BO2442">
        <v>0</v>
      </c>
      <c r="BP2442">
        <v>0</v>
      </c>
      <c r="BW2442" t="str">
        <f t="shared" si="1151"/>
        <v>14:45:28.734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343</v>
      </c>
      <c r="CR2442">
        <v>1</v>
      </c>
      <c r="CW2442">
        <v>10787026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1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si="1148"/>
        <v>05/12/2020 14:45:10.891</v>
      </c>
      <c r="C2443" t="str">
        <f t="shared" si="1127"/>
        <v>FFDFD3C0</v>
      </c>
      <c r="D2443" t="s">
        <v>138</v>
      </c>
      <c r="E2443">
        <v>3</v>
      </c>
      <c r="H2443">
        <v>9</v>
      </c>
      <c r="I2443" t="s">
        <v>140</v>
      </c>
      <c r="J2443" t="s">
        <v>136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"14:45:28.734"</f>
        <v>14:45:28.734</v>
      </c>
      <c r="T2443" t="str">
        <f>"14:45:28.334"</f>
        <v>14:45:28.334</v>
      </c>
      <c r="U2443" t="str">
        <f t="shared" si="1147"/>
        <v>A9808D</v>
      </c>
      <c r="V2443">
        <v>0</v>
      </c>
      <c r="W2443">
        <v>0</v>
      </c>
      <c r="X2443">
        <v>1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0</v>
      </c>
      <c r="AI2443" t="s">
        <v>610</v>
      </c>
      <c r="AJ2443">
        <v>28.254175</v>
      </c>
      <c r="AK2443" t="s">
        <v>611</v>
      </c>
      <c r="AL2443">
        <v>-82.32826</v>
      </c>
      <c r="AM2443">
        <v>100</v>
      </c>
      <c r="AN2443">
        <v>2300</v>
      </c>
      <c r="AO2443" t="s">
        <v>118</v>
      </c>
      <c r="AP2443">
        <v>93</v>
      </c>
      <c r="AQ2443">
        <v>-44</v>
      </c>
      <c r="AR2443">
        <v>192</v>
      </c>
      <c r="AZ2443">
        <v>1200</v>
      </c>
      <c r="BA2443">
        <v>1</v>
      </c>
      <c r="BB2443" t="str">
        <f t="shared" si="1130"/>
        <v xml:space="preserve">N711JA  </v>
      </c>
      <c r="BC2443">
        <v>1</v>
      </c>
      <c r="BE2443">
        <v>0</v>
      </c>
      <c r="BF2443">
        <v>0</v>
      </c>
      <c r="BG2443">
        <v>0</v>
      </c>
      <c r="BH2443">
        <v>2375</v>
      </c>
      <c r="BI2443">
        <v>1</v>
      </c>
      <c r="BJ2443">
        <v>1</v>
      </c>
      <c r="BK2443">
        <v>0</v>
      </c>
      <c r="BL2443">
        <v>0</v>
      </c>
      <c r="BO2443">
        <v>0</v>
      </c>
      <c r="BP2443">
        <v>0</v>
      </c>
      <c r="BW2443" t="str">
        <f t="shared" si="1151"/>
        <v>14:45:28.734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56</v>
      </c>
      <c r="CR2443">
        <v>2</v>
      </c>
      <c r="CW2443">
        <v>4860131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1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ref="A2444:A2452" si="1152">"05/12/2020 14:45:11.944"</f>
        <v>05/12/2020 14:45:11.944</v>
      </c>
      <c r="C2444" t="str">
        <f t="shared" si="1127"/>
        <v>FFDFD3C0</v>
      </c>
      <c r="D2444" t="s">
        <v>138</v>
      </c>
      <c r="E2444">
        <v>3</v>
      </c>
      <c r="H2444">
        <v>9</v>
      </c>
      <c r="I2444" t="s">
        <v>140</v>
      </c>
      <c r="J2444" t="s">
        <v>136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ref="S2444:S2452" si="1153">"14:45:29.758"</f>
        <v>14:45:29.758</v>
      </c>
      <c r="T2444" t="str">
        <f t="shared" ref="T2444:T2452" si="1154">"14:45:29.358"</f>
        <v>14:45:29.358</v>
      </c>
      <c r="U2444" t="str">
        <f t="shared" si="1147"/>
        <v>A9808D</v>
      </c>
      <c r="V2444">
        <v>0</v>
      </c>
      <c r="W2444">
        <v>0</v>
      </c>
      <c r="X2444">
        <v>1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0</v>
      </c>
      <c r="AI2444" t="s">
        <v>612</v>
      </c>
      <c r="AJ2444">
        <v>28.254003999999998</v>
      </c>
      <c r="AK2444" t="s">
        <v>613</v>
      </c>
      <c r="AL2444">
        <v>-82.327724000000003</v>
      </c>
      <c r="AM2444">
        <v>100</v>
      </c>
      <c r="AN2444">
        <v>2300</v>
      </c>
      <c r="AO2444" t="s">
        <v>118</v>
      </c>
      <c r="AP2444">
        <v>94</v>
      </c>
      <c r="AQ2444">
        <v>-43</v>
      </c>
      <c r="AR2444">
        <v>256</v>
      </c>
      <c r="AZ2444">
        <v>1200</v>
      </c>
      <c r="BA2444">
        <v>1</v>
      </c>
      <c r="BB2444" t="str">
        <f t="shared" si="1130"/>
        <v xml:space="preserve">N711JA  </v>
      </c>
      <c r="BC2444">
        <v>1</v>
      </c>
      <c r="BE2444">
        <v>0</v>
      </c>
      <c r="BF2444">
        <v>0</v>
      </c>
      <c r="BG2444">
        <v>0</v>
      </c>
      <c r="BH2444">
        <v>2400</v>
      </c>
      <c r="BI2444">
        <v>1</v>
      </c>
      <c r="BJ2444">
        <v>1</v>
      </c>
      <c r="BK2444">
        <v>0</v>
      </c>
      <c r="BL2444">
        <v>0</v>
      </c>
      <c r="BO2444">
        <v>0</v>
      </c>
      <c r="BP2444">
        <v>0</v>
      </c>
      <c r="BW2444" t="str">
        <f t="shared" ref="BW2444:BW2452" si="1155">"14:45:29.760"</f>
        <v>14:45:29.760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343</v>
      </c>
      <c r="CR2444">
        <v>2</v>
      </c>
      <c r="CW2444">
        <v>13138359</v>
      </c>
      <c r="CY2444">
        <v>1</v>
      </c>
      <c r="CZ2444">
        <v>0</v>
      </c>
      <c r="DA2444">
        <v>0</v>
      </c>
      <c r="DB2444">
        <v>0</v>
      </c>
      <c r="DC2444">
        <v>0</v>
      </c>
      <c r="DD2444">
        <v>1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 t="shared" si="1152"/>
        <v>05/12/2020 14:45:11.944</v>
      </c>
      <c r="C2445" t="str">
        <f t="shared" si="1127"/>
        <v>FFDFD3C0</v>
      </c>
      <c r="D2445" t="s">
        <v>126</v>
      </c>
      <c r="E2445">
        <v>7</v>
      </c>
      <c r="F2445">
        <v>1007</v>
      </c>
      <c r="G2445" t="s">
        <v>127</v>
      </c>
      <c r="J2445" t="s">
        <v>128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153"/>
        <v>14:45:29.758</v>
      </c>
      <c r="T2445" t="str">
        <f t="shared" si="1154"/>
        <v>14:45:29.358</v>
      </c>
      <c r="U2445" t="str">
        <f t="shared" si="1147"/>
        <v>A9808D</v>
      </c>
      <c r="V2445">
        <v>0</v>
      </c>
      <c r="W2445">
        <v>0</v>
      </c>
      <c r="X2445">
        <v>1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0</v>
      </c>
      <c r="AI2445" t="s">
        <v>612</v>
      </c>
      <c r="AJ2445">
        <v>28.254003999999998</v>
      </c>
      <c r="AK2445" t="s">
        <v>613</v>
      </c>
      <c r="AL2445">
        <v>-82.327724000000003</v>
      </c>
      <c r="AM2445">
        <v>100</v>
      </c>
      <c r="AN2445">
        <v>2300</v>
      </c>
      <c r="AO2445" t="s">
        <v>118</v>
      </c>
      <c r="AP2445">
        <v>94</v>
      </c>
      <c r="AQ2445">
        <v>-43</v>
      </c>
      <c r="AR2445">
        <v>256</v>
      </c>
      <c r="AZ2445">
        <v>1200</v>
      </c>
      <c r="BA2445">
        <v>1</v>
      </c>
      <c r="BB2445" t="str">
        <f t="shared" si="1130"/>
        <v xml:space="preserve">N711JA  </v>
      </c>
      <c r="BC2445">
        <v>1</v>
      </c>
      <c r="BE2445">
        <v>0</v>
      </c>
      <c r="BF2445">
        <v>0</v>
      </c>
      <c r="BG2445">
        <v>0</v>
      </c>
      <c r="BH2445">
        <v>2400</v>
      </c>
      <c r="BI2445">
        <v>1</v>
      </c>
      <c r="BJ2445">
        <v>1</v>
      </c>
      <c r="BK2445">
        <v>0</v>
      </c>
      <c r="BL2445">
        <v>0</v>
      </c>
      <c r="BO2445">
        <v>0</v>
      </c>
      <c r="BP2445">
        <v>0</v>
      </c>
      <c r="BW2445" t="str">
        <f t="shared" si="1155"/>
        <v>14:45:29.760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343</v>
      </c>
      <c r="CR2445">
        <v>2</v>
      </c>
      <c r="CW2445">
        <v>13138359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1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 t="shared" si="1152"/>
        <v>05/12/2020 14:45:11.944</v>
      </c>
      <c r="C2446" t="str">
        <f t="shared" si="1127"/>
        <v>FFDFD3C0</v>
      </c>
      <c r="D2446" t="s">
        <v>131</v>
      </c>
      <c r="E2446">
        <v>10</v>
      </c>
      <c r="F2446">
        <v>2010</v>
      </c>
      <c r="G2446" t="s">
        <v>132</v>
      </c>
      <c r="J2446" t="s">
        <v>133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153"/>
        <v>14:45:29.758</v>
      </c>
      <c r="T2446" t="str">
        <f t="shared" si="1154"/>
        <v>14:45:29.358</v>
      </c>
      <c r="U2446" t="str">
        <f t="shared" si="1147"/>
        <v>A9808D</v>
      </c>
      <c r="V2446">
        <v>0</v>
      </c>
      <c r="W2446">
        <v>0</v>
      </c>
      <c r="X2446">
        <v>1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0</v>
      </c>
      <c r="AI2446" t="s">
        <v>612</v>
      </c>
      <c r="AJ2446">
        <v>28.254003999999998</v>
      </c>
      <c r="AK2446" t="s">
        <v>613</v>
      </c>
      <c r="AL2446">
        <v>-82.327724000000003</v>
      </c>
      <c r="AM2446">
        <v>100</v>
      </c>
      <c r="AN2446">
        <v>2300</v>
      </c>
      <c r="AO2446" t="s">
        <v>118</v>
      </c>
      <c r="AP2446">
        <v>94</v>
      </c>
      <c r="AQ2446">
        <v>-43</v>
      </c>
      <c r="AR2446">
        <v>256</v>
      </c>
      <c r="AZ2446">
        <v>1200</v>
      </c>
      <c r="BA2446">
        <v>1</v>
      </c>
      <c r="BB2446" t="str">
        <f t="shared" si="1130"/>
        <v xml:space="preserve">N711JA  </v>
      </c>
      <c r="BC2446">
        <v>1</v>
      </c>
      <c r="BE2446">
        <v>0</v>
      </c>
      <c r="BF2446">
        <v>0</v>
      </c>
      <c r="BG2446">
        <v>0</v>
      </c>
      <c r="BH2446">
        <v>2400</v>
      </c>
      <c r="BI2446">
        <v>1</v>
      </c>
      <c r="BJ2446">
        <v>1</v>
      </c>
      <c r="BK2446">
        <v>0</v>
      </c>
      <c r="BL2446">
        <v>0</v>
      </c>
      <c r="BO2446">
        <v>0</v>
      </c>
      <c r="BP2446">
        <v>0</v>
      </c>
      <c r="BW2446" t="str">
        <f t="shared" si="1155"/>
        <v>14:45:29.760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343</v>
      </c>
      <c r="CR2446">
        <v>2</v>
      </c>
      <c r="CW2446">
        <v>13138359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1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 t="shared" si="1152"/>
        <v>05/12/2020 14:45:11.944</v>
      </c>
      <c r="C2447" t="str">
        <f t="shared" si="1127"/>
        <v>FFDFD3C0</v>
      </c>
      <c r="D2447" t="s">
        <v>131</v>
      </c>
      <c r="E2447">
        <v>12</v>
      </c>
      <c r="F2447">
        <v>2012</v>
      </c>
      <c r="G2447" t="s">
        <v>137</v>
      </c>
      <c r="J2447" t="s">
        <v>133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153"/>
        <v>14:45:29.758</v>
      </c>
      <c r="T2447" t="str">
        <f t="shared" si="1154"/>
        <v>14:45:29.358</v>
      </c>
      <c r="U2447" t="str">
        <f t="shared" si="1147"/>
        <v>A9808D</v>
      </c>
      <c r="V2447">
        <v>0</v>
      </c>
      <c r="W2447">
        <v>0</v>
      </c>
      <c r="X2447">
        <v>1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0</v>
      </c>
      <c r="AI2447" t="s">
        <v>612</v>
      </c>
      <c r="AJ2447">
        <v>28.254003999999998</v>
      </c>
      <c r="AK2447" t="s">
        <v>613</v>
      </c>
      <c r="AL2447">
        <v>-82.327724000000003</v>
      </c>
      <c r="AM2447">
        <v>100</v>
      </c>
      <c r="AN2447">
        <v>2300</v>
      </c>
      <c r="AO2447" t="s">
        <v>118</v>
      </c>
      <c r="AP2447">
        <v>94</v>
      </c>
      <c r="AQ2447">
        <v>-43</v>
      </c>
      <c r="AR2447">
        <v>256</v>
      </c>
      <c r="AZ2447">
        <v>1200</v>
      </c>
      <c r="BA2447">
        <v>1</v>
      </c>
      <c r="BB2447" t="str">
        <f t="shared" si="1130"/>
        <v xml:space="preserve">N711JA  </v>
      </c>
      <c r="BC2447">
        <v>1</v>
      </c>
      <c r="BE2447">
        <v>0</v>
      </c>
      <c r="BF2447">
        <v>0</v>
      </c>
      <c r="BG2447">
        <v>0</v>
      </c>
      <c r="BH2447">
        <v>2400</v>
      </c>
      <c r="BI2447">
        <v>1</v>
      </c>
      <c r="BJ2447">
        <v>1</v>
      </c>
      <c r="BK2447">
        <v>0</v>
      </c>
      <c r="BL2447">
        <v>0</v>
      </c>
      <c r="BO2447">
        <v>0</v>
      </c>
      <c r="BP2447">
        <v>0</v>
      </c>
      <c r="BW2447" t="str">
        <f t="shared" si="1155"/>
        <v>14:45:29.760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343</v>
      </c>
      <c r="CR2447">
        <v>2</v>
      </c>
      <c r="CW2447">
        <v>13138359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1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 t="shared" si="1152"/>
        <v>05/12/2020 14:45:11.944</v>
      </c>
      <c r="C2448" t="str">
        <f t="shared" si="1127"/>
        <v>FFDFD3C0</v>
      </c>
      <c r="D2448" t="s">
        <v>131</v>
      </c>
      <c r="E2448">
        <v>18</v>
      </c>
      <c r="F2448">
        <v>2018</v>
      </c>
      <c r="G2448" t="s">
        <v>161</v>
      </c>
      <c r="J2448" t="s">
        <v>133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153"/>
        <v>14:45:29.758</v>
      </c>
      <c r="T2448" t="str">
        <f t="shared" si="1154"/>
        <v>14:45:29.358</v>
      </c>
      <c r="U2448" t="str">
        <f t="shared" si="1147"/>
        <v>A9808D</v>
      </c>
      <c r="V2448">
        <v>0</v>
      </c>
      <c r="W2448">
        <v>0</v>
      </c>
      <c r="X2448">
        <v>1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0</v>
      </c>
      <c r="AI2448" t="s">
        <v>612</v>
      </c>
      <c r="AJ2448">
        <v>28.254003999999998</v>
      </c>
      <c r="AK2448" t="s">
        <v>613</v>
      </c>
      <c r="AL2448">
        <v>-82.327724000000003</v>
      </c>
      <c r="AM2448">
        <v>100</v>
      </c>
      <c r="AN2448">
        <v>2300</v>
      </c>
      <c r="AO2448" t="s">
        <v>118</v>
      </c>
      <c r="AP2448">
        <v>94</v>
      </c>
      <c r="AQ2448">
        <v>-43</v>
      </c>
      <c r="AR2448">
        <v>256</v>
      </c>
      <c r="AZ2448">
        <v>1200</v>
      </c>
      <c r="BA2448">
        <v>1</v>
      </c>
      <c r="BB2448" t="str">
        <f t="shared" si="1130"/>
        <v xml:space="preserve">N711JA  </v>
      </c>
      <c r="BC2448">
        <v>1</v>
      </c>
      <c r="BE2448">
        <v>0</v>
      </c>
      <c r="BF2448">
        <v>0</v>
      </c>
      <c r="BG2448">
        <v>0</v>
      </c>
      <c r="BH2448">
        <v>2400</v>
      </c>
      <c r="BI2448">
        <v>1</v>
      </c>
      <c r="BJ2448">
        <v>1</v>
      </c>
      <c r="BK2448">
        <v>0</v>
      </c>
      <c r="BL2448">
        <v>0</v>
      </c>
      <c r="BO2448">
        <v>0</v>
      </c>
      <c r="BP2448">
        <v>0</v>
      </c>
      <c r="BW2448" t="str">
        <f t="shared" si="1155"/>
        <v>14:45:29.760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343</v>
      </c>
      <c r="CR2448">
        <v>2</v>
      </c>
      <c r="CW2448">
        <v>13138359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1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 t="shared" si="1152"/>
        <v>05/12/2020 14:45:11.944</v>
      </c>
      <c r="C2449" t="str">
        <f t="shared" si="1127"/>
        <v>FFDFD3C0</v>
      </c>
      <c r="D2449" t="s">
        <v>126</v>
      </c>
      <c r="E2449">
        <v>6</v>
      </c>
      <c r="F2449">
        <v>1006</v>
      </c>
      <c r="G2449" t="s">
        <v>114</v>
      </c>
      <c r="J2449" t="s">
        <v>128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153"/>
        <v>14:45:29.758</v>
      </c>
      <c r="T2449" t="str">
        <f t="shared" si="1154"/>
        <v>14:45:29.358</v>
      </c>
      <c r="U2449" t="str">
        <f t="shared" si="1147"/>
        <v>A9808D</v>
      </c>
      <c r="V2449">
        <v>0</v>
      </c>
      <c r="W2449">
        <v>0</v>
      </c>
      <c r="X2449">
        <v>1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0</v>
      </c>
      <c r="AI2449" t="s">
        <v>612</v>
      </c>
      <c r="AJ2449">
        <v>28.254003999999998</v>
      </c>
      <c r="AK2449" t="s">
        <v>613</v>
      </c>
      <c r="AL2449">
        <v>-82.327724000000003</v>
      </c>
      <c r="AM2449">
        <v>100</v>
      </c>
      <c r="AN2449">
        <v>2300</v>
      </c>
      <c r="AO2449" t="s">
        <v>118</v>
      </c>
      <c r="AP2449">
        <v>94</v>
      </c>
      <c r="AQ2449">
        <v>-43</v>
      </c>
      <c r="AR2449">
        <v>256</v>
      </c>
      <c r="AZ2449">
        <v>1200</v>
      </c>
      <c r="BA2449">
        <v>1</v>
      </c>
      <c r="BB2449" t="str">
        <f t="shared" si="1130"/>
        <v xml:space="preserve">N711JA  </v>
      </c>
      <c r="BC2449">
        <v>1</v>
      </c>
      <c r="BE2449">
        <v>0</v>
      </c>
      <c r="BF2449">
        <v>0</v>
      </c>
      <c r="BG2449">
        <v>0</v>
      </c>
      <c r="BH2449">
        <v>2400</v>
      </c>
      <c r="BI2449">
        <v>1</v>
      </c>
      <c r="BJ2449">
        <v>1</v>
      </c>
      <c r="BK2449">
        <v>0</v>
      </c>
      <c r="BL2449">
        <v>0</v>
      </c>
      <c r="BO2449">
        <v>0</v>
      </c>
      <c r="BP2449">
        <v>0</v>
      </c>
      <c r="BW2449" t="str">
        <f t="shared" si="1155"/>
        <v>14:45:29.760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343</v>
      </c>
      <c r="CR2449">
        <v>2</v>
      </c>
      <c r="CW2449">
        <v>13138359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1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 t="shared" si="1152"/>
        <v>05/12/2020 14:45:11.944</v>
      </c>
      <c r="C2450" t="str">
        <f t="shared" si="1127"/>
        <v>FFDFD3C0</v>
      </c>
      <c r="D2450" t="s">
        <v>138</v>
      </c>
      <c r="E2450">
        <v>2</v>
      </c>
      <c r="H2450">
        <v>8</v>
      </c>
      <c r="I2450" t="s">
        <v>139</v>
      </c>
      <c r="J2450" t="s">
        <v>136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153"/>
        <v>14:45:29.758</v>
      </c>
      <c r="T2450" t="str">
        <f t="shared" si="1154"/>
        <v>14:45:29.358</v>
      </c>
      <c r="U2450" t="str">
        <f t="shared" si="1147"/>
        <v>A9808D</v>
      </c>
      <c r="V2450">
        <v>0</v>
      </c>
      <c r="W2450">
        <v>0</v>
      </c>
      <c r="X2450">
        <v>1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0</v>
      </c>
      <c r="AI2450" t="s">
        <v>612</v>
      </c>
      <c r="AJ2450">
        <v>28.254003999999998</v>
      </c>
      <c r="AK2450" t="s">
        <v>613</v>
      </c>
      <c r="AL2450">
        <v>-82.327724000000003</v>
      </c>
      <c r="AM2450">
        <v>100</v>
      </c>
      <c r="AN2450">
        <v>2300</v>
      </c>
      <c r="AO2450" t="s">
        <v>118</v>
      </c>
      <c r="AP2450">
        <v>94</v>
      </c>
      <c r="AQ2450">
        <v>-43</v>
      </c>
      <c r="AR2450">
        <v>256</v>
      </c>
      <c r="AZ2450">
        <v>1200</v>
      </c>
      <c r="BA2450">
        <v>1</v>
      </c>
      <c r="BB2450" t="str">
        <f t="shared" si="1130"/>
        <v xml:space="preserve">N711JA  </v>
      </c>
      <c r="BC2450">
        <v>1</v>
      </c>
      <c r="BE2450">
        <v>0</v>
      </c>
      <c r="BF2450">
        <v>0</v>
      </c>
      <c r="BG2450">
        <v>0</v>
      </c>
      <c r="BH2450">
        <v>2400</v>
      </c>
      <c r="BI2450">
        <v>1</v>
      </c>
      <c r="BJ2450">
        <v>1</v>
      </c>
      <c r="BK2450">
        <v>0</v>
      </c>
      <c r="BL2450">
        <v>0</v>
      </c>
      <c r="BO2450">
        <v>0</v>
      </c>
      <c r="BP2450">
        <v>0</v>
      </c>
      <c r="BW2450" t="str">
        <f t="shared" si="1155"/>
        <v>14:45:29.760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343</v>
      </c>
      <c r="CR2450">
        <v>2</v>
      </c>
      <c r="CW2450">
        <v>13138359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1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 t="shared" si="1152"/>
        <v>05/12/2020 14:45:11.944</v>
      </c>
      <c r="C2451" t="str">
        <f t="shared" si="1127"/>
        <v>FFDFD3C0</v>
      </c>
      <c r="D2451" t="s">
        <v>113</v>
      </c>
      <c r="E2451">
        <v>3</v>
      </c>
      <c r="H2451">
        <v>164</v>
      </c>
      <c r="I2451" t="s">
        <v>114</v>
      </c>
      <c r="J2451" t="s">
        <v>115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153"/>
        <v>14:45:29.758</v>
      </c>
      <c r="T2451" t="str">
        <f t="shared" si="1154"/>
        <v>14:45:29.358</v>
      </c>
      <c r="U2451" t="str">
        <f t="shared" si="1147"/>
        <v>A9808D</v>
      </c>
      <c r="V2451">
        <v>0</v>
      </c>
      <c r="W2451">
        <v>0</v>
      </c>
      <c r="X2451">
        <v>1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0</v>
      </c>
      <c r="AI2451" t="s">
        <v>612</v>
      </c>
      <c r="AJ2451">
        <v>28.254003999999998</v>
      </c>
      <c r="AK2451" t="s">
        <v>613</v>
      </c>
      <c r="AL2451">
        <v>-82.327724000000003</v>
      </c>
      <c r="AM2451">
        <v>100</v>
      </c>
      <c r="AN2451">
        <v>2300</v>
      </c>
      <c r="AO2451" t="s">
        <v>118</v>
      </c>
      <c r="AP2451">
        <v>94</v>
      </c>
      <c r="AQ2451">
        <v>-43</v>
      </c>
      <c r="AR2451">
        <v>256</v>
      </c>
      <c r="AZ2451">
        <v>1200</v>
      </c>
      <c r="BA2451">
        <v>1</v>
      </c>
      <c r="BB2451" t="str">
        <f t="shared" si="1130"/>
        <v xml:space="preserve">N711JA  </v>
      </c>
      <c r="BC2451">
        <v>1</v>
      </c>
      <c r="BE2451">
        <v>0</v>
      </c>
      <c r="BF2451">
        <v>0</v>
      </c>
      <c r="BG2451">
        <v>0</v>
      </c>
      <c r="BH2451">
        <v>2400</v>
      </c>
      <c r="BI2451">
        <v>1</v>
      </c>
      <c r="BJ2451">
        <v>1</v>
      </c>
      <c r="BK2451">
        <v>0</v>
      </c>
      <c r="BL2451">
        <v>0</v>
      </c>
      <c r="BO2451">
        <v>0</v>
      </c>
      <c r="BP2451">
        <v>0</v>
      </c>
      <c r="BW2451" t="str">
        <f t="shared" si="1155"/>
        <v>14:45:29.760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343</v>
      </c>
      <c r="CR2451">
        <v>2</v>
      </c>
      <c r="CW2451">
        <v>13138359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1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 t="shared" si="1152"/>
        <v>05/12/2020 14:45:11.944</v>
      </c>
      <c r="C2452" t="str">
        <f t="shared" si="1127"/>
        <v>FFDFD3C0</v>
      </c>
      <c r="D2452" t="s">
        <v>134</v>
      </c>
      <c r="E2452">
        <v>12</v>
      </c>
      <c r="H2452">
        <v>64</v>
      </c>
      <c r="I2452" t="s">
        <v>135</v>
      </c>
      <c r="J2452" t="s">
        <v>136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153"/>
        <v>14:45:29.758</v>
      </c>
      <c r="T2452" t="str">
        <f t="shared" si="1154"/>
        <v>14:45:29.358</v>
      </c>
      <c r="U2452" t="str">
        <f t="shared" si="1147"/>
        <v>A9808D</v>
      </c>
      <c r="V2452">
        <v>0</v>
      </c>
      <c r="W2452">
        <v>0</v>
      </c>
      <c r="X2452">
        <v>1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0</v>
      </c>
      <c r="AI2452" t="s">
        <v>612</v>
      </c>
      <c r="AJ2452">
        <v>28.254003999999998</v>
      </c>
      <c r="AK2452" t="s">
        <v>613</v>
      </c>
      <c r="AL2452">
        <v>-82.327724000000003</v>
      </c>
      <c r="AM2452">
        <v>100</v>
      </c>
      <c r="AN2452">
        <v>2300</v>
      </c>
      <c r="AO2452" t="s">
        <v>118</v>
      </c>
      <c r="AP2452">
        <v>94</v>
      </c>
      <c r="AQ2452">
        <v>-43</v>
      </c>
      <c r="AR2452">
        <v>256</v>
      </c>
      <c r="AZ2452">
        <v>1200</v>
      </c>
      <c r="BA2452">
        <v>1</v>
      </c>
      <c r="BB2452" t="str">
        <f t="shared" si="1130"/>
        <v xml:space="preserve">N711JA  </v>
      </c>
      <c r="BC2452">
        <v>1</v>
      </c>
      <c r="BE2452">
        <v>0</v>
      </c>
      <c r="BF2452">
        <v>0</v>
      </c>
      <c r="BG2452">
        <v>0</v>
      </c>
      <c r="BH2452">
        <v>2400</v>
      </c>
      <c r="BI2452">
        <v>1</v>
      </c>
      <c r="BJ2452">
        <v>1</v>
      </c>
      <c r="BK2452">
        <v>0</v>
      </c>
      <c r="BL2452">
        <v>0</v>
      </c>
      <c r="BO2452">
        <v>0</v>
      </c>
      <c r="BP2452">
        <v>0</v>
      </c>
      <c r="BW2452" t="str">
        <f t="shared" si="1155"/>
        <v>14:45:29.760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343</v>
      </c>
      <c r="CR2452">
        <v>2</v>
      </c>
      <c r="CW2452">
        <v>13138359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1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 t="shared" ref="A2453:A2461" si="1156">"05/12/2020 14:45:12.982"</f>
        <v>05/12/2020 14:45:12.982</v>
      </c>
      <c r="C2453" t="str">
        <f t="shared" si="1127"/>
        <v>FFDFD3C0</v>
      </c>
      <c r="D2453" t="s">
        <v>138</v>
      </c>
      <c r="E2453">
        <v>2</v>
      </c>
      <c r="H2453">
        <v>8</v>
      </c>
      <c r="I2453" t="s">
        <v>139</v>
      </c>
      <c r="J2453" t="s">
        <v>136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ref="S2453:S2461" si="1157">"14:45:30.813"</f>
        <v>14:45:30.813</v>
      </c>
      <c r="T2453" t="str">
        <f t="shared" ref="T2453:T2461" si="1158">"14:45:30.713"</f>
        <v>14:45:30.713</v>
      </c>
      <c r="U2453" t="str">
        <f t="shared" si="1147"/>
        <v>A9808D</v>
      </c>
      <c r="V2453">
        <v>0</v>
      </c>
      <c r="W2453">
        <v>0</v>
      </c>
      <c r="X2453">
        <v>1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0</v>
      </c>
      <c r="AI2453" t="s">
        <v>614</v>
      </c>
      <c r="AJ2453">
        <v>28.253767</v>
      </c>
      <c r="AK2453" t="s">
        <v>615</v>
      </c>
      <c r="AL2453">
        <v>-82.327186999999995</v>
      </c>
      <c r="AM2453">
        <v>100</v>
      </c>
      <c r="AN2453">
        <v>2300</v>
      </c>
      <c r="AO2453" t="s">
        <v>118</v>
      </c>
      <c r="AP2453">
        <v>94</v>
      </c>
      <c r="AQ2453">
        <v>-42</v>
      </c>
      <c r="AR2453">
        <v>256</v>
      </c>
      <c r="AZ2453">
        <v>1200</v>
      </c>
      <c r="BA2453">
        <v>1</v>
      </c>
      <c r="BB2453" t="str">
        <f t="shared" si="1130"/>
        <v xml:space="preserve">N711JA  </v>
      </c>
      <c r="BC2453">
        <v>1</v>
      </c>
      <c r="BE2453">
        <v>0</v>
      </c>
      <c r="BF2453">
        <v>0</v>
      </c>
      <c r="BG2453">
        <v>0</v>
      </c>
      <c r="BH2453">
        <v>2400</v>
      </c>
      <c r="BI2453">
        <v>1</v>
      </c>
      <c r="BJ2453">
        <v>1</v>
      </c>
      <c r="BK2453">
        <v>0</v>
      </c>
      <c r="BL2453">
        <v>0</v>
      </c>
      <c r="BO2453">
        <v>0</v>
      </c>
      <c r="BP2453">
        <v>0</v>
      </c>
      <c r="BW2453" t="str">
        <f t="shared" ref="BW2453:BW2461" si="1159">"14:45:30.820"</f>
        <v>14:45:30.820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56</v>
      </c>
      <c r="CR2453">
        <v>2</v>
      </c>
      <c r="CW2453">
        <v>4862779</v>
      </c>
      <c r="CY2453">
        <v>1</v>
      </c>
      <c r="CZ2453">
        <v>0</v>
      </c>
      <c r="DA2453">
        <v>0</v>
      </c>
      <c r="DB2453">
        <v>0</v>
      </c>
      <c r="DC2453">
        <v>0</v>
      </c>
      <c r="DD2453">
        <v>1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 t="shared" si="1156"/>
        <v>05/12/2020 14:45:12.982</v>
      </c>
      <c r="C2454" t="str">
        <f t="shared" ref="C2454:C2517" si="1160">"FFDFD3C0"</f>
        <v>FFDFD3C0</v>
      </c>
      <c r="D2454" t="s">
        <v>134</v>
      </c>
      <c r="E2454">
        <v>12</v>
      </c>
      <c r="H2454">
        <v>64</v>
      </c>
      <c r="I2454" t="s">
        <v>135</v>
      </c>
      <c r="J2454" t="s">
        <v>136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157"/>
        <v>14:45:30.813</v>
      </c>
      <c r="T2454" t="str">
        <f t="shared" si="1158"/>
        <v>14:45:30.713</v>
      </c>
      <c r="U2454" t="str">
        <f t="shared" si="1147"/>
        <v>A9808D</v>
      </c>
      <c r="V2454">
        <v>0</v>
      </c>
      <c r="W2454">
        <v>0</v>
      </c>
      <c r="X2454">
        <v>1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0</v>
      </c>
      <c r="AI2454" t="s">
        <v>614</v>
      </c>
      <c r="AJ2454">
        <v>28.253767</v>
      </c>
      <c r="AK2454" t="s">
        <v>615</v>
      </c>
      <c r="AL2454">
        <v>-82.327186999999995</v>
      </c>
      <c r="AM2454">
        <v>100</v>
      </c>
      <c r="AN2454">
        <v>2300</v>
      </c>
      <c r="AO2454" t="s">
        <v>118</v>
      </c>
      <c r="AP2454">
        <v>94</v>
      </c>
      <c r="AQ2454">
        <v>-42</v>
      </c>
      <c r="AR2454">
        <v>256</v>
      </c>
      <c r="AZ2454">
        <v>1200</v>
      </c>
      <c r="BA2454">
        <v>1</v>
      </c>
      <c r="BB2454" t="str">
        <f t="shared" ref="BB2454:BB2517" si="1161">"N711JA  "</f>
        <v xml:space="preserve">N711JA  </v>
      </c>
      <c r="BC2454">
        <v>1</v>
      </c>
      <c r="BE2454">
        <v>0</v>
      </c>
      <c r="BF2454">
        <v>0</v>
      </c>
      <c r="BG2454">
        <v>0</v>
      </c>
      <c r="BH2454">
        <v>2400</v>
      </c>
      <c r="BI2454">
        <v>1</v>
      </c>
      <c r="BJ2454">
        <v>1</v>
      </c>
      <c r="BK2454">
        <v>0</v>
      </c>
      <c r="BL2454">
        <v>0</v>
      </c>
      <c r="BO2454">
        <v>0</v>
      </c>
      <c r="BP2454">
        <v>0</v>
      </c>
      <c r="BW2454" t="str">
        <f t="shared" si="1159"/>
        <v>14:45:30.820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343</v>
      </c>
      <c r="CR2454">
        <v>1</v>
      </c>
      <c r="CW2454">
        <v>10789183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1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 t="shared" si="1156"/>
        <v>05/12/2020 14:45:12.982</v>
      </c>
      <c r="C2455" t="str">
        <f t="shared" si="1160"/>
        <v>FFDFD3C0</v>
      </c>
      <c r="D2455" t="s">
        <v>113</v>
      </c>
      <c r="E2455">
        <v>3</v>
      </c>
      <c r="H2455">
        <v>164</v>
      </c>
      <c r="I2455" t="s">
        <v>114</v>
      </c>
      <c r="J2455" t="s">
        <v>115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157"/>
        <v>14:45:30.813</v>
      </c>
      <c r="T2455" t="str">
        <f t="shared" si="1158"/>
        <v>14:45:30.713</v>
      </c>
      <c r="U2455" t="str">
        <f t="shared" si="1147"/>
        <v>A9808D</v>
      </c>
      <c r="V2455">
        <v>0</v>
      </c>
      <c r="W2455">
        <v>0</v>
      </c>
      <c r="X2455">
        <v>1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0</v>
      </c>
      <c r="AI2455" t="s">
        <v>614</v>
      </c>
      <c r="AJ2455">
        <v>28.253767</v>
      </c>
      <c r="AK2455" t="s">
        <v>615</v>
      </c>
      <c r="AL2455">
        <v>-82.327186999999995</v>
      </c>
      <c r="AM2455">
        <v>100</v>
      </c>
      <c r="AN2455">
        <v>2300</v>
      </c>
      <c r="AO2455" t="s">
        <v>118</v>
      </c>
      <c r="AP2455">
        <v>94</v>
      </c>
      <c r="AQ2455">
        <v>-42</v>
      </c>
      <c r="AR2455">
        <v>256</v>
      </c>
      <c r="AZ2455">
        <v>1200</v>
      </c>
      <c r="BA2455">
        <v>1</v>
      </c>
      <c r="BB2455" t="str">
        <f t="shared" si="1161"/>
        <v xml:space="preserve">N711JA  </v>
      </c>
      <c r="BC2455">
        <v>1</v>
      </c>
      <c r="BE2455">
        <v>0</v>
      </c>
      <c r="BF2455">
        <v>0</v>
      </c>
      <c r="BG2455">
        <v>0</v>
      </c>
      <c r="BH2455">
        <v>2400</v>
      </c>
      <c r="BI2455">
        <v>1</v>
      </c>
      <c r="BJ2455">
        <v>1</v>
      </c>
      <c r="BK2455">
        <v>0</v>
      </c>
      <c r="BL2455">
        <v>0</v>
      </c>
      <c r="BO2455">
        <v>0</v>
      </c>
      <c r="BP2455">
        <v>0</v>
      </c>
      <c r="BW2455" t="str">
        <f t="shared" si="1159"/>
        <v>14:45:30.820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56</v>
      </c>
      <c r="CR2455">
        <v>2</v>
      </c>
      <c r="CW2455">
        <v>4862779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1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 t="shared" si="1156"/>
        <v>05/12/2020 14:45:12.982</v>
      </c>
      <c r="C2456" t="str">
        <f t="shared" si="1160"/>
        <v>FFDFD3C0</v>
      </c>
      <c r="D2456" t="s">
        <v>126</v>
      </c>
      <c r="E2456">
        <v>7</v>
      </c>
      <c r="F2456">
        <v>1007</v>
      </c>
      <c r="G2456" t="s">
        <v>127</v>
      </c>
      <c r="J2456" t="s">
        <v>128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157"/>
        <v>14:45:30.813</v>
      </c>
      <c r="T2456" t="str">
        <f t="shared" si="1158"/>
        <v>14:45:30.713</v>
      </c>
      <c r="U2456" t="str">
        <f t="shared" si="1147"/>
        <v>A9808D</v>
      </c>
      <c r="V2456">
        <v>0</v>
      </c>
      <c r="W2456">
        <v>0</v>
      </c>
      <c r="X2456">
        <v>1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0</v>
      </c>
      <c r="AI2456" t="s">
        <v>614</v>
      </c>
      <c r="AJ2456">
        <v>28.253767</v>
      </c>
      <c r="AK2456" t="s">
        <v>615</v>
      </c>
      <c r="AL2456">
        <v>-82.327186999999995</v>
      </c>
      <c r="AM2456">
        <v>100</v>
      </c>
      <c r="AN2456">
        <v>2300</v>
      </c>
      <c r="AO2456" t="s">
        <v>118</v>
      </c>
      <c r="AP2456">
        <v>94</v>
      </c>
      <c r="AQ2456">
        <v>-42</v>
      </c>
      <c r="AR2456">
        <v>256</v>
      </c>
      <c r="AZ2456">
        <v>1200</v>
      </c>
      <c r="BA2456">
        <v>1</v>
      </c>
      <c r="BB2456" t="str">
        <f t="shared" si="1161"/>
        <v xml:space="preserve">N711JA  </v>
      </c>
      <c r="BC2456">
        <v>1</v>
      </c>
      <c r="BE2456">
        <v>0</v>
      </c>
      <c r="BF2456">
        <v>0</v>
      </c>
      <c r="BG2456">
        <v>0</v>
      </c>
      <c r="BH2456">
        <v>2400</v>
      </c>
      <c r="BI2456">
        <v>1</v>
      </c>
      <c r="BJ2456">
        <v>1</v>
      </c>
      <c r="BK2456">
        <v>0</v>
      </c>
      <c r="BL2456">
        <v>0</v>
      </c>
      <c r="BO2456">
        <v>0</v>
      </c>
      <c r="BP2456">
        <v>0</v>
      </c>
      <c r="BW2456" t="str">
        <f t="shared" si="1159"/>
        <v>14:45:30.820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56</v>
      </c>
      <c r="CR2456">
        <v>2</v>
      </c>
      <c r="CW2456">
        <v>4862779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1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 t="shared" si="1156"/>
        <v>05/12/2020 14:45:12.982</v>
      </c>
      <c r="C2457" t="str">
        <f t="shared" si="1160"/>
        <v>FFDFD3C0</v>
      </c>
      <c r="D2457" t="s">
        <v>131</v>
      </c>
      <c r="E2457">
        <v>10</v>
      </c>
      <c r="F2457">
        <v>2010</v>
      </c>
      <c r="G2457" t="s">
        <v>132</v>
      </c>
      <c r="J2457" t="s">
        <v>133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157"/>
        <v>14:45:30.813</v>
      </c>
      <c r="T2457" t="str">
        <f t="shared" si="1158"/>
        <v>14:45:30.713</v>
      </c>
      <c r="U2457" t="str">
        <f t="shared" si="1147"/>
        <v>A9808D</v>
      </c>
      <c r="V2457">
        <v>0</v>
      </c>
      <c r="W2457">
        <v>0</v>
      </c>
      <c r="X2457">
        <v>1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0</v>
      </c>
      <c r="AI2457" t="s">
        <v>614</v>
      </c>
      <c r="AJ2457">
        <v>28.253767</v>
      </c>
      <c r="AK2457" t="s">
        <v>615</v>
      </c>
      <c r="AL2457">
        <v>-82.327186999999995</v>
      </c>
      <c r="AM2457">
        <v>100</v>
      </c>
      <c r="AN2457">
        <v>2300</v>
      </c>
      <c r="AO2457" t="s">
        <v>118</v>
      </c>
      <c r="AP2457">
        <v>94</v>
      </c>
      <c r="AQ2457">
        <v>-42</v>
      </c>
      <c r="AR2457">
        <v>256</v>
      </c>
      <c r="AZ2457">
        <v>1200</v>
      </c>
      <c r="BA2457">
        <v>1</v>
      </c>
      <c r="BB2457" t="str">
        <f t="shared" si="1161"/>
        <v xml:space="preserve">N711JA  </v>
      </c>
      <c r="BC2457">
        <v>1</v>
      </c>
      <c r="BE2457">
        <v>0</v>
      </c>
      <c r="BF2457">
        <v>0</v>
      </c>
      <c r="BG2457">
        <v>0</v>
      </c>
      <c r="BH2457">
        <v>2400</v>
      </c>
      <c r="BI2457">
        <v>1</v>
      </c>
      <c r="BJ2457">
        <v>1</v>
      </c>
      <c r="BK2457">
        <v>0</v>
      </c>
      <c r="BL2457">
        <v>0</v>
      </c>
      <c r="BO2457">
        <v>0</v>
      </c>
      <c r="BP2457">
        <v>0</v>
      </c>
      <c r="BW2457" t="str">
        <f t="shared" si="1159"/>
        <v>14:45:30.820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56</v>
      </c>
      <c r="CR2457">
        <v>2</v>
      </c>
      <c r="CW2457">
        <v>4862779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1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 t="shared" si="1156"/>
        <v>05/12/2020 14:45:12.982</v>
      </c>
      <c r="C2458" t="str">
        <f t="shared" si="1160"/>
        <v>FFDFD3C0</v>
      </c>
      <c r="D2458" t="s">
        <v>138</v>
      </c>
      <c r="E2458">
        <v>3</v>
      </c>
      <c r="H2458">
        <v>9</v>
      </c>
      <c r="I2458" t="s">
        <v>140</v>
      </c>
      <c r="J2458" t="s">
        <v>136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157"/>
        <v>14:45:30.813</v>
      </c>
      <c r="T2458" t="str">
        <f t="shared" si="1158"/>
        <v>14:45:30.713</v>
      </c>
      <c r="U2458" t="str">
        <f t="shared" si="1147"/>
        <v>A9808D</v>
      </c>
      <c r="V2458">
        <v>0</v>
      </c>
      <c r="W2458">
        <v>0</v>
      </c>
      <c r="X2458">
        <v>1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0</v>
      </c>
      <c r="AI2458" t="s">
        <v>614</v>
      </c>
      <c r="AJ2458">
        <v>28.253767</v>
      </c>
      <c r="AK2458" t="s">
        <v>615</v>
      </c>
      <c r="AL2458">
        <v>-82.327186999999995</v>
      </c>
      <c r="AM2458">
        <v>100</v>
      </c>
      <c r="AN2458">
        <v>2300</v>
      </c>
      <c r="AO2458" t="s">
        <v>118</v>
      </c>
      <c r="AP2458">
        <v>94</v>
      </c>
      <c r="AQ2458">
        <v>-42</v>
      </c>
      <c r="AR2458">
        <v>256</v>
      </c>
      <c r="AZ2458">
        <v>1200</v>
      </c>
      <c r="BA2458">
        <v>1</v>
      </c>
      <c r="BB2458" t="str">
        <f t="shared" si="1161"/>
        <v xml:space="preserve">N711JA  </v>
      </c>
      <c r="BC2458">
        <v>1</v>
      </c>
      <c r="BE2458">
        <v>0</v>
      </c>
      <c r="BF2458">
        <v>0</v>
      </c>
      <c r="BG2458">
        <v>0</v>
      </c>
      <c r="BH2458">
        <v>2400</v>
      </c>
      <c r="BI2458">
        <v>1</v>
      </c>
      <c r="BJ2458">
        <v>1</v>
      </c>
      <c r="BK2458">
        <v>0</v>
      </c>
      <c r="BL2458">
        <v>0</v>
      </c>
      <c r="BO2458">
        <v>0</v>
      </c>
      <c r="BP2458">
        <v>0</v>
      </c>
      <c r="BW2458" t="str">
        <f t="shared" si="1159"/>
        <v>14:45:30.820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56</v>
      </c>
      <c r="CR2458">
        <v>2</v>
      </c>
      <c r="CW2458">
        <v>4862779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1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 t="shared" si="1156"/>
        <v>05/12/2020 14:45:12.982</v>
      </c>
      <c r="C2459" t="str">
        <f t="shared" si="1160"/>
        <v>FFDFD3C0</v>
      </c>
      <c r="D2459" t="s">
        <v>131</v>
      </c>
      <c r="E2459">
        <v>12</v>
      </c>
      <c r="F2459">
        <v>2012</v>
      </c>
      <c r="G2459" t="s">
        <v>137</v>
      </c>
      <c r="J2459" t="s">
        <v>133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157"/>
        <v>14:45:30.813</v>
      </c>
      <c r="T2459" t="str">
        <f t="shared" si="1158"/>
        <v>14:45:30.713</v>
      </c>
      <c r="U2459" t="str">
        <f t="shared" si="1147"/>
        <v>A9808D</v>
      </c>
      <c r="V2459">
        <v>0</v>
      </c>
      <c r="W2459">
        <v>0</v>
      </c>
      <c r="X2459">
        <v>1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0</v>
      </c>
      <c r="AI2459" t="s">
        <v>614</v>
      </c>
      <c r="AJ2459">
        <v>28.253767</v>
      </c>
      <c r="AK2459" t="s">
        <v>615</v>
      </c>
      <c r="AL2459">
        <v>-82.327186999999995</v>
      </c>
      <c r="AM2459">
        <v>100</v>
      </c>
      <c r="AN2459">
        <v>2300</v>
      </c>
      <c r="AO2459" t="s">
        <v>118</v>
      </c>
      <c r="AP2459">
        <v>94</v>
      </c>
      <c r="AQ2459">
        <v>-42</v>
      </c>
      <c r="AR2459">
        <v>256</v>
      </c>
      <c r="AZ2459">
        <v>1200</v>
      </c>
      <c r="BA2459">
        <v>1</v>
      </c>
      <c r="BB2459" t="str">
        <f t="shared" si="1161"/>
        <v xml:space="preserve">N711JA  </v>
      </c>
      <c r="BC2459">
        <v>1</v>
      </c>
      <c r="BE2459">
        <v>0</v>
      </c>
      <c r="BF2459">
        <v>0</v>
      </c>
      <c r="BG2459">
        <v>0</v>
      </c>
      <c r="BH2459">
        <v>2400</v>
      </c>
      <c r="BI2459">
        <v>1</v>
      </c>
      <c r="BJ2459">
        <v>1</v>
      </c>
      <c r="BK2459">
        <v>0</v>
      </c>
      <c r="BL2459">
        <v>0</v>
      </c>
      <c r="BO2459">
        <v>0</v>
      </c>
      <c r="BP2459">
        <v>0</v>
      </c>
      <c r="BW2459" t="str">
        <f t="shared" si="1159"/>
        <v>14:45:30.820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56</v>
      </c>
      <c r="CR2459">
        <v>2</v>
      </c>
      <c r="CW2459">
        <v>4862779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1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 t="shared" si="1156"/>
        <v>05/12/2020 14:45:12.982</v>
      </c>
      <c r="C2460" t="str">
        <f t="shared" si="1160"/>
        <v>FFDFD3C0</v>
      </c>
      <c r="D2460" t="s">
        <v>131</v>
      </c>
      <c r="E2460">
        <v>18</v>
      </c>
      <c r="F2460">
        <v>2018</v>
      </c>
      <c r="G2460" t="s">
        <v>161</v>
      </c>
      <c r="J2460" t="s">
        <v>133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157"/>
        <v>14:45:30.813</v>
      </c>
      <c r="T2460" t="str">
        <f t="shared" si="1158"/>
        <v>14:45:30.713</v>
      </c>
      <c r="U2460" t="str">
        <f t="shared" si="1147"/>
        <v>A9808D</v>
      </c>
      <c r="V2460">
        <v>0</v>
      </c>
      <c r="W2460">
        <v>0</v>
      </c>
      <c r="X2460">
        <v>1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0</v>
      </c>
      <c r="AI2460" t="s">
        <v>614</v>
      </c>
      <c r="AJ2460">
        <v>28.253767</v>
      </c>
      <c r="AK2460" t="s">
        <v>615</v>
      </c>
      <c r="AL2460">
        <v>-82.327186999999995</v>
      </c>
      <c r="AM2460">
        <v>100</v>
      </c>
      <c r="AN2460">
        <v>2300</v>
      </c>
      <c r="AO2460" t="s">
        <v>118</v>
      </c>
      <c r="AP2460">
        <v>94</v>
      </c>
      <c r="AQ2460">
        <v>-42</v>
      </c>
      <c r="AR2460">
        <v>256</v>
      </c>
      <c r="AZ2460">
        <v>1200</v>
      </c>
      <c r="BA2460">
        <v>1</v>
      </c>
      <c r="BB2460" t="str">
        <f t="shared" si="1161"/>
        <v xml:space="preserve">N711JA  </v>
      </c>
      <c r="BC2460">
        <v>1</v>
      </c>
      <c r="BE2460">
        <v>0</v>
      </c>
      <c r="BF2460">
        <v>0</v>
      </c>
      <c r="BG2460">
        <v>0</v>
      </c>
      <c r="BH2460">
        <v>2400</v>
      </c>
      <c r="BI2460">
        <v>1</v>
      </c>
      <c r="BJ2460">
        <v>1</v>
      </c>
      <c r="BK2460">
        <v>0</v>
      </c>
      <c r="BL2460">
        <v>0</v>
      </c>
      <c r="BO2460">
        <v>0</v>
      </c>
      <c r="BP2460">
        <v>0</v>
      </c>
      <c r="BW2460" t="str">
        <f t="shared" si="1159"/>
        <v>14:45:30.820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56</v>
      </c>
      <c r="CR2460">
        <v>2</v>
      </c>
      <c r="CW2460">
        <v>4862779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1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 t="shared" si="1156"/>
        <v>05/12/2020 14:45:12.982</v>
      </c>
      <c r="C2461" t="str">
        <f t="shared" si="1160"/>
        <v>FFDFD3C0</v>
      </c>
      <c r="D2461" t="s">
        <v>126</v>
      </c>
      <c r="E2461">
        <v>6</v>
      </c>
      <c r="F2461">
        <v>1006</v>
      </c>
      <c r="G2461" t="s">
        <v>114</v>
      </c>
      <c r="J2461" t="s">
        <v>128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157"/>
        <v>14:45:30.813</v>
      </c>
      <c r="T2461" t="str">
        <f t="shared" si="1158"/>
        <v>14:45:30.713</v>
      </c>
      <c r="U2461" t="str">
        <f t="shared" si="1147"/>
        <v>A9808D</v>
      </c>
      <c r="V2461">
        <v>0</v>
      </c>
      <c r="W2461">
        <v>0</v>
      </c>
      <c r="X2461">
        <v>1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0</v>
      </c>
      <c r="AI2461" t="s">
        <v>614</v>
      </c>
      <c r="AJ2461">
        <v>28.253767</v>
      </c>
      <c r="AK2461" t="s">
        <v>615</v>
      </c>
      <c r="AL2461">
        <v>-82.327186999999995</v>
      </c>
      <c r="AM2461">
        <v>100</v>
      </c>
      <c r="AN2461">
        <v>2300</v>
      </c>
      <c r="AO2461" t="s">
        <v>118</v>
      </c>
      <c r="AP2461">
        <v>94</v>
      </c>
      <c r="AQ2461">
        <v>-42</v>
      </c>
      <c r="AR2461">
        <v>256</v>
      </c>
      <c r="AZ2461">
        <v>1200</v>
      </c>
      <c r="BA2461">
        <v>1</v>
      </c>
      <c r="BB2461" t="str">
        <f t="shared" si="1161"/>
        <v xml:space="preserve">N711JA  </v>
      </c>
      <c r="BC2461">
        <v>1</v>
      </c>
      <c r="BE2461">
        <v>0</v>
      </c>
      <c r="BF2461">
        <v>0</v>
      </c>
      <c r="BG2461">
        <v>0</v>
      </c>
      <c r="BH2461">
        <v>2400</v>
      </c>
      <c r="BI2461">
        <v>1</v>
      </c>
      <c r="BJ2461">
        <v>1</v>
      </c>
      <c r="BK2461">
        <v>0</v>
      </c>
      <c r="BL2461">
        <v>0</v>
      </c>
      <c r="BO2461">
        <v>0</v>
      </c>
      <c r="BP2461">
        <v>0</v>
      </c>
      <c r="BW2461" t="str">
        <f t="shared" si="1159"/>
        <v>14:45:30.820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56</v>
      </c>
      <c r="CR2461">
        <v>2</v>
      </c>
      <c r="CW2461">
        <v>4862779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1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 t="shared" ref="A2462:A2470" si="1162">"05/12/2020 14:45:13.994"</f>
        <v>05/12/2020 14:45:13.994</v>
      </c>
      <c r="C2462" t="str">
        <f t="shared" si="1160"/>
        <v>FFDFD3C0</v>
      </c>
      <c r="D2462" t="s">
        <v>138</v>
      </c>
      <c r="E2462">
        <v>2</v>
      </c>
      <c r="H2462">
        <v>8</v>
      </c>
      <c r="I2462" t="s">
        <v>139</v>
      </c>
      <c r="J2462" t="s">
        <v>136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ref="S2462:S2470" si="1163">"14:45:31.813"</f>
        <v>14:45:31.813</v>
      </c>
      <c r="T2462" t="str">
        <f t="shared" ref="T2462:T2470" si="1164">"14:45:31.713"</f>
        <v>14:45:31.713</v>
      </c>
      <c r="U2462" t="str">
        <f t="shared" si="1147"/>
        <v>A9808D</v>
      </c>
      <c r="V2462">
        <v>0</v>
      </c>
      <c r="W2462">
        <v>0</v>
      </c>
      <c r="X2462">
        <v>1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0</v>
      </c>
      <c r="AI2462" t="s">
        <v>257</v>
      </c>
      <c r="AJ2462">
        <v>28.253574</v>
      </c>
      <c r="AK2462" t="s">
        <v>616</v>
      </c>
      <c r="AL2462">
        <v>-82.326694000000003</v>
      </c>
      <c r="AM2462">
        <v>100</v>
      </c>
      <c r="AN2462">
        <v>2300</v>
      </c>
      <c r="AO2462" t="s">
        <v>118</v>
      </c>
      <c r="AP2462">
        <v>94</v>
      </c>
      <c r="AQ2462">
        <v>-42</v>
      </c>
      <c r="AR2462">
        <v>256</v>
      </c>
      <c r="AZ2462">
        <v>1200</v>
      </c>
      <c r="BA2462">
        <v>1</v>
      </c>
      <c r="BB2462" t="str">
        <f t="shared" si="1161"/>
        <v xml:space="preserve">N711JA  </v>
      </c>
      <c r="BC2462">
        <v>1</v>
      </c>
      <c r="BE2462">
        <v>0</v>
      </c>
      <c r="BF2462">
        <v>0</v>
      </c>
      <c r="BG2462">
        <v>0</v>
      </c>
      <c r="BH2462">
        <v>2400</v>
      </c>
      <c r="BI2462">
        <v>1</v>
      </c>
      <c r="BJ2462">
        <v>1</v>
      </c>
      <c r="BK2462">
        <v>0</v>
      </c>
      <c r="BL2462">
        <v>0</v>
      </c>
      <c r="BO2462">
        <v>0</v>
      </c>
      <c r="BP2462">
        <v>0</v>
      </c>
      <c r="BW2462" t="str">
        <f t="shared" ref="BW2462:BW2470" si="1165">"14:45:31.816"</f>
        <v>14:45:31.816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343</v>
      </c>
      <c r="CR2462">
        <v>1</v>
      </c>
      <c r="CW2462">
        <v>10790206</v>
      </c>
      <c r="CY2462">
        <v>1</v>
      </c>
      <c r="CZ2462">
        <v>0</v>
      </c>
      <c r="DA2462">
        <v>0</v>
      </c>
      <c r="DB2462">
        <v>0</v>
      </c>
      <c r="DC2462">
        <v>0</v>
      </c>
      <c r="DD2462">
        <v>1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 t="shared" si="1162"/>
        <v>05/12/2020 14:45:13.994</v>
      </c>
      <c r="C2463" t="str">
        <f t="shared" si="1160"/>
        <v>FFDFD3C0</v>
      </c>
      <c r="D2463" t="s">
        <v>113</v>
      </c>
      <c r="E2463">
        <v>3</v>
      </c>
      <c r="H2463">
        <v>164</v>
      </c>
      <c r="I2463" t="s">
        <v>114</v>
      </c>
      <c r="J2463" t="s">
        <v>115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163"/>
        <v>14:45:31.813</v>
      </c>
      <c r="T2463" t="str">
        <f t="shared" si="1164"/>
        <v>14:45:31.713</v>
      </c>
      <c r="U2463" t="str">
        <f t="shared" si="1147"/>
        <v>A9808D</v>
      </c>
      <c r="V2463">
        <v>0</v>
      </c>
      <c r="W2463">
        <v>0</v>
      </c>
      <c r="X2463">
        <v>1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0</v>
      </c>
      <c r="AI2463" t="s">
        <v>257</v>
      </c>
      <c r="AJ2463">
        <v>28.253574</v>
      </c>
      <c r="AK2463" t="s">
        <v>616</v>
      </c>
      <c r="AL2463">
        <v>-82.326694000000003</v>
      </c>
      <c r="AM2463">
        <v>100</v>
      </c>
      <c r="AN2463">
        <v>2300</v>
      </c>
      <c r="AO2463" t="s">
        <v>118</v>
      </c>
      <c r="AP2463">
        <v>94</v>
      </c>
      <c r="AQ2463">
        <v>-42</v>
      </c>
      <c r="AR2463">
        <v>256</v>
      </c>
      <c r="AZ2463">
        <v>1200</v>
      </c>
      <c r="BA2463">
        <v>1</v>
      </c>
      <c r="BB2463" t="str">
        <f t="shared" si="1161"/>
        <v xml:space="preserve">N711JA  </v>
      </c>
      <c r="BC2463">
        <v>1</v>
      </c>
      <c r="BE2463">
        <v>0</v>
      </c>
      <c r="BF2463">
        <v>0</v>
      </c>
      <c r="BG2463">
        <v>0</v>
      </c>
      <c r="BH2463">
        <v>2400</v>
      </c>
      <c r="BI2463">
        <v>1</v>
      </c>
      <c r="BJ2463">
        <v>1</v>
      </c>
      <c r="BK2463">
        <v>0</v>
      </c>
      <c r="BL2463">
        <v>0</v>
      </c>
      <c r="BO2463">
        <v>0</v>
      </c>
      <c r="BP2463">
        <v>0</v>
      </c>
      <c r="BW2463" t="str">
        <f t="shared" si="1165"/>
        <v>14:45:31.816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343</v>
      </c>
      <c r="CR2463">
        <v>1</v>
      </c>
      <c r="CW2463">
        <v>10790206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1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 t="shared" si="1162"/>
        <v>05/12/2020 14:45:13.994</v>
      </c>
      <c r="C2464" t="str">
        <f t="shared" si="1160"/>
        <v>FFDFD3C0</v>
      </c>
      <c r="D2464" t="s">
        <v>134</v>
      </c>
      <c r="E2464">
        <v>12</v>
      </c>
      <c r="H2464">
        <v>64</v>
      </c>
      <c r="I2464" t="s">
        <v>135</v>
      </c>
      <c r="J2464" t="s">
        <v>136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163"/>
        <v>14:45:31.813</v>
      </c>
      <c r="T2464" t="str">
        <f t="shared" si="1164"/>
        <v>14:45:31.713</v>
      </c>
      <c r="U2464" t="str">
        <f t="shared" si="1147"/>
        <v>A9808D</v>
      </c>
      <c r="V2464">
        <v>0</v>
      </c>
      <c r="W2464">
        <v>0</v>
      </c>
      <c r="X2464">
        <v>1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0</v>
      </c>
      <c r="AI2464" t="s">
        <v>257</v>
      </c>
      <c r="AJ2464">
        <v>28.253574</v>
      </c>
      <c r="AK2464" t="s">
        <v>616</v>
      </c>
      <c r="AL2464">
        <v>-82.326694000000003</v>
      </c>
      <c r="AM2464">
        <v>100</v>
      </c>
      <c r="AN2464">
        <v>2300</v>
      </c>
      <c r="AO2464" t="s">
        <v>118</v>
      </c>
      <c r="AP2464">
        <v>94</v>
      </c>
      <c r="AQ2464">
        <v>-42</v>
      </c>
      <c r="AR2464">
        <v>256</v>
      </c>
      <c r="AZ2464">
        <v>1200</v>
      </c>
      <c r="BA2464">
        <v>1</v>
      </c>
      <c r="BB2464" t="str">
        <f t="shared" si="1161"/>
        <v xml:space="preserve">N711JA  </v>
      </c>
      <c r="BC2464">
        <v>1</v>
      </c>
      <c r="BE2464">
        <v>0</v>
      </c>
      <c r="BF2464">
        <v>0</v>
      </c>
      <c r="BG2464">
        <v>0</v>
      </c>
      <c r="BH2464">
        <v>2400</v>
      </c>
      <c r="BI2464">
        <v>1</v>
      </c>
      <c r="BJ2464">
        <v>1</v>
      </c>
      <c r="BK2464">
        <v>0</v>
      </c>
      <c r="BL2464">
        <v>0</v>
      </c>
      <c r="BO2464">
        <v>0</v>
      </c>
      <c r="BP2464">
        <v>0</v>
      </c>
      <c r="BW2464" t="str">
        <f t="shared" si="1165"/>
        <v>14:45:31.816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343</v>
      </c>
      <c r="CR2464">
        <v>1</v>
      </c>
      <c r="CW2464">
        <v>10790206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1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 t="shared" si="1162"/>
        <v>05/12/2020 14:45:13.994</v>
      </c>
      <c r="C2465" t="str">
        <f t="shared" si="1160"/>
        <v>FFDFD3C0</v>
      </c>
      <c r="D2465" t="s">
        <v>126</v>
      </c>
      <c r="E2465">
        <v>7</v>
      </c>
      <c r="F2465">
        <v>1007</v>
      </c>
      <c r="G2465" t="s">
        <v>127</v>
      </c>
      <c r="J2465" t="s">
        <v>128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163"/>
        <v>14:45:31.813</v>
      </c>
      <c r="T2465" t="str">
        <f t="shared" si="1164"/>
        <v>14:45:31.713</v>
      </c>
      <c r="U2465" t="str">
        <f t="shared" si="1147"/>
        <v>A9808D</v>
      </c>
      <c r="V2465">
        <v>0</v>
      </c>
      <c r="W2465">
        <v>0</v>
      </c>
      <c r="X2465">
        <v>1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0</v>
      </c>
      <c r="AI2465" t="s">
        <v>257</v>
      </c>
      <c r="AJ2465">
        <v>28.253574</v>
      </c>
      <c r="AK2465" t="s">
        <v>616</v>
      </c>
      <c r="AL2465">
        <v>-82.326694000000003</v>
      </c>
      <c r="AM2465">
        <v>100</v>
      </c>
      <c r="AN2465">
        <v>2300</v>
      </c>
      <c r="AO2465" t="s">
        <v>118</v>
      </c>
      <c r="AP2465">
        <v>94</v>
      </c>
      <c r="AQ2465">
        <v>-42</v>
      </c>
      <c r="AR2465">
        <v>256</v>
      </c>
      <c r="AZ2465">
        <v>1200</v>
      </c>
      <c r="BA2465">
        <v>1</v>
      </c>
      <c r="BB2465" t="str">
        <f t="shared" si="1161"/>
        <v xml:space="preserve">N711JA  </v>
      </c>
      <c r="BC2465">
        <v>1</v>
      </c>
      <c r="BE2465">
        <v>0</v>
      </c>
      <c r="BF2465">
        <v>0</v>
      </c>
      <c r="BG2465">
        <v>0</v>
      </c>
      <c r="BH2465">
        <v>2400</v>
      </c>
      <c r="BI2465">
        <v>1</v>
      </c>
      <c r="BJ2465">
        <v>1</v>
      </c>
      <c r="BK2465">
        <v>0</v>
      </c>
      <c r="BL2465">
        <v>0</v>
      </c>
      <c r="BO2465">
        <v>0</v>
      </c>
      <c r="BP2465">
        <v>0</v>
      </c>
      <c r="BW2465" t="str">
        <f t="shared" si="1165"/>
        <v>14:45:31.816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343</v>
      </c>
      <c r="CR2465">
        <v>1</v>
      </c>
      <c r="CW2465">
        <v>10790206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1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 t="shared" si="1162"/>
        <v>05/12/2020 14:45:13.994</v>
      </c>
      <c r="C2466" t="str">
        <f t="shared" si="1160"/>
        <v>FFDFD3C0</v>
      </c>
      <c r="D2466" t="s">
        <v>131</v>
      </c>
      <c r="E2466">
        <v>10</v>
      </c>
      <c r="F2466">
        <v>2010</v>
      </c>
      <c r="G2466" t="s">
        <v>132</v>
      </c>
      <c r="J2466" t="s">
        <v>133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163"/>
        <v>14:45:31.813</v>
      </c>
      <c r="T2466" t="str">
        <f t="shared" si="1164"/>
        <v>14:45:31.713</v>
      </c>
      <c r="U2466" t="str">
        <f t="shared" si="1147"/>
        <v>A9808D</v>
      </c>
      <c r="V2466">
        <v>0</v>
      </c>
      <c r="W2466">
        <v>0</v>
      </c>
      <c r="X2466">
        <v>1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0</v>
      </c>
      <c r="AI2466" t="s">
        <v>257</v>
      </c>
      <c r="AJ2466">
        <v>28.253574</v>
      </c>
      <c r="AK2466" t="s">
        <v>616</v>
      </c>
      <c r="AL2466">
        <v>-82.326694000000003</v>
      </c>
      <c r="AM2466">
        <v>100</v>
      </c>
      <c r="AN2466">
        <v>2300</v>
      </c>
      <c r="AO2466" t="s">
        <v>118</v>
      </c>
      <c r="AP2466">
        <v>94</v>
      </c>
      <c r="AQ2466">
        <v>-42</v>
      </c>
      <c r="AR2466">
        <v>256</v>
      </c>
      <c r="AZ2466">
        <v>1200</v>
      </c>
      <c r="BA2466">
        <v>1</v>
      </c>
      <c r="BB2466" t="str">
        <f t="shared" si="1161"/>
        <v xml:space="preserve">N711JA  </v>
      </c>
      <c r="BC2466">
        <v>1</v>
      </c>
      <c r="BE2466">
        <v>0</v>
      </c>
      <c r="BF2466">
        <v>0</v>
      </c>
      <c r="BG2466">
        <v>0</v>
      </c>
      <c r="BH2466">
        <v>2400</v>
      </c>
      <c r="BI2466">
        <v>1</v>
      </c>
      <c r="BJ2466">
        <v>1</v>
      </c>
      <c r="BK2466">
        <v>0</v>
      </c>
      <c r="BL2466">
        <v>0</v>
      </c>
      <c r="BO2466">
        <v>0</v>
      </c>
      <c r="BP2466">
        <v>0</v>
      </c>
      <c r="BW2466" t="str">
        <f t="shared" si="1165"/>
        <v>14:45:31.816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343</v>
      </c>
      <c r="CR2466">
        <v>1</v>
      </c>
      <c r="CW2466">
        <v>10790206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1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 t="shared" si="1162"/>
        <v>05/12/2020 14:45:13.994</v>
      </c>
      <c r="C2467" t="str">
        <f t="shared" si="1160"/>
        <v>FFDFD3C0</v>
      </c>
      <c r="D2467" t="s">
        <v>131</v>
      </c>
      <c r="E2467">
        <v>12</v>
      </c>
      <c r="F2467">
        <v>2012</v>
      </c>
      <c r="G2467" t="s">
        <v>137</v>
      </c>
      <c r="J2467" t="s">
        <v>133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163"/>
        <v>14:45:31.813</v>
      </c>
      <c r="T2467" t="str">
        <f t="shared" si="1164"/>
        <v>14:45:31.713</v>
      </c>
      <c r="U2467" t="str">
        <f t="shared" si="1147"/>
        <v>A9808D</v>
      </c>
      <c r="V2467">
        <v>0</v>
      </c>
      <c r="W2467">
        <v>0</v>
      </c>
      <c r="X2467">
        <v>1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0</v>
      </c>
      <c r="AI2467" t="s">
        <v>257</v>
      </c>
      <c r="AJ2467">
        <v>28.253574</v>
      </c>
      <c r="AK2467" t="s">
        <v>616</v>
      </c>
      <c r="AL2467">
        <v>-82.326694000000003</v>
      </c>
      <c r="AM2467">
        <v>100</v>
      </c>
      <c r="AN2467">
        <v>2300</v>
      </c>
      <c r="AO2467" t="s">
        <v>118</v>
      </c>
      <c r="AP2467">
        <v>94</v>
      </c>
      <c r="AQ2467">
        <v>-42</v>
      </c>
      <c r="AR2467">
        <v>256</v>
      </c>
      <c r="AZ2467">
        <v>1200</v>
      </c>
      <c r="BA2467">
        <v>1</v>
      </c>
      <c r="BB2467" t="str">
        <f t="shared" si="1161"/>
        <v xml:space="preserve">N711JA  </v>
      </c>
      <c r="BC2467">
        <v>1</v>
      </c>
      <c r="BE2467">
        <v>0</v>
      </c>
      <c r="BF2467">
        <v>0</v>
      </c>
      <c r="BG2467">
        <v>0</v>
      </c>
      <c r="BH2467">
        <v>2400</v>
      </c>
      <c r="BI2467">
        <v>1</v>
      </c>
      <c r="BJ2467">
        <v>1</v>
      </c>
      <c r="BK2467">
        <v>0</v>
      </c>
      <c r="BL2467">
        <v>0</v>
      </c>
      <c r="BO2467">
        <v>0</v>
      </c>
      <c r="BP2467">
        <v>0</v>
      </c>
      <c r="BW2467" t="str">
        <f t="shared" si="1165"/>
        <v>14:45:31.816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343</v>
      </c>
      <c r="CR2467">
        <v>1</v>
      </c>
      <c r="CW2467">
        <v>10790206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1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 t="shared" si="1162"/>
        <v>05/12/2020 14:45:13.994</v>
      </c>
      <c r="C2468" t="str">
        <f t="shared" si="1160"/>
        <v>FFDFD3C0</v>
      </c>
      <c r="D2468" t="s">
        <v>138</v>
      </c>
      <c r="E2468">
        <v>3</v>
      </c>
      <c r="H2468">
        <v>9</v>
      </c>
      <c r="I2468" t="s">
        <v>140</v>
      </c>
      <c r="J2468" t="s">
        <v>136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163"/>
        <v>14:45:31.813</v>
      </c>
      <c r="T2468" t="str">
        <f t="shared" si="1164"/>
        <v>14:45:31.713</v>
      </c>
      <c r="U2468" t="str">
        <f t="shared" si="1147"/>
        <v>A9808D</v>
      </c>
      <c r="V2468">
        <v>0</v>
      </c>
      <c r="W2468">
        <v>0</v>
      </c>
      <c r="X2468">
        <v>1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0</v>
      </c>
      <c r="AI2468" t="s">
        <v>257</v>
      </c>
      <c r="AJ2468">
        <v>28.253574</v>
      </c>
      <c r="AK2468" t="s">
        <v>616</v>
      </c>
      <c r="AL2468">
        <v>-82.326694000000003</v>
      </c>
      <c r="AM2468">
        <v>100</v>
      </c>
      <c r="AN2468">
        <v>2300</v>
      </c>
      <c r="AO2468" t="s">
        <v>118</v>
      </c>
      <c r="AP2468">
        <v>94</v>
      </c>
      <c r="AQ2468">
        <v>-42</v>
      </c>
      <c r="AR2468">
        <v>256</v>
      </c>
      <c r="AZ2468">
        <v>1200</v>
      </c>
      <c r="BA2468">
        <v>1</v>
      </c>
      <c r="BB2468" t="str">
        <f t="shared" si="1161"/>
        <v xml:space="preserve">N711JA  </v>
      </c>
      <c r="BC2468">
        <v>1</v>
      </c>
      <c r="BE2468">
        <v>0</v>
      </c>
      <c r="BF2468">
        <v>0</v>
      </c>
      <c r="BG2468">
        <v>0</v>
      </c>
      <c r="BH2468">
        <v>2400</v>
      </c>
      <c r="BI2468">
        <v>1</v>
      </c>
      <c r="BJ2468">
        <v>1</v>
      </c>
      <c r="BK2468">
        <v>0</v>
      </c>
      <c r="BL2468">
        <v>0</v>
      </c>
      <c r="BO2468">
        <v>0</v>
      </c>
      <c r="BP2468">
        <v>0</v>
      </c>
      <c r="BW2468" t="str">
        <f t="shared" si="1165"/>
        <v>14:45:31.816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343</v>
      </c>
      <c r="CR2468">
        <v>1</v>
      </c>
      <c r="CW2468">
        <v>10790206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1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 t="shared" si="1162"/>
        <v>05/12/2020 14:45:13.994</v>
      </c>
      <c r="C2469" t="str">
        <f t="shared" si="1160"/>
        <v>FFDFD3C0</v>
      </c>
      <c r="D2469" t="s">
        <v>131</v>
      </c>
      <c r="E2469">
        <v>18</v>
      </c>
      <c r="F2469">
        <v>2018</v>
      </c>
      <c r="G2469" t="s">
        <v>161</v>
      </c>
      <c r="J2469" t="s">
        <v>133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163"/>
        <v>14:45:31.813</v>
      </c>
      <c r="T2469" t="str">
        <f t="shared" si="1164"/>
        <v>14:45:31.713</v>
      </c>
      <c r="U2469" t="str">
        <f t="shared" si="1147"/>
        <v>A9808D</v>
      </c>
      <c r="V2469">
        <v>0</v>
      </c>
      <c r="W2469">
        <v>0</v>
      </c>
      <c r="X2469">
        <v>1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0</v>
      </c>
      <c r="AI2469" t="s">
        <v>257</v>
      </c>
      <c r="AJ2469">
        <v>28.253574</v>
      </c>
      <c r="AK2469" t="s">
        <v>616</v>
      </c>
      <c r="AL2469">
        <v>-82.326694000000003</v>
      </c>
      <c r="AM2469">
        <v>100</v>
      </c>
      <c r="AN2469">
        <v>2300</v>
      </c>
      <c r="AO2469" t="s">
        <v>118</v>
      </c>
      <c r="AP2469">
        <v>94</v>
      </c>
      <c r="AQ2469">
        <v>-42</v>
      </c>
      <c r="AR2469">
        <v>256</v>
      </c>
      <c r="AZ2469">
        <v>1200</v>
      </c>
      <c r="BA2469">
        <v>1</v>
      </c>
      <c r="BB2469" t="str">
        <f t="shared" si="1161"/>
        <v xml:space="preserve">N711JA  </v>
      </c>
      <c r="BC2469">
        <v>1</v>
      </c>
      <c r="BE2469">
        <v>0</v>
      </c>
      <c r="BF2469">
        <v>0</v>
      </c>
      <c r="BG2469">
        <v>0</v>
      </c>
      <c r="BH2469">
        <v>2400</v>
      </c>
      <c r="BI2469">
        <v>1</v>
      </c>
      <c r="BJ2469">
        <v>1</v>
      </c>
      <c r="BK2469">
        <v>0</v>
      </c>
      <c r="BL2469">
        <v>0</v>
      </c>
      <c r="BO2469">
        <v>0</v>
      </c>
      <c r="BP2469">
        <v>0</v>
      </c>
      <c r="BW2469" t="str">
        <f t="shared" si="1165"/>
        <v>14:45:31.816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343</v>
      </c>
      <c r="CR2469">
        <v>1</v>
      </c>
      <c r="CW2469">
        <v>10790206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1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 t="shared" si="1162"/>
        <v>05/12/2020 14:45:13.994</v>
      </c>
      <c r="C2470" t="str">
        <f t="shared" si="1160"/>
        <v>FFDFD3C0</v>
      </c>
      <c r="D2470" t="s">
        <v>126</v>
      </c>
      <c r="E2470">
        <v>6</v>
      </c>
      <c r="F2470">
        <v>1006</v>
      </c>
      <c r="G2470" t="s">
        <v>114</v>
      </c>
      <c r="J2470" t="s">
        <v>128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163"/>
        <v>14:45:31.813</v>
      </c>
      <c r="T2470" t="str">
        <f t="shared" si="1164"/>
        <v>14:45:31.713</v>
      </c>
      <c r="U2470" t="str">
        <f t="shared" si="1147"/>
        <v>A9808D</v>
      </c>
      <c r="V2470">
        <v>0</v>
      </c>
      <c r="W2470">
        <v>0</v>
      </c>
      <c r="X2470">
        <v>1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0</v>
      </c>
      <c r="AI2470" t="s">
        <v>257</v>
      </c>
      <c r="AJ2470">
        <v>28.253574</v>
      </c>
      <c r="AK2470" t="s">
        <v>616</v>
      </c>
      <c r="AL2470">
        <v>-82.326694000000003</v>
      </c>
      <c r="AM2470">
        <v>100</v>
      </c>
      <c r="AN2470">
        <v>2300</v>
      </c>
      <c r="AO2470" t="s">
        <v>118</v>
      </c>
      <c r="AP2470">
        <v>94</v>
      </c>
      <c r="AQ2470">
        <v>-42</v>
      </c>
      <c r="AR2470">
        <v>256</v>
      </c>
      <c r="AZ2470">
        <v>1200</v>
      </c>
      <c r="BA2470">
        <v>1</v>
      </c>
      <c r="BB2470" t="str">
        <f t="shared" si="1161"/>
        <v xml:space="preserve">N711JA  </v>
      </c>
      <c r="BC2470">
        <v>1</v>
      </c>
      <c r="BE2470">
        <v>0</v>
      </c>
      <c r="BF2470">
        <v>0</v>
      </c>
      <c r="BG2470">
        <v>0</v>
      </c>
      <c r="BH2470">
        <v>2400</v>
      </c>
      <c r="BI2470">
        <v>1</v>
      </c>
      <c r="BJ2470">
        <v>1</v>
      </c>
      <c r="BK2470">
        <v>0</v>
      </c>
      <c r="BL2470">
        <v>0</v>
      </c>
      <c r="BO2470">
        <v>0</v>
      </c>
      <c r="BP2470">
        <v>0</v>
      </c>
      <c r="BW2470" t="str">
        <f t="shared" si="1165"/>
        <v>14:45:31.816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343</v>
      </c>
      <c r="CR2470">
        <v>1</v>
      </c>
      <c r="CW2470">
        <v>10790206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1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 t="shared" ref="A2471:A2478" si="1166">"05/12/2020 14:45:15.006"</f>
        <v>05/12/2020 14:45:15.006</v>
      </c>
      <c r="C2471" t="str">
        <f t="shared" si="1160"/>
        <v>FFDFD3C0</v>
      </c>
      <c r="D2471" t="s">
        <v>138</v>
      </c>
      <c r="E2471">
        <v>2</v>
      </c>
      <c r="H2471">
        <v>8</v>
      </c>
      <c r="I2471" t="s">
        <v>139</v>
      </c>
      <c r="J2471" t="s">
        <v>136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ref="S2471:S2478" si="1167">"14:45:32.820"</f>
        <v>14:45:32.820</v>
      </c>
      <c r="T2471" t="str">
        <f t="shared" ref="T2471:T2478" si="1168">"14:45:32.720"</f>
        <v>14:45:32.720</v>
      </c>
      <c r="U2471" t="str">
        <f t="shared" si="1147"/>
        <v>A9808D</v>
      </c>
      <c r="V2471">
        <v>0</v>
      </c>
      <c r="W2471">
        <v>0</v>
      </c>
      <c r="X2471">
        <v>1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0</v>
      </c>
      <c r="AI2471" t="s">
        <v>617</v>
      </c>
      <c r="AJ2471">
        <v>28.253381000000001</v>
      </c>
      <c r="AK2471" t="s">
        <v>618</v>
      </c>
      <c r="AL2471">
        <v>-82.326221000000004</v>
      </c>
      <c r="AM2471">
        <v>100</v>
      </c>
      <c r="AN2471">
        <v>2300</v>
      </c>
      <c r="AO2471" t="s">
        <v>118</v>
      </c>
      <c r="AP2471">
        <v>95</v>
      </c>
      <c r="AQ2471">
        <v>-41</v>
      </c>
      <c r="AR2471">
        <v>256</v>
      </c>
      <c r="AZ2471">
        <v>1200</v>
      </c>
      <c r="BA2471">
        <v>1</v>
      </c>
      <c r="BB2471" t="str">
        <f t="shared" si="1161"/>
        <v xml:space="preserve">N711JA  </v>
      </c>
      <c r="BC2471">
        <v>1</v>
      </c>
      <c r="BE2471">
        <v>0</v>
      </c>
      <c r="BF2471">
        <v>0</v>
      </c>
      <c r="BG2471">
        <v>0</v>
      </c>
      <c r="BH2471">
        <v>2400</v>
      </c>
      <c r="BI2471">
        <v>1</v>
      </c>
      <c r="BJ2471">
        <v>1</v>
      </c>
      <c r="BK2471">
        <v>0</v>
      </c>
      <c r="BL2471">
        <v>0</v>
      </c>
      <c r="BO2471">
        <v>0</v>
      </c>
      <c r="BP2471">
        <v>0</v>
      </c>
      <c r="BW2471" t="str">
        <f t="shared" ref="BW2471:BW2478" si="1169">"14:45:32.825"</f>
        <v>14:45:32.825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56</v>
      </c>
      <c r="CR2471">
        <v>2</v>
      </c>
      <c r="CW2471">
        <v>4865295</v>
      </c>
      <c r="CY2471">
        <v>1</v>
      </c>
      <c r="CZ2471">
        <v>0</v>
      </c>
      <c r="DA2471">
        <v>0</v>
      </c>
      <c r="DB2471">
        <v>0</v>
      </c>
      <c r="DC2471">
        <v>0</v>
      </c>
      <c r="DD2471">
        <v>1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 t="shared" si="1166"/>
        <v>05/12/2020 14:45:15.006</v>
      </c>
      <c r="C2472" t="str">
        <f t="shared" si="1160"/>
        <v>FFDFD3C0</v>
      </c>
      <c r="D2472" t="s">
        <v>126</v>
      </c>
      <c r="E2472">
        <v>7</v>
      </c>
      <c r="F2472">
        <v>1007</v>
      </c>
      <c r="G2472" t="s">
        <v>127</v>
      </c>
      <c r="J2472" t="s">
        <v>128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167"/>
        <v>14:45:32.820</v>
      </c>
      <c r="T2472" t="str">
        <f t="shared" si="1168"/>
        <v>14:45:32.720</v>
      </c>
      <c r="U2472" t="str">
        <f t="shared" si="1147"/>
        <v>A9808D</v>
      </c>
      <c r="V2472">
        <v>0</v>
      </c>
      <c r="W2472">
        <v>0</v>
      </c>
      <c r="X2472">
        <v>1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0</v>
      </c>
      <c r="AI2472" t="s">
        <v>617</v>
      </c>
      <c r="AJ2472">
        <v>28.253381000000001</v>
      </c>
      <c r="AK2472" t="s">
        <v>618</v>
      </c>
      <c r="AL2472">
        <v>-82.326221000000004</v>
      </c>
      <c r="AM2472">
        <v>100</v>
      </c>
      <c r="AN2472">
        <v>2300</v>
      </c>
      <c r="AO2472" t="s">
        <v>118</v>
      </c>
      <c r="AP2472">
        <v>95</v>
      </c>
      <c r="AQ2472">
        <v>-41</v>
      </c>
      <c r="AR2472">
        <v>256</v>
      </c>
      <c r="AZ2472">
        <v>1200</v>
      </c>
      <c r="BA2472">
        <v>1</v>
      </c>
      <c r="BB2472" t="str">
        <f t="shared" si="1161"/>
        <v xml:space="preserve">N711JA  </v>
      </c>
      <c r="BC2472">
        <v>1</v>
      </c>
      <c r="BE2472">
        <v>0</v>
      </c>
      <c r="BF2472">
        <v>0</v>
      </c>
      <c r="BG2472">
        <v>0</v>
      </c>
      <c r="BH2472">
        <v>2400</v>
      </c>
      <c r="BI2472">
        <v>1</v>
      </c>
      <c r="BJ2472">
        <v>1</v>
      </c>
      <c r="BK2472">
        <v>0</v>
      </c>
      <c r="BL2472">
        <v>0</v>
      </c>
      <c r="BO2472">
        <v>0</v>
      </c>
      <c r="BP2472">
        <v>0</v>
      </c>
      <c r="BW2472" t="str">
        <f t="shared" si="1169"/>
        <v>14:45:32.825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56</v>
      </c>
      <c r="CR2472">
        <v>2</v>
      </c>
      <c r="CW2472">
        <v>4865295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1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si="1166"/>
        <v>05/12/2020 14:45:15.006</v>
      </c>
      <c r="C2473" t="str">
        <f t="shared" si="1160"/>
        <v>FFDFD3C0</v>
      </c>
      <c r="D2473" t="s">
        <v>113</v>
      </c>
      <c r="E2473">
        <v>3</v>
      </c>
      <c r="H2473">
        <v>164</v>
      </c>
      <c r="I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167"/>
        <v>14:45:32.820</v>
      </c>
      <c r="T2473" t="str">
        <f t="shared" si="1168"/>
        <v>14:45:32.720</v>
      </c>
      <c r="U2473" t="str">
        <f t="shared" si="1147"/>
        <v>A9808D</v>
      </c>
      <c r="V2473">
        <v>0</v>
      </c>
      <c r="W2473">
        <v>0</v>
      </c>
      <c r="X2473">
        <v>1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0</v>
      </c>
      <c r="AI2473" t="s">
        <v>617</v>
      </c>
      <c r="AJ2473">
        <v>28.253381000000001</v>
      </c>
      <c r="AK2473" t="s">
        <v>618</v>
      </c>
      <c r="AL2473">
        <v>-82.326221000000004</v>
      </c>
      <c r="AM2473">
        <v>100</v>
      </c>
      <c r="AN2473">
        <v>2300</v>
      </c>
      <c r="AO2473" t="s">
        <v>118</v>
      </c>
      <c r="AP2473">
        <v>95</v>
      </c>
      <c r="AQ2473">
        <v>-41</v>
      </c>
      <c r="AR2473">
        <v>256</v>
      </c>
      <c r="AZ2473">
        <v>1200</v>
      </c>
      <c r="BA2473">
        <v>1</v>
      </c>
      <c r="BB2473" t="str">
        <f t="shared" si="1161"/>
        <v xml:space="preserve">N711JA  </v>
      </c>
      <c r="BC2473">
        <v>1</v>
      </c>
      <c r="BE2473">
        <v>0</v>
      </c>
      <c r="BF2473">
        <v>0</v>
      </c>
      <c r="BG2473">
        <v>0</v>
      </c>
      <c r="BH2473">
        <v>2400</v>
      </c>
      <c r="BI2473">
        <v>1</v>
      </c>
      <c r="BJ2473">
        <v>1</v>
      </c>
      <c r="BK2473">
        <v>0</v>
      </c>
      <c r="BL2473">
        <v>0</v>
      </c>
      <c r="BO2473">
        <v>0</v>
      </c>
      <c r="BP2473">
        <v>0</v>
      </c>
      <c r="BW2473" t="str">
        <f t="shared" si="1169"/>
        <v>14:45:32.825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56</v>
      </c>
      <c r="CR2473">
        <v>2</v>
      </c>
      <c r="CW2473">
        <v>4865295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1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1166"/>
        <v>05/12/2020 14:45:15.006</v>
      </c>
      <c r="C2474" t="str">
        <f t="shared" si="1160"/>
        <v>FFDFD3C0</v>
      </c>
      <c r="D2474" t="s">
        <v>131</v>
      </c>
      <c r="E2474">
        <v>10</v>
      </c>
      <c r="F2474">
        <v>2010</v>
      </c>
      <c r="G2474" t="s">
        <v>132</v>
      </c>
      <c r="J2474" t="s">
        <v>133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167"/>
        <v>14:45:32.820</v>
      </c>
      <c r="T2474" t="str">
        <f t="shared" si="1168"/>
        <v>14:45:32.720</v>
      </c>
      <c r="U2474" t="str">
        <f t="shared" si="1147"/>
        <v>A9808D</v>
      </c>
      <c r="V2474">
        <v>0</v>
      </c>
      <c r="W2474">
        <v>0</v>
      </c>
      <c r="X2474">
        <v>1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0</v>
      </c>
      <c r="AI2474" t="s">
        <v>617</v>
      </c>
      <c r="AJ2474">
        <v>28.253381000000001</v>
      </c>
      <c r="AK2474" t="s">
        <v>618</v>
      </c>
      <c r="AL2474">
        <v>-82.326221000000004</v>
      </c>
      <c r="AM2474">
        <v>100</v>
      </c>
      <c r="AN2474">
        <v>2300</v>
      </c>
      <c r="AO2474" t="s">
        <v>118</v>
      </c>
      <c r="AP2474">
        <v>95</v>
      </c>
      <c r="AQ2474">
        <v>-41</v>
      </c>
      <c r="AR2474">
        <v>256</v>
      </c>
      <c r="AZ2474">
        <v>1200</v>
      </c>
      <c r="BA2474">
        <v>1</v>
      </c>
      <c r="BB2474" t="str">
        <f t="shared" si="1161"/>
        <v xml:space="preserve">N711JA  </v>
      </c>
      <c r="BC2474">
        <v>1</v>
      </c>
      <c r="BE2474">
        <v>0</v>
      </c>
      <c r="BF2474">
        <v>0</v>
      </c>
      <c r="BG2474">
        <v>0</v>
      </c>
      <c r="BH2474">
        <v>2400</v>
      </c>
      <c r="BI2474">
        <v>1</v>
      </c>
      <c r="BJ2474">
        <v>1</v>
      </c>
      <c r="BK2474">
        <v>0</v>
      </c>
      <c r="BL2474">
        <v>0</v>
      </c>
      <c r="BO2474">
        <v>0</v>
      </c>
      <c r="BP2474">
        <v>0</v>
      </c>
      <c r="BW2474" t="str">
        <f t="shared" si="1169"/>
        <v>14:45:32.825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56</v>
      </c>
      <c r="CR2474">
        <v>2</v>
      </c>
      <c r="CW2474">
        <v>4865295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1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 t="shared" si="1166"/>
        <v>05/12/2020 14:45:15.006</v>
      </c>
      <c r="C2475" t="str">
        <f t="shared" si="1160"/>
        <v>FFDFD3C0</v>
      </c>
      <c r="D2475" t="s">
        <v>131</v>
      </c>
      <c r="E2475">
        <v>12</v>
      </c>
      <c r="F2475">
        <v>2012</v>
      </c>
      <c r="G2475" t="s">
        <v>137</v>
      </c>
      <c r="J2475" t="s">
        <v>133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167"/>
        <v>14:45:32.820</v>
      </c>
      <c r="T2475" t="str">
        <f t="shared" si="1168"/>
        <v>14:45:32.720</v>
      </c>
      <c r="U2475" t="str">
        <f t="shared" si="1147"/>
        <v>A9808D</v>
      </c>
      <c r="V2475">
        <v>0</v>
      </c>
      <c r="W2475">
        <v>0</v>
      </c>
      <c r="X2475">
        <v>1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0</v>
      </c>
      <c r="AI2475" t="s">
        <v>617</v>
      </c>
      <c r="AJ2475">
        <v>28.253381000000001</v>
      </c>
      <c r="AK2475" t="s">
        <v>618</v>
      </c>
      <c r="AL2475">
        <v>-82.326221000000004</v>
      </c>
      <c r="AM2475">
        <v>100</v>
      </c>
      <c r="AN2475">
        <v>2300</v>
      </c>
      <c r="AO2475" t="s">
        <v>118</v>
      </c>
      <c r="AP2475">
        <v>95</v>
      </c>
      <c r="AQ2475">
        <v>-41</v>
      </c>
      <c r="AR2475">
        <v>256</v>
      </c>
      <c r="AZ2475">
        <v>1200</v>
      </c>
      <c r="BA2475">
        <v>1</v>
      </c>
      <c r="BB2475" t="str">
        <f t="shared" si="1161"/>
        <v xml:space="preserve">N711JA  </v>
      </c>
      <c r="BC2475">
        <v>1</v>
      </c>
      <c r="BE2475">
        <v>0</v>
      </c>
      <c r="BF2475">
        <v>0</v>
      </c>
      <c r="BG2475">
        <v>0</v>
      </c>
      <c r="BH2475">
        <v>2400</v>
      </c>
      <c r="BI2475">
        <v>1</v>
      </c>
      <c r="BJ2475">
        <v>1</v>
      </c>
      <c r="BK2475">
        <v>0</v>
      </c>
      <c r="BL2475">
        <v>0</v>
      </c>
      <c r="BO2475">
        <v>0</v>
      </c>
      <c r="BP2475">
        <v>0</v>
      </c>
      <c r="BW2475" t="str">
        <f t="shared" si="1169"/>
        <v>14:45:32.825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56</v>
      </c>
      <c r="CR2475">
        <v>2</v>
      </c>
      <c r="CW2475">
        <v>4865295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1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 t="shared" si="1166"/>
        <v>05/12/2020 14:45:15.006</v>
      </c>
      <c r="C2476" t="str">
        <f t="shared" si="1160"/>
        <v>FFDFD3C0</v>
      </c>
      <c r="D2476" t="s">
        <v>131</v>
      </c>
      <c r="E2476">
        <v>18</v>
      </c>
      <c r="F2476">
        <v>2018</v>
      </c>
      <c r="G2476" t="s">
        <v>161</v>
      </c>
      <c r="J2476" t="s">
        <v>133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167"/>
        <v>14:45:32.820</v>
      </c>
      <c r="T2476" t="str">
        <f t="shared" si="1168"/>
        <v>14:45:32.720</v>
      </c>
      <c r="U2476" t="str">
        <f t="shared" si="1147"/>
        <v>A9808D</v>
      </c>
      <c r="V2476">
        <v>0</v>
      </c>
      <c r="W2476">
        <v>0</v>
      </c>
      <c r="X2476">
        <v>1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0</v>
      </c>
      <c r="AI2476" t="s">
        <v>617</v>
      </c>
      <c r="AJ2476">
        <v>28.253381000000001</v>
      </c>
      <c r="AK2476" t="s">
        <v>618</v>
      </c>
      <c r="AL2476">
        <v>-82.326221000000004</v>
      </c>
      <c r="AM2476">
        <v>100</v>
      </c>
      <c r="AN2476">
        <v>2300</v>
      </c>
      <c r="AO2476" t="s">
        <v>118</v>
      </c>
      <c r="AP2476">
        <v>95</v>
      </c>
      <c r="AQ2476">
        <v>-41</v>
      </c>
      <c r="AR2476">
        <v>256</v>
      </c>
      <c r="AZ2476">
        <v>1200</v>
      </c>
      <c r="BA2476">
        <v>1</v>
      </c>
      <c r="BB2476" t="str">
        <f t="shared" si="1161"/>
        <v xml:space="preserve">N711JA  </v>
      </c>
      <c r="BC2476">
        <v>1</v>
      </c>
      <c r="BE2476">
        <v>0</v>
      </c>
      <c r="BF2476">
        <v>0</v>
      </c>
      <c r="BG2476">
        <v>0</v>
      </c>
      <c r="BH2476">
        <v>2400</v>
      </c>
      <c r="BI2476">
        <v>1</v>
      </c>
      <c r="BJ2476">
        <v>1</v>
      </c>
      <c r="BK2476">
        <v>0</v>
      </c>
      <c r="BL2476">
        <v>0</v>
      </c>
      <c r="BO2476">
        <v>0</v>
      </c>
      <c r="BP2476">
        <v>0</v>
      </c>
      <c r="BW2476" t="str">
        <f t="shared" si="1169"/>
        <v>14:45:32.825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56</v>
      </c>
      <c r="CR2476">
        <v>2</v>
      </c>
      <c r="CW2476">
        <v>4865295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1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si="1166"/>
        <v>05/12/2020 14:45:15.006</v>
      </c>
      <c r="C2477" t="str">
        <f t="shared" si="1160"/>
        <v>FFDFD3C0</v>
      </c>
      <c r="D2477" t="s">
        <v>138</v>
      </c>
      <c r="E2477">
        <v>3</v>
      </c>
      <c r="H2477">
        <v>9</v>
      </c>
      <c r="I2477" t="s">
        <v>140</v>
      </c>
      <c r="J2477" t="s">
        <v>136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167"/>
        <v>14:45:32.820</v>
      </c>
      <c r="T2477" t="str">
        <f t="shared" si="1168"/>
        <v>14:45:32.720</v>
      </c>
      <c r="U2477" t="str">
        <f t="shared" si="1147"/>
        <v>A9808D</v>
      </c>
      <c r="V2477">
        <v>0</v>
      </c>
      <c r="W2477">
        <v>0</v>
      </c>
      <c r="X2477">
        <v>1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0</v>
      </c>
      <c r="AI2477" t="s">
        <v>617</v>
      </c>
      <c r="AJ2477">
        <v>28.253381000000001</v>
      </c>
      <c r="AK2477" t="s">
        <v>618</v>
      </c>
      <c r="AL2477">
        <v>-82.326221000000004</v>
      </c>
      <c r="AM2477">
        <v>100</v>
      </c>
      <c r="AN2477">
        <v>2300</v>
      </c>
      <c r="AO2477" t="s">
        <v>118</v>
      </c>
      <c r="AP2477">
        <v>95</v>
      </c>
      <c r="AQ2477">
        <v>-41</v>
      </c>
      <c r="AR2477">
        <v>256</v>
      </c>
      <c r="AZ2477">
        <v>1200</v>
      </c>
      <c r="BA2477">
        <v>1</v>
      </c>
      <c r="BB2477" t="str">
        <f t="shared" si="1161"/>
        <v xml:space="preserve">N711JA  </v>
      </c>
      <c r="BC2477">
        <v>1</v>
      </c>
      <c r="BE2477">
        <v>0</v>
      </c>
      <c r="BF2477">
        <v>0</v>
      </c>
      <c r="BG2477">
        <v>0</v>
      </c>
      <c r="BH2477">
        <v>2400</v>
      </c>
      <c r="BI2477">
        <v>1</v>
      </c>
      <c r="BJ2477">
        <v>1</v>
      </c>
      <c r="BK2477">
        <v>0</v>
      </c>
      <c r="BL2477">
        <v>0</v>
      </c>
      <c r="BO2477">
        <v>0</v>
      </c>
      <c r="BP2477">
        <v>0</v>
      </c>
      <c r="BW2477" t="str">
        <f t="shared" si="1169"/>
        <v>14:45:32.825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56</v>
      </c>
      <c r="CR2477">
        <v>2</v>
      </c>
      <c r="CW2477">
        <v>4865295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1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1166"/>
        <v>05/12/2020 14:45:15.006</v>
      </c>
      <c r="C2478" t="str">
        <f t="shared" si="1160"/>
        <v>FFDFD3C0</v>
      </c>
      <c r="D2478" t="s">
        <v>126</v>
      </c>
      <c r="E2478">
        <v>6</v>
      </c>
      <c r="F2478">
        <v>1006</v>
      </c>
      <c r="G2478" t="s">
        <v>114</v>
      </c>
      <c r="J2478" t="s">
        <v>128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167"/>
        <v>14:45:32.820</v>
      </c>
      <c r="T2478" t="str">
        <f t="shared" si="1168"/>
        <v>14:45:32.720</v>
      </c>
      <c r="U2478" t="str">
        <f t="shared" si="1147"/>
        <v>A9808D</v>
      </c>
      <c r="V2478">
        <v>0</v>
      </c>
      <c r="W2478">
        <v>0</v>
      </c>
      <c r="X2478">
        <v>1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0</v>
      </c>
      <c r="AI2478" t="s">
        <v>617</v>
      </c>
      <c r="AJ2478">
        <v>28.253381000000001</v>
      </c>
      <c r="AK2478" t="s">
        <v>618</v>
      </c>
      <c r="AL2478">
        <v>-82.326221000000004</v>
      </c>
      <c r="AM2478">
        <v>100</v>
      </c>
      <c r="AN2478">
        <v>2300</v>
      </c>
      <c r="AO2478" t="s">
        <v>118</v>
      </c>
      <c r="AP2478">
        <v>95</v>
      </c>
      <c r="AQ2478">
        <v>-41</v>
      </c>
      <c r="AR2478">
        <v>256</v>
      </c>
      <c r="AZ2478">
        <v>1200</v>
      </c>
      <c r="BA2478">
        <v>1</v>
      </c>
      <c r="BB2478" t="str">
        <f t="shared" si="1161"/>
        <v xml:space="preserve">N711JA  </v>
      </c>
      <c r="BC2478">
        <v>1</v>
      </c>
      <c r="BE2478">
        <v>0</v>
      </c>
      <c r="BF2478">
        <v>0</v>
      </c>
      <c r="BG2478">
        <v>0</v>
      </c>
      <c r="BH2478">
        <v>2400</v>
      </c>
      <c r="BI2478">
        <v>1</v>
      </c>
      <c r="BJ2478">
        <v>1</v>
      </c>
      <c r="BK2478">
        <v>0</v>
      </c>
      <c r="BL2478">
        <v>0</v>
      </c>
      <c r="BO2478">
        <v>0</v>
      </c>
      <c r="BP2478">
        <v>0</v>
      </c>
      <c r="BW2478" t="str">
        <f t="shared" si="1169"/>
        <v>14:45:32.825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56</v>
      </c>
      <c r="CR2478">
        <v>2</v>
      </c>
      <c r="CW2478">
        <v>4865295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1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ref="A2479:A2487" si="1170">"05/12/2020 14:45:16.096"</f>
        <v>05/12/2020 14:45:16.096</v>
      </c>
      <c r="C2479" t="str">
        <f t="shared" si="1160"/>
        <v>FFDFD3C0</v>
      </c>
      <c r="D2479" t="s">
        <v>138</v>
      </c>
      <c r="E2479">
        <v>3</v>
      </c>
      <c r="H2479">
        <v>9</v>
      </c>
      <c r="I2479" t="s">
        <v>140</v>
      </c>
      <c r="J2479" t="s">
        <v>136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ref="S2479:S2487" si="1171">"14:45:33.938"</f>
        <v>14:45:33.938</v>
      </c>
      <c r="T2479" t="str">
        <f t="shared" ref="T2479:T2487" si="1172">"14:45:33.638"</f>
        <v>14:45:33.638</v>
      </c>
      <c r="U2479" t="str">
        <f t="shared" si="1147"/>
        <v>A9808D</v>
      </c>
      <c r="V2479">
        <v>0</v>
      </c>
      <c r="W2479">
        <v>0</v>
      </c>
      <c r="X2479">
        <v>1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0</v>
      </c>
      <c r="AI2479" t="s">
        <v>256</v>
      </c>
      <c r="AJ2479">
        <v>28.253167000000001</v>
      </c>
      <c r="AK2479" t="s">
        <v>619</v>
      </c>
      <c r="AL2479">
        <v>-82.325664000000003</v>
      </c>
      <c r="AM2479">
        <v>100</v>
      </c>
      <c r="AN2479">
        <v>2300</v>
      </c>
      <c r="AO2479" t="s">
        <v>118</v>
      </c>
      <c r="AP2479">
        <v>95</v>
      </c>
      <c r="AQ2479">
        <v>-41</v>
      </c>
      <c r="AR2479">
        <v>256</v>
      </c>
      <c r="AZ2479">
        <v>1200</v>
      </c>
      <c r="BA2479">
        <v>1</v>
      </c>
      <c r="BB2479" t="str">
        <f t="shared" si="1161"/>
        <v xml:space="preserve">N711JA  </v>
      </c>
      <c r="BC2479">
        <v>1</v>
      </c>
      <c r="BE2479">
        <v>0</v>
      </c>
      <c r="BF2479">
        <v>0</v>
      </c>
      <c r="BG2479">
        <v>0</v>
      </c>
      <c r="BH2479">
        <v>2400</v>
      </c>
      <c r="BI2479">
        <v>1</v>
      </c>
      <c r="BJ2479">
        <v>1</v>
      </c>
      <c r="BK2479">
        <v>0</v>
      </c>
      <c r="BL2479">
        <v>0</v>
      </c>
      <c r="BO2479">
        <v>0</v>
      </c>
      <c r="BP2479">
        <v>0</v>
      </c>
      <c r="BW2479" t="str">
        <f t="shared" ref="BW2479:BW2487" si="1173">"14:45:33.939"</f>
        <v>14:45:33.939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343</v>
      </c>
      <c r="CR2479">
        <v>2</v>
      </c>
      <c r="CW2479">
        <v>13141490</v>
      </c>
      <c r="CY2479">
        <v>1</v>
      </c>
      <c r="CZ2479">
        <v>0</v>
      </c>
      <c r="DA2479">
        <v>0</v>
      </c>
      <c r="DB2479">
        <v>0</v>
      </c>
      <c r="DC2479">
        <v>0</v>
      </c>
      <c r="DD2479">
        <v>1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si="1170"/>
        <v>05/12/2020 14:45:16.096</v>
      </c>
      <c r="C2480" t="str">
        <f t="shared" si="1160"/>
        <v>FFDFD3C0</v>
      </c>
      <c r="D2480" t="s">
        <v>126</v>
      </c>
      <c r="E2480">
        <v>7</v>
      </c>
      <c r="F2480">
        <v>1007</v>
      </c>
      <c r="G2480" t="s">
        <v>127</v>
      </c>
      <c r="J2480" t="s">
        <v>128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171"/>
        <v>14:45:33.938</v>
      </c>
      <c r="T2480" t="str">
        <f t="shared" si="1172"/>
        <v>14:45:33.638</v>
      </c>
      <c r="U2480" t="str">
        <f t="shared" si="1147"/>
        <v>A9808D</v>
      </c>
      <c r="V2480">
        <v>0</v>
      </c>
      <c r="W2480">
        <v>0</v>
      </c>
      <c r="X2480">
        <v>1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0</v>
      </c>
      <c r="AI2480" t="s">
        <v>256</v>
      </c>
      <c r="AJ2480">
        <v>28.253167000000001</v>
      </c>
      <c r="AK2480" t="s">
        <v>619</v>
      </c>
      <c r="AL2480">
        <v>-82.325664000000003</v>
      </c>
      <c r="AM2480">
        <v>100</v>
      </c>
      <c r="AN2480">
        <v>2300</v>
      </c>
      <c r="AO2480" t="s">
        <v>118</v>
      </c>
      <c r="AP2480">
        <v>95</v>
      </c>
      <c r="AQ2480">
        <v>-41</v>
      </c>
      <c r="AR2480">
        <v>256</v>
      </c>
      <c r="AZ2480">
        <v>1200</v>
      </c>
      <c r="BA2480">
        <v>1</v>
      </c>
      <c r="BB2480" t="str">
        <f t="shared" si="1161"/>
        <v xml:space="preserve">N711JA  </v>
      </c>
      <c r="BC2480">
        <v>1</v>
      </c>
      <c r="BE2480">
        <v>0</v>
      </c>
      <c r="BF2480">
        <v>0</v>
      </c>
      <c r="BG2480">
        <v>0</v>
      </c>
      <c r="BH2480">
        <v>2400</v>
      </c>
      <c r="BI2480">
        <v>1</v>
      </c>
      <c r="BJ2480">
        <v>1</v>
      </c>
      <c r="BK2480">
        <v>0</v>
      </c>
      <c r="BL2480">
        <v>0</v>
      </c>
      <c r="BO2480">
        <v>0</v>
      </c>
      <c r="BP2480">
        <v>0</v>
      </c>
      <c r="BW2480" t="str">
        <f t="shared" si="1173"/>
        <v>14:45:33.939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343</v>
      </c>
      <c r="CR2480">
        <v>2</v>
      </c>
      <c r="CW2480">
        <v>13141490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1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si="1170"/>
        <v>05/12/2020 14:45:16.096</v>
      </c>
      <c r="C2481" t="str">
        <f t="shared" si="1160"/>
        <v>FFDFD3C0</v>
      </c>
      <c r="D2481" t="s">
        <v>138</v>
      </c>
      <c r="E2481">
        <v>2</v>
      </c>
      <c r="H2481">
        <v>8</v>
      </c>
      <c r="I2481" t="s">
        <v>139</v>
      </c>
      <c r="J2481" t="s">
        <v>136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171"/>
        <v>14:45:33.938</v>
      </c>
      <c r="T2481" t="str">
        <f t="shared" si="1172"/>
        <v>14:45:33.638</v>
      </c>
      <c r="U2481" t="str">
        <f t="shared" si="1147"/>
        <v>A9808D</v>
      </c>
      <c r="V2481">
        <v>0</v>
      </c>
      <c r="W2481">
        <v>0</v>
      </c>
      <c r="X2481">
        <v>1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0</v>
      </c>
      <c r="AI2481" t="s">
        <v>256</v>
      </c>
      <c r="AJ2481">
        <v>28.253167000000001</v>
      </c>
      <c r="AK2481" t="s">
        <v>619</v>
      </c>
      <c r="AL2481">
        <v>-82.325664000000003</v>
      </c>
      <c r="AM2481">
        <v>100</v>
      </c>
      <c r="AN2481">
        <v>2300</v>
      </c>
      <c r="AO2481" t="s">
        <v>118</v>
      </c>
      <c r="AP2481">
        <v>95</v>
      </c>
      <c r="AQ2481">
        <v>-41</v>
      </c>
      <c r="AR2481">
        <v>256</v>
      </c>
      <c r="AZ2481">
        <v>1200</v>
      </c>
      <c r="BA2481">
        <v>1</v>
      </c>
      <c r="BB2481" t="str">
        <f t="shared" si="1161"/>
        <v xml:space="preserve">N711JA  </v>
      </c>
      <c r="BC2481">
        <v>1</v>
      </c>
      <c r="BE2481">
        <v>0</v>
      </c>
      <c r="BF2481">
        <v>0</v>
      </c>
      <c r="BG2481">
        <v>0</v>
      </c>
      <c r="BH2481">
        <v>2400</v>
      </c>
      <c r="BI2481">
        <v>1</v>
      </c>
      <c r="BJ2481">
        <v>1</v>
      </c>
      <c r="BK2481">
        <v>0</v>
      </c>
      <c r="BL2481">
        <v>0</v>
      </c>
      <c r="BO2481">
        <v>0</v>
      </c>
      <c r="BP2481">
        <v>0</v>
      </c>
      <c r="BW2481" t="str">
        <f t="shared" si="1173"/>
        <v>14:45:33.939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343</v>
      </c>
      <c r="CR2481">
        <v>2</v>
      </c>
      <c r="CW2481">
        <v>13141490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1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si="1170"/>
        <v>05/12/2020 14:45:16.096</v>
      </c>
      <c r="C2482" t="str">
        <f t="shared" si="1160"/>
        <v>FFDFD3C0</v>
      </c>
      <c r="D2482" t="s">
        <v>131</v>
      </c>
      <c r="E2482">
        <v>10</v>
      </c>
      <c r="F2482">
        <v>2010</v>
      </c>
      <c r="G2482" t="s">
        <v>132</v>
      </c>
      <c r="J2482" t="s">
        <v>133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171"/>
        <v>14:45:33.938</v>
      </c>
      <c r="T2482" t="str">
        <f t="shared" si="1172"/>
        <v>14:45:33.638</v>
      </c>
      <c r="U2482" t="str">
        <f t="shared" si="1147"/>
        <v>A9808D</v>
      </c>
      <c r="V2482">
        <v>0</v>
      </c>
      <c r="W2482">
        <v>0</v>
      </c>
      <c r="X2482">
        <v>1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0</v>
      </c>
      <c r="AI2482" t="s">
        <v>256</v>
      </c>
      <c r="AJ2482">
        <v>28.253167000000001</v>
      </c>
      <c r="AK2482" t="s">
        <v>619</v>
      </c>
      <c r="AL2482">
        <v>-82.325664000000003</v>
      </c>
      <c r="AM2482">
        <v>100</v>
      </c>
      <c r="AN2482">
        <v>2300</v>
      </c>
      <c r="AO2482" t="s">
        <v>118</v>
      </c>
      <c r="AP2482">
        <v>95</v>
      </c>
      <c r="AQ2482">
        <v>-41</v>
      </c>
      <c r="AR2482">
        <v>256</v>
      </c>
      <c r="AZ2482">
        <v>1200</v>
      </c>
      <c r="BA2482">
        <v>1</v>
      </c>
      <c r="BB2482" t="str">
        <f t="shared" si="1161"/>
        <v xml:space="preserve">N711JA  </v>
      </c>
      <c r="BC2482">
        <v>1</v>
      </c>
      <c r="BE2482">
        <v>0</v>
      </c>
      <c r="BF2482">
        <v>0</v>
      </c>
      <c r="BG2482">
        <v>0</v>
      </c>
      <c r="BH2482">
        <v>2400</v>
      </c>
      <c r="BI2482">
        <v>1</v>
      </c>
      <c r="BJ2482">
        <v>1</v>
      </c>
      <c r="BK2482">
        <v>0</v>
      </c>
      <c r="BL2482">
        <v>0</v>
      </c>
      <c r="BO2482">
        <v>0</v>
      </c>
      <c r="BP2482">
        <v>0</v>
      </c>
      <c r="BW2482" t="str">
        <f t="shared" si="1173"/>
        <v>14:45:33.939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343</v>
      </c>
      <c r="CR2482">
        <v>2</v>
      </c>
      <c r="CW2482">
        <v>13141490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1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1170"/>
        <v>05/12/2020 14:45:16.096</v>
      </c>
      <c r="C2483" t="str">
        <f t="shared" si="1160"/>
        <v>FFDFD3C0</v>
      </c>
      <c r="D2483" t="s">
        <v>131</v>
      </c>
      <c r="E2483">
        <v>12</v>
      </c>
      <c r="F2483">
        <v>2012</v>
      </c>
      <c r="G2483" t="s">
        <v>137</v>
      </c>
      <c r="J2483" t="s">
        <v>133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171"/>
        <v>14:45:33.938</v>
      </c>
      <c r="T2483" t="str">
        <f t="shared" si="1172"/>
        <v>14:45:33.638</v>
      </c>
      <c r="U2483" t="str">
        <f t="shared" si="1147"/>
        <v>A9808D</v>
      </c>
      <c r="V2483">
        <v>0</v>
      </c>
      <c r="W2483">
        <v>0</v>
      </c>
      <c r="X2483">
        <v>1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0</v>
      </c>
      <c r="AI2483" t="s">
        <v>256</v>
      </c>
      <c r="AJ2483">
        <v>28.253167000000001</v>
      </c>
      <c r="AK2483" t="s">
        <v>619</v>
      </c>
      <c r="AL2483">
        <v>-82.325664000000003</v>
      </c>
      <c r="AM2483">
        <v>100</v>
      </c>
      <c r="AN2483">
        <v>2300</v>
      </c>
      <c r="AO2483" t="s">
        <v>118</v>
      </c>
      <c r="AP2483">
        <v>95</v>
      </c>
      <c r="AQ2483">
        <v>-41</v>
      </c>
      <c r="AR2483">
        <v>256</v>
      </c>
      <c r="AZ2483">
        <v>1200</v>
      </c>
      <c r="BA2483">
        <v>1</v>
      </c>
      <c r="BB2483" t="str">
        <f t="shared" si="1161"/>
        <v xml:space="preserve">N711JA  </v>
      </c>
      <c r="BC2483">
        <v>1</v>
      </c>
      <c r="BE2483">
        <v>0</v>
      </c>
      <c r="BF2483">
        <v>0</v>
      </c>
      <c r="BG2483">
        <v>0</v>
      </c>
      <c r="BH2483">
        <v>2400</v>
      </c>
      <c r="BI2483">
        <v>1</v>
      </c>
      <c r="BJ2483">
        <v>1</v>
      </c>
      <c r="BK2483">
        <v>0</v>
      </c>
      <c r="BL2483">
        <v>0</v>
      </c>
      <c r="BO2483">
        <v>0</v>
      </c>
      <c r="BP2483">
        <v>0</v>
      </c>
      <c r="BW2483" t="str">
        <f t="shared" si="1173"/>
        <v>14:45:33.939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343</v>
      </c>
      <c r="CR2483">
        <v>2</v>
      </c>
      <c r="CW2483">
        <v>13141490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1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1170"/>
        <v>05/12/2020 14:45:16.096</v>
      </c>
      <c r="C2484" t="str">
        <f t="shared" si="1160"/>
        <v>FFDFD3C0</v>
      </c>
      <c r="D2484" t="s">
        <v>113</v>
      </c>
      <c r="E2484">
        <v>3</v>
      </c>
      <c r="H2484">
        <v>164</v>
      </c>
      <c r="I2484" t="s">
        <v>114</v>
      </c>
      <c r="J2484" t="s">
        <v>115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171"/>
        <v>14:45:33.938</v>
      </c>
      <c r="T2484" t="str">
        <f t="shared" si="1172"/>
        <v>14:45:33.638</v>
      </c>
      <c r="U2484" t="str">
        <f t="shared" si="1147"/>
        <v>A9808D</v>
      </c>
      <c r="V2484">
        <v>0</v>
      </c>
      <c r="W2484">
        <v>0</v>
      </c>
      <c r="X2484">
        <v>1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0</v>
      </c>
      <c r="AI2484" t="s">
        <v>256</v>
      </c>
      <c r="AJ2484">
        <v>28.253167000000001</v>
      </c>
      <c r="AK2484" t="s">
        <v>619</v>
      </c>
      <c r="AL2484">
        <v>-82.325664000000003</v>
      </c>
      <c r="AM2484">
        <v>100</v>
      </c>
      <c r="AN2484">
        <v>2300</v>
      </c>
      <c r="AO2484" t="s">
        <v>118</v>
      </c>
      <c r="AP2484">
        <v>95</v>
      </c>
      <c r="AQ2484">
        <v>-41</v>
      </c>
      <c r="AR2484">
        <v>256</v>
      </c>
      <c r="AZ2484">
        <v>1200</v>
      </c>
      <c r="BA2484">
        <v>1</v>
      </c>
      <c r="BB2484" t="str">
        <f t="shared" si="1161"/>
        <v xml:space="preserve">N711JA  </v>
      </c>
      <c r="BC2484">
        <v>1</v>
      </c>
      <c r="BE2484">
        <v>0</v>
      </c>
      <c r="BF2484">
        <v>0</v>
      </c>
      <c r="BG2484">
        <v>0</v>
      </c>
      <c r="BH2484">
        <v>2400</v>
      </c>
      <c r="BI2484">
        <v>1</v>
      </c>
      <c r="BJ2484">
        <v>1</v>
      </c>
      <c r="BK2484">
        <v>0</v>
      </c>
      <c r="BL2484">
        <v>0</v>
      </c>
      <c r="BO2484">
        <v>0</v>
      </c>
      <c r="BP2484">
        <v>0</v>
      </c>
      <c r="BW2484" t="str">
        <f t="shared" si="1173"/>
        <v>14:45:33.939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343</v>
      </c>
      <c r="CR2484">
        <v>2</v>
      </c>
      <c r="CW2484">
        <v>13141490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1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 t="shared" si="1170"/>
        <v>05/12/2020 14:45:16.096</v>
      </c>
      <c r="C2485" t="str">
        <f t="shared" si="1160"/>
        <v>FFDFD3C0</v>
      </c>
      <c r="D2485" t="s">
        <v>134</v>
      </c>
      <c r="E2485">
        <v>12</v>
      </c>
      <c r="H2485">
        <v>64</v>
      </c>
      <c r="I2485" t="s">
        <v>135</v>
      </c>
      <c r="J2485" t="s">
        <v>136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171"/>
        <v>14:45:33.938</v>
      </c>
      <c r="T2485" t="str">
        <f t="shared" si="1172"/>
        <v>14:45:33.638</v>
      </c>
      <c r="U2485" t="str">
        <f t="shared" si="1147"/>
        <v>A9808D</v>
      </c>
      <c r="V2485">
        <v>0</v>
      </c>
      <c r="W2485">
        <v>0</v>
      </c>
      <c r="X2485">
        <v>1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0</v>
      </c>
      <c r="AI2485" t="s">
        <v>256</v>
      </c>
      <c r="AJ2485">
        <v>28.253167000000001</v>
      </c>
      <c r="AK2485" t="s">
        <v>619</v>
      </c>
      <c r="AL2485">
        <v>-82.325664000000003</v>
      </c>
      <c r="AM2485">
        <v>100</v>
      </c>
      <c r="AN2485">
        <v>2300</v>
      </c>
      <c r="AO2485" t="s">
        <v>118</v>
      </c>
      <c r="AP2485">
        <v>95</v>
      </c>
      <c r="AQ2485">
        <v>-41</v>
      </c>
      <c r="AR2485">
        <v>256</v>
      </c>
      <c r="AZ2485">
        <v>1200</v>
      </c>
      <c r="BA2485">
        <v>1</v>
      </c>
      <c r="BB2485" t="str">
        <f t="shared" si="1161"/>
        <v xml:space="preserve">N711JA  </v>
      </c>
      <c r="BC2485">
        <v>1</v>
      </c>
      <c r="BE2485">
        <v>0</v>
      </c>
      <c r="BF2485">
        <v>0</v>
      </c>
      <c r="BG2485">
        <v>0</v>
      </c>
      <c r="BH2485">
        <v>2400</v>
      </c>
      <c r="BI2485">
        <v>1</v>
      </c>
      <c r="BJ2485">
        <v>1</v>
      </c>
      <c r="BK2485">
        <v>0</v>
      </c>
      <c r="BL2485">
        <v>0</v>
      </c>
      <c r="BO2485">
        <v>0</v>
      </c>
      <c r="BP2485">
        <v>0</v>
      </c>
      <c r="BW2485" t="str">
        <f t="shared" si="1173"/>
        <v>14:45:33.939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343</v>
      </c>
      <c r="CR2485">
        <v>2</v>
      </c>
      <c r="CW2485">
        <v>13141490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1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 t="shared" si="1170"/>
        <v>05/12/2020 14:45:16.096</v>
      </c>
      <c r="C2486" t="str">
        <f t="shared" si="1160"/>
        <v>FFDFD3C0</v>
      </c>
      <c r="D2486" t="s">
        <v>131</v>
      </c>
      <c r="E2486">
        <v>18</v>
      </c>
      <c r="F2486">
        <v>2018</v>
      </c>
      <c r="G2486" t="s">
        <v>161</v>
      </c>
      <c r="J2486" t="s">
        <v>133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171"/>
        <v>14:45:33.938</v>
      </c>
      <c r="T2486" t="str">
        <f t="shared" si="1172"/>
        <v>14:45:33.638</v>
      </c>
      <c r="U2486" t="str">
        <f t="shared" si="1147"/>
        <v>A9808D</v>
      </c>
      <c r="V2486">
        <v>0</v>
      </c>
      <c r="W2486">
        <v>0</v>
      </c>
      <c r="X2486">
        <v>1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0</v>
      </c>
      <c r="AI2486" t="s">
        <v>256</v>
      </c>
      <c r="AJ2486">
        <v>28.253167000000001</v>
      </c>
      <c r="AK2486" t="s">
        <v>619</v>
      </c>
      <c r="AL2486">
        <v>-82.325664000000003</v>
      </c>
      <c r="AM2486">
        <v>100</v>
      </c>
      <c r="AN2486">
        <v>2300</v>
      </c>
      <c r="AO2486" t="s">
        <v>118</v>
      </c>
      <c r="AP2486">
        <v>95</v>
      </c>
      <c r="AQ2486">
        <v>-41</v>
      </c>
      <c r="AR2486">
        <v>256</v>
      </c>
      <c r="AZ2486">
        <v>1200</v>
      </c>
      <c r="BA2486">
        <v>1</v>
      </c>
      <c r="BB2486" t="str">
        <f t="shared" si="1161"/>
        <v xml:space="preserve">N711JA  </v>
      </c>
      <c r="BC2486">
        <v>1</v>
      </c>
      <c r="BE2486">
        <v>0</v>
      </c>
      <c r="BF2486">
        <v>0</v>
      </c>
      <c r="BG2486">
        <v>0</v>
      </c>
      <c r="BH2486">
        <v>2400</v>
      </c>
      <c r="BI2486">
        <v>1</v>
      </c>
      <c r="BJ2486">
        <v>1</v>
      </c>
      <c r="BK2486">
        <v>0</v>
      </c>
      <c r="BL2486">
        <v>0</v>
      </c>
      <c r="BO2486">
        <v>0</v>
      </c>
      <c r="BP2486">
        <v>0</v>
      </c>
      <c r="BW2486" t="str">
        <f t="shared" si="1173"/>
        <v>14:45:33.939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343</v>
      </c>
      <c r="CR2486">
        <v>2</v>
      </c>
      <c r="CW2486">
        <v>13141490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1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 t="shared" si="1170"/>
        <v>05/12/2020 14:45:16.096</v>
      </c>
      <c r="C2487" t="str">
        <f t="shared" si="1160"/>
        <v>FFDFD3C0</v>
      </c>
      <c r="D2487" t="s">
        <v>126</v>
      </c>
      <c r="E2487">
        <v>6</v>
      </c>
      <c r="F2487">
        <v>1006</v>
      </c>
      <c r="G2487" t="s">
        <v>114</v>
      </c>
      <c r="J2487" t="s">
        <v>128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171"/>
        <v>14:45:33.938</v>
      </c>
      <c r="T2487" t="str">
        <f t="shared" si="1172"/>
        <v>14:45:33.638</v>
      </c>
      <c r="U2487" t="str">
        <f t="shared" si="1147"/>
        <v>A9808D</v>
      </c>
      <c r="V2487">
        <v>0</v>
      </c>
      <c r="W2487">
        <v>0</v>
      </c>
      <c r="X2487">
        <v>1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0</v>
      </c>
      <c r="AI2487" t="s">
        <v>256</v>
      </c>
      <c r="AJ2487">
        <v>28.253167000000001</v>
      </c>
      <c r="AK2487" t="s">
        <v>619</v>
      </c>
      <c r="AL2487">
        <v>-82.325664000000003</v>
      </c>
      <c r="AM2487">
        <v>100</v>
      </c>
      <c r="AN2487">
        <v>2300</v>
      </c>
      <c r="AO2487" t="s">
        <v>118</v>
      </c>
      <c r="AP2487">
        <v>95</v>
      </c>
      <c r="AQ2487">
        <v>-41</v>
      </c>
      <c r="AR2487">
        <v>256</v>
      </c>
      <c r="AZ2487">
        <v>1200</v>
      </c>
      <c r="BA2487">
        <v>1</v>
      </c>
      <c r="BB2487" t="str">
        <f t="shared" si="1161"/>
        <v xml:space="preserve">N711JA  </v>
      </c>
      <c r="BC2487">
        <v>1</v>
      </c>
      <c r="BE2487">
        <v>0</v>
      </c>
      <c r="BF2487">
        <v>0</v>
      </c>
      <c r="BG2487">
        <v>0</v>
      </c>
      <c r="BH2487">
        <v>2400</v>
      </c>
      <c r="BI2487">
        <v>1</v>
      </c>
      <c r="BJ2487">
        <v>1</v>
      </c>
      <c r="BK2487">
        <v>0</v>
      </c>
      <c r="BL2487">
        <v>0</v>
      </c>
      <c r="BO2487">
        <v>0</v>
      </c>
      <c r="BP2487">
        <v>0</v>
      </c>
      <c r="BW2487" t="str">
        <f t="shared" si="1173"/>
        <v>14:45:33.939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343</v>
      </c>
      <c r="CR2487">
        <v>2</v>
      </c>
      <c r="CW2487">
        <v>13141490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1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 t="shared" ref="A2488:A2496" si="1174">"05/12/2020 14:45:16.985"</f>
        <v>05/12/2020 14:45:16.985</v>
      </c>
      <c r="C2488" t="str">
        <f t="shared" si="1160"/>
        <v>FFDFD3C0</v>
      </c>
      <c r="D2488" t="s">
        <v>113</v>
      </c>
      <c r="E2488">
        <v>3</v>
      </c>
      <c r="H2488">
        <v>164</v>
      </c>
      <c r="I2488" t="s">
        <v>114</v>
      </c>
      <c r="J2488" t="s">
        <v>115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ref="S2488:S2496" si="1175">"14:45:34.820"</f>
        <v>14:45:34.820</v>
      </c>
      <c r="T2488" t="str">
        <f t="shared" ref="T2488:T2496" si="1176">"14:45:34.720"</f>
        <v>14:45:34.720</v>
      </c>
      <c r="U2488" t="str">
        <f t="shared" si="1147"/>
        <v>A9808D</v>
      </c>
      <c r="V2488">
        <v>0</v>
      </c>
      <c r="W2488">
        <v>0</v>
      </c>
      <c r="X2488">
        <v>1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0</v>
      </c>
      <c r="AI2488" t="s">
        <v>620</v>
      </c>
      <c r="AJ2488">
        <v>28.253015999999999</v>
      </c>
      <c r="AK2488" t="s">
        <v>621</v>
      </c>
      <c r="AL2488">
        <v>-82.325191000000004</v>
      </c>
      <c r="AM2488">
        <v>100</v>
      </c>
      <c r="AN2488">
        <v>2300</v>
      </c>
      <c r="AO2488" t="s">
        <v>118</v>
      </c>
      <c r="AP2488">
        <v>96</v>
      </c>
      <c r="AQ2488">
        <v>-40</v>
      </c>
      <c r="AR2488">
        <v>256</v>
      </c>
      <c r="AZ2488">
        <v>1200</v>
      </c>
      <c r="BA2488">
        <v>1</v>
      </c>
      <c r="BB2488" t="str">
        <f t="shared" si="1161"/>
        <v xml:space="preserve">N711JA  </v>
      </c>
      <c r="BC2488">
        <v>1</v>
      </c>
      <c r="BE2488">
        <v>0</v>
      </c>
      <c r="BF2488">
        <v>0</v>
      </c>
      <c r="BG2488">
        <v>0</v>
      </c>
      <c r="BH2488">
        <v>2425</v>
      </c>
      <c r="BI2488">
        <v>1</v>
      </c>
      <c r="BJ2488">
        <v>1</v>
      </c>
      <c r="BK2488">
        <v>0</v>
      </c>
      <c r="BL2488">
        <v>0</v>
      </c>
      <c r="BO2488">
        <v>0</v>
      </c>
      <c r="BP2488">
        <v>0</v>
      </c>
      <c r="BW2488" t="str">
        <f t="shared" ref="BW2488:BW2496" si="1177">"14:45:34.821"</f>
        <v>14:45:34.821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6</v>
      </c>
      <c r="CP2488" t="s">
        <v>119</v>
      </c>
      <c r="CQ2488">
        <v>56</v>
      </c>
      <c r="CR2488">
        <v>3</v>
      </c>
      <c r="CW2488">
        <v>12166237</v>
      </c>
      <c r="CY2488">
        <v>1</v>
      </c>
      <c r="CZ2488">
        <v>0</v>
      </c>
      <c r="DA2488">
        <v>0</v>
      </c>
      <c r="DB2488">
        <v>0</v>
      </c>
      <c r="DC2488">
        <v>0</v>
      </c>
      <c r="DD2488">
        <v>1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si="1174"/>
        <v>05/12/2020 14:45:16.985</v>
      </c>
      <c r="C2489" t="str">
        <f t="shared" si="1160"/>
        <v>FFDFD3C0</v>
      </c>
      <c r="D2489" t="s">
        <v>131</v>
      </c>
      <c r="E2489">
        <v>18</v>
      </c>
      <c r="F2489">
        <v>2018</v>
      </c>
      <c r="G2489" t="s">
        <v>161</v>
      </c>
      <c r="J2489" t="s">
        <v>133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175"/>
        <v>14:45:34.820</v>
      </c>
      <c r="T2489" t="str">
        <f t="shared" si="1176"/>
        <v>14:45:34.720</v>
      </c>
      <c r="U2489" t="str">
        <f t="shared" si="1147"/>
        <v>A9808D</v>
      </c>
      <c r="V2489">
        <v>0</v>
      </c>
      <c r="W2489">
        <v>0</v>
      </c>
      <c r="X2489">
        <v>1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0</v>
      </c>
      <c r="AI2489" t="s">
        <v>620</v>
      </c>
      <c r="AJ2489">
        <v>28.253015999999999</v>
      </c>
      <c r="AK2489" t="s">
        <v>621</v>
      </c>
      <c r="AL2489">
        <v>-82.325191000000004</v>
      </c>
      <c r="AM2489">
        <v>100</v>
      </c>
      <c r="AN2489">
        <v>2300</v>
      </c>
      <c r="AO2489" t="s">
        <v>118</v>
      </c>
      <c r="AP2489">
        <v>96</v>
      </c>
      <c r="AQ2489">
        <v>-40</v>
      </c>
      <c r="AR2489">
        <v>256</v>
      </c>
      <c r="AZ2489">
        <v>1200</v>
      </c>
      <c r="BA2489">
        <v>1</v>
      </c>
      <c r="BB2489" t="str">
        <f t="shared" si="1161"/>
        <v xml:space="preserve">N711JA  </v>
      </c>
      <c r="BC2489">
        <v>1</v>
      </c>
      <c r="BE2489">
        <v>0</v>
      </c>
      <c r="BF2489">
        <v>0</v>
      </c>
      <c r="BG2489">
        <v>0</v>
      </c>
      <c r="BH2489">
        <v>2425</v>
      </c>
      <c r="BI2489">
        <v>1</v>
      </c>
      <c r="BJ2489">
        <v>1</v>
      </c>
      <c r="BK2489">
        <v>0</v>
      </c>
      <c r="BL2489">
        <v>0</v>
      </c>
      <c r="BO2489">
        <v>0</v>
      </c>
      <c r="BP2489">
        <v>0</v>
      </c>
      <c r="BW2489" t="str">
        <f t="shared" si="1177"/>
        <v>14:45:34.821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6</v>
      </c>
      <c r="CP2489" t="s">
        <v>119</v>
      </c>
      <c r="CQ2489">
        <v>56</v>
      </c>
      <c r="CR2489">
        <v>3</v>
      </c>
      <c r="CW2489">
        <v>12166237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1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1174"/>
        <v>05/12/2020 14:45:16.985</v>
      </c>
      <c r="C2490" t="str">
        <f t="shared" si="1160"/>
        <v>FFDFD3C0</v>
      </c>
      <c r="D2490" t="s">
        <v>134</v>
      </c>
      <c r="E2490">
        <v>12</v>
      </c>
      <c r="H2490">
        <v>64</v>
      </c>
      <c r="I2490" t="s">
        <v>135</v>
      </c>
      <c r="J2490" t="s">
        <v>136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175"/>
        <v>14:45:34.820</v>
      </c>
      <c r="T2490" t="str">
        <f t="shared" si="1176"/>
        <v>14:45:34.720</v>
      </c>
      <c r="U2490" t="str">
        <f t="shared" si="1147"/>
        <v>A9808D</v>
      </c>
      <c r="V2490">
        <v>0</v>
      </c>
      <c r="W2490">
        <v>0</v>
      </c>
      <c r="X2490">
        <v>1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0</v>
      </c>
      <c r="AI2490" t="s">
        <v>620</v>
      </c>
      <c r="AJ2490">
        <v>28.253015999999999</v>
      </c>
      <c r="AK2490" t="s">
        <v>621</v>
      </c>
      <c r="AL2490">
        <v>-82.325191000000004</v>
      </c>
      <c r="AM2490">
        <v>100</v>
      </c>
      <c r="AN2490">
        <v>2300</v>
      </c>
      <c r="AO2490" t="s">
        <v>118</v>
      </c>
      <c r="AP2490">
        <v>96</v>
      </c>
      <c r="AQ2490">
        <v>-40</v>
      </c>
      <c r="AR2490">
        <v>256</v>
      </c>
      <c r="AZ2490">
        <v>1200</v>
      </c>
      <c r="BA2490">
        <v>1</v>
      </c>
      <c r="BB2490" t="str">
        <f t="shared" si="1161"/>
        <v xml:space="preserve">N711JA  </v>
      </c>
      <c r="BC2490">
        <v>1</v>
      </c>
      <c r="BE2490">
        <v>0</v>
      </c>
      <c r="BF2490">
        <v>0</v>
      </c>
      <c r="BG2490">
        <v>0</v>
      </c>
      <c r="BH2490">
        <v>2425</v>
      </c>
      <c r="BI2490">
        <v>1</v>
      </c>
      <c r="BJ2490">
        <v>1</v>
      </c>
      <c r="BK2490">
        <v>0</v>
      </c>
      <c r="BL2490">
        <v>0</v>
      </c>
      <c r="BO2490">
        <v>0</v>
      </c>
      <c r="BP2490">
        <v>0</v>
      </c>
      <c r="BW2490" t="str">
        <f t="shared" si="1177"/>
        <v>14:45:34.821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4</v>
      </c>
      <c r="CP2490" t="s">
        <v>119</v>
      </c>
      <c r="CQ2490">
        <v>9</v>
      </c>
      <c r="CR2490">
        <v>0</v>
      </c>
      <c r="CW2490">
        <v>12684646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1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1174"/>
        <v>05/12/2020 14:45:16.985</v>
      </c>
      <c r="C2491" t="str">
        <f t="shared" si="1160"/>
        <v>FFDFD3C0</v>
      </c>
      <c r="D2491" t="s">
        <v>126</v>
      </c>
      <c r="E2491">
        <v>6</v>
      </c>
      <c r="F2491">
        <v>1006</v>
      </c>
      <c r="G2491" t="s">
        <v>114</v>
      </c>
      <c r="J2491" t="s">
        <v>128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175"/>
        <v>14:45:34.820</v>
      </c>
      <c r="T2491" t="str">
        <f t="shared" si="1176"/>
        <v>14:45:34.720</v>
      </c>
      <c r="U2491" t="str">
        <f t="shared" si="1147"/>
        <v>A9808D</v>
      </c>
      <c r="V2491">
        <v>0</v>
      </c>
      <c r="W2491">
        <v>0</v>
      </c>
      <c r="X2491">
        <v>1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0</v>
      </c>
      <c r="AI2491" t="s">
        <v>620</v>
      </c>
      <c r="AJ2491">
        <v>28.253015999999999</v>
      </c>
      <c r="AK2491" t="s">
        <v>621</v>
      </c>
      <c r="AL2491">
        <v>-82.325191000000004</v>
      </c>
      <c r="AM2491">
        <v>100</v>
      </c>
      <c r="AN2491">
        <v>2300</v>
      </c>
      <c r="AO2491" t="s">
        <v>118</v>
      </c>
      <c r="AP2491">
        <v>96</v>
      </c>
      <c r="AQ2491">
        <v>-40</v>
      </c>
      <c r="AR2491">
        <v>256</v>
      </c>
      <c r="AZ2491">
        <v>1200</v>
      </c>
      <c r="BA2491">
        <v>1</v>
      </c>
      <c r="BB2491" t="str">
        <f t="shared" si="1161"/>
        <v xml:space="preserve">N711JA  </v>
      </c>
      <c r="BC2491">
        <v>1</v>
      </c>
      <c r="BE2491">
        <v>0</v>
      </c>
      <c r="BF2491">
        <v>0</v>
      </c>
      <c r="BG2491">
        <v>0</v>
      </c>
      <c r="BH2491">
        <v>2425</v>
      </c>
      <c r="BI2491">
        <v>1</v>
      </c>
      <c r="BJ2491">
        <v>1</v>
      </c>
      <c r="BK2491">
        <v>0</v>
      </c>
      <c r="BL2491">
        <v>0</v>
      </c>
      <c r="BO2491">
        <v>0</v>
      </c>
      <c r="BP2491">
        <v>0</v>
      </c>
      <c r="BW2491" t="str">
        <f t="shared" si="1177"/>
        <v>14:45:34.821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6</v>
      </c>
      <c r="CP2491" t="s">
        <v>119</v>
      </c>
      <c r="CQ2491">
        <v>56</v>
      </c>
      <c r="CR2491">
        <v>3</v>
      </c>
      <c r="CW2491">
        <v>12166237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1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1174"/>
        <v>05/12/2020 14:45:16.985</v>
      </c>
      <c r="C2492" t="str">
        <f t="shared" si="1160"/>
        <v>FFDFD3C0</v>
      </c>
      <c r="D2492" t="s">
        <v>138</v>
      </c>
      <c r="E2492">
        <v>3</v>
      </c>
      <c r="H2492">
        <v>9</v>
      </c>
      <c r="I2492" t="s">
        <v>140</v>
      </c>
      <c r="J2492" t="s">
        <v>136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175"/>
        <v>14:45:34.820</v>
      </c>
      <c r="T2492" t="str">
        <f t="shared" si="1176"/>
        <v>14:45:34.720</v>
      </c>
      <c r="U2492" t="str">
        <f t="shared" si="1147"/>
        <v>A9808D</v>
      </c>
      <c r="V2492">
        <v>0</v>
      </c>
      <c r="W2492">
        <v>0</v>
      </c>
      <c r="X2492">
        <v>1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0</v>
      </c>
      <c r="AI2492" t="s">
        <v>620</v>
      </c>
      <c r="AJ2492">
        <v>28.253015999999999</v>
      </c>
      <c r="AK2492" t="s">
        <v>621</v>
      </c>
      <c r="AL2492">
        <v>-82.325191000000004</v>
      </c>
      <c r="AM2492">
        <v>100</v>
      </c>
      <c r="AN2492">
        <v>2300</v>
      </c>
      <c r="AO2492" t="s">
        <v>118</v>
      </c>
      <c r="AP2492">
        <v>96</v>
      </c>
      <c r="AQ2492">
        <v>-40</v>
      </c>
      <c r="AR2492">
        <v>256</v>
      </c>
      <c r="AZ2492">
        <v>1200</v>
      </c>
      <c r="BA2492">
        <v>1</v>
      </c>
      <c r="BB2492" t="str">
        <f t="shared" si="1161"/>
        <v xml:space="preserve">N711JA  </v>
      </c>
      <c r="BC2492">
        <v>1</v>
      </c>
      <c r="BE2492">
        <v>0</v>
      </c>
      <c r="BF2492">
        <v>0</v>
      </c>
      <c r="BG2492">
        <v>0</v>
      </c>
      <c r="BH2492">
        <v>2425</v>
      </c>
      <c r="BI2492">
        <v>1</v>
      </c>
      <c r="BJ2492">
        <v>1</v>
      </c>
      <c r="BK2492">
        <v>0</v>
      </c>
      <c r="BL2492">
        <v>0</v>
      </c>
      <c r="BO2492">
        <v>0</v>
      </c>
      <c r="BP2492">
        <v>0</v>
      </c>
      <c r="BW2492" t="str">
        <f t="shared" si="1177"/>
        <v>14:45:34.821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6</v>
      </c>
      <c r="CP2492" t="s">
        <v>119</v>
      </c>
      <c r="CQ2492">
        <v>56</v>
      </c>
      <c r="CR2492">
        <v>3</v>
      </c>
      <c r="CW2492">
        <v>12166237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1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 t="shared" si="1174"/>
        <v>05/12/2020 14:45:16.985</v>
      </c>
      <c r="C2493" t="str">
        <f t="shared" si="1160"/>
        <v>FFDFD3C0</v>
      </c>
      <c r="D2493" t="s">
        <v>126</v>
      </c>
      <c r="E2493">
        <v>7</v>
      </c>
      <c r="F2493">
        <v>1007</v>
      </c>
      <c r="G2493" t="s">
        <v>127</v>
      </c>
      <c r="J2493" t="s">
        <v>128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175"/>
        <v>14:45:34.820</v>
      </c>
      <c r="T2493" t="str">
        <f t="shared" si="1176"/>
        <v>14:45:34.720</v>
      </c>
      <c r="U2493" t="str">
        <f t="shared" si="1147"/>
        <v>A9808D</v>
      </c>
      <c r="V2493">
        <v>0</v>
      </c>
      <c r="W2493">
        <v>0</v>
      </c>
      <c r="X2493">
        <v>1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0</v>
      </c>
      <c r="AI2493" t="s">
        <v>620</v>
      </c>
      <c r="AJ2493">
        <v>28.253015999999999</v>
      </c>
      <c r="AK2493" t="s">
        <v>621</v>
      </c>
      <c r="AL2493">
        <v>-82.325191000000004</v>
      </c>
      <c r="AM2493">
        <v>100</v>
      </c>
      <c r="AN2493">
        <v>2300</v>
      </c>
      <c r="AO2493" t="s">
        <v>118</v>
      </c>
      <c r="AP2493">
        <v>96</v>
      </c>
      <c r="AQ2493">
        <v>-40</v>
      </c>
      <c r="AR2493">
        <v>256</v>
      </c>
      <c r="AZ2493">
        <v>1200</v>
      </c>
      <c r="BA2493">
        <v>1</v>
      </c>
      <c r="BB2493" t="str">
        <f t="shared" si="1161"/>
        <v xml:space="preserve">N711JA  </v>
      </c>
      <c r="BC2493">
        <v>1</v>
      </c>
      <c r="BE2493">
        <v>0</v>
      </c>
      <c r="BF2493">
        <v>0</v>
      </c>
      <c r="BG2493">
        <v>0</v>
      </c>
      <c r="BH2493">
        <v>2425</v>
      </c>
      <c r="BI2493">
        <v>1</v>
      </c>
      <c r="BJ2493">
        <v>1</v>
      </c>
      <c r="BK2493">
        <v>0</v>
      </c>
      <c r="BL2493">
        <v>0</v>
      </c>
      <c r="BO2493">
        <v>0</v>
      </c>
      <c r="BP2493">
        <v>0</v>
      </c>
      <c r="BW2493" t="str">
        <f t="shared" si="1177"/>
        <v>14:45:34.821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6</v>
      </c>
      <c r="CP2493" t="s">
        <v>119</v>
      </c>
      <c r="CQ2493">
        <v>56</v>
      </c>
      <c r="CR2493">
        <v>3</v>
      </c>
      <c r="CW2493">
        <v>12166237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1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 t="shared" si="1174"/>
        <v>05/12/2020 14:45:16.985</v>
      </c>
      <c r="C2494" t="str">
        <f t="shared" si="1160"/>
        <v>FFDFD3C0</v>
      </c>
      <c r="D2494" t="s">
        <v>131</v>
      </c>
      <c r="E2494">
        <v>10</v>
      </c>
      <c r="F2494">
        <v>2010</v>
      </c>
      <c r="G2494" t="s">
        <v>132</v>
      </c>
      <c r="J2494" t="s">
        <v>133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175"/>
        <v>14:45:34.820</v>
      </c>
      <c r="T2494" t="str">
        <f t="shared" si="1176"/>
        <v>14:45:34.720</v>
      </c>
      <c r="U2494" t="str">
        <f t="shared" si="1147"/>
        <v>A9808D</v>
      </c>
      <c r="V2494">
        <v>0</v>
      </c>
      <c r="W2494">
        <v>0</v>
      </c>
      <c r="X2494">
        <v>1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0</v>
      </c>
      <c r="AI2494" t="s">
        <v>620</v>
      </c>
      <c r="AJ2494">
        <v>28.253015999999999</v>
      </c>
      <c r="AK2494" t="s">
        <v>621</v>
      </c>
      <c r="AL2494">
        <v>-82.325191000000004</v>
      </c>
      <c r="AM2494">
        <v>100</v>
      </c>
      <c r="AN2494">
        <v>2300</v>
      </c>
      <c r="AO2494" t="s">
        <v>118</v>
      </c>
      <c r="AP2494">
        <v>96</v>
      </c>
      <c r="AQ2494">
        <v>-40</v>
      </c>
      <c r="AR2494">
        <v>256</v>
      </c>
      <c r="AZ2494">
        <v>1200</v>
      </c>
      <c r="BA2494">
        <v>1</v>
      </c>
      <c r="BB2494" t="str">
        <f t="shared" si="1161"/>
        <v xml:space="preserve">N711JA  </v>
      </c>
      <c r="BC2494">
        <v>1</v>
      </c>
      <c r="BE2494">
        <v>0</v>
      </c>
      <c r="BF2494">
        <v>0</v>
      </c>
      <c r="BG2494">
        <v>0</v>
      </c>
      <c r="BH2494">
        <v>2425</v>
      </c>
      <c r="BI2494">
        <v>1</v>
      </c>
      <c r="BJ2494">
        <v>1</v>
      </c>
      <c r="BK2494">
        <v>0</v>
      </c>
      <c r="BL2494">
        <v>0</v>
      </c>
      <c r="BO2494">
        <v>0</v>
      </c>
      <c r="BP2494">
        <v>0</v>
      </c>
      <c r="BW2494" t="str">
        <f t="shared" si="1177"/>
        <v>14:45:34.821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6</v>
      </c>
      <c r="CP2494" t="s">
        <v>119</v>
      </c>
      <c r="CQ2494">
        <v>56</v>
      </c>
      <c r="CR2494">
        <v>3</v>
      </c>
      <c r="CW2494">
        <v>12166237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1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 t="shared" si="1174"/>
        <v>05/12/2020 14:45:16.985</v>
      </c>
      <c r="C2495" t="str">
        <f t="shared" si="1160"/>
        <v>FFDFD3C0</v>
      </c>
      <c r="D2495" t="s">
        <v>131</v>
      </c>
      <c r="E2495">
        <v>12</v>
      </c>
      <c r="F2495">
        <v>2012</v>
      </c>
      <c r="G2495" t="s">
        <v>137</v>
      </c>
      <c r="J2495" t="s">
        <v>133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175"/>
        <v>14:45:34.820</v>
      </c>
      <c r="T2495" t="str">
        <f t="shared" si="1176"/>
        <v>14:45:34.720</v>
      </c>
      <c r="U2495" t="str">
        <f t="shared" si="1147"/>
        <v>A9808D</v>
      </c>
      <c r="V2495">
        <v>0</v>
      </c>
      <c r="W2495">
        <v>0</v>
      </c>
      <c r="X2495">
        <v>1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0</v>
      </c>
      <c r="AI2495" t="s">
        <v>620</v>
      </c>
      <c r="AJ2495">
        <v>28.253015999999999</v>
      </c>
      <c r="AK2495" t="s">
        <v>621</v>
      </c>
      <c r="AL2495">
        <v>-82.325191000000004</v>
      </c>
      <c r="AM2495">
        <v>100</v>
      </c>
      <c r="AN2495">
        <v>2300</v>
      </c>
      <c r="AO2495" t="s">
        <v>118</v>
      </c>
      <c r="AP2495">
        <v>96</v>
      </c>
      <c r="AQ2495">
        <v>-40</v>
      </c>
      <c r="AR2495">
        <v>256</v>
      </c>
      <c r="AZ2495">
        <v>1200</v>
      </c>
      <c r="BA2495">
        <v>1</v>
      </c>
      <c r="BB2495" t="str">
        <f t="shared" si="1161"/>
        <v xml:space="preserve">N711JA  </v>
      </c>
      <c r="BC2495">
        <v>1</v>
      </c>
      <c r="BE2495">
        <v>0</v>
      </c>
      <c r="BF2495">
        <v>0</v>
      </c>
      <c r="BG2495">
        <v>0</v>
      </c>
      <c r="BH2495">
        <v>2425</v>
      </c>
      <c r="BI2495">
        <v>1</v>
      </c>
      <c r="BJ2495">
        <v>1</v>
      </c>
      <c r="BK2495">
        <v>0</v>
      </c>
      <c r="BL2495">
        <v>0</v>
      </c>
      <c r="BO2495">
        <v>0</v>
      </c>
      <c r="BP2495">
        <v>0</v>
      </c>
      <c r="BW2495" t="str">
        <f t="shared" si="1177"/>
        <v>14:45:34.821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6</v>
      </c>
      <c r="CP2495" t="s">
        <v>119</v>
      </c>
      <c r="CQ2495">
        <v>56</v>
      </c>
      <c r="CR2495">
        <v>3</v>
      </c>
      <c r="CW2495">
        <v>12166237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1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 t="shared" si="1174"/>
        <v>05/12/2020 14:45:16.985</v>
      </c>
      <c r="C2496" t="str">
        <f t="shared" si="1160"/>
        <v>FFDFD3C0</v>
      </c>
      <c r="D2496" t="s">
        <v>138</v>
      </c>
      <c r="E2496">
        <v>2</v>
      </c>
      <c r="H2496">
        <v>8</v>
      </c>
      <c r="I2496" t="s">
        <v>139</v>
      </c>
      <c r="J2496" t="s">
        <v>136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175"/>
        <v>14:45:34.820</v>
      </c>
      <c r="T2496" t="str">
        <f t="shared" si="1176"/>
        <v>14:45:34.720</v>
      </c>
      <c r="U2496" t="str">
        <f t="shared" si="1147"/>
        <v>A9808D</v>
      </c>
      <c r="V2496">
        <v>0</v>
      </c>
      <c r="W2496">
        <v>0</v>
      </c>
      <c r="X2496">
        <v>1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0</v>
      </c>
      <c r="AI2496" t="s">
        <v>620</v>
      </c>
      <c r="AJ2496">
        <v>28.253015999999999</v>
      </c>
      <c r="AK2496" t="s">
        <v>621</v>
      </c>
      <c r="AL2496">
        <v>-82.325191000000004</v>
      </c>
      <c r="AM2496">
        <v>100</v>
      </c>
      <c r="AN2496">
        <v>2300</v>
      </c>
      <c r="AO2496" t="s">
        <v>118</v>
      </c>
      <c r="AP2496">
        <v>96</v>
      </c>
      <c r="AQ2496">
        <v>-40</v>
      </c>
      <c r="AR2496">
        <v>256</v>
      </c>
      <c r="AZ2496">
        <v>1200</v>
      </c>
      <c r="BA2496">
        <v>1</v>
      </c>
      <c r="BB2496" t="str">
        <f t="shared" si="1161"/>
        <v xml:space="preserve">N711JA  </v>
      </c>
      <c r="BC2496">
        <v>1</v>
      </c>
      <c r="BE2496">
        <v>0</v>
      </c>
      <c r="BF2496">
        <v>0</v>
      </c>
      <c r="BG2496">
        <v>0</v>
      </c>
      <c r="BH2496">
        <v>2425</v>
      </c>
      <c r="BI2496">
        <v>1</v>
      </c>
      <c r="BJ2496">
        <v>1</v>
      </c>
      <c r="BK2496">
        <v>0</v>
      </c>
      <c r="BL2496">
        <v>0</v>
      </c>
      <c r="BO2496">
        <v>0</v>
      </c>
      <c r="BP2496">
        <v>0</v>
      </c>
      <c r="BW2496" t="str">
        <f t="shared" si="1177"/>
        <v>14:45:34.821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6</v>
      </c>
      <c r="CP2496" t="s">
        <v>119</v>
      </c>
      <c r="CQ2496">
        <v>56</v>
      </c>
      <c r="CR2496">
        <v>3</v>
      </c>
      <c r="CW2496">
        <v>12166237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1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 t="shared" ref="A2497:A2505" si="1178">"05/12/2020 14:45:18.045"</f>
        <v>05/12/2020 14:45:18.045</v>
      </c>
      <c r="C2497" t="str">
        <f t="shared" si="1160"/>
        <v>FFDFD3C0</v>
      </c>
      <c r="D2497" t="s">
        <v>138</v>
      </c>
      <c r="E2497">
        <v>2</v>
      </c>
      <c r="H2497">
        <v>8</v>
      </c>
      <c r="I2497" t="s">
        <v>139</v>
      </c>
      <c r="J2497" t="s">
        <v>136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ref="S2497:S2505" si="1179">"14:45:35.875"</f>
        <v>14:45:35.875</v>
      </c>
      <c r="T2497" t="str">
        <f t="shared" ref="T2497:T2505" si="1180">"14:45:35.675"</f>
        <v>14:45:35.675</v>
      </c>
      <c r="U2497" t="str">
        <f t="shared" si="1147"/>
        <v>A9808D</v>
      </c>
      <c r="V2497">
        <v>0</v>
      </c>
      <c r="W2497">
        <v>0</v>
      </c>
      <c r="X2497">
        <v>1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0</v>
      </c>
      <c r="AI2497" t="s">
        <v>622</v>
      </c>
      <c r="AJ2497">
        <v>28.252801999999999</v>
      </c>
      <c r="AK2497" t="s">
        <v>623</v>
      </c>
      <c r="AL2497">
        <v>-82.324719000000002</v>
      </c>
      <c r="AM2497">
        <v>100</v>
      </c>
      <c r="AN2497">
        <v>2300</v>
      </c>
      <c r="AO2497" t="s">
        <v>118</v>
      </c>
      <c r="AP2497">
        <v>96</v>
      </c>
      <c r="AQ2497">
        <v>-39</v>
      </c>
      <c r="AR2497">
        <v>320</v>
      </c>
      <c r="AZ2497">
        <v>1200</v>
      </c>
      <c r="BA2497">
        <v>1</v>
      </c>
      <c r="BB2497" t="str">
        <f t="shared" si="1161"/>
        <v xml:space="preserve">N711JA  </v>
      </c>
      <c r="BC2497">
        <v>1</v>
      </c>
      <c r="BE2497">
        <v>0</v>
      </c>
      <c r="BF2497">
        <v>0</v>
      </c>
      <c r="BG2497">
        <v>0</v>
      </c>
      <c r="BH2497">
        <v>2425</v>
      </c>
      <c r="BI2497">
        <v>1</v>
      </c>
      <c r="BJ2497">
        <v>1</v>
      </c>
      <c r="BK2497">
        <v>0</v>
      </c>
      <c r="BL2497">
        <v>0</v>
      </c>
      <c r="BO2497">
        <v>0</v>
      </c>
      <c r="BP2497">
        <v>0</v>
      </c>
      <c r="BW2497" t="str">
        <f t="shared" ref="BW2497:BW2505" si="1181">"14:45:35.879"</f>
        <v>14:45:35.879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56</v>
      </c>
      <c r="CR2497">
        <v>2</v>
      </c>
      <c r="CW2497">
        <v>4869179</v>
      </c>
      <c r="CY2497">
        <v>1</v>
      </c>
      <c r="CZ2497">
        <v>0</v>
      </c>
      <c r="DA2497">
        <v>0</v>
      </c>
      <c r="DB2497">
        <v>0</v>
      </c>
      <c r="DC2497">
        <v>0</v>
      </c>
      <c r="DD2497">
        <v>1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 t="shared" si="1178"/>
        <v>05/12/2020 14:45:18.045</v>
      </c>
      <c r="C2498" t="str">
        <f t="shared" si="1160"/>
        <v>FFDFD3C0</v>
      </c>
      <c r="D2498" t="s">
        <v>113</v>
      </c>
      <c r="E2498">
        <v>3</v>
      </c>
      <c r="H2498">
        <v>164</v>
      </c>
      <c r="I2498" t="s">
        <v>114</v>
      </c>
      <c r="J2498" t="s">
        <v>115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179"/>
        <v>14:45:35.875</v>
      </c>
      <c r="T2498" t="str">
        <f t="shared" si="1180"/>
        <v>14:45:35.675</v>
      </c>
      <c r="U2498" t="str">
        <f t="shared" ref="U2498:U2561" si="1182">"A9808D"</f>
        <v>A9808D</v>
      </c>
      <c r="V2498">
        <v>0</v>
      </c>
      <c r="W2498">
        <v>0</v>
      </c>
      <c r="X2498">
        <v>1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0</v>
      </c>
      <c r="AI2498" t="s">
        <v>622</v>
      </c>
      <c r="AJ2498">
        <v>28.252801999999999</v>
      </c>
      <c r="AK2498" t="s">
        <v>623</v>
      </c>
      <c r="AL2498">
        <v>-82.324719000000002</v>
      </c>
      <c r="AM2498">
        <v>100</v>
      </c>
      <c r="AN2498">
        <v>2300</v>
      </c>
      <c r="AO2498" t="s">
        <v>118</v>
      </c>
      <c r="AP2498">
        <v>96</v>
      </c>
      <c r="AQ2498">
        <v>-39</v>
      </c>
      <c r="AR2498">
        <v>320</v>
      </c>
      <c r="AZ2498">
        <v>1200</v>
      </c>
      <c r="BA2498">
        <v>1</v>
      </c>
      <c r="BB2498" t="str">
        <f t="shared" si="1161"/>
        <v xml:space="preserve">N711JA  </v>
      </c>
      <c r="BC2498">
        <v>1</v>
      </c>
      <c r="BE2498">
        <v>0</v>
      </c>
      <c r="BF2498">
        <v>0</v>
      </c>
      <c r="BG2498">
        <v>0</v>
      </c>
      <c r="BH2498">
        <v>2425</v>
      </c>
      <c r="BI2498">
        <v>1</v>
      </c>
      <c r="BJ2498">
        <v>1</v>
      </c>
      <c r="BK2498">
        <v>0</v>
      </c>
      <c r="BL2498">
        <v>0</v>
      </c>
      <c r="BO2498">
        <v>0</v>
      </c>
      <c r="BP2498">
        <v>0</v>
      </c>
      <c r="BW2498" t="str">
        <f t="shared" si="1181"/>
        <v>14:45:35.879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56</v>
      </c>
      <c r="CR2498">
        <v>2</v>
      </c>
      <c r="CW2498">
        <v>4869179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 t="shared" si="1178"/>
        <v>05/12/2020 14:45:18.045</v>
      </c>
      <c r="C2499" t="str">
        <f t="shared" si="1160"/>
        <v>FFDFD3C0</v>
      </c>
      <c r="D2499" t="s">
        <v>131</v>
      </c>
      <c r="E2499">
        <v>18</v>
      </c>
      <c r="F2499">
        <v>2018</v>
      </c>
      <c r="G2499" t="s">
        <v>161</v>
      </c>
      <c r="J2499" t="s">
        <v>133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179"/>
        <v>14:45:35.875</v>
      </c>
      <c r="T2499" t="str">
        <f t="shared" si="1180"/>
        <v>14:45:35.675</v>
      </c>
      <c r="U2499" t="str">
        <f t="shared" si="1182"/>
        <v>A9808D</v>
      </c>
      <c r="V2499">
        <v>0</v>
      </c>
      <c r="W2499">
        <v>0</v>
      </c>
      <c r="X2499">
        <v>1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0</v>
      </c>
      <c r="AI2499" t="s">
        <v>622</v>
      </c>
      <c r="AJ2499">
        <v>28.252801999999999</v>
      </c>
      <c r="AK2499" t="s">
        <v>623</v>
      </c>
      <c r="AL2499">
        <v>-82.324719000000002</v>
      </c>
      <c r="AM2499">
        <v>100</v>
      </c>
      <c r="AN2499">
        <v>2300</v>
      </c>
      <c r="AO2499" t="s">
        <v>118</v>
      </c>
      <c r="AP2499">
        <v>96</v>
      </c>
      <c r="AQ2499">
        <v>-39</v>
      </c>
      <c r="AR2499">
        <v>320</v>
      </c>
      <c r="AZ2499">
        <v>1200</v>
      </c>
      <c r="BA2499">
        <v>1</v>
      </c>
      <c r="BB2499" t="str">
        <f t="shared" si="1161"/>
        <v xml:space="preserve">N711JA  </v>
      </c>
      <c r="BC2499">
        <v>1</v>
      </c>
      <c r="BE2499">
        <v>0</v>
      </c>
      <c r="BF2499">
        <v>0</v>
      </c>
      <c r="BG2499">
        <v>0</v>
      </c>
      <c r="BH2499">
        <v>2425</v>
      </c>
      <c r="BI2499">
        <v>1</v>
      </c>
      <c r="BJ2499">
        <v>1</v>
      </c>
      <c r="BK2499">
        <v>0</v>
      </c>
      <c r="BL2499">
        <v>0</v>
      </c>
      <c r="BO2499">
        <v>0</v>
      </c>
      <c r="BP2499">
        <v>0</v>
      </c>
      <c r="BW2499" t="str">
        <f t="shared" si="1181"/>
        <v>14:45:35.879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56</v>
      </c>
      <c r="CR2499">
        <v>2</v>
      </c>
      <c r="CW2499">
        <v>4869179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1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 t="shared" si="1178"/>
        <v>05/12/2020 14:45:18.045</v>
      </c>
      <c r="C2500" t="str">
        <f t="shared" si="1160"/>
        <v>FFDFD3C0</v>
      </c>
      <c r="D2500" t="s">
        <v>134</v>
      </c>
      <c r="E2500">
        <v>12</v>
      </c>
      <c r="H2500">
        <v>64</v>
      </c>
      <c r="I2500" t="s">
        <v>135</v>
      </c>
      <c r="J2500" t="s">
        <v>136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179"/>
        <v>14:45:35.875</v>
      </c>
      <c r="T2500" t="str">
        <f t="shared" si="1180"/>
        <v>14:45:35.675</v>
      </c>
      <c r="U2500" t="str">
        <f t="shared" si="1182"/>
        <v>A9808D</v>
      </c>
      <c r="V2500">
        <v>0</v>
      </c>
      <c r="W2500">
        <v>0</v>
      </c>
      <c r="X2500">
        <v>1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0</v>
      </c>
      <c r="AI2500" t="s">
        <v>622</v>
      </c>
      <c r="AJ2500">
        <v>28.252801999999999</v>
      </c>
      <c r="AK2500" t="s">
        <v>623</v>
      </c>
      <c r="AL2500">
        <v>-82.324719000000002</v>
      </c>
      <c r="AM2500">
        <v>100</v>
      </c>
      <c r="AN2500">
        <v>2300</v>
      </c>
      <c r="AO2500" t="s">
        <v>118</v>
      </c>
      <c r="AP2500">
        <v>96</v>
      </c>
      <c r="AQ2500">
        <v>-39</v>
      </c>
      <c r="AR2500">
        <v>320</v>
      </c>
      <c r="AZ2500">
        <v>1200</v>
      </c>
      <c r="BA2500">
        <v>1</v>
      </c>
      <c r="BB2500" t="str">
        <f t="shared" si="1161"/>
        <v xml:space="preserve">N711JA  </v>
      </c>
      <c r="BC2500">
        <v>1</v>
      </c>
      <c r="BE2500">
        <v>0</v>
      </c>
      <c r="BF2500">
        <v>0</v>
      </c>
      <c r="BG2500">
        <v>0</v>
      </c>
      <c r="BH2500">
        <v>2425</v>
      </c>
      <c r="BI2500">
        <v>1</v>
      </c>
      <c r="BJ2500">
        <v>1</v>
      </c>
      <c r="BK2500">
        <v>0</v>
      </c>
      <c r="BL2500">
        <v>0</v>
      </c>
      <c r="BO2500">
        <v>0</v>
      </c>
      <c r="BP2500">
        <v>0</v>
      </c>
      <c r="BW2500" t="str">
        <f t="shared" si="1181"/>
        <v>14:45:35.879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343</v>
      </c>
      <c r="CR2500">
        <v>2</v>
      </c>
      <c r="CW2500">
        <v>13142965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1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 t="shared" si="1178"/>
        <v>05/12/2020 14:45:18.045</v>
      </c>
      <c r="C2501" t="str">
        <f t="shared" si="1160"/>
        <v>FFDFD3C0</v>
      </c>
      <c r="D2501" t="s">
        <v>126</v>
      </c>
      <c r="E2501">
        <v>6</v>
      </c>
      <c r="F2501">
        <v>1006</v>
      </c>
      <c r="G2501" t="s">
        <v>114</v>
      </c>
      <c r="J2501" t="s">
        <v>128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179"/>
        <v>14:45:35.875</v>
      </c>
      <c r="T2501" t="str">
        <f t="shared" si="1180"/>
        <v>14:45:35.675</v>
      </c>
      <c r="U2501" t="str">
        <f t="shared" si="1182"/>
        <v>A9808D</v>
      </c>
      <c r="V2501">
        <v>0</v>
      </c>
      <c r="W2501">
        <v>0</v>
      </c>
      <c r="X2501">
        <v>1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0</v>
      </c>
      <c r="AI2501" t="s">
        <v>622</v>
      </c>
      <c r="AJ2501">
        <v>28.252801999999999</v>
      </c>
      <c r="AK2501" t="s">
        <v>623</v>
      </c>
      <c r="AL2501">
        <v>-82.324719000000002</v>
      </c>
      <c r="AM2501">
        <v>100</v>
      </c>
      <c r="AN2501">
        <v>2300</v>
      </c>
      <c r="AO2501" t="s">
        <v>118</v>
      </c>
      <c r="AP2501">
        <v>96</v>
      </c>
      <c r="AQ2501">
        <v>-39</v>
      </c>
      <c r="AR2501">
        <v>320</v>
      </c>
      <c r="AZ2501">
        <v>1200</v>
      </c>
      <c r="BA2501">
        <v>1</v>
      </c>
      <c r="BB2501" t="str">
        <f t="shared" si="1161"/>
        <v xml:space="preserve">N711JA  </v>
      </c>
      <c r="BC2501">
        <v>1</v>
      </c>
      <c r="BE2501">
        <v>0</v>
      </c>
      <c r="BF2501">
        <v>0</v>
      </c>
      <c r="BG2501">
        <v>0</v>
      </c>
      <c r="BH2501">
        <v>2425</v>
      </c>
      <c r="BI2501">
        <v>1</v>
      </c>
      <c r="BJ2501">
        <v>1</v>
      </c>
      <c r="BK2501">
        <v>0</v>
      </c>
      <c r="BL2501">
        <v>0</v>
      </c>
      <c r="BO2501">
        <v>0</v>
      </c>
      <c r="BP2501">
        <v>0</v>
      </c>
      <c r="BW2501" t="str">
        <f t="shared" si="1181"/>
        <v>14:45:35.879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56</v>
      </c>
      <c r="CR2501">
        <v>2</v>
      </c>
      <c r="CW2501">
        <v>4869179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1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 t="shared" si="1178"/>
        <v>05/12/2020 14:45:18.045</v>
      </c>
      <c r="C2502" t="str">
        <f t="shared" si="1160"/>
        <v>FFDFD3C0</v>
      </c>
      <c r="D2502" t="s">
        <v>138</v>
      </c>
      <c r="E2502">
        <v>3</v>
      </c>
      <c r="H2502">
        <v>9</v>
      </c>
      <c r="I2502" t="s">
        <v>140</v>
      </c>
      <c r="J2502" t="s">
        <v>136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179"/>
        <v>14:45:35.875</v>
      </c>
      <c r="T2502" t="str">
        <f t="shared" si="1180"/>
        <v>14:45:35.675</v>
      </c>
      <c r="U2502" t="str">
        <f t="shared" si="1182"/>
        <v>A9808D</v>
      </c>
      <c r="V2502">
        <v>0</v>
      </c>
      <c r="W2502">
        <v>0</v>
      </c>
      <c r="X2502">
        <v>1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0</v>
      </c>
      <c r="AI2502" t="s">
        <v>622</v>
      </c>
      <c r="AJ2502">
        <v>28.252801999999999</v>
      </c>
      <c r="AK2502" t="s">
        <v>623</v>
      </c>
      <c r="AL2502">
        <v>-82.324719000000002</v>
      </c>
      <c r="AM2502">
        <v>100</v>
      </c>
      <c r="AN2502">
        <v>2300</v>
      </c>
      <c r="AO2502" t="s">
        <v>118</v>
      </c>
      <c r="AP2502">
        <v>96</v>
      </c>
      <c r="AQ2502">
        <v>-39</v>
      </c>
      <c r="AR2502">
        <v>320</v>
      </c>
      <c r="AZ2502">
        <v>1200</v>
      </c>
      <c r="BA2502">
        <v>1</v>
      </c>
      <c r="BB2502" t="str">
        <f t="shared" si="1161"/>
        <v xml:space="preserve">N711JA  </v>
      </c>
      <c r="BC2502">
        <v>1</v>
      </c>
      <c r="BE2502">
        <v>0</v>
      </c>
      <c r="BF2502">
        <v>0</v>
      </c>
      <c r="BG2502">
        <v>0</v>
      </c>
      <c r="BH2502">
        <v>2425</v>
      </c>
      <c r="BI2502">
        <v>1</v>
      </c>
      <c r="BJ2502">
        <v>1</v>
      </c>
      <c r="BK2502">
        <v>0</v>
      </c>
      <c r="BL2502">
        <v>0</v>
      </c>
      <c r="BO2502">
        <v>0</v>
      </c>
      <c r="BP2502">
        <v>0</v>
      </c>
      <c r="BW2502" t="str">
        <f t="shared" si="1181"/>
        <v>14:45:35.879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56</v>
      </c>
      <c r="CR2502">
        <v>2</v>
      </c>
      <c r="CW2502">
        <v>4869179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1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 t="shared" si="1178"/>
        <v>05/12/2020 14:45:18.045</v>
      </c>
      <c r="C2503" t="str">
        <f t="shared" si="1160"/>
        <v>FFDFD3C0</v>
      </c>
      <c r="D2503" t="s">
        <v>126</v>
      </c>
      <c r="E2503">
        <v>7</v>
      </c>
      <c r="F2503">
        <v>1007</v>
      </c>
      <c r="G2503" t="s">
        <v>127</v>
      </c>
      <c r="J2503" t="s">
        <v>128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179"/>
        <v>14:45:35.875</v>
      </c>
      <c r="T2503" t="str">
        <f t="shared" si="1180"/>
        <v>14:45:35.675</v>
      </c>
      <c r="U2503" t="str">
        <f t="shared" si="1182"/>
        <v>A9808D</v>
      </c>
      <c r="V2503">
        <v>0</v>
      </c>
      <c r="W2503">
        <v>0</v>
      </c>
      <c r="X2503">
        <v>1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0</v>
      </c>
      <c r="AI2503" t="s">
        <v>622</v>
      </c>
      <c r="AJ2503">
        <v>28.252801999999999</v>
      </c>
      <c r="AK2503" t="s">
        <v>623</v>
      </c>
      <c r="AL2503">
        <v>-82.324719000000002</v>
      </c>
      <c r="AM2503">
        <v>100</v>
      </c>
      <c r="AN2503">
        <v>2300</v>
      </c>
      <c r="AO2503" t="s">
        <v>118</v>
      </c>
      <c r="AP2503">
        <v>96</v>
      </c>
      <c r="AQ2503">
        <v>-39</v>
      </c>
      <c r="AR2503">
        <v>320</v>
      </c>
      <c r="AZ2503">
        <v>1200</v>
      </c>
      <c r="BA2503">
        <v>1</v>
      </c>
      <c r="BB2503" t="str">
        <f t="shared" si="1161"/>
        <v xml:space="preserve">N711JA  </v>
      </c>
      <c r="BC2503">
        <v>1</v>
      </c>
      <c r="BE2503">
        <v>0</v>
      </c>
      <c r="BF2503">
        <v>0</v>
      </c>
      <c r="BG2503">
        <v>0</v>
      </c>
      <c r="BH2503">
        <v>2425</v>
      </c>
      <c r="BI2503">
        <v>1</v>
      </c>
      <c r="BJ2503">
        <v>1</v>
      </c>
      <c r="BK2503">
        <v>0</v>
      </c>
      <c r="BL2503">
        <v>0</v>
      </c>
      <c r="BO2503">
        <v>0</v>
      </c>
      <c r="BP2503">
        <v>0</v>
      </c>
      <c r="BW2503" t="str">
        <f t="shared" si="1181"/>
        <v>14:45:35.879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56</v>
      </c>
      <c r="CR2503">
        <v>2</v>
      </c>
      <c r="CW2503">
        <v>4869179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1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 t="shared" si="1178"/>
        <v>05/12/2020 14:45:18.045</v>
      </c>
      <c r="C2504" t="str">
        <f t="shared" si="1160"/>
        <v>FFDFD3C0</v>
      </c>
      <c r="D2504" t="s">
        <v>131</v>
      </c>
      <c r="E2504">
        <v>10</v>
      </c>
      <c r="F2504">
        <v>2010</v>
      </c>
      <c r="G2504" t="s">
        <v>132</v>
      </c>
      <c r="J2504" t="s">
        <v>133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179"/>
        <v>14:45:35.875</v>
      </c>
      <c r="T2504" t="str">
        <f t="shared" si="1180"/>
        <v>14:45:35.675</v>
      </c>
      <c r="U2504" t="str">
        <f t="shared" si="1182"/>
        <v>A9808D</v>
      </c>
      <c r="V2504">
        <v>0</v>
      </c>
      <c r="W2504">
        <v>0</v>
      </c>
      <c r="X2504">
        <v>1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0</v>
      </c>
      <c r="AI2504" t="s">
        <v>622</v>
      </c>
      <c r="AJ2504">
        <v>28.252801999999999</v>
      </c>
      <c r="AK2504" t="s">
        <v>623</v>
      </c>
      <c r="AL2504">
        <v>-82.324719000000002</v>
      </c>
      <c r="AM2504">
        <v>100</v>
      </c>
      <c r="AN2504">
        <v>2300</v>
      </c>
      <c r="AO2504" t="s">
        <v>118</v>
      </c>
      <c r="AP2504">
        <v>96</v>
      </c>
      <c r="AQ2504">
        <v>-39</v>
      </c>
      <c r="AR2504">
        <v>320</v>
      </c>
      <c r="AZ2504">
        <v>1200</v>
      </c>
      <c r="BA2504">
        <v>1</v>
      </c>
      <c r="BB2504" t="str">
        <f t="shared" si="1161"/>
        <v xml:space="preserve">N711JA  </v>
      </c>
      <c r="BC2504">
        <v>1</v>
      </c>
      <c r="BE2504">
        <v>0</v>
      </c>
      <c r="BF2504">
        <v>0</v>
      </c>
      <c r="BG2504">
        <v>0</v>
      </c>
      <c r="BH2504">
        <v>2425</v>
      </c>
      <c r="BI2504">
        <v>1</v>
      </c>
      <c r="BJ2504">
        <v>1</v>
      </c>
      <c r="BK2504">
        <v>0</v>
      </c>
      <c r="BL2504">
        <v>0</v>
      </c>
      <c r="BO2504">
        <v>0</v>
      </c>
      <c r="BP2504">
        <v>0</v>
      </c>
      <c r="BW2504" t="str">
        <f t="shared" si="1181"/>
        <v>14:45:35.879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7</v>
      </c>
      <c r="CP2504" t="s">
        <v>119</v>
      </c>
      <c r="CQ2504">
        <v>56</v>
      </c>
      <c r="CR2504">
        <v>2</v>
      </c>
      <c r="CW2504">
        <v>4869179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1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 t="shared" si="1178"/>
        <v>05/12/2020 14:45:18.045</v>
      </c>
      <c r="C2505" t="str">
        <f t="shared" si="1160"/>
        <v>FFDFD3C0</v>
      </c>
      <c r="D2505" t="s">
        <v>131</v>
      </c>
      <c r="E2505">
        <v>12</v>
      </c>
      <c r="F2505">
        <v>2012</v>
      </c>
      <c r="G2505" t="s">
        <v>137</v>
      </c>
      <c r="J2505" t="s">
        <v>133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179"/>
        <v>14:45:35.875</v>
      </c>
      <c r="T2505" t="str">
        <f t="shared" si="1180"/>
        <v>14:45:35.675</v>
      </c>
      <c r="U2505" t="str">
        <f t="shared" si="1182"/>
        <v>A9808D</v>
      </c>
      <c r="V2505">
        <v>0</v>
      </c>
      <c r="W2505">
        <v>0</v>
      </c>
      <c r="X2505">
        <v>1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0</v>
      </c>
      <c r="AI2505" t="s">
        <v>622</v>
      </c>
      <c r="AJ2505">
        <v>28.252801999999999</v>
      </c>
      <c r="AK2505" t="s">
        <v>623</v>
      </c>
      <c r="AL2505">
        <v>-82.324719000000002</v>
      </c>
      <c r="AM2505">
        <v>100</v>
      </c>
      <c r="AN2505">
        <v>2300</v>
      </c>
      <c r="AO2505" t="s">
        <v>118</v>
      </c>
      <c r="AP2505">
        <v>96</v>
      </c>
      <c r="AQ2505">
        <v>-39</v>
      </c>
      <c r="AR2505">
        <v>320</v>
      </c>
      <c r="AZ2505">
        <v>1200</v>
      </c>
      <c r="BA2505">
        <v>1</v>
      </c>
      <c r="BB2505" t="str">
        <f t="shared" si="1161"/>
        <v xml:space="preserve">N711JA  </v>
      </c>
      <c r="BC2505">
        <v>1</v>
      </c>
      <c r="BE2505">
        <v>0</v>
      </c>
      <c r="BF2505">
        <v>0</v>
      </c>
      <c r="BG2505">
        <v>0</v>
      </c>
      <c r="BH2505">
        <v>2425</v>
      </c>
      <c r="BI2505">
        <v>1</v>
      </c>
      <c r="BJ2505">
        <v>1</v>
      </c>
      <c r="BK2505">
        <v>0</v>
      </c>
      <c r="BL2505">
        <v>0</v>
      </c>
      <c r="BO2505">
        <v>0</v>
      </c>
      <c r="BP2505">
        <v>0</v>
      </c>
      <c r="BW2505" t="str">
        <f t="shared" si="1181"/>
        <v>14:45:35.879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56</v>
      </c>
      <c r="CR2505">
        <v>2</v>
      </c>
      <c r="CW2505">
        <v>4869179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1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 t="shared" ref="A2506:A2514" si="1183">"05/12/2020 14:45:19.133"</f>
        <v>05/12/2020 14:45:19.133</v>
      </c>
      <c r="C2506" t="str">
        <f t="shared" si="1160"/>
        <v>FFDFD3C0</v>
      </c>
      <c r="D2506" t="s">
        <v>138</v>
      </c>
      <c r="E2506">
        <v>3</v>
      </c>
      <c r="H2506">
        <v>9</v>
      </c>
      <c r="I2506" t="s">
        <v>140</v>
      </c>
      <c r="J2506" t="s">
        <v>136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ref="S2506:S2514" si="1184">"14:45:36.945"</f>
        <v>14:45:36.945</v>
      </c>
      <c r="T2506" t="str">
        <f t="shared" ref="T2506:T2514" si="1185">"14:45:36.645"</f>
        <v>14:45:36.645</v>
      </c>
      <c r="U2506" t="str">
        <f t="shared" si="1182"/>
        <v>A9808D</v>
      </c>
      <c r="V2506">
        <v>0</v>
      </c>
      <c r="W2506">
        <v>0</v>
      </c>
      <c r="X2506">
        <v>1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0</v>
      </c>
      <c r="AI2506" t="s">
        <v>624</v>
      </c>
      <c r="AJ2506">
        <v>28.252609</v>
      </c>
      <c r="AK2506" t="s">
        <v>625</v>
      </c>
      <c r="AL2506">
        <v>-82.324162000000001</v>
      </c>
      <c r="AM2506">
        <v>100</v>
      </c>
      <c r="AN2506">
        <v>2300</v>
      </c>
      <c r="AO2506" t="s">
        <v>118</v>
      </c>
      <c r="AP2506">
        <v>96</v>
      </c>
      <c r="AQ2506">
        <v>-39</v>
      </c>
      <c r="AR2506">
        <v>320</v>
      </c>
      <c r="AZ2506">
        <v>1200</v>
      </c>
      <c r="BA2506">
        <v>1</v>
      </c>
      <c r="BB2506" t="str">
        <f t="shared" si="1161"/>
        <v xml:space="preserve">N711JA  </v>
      </c>
      <c r="BC2506">
        <v>1</v>
      </c>
      <c r="BE2506">
        <v>0</v>
      </c>
      <c r="BF2506">
        <v>0</v>
      </c>
      <c r="BG2506">
        <v>0</v>
      </c>
      <c r="BH2506">
        <v>2425</v>
      </c>
      <c r="BI2506">
        <v>1</v>
      </c>
      <c r="BJ2506">
        <v>1</v>
      </c>
      <c r="BK2506">
        <v>0</v>
      </c>
      <c r="BL2506">
        <v>0</v>
      </c>
      <c r="BO2506">
        <v>0</v>
      </c>
      <c r="BP2506">
        <v>0</v>
      </c>
      <c r="BW2506" t="str">
        <f t="shared" ref="BW2506:BW2514" si="1186">"14:45:36.948"</f>
        <v>14:45:36.948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343</v>
      </c>
      <c r="CR2506">
        <v>2</v>
      </c>
      <c r="CW2506">
        <v>13143774</v>
      </c>
      <c r="CY2506">
        <v>1</v>
      </c>
      <c r="CZ2506">
        <v>0</v>
      </c>
      <c r="DA2506">
        <v>0</v>
      </c>
      <c r="DB2506">
        <v>0</v>
      </c>
      <c r="DC2506">
        <v>0</v>
      </c>
      <c r="DD2506">
        <v>1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 t="shared" si="1183"/>
        <v>05/12/2020 14:45:19.133</v>
      </c>
      <c r="C2507" t="str">
        <f t="shared" si="1160"/>
        <v>FFDFD3C0</v>
      </c>
      <c r="D2507" t="s">
        <v>126</v>
      </c>
      <c r="E2507">
        <v>7</v>
      </c>
      <c r="F2507">
        <v>1007</v>
      </c>
      <c r="G2507" t="s">
        <v>127</v>
      </c>
      <c r="J2507" t="s">
        <v>128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184"/>
        <v>14:45:36.945</v>
      </c>
      <c r="T2507" t="str">
        <f t="shared" si="1185"/>
        <v>14:45:36.645</v>
      </c>
      <c r="U2507" t="str">
        <f t="shared" si="1182"/>
        <v>A9808D</v>
      </c>
      <c r="V2507">
        <v>0</v>
      </c>
      <c r="W2507">
        <v>0</v>
      </c>
      <c r="X2507">
        <v>1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0</v>
      </c>
      <c r="AI2507" t="s">
        <v>624</v>
      </c>
      <c r="AJ2507">
        <v>28.252609</v>
      </c>
      <c r="AK2507" t="s">
        <v>625</v>
      </c>
      <c r="AL2507">
        <v>-82.324162000000001</v>
      </c>
      <c r="AM2507">
        <v>100</v>
      </c>
      <c r="AN2507">
        <v>2300</v>
      </c>
      <c r="AO2507" t="s">
        <v>118</v>
      </c>
      <c r="AP2507">
        <v>96</v>
      </c>
      <c r="AQ2507">
        <v>-39</v>
      </c>
      <c r="AR2507">
        <v>320</v>
      </c>
      <c r="AZ2507">
        <v>1200</v>
      </c>
      <c r="BA2507">
        <v>1</v>
      </c>
      <c r="BB2507" t="str">
        <f t="shared" si="1161"/>
        <v xml:space="preserve">N711JA  </v>
      </c>
      <c r="BC2507">
        <v>1</v>
      </c>
      <c r="BE2507">
        <v>0</v>
      </c>
      <c r="BF2507">
        <v>0</v>
      </c>
      <c r="BG2507">
        <v>0</v>
      </c>
      <c r="BH2507">
        <v>2425</v>
      </c>
      <c r="BI2507">
        <v>1</v>
      </c>
      <c r="BJ2507">
        <v>1</v>
      </c>
      <c r="BK2507">
        <v>0</v>
      </c>
      <c r="BL2507">
        <v>0</v>
      </c>
      <c r="BO2507">
        <v>0</v>
      </c>
      <c r="BP2507">
        <v>0</v>
      </c>
      <c r="BW2507" t="str">
        <f t="shared" si="1186"/>
        <v>14:45:36.948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119</v>
      </c>
      <c r="CQ2507">
        <v>343</v>
      </c>
      <c r="CR2507">
        <v>2</v>
      </c>
      <c r="CW2507">
        <v>13143774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1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 t="shared" si="1183"/>
        <v>05/12/2020 14:45:19.133</v>
      </c>
      <c r="C2508" t="str">
        <f t="shared" si="1160"/>
        <v>FFDFD3C0</v>
      </c>
      <c r="D2508" t="s">
        <v>131</v>
      </c>
      <c r="E2508">
        <v>10</v>
      </c>
      <c r="F2508">
        <v>2010</v>
      </c>
      <c r="G2508" t="s">
        <v>132</v>
      </c>
      <c r="J2508" t="s">
        <v>133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184"/>
        <v>14:45:36.945</v>
      </c>
      <c r="T2508" t="str">
        <f t="shared" si="1185"/>
        <v>14:45:36.645</v>
      </c>
      <c r="U2508" t="str">
        <f t="shared" si="1182"/>
        <v>A9808D</v>
      </c>
      <c r="V2508">
        <v>0</v>
      </c>
      <c r="W2508">
        <v>0</v>
      </c>
      <c r="X2508">
        <v>1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0</v>
      </c>
      <c r="AI2508" t="s">
        <v>624</v>
      </c>
      <c r="AJ2508">
        <v>28.252609</v>
      </c>
      <c r="AK2508" t="s">
        <v>625</v>
      </c>
      <c r="AL2508">
        <v>-82.324162000000001</v>
      </c>
      <c r="AM2508">
        <v>100</v>
      </c>
      <c r="AN2508">
        <v>2300</v>
      </c>
      <c r="AO2508" t="s">
        <v>118</v>
      </c>
      <c r="AP2508">
        <v>96</v>
      </c>
      <c r="AQ2508">
        <v>-39</v>
      </c>
      <c r="AR2508">
        <v>320</v>
      </c>
      <c r="AZ2508">
        <v>1200</v>
      </c>
      <c r="BA2508">
        <v>1</v>
      </c>
      <c r="BB2508" t="str">
        <f t="shared" si="1161"/>
        <v xml:space="preserve">N711JA  </v>
      </c>
      <c r="BC2508">
        <v>1</v>
      </c>
      <c r="BE2508">
        <v>0</v>
      </c>
      <c r="BF2508">
        <v>0</v>
      </c>
      <c r="BG2508">
        <v>0</v>
      </c>
      <c r="BH2508">
        <v>2425</v>
      </c>
      <c r="BI2508">
        <v>1</v>
      </c>
      <c r="BJ2508">
        <v>1</v>
      </c>
      <c r="BK2508">
        <v>0</v>
      </c>
      <c r="BL2508">
        <v>0</v>
      </c>
      <c r="BO2508">
        <v>0</v>
      </c>
      <c r="BP2508">
        <v>0</v>
      </c>
      <c r="BW2508" t="str">
        <f t="shared" si="1186"/>
        <v>14:45:36.948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343</v>
      </c>
      <c r="CR2508">
        <v>2</v>
      </c>
      <c r="CW2508">
        <v>13143774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1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 t="shared" si="1183"/>
        <v>05/12/2020 14:45:19.133</v>
      </c>
      <c r="C2509" t="str">
        <f t="shared" si="1160"/>
        <v>FFDFD3C0</v>
      </c>
      <c r="D2509" t="s">
        <v>131</v>
      </c>
      <c r="E2509">
        <v>12</v>
      </c>
      <c r="F2509">
        <v>2012</v>
      </c>
      <c r="G2509" t="s">
        <v>137</v>
      </c>
      <c r="J2509" t="s">
        <v>133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184"/>
        <v>14:45:36.945</v>
      </c>
      <c r="T2509" t="str">
        <f t="shared" si="1185"/>
        <v>14:45:36.645</v>
      </c>
      <c r="U2509" t="str">
        <f t="shared" si="1182"/>
        <v>A9808D</v>
      </c>
      <c r="V2509">
        <v>0</v>
      </c>
      <c r="W2509">
        <v>0</v>
      </c>
      <c r="X2509">
        <v>1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0</v>
      </c>
      <c r="AI2509" t="s">
        <v>624</v>
      </c>
      <c r="AJ2509">
        <v>28.252609</v>
      </c>
      <c r="AK2509" t="s">
        <v>625</v>
      </c>
      <c r="AL2509">
        <v>-82.324162000000001</v>
      </c>
      <c r="AM2509">
        <v>100</v>
      </c>
      <c r="AN2509">
        <v>2300</v>
      </c>
      <c r="AO2509" t="s">
        <v>118</v>
      </c>
      <c r="AP2509">
        <v>96</v>
      </c>
      <c r="AQ2509">
        <v>-39</v>
      </c>
      <c r="AR2509">
        <v>320</v>
      </c>
      <c r="AZ2509">
        <v>1200</v>
      </c>
      <c r="BA2509">
        <v>1</v>
      </c>
      <c r="BB2509" t="str">
        <f t="shared" si="1161"/>
        <v xml:space="preserve">N711JA  </v>
      </c>
      <c r="BC2509">
        <v>1</v>
      </c>
      <c r="BE2509">
        <v>0</v>
      </c>
      <c r="BF2509">
        <v>0</v>
      </c>
      <c r="BG2509">
        <v>0</v>
      </c>
      <c r="BH2509">
        <v>2425</v>
      </c>
      <c r="BI2509">
        <v>1</v>
      </c>
      <c r="BJ2509">
        <v>1</v>
      </c>
      <c r="BK2509">
        <v>0</v>
      </c>
      <c r="BL2509">
        <v>0</v>
      </c>
      <c r="BO2509">
        <v>0</v>
      </c>
      <c r="BP2509">
        <v>0</v>
      </c>
      <c r="BW2509" t="str">
        <f t="shared" si="1186"/>
        <v>14:45:36.948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343</v>
      </c>
      <c r="CR2509">
        <v>2</v>
      </c>
      <c r="CW2509">
        <v>13143774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1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 t="shared" si="1183"/>
        <v>05/12/2020 14:45:19.133</v>
      </c>
      <c r="C2510" t="str">
        <f t="shared" si="1160"/>
        <v>FFDFD3C0</v>
      </c>
      <c r="D2510" t="s">
        <v>131</v>
      </c>
      <c r="E2510">
        <v>18</v>
      </c>
      <c r="F2510">
        <v>2018</v>
      </c>
      <c r="G2510" t="s">
        <v>161</v>
      </c>
      <c r="J2510" t="s">
        <v>133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184"/>
        <v>14:45:36.945</v>
      </c>
      <c r="T2510" t="str">
        <f t="shared" si="1185"/>
        <v>14:45:36.645</v>
      </c>
      <c r="U2510" t="str">
        <f t="shared" si="1182"/>
        <v>A9808D</v>
      </c>
      <c r="V2510">
        <v>0</v>
      </c>
      <c r="W2510">
        <v>0</v>
      </c>
      <c r="X2510">
        <v>1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0</v>
      </c>
      <c r="AI2510" t="s">
        <v>624</v>
      </c>
      <c r="AJ2510">
        <v>28.252609</v>
      </c>
      <c r="AK2510" t="s">
        <v>625</v>
      </c>
      <c r="AL2510">
        <v>-82.324162000000001</v>
      </c>
      <c r="AM2510">
        <v>100</v>
      </c>
      <c r="AN2510">
        <v>2300</v>
      </c>
      <c r="AO2510" t="s">
        <v>118</v>
      </c>
      <c r="AP2510">
        <v>96</v>
      </c>
      <c r="AQ2510">
        <v>-39</v>
      </c>
      <c r="AR2510">
        <v>320</v>
      </c>
      <c r="AZ2510">
        <v>1200</v>
      </c>
      <c r="BA2510">
        <v>1</v>
      </c>
      <c r="BB2510" t="str">
        <f t="shared" si="1161"/>
        <v xml:space="preserve">N711JA  </v>
      </c>
      <c r="BC2510">
        <v>1</v>
      </c>
      <c r="BE2510">
        <v>0</v>
      </c>
      <c r="BF2510">
        <v>0</v>
      </c>
      <c r="BG2510">
        <v>0</v>
      </c>
      <c r="BH2510">
        <v>2425</v>
      </c>
      <c r="BI2510">
        <v>1</v>
      </c>
      <c r="BJ2510">
        <v>1</v>
      </c>
      <c r="BK2510">
        <v>0</v>
      </c>
      <c r="BL2510">
        <v>0</v>
      </c>
      <c r="BO2510">
        <v>0</v>
      </c>
      <c r="BP2510">
        <v>0</v>
      </c>
      <c r="BW2510" t="str">
        <f t="shared" si="1186"/>
        <v>14:45:36.948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343</v>
      </c>
      <c r="CR2510">
        <v>2</v>
      </c>
      <c r="CW2510">
        <v>13143774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1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 t="shared" si="1183"/>
        <v>05/12/2020 14:45:19.133</v>
      </c>
      <c r="C2511" t="str">
        <f t="shared" si="1160"/>
        <v>FFDFD3C0</v>
      </c>
      <c r="D2511" t="s">
        <v>113</v>
      </c>
      <c r="E2511">
        <v>3</v>
      </c>
      <c r="H2511">
        <v>164</v>
      </c>
      <c r="I2511" t="s">
        <v>114</v>
      </c>
      <c r="J2511" t="s">
        <v>115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184"/>
        <v>14:45:36.945</v>
      </c>
      <c r="T2511" t="str">
        <f t="shared" si="1185"/>
        <v>14:45:36.645</v>
      </c>
      <c r="U2511" t="str">
        <f t="shared" si="1182"/>
        <v>A9808D</v>
      </c>
      <c r="V2511">
        <v>0</v>
      </c>
      <c r="W2511">
        <v>0</v>
      </c>
      <c r="X2511">
        <v>1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0</v>
      </c>
      <c r="AI2511" t="s">
        <v>624</v>
      </c>
      <c r="AJ2511">
        <v>28.252609</v>
      </c>
      <c r="AK2511" t="s">
        <v>625</v>
      </c>
      <c r="AL2511">
        <v>-82.324162000000001</v>
      </c>
      <c r="AM2511">
        <v>100</v>
      </c>
      <c r="AN2511">
        <v>2300</v>
      </c>
      <c r="AO2511" t="s">
        <v>118</v>
      </c>
      <c r="AP2511">
        <v>96</v>
      </c>
      <c r="AQ2511">
        <v>-39</v>
      </c>
      <c r="AR2511">
        <v>320</v>
      </c>
      <c r="AZ2511">
        <v>1200</v>
      </c>
      <c r="BA2511">
        <v>1</v>
      </c>
      <c r="BB2511" t="str">
        <f t="shared" si="1161"/>
        <v xml:space="preserve">N711JA  </v>
      </c>
      <c r="BC2511">
        <v>1</v>
      </c>
      <c r="BE2511">
        <v>0</v>
      </c>
      <c r="BF2511">
        <v>0</v>
      </c>
      <c r="BG2511">
        <v>0</v>
      </c>
      <c r="BH2511">
        <v>2425</v>
      </c>
      <c r="BI2511">
        <v>1</v>
      </c>
      <c r="BJ2511">
        <v>1</v>
      </c>
      <c r="BK2511">
        <v>0</v>
      </c>
      <c r="BL2511">
        <v>0</v>
      </c>
      <c r="BO2511">
        <v>0</v>
      </c>
      <c r="BP2511">
        <v>0</v>
      </c>
      <c r="BW2511" t="str">
        <f t="shared" si="1186"/>
        <v>14:45:36.948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343</v>
      </c>
      <c r="CR2511">
        <v>2</v>
      </c>
      <c r="CW2511">
        <v>13143774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1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 t="shared" si="1183"/>
        <v>05/12/2020 14:45:19.133</v>
      </c>
      <c r="C2512" t="str">
        <f t="shared" si="1160"/>
        <v>FFDFD3C0</v>
      </c>
      <c r="D2512" t="s">
        <v>138</v>
      </c>
      <c r="E2512">
        <v>2</v>
      </c>
      <c r="H2512">
        <v>8</v>
      </c>
      <c r="I2512" t="s">
        <v>139</v>
      </c>
      <c r="J2512" t="s">
        <v>136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184"/>
        <v>14:45:36.945</v>
      </c>
      <c r="T2512" t="str">
        <f t="shared" si="1185"/>
        <v>14:45:36.645</v>
      </c>
      <c r="U2512" t="str">
        <f t="shared" si="1182"/>
        <v>A9808D</v>
      </c>
      <c r="V2512">
        <v>0</v>
      </c>
      <c r="W2512">
        <v>0</v>
      </c>
      <c r="X2512">
        <v>1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0</v>
      </c>
      <c r="AI2512" t="s">
        <v>624</v>
      </c>
      <c r="AJ2512">
        <v>28.252609</v>
      </c>
      <c r="AK2512" t="s">
        <v>625</v>
      </c>
      <c r="AL2512">
        <v>-82.324162000000001</v>
      </c>
      <c r="AM2512">
        <v>100</v>
      </c>
      <c r="AN2512">
        <v>2300</v>
      </c>
      <c r="AO2512" t="s">
        <v>118</v>
      </c>
      <c r="AP2512">
        <v>96</v>
      </c>
      <c r="AQ2512">
        <v>-39</v>
      </c>
      <c r="AR2512">
        <v>320</v>
      </c>
      <c r="AZ2512">
        <v>1200</v>
      </c>
      <c r="BA2512">
        <v>1</v>
      </c>
      <c r="BB2512" t="str">
        <f t="shared" si="1161"/>
        <v xml:space="preserve">N711JA  </v>
      </c>
      <c r="BC2512">
        <v>1</v>
      </c>
      <c r="BE2512">
        <v>0</v>
      </c>
      <c r="BF2512">
        <v>0</v>
      </c>
      <c r="BG2512">
        <v>0</v>
      </c>
      <c r="BH2512">
        <v>2425</v>
      </c>
      <c r="BI2512">
        <v>1</v>
      </c>
      <c r="BJ2512">
        <v>1</v>
      </c>
      <c r="BK2512">
        <v>0</v>
      </c>
      <c r="BL2512">
        <v>0</v>
      </c>
      <c r="BO2512">
        <v>0</v>
      </c>
      <c r="BP2512">
        <v>0</v>
      </c>
      <c r="BW2512" t="str">
        <f t="shared" si="1186"/>
        <v>14:45:36.948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343</v>
      </c>
      <c r="CR2512">
        <v>2</v>
      </c>
      <c r="CW2512">
        <v>13143774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1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 t="shared" si="1183"/>
        <v>05/12/2020 14:45:19.133</v>
      </c>
      <c r="C2513" t="str">
        <f t="shared" si="1160"/>
        <v>FFDFD3C0</v>
      </c>
      <c r="D2513" t="s">
        <v>126</v>
      </c>
      <c r="E2513">
        <v>6</v>
      </c>
      <c r="F2513">
        <v>1006</v>
      </c>
      <c r="G2513" t="s">
        <v>114</v>
      </c>
      <c r="J2513" t="s">
        <v>128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184"/>
        <v>14:45:36.945</v>
      </c>
      <c r="T2513" t="str">
        <f t="shared" si="1185"/>
        <v>14:45:36.645</v>
      </c>
      <c r="U2513" t="str">
        <f t="shared" si="1182"/>
        <v>A9808D</v>
      </c>
      <c r="V2513">
        <v>0</v>
      </c>
      <c r="W2513">
        <v>0</v>
      </c>
      <c r="X2513">
        <v>1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0</v>
      </c>
      <c r="AI2513" t="s">
        <v>624</v>
      </c>
      <c r="AJ2513">
        <v>28.252609</v>
      </c>
      <c r="AK2513" t="s">
        <v>625</v>
      </c>
      <c r="AL2513">
        <v>-82.324162000000001</v>
      </c>
      <c r="AM2513">
        <v>100</v>
      </c>
      <c r="AN2513">
        <v>2300</v>
      </c>
      <c r="AO2513" t="s">
        <v>118</v>
      </c>
      <c r="AP2513">
        <v>96</v>
      </c>
      <c r="AQ2513">
        <v>-39</v>
      </c>
      <c r="AR2513">
        <v>320</v>
      </c>
      <c r="AZ2513">
        <v>1200</v>
      </c>
      <c r="BA2513">
        <v>1</v>
      </c>
      <c r="BB2513" t="str">
        <f t="shared" si="1161"/>
        <v xml:space="preserve">N711JA  </v>
      </c>
      <c r="BC2513">
        <v>1</v>
      </c>
      <c r="BE2513">
        <v>0</v>
      </c>
      <c r="BF2513">
        <v>0</v>
      </c>
      <c r="BG2513">
        <v>0</v>
      </c>
      <c r="BH2513">
        <v>2425</v>
      </c>
      <c r="BI2513">
        <v>1</v>
      </c>
      <c r="BJ2513">
        <v>1</v>
      </c>
      <c r="BK2513">
        <v>0</v>
      </c>
      <c r="BL2513">
        <v>0</v>
      </c>
      <c r="BO2513">
        <v>0</v>
      </c>
      <c r="BP2513">
        <v>0</v>
      </c>
      <c r="BW2513" t="str">
        <f t="shared" si="1186"/>
        <v>14:45:36.948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343</v>
      </c>
      <c r="CR2513">
        <v>2</v>
      </c>
      <c r="CW2513">
        <v>13143774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1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 t="shared" si="1183"/>
        <v>05/12/2020 14:45:19.133</v>
      </c>
      <c r="C2514" t="str">
        <f t="shared" si="1160"/>
        <v>FFDFD3C0</v>
      </c>
      <c r="D2514" t="s">
        <v>134</v>
      </c>
      <c r="E2514">
        <v>12</v>
      </c>
      <c r="H2514">
        <v>64</v>
      </c>
      <c r="I2514" t="s">
        <v>135</v>
      </c>
      <c r="J2514" t="s">
        <v>136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184"/>
        <v>14:45:36.945</v>
      </c>
      <c r="T2514" t="str">
        <f t="shared" si="1185"/>
        <v>14:45:36.645</v>
      </c>
      <c r="U2514" t="str">
        <f t="shared" si="1182"/>
        <v>A9808D</v>
      </c>
      <c r="V2514">
        <v>0</v>
      </c>
      <c r="W2514">
        <v>0</v>
      </c>
      <c r="X2514">
        <v>1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0</v>
      </c>
      <c r="AI2514" t="s">
        <v>624</v>
      </c>
      <c r="AJ2514">
        <v>28.252609</v>
      </c>
      <c r="AK2514" t="s">
        <v>625</v>
      </c>
      <c r="AL2514">
        <v>-82.324162000000001</v>
      </c>
      <c r="AM2514">
        <v>100</v>
      </c>
      <c r="AN2514">
        <v>2300</v>
      </c>
      <c r="AO2514" t="s">
        <v>118</v>
      </c>
      <c r="AP2514">
        <v>96</v>
      </c>
      <c r="AQ2514">
        <v>-39</v>
      </c>
      <c r="AR2514">
        <v>320</v>
      </c>
      <c r="AZ2514">
        <v>1200</v>
      </c>
      <c r="BA2514">
        <v>1</v>
      </c>
      <c r="BB2514" t="str">
        <f t="shared" si="1161"/>
        <v xml:space="preserve">N711JA  </v>
      </c>
      <c r="BC2514">
        <v>1</v>
      </c>
      <c r="BE2514">
        <v>0</v>
      </c>
      <c r="BF2514">
        <v>0</v>
      </c>
      <c r="BG2514">
        <v>0</v>
      </c>
      <c r="BH2514">
        <v>2425</v>
      </c>
      <c r="BI2514">
        <v>1</v>
      </c>
      <c r="BJ2514">
        <v>1</v>
      </c>
      <c r="BK2514">
        <v>0</v>
      </c>
      <c r="BL2514">
        <v>0</v>
      </c>
      <c r="BO2514">
        <v>0</v>
      </c>
      <c r="BP2514">
        <v>0</v>
      </c>
      <c r="BW2514" t="str">
        <f t="shared" si="1186"/>
        <v>14:45:36.948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343</v>
      </c>
      <c r="CR2514">
        <v>2</v>
      </c>
      <c r="CW2514">
        <v>13143774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1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 t="shared" ref="A2515:A2523" si="1187">"05/12/2020 14:45:20.295"</f>
        <v>05/12/2020 14:45:20.295</v>
      </c>
      <c r="C2515" t="str">
        <f t="shared" si="1160"/>
        <v>FFDFD3C0</v>
      </c>
      <c r="D2515" t="s">
        <v>126</v>
      </c>
      <c r="E2515">
        <v>7</v>
      </c>
      <c r="F2515">
        <v>1007</v>
      </c>
      <c r="G2515" t="s">
        <v>127</v>
      </c>
      <c r="J2515" t="s">
        <v>128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ref="S2515:S2523" si="1188">"14:45:38.125"</f>
        <v>14:45:38.125</v>
      </c>
      <c r="T2515" t="str">
        <f t="shared" ref="T2515:T2523" si="1189">"14:45:37.725"</f>
        <v>14:45:37.725</v>
      </c>
      <c r="U2515" t="str">
        <f t="shared" si="1182"/>
        <v>A9808D</v>
      </c>
      <c r="V2515">
        <v>0</v>
      </c>
      <c r="W2515">
        <v>0</v>
      </c>
      <c r="X2515">
        <v>1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0</v>
      </c>
      <c r="AI2515" t="s">
        <v>626</v>
      </c>
      <c r="AJ2515">
        <v>28.252416</v>
      </c>
      <c r="AK2515" t="s">
        <v>627</v>
      </c>
      <c r="AL2515">
        <v>-82.323582000000002</v>
      </c>
      <c r="AM2515">
        <v>100</v>
      </c>
      <c r="AN2515">
        <v>2300</v>
      </c>
      <c r="AO2515" t="s">
        <v>118</v>
      </c>
      <c r="AP2515">
        <v>97</v>
      </c>
      <c r="AQ2515">
        <v>-38</v>
      </c>
      <c r="AR2515">
        <v>320</v>
      </c>
      <c r="AZ2515">
        <v>1200</v>
      </c>
      <c r="BA2515">
        <v>1</v>
      </c>
      <c r="BB2515" t="str">
        <f t="shared" si="1161"/>
        <v xml:space="preserve">N711JA  </v>
      </c>
      <c r="BC2515">
        <v>1</v>
      </c>
      <c r="BE2515">
        <v>0</v>
      </c>
      <c r="BF2515">
        <v>0</v>
      </c>
      <c r="BG2515">
        <v>0</v>
      </c>
      <c r="BH2515">
        <v>2425</v>
      </c>
      <c r="BI2515">
        <v>1</v>
      </c>
      <c r="BJ2515">
        <v>1</v>
      </c>
      <c r="BK2515">
        <v>0</v>
      </c>
      <c r="BL2515">
        <v>0</v>
      </c>
      <c r="BO2515">
        <v>0</v>
      </c>
      <c r="BP2515">
        <v>0</v>
      </c>
      <c r="BW2515" t="str">
        <f t="shared" ref="BW2515:BW2523" si="1190">"14:45:38.130"</f>
        <v>14:45:38.130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343</v>
      </c>
      <c r="CR2515">
        <v>2</v>
      </c>
      <c r="CW2515">
        <v>13144656</v>
      </c>
      <c r="CY2515">
        <v>1</v>
      </c>
      <c r="CZ2515">
        <v>0</v>
      </c>
      <c r="DA2515">
        <v>0</v>
      </c>
      <c r="DB2515">
        <v>0</v>
      </c>
      <c r="DC2515">
        <v>0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 t="shared" si="1187"/>
        <v>05/12/2020 14:45:20.295</v>
      </c>
      <c r="C2516" t="str">
        <f t="shared" si="1160"/>
        <v>FFDFD3C0</v>
      </c>
      <c r="D2516" t="s">
        <v>138</v>
      </c>
      <c r="E2516">
        <v>3</v>
      </c>
      <c r="H2516">
        <v>9</v>
      </c>
      <c r="I2516" t="s">
        <v>140</v>
      </c>
      <c r="J2516" t="s">
        <v>136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188"/>
        <v>14:45:38.125</v>
      </c>
      <c r="T2516" t="str">
        <f t="shared" si="1189"/>
        <v>14:45:37.725</v>
      </c>
      <c r="U2516" t="str">
        <f t="shared" si="1182"/>
        <v>A9808D</v>
      </c>
      <c r="V2516">
        <v>0</v>
      </c>
      <c r="W2516">
        <v>0</v>
      </c>
      <c r="X2516">
        <v>1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0</v>
      </c>
      <c r="AI2516" t="s">
        <v>626</v>
      </c>
      <c r="AJ2516">
        <v>28.252416</v>
      </c>
      <c r="AK2516" t="s">
        <v>627</v>
      </c>
      <c r="AL2516">
        <v>-82.323582000000002</v>
      </c>
      <c r="AM2516">
        <v>100</v>
      </c>
      <c r="AN2516">
        <v>2300</v>
      </c>
      <c r="AO2516" t="s">
        <v>118</v>
      </c>
      <c r="AP2516">
        <v>97</v>
      </c>
      <c r="AQ2516">
        <v>-38</v>
      </c>
      <c r="AR2516">
        <v>320</v>
      </c>
      <c r="AZ2516">
        <v>1200</v>
      </c>
      <c r="BA2516">
        <v>1</v>
      </c>
      <c r="BB2516" t="str">
        <f t="shared" si="1161"/>
        <v xml:space="preserve">N711JA  </v>
      </c>
      <c r="BC2516">
        <v>1</v>
      </c>
      <c r="BE2516">
        <v>0</v>
      </c>
      <c r="BF2516">
        <v>0</v>
      </c>
      <c r="BG2516">
        <v>0</v>
      </c>
      <c r="BH2516">
        <v>2425</v>
      </c>
      <c r="BI2516">
        <v>1</v>
      </c>
      <c r="BJ2516">
        <v>1</v>
      </c>
      <c r="BK2516">
        <v>0</v>
      </c>
      <c r="BL2516">
        <v>0</v>
      </c>
      <c r="BO2516">
        <v>0</v>
      </c>
      <c r="BP2516">
        <v>0</v>
      </c>
      <c r="BW2516" t="str">
        <f t="shared" si="1190"/>
        <v>14:45:38.130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343</v>
      </c>
      <c r="CR2516">
        <v>2</v>
      </c>
      <c r="CW2516">
        <v>13144656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1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 t="shared" si="1187"/>
        <v>05/12/2020 14:45:20.295</v>
      </c>
      <c r="C2517" t="str">
        <f t="shared" si="1160"/>
        <v>FFDFD3C0</v>
      </c>
      <c r="D2517" t="s">
        <v>131</v>
      </c>
      <c r="E2517">
        <v>10</v>
      </c>
      <c r="F2517">
        <v>2010</v>
      </c>
      <c r="G2517" t="s">
        <v>132</v>
      </c>
      <c r="J2517" t="s">
        <v>133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188"/>
        <v>14:45:38.125</v>
      </c>
      <c r="T2517" t="str">
        <f t="shared" si="1189"/>
        <v>14:45:37.725</v>
      </c>
      <c r="U2517" t="str">
        <f t="shared" si="1182"/>
        <v>A9808D</v>
      </c>
      <c r="V2517">
        <v>0</v>
      </c>
      <c r="W2517">
        <v>0</v>
      </c>
      <c r="X2517">
        <v>1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0</v>
      </c>
      <c r="AI2517" t="s">
        <v>626</v>
      </c>
      <c r="AJ2517">
        <v>28.252416</v>
      </c>
      <c r="AK2517" t="s">
        <v>627</v>
      </c>
      <c r="AL2517">
        <v>-82.323582000000002</v>
      </c>
      <c r="AM2517">
        <v>100</v>
      </c>
      <c r="AN2517">
        <v>2300</v>
      </c>
      <c r="AO2517" t="s">
        <v>118</v>
      </c>
      <c r="AP2517">
        <v>97</v>
      </c>
      <c r="AQ2517">
        <v>-38</v>
      </c>
      <c r="AR2517">
        <v>320</v>
      </c>
      <c r="AZ2517">
        <v>1200</v>
      </c>
      <c r="BA2517">
        <v>1</v>
      </c>
      <c r="BB2517" t="str">
        <f t="shared" si="1161"/>
        <v xml:space="preserve">N711JA  </v>
      </c>
      <c r="BC2517">
        <v>1</v>
      </c>
      <c r="BE2517">
        <v>0</v>
      </c>
      <c r="BF2517">
        <v>0</v>
      </c>
      <c r="BG2517">
        <v>0</v>
      </c>
      <c r="BH2517">
        <v>2425</v>
      </c>
      <c r="BI2517">
        <v>1</v>
      </c>
      <c r="BJ2517">
        <v>1</v>
      </c>
      <c r="BK2517">
        <v>0</v>
      </c>
      <c r="BL2517">
        <v>0</v>
      </c>
      <c r="BO2517">
        <v>0</v>
      </c>
      <c r="BP2517">
        <v>0</v>
      </c>
      <c r="BW2517" t="str">
        <f t="shared" si="1190"/>
        <v>14:45:38.130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343</v>
      </c>
      <c r="CR2517">
        <v>2</v>
      </c>
      <c r="CW2517">
        <v>13144656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1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 t="shared" si="1187"/>
        <v>05/12/2020 14:45:20.295</v>
      </c>
      <c r="C2518" t="str">
        <f t="shared" ref="C2518:C2581" si="1191">"FFDFD3C0"</f>
        <v>FFDFD3C0</v>
      </c>
      <c r="D2518" t="s">
        <v>131</v>
      </c>
      <c r="E2518">
        <v>12</v>
      </c>
      <c r="F2518">
        <v>2012</v>
      </c>
      <c r="G2518" t="s">
        <v>137</v>
      </c>
      <c r="J2518" t="s">
        <v>133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188"/>
        <v>14:45:38.125</v>
      </c>
      <c r="T2518" t="str">
        <f t="shared" si="1189"/>
        <v>14:45:37.725</v>
      </c>
      <c r="U2518" t="str">
        <f t="shared" si="1182"/>
        <v>A9808D</v>
      </c>
      <c r="V2518">
        <v>0</v>
      </c>
      <c r="W2518">
        <v>0</v>
      </c>
      <c r="X2518">
        <v>1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0</v>
      </c>
      <c r="AI2518" t="s">
        <v>626</v>
      </c>
      <c r="AJ2518">
        <v>28.252416</v>
      </c>
      <c r="AK2518" t="s">
        <v>627</v>
      </c>
      <c r="AL2518">
        <v>-82.323582000000002</v>
      </c>
      <c r="AM2518">
        <v>100</v>
      </c>
      <c r="AN2518">
        <v>2300</v>
      </c>
      <c r="AO2518" t="s">
        <v>118</v>
      </c>
      <c r="AP2518">
        <v>97</v>
      </c>
      <c r="AQ2518">
        <v>-38</v>
      </c>
      <c r="AR2518">
        <v>320</v>
      </c>
      <c r="AZ2518">
        <v>1200</v>
      </c>
      <c r="BA2518">
        <v>1</v>
      </c>
      <c r="BB2518" t="str">
        <f t="shared" ref="BB2518:BB2581" si="1192">"N711JA  "</f>
        <v xml:space="preserve">N711JA  </v>
      </c>
      <c r="BC2518">
        <v>1</v>
      </c>
      <c r="BE2518">
        <v>0</v>
      </c>
      <c r="BF2518">
        <v>0</v>
      </c>
      <c r="BG2518">
        <v>0</v>
      </c>
      <c r="BH2518">
        <v>2425</v>
      </c>
      <c r="BI2518">
        <v>1</v>
      </c>
      <c r="BJ2518">
        <v>1</v>
      </c>
      <c r="BK2518">
        <v>0</v>
      </c>
      <c r="BL2518">
        <v>0</v>
      </c>
      <c r="BO2518">
        <v>0</v>
      </c>
      <c r="BP2518">
        <v>0</v>
      </c>
      <c r="BW2518" t="str">
        <f t="shared" si="1190"/>
        <v>14:45:38.130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343</v>
      </c>
      <c r="CR2518">
        <v>2</v>
      </c>
      <c r="CW2518">
        <v>13144656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1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 t="shared" si="1187"/>
        <v>05/12/2020 14:45:20.295</v>
      </c>
      <c r="C2519" t="str">
        <f t="shared" si="1191"/>
        <v>FFDFD3C0</v>
      </c>
      <c r="D2519" t="s">
        <v>131</v>
      </c>
      <c r="E2519">
        <v>18</v>
      </c>
      <c r="F2519">
        <v>2018</v>
      </c>
      <c r="G2519" t="s">
        <v>161</v>
      </c>
      <c r="J2519" t="s">
        <v>133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188"/>
        <v>14:45:38.125</v>
      </c>
      <c r="T2519" t="str">
        <f t="shared" si="1189"/>
        <v>14:45:37.725</v>
      </c>
      <c r="U2519" t="str">
        <f t="shared" si="1182"/>
        <v>A9808D</v>
      </c>
      <c r="V2519">
        <v>0</v>
      </c>
      <c r="W2519">
        <v>0</v>
      </c>
      <c r="X2519">
        <v>1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0</v>
      </c>
      <c r="AI2519" t="s">
        <v>626</v>
      </c>
      <c r="AJ2519">
        <v>28.252416</v>
      </c>
      <c r="AK2519" t="s">
        <v>627</v>
      </c>
      <c r="AL2519">
        <v>-82.323582000000002</v>
      </c>
      <c r="AM2519">
        <v>100</v>
      </c>
      <c r="AN2519">
        <v>2300</v>
      </c>
      <c r="AO2519" t="s">
        <v>118</v>
      </c>
      <c r="AP2519">
        <v>97</v>
      </c>
      <c r="AQ2519">
        <v>-38</v>
      </c>
      <c r="AR2519">
        <v>320</v>
      </c>
      <c r="AZ2519">
        <v>1200</v>
      </c>
      <c r="BA2519">
        <v>1</v>
      </c>
      <c r="BB2519" t="str">
        <f t="shared" si="1192"/>
        <v xml:space="preserve">N711JA  </v>
      </c>
      <c r="BC2519">
        <v>1</v>
      </c>
      <c r="BE2519">
        <v>0</v>
      </c>
      <c r="BF2519">
        <v>0</v>
      </c>
      <c r="BG2519">
        <v>0</v>
      </c>
      <c r="BH2519">
        <v>2425</v>
      </c>
      <c r="BI2519">
        <v>1</v>
      </c>
      <c r="BJ2519">
        <v>1</v>
      </c>
      <c r="BK2519">
        <v>0</v>
      </c>
      <c r="BL2519">
        <v>0</v>
      </c>
      <c r="BO2519">
        <v>0</v>
      </c>
      <c r="BP2519">
        <v>0</v>
      </c>
      <c r="BW2519" t="str">
        <f t="shared" si="1190"/>
        <v>14:45:38.130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343</v>
      </c>
      <c r="CR2519">
        <v>2</v>
      </c>
      <c r="CW2519">
        <v>13144656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1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 t="shared" si="1187"/>
        <v>05/12/2020 14:45:20.295</v>
      </c>
      <c r="C2520" t="str">
        <f t="shared" si="1191"/>
        <v>FFDFD3C0</v>
      </c>
      <c r="D2520" t="s">
        <v>138</v>
      </c>
      <c r="E2520">
        <v>2</v>
      </c>
      <c r="H2520">
        <v>8</v>
      </c>
      <c r="I2520" t="s">
        <v>139</v>
      </c>
      <c r="J2520" t="s">
        <v>136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188"/>
        <v>14:45:38.125</v>
      </c>
      <c r="T2520" t="str">
        <f t="shared" si="1189"/>
        <v>14:45:37.725</v>
      </c>
      <c r="U2520" t="str">
        <f t="shared" si="1182"/>
        <v>A9808D</v>
      </c>
      <c r="V2520">
        <v>0</v>
      </c>
      <c r="W2520">
        <v>0</v>
      </c>
      <c r="X2520">
        <v>1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0</v>
      </c>
      <c r="AI2520" t="s">
        <v>626</v>
      </c>
      <c r="AJ2520">
        <v>28.252416</v>
      </c>
      <c r="AK2520" t="s">
        <v>627</v>
      </c>
      <c r="AL2520">
        <v>-82.323582000000002</v>
      </c>
      <c r="AM2520">
        <v>100</v>
      </c>
      <c r="AN2520">
        <v>2300</v>
      </c>
      <c r="AO2520" t="s">
        <v>118</v>
      </c>
      <c r="AP2520">
        <v>97</v>
      </c>
      <c r="AQ2520">
        <v>-38</v>
      </c>
      <c r="AR2520">
        <v>320</v>
      </c>
      <c r="AZ2520">
        <v>1200</v>
      </c>
      <c r="BA2520">
        <v>1</v>
      </c>
      <c r="BB2520" t="str">
        <f t="shared" si="1192"/>
        <v xml:space="preserve">N711JA  </v>
      </c>
      <c r="BC2520">
        <v>1</v>
      </c>
      <c r="BE2520">
        <v>0</v>
      </c>
      <c r="BF2520">
        <v>0</v>
      </c>
      <c r="BG2520">
        <v>0</v>
      </c>
      <c r="BH2520">
        <v>2425</v>
      </c>
      <c r="BI2520">
        <v>1</v>
      </c>
      <c r="BJ2520">
        <v>1</v>
      </c>
      <c r="BK2520">
        <v>0</v>
      </c>
      <c r="BL2520">
        <v>0</v>
      </c>
      <c r="BO2520">
        <v>0</v>
      </c>
      <c r="BP2520">
        <v>0</v>
      </c>
      <c r="BW2520" t="str">
        <f t="shared" si="1190"/>
        <v>14:45:38.130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343</v>
      </c>
      <c r="CR2520">
        <v>2</v>
      </c>
      <c r="CW2520">
        <v>13144656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1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 t="shared" si="1187"/>
        <v>05/12/2020 14:45:20.295</v>
      </c>
      <c r="C2521" t="str">
        <f t="shared" si="1191"/>
        <v>FFDFD3C0</v>
      </c>
      <c r="D2521" t="s">
        <v>113</v>
      </c>
      <c r="E2521">
        <v>3</v>
      </c>
      <c r="H2521">
        <v>164</v>
      </c>
      <c r="I2521" t="s">
        <v>114</v>
      </c>
      <c r="J2521" t="s">
        <v>115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188"/>
        <v>14:45:38.125</v>
      </c>
      <c r="T2521" t="str">
        <f t="shared" si="1189"/>
        <v>14:45:37.725</v>
      </c>
      <c r="U2521" t="str">
        <f t="shared" si="1182"/>
        <v>A9808D</v>
      </c>
      <c r="V2521">
        <v>0</v>
      </c>
      <c r="W2521">
        <v>0</v>
      </c>
      <c r="X2521">
        <v>1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0</v>
      </c>
      <c r="AI2521" t="s">
        <v>626</v>
      </c>
      <c r="AJ2521">
        <v>28.252416</v>
      </c>
      <c r="AK2521" t="s">
        <v>627</v>
      </c>
      <c r="AL2521">
        <v>-82.323582000000002</v>
      </c>
      <c r="AM2521">
        <v>100</v>
      </c>
      <c r="AN2521">
        <v>2300</v>
      </c>
      <c r="AO2521" t="s">
        <v>118</v>
      </c>
      <c r="AP2521">
        <v>97</v>
      </c>
      <c r="AQ2521">
        <v>-38</v>
      </c>
      <c r="AR2521">
        <v>320</v>
      </c>
      <c r="AZ2521">
        <v>1200</v>
      </c>
      <c r="BA2521">
        <v>1</v>
      </c>
      <c r="BB2521" t="str">
        <f t="shared" si="1192"/>
        <v xml:space="preserve">N711JA  </v>
      </c>
      <c r="BC2521">
        <v>1</v>
      </c>
      <c r="BE2521">
        <v>0</v>
      </c>
      <c r="BF2521">
        <v>0</v>
      </c>
      <c r="BG2521">
        <v>0</v>
      </c>
      <c r="BH2521">
        <v>2425</v>
      </c>
      <c r="BI2521">
        <v>1</v>
      </c>
      <c r="BJ2521">
        <v>1</v>
      </c>
      <c r="BK2521">
        <v>0</v>
      </c>
      <c r="BL2521">
        <v>0</v>
      </c>
      <c r="BO2521">
        <v>0</v>
      </c>
      <c r="BP2521">
        <v>0</v>
      </c>
      <c r="BW2521" t="str">
        <f t="shared" si="1190"/>
        <v>14:45:38.130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343</v>
      </c>
      <c r="CR2521">
        <v>2</v>
      </c>
      <c r="CW2521">
        <v>13144656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1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 t="shared" si="1187"/>
        <v>05/12/2020 14:45:20.295</v>
      </c>
      <c r="C2522" t="str">
        <f t="shared" si="1191"/>
        <v>FFDFD3C0</v>
      </c>
      <c r="D2522" t="s">
        <v>126</v>
      </c>
      <c r="E2522">
        <v>6</v>
      </c>
      <c r="F2522">
        <v>1006</v>
      </c>
      <c r="G2522" t="s">
        <v>114</v>
      </c>
      <c r="J2522" t="s">
        <v>128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188"/>
        <v>14:45:38.125</v>
      </c>
      <c r="T2522" t="str">
        <f t="shared" si="1189"/>
        <v>14:45:37.725</v>
      </c>
      <c r="U2522" t="str">
        <f t="shared" si="1182"/>
        <v>A9808D</v>
      </c>
      <c r="V2522">
        <v>0</v>
      </c>
      <c r="W2522">
        <v>0</v>
      </c>
      <c r="X2522">
        <v>1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0</v>
      </c>
      <c r="AI2522" t="s">
        <v>626</v>
      </c>
      <c r="AJ2522">
        <v>28.252416</v>
      </c>
      <c r="AK2522" t="s">
        <v>627</v>
      </c>
      <c r="AL2522">
        <v>-82.323582000000002</v>
      </c>
      <c r="AM2522">
        <v>100</v>
      </c>
      <c r="AN2522">
        <v>2300</v>
      </c>
      <c r="AO2522" t="s">
        <v>118</v>
      </c>
      <c r="AP2522">
        <v>97</v>
      </c>
      <c r="AQ2522">
        <v>-38</v>
      </c>
      <c r="AR2522">
        <v>320</v>
      </c>
      <c r="AZ2522">
        <v>1200</v>
      </c>
      <c r="BA2522">
        <v>1</v>
      </c>
      <c r="BB2522" t="str">
        <f t="shared" si="1192"/>
        <v xml:space="preserve">N711JA  </v>
      </c>
      <c r="BC2522">
        <v>1</v>
      </c>
      <c r="BE2522">
        <v>0</v>
      </c>
      <c r="BF2522">
        <v>0</v>
      </c>
      <c r="BG2522">
        <v>0</v>
      </c>
      <c r="BH2522">
        <v>2425</v>
      </c>
      <c r="BI2522">
        <v>1</v>
      </c>
      <c r="BJ2522">
        <v>1</v>
      </c>
      <c r="BK2522">
        <v>0</v>
      </c>
      <c r="BL2522">
        <v>0</v>
      </c>
      <c r="BO2522">
        <v>0</v>
      </c>
      <c r="BP2522">
        <v>0</v>
      </c>
      <c r="BW2522" t="str">
        <f t="shared" si="1190"/>
        <v>14:45:38.130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343</v>
      </c>
      <c r="CR2522">
        <v>2</v>
      </c>
      <c r="CW2522">
        <v>13144656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1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 t="shared" si="1187"/>
        <v>05/12/2020 14:45:20.295</v>
      </c>
      <c r="C2523" t="str">
        <f t="shared" si="1191"/>
        <v>FFDFD3C0</v>
      </c>
      <c r="D2523" t="s">
        <v>134</v>
      </c>
      <c r="E2523">
        <v>12</v>
      </c>
      <c r="H2523">
        <v>64</v>
      </c>
      <c r="I2523" t="s">
        <v>135</v>
      </c>
      <c r="J2523" t="s">
        <v>136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188"/>
        <v>14:45:38.125</v>
      </c>
      <c r="T2523" t="str">
        <f t="shared" si="1189"/>
        <v>14:45:37.725</v>
      </c>
      <c r="U2523" t="str">
        <f t="shared" si="1182"/>
        <v>A9808D</v>
      </c>
      <c r="V2523">
        <v>0</v>
      </c>
      <c r="W2523">
        <v>0</v>
      </c>
      <c r="X2523">
        <v>1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0</v>
      </c>
      <c r="AI2523" t="s">
        <v>626</v>
      </c>
      <c r="AJ2523">
        <v>28.252416</v>
      </c>
      <c r="AK2523" t="s">
        <v>627</v>
      </c>
      <c r="AL2523">
        <v>-82.323582000000002</v>
      </c>
      <c r="AM2523">
        <v>100</v>
      </c>
      <c r="AN2523">
        <v>2300</v>
      </c>
      <c r="AO2523" t="s">
        <v>118</v>
      </c>
      <c r="AP2523">
        <v>97</v>
      </c>
      <c r="AQ2523">
        <v>-38</v>
      </c>
      <c r="AR2523">
        <v>320</v>
      </c>
      <c r="AZ2523">
        <v>1200</v>
      </c>
      <c r="BA2523">
        <v>1</v>
      </c>
      <c r="BB2523" t="str">
        <f t="shared" si="1192"/>
        <v xml:space="preserve">N711JA  </v>
      </c>
      <c r="BC2523">
        <v>1</v>
      </c>
      <c r="BE2523">
        <v>0</v>
      </c>
      <c r="BF2523">
        <v>0</v>
      </c>
      <c r="BG2523">
        <v>0</v>
      </c>
      <c r="BH2523">
        <v>2425</v>
      </c>
      <c r="BI2523">
        <v>1</v>
      </c>
      <c r="BJ2523">
        <v>1</v>
      </c>
      <c r="BK2523">
        <v>0</v>
      </c>
      <c r="BL2523">
        <v>0</v>
      </c>
      <c r="BO2523">
        <v>0</v>
      </c>
      <c r="BP2523">
        <v>0</v>
      </c>
      <c r="BW2523" t="str">
        <f t="shared" si="1190"/>
        <v>14:45:38.130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343</v>
      </c>
      <c r="CR2523">
        <v>2</v>
      </c>
      <c r="CW2523">
        <v>13144656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1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 t="shared" ref="A2524:A2532" si="1193">"05/12/2020 14:45:21.254"</f>
        <v>05/12/2020 14:45:21.254</v>
      </c>
      <c r="C2524" t="str">
        <f t="shared" si="1191"/>
        <v>FFDFD3C0</v>
      </c>
      <c r="D2524" t="s">
        <v>131</v>
      </c>
      <c r="E2524">
        <v>12</v>
      </c>
      <c r="F2524">
        <v>2012</v>
      </c>
      <c r="G2524" t="s">
        <v>137</v>
      </c>
      <c r="J2524" t="s">
        <v>133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ref="S2524:S2532" si="1194">"14:45:39.086"</f>
        <v>14:45:39.086</v>
      </c>
      <c r="T2524" t="str">
        <f t="shared" ref="T2524:T2532" si="1195">"14:45:38.786"</f>
        <v>14:45:38.786</v>
      </c>
      <c r="U2524" t="str">
        <f t="shared" si="1182"/>
        <v>A9808D</v>
      </c>
      <c r="V2524">
        <v>0</v>
      </c>
      <c r="W2524">
        <v>0</v>
      </c>
      <c r="X2524">
        <v>1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0</v>
      </c>
      <c r="AI2524" t="s">
        <v>252</v>
      </c>
      <c r="AJ2524">
        <v>28.252265000000001</v>
      </c>
      <c r="AK2524" t="s">
        <v>628</v>
      </c>
      <c r="AL2524">
        <v>-82.323088999999996</v>
      </c>
      <c r="AM2524">
        <v>100</v>
      </c>
      <c r="AN2524">
        <v>2300</v>
      </c>
      <c r="AO2524" t="s">
        <v>118</v>
      </c>
      <c r="AP2524">
        <v>97</v>
      </c>
      <c r="AQ2524">
        <v>-38</v>
      </c>
      <c r="AR2524">
        <v>320</v>
      </c>
      <c r="AZ2524">
        <v>1200</v>
      </c>
      <c r="BA2524">
        <v>1</v>
      </c>
      <c r="BB2524" t="str">
        <f t="shared" si="1192"/>
        <v xml:space="preserve">N711JA  </v>
      </c>
      <c r="BC2524">
        <v>1</v>
      </c>
      <c r="BE2524">
        <v>0</v>
      </c>
      <c r="BF2524">
        <v>0</v>
      </c>
      <c r="BG2524">
        <v>0</v>
      </c>
      <c r="BH2524">
        <v>2425</v>
      </c>
      <c r="BI2524">
        <v>1</v>
      </c>
      <c r="BJ2524">
        <v>1</v>
      </c>
      <c r="BK2524">
        <v>0</v>
      </c>
      <c r="BL2524">
        <v>0</v>
      </c>
      <c r="BO2524">
        <v>0</v>
      </c>
      <c r="BP2524">
        <v>0</v>
      </c>
      <c r="BW2524" t="str">
        <f t="shared" ref="BW2524:BW2532" si="1196">"14:45:39.088"</f>
        <v>14:45:39.088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56</v>
      </c>
      <c r="CR2524">
        <v>2</v>
      </c>
      <c r="CW2524">
        <v>4873364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1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 t="shared" si="1193"/>
        <v>05/12/2020 14:45:21.254</v>
      </c>
      <c r="C2525" t="str">
        <f t="shared" si="1191"/>
        <v>FFDFD3C0</v>
      </c>
      <c r="D2525" t="s">
        <v>138</v>
      </c>
      <c r="E2525">
        <v>3</v>
      </c>
      <c r="H2525">
        <v>9</v>
      </c>
      <c r="I2525" t="s">
        <v>140</v>
      </c>
      <c r="J2525" t="s">
        <v>136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194"/>
        <v>14:45:39.086</v>
      </c>
      <c r="T2525" t="str">
        <f t="shared" si="1195"/>
        <v>14:45:38.786</v>
      </c>
      <c r="U2525" t="str">
        <f t="shared" si="1182"/>
        <v>A9808D</v>
      </c>
      <c r="V2525">
        <v>0</v>
      </c>
      <c r="W2525">
        <v>0</v>
      </c>
      <c r="X2525">
        <v>1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0</v>
      </c>
      <c r="AI2525" t="s">
        <v>252</v>
      </c>
      <c r="AJ2525">
        <v>28.252265000000001</v>
      </c>
      <c r="AK2525" t="s">
        <v>628</v>
      </c>
      <c r="AL2525">
        <v>-82.323088999999996</v>
      </c>
      <c r="AM2525">
        <v>100</v>
      </c>
      <c r="AN2525">
        <v>2300</v>
      </c>
      <c r="AO2525" t="s">
        <v>118</v>
      </c>
      <c r="AP2525">
        <v>97</v>
      </c>
      <c r="AQ2525">
        <v>-38</v>
      </c>
      <c r="AR2525">
        <v>320</v>
      </c>
      <c r="AZ2525">
        <v>1200</v>
      </c>
      <c r="BA2525">
        <v>1</v>
      </c>
      <c r="BB2525" t="str">
        <f t="shared" si="1192"/>
        <v xml:space="preserve">N711JA  </v>
      </c>
      <c r="BC2525">
        <v>1</v>
      </c>
      <c r="BE2525">
        <v>0</v>
      </c>
      <c r="BF2525">
        <v>0</v>
      </c>
      <c r="BG2525">
        <v>0</v>
      </c>
      <c r="BH2525">
        <v>2425</v>
      </c>
      <c r="BI2525">
        <v>1</v>
      </c>
      <c r="BJ2525">
        <v>1</v>
      </c>
      <c r="BK2525">
        <v>0</v>
      </c>
      <c r="BL2525">
        <v>0</v>
      </c>
      <c r="BO2525">
        <v>0</v>
      </c>
      <c r="BP2525">
        <v>0</v>
      </c>
      <c r="BW2525" t="str">
        <f t="shared" si="1196"/>
        <v>14:45:39.088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56</v>
      </c>
      <c r="CR2525">
        <v>2</v>
      </c>
      <c r="CW2525">
        <v>4873364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1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 t="shared" si="1193"/>
        <v>05/12/2020 14:45:21.254</v>
      </c>
      <c r="C2526" t="str">
        <f t="shared" si="1191"/>
        <v>FFDFD3C0</v>
      </c>
      <c r="D2526" t="s">
        <v>131</v>
      </c>
      <c r="E2526">
        <v>18</v>
      </c>
      <c r="F2526">
        <v>2018</v>
      </c>
      <c r="G2526" t="s">
        <v>161</v>
      </c>
      <c r="J2526" t="s">
        <v>133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194"/>
        <v>14:45:39.086</v>
      </c>
      <c r="T2526" t="str">
        <f t="shared" si="1195"/>
        <v>14:45:38.786</v>
      </c>
      <c r="U2526" t="str">
        <f t="shared" si="1182"/>
        <v>A9808D</v>
      </c>
      <c r="V2526">
        <v>0</v>
      </c>
      <c r="W2526">
        <v>0</v>
      </c>
      <c r="X2526">
        <v>1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0</v>
      </c>
      <c r="AI2526" t="s">
        <v>252</v>
      </c>
      <c r="AJ2526">
        <v>28.252265000000001</v>
      </c>
      <c r="AK2526" t="s">
        <v>628</v>
      </c>
      <c r="AL2526">
        <v>-82.323088999999996</v>
      </c>
      <c r="AM2526">
        <v>100</v>
      </c>
      <c r="AN2526">
        <v>2300</v>
      </c>
      <c r="AO2526" t="s">
        <v>118</v>
      </c>
      <c r="AP2526">
        <v>97</v>
      </c>
      <c r="AQ2526">
        <v>-38</v>
      </c>
      <c r="AR2526">
        <v>320</v>
      </c>
      <c r="AZ2526">
        <v>1200</v>
      </c>
      <c r="BA2526">
        <v>1</v>
      </c>
      <c r="BB2526" t="str">
        <f t="shared" si="1192"/>
        <v xml:space="preserve">N711JA  </v>
      </c>
      <c r="BC2526">
        <v>1</v>
      </c>
      <c r="BE2526">
        <v>0</v>
      </c>
      <c r="BF2526">
        <v>0</v>
      </c>
      <c r="BG2526">
        <v>0</v>
      </c>
      <c r="BH2526">
        <v>2425</v>
      </c>
      <c r="BI2526">
        <v>1</v>
      </c>
      <c r="BJ2526">
        <v>1</v>
      </c>
      <c r="BK2526">
        <v>0</v>
      </c>
      <c r="BL2526">
        <v>0</v>
      </c>
      <c r="BO2526">
        <v>0</v>
      </c>
      <c r="BP2526">
        <v>0</v>
      </c>
      <c r="BW2526" t="str">
        <f t="shared" si="1196"/>
        <v>14:45:39.088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56</v>
      </c>
      <c r="CR2526">
        <v>2</v>
      </c>
      <c r="CW2526">
        <v>4873364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1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 t="shared" si="1193"/>
        <v>05/12/2020 14:45:21.254</v>
      </c>
      <c r="C2527" t="str">
        <f t="shared" si="1191"/>
        <v>FFDFD3C0</v>
      </c>
      <c r="D2527" t="s">
        <v>131</v>
      </c>
      <c r="E2527">
        <v>10</v>
      </c>
      <c r="F2527">
        <v>2010</v>
      </c>
      <c r="G2527" t="s">
        <v>132</v>
      </c>
      <c r="J2527" t="s">
        <v>133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194"/>
        <v>14:45:39.086</v>
      </c>
      <c r="T2527" t="str">
        <f t="shared" si="1195"/>
        <v>14:45:38.786</v>
      </c>
      <c r="U2527" t="str">
        <f t="shared" si="1182"/>
        <v>A9808D</v>
      </c>
      <c r="V2527">
        <v>0</v>
      </c>
      <c r="W2527">
        <v>0</v>
      </c>
      <c r="X2527">
        <v>1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0</v>
      </c>
      <c r="AI2527" t="s">
        <v>252</v>
      </c>
      <c r="AJ2527">
        <v>28.252265000000001</v>
      </c>
      <c r="AK2527" t="s">
        <v>628</v>
      </c>
      <c r="AL2527">
        <v>-82.323088999999996</v>
      </c>
      <c r="AM2527">
        <v>100</v>
      </c>
      <c r="AN2527">
        <v>2300</v>
      </c>
      <c r="AO2527" t="s">
        <v>118</v>
      </c>
      <c r="AP2527">
        <v>97</v>
      </c>
      <c r="AQ2527">
        <v>-38</v>
      </c>
      <c r="AR2527">
        <v>320</v>
      </c>
      <c r="AZ2527">
        <v>1200</v>
      </c>
      <c r="BA2527">
        <v>1</v>
      </c>
      <c r="BB2527" t="str">
        <f t="shared" si="1192"/>
        <v xml:space="preserve">N711JA  </v>
      </c>
      <c r="BC2527">
        <v>1</v>
      </c>
      <c r="BE2527">
        <v>0</v>
      </c>
      <c r="BF2527">
        <v>0</v>
      </c>
      <c r="BG2527">
        <v>0</v>
      </c>
      <c r="BH2527">
        <v>2425</v>
      </c>
      <c r="BI2527">
        <v>1</v>
      </c>
      <c r="BJ2527">
        <v>1</v>
      </c>
      <c r="BK2527">
        <v>0</v>
      </c>
      <c r="BL2527">
        <v>0</v>
      </c>
      <c r="BO2527">
        <v>0</v>
      </c>
      <c r="BP2527">
        <v>0</v>
      </c>
      <c r="BW2527" t="str">
        <f t="shared" si="1196"/>
        <v>14:45:39.088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56</v>
      </c>
      <c r="CR2527">
        <v>2</v>
      </c>
      <c r="CW2527">
        <v>4873364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1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 t="shared" si="1193"/>
        <v>05/12/2020 14:45:21.254</v>
      </c>
      <c r="C2528" t="str">
        <f t="shared" si="1191"/>
        <v>FFDFD3C0</v>
      </c>
      <c r="D2528" t="s">
        <v>138</v>
      </c>
      <c r="E2528">
        <v>2</v>
      </c>
      <c r="H2528">
        <v>8</v>
      </c>
      <c r="I2528" t="s">
        <v>139</v>
      </c>
      <c r="J2528" t="s">
        <v>136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194"/>
        <v>14:45:39.086</v>
      </c>
      <c r="T2528" t="str">
        <f t="shared" si="1195"/>
        <v>14:45:38.786</v>
      </c>
      <c r="U2528" t="str">
        <f t="shared" si="1182"/>
        <v>A9808D</v>
      </c>
      <c r="V2528">
        <v>0</v>
      </c>
      <c r="W2528">
        <v>0</v>
      </c>
      <c r="X2528">
        <v>1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0</v>
      </c>
      <c r="AI2528" t="s">
        <v>252</v>
      </c>
      <c r="AJ2528">
        <v>28.252265000000001</v>
      </c>
      <c r="AK2528" t="s">
        <v>628</v>
      </c>
      <c r="AL2528">
        <v>-82.323088999999996</v>
      </c>
      <c r="AM2528">
        <v>100</v>
      </c>
      <c r="AN2528">
        <v>2300</v>
      </c>
      <c r="AO2528" t="s">
        <v>118</v>
      </c>
      <c r="AP2528">
        <v>97</v>
      </c>
      <c r="AQ2528">
        <v>-38</v>
      </c>
      <c r="AR2528">
        <v>320</v>
      </c>
      <c r="AZ2528">
        <v>1200</v>
      </c>
      <c r="BA2528">
        <v>1</v>
      </c>
      <c r="BB2528" t="str">
        <f t="shared" si="1192"/>
        <v xml:space="preserve">N711JA  </v>
      </c>
      <c r="BC2528">
        <v>1</v>
      </c>
      <c r="BE2528">
        <v>0</v>
      </c>
      <c r="BF2528">
        <v>0</v>
      </c>
      <c r="BG2528">
        <v>0</v>
      </c>
      <c r="BH2528">
        <v>2425</v>
      </c>
      <c r="BI2528">
        <v>1</v>
      </c>
      <c r="BJ2528">
        <v>1</v>
      </c>
      <c r="BK2528">
        <v>0</v>
      </c>
      <c r="BL2528">
        <v>0</v>
      </c>
      <c r="BO2528">
        <v>0</v>
      </c>
      <c r="BP2528">
        <v>0</v>
      </c>
      <c r="BW2528" t="str">
        <f t="shared" si="1196"/>
        <v>14:45:39.088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56</v>
      </c>
      <c r="CR2528">
        <v>2</v>
      </c>
      <c r="CW2528">
        <v>4873364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1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 t="shared" si="1193"/>
        <v>05/12/2020 14:45:21.254</v>
      </c>
      <c r="C2529" t="str">
        <f t="shared" si="1191"/>
        <v>FFDFD3C0</v>
      </c>
      <c r="D2529" t="s">
        <v>126</v>
      </c>
      <c r="E2529">
        <v>6</v>
      </c>
      <c r="F2529">
        <v>1006</v>
      </c>
      <c r="G2529" t="s">
        <v>114</v>
      </c>
      <c r="J2529" t="s">
        <v>128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194"/>
        <v>14:45:39.086</v>
      </c>
      <c r="T2529" t="str">
        <f t="shared" si="1195"/>
        <v>14:45:38.786</v>
      </c>
      <c r="U2529" t="str">
        <f t="shared" si="1182"/>
        <v>A9808D</v>
      </c>
      <c r="V2529">
        <v>0</v>
      </c>
      <c r="W2529">
        <v>0</v>
      </c>
      <c r="X2529">
        <v>1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0</v>
      </c>
      <c r="AI2529" t="s">
        <v>252</v>
      </c>
      <c r="AJ2529">
        <v>28.252265000000001</v>
      </c>
      <c r="AK2529" t="s">
        <v>628</v>
      </c>
      <c r="AL2529">
        <v>-82.323088999999996</v>
      </c>
      <c r="AM2529">
        <v>100</v>
      </c>
      <c r="AN2529">
        <v>2300</v>
      </c>
      <c r="AO2529" t="s">
        <v>118</v>
      </c>
      <c r="AP2529">
        <v>97</v>
      </c>
      <c r="AQ2529">
        <v>-38</v>
      </c>
      <c r="AR2529">
        <v>320</v>
      </c>
      <c r="AZ2529">
        <v>1200</v>
      </c>
      <c r="BA2529">
        <v>1</v>
      </c>
      <c r="BB2529" t="str">
        <f t="shared" si="1192"/>
        <v xml:space="preserve">N711JA  </v>
      </c>
      <c r="BC2529">
        <v>1</v>
      </c>
      <c r="BE2529">
        <v>0</v>
      </c>
      <c r="BF2529">
        <v>0</v>
      </c>
      <c r="BG2529">
        <v>0</v>
      </c>
      <c r="BH2529">
        <v>2425</v>
      </c>
      <c r="BI2529">
        <v>1</v>
      </c>
      <c r="BJ2529">
        <v>1</v>
      </c>
      <c r="BK2529">
        <v>0</v>
      </c>
      <c r="BL2529">
        <v>0</v>
      </c>
      <c r="BO2529">
        <v>0</v>
      </c>
      <c r="BP2529">
        <v>0</v>
      </c>
      <c r="BW2529" t="str">
        <f t="shared" si="1196"/>
        <v>14:45:39.088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56</v>
      </c>
      <c r="CR2529">
        <v>2</v>
      </c>
      <c r="CW2529">
        <v>4873364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1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 t="shared" si="1193"/>
        <v>05/12/2020 14:45:21.254</v>
      </c>
      <c r="C2530" t="str">
        <f t="shared" si="1191"/>
        <v>FFDFD3C0</v>
      </c>
      <c r="D2530" t="s">
        <v>113</v>
      </c>
      <c r="E2530">
        <v>3</v>
      </c>
      <c r="H2530">
        <v>164</v>
      </c>
      <c r="I2530" t="s">
        <v>114</v>
      </c>
      <c r="J2530" t="s">
        <v>115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194"/>
        <v>14:45:39.086</v>
      </c>
      <c r="T2530" t="str">
        <f t="shared" si="1195"/>
        <v>14:45:38.786</v>
      </c>
      <c r="U2530" t="str">
        <f t="shared" si="1182"/>
        <v>A9808D</v>
      </c>
      <c r="V2530">
        <v>0</v>
      </c>
      <c r="W2530">
        <v>0</v>
      </c>
      <c r="X2530">
        <v>1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0</v>
      </c>
      <c r="AI2530" t="s">
        <v>252</v>
      </c>
      <c r="AJ2530">
        <v>28.252265000000001</v>
      </c>
      <c r="AK2530" t="s">
        <v>628</v>
      </c>
      <c r="AL2530">
        <v>-82.323088999999996</v>
      </c>
      <c r="AM2530">
        <v>100</v>
      </c>
      <c r="AN2530">
        <v>2300</v>
      </c>
      <c r="AO2530" t="s">
        <v>118</v>
      </c>
      <c r="AP2530">
        <v>97</v>
      </c>
      <c r="AQ2530">
        <v>-38</v>
      </c>
      <c r="AR2530">
        <v>320</v>
      </c>
      <c r="AZ2530">
        <v>1200</v>
      </c>
      <c r="BA2530">
        <v>1</v>
      </c>
      <c r="BB2530" t="str">
        <f t="shared" si="1192"/>
        <v xml:space="preserve">N711JA  </v>
      </c>
      <c r="BC2530">
        <v>1</v>
      </c>
      <c r="BE2530">
        <v>0</v>
      </c>
      <c r="BF2530">
        <v>0</v>
      </c>
      <c r="BG2530">
        <v>0</v>
      </c>
      <c r="BH2530">
        <v>2425</v>
      </c>
      <c r="BI2530">
        <v>1</v>
      </c>
      <c r="BJ2530">
        <v>1</v>
      </c>
      <c r="BK2530">
        <v>0</v>
      </c>
      <c r="BL2530">
        <v>0</v>
      </c>
      <c r="BO2530">
        <v>0</v>
      </c>
      <c r="BP2530">
        <v>0</v>
      </c>
      <c r="BW2530" t="str">
        <f t="shared" si="1196"/>
        <v>14:45:39.088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56</v>
      </c>
      <c r="CR2530">
        <v>2</v>
      </c>
      <c r="CW2530">
        <v>4873364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1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si="1193"/>
        <v>05/12/2020 14:45:21.254</v>
      </c>
      <c r="C2531" t="str">
        <f t="shared" si="1191"/>
        <v>FFDFD3C0</v>
      </c>
      <c r="D2531" t="s">
        <v>134</v>
      </c>
      <c r="E2531">
        <v>12</v>
      </c>
      <c r="H2531">
        <v>64</v>
      </c>
      <c r="I2531" t="s">
        <v>135</v>
      </c>
      <c r="J2531" t="s">
        <v>136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194"/>
        <v>14:45:39.086</v>
      </c>
      <c r="T2531" t="str">
        <f t="shared" si="1195"/>
        <v>14:45:38.786</v>
      </c>
      <c r="U2531" t="str">
        <f t="shared" si="1182"/>
        <v>A9808D</v>
      </c>
      <c r="V2531">
        <v>0</v>
      </c>
      <c r="W2531">
        <v>0</v>
      </c>
      <c r="X2531">
        <v>1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0</v>
      </c>
      <c r="AI2531" t="s">
        <v>252</v>
      </c>
      <c r="AJ2531">
        <v>28.252265000000001</v>
      </c>
      <c r="AK2531" t="s">
        <v>628</v>
      </c>
      <c r="AL2531">
        <v>-82.323088999999996</v>
      </c>
      <c r="AM2531">
        <v>100</v>
      </c>
      <c r="AN2531">
        <v>2300</v>
      </c>
      <c r="AO2531" t="s">
        <v>118</v>
      </c>
      <c r="AP2531">
        <v>97</v>
      </c>
      <c r="AQ2531">
        <v>-38</v>
      </c>
      <c r="AR2531">
        <v>320</v>
      </c>
      <c r="AZ2531">
        <v>1200</v>
      </c>
      <c r="BA2531">
        <v>1</v>
      </c>
      <c r="BB2531" t="str">
        <f t="shared" si="1192"/>
        <v xml:space="preserve">N711JA  </v>
      </c>
      <c r="BC2531">
        <v>1</v>
      </c>
      <c r="BE2531">
        <v>0</v>
      </c>
      <c r="BF2531">
        <v>0</v>
      </c>
      <c r="BG2531">
        <v>0</v>
      </c>
      <c r="BH2531">
        <v>2425</v>
      </c>
      <c r="BI2531">
        <v>1</v>
      </c>
      <c r="BJ2531">
        <v>1</v>
      </c>
      <c r="BK2531">
        <v>0</v>
      </c>
      <c r="BL2531">
        <v>0</v>
      </c>
      <c r="BO2531">
        <v>0</v>
      </c>
      <c r="BP2531">
        <v>0</v>
      </c>
      <c r="BW2531" t="str">
        <f t="shared" si="1196"/>
        <v>14:45:39.088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343</v>
      </c>
      <c r="CR2531">
        <v>2</v>
      </c>
      <c r="CW2531">
        <v>13145405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1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1193"/>
        <v>05/12/2020 14:45:21.254</v>
      </c>
      <c r="C2532" t="str">
        <f t="shared" si="1191"/>
        <v>FFDFD3C0</v>
      </c>
      <c r="D2532" t="s">
        <v>126</v>
      </c>
      <c r="E2532">
        <v>7</v>
      </c>
      <c r="F2532">
        <v>1007</v>
      </c>
      <c r="G2532" t="s">
        <v>127</v>
      </c>
      <c r="J2532" t="s">
        <v>128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194"/>
        <v>14:45:39.086</v>
      </c>
      <c r="T2532" t="str">
        <f t="shared" si="1195"/>
        <v>14:45:38.786</v>
      </c>
      <c r="U2532" t="str">
        <f t="shared" si="1182"/>
        <v>A9808D</v>
      </c>
      <c r="V2532">
        <v>0</v>
      </c>
      <c r="W2532">
        <v>0</v>
      </c>
      <c r="X2532">
        <v>1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0</v>
      </c>
      <c r="AI2532" t="s">
        <v>252</v>
      </c>
      <c r="AJ2532">
        <v>28.252265000000001</v>
      </c>
      <c r="AK2532" t="s">
        <v>628</v>
      </c>
      <c r="AL2532">
        <v>-82.323088999999996</v>
      </c>
      <c r="AM2532">
        <v>100</v>
      </c>
      <c r="AN2532">
        <v>2300</v>
      </c>
      <c r="AO2532" t="s">
        <v>118</v>
      </c>
      <c r="AP2532">
        <v>97</v>
      </c>
      <c r="AQ2532">
        <v>-38</v>
      </c>
      <c r="AR2532">
        <v>320</v>
      </c>
      <c r="AZ2532">
        <v>1200</v>
      </c>
      <c r="BA2532">
        <v>1</v>
      </c>
      <c r="BB2532" t="str">
        <f t="shared" si="1192"/>
        <v xml:space="preserve">N711JA  </v>
      </c>
      <c r="BC2532">
        <v>1</v>
      </c>
      <c r="BE2532">
        <v>0</v>
      </c>
      <c r="BF2532">
        <v>0</v>
      </c>
      <c r="BG2532">
        <v>0</v>
      </c>
      <c r="BH2532">
        <v>2425</v>
      </c>
      <c r="BI2532">
        <v>1</v>
      </c>
      <c r="BJ2532">
        <v>1</v>
      </c>
      <c r="BK2532">
        <v>0</v>
      </c>
      <c r="BL2532">
        <v>0</v>
      </c>
      <c r="BO2532">
        <v>0</v>
      </c>
      <c r="BP2532">
        <v>0</v>
      </c>
      <c r="BW2532" t="str">
        <f t="shared" si="1196"/>
        <v>14:45:39.088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56</v>
      </c>
      <c r="CR2532">
        <v>2</v>
      </c>
      <c r="CW2532">
        <v>4873364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1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ref="A2533:A2541" si="1197">"05/12/2020 14:45:22.219"</f>
        <v>05/12/2020 14:45:22.219</v>
      </c>
      <c r="C2533" t="str">
        <f t="shared" si="1191"/>
        <v>FFDFD3C0</v>
      </c>
      <c r="D2533" t="s">
        <v>131</v>
      </c>
      <c r="E2533">
        <v>18</v>
      </c>
      <c r="F2533">
        <v>2018</v>
      </c>
      <c r="G2533" t="s">
        <v>161</v>
      </c>
      <c r="J2533" t="s">
        <v>133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ref="S2533:S2541" si="1198">"14:45:40.055"</f>
        <v>14:45:40.055</v>
      </c>
      <c r="T2533" t="str">
        <f t="shared" ref="T2533:T2541" si="1199">"14:45:39.655"</f>
        <v>14:45:39.655</v>
      </c>
      <c r="U2533" t="str">
        <f t="shared" si="1182"/>
        <v>A9808D</v>
      </c>
      <c r="V2533">
        <v>0</v>
      </c>
      <c r="W2533">
        <v>0</v>
      </c>
      <c r="X2533">
        <v>1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0</v>
      </c>
      <c r="AI2533" t="s">
        <v>629</v>
      </c>
      <c r="AJ2533">
        <v>28.252071999999998</v>
      </c>
      <c r="AK2533" t="s">
        <v>630</v>
      </c>
      <c r="AL2533">
        <v>-82.322574000000003</v>
      </c>
      <c r="AM2533">
        <v>100</v>
      </c>
      <c r="AN2533">
        <v>2300</v>
      </c>
      <c r="AO2533" t="s">
        <v>118</v>
      </c>
      <c r="AP2533">
        <v>97</v>
      </c>
      <c r="AQ2533">
        <v>-37</v>
      </c>
      <c r="AR2533">
        <v>256</v>
      </c>
      <c r="AZ2533">
        <v>1200</v>
      </c>
      <c r="BA2533">
        <v>1</v>
      </c>
      <c r="BB2533" t="str">
        <f t="shared" si="1192"/>
        <v xml:space="preserve">N711JA  </v>
      </c>
      <c r="BC2533">
        <v>1</v>
      </c>
      <c r="BE2533">
        <v>0</v>
      </c>
      <c r="BF2533">
        <v>0</v>
      </c>
      <c r="BG2533">
        <v>0</v>
      </c>
      <c r="BH2533">
        <v>2425</v>
      </c>
      <c r="BI2533">
        <v>1</v>
      </c>
      <c r="BJ2533">
        <v>1</v>
      </c>
      <c r="BK2533">
        <v>0</v>
      </c>
      <c r="BL2533">
        <v>0</v>
      </c>
      <c r="BO2533">
        <v>0</v>
      </c>
      <c r="BP2533">
        <v>0</v>
      </c>
      <c r="BW2533" t="str">
        <f t="shared" ref="BW2533:BW2541" si="1200">"14:45:40.056"</f>
        <v>14:45:40.056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56</v>
      </c>
      <c r="CR2533">
        <v>2</v>
      </c>
      <c r="CW2533">
        <v>4874618</v>
      </c>
      <c r="CY2533">
        <v>1</v>
      </c>
      <c r="CZ2533">
        <v>0</v>
      </c>
      <c r="DA2533">
        <v>0</v>
      </c>
      <c r="DB2533">
        <v>0</v>
      </c>
      <c r="DC2533">
        <v>0</v>
      </c>
      <c r="DD2533">
        <v>1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1197"/>
        <v>05/12/2020 14:45:22.219</v>
      </c>
      <c r="C2534" t="str">
        <f t="shared" si="1191"/>
        <v>FFDFD3C0</v>
      </c>
      <c r="D2534" t="s">
        <v>138</v>
      </c>
      <c r="E2534">
        <v>3</v>
      </c>
      <c r="H2534">
        <v>9</v>
      </c>
      <c r="I2534" t="s">
        <v>140</v>
      </c>
      <c r="J2534" t="s">
        <v>136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198"/>
        <v>14:45:40.055</v>
      </c>
      <c r="T2534" t="str">
        <f t="shared" si="1199"/>
        <v>14:45:39.655</v>
      </c>
      <c r="U2534" t="str">
        <f t="shared" si="1182"/>
        <v>A9808D</v>
      </c>
      <c r="V2534">
        <v>0</v>
      </c>
      <c r="W2534">
        <v>0</v>
      </c>
      <c r="X2534">
        <v>1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0</v>
      </c>
      <c r="AI2534" t="s">
        <v>629</v>
      </c>
      <c r="AJ2534">
        <v>28.252071999999998</v>
      </c>
      <c r="AK2534" t="s">
        <v>630</v>
      </c>
      <c r="AL2534">
        <v>-82.322574000000003</v>
      </c>
      <c r="AM2534">
        <v>100</v>
      </c>
      <c r="AN2534">
        <v>2300</v>
      </c>
      <c r="AO2534" t="s">
        <v>118</v>
      </c>
      <c r="AP2534">
        <v>97</v>
      </c>
      <c r="AQ2534">
        <v>-37</v>
      </c>
      <c r="AR2534">
        <v>256</v>
      </c>
      <c r="AZ2534">
        <v>1200</v>
      </c>
      <c r="BA2534">
        <v>1</v>
      </c>
      <c r="BB2534" t="str">
        <f t="shared" si="1192"/>
        <v xml:space="preserve">N711JA  </v>
      </c>
      <c r="BC2534">
        <v>1</v>
      </c>
      <c r="BE2534">
        <v>0</v>
      </c>
      <c r="BF2534">
        <v>0</v>
      </c>
      <c r="BG2534">
        <v>0</v>
      </c>
      <c r="BH2534">
        <v>2425</v>
      </c>
      <c r="BI2534">
        <v>1</v>
      </c>
      <c r="BJ2534">
        <v>1</v>
      </c>
      <c r="BK2534">
        <v>0</v>
      </c>
      <c r="BL2534">
        <v>0</v>
      </c>
      <c r="BO2534">
        <v>0</v>
      </c>
      <c r="BP2534">
        <v>0</v>
      </c>
      <c r="BW2534" t="str">
        <f t="shared" si="1200"/>
        <v>14:45:40.056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56</v>
      </c>
      <c r="CR2534">
        <v>2</v>
      </c>
      <c r="CW2534">
        <v>4874618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1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si="1197"/>
        <v>05/12/2020 14:45:22.219</v>
      </c>
      <c r="C2535" t="str">
        <f t="shared" si="1191"/>
        <v>FFDFD3C0</v>
      </c>
      <c r="D2535" t="s">
        <v>126</v>
      </c>
      <c r="E2535">
        <v>6</v>
      </c>
      <c r="F2535">
        <v>1006</v>
      </c>
      <c r="G2535" t="s">
        <v>114</v>
      </c>
      <c r="J2535" t="s">
        <v>128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198"/>
        <v>14:45:40.055</v>
      </c>
      <c r="T2535" t="str">
        <f t="shared" si="1199"/>
        <v>14:45:39.655</v>
      </c>
      <c r="U2535" t="str">
        <f t="shared" si="1182"/>
        <v>A9808D</v>
      </c>
      <c r="V2535">
        <v>0</v>
      </c>
      <c r="W2535">
        <v>0</v>
      </c>
      <c r="X2535">
        <v>1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0</v>
      </c>
      <c r="AI2535" t="s">
        <v>629</v>
      </c>
      <c r="AJ2535">
        <v>28.252071999999998</v>
      </c>
      <c r="AK2535" t="s">
        <v>630</v>
      </c>
      <c r="AL2535">
        <v>-82.322574000000003</v>
      </c>
      <c r="AM2535">
        <v>100</v>
      </c>
      <c r="AN2535">
        <v>2300</v>
      </c>
      <c r="AO2535" t="s">
        <v>118</v>
      </c>
      <c r="AP2535">
        <v>97</v>
      </c>
      <c r="AQ2535">
        <v>-37</v>
      </c>
      <c r="AR2535">
        <v>256</v>
      </c>
      <c r="AZ2535">
        <v>1200</v>
      </c>
      <c r="BA2535">
        <v>1</v>
      </c>
      <c r="BB2535" t="str">
        <f t="shared" si="1192"/>
        <v xml:space="preserve">N711JA  </v>
      </c>
      <c r="BC2535">
        <v>1</v>
      </c>
      <c r="BE2535">
        <v>0</v>
      </c>
      <c r="BF2535">
        <v>0</v>
      </c>
      <c r="BG2535">
        <v>0</v>
      </c>
      <c r="BH2535">
        <v>2425</v>
      </c>
      <c r="BI2535">
        <v>1</v>
      </c>
      <c r="BJ2535">
        <v>1</v>
      </c>
      <c r="BK2535">
        <v>0</v>
      </c>
      <c r="BL2535">
        <v>0</v>
      </c>
      <c r="BO2535">
        <v>0</v>
      </c>
      <c r="BP2535">
        <v>0</v>
      </c>
      <c r="BW2535" t="str">
        <f t="shared" si="1200"/>
        <v>14:45:40.056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56</v>
      </c>
      <c r="CR2535">
        <v>2</v>
      </c>
      <c r="CW2535">
        <v>4874618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1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 t="shared" si="1197"/>
        <v>05/12/2020 14:45:22.219</v>
      </c>
      <c r="C2536" t="str">
        <f t="shared" si="1191"/>
        <v>FFDFD3C0</v>
      </c>
      <c r="D2536" t="s">
        <v>138</v>
      </c>
      <c r="E2536">
        <v>2</v>
      </c>
      <c r="H2536">
        <v>8</v>
      </c>
      <c r="I2536" t="s">
        <v>139</v>
      </c>
      <c r="J2536" t="s">
        <v>136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198"/>
        <v>14:45:40.055</v>
      </c>
      <c r="T2536" t="str">
        <f t="shared" si="1199"/>
        <v>14:45:39.655</v>
      </c>
      <c r="U2536" t="str">
        <f t="shared" si="1182"/>
        <v>A9808D</v>
      </c>
      <c r="V2536">
        <v>0</v>
      </c>
      <c r="W2536">
        <v>0</v>
      </c>
      <c r="X2536">
        <v>1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0</v>
      </c>
      <c r="AI2536" t="s">
        <v>629</v>
      </c>
      <c r="AJ2536">
        <v>28.252071999999998</v>
      </c>
      <c r="AK2536" t="s">
        <v>630</v>
      </c>
      <c r="AL2536">
        <v>-82.322574000000003</v>
      </c>
      <c r="AM2536">
        <v>100</v>
      </c>
      <c r="AN2536">
        <v>2300</v>
      </c>
      <c r="AO2536" t="s">
        <v>118</v>
      </c>
      <c r="AP2536">
        <v>97</v>
      </c>
      <c r="AQ2536">
        <v>-37</v>
      </c>
      <c r="AR2536">
        <v>256</v>
      </c>
      <c r="AZ2536">
        <v>1200</v>
      </c>
      <c r="BA2536">
        <v>1</v>
      </c>
      <c r="BB2536" t="str">
        <f t="shared" si="1192"/>
        <v xml:space="preserve">N711JA  </v>
      </c>
      <c r="BC2536">
        <v>1</v>
      </c>
      <c r="BE2536">
        <v>0</v>
      </c>
      <c r="BF2536">
        <v>0</v>
      </c>
      <c r="BG2536">
        <v>0</v>
      </c>
      <c r="BH2536">
        <v>2425</v>
      </c>
      <c r="BI2536">
        <v>1</v>
      </c>
      <c r="BJ2536">
        <v>1</v>
      </c>
      <c r="BK2536">
        <v>0</v>
      </c>
      <c r="BL2536">
        <v>0</v>
      </c>
      <c r="BO2536">
        <v>0</v>
      </c>
      <c r="BP2536">
        <v>0</v>
      </c>
      <c r="BW2536" t="str">
        <f t="shared" si="1200"/>
        <v>14:45:40.056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56</v>
      </c>
      <c r="CR2536">
        <v>2</v>
      </c>
      <c r="CW2536">
        <v>4874618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1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 t="shared" si="1197"/>
        <v>05/12/2020 14:45:22.219</v>
      </c>
      <c r="C2537" t="str">
        <f t="shared" si="1191"/>
        <v>FFDFD3C0</v>
      </c>
      <c r="D2537" t="s">
        <v>113</v>
      </c>
      <c r="E2537">
        <v>3</v>
      </c>
      <c r="H2537">
        <v>164</v>
      </c>
      <c r="I2537" t="s">
        <v>114</v>
      </c>
      <c r="J2537" t="s">
        <v>115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198"/>
        <v>14:45:40.055</v>
      </c>
      <c r="T2537" t="str">
        <f t="shared" si="1199"/>
        <v>14:45:39.655</v>
      </c>
      <c r="U2537" t="str">
        <f t="shared" si="1182"/>
        <v>A9808D</v>
      </c>
      <c r="V2537">
        <v>0</v>
      </c>
      <c r="W2537">
        <v>0</v>
      </c>
      <c r="X2537">
        <v>1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0</v>
      </c>
      <c r="AI2537" t="s">
        <v>629</v>
      </c>
      <c r="AJ2537">
        <v>28.252071999999998</v>
      </c>
      <c r="AK2537" t="s">
        <v>630</v>
      </c>
      <c r="AL2537">
        <v>-82.322574000000003</v>
      </c>
      <c r="AM2537">
        <v>100</v>
      </c>
      <c r="AN2537">
        <v>2300</v>
      </c>
      <c r="AO2537" t="s">
        <v>118</v>
      </c>
      <c r="AP2537">
        <v>97</v>
      </c>
      <c r="AQ2537">
        <v>-37</v>
      </c>
      <c r="AR2537">
        <v>256</v>
      </c>
      <c r="AZ2537">
        <v>1200</v>
      </c>
      <c r="BA2537">
        <v>1</v>
      </c>
      <c r="BB2537" t="str">
        <f t="shared" si="1192"/>
        <v xml:space="preserve">N711JA  </v>
      </c>
      <c r="BC2537">
        <v>1</v>
      </c>
      <c r="BE2537">
        <v>0</v>
      </c>
      <c r="BF2537">
        <v>0</v>
      </c>
      <c r="BG2537">
        <v>0</v>
      </c>
      <c r="BH2537">
        <v>2425</v>
      </c>
      <c r="BI2537">
        <v>1</v>
      </c>
      <c r="BJ2537">
        <v>1</v>
      </c>
      <c r="BK2537">
        <v>0</v>
      </c>
      <c r="BL2537">
        <v>0</v>
      </c>
      <c r="BO2537">
        <v>0</v>
      </c>
      <c r="BP2537">
        <v>0</v>
      </c>
      <c r="BW2537" t="str">
        <f t="shared" si="1200"/>
        <v>14:45:40.056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56</v>
      </c>
      <c r="CR2537">
        <v>2</v>
      </c>
      <c r="CW2537">
        <v>4874618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1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 t="shared" si="1197"/>
        <v>05/12/2020 14:45:22.219</v>
      </c>
      <c r="C2538" t="str">
        <f t="shared" si="1191"/>
        <v>FFDFD3C0</v>
      </c>
      <c r="D2538" t="s">
        <v>126</v>
      </c>
      <c r="E2538">
        <v>7</v>
      </c>
      <c r="F2538">
        <v>1007</v>
      </c>
      <c r="G2538" t="s">
        <v>127</v>
      </c>
      <c r="J2538" t="s">
        <v>128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198"/>
        <v>14:45:40.055</v>
      </c>
      <c r="T2538" t="str">
        <f t="shared" si="1199"/>
        <v>14:45:39.655</v>
      </c>
      <c r="U2538" t="str">
        <f t="shared" si="1182"/>
        <v>A9808D</v>
      </c>
      <c r="V2538">
        <v>0</v>
      </c>
      <c r="W2538">
        <v>0</v>
      </c>
      <c r="X2538">
        <v>1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0</v>
      </c>
      <c r="AI2538" t="s">
        <v>629</v>
      </c>
      <c r="AJ2538">
        <v>28.252071999999998</v>
      </c>
      <c r="AK2538" t="s">
        <v>630</v>
      </c>
      <c r="AL2538">
        <v>-82.322574000000003</v>
      </c>
      <c r="AM2538">
        <v>100</v>
      </c>
      <c r="AN2538">
        <v>2300</v>
      </c>
      <c r="AO2538" t="s">
        <v>118</v>
      </c>
      <c r="AP2538">
        <v>97</v>
      </c>
      <c r="AQ2538">
        <v>-37</v>
      </c>
      <c r="AR2538">
        <v>256</v>
      </c>
      <c r="AZ2538">
        <v>1200</v>
      </c>
      <c r="BA2538">
        <v>1</v>
      </c>
      <c r="BB2538" t="str">
        <f t="shared" si="1192"/>
        <v xml:space="preserve">N711JA  </v>
      </c>
      <c r="BC2538">
        <v>1</v>
      </c>
      <c r="BE2538">
        <v>0</v>
      </c>
      <c r="BF2538">
        <v>0</v>
      </c>
      <c r="BG2538">
        <v>0</v>
      </c>
      <c r="BH2538">
        <v>2425</v>
      </c>
      <c r="BI2538">
        <v>1</v>
      </c>
      <c r="BJ2538">
        <v>1</v>
      </c>
      <c r="BK2538">
        <v>0</v>
      </c>
      <c r="BL2538">
        <v>0</v>
      </c>
      <c r="BO2538">
        <v>0</v>
      </c>
      <c r="BP2538">
        <v>0</v>
      </c>
      <c r="BW2538" t="str">
        <f t="shared" si="1200"/>
        <v>14:45:40.056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56</v>
      </c>
      <c r="CR2538">
        <v>2</v>
      </c>
      <c r="CW2538">
        <v>4874618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1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 t="shared" si="1197"/>
        <v>05/12/2020 14:45:22.219</v>
      </c>
      <c r="C2539" t="str">
        <f t="shared" si="1191"/>
        <v>FFDFD3C0</v>
      </c>
      <c r="D2539" t="s">
        <v>134</v>
      </c>
      <c r="E2539">
        <v>12</v>
      </c>
      <c r="H2539">
        <v>64</v>
      </c>
      <c r="I2539" t="s">
        <v>135</v>
      </c>
      <c r="J2539" t="s">
        <v>136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198"/>
        <v>14:45:40.055</v>
      </c>
      <c r="T2539" t="str">
        <f t="shared" si="1199"/>
        <v>14:45:39.655</v>
      </c>
      <c r="U2539" t="str">
        <f t="shared" si="1182"/>
        <v>A9808D</v>
      </c>
      <c r="V2539">
        <v>0</v>
      </c>
      <c r="W2539">
        <v>0</v>
      </c>
      <c r="X2539">
        <v>1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0</v>
      </c>
      <c r="AI2539" t="s">
        <v>629</v>
      </c>
      <c r="AJ2539">
        <v>28.252071999999998</v>
      </c>
      <c r="AK2539" t="s">
        <v>630</v>
      </c>
      <c r="AL2539">
        <v>-82.322574000000003</v>
      </c>
      <c r="AM2539">
        <v>100</v>
      </c>
      <c r="AN2539">
        <v>2300</v>
      </c>
      <c r="AO2539" t="s">
        <v>118</v>
      </c>
      <c r="AP2539">
        <v>97</v>
      </c>
      <c r="AQ2539">
        <v>-37</v>
      </c>
      <c r="AR2539">
        <v>256</v>
      </c>
      <c r="AZ2539">
        <v>1200</v>
      </c>
      <c r="BA2539">
        <v>1</v>
      </c>
      <c r="BB2539" t="str">
        <f t="shared" si="1192"/>
        <v xml:space="preserve">N711JA  </v>
      </c>
      <c r="BC2539">
        <v>1</v>
      </c>
      <c r="BE2539">
        <v>0</v>
      </c>
      <c r="BF2539">
        <v>0</v>
      </c>
      <c r="BG2539">
        <v>0</v>
      </c>
      <c r="BH2539">
        <v>2425</v>
      </c>
      <c r="BI2539">
        <v>1</v>
      </c>
      <c r="BJ2539">
        <v>1</v>
      </c>
      <c r="BK2539">
        <v>0</v>
      </c>
      <c r="BL2539">
        <v>0</v>
      </c>
      <c r="BO2539">
        <v>0</v>
      </c>
      <c r="BP2539">
        <v>0</v>
      </c>
      <c r="BW2539" t="str">
        <f t="shared" si="1200"/>
        <v>14:45:40.056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343</v>
      </c>
      <c r="CR2539">
        <v>1</v>
      </c>
      <c r="CW2539">
        <v>10798953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1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 t="shared" si="1197"/>
        <v>05/12/2020 14:45:22.219</v>
      </c>
      <c r="C2540" t="str">
        <f t="shared" si="1191"/>
        <v>FFDFD3C0</v>
      </c>
      <c r="D2540" t="s">
        <v>131</v>
      </c>
      <c r="E2540">
        <v>10</v>
      </c>
      <c r="F2540">
        <v>2010</v>
      </c>
      <c r="G2540" t="s">
        <v>132</v>
      </c>
      <c r="J2540" t="s">
        <v>133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198"/>
        <v>14:45:40.055</v>
      </c>
      <c r="T2540" t="str">
        <f t="shared" si="1199"/>
        <v>14:45:39.655</v>
      </c>
      <c r="U2540" t="str">
        <f t="shared" si="1182"/>
        <v>A9808D</v>
      </c>
      <c r="V2540">
        <v>0</v>
      </c>
      <c r="W2540">
        <v>0</v>
      </c>
      <c r="X2540">
        <v>1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0</v>
      </c>
      <c r="AI2540" t="s">
        <v>629</v>
      </c>
      <c r="AJ2540">
        <v>28.252071999999998</v>
      </c>
      <c r="AK2540" t="s">
        <v>630</v>
      </c>
      <c r="AL2540">
        <v>-82.322574000000003</v>
      </c>
      <c r="AM2540">
        <v>100</v>
      </c>
      <c r="AN2540">
        <v>2300</v>
      </c>
      <c r="AO2540" t="s">
        <v>118</v>
      </c>
      <c r="AP2540">
        <v>97</v>
      </c>
      <c r="AQ2540">
        <v>-37</v>
      </c>
      <c r="AR2540">
        <v>256</v>
      </c>
      <c r="AZ2540">
        <v>1200</v>
      </c>
      <c r="BA2540">
        <v>1</v>
      </c>
      <c r="BB2540" t="str">
        <f t="shared" si="1192"/>
        <v xml:space="preserve">N711JA  </v>
      </c>
      <c r="BC2540">
        <v>1</v>
      </c>
      <c r="BE2540">
        <v>0</v>
      </c>
      <c r="BF2540">
        <v>0</v>
      </c>
      <c r="BG2540">
        <v>0</v>
      </c>
      <c r="BH2540">
        <v>2425</v>
      </c>
      <c r="BI2540">
        <v>1</v>
      </c>
      <c r="BJ2540">
        <v>1</v>
      </c>
      <c r="BK2540">
        <v>0</v>
      </c>
      <c r="BL2540">
        <v>0</v>
      </c>
      <c r="BO2540">
        <v>0</v>
      </c>
      <c r="BP2540">
        <v>0</v>
      </c>
      <c r="BW2540" t="str">
        <f t="shared" si="1200"/>
        <v>14:45:40.056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56</v>
      </c>
      <c r="CR2540">
        <v>2</v>
      </c>
      <c r="CW2540">
        <v>4874618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1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 t="shared" si="1197"/>
        <v>05/12/2020 14:45:22.219</v>
      </c>
      <c r="C2541" t="str">
        <f t="shared" si="1191"/>
        <v>FFDFD3C0</v>
      </c>
      <c r="D2541" t="s">
        <v>131</v>
      </c>
      <c r="E2541">
        <v>12</v>
      </c>
      <c r="F2541">
        <v>2012</v>
      </c>
      <c r="G2541" t="s">
        <v>137</v>
      </c>
      <c r="J2541" t="s">
        <v>133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198"/>
        <v>14:45:40.055</v>
      </c>
      <c r="T2541" t="str">
        <f t="shared" si="1199"/>
        <v>14:45:39.655</v>
      </c>
      <c r="U2541" t="str">
        <f t="shared" si="1182"/>
        <v>A9808D</v>
      </c>
      <c r="V2541">
        <v>0</v>
      </c>
      <c r="W2541">
        <v>0</v>
      </c>
      <c r="X2541">
        <v>1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0</v>
      </c>
      <c r="AI2541" t="s">
        <v>629</v>
      </c>
      <c r="AJ2541">
        <v>28.252071999999998</v>
      </c>
      <c r="AK2541" t="s">
        <v>630</v>
      </c>
      <c r="AL2541">
        <v>-82.322574000000003</v>
      </c>
      <c r="AM2541">
        <v>100</v>
      </c>
      <c r="AN2541">
        <v>2300</v>
      </c>
      <c r="AO2541" t="s">
        <v>118</v>
      </c>
      <c r="AP2541">
        <v>97</v>
      </c>
      <c r="AQ2541">
        <v>-37</v>
      </c>
      <c r="AR2541">
        <v>256</v>
      </c>
      <c r="AZ2541">
        <v>1200</v>
      </c>
      <c r="BA2541">
        <v>1</v>
      </c>
      <c r="BB2541" t="str">
        <f t="shared" si="1192"/>
        <v xml:space="preserve">N711JA  </v>
      </c>
      <c r="BC2541">
        <v>1</v>
      </c>
      <c r="BE2541">
        <v>0</v>
      </c>
      <c r="BF2541">
        <v>0</v>
      </c>
      <c r="BG2541">
        <v>0</v>
      </c>
      <c r="BH2541">
        <v>2425</v>
      </c>
      <c r="BI2541">
        <v>1</v>
      </c>
      <c r="BJ2541">
        <v>1</v>
      </c>
      <c r="BK2541">
        <v>0</v>
      </c>
      <c r="BL2541">
        <v>0</v>
      </c>
      <c r="BO2541">
        <v>0</v>
      </c>
      <c r="BP2541">
        <v>0</v>
      </c>
      <c r="BW2541" t="str">
        <f t="shared" si="1200"/>
        <v>14:45:40.056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56</v>
      </c>
      <c r="CR2541">
        <v>2</v>
      </c>
      <c r="CW2541">
        <v>4874618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1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ref="A2542:A2550" si="1201">"05/12/2020 14:45:23.083"</f>
        <v>05/12/2020 14:45:23.083</v>
      </c>
      <c r="C2542" t="str">
        <f t="shared" si="1191"/>
        <v>FFDFD3C0</v>
      </c>
      <c r="D2542" t="s">
        <v>138</v>
      </c>
      <c r="E2542">
        <v>3</v>
      </c>
      <c r="H2542">
        <v>9</v>
      </c>
      <c r="I2542" t="s">
        <v>140</v>
      </c>
      <c r="J2542" t="s">
        <v>136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ref="S2542:S2550" si="1202">"14:45:40.914"</f>
        <v>14:45:40.914</v>
      </c>
      <c r="T2542" t="str">
        <f t="shared" ref="T2542:T2550" si="1203">"14:45:40.614"</f>
        <v>14:45:40.614</v>
      </c>
      <c r="U2542" t="str">
        <f t="shared" si="1182"/>
        <v>A9808D</v>
      </c>
      <c r="V2542">
        <v>0</v>
      </c>
      <c r="W2542">
        <v>0</v>
      </c>
      <c r="X2542">
        <v>1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0</v>
      </c>
      <c r="AI2542" t="s">
        <v>631</v>
      </c>
      <c r="AJ2542">
        <v>28.251944000000002</v>
      </c>
      <c r="AK2542" t="s">
        <v>632</v>
      </c>
      <c r="AL2542">
        <v>-82.322145000000006</v>
      </c>
      <c r="AM2542">
        <v>100</v>
      </c>
      <c r="AN2542">
        <v>2300</v>
      </c>
      <c r="AO2542" t="s">
        <v>118</v>
      </c>
      <c r="AP2542">
        <v>97</v>
      </c>
      <c r="AQ2542">
        <v>-36</v>
      </c>
      <c r="AR2542">
        <v>320</v>
      </c>
      <c r="AZ2542">
        <v>1200</v>
      </c>
      <c r="BA2542">
        <v>1</v>
      </c>
      <c r="BB2542" t="str">
        <f t="shared" si="1192"/>
        <v xml:space="preserve">N711JA  </v>
      </c>
      <c r="BC2542">
        <v>1</v>
      </c>
      <c r="BE2542">
        <v>0</v>
      </c>
      <c r="BF2542">
        <v>0</v>
      </c>
      <c r="BG2542">
        <v>0</v>
      </c>
      <c r="BH2542">
        <v>2450</v>
      </c>
      <c r="BI2542">
        <v>1</v>
      </c>
      <c r="BJ2542">
        <v>1</v>
      </c>
      <c r="BK2542">
        <v>0</v>
      </c>
      <c r="BL2542">
        <v>0</v>
      </c>
      <c r="BO2542">
        <v>0</v>
      </c>
      <c r="BP2542">
        <v>0</v>
      </c>
      <c r="BW2542" t="str">
        <f t="shared" ref="BW2542:BW2550" si="1204">"14:45:40.917"</f>
        <v>14:45:40.917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343</v>
      </c>
      <c r="CR2542">
        <v>1</v>
      </c>
      <c r="CW2542">
        <v>10799836</v>
      </c>
      <c r="CY2542">
        <v>1</v>
      </c>
      <c r="CZ2542">
        <v>0</v>
      </c>
      <c r="DA2542">
        <v>0</v>
      </c>
      <c r="DB2542">
        <v>0</v>
      </c>
      <c r="DC2542">
        <v>0</v>
      </c>
      <c r="DD2542">
        <v>1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 t="shared" si="1201"/>
        <v>05/12/2020 14:45:23.083</v>
      </c>
      <c r="C2543" t="str">
        <f t="shared" si="1191"/>
        <v>FFDFD3C0</v>
      </c>
      <c r="D2543" t="s">
        <v>126</v>
      </c>
      <c r="E2543">
        <v>6</v>
      </c>
      <c r="F2543">
        <v>1006</v>
      </c>
      <c r="G2543" t="s">
        <v>114</v>
      </c>
      <c r="J2543" t="s">
        <v>128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202"/>
        <v>14:45:40.914</v>
      </c>
      <c r="T2543" t="str">
        <f t="shared" si="1203"/>
        <v>14:45:40.614</v>
      </c>
      <c r="U2543" t="str">
        <f t="shared" si="1182"/>
        <v>A9808D</v>
      </c>
      <c r="V2543">
        <v>0</v>
      </c>
      <c r="W2543">
        <v>0</v>
      </c>
      <c r="X2543">
        <v>1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0</v>
      </c>
      <c r="AI2543" t="s">
        <v>631</v>
      </c>
      <c r="AJ2543">
        <v>28.251944000000002</v>
      </c>
      <c r="AK2543" t="s">
        <v>632</v>
      </c>
      <c r="AL2543">
        <v>-82.322145000000006</v>
      </c>
      <c r="AM2543">
        <v>100</v>
      </c>
      <c r="AN2543">
        <v>2300</v>
      </c>
      <c r="AO2543" t="s">
        <v>118</v>
      </c>
      <c r="AP2543">
        <v>97</v>
      </c>
      <c r="AQ2543">
        <v>-36</v>
      </c>
      <c r="AR2543">
        <v>320</v>
      </c>
      <c r="AZ2543">
        <v>1200</v>
      </c>
      <c r="BA2543">
        <v>1</v>
      </c>
      <c r="BB2543" t="str">
        <f t="shared" si="1192"/>
        <v xml:space="preserve">N711JA  </v>
      </c>
      <c r="BC2543">
        <v>1</v>
      </c>
      <c r="BE2543">
        <v>0</v>
      </c>
      <c r="BF2543">
        <v>0</v>
      </c>
      <c r="BG2543">
        <v>0</v>
      </c>
      <c r="BH2543">
        <v>2450</v>
      </c>
      <c r="BI2543">
        <v>1</v>
      </c>
      <c r="BJ2543">
        <v>1</v>
      </c>
      <c r="BK2543">
        <v>0</v>
      </c>
      <c r="BL2543">
        <v>0</v>
      </c>
      <c r="BO2543">
        <v>0</v>
      </c>
      <c r="BP2543">
        <v>0</v>
      </c>
      <c r="BW2543" t="str">
        <f t="shared" si="1204"/>
        <v>14:45:40.917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343</v>
      </c>
      <c r="CR2543">
        <v>1</v>
      </c>
      <c r="CW2543">
        <v>10799836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1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 t="shared" si="1201"/>
        <v>05/12/2020 14:45:23.083</v>
      </c>
      <c r="C2544" t="str">
        <f t="shared" si="1191"/>
        <v>FFDFD3C0</v>
      </c>
      <c r="D2544" t="s">
        <v>113</v>
      </c>
      <c r="E2544">
        <v>3</v>
      </c>
      <c r="H2544">
        <v>164</v>
      </c>
      <c r="I2544" t="s">
        <v>114</v>
      </c>
      <c r="J2544" t="s">
        <v>115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202"/>
        <v>14:45:40.914</v>
      </c>
      <c r="T2544" t="str">
        <f t="shared" si="1203"/>
        <v>14:45:40.614</v>
      </c>
      <c r="U2544" t="str">
        <f t="shared" si="1182"/>
        <v>A9808D</v>
      </c>
      <c r="V2544">
        <v>0</v>
      </c>
      <c r="W2544">
        <v>0</v>
      </c>
      <c r="X2544">
        <v>1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0</v>
      </c>
      <c r="AI2544" t="s">
        <v>631</v>
      </c>
      <c r="AJ2544">
        <v>28.251944000000002</v>
      </c>
      <c r="AK2544" t="s">
        <v>632</v>
      </c>
      <c r="AL2544">
        <v>-82.322145000000006</v>
      </c>
      <c r="AM2544">
        <v>100</v>
      </c>
      <c r="AN2544">
        <v>2300</v>
      </c>
      <c r="AO2544" t="s">
        <v>118</v>
      </c>
      <c r="AP2544">
        <v>97</v>
      </c>
      <c r="AQ2544">
        <v>-36</v>
      </c>
      <c r="AR2544">
        <v>320</v>
      </c>
      <c r="AZ2544">
        <v>1200</v>
      </c>
      <c r="BA2544">
        <v>1</v>
      </c>
      <c r="BB2544" t="str">
        <f t="shared" si="1192"/>
        <v xml:space="preserve">N711JA  </v>
      </c>
      <c r="BC2544">
        <v>1</v>
      </c>
      <c r="BE2544">
        <v>0</v>
      </c>
      <c r="BF2544">
        <v>0</v>
      </c>
      <c r="BG2544">
        <v>0</v>
      </c>
      <c r="BH2544">
        <v>2450</v>
      </c>
      <c r="BI2544">
        <v>1</v>
      </c>
      <c r="BJ2544">
        <v>1</v>
      </c>
      <c r="BK2544">
        <v>0</v>
      </c>
      <c r="BL2544">
        <v>0</v>
      </c>
      <c r="BO2544">
        <v>0</v>
      </c>
      <c r="BP2544">
        <v>0</v>
      </c>
      <c r="BW2544" t="str">
        <f t="shared" si="1204"/>
        <v>14:45:40.917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343</v>
      </c>
      <c r="CR2544">
        <v>1</v>
      </c>
      <c r="CW2544">
        <v>10799836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1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 t="shared" si="1201"/>
        <v>05/12/2020 14:45:23.083</v>
      </c>
      <c r="C2545" t="str">
        <f t="shared" si="1191"/>
        <v>FFDFD3C0</v>
      </c>
      <c r="D2545" t="s">
        <v>138</v>
      </c>
      <c r="E2545">
        <v>2</v>
      </c>
      <c r="H2545">
        <v>8</v>
      </c>
      <c r="I2545" t="s">
        <v>139</v>
      </c>
      <c r="J2545" t="s">
        <v>136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202"/>
        <v>14:45:40.914</v>
      </c>
      <c r="T2545" t="str">
        <f t="shared" si="1203"/>
        <v>14:45:40.614</v>
      </c>
      <c r="U2545" t="str">
        <f t="shared" si="1182"/>
        <v>A9808D</v>
      </c>
      <c r="V2545">
        <v>0</v>
      </c>
      <c r="W2545">
        <v>0</v>
      </c>
      <c r="X2545">
        <v>1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0</v>
      </c>
      <c r="AI2545" t="s">
        <v>631</v>
      </c>
      <c r="AJ2545">
        <v>28.251944000000002</v>
      </c>
      <c r="AK2545" t="s">
        <v>632</v>
      </c>
      <c r="AL2545">
        <v>-82.322145000000006</v>
      </c>
      <c r="AM2545">
        <v>100</v>
      </c>
      <c r="AN2545">
        <v>2300</v>
      </c>
      <c r="AO2545" t="s">
        <v>118</v>
      </c>
      <c r="AP2545">
        <v>97</v>
      </c>
      <c r="AQ2545">
        <v>-36</v>
      </c>
      <c r="AR2545">
        <v>320</v>
      </c>
      <c r="AZ2545">
        <v>1200</v>
      </c>
      <c r="BA2545">
        <v>1</v>
      </c>
      <c r="BB2545" t="str">
        <f t="shared" si="1192"/>
        <v xml:space="preserve">N711JA  </v>
      </c>
      <c r="BC2545">
        <v>1</v>
      </c>
      <c r="BE2545">
        <v>0</v>
      </c>
      <c r="BF2545">
        <v>0</v>
      </c>
      <c r="BG2545">
        <v>0</v>
      </c>
      <c r="BH2545">
        <v>2450</v>
      </c>
      <c r="BI2545">
        <v>1</v>
      </c>
      <c r="BJ2545">
        <v>1</v>
      </c>
      <c r="BK2545">
        <v>0</v>
      </c>
      <c r="BL2545">
        <v>0</v>
      </c>
      <c r="BO2545">
        <v>0</v>
      </c>
      <c r="BP2545">
        <v>0</v>
      </c>
      <c r="BW2545" t="str">
        <f t="shared" si="1204"/>
        <v>14:45:40.917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343</v>
      </c>
      <c r="CR2545">
        <v>1</v>
      </c>
      <c r="CW2545">
        <v>10799836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1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 t="shared" si="1201"/>
        <v>05/12/2020 14:45:23.083</v>
      </c>
      <c r="C2546" t="str">
        <f t="shared" si="1191"/>
        <v>FFDFD3C0</v>
      </c>
      <c r="D2546" t="s">
        <v>126</v>
      </c>
      <c r="E2546">
        <v>7</v>
      </c>
      <c r="F2546">
        <v>1007</v>
      </c>
      <c r="G2546" t="s">
        <v>127</v>
      </c>
      <c r="J2546" t="s">
        <v>128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202"/>
        <v>14:45:40.914</v>
      </c>
      <c r="T2546" t="str">
        <f t="shared" si="1203"/>
        <v>14:45:40.614</v>
      </c>
      <c r="U2546" t="str">
        <f t="shared" si="1182"/>
        <v>A9808D</v>
      </c>
      <c r="V2546">
        <v>0</v>
      </c>
      <c r="W2546">
        <v>0</v>
      </c>
      <c r="X2546">
        <v>1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0</v>
      </c>
      <c r="AI2546" t="s">
        <v>631</v>
      </c>
      <c r="AJ2546">
        <v>28.251944000000002</v>
      </c>
      <c r="AK2546" t="s">
        <v>632</v>
      </c>
      <c r="AL2546">
        <v>-82.322145000000006</v>
      </c>
      <c r="AM2546">
        <v>100</v>
      </c>
      <c r="AN2546">
        <v>2300</v>
      </c>
      <c r="AO2546" t="s">
        <v>118</v>
      </c>
      <c r="AP2546">
        <v>97</v>
      </c>
      <c r="AQ2546">
        <v>-36</v>
      </c>
      <c r="AR2546">
        <v>320</v>
      </c>
      <c r="AZ2546">
        <v>1200</v>
      </c>
      <c r="BA2546">
        <v>1</v>
      </c>
      <c r="BB2546" t="str">
        <f t="shared" si="1192"/>
        <v xml:space="preserve">N711JA  </v>
      </c>
      <c r="BC2546">
        <v>1</v>
      </c>
      <c r="BE2546">
        <v>0</v>
      </c>
      <c r="BF2546">
        <v>0</v>
      </c>
      <c r="BG2546">
        <v>0</v>
      </c>
      <c r="BH2546">
        <v>2450</v>
      </c>
      <c r="BI2546">
        <v>1</v>
      </c>
      <c r="BJ2546">
        <v>1</v>
      </c>
      <c r="BK2546">
        <v>0</v>
      </c>
      <c r="BL2546">
        <v>0</v>
      </c>
      <c r="BO2546">
        <v>0</v>
      </c>
      <c r="BP2546">
        <v>0</v>
      </c>
      <c r="BW2546" t="str">
        <f t="shared" si="1204"/>
        <v>14:45:40.917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343</v>
      </c>
      <c r="CR2546">
        <v>1</v>
      </c>
      <c r="CW2546">
        <v>10799836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1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 t="shared" si="1201"/>
        <v>05/12/2020 14:45:23.083</v>
      </c>
      <c r="C2547" t="str">
        <f t="shared" si="1191"/>
        <v>FFDFD3C0</v>
      </c>
      <c r="D2547" t="s">
        <v>131</v>
      </c>
      <c r="E2547">
        <v>10</v>
      </c>
      <c r="F2547">
        <v>2010</v>
      </c>
      <c r="G2547" t="s">
        <v>132</v>
      </c>
      <c r="J2547" t="s">
        <v>133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202"/>
        <v>14:45:40.914</v>
      </c>
      <c r="T2547" t="str">
        <f t="shared" si="1203"/>
        <v>14:45:40.614</v>
      </c>
      <c r="U2547" t="str">
        <f t="shared" si="1182"/>
        <v>A9808D</v>
      </c>
      <c r="V2547">
        <v>0</v>
      </c>
      <c r="W2547">
        <v>0</v>
      </c>
      <c r="X2547">
        <v>1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0</v>
      </c>
      <c r="AI2547" t="s">
        <v>631</v>
      </c>
      <c r="AJ2547">
        <v>28.251944000000002</v>
      </c>
      <c r="AK2547" t="s">
        <v>632</v>
      </c>
      <c r="AL2547">
        <v>-82.322145000000006</v>
      </c>
      <c r="AM2547">
        <v>100</v>
      </c>
      <c r="AN2547">
        <v>2300</v>
      </c>
      <c r="AO2547" t="s">
        <v>118</v>
      </c>
      <c r="AP2547">
        <v>97</v>
      </c>
      <c r="AQ2547">
        <v>-36</v>
      </c>
      <c r="AR2547">
        <v>320</v>
      </c>
      <c r="AZ2547">
        <v>1200</v>
      </c>
      <c r="BA2547">
        <v>1</v>
      </c>
      <c r="BB2547" t="str">
        <f t="shared" si="1192"/>
        <v xml:space="preserve">N711JA  </v>
      </c>
      <c r="BC2547">
        <v>1</v>
      </c>
      <c r="BE2547">
        <v>0</v>
      </c>
      <c r="BF2547">
        <v>0</v>
      </c>
      <c r="BG2547">
        <v>0</v>
      </c>
      <c r="BH2547">
        <v>2450</v>
      </c>
      <c r="BI2547">
        <v>1</v>
      </c>
      <c r="BJ2547">
        <v>1</v>
      </c>
      <c r="BK2547">
        <v>0</v>
      </c>
      <c r="BL2547">
        <v>0</v>
      </c>
      <c r="BO2547">
        <v>0</v>
      </c>
      <c r="BP2547">
        <v>0</v>
      </c>
      <c r="BW2547" t="str">
        <f t="shared" si="1204"/>
        <v>14:45:40.917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343</v>
      </c>
      <c r="CR2547">
        <v>1</v>
      </c>
      <c r="CW2547">
        <v>10799836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1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 t="shared" si="1201"/>
        <v>05/12/2020 14:45:23.083</v>
      </c>
      <c r="C2548" t="str">
        <f t="shared" si="1191"/>
        <v>FFDFD3C0</v>
      </c>
      <c r="D2548" t="s">
        <v>131</v>
      </c>
      <c r="E2548">
        <v>12</v>
      </c>
      <c r="F2548">
        <v>2012</v>
      </c>
      <c r="G2548" t="s">
        <v>137</v>
      </c>
      <c r="J2548" t="s">
        <v>133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202"/>
        <v>14:45:40.914</v>
      </c>
      <c r="T2548" t="str">
        <f t="shared" si="1203"/>
        <v>14:45:40.614</v>
      </c>
      <c r="U2548" t="str">
        <f t="shared" si="1182"/>
        <v>A9808D</v>
      </c>
      <c r="V2548">
        <v>0</v>
      </c>
      <c r="W2548">
        <v>0</v>
      </c>
      <c r="X2548">
        <v>1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0</v>
      </c>
      <c r="AI2548" t="s">
        <v>631</v>
      </c>
      <c r="AJ2548">
        <v>28.251944000000002</v>
      </c>
      <c r="AK2548" t="s">
        <v>632</v>
      </c>
      <c r="AL2548">
        <v>-82.322145000000006</v>
      </c>
      <c r="AM2548">
        <v>100</v>
      </c>
      <c r="AN2548">
        <v>2300</v>
      </c>
      <c r="AO2548" t="s">
        <v>118</v>
      </c>
      <c r="AP2548">
        <v>97</v>
      </c>
      <c r="AQ2548">
        <v>-36</v>
      </c>
      <c r="AR2548">
        <v>320</v>
      </c>
      <c r="AZ2548">
        <v>1200</v>
      </c>
      <c r="BA2548">
        <v>1</v>
      </c>
      <c r="BB2548" t="str">
        <f t="shared" si="1192"/>
        <v xml:space="preserve">N711JA  </v>
      </c>
      <c r="BC2548">
        <v>1</v>
      </c>
      <c r="BE2548">
        <v>0</v>
      </c>
      <c r="BF2548">
        <v>0</v>
      </c>
      <c r="BG2548">
        <v>0</v>
      </c>
      <c r="BH2548">
        <v>2450</v>
      </c>
      <c r="BI2548">
        <v>1</v>
      </c>
      <c r="BJ2548">
        <v>1</v>
      </c>
      <c r="BK2548">
        <v>0</v>
      </c>
      <c r="BL2548">
        <v>0</v>
      </c>
      <c r="BO2548">
        <v>0</v>
      </c>
      <c r="BP2548">
        <v>0</v>
      </c>
      <c r="BW2548" t="str">
        <f t="shared" si="1204"/>
        <v>14:45:40.917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343</v>
      </c>
      <c r="CR2548">
        <v>1</v>
      </c>
      <c r="CW2548">
        <v>10799836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1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 t="shared" si="1201"/>
        <v>05/12/2020 14:45:23.083</v>
      </c>
      <c r="C2549" t="str">
        <f t="shared" si="1191"/>
        <v>FFDFD3C0</v>
      </c>
      <c r="D2549" t="s">
        <v>134</v>
      </c>
      <c r="E2549">
        <v>12</v>
      </c>
      <c r="H2549">
        <v>64</v>
      </c>
      <c r="I2549" t="s">
        <v>135</v>
      </c>
      <c r="J2549" t="s">
        <v>136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202"/>
        <v>14:45:40.914</v>
      </c>
      <c r="T2549" t="str">
        <f t="shared" si="1203"/>
        <v>14:45:40.614</v>
      </c>
      <c r="U2549" t="str">
        <f t="shared" si="1182"/>
        <v>A9808D</v>
      </c>
      <c r="V2549">
        <v>0</v>
      </c>
      <c r="W2549">
        <v>0</v>
      </c>
      <c r="X2549">
        <v>1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0</v>
      </c>
      <c r="AI2549" t="s">
        <v>631</v>
      </c>
      <c r="AJ2549">
        <v>28.251944000000002</v>
      </c>
      <c r="AK2549" t="s">
        <v>632</v>
      </c>
      <c r="AL2549">
        <v>-82.322145000000006</v>
      </c>
      <c r="AM2549">
        <v>100</v>
      </c>
      <c r="AN2549">
        <v>2300</v>
      </c>
      <c r="AO2549" t="s">
        <v>118</v>
      </c>
      <c r="AP2549">
        <v>97</v>
      </c>
      <c r="AQ2549">
        <v>-36</v>
      </c>
      <c r="AR2549">
        <v>320</v>
      </c>
      <c r="AZ2549">
        <v>1200</v>
      </c>
      <c r="BA2549">
        <v>1</v>
      </c>
      <c r="BB2549" t="str">
        <f t="shared" si="1192"/>
        <v xml:space="preserve">N711JA  </v>
      </c>
      <c r="BC2549">
        <v>1</v>
      </c>
      <c r="BE2549">
        <v>0</v>
      </c>
      <c r="BF2549">
        <v>0</v>
      </c>
      <c r="BG2549">
        <v>0</v>
      </c>
      <c r="BH2549">
        <v>2450</v>
      </c>
      <c r="BI2549">
        <v>1</v>
      </c>
      <c r="BJ2549">
        <v>1</v>
      </c>
      <c r="BK2549">
        <v>0</v>
      </c>
      <c r="BL2549">
        <v>0</v>
      </c>
      <c r="BO2549">
        <v>0</v>
      </c>
      <c r="BP2549">
        <v>0</v>
      </c>
      <c r="BW2549" t="str">
        <f t="shared" si="1204"/>
        <v>14:45:40.917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343</v>
      </c>
      <c r="CR2549">
        <v>1</v>
      </c>
      <c r="CW2549">
        <v>10799836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1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 t="shared" si="1201"/>
        <v>05/12/2020 14:45:23.083</v>
      </c>
      <c r="C2550" t="str">
        <f t="shared" si="1191"/>
        <v>FFDFD3C0</v>
      </c>
      <c r="D2550" t="s">
        <v>131</v>
      </c>
      <c r="E2550">
        <v>18</v>
      </c>
      <c r="F2550">
        <v>2018</v>
      </c>
      <c r="G2550" t="s">
        <v>161</v>
      </c>
      <c r="J2550" t="s">
        <v>133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202"/>
        <v>14:45:40.914</v>
      </c>
      <c r="T2550" t="str">
        <f t="shared" si="1203"/>
        <v>14:45:40.614</v>
      </c>
      <c r="U2550" t="str">
        <f t="shared" si="1182"/>
        <v>A9808D</v>
      </c>
      <c r="V2550">
        <v>0</v>
      </c>
      <c r="W2550">
        <v>0</v>
      </c>
      <c r="X2550">
        <v>1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0</v>
      </c>
      <c r="AI2550" t="s">
        <v>631</v>
      </c>
      <c r="AJ2550">
        <v>28.251944000000002</v>
      </c>
      <c r="AK2550" t="s">
        <v>632</v>
      </c>
      <c r="AL2550">
        <v>-82.322145000000006</v>
      </c>
      <c r="AM2550">
        <v>100</v>
      </c>
      <c r="AN2550">
        <v>2300</v>
      </c>
      <c r="AO2550" t="s">
        <v>118</v>
      </c>
      <c r="AP2550">
        <v>97</v>
      </c>
      <c r="AQ2550">
        <v>-36</v>
      </c>
      <c r="AR2550">
        <v>320</v>
      </c>
      <c r="AZ2550">
        <v>1200</v>
      </c>
      <c r="BA2550">
        <v>1</v>
      </c>
      <c r="BB2550" t="str">
        <f t="shared" si="1192"/>
        <v xml:space="preserve">N711JA  </v>
      </c>
      <c r="BC2550">
        <v>1</v>
      </c>
      <c r="BE2550">
        <v>0</v>
      </c>
      <c r="BF2550">
        <v>0</v>
      </c>
      <c r="BG2550">
        <v>0</v>
      </c>
      <c r="BH2550">
        <v>2450</v>
      </c>
      <c r="BI2550">
        <v>1</v>
      </c>
      <c r="BJ2550">
        <v>1</v>
      </c>
      <c r="BK2550">
        <v>0</v>
      </c>
      <c r="BL2550">
        <v>0</v>
      </c>
      <c r="BO2550">
        <v>0</v>
      </c>
      <c r="BP2550">
        <v>0</v>
      </c>
      <c r="BW2550" t="str">
        <f t="shared" si="1204"/>
        <v>14:45:40.917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7</v>
      </c>
      <c r="CP2550" t="s">
        <v>119</v>
      </c>
      <c r="CQ2550">
        <v>343</v>
      </c>
      <c r="CR2550">
        <v>1</v>
      </c>
      <c r="CW2550">
        <v>10799836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1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 t="shared" ref="A2551:A2559" si="1205">"05/12/2020 14:45:24.078"</f>
        <v>05/12/2020 14:45:24.078</v>
      </c>
      <c r="C2551" t="str">
        <f t="shared" si="1191"/>
        <v>FFDFD3C0</v>
      </c>
      <c r="D2551" t="s">
        <v>134</v>
      </c>
      <c r="E2551">
        <v>12</v>
      </c>
      <c r="H2551">
        <v>64</v>
      </c>
      <c r="I2551" t="s">
        <v>135</v>
      </c>
      <c r="J2551" t="s">
        <v>136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ref="S2551:S2559" si="1206">"14:45:41.922"</f>
        <v>14:45:41.922</v>
      </c>
      <c r="T2551" t="str">
        <f t="shared" ref="T2551:T2559" si="1207">"14:45:41.822"</f>
        <v>14:45:41.822</v>
      </c>
      <c r="U2551" t="str">
        <f t="shared" si="1182"/>
        <v>A9808D</v>
      </c>
      <c r="V2551">
        <v>0</v>
      </c>
      <c r="W2551">
        <v>0</v>
      </c>
      <c r="X2551">
        <v>1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0</v>
      </c>
      <c r="AI2551" t="s">
        <v>633</v>
      </c>
      <c r="AJ2551">
        <v>28.251750000000001</v>
      </c>
      <c r="AK2551" t="s">
        <v>634</v>
      </c>
      <c r="AL2551">
        <v>-82.321607999999998</v>
      </c>
      <c r="AM2551">
        <v>100</v>
      </c>
      <c r="AN2551">
        <v>2300</v>
      </c>
      <c r="AO2551" t="s">
        <v>118</v>
      </c>
      <c r="AP2551">
        <v>98</v>
      </c>
      <c r="AQ2551">
        <v>-36</v>
      </c>
      <c r="AR2551">
        <v>256</v>
      </c>
      <c r="AZ2551">
        <v>1200</v>
      </c>
      <c r="BA2551">
        <v>1</v>
      </c>
      <c r="BB2551" t="str">
        <f t="shared" si="1192"/>
        <v xml:space="preserve">N711JA  </v>
      </c>
      <c r="BC2551">
        <v>1</v>
      </c>
      <c r="BE2551">
        <v>0</v>
      </c>
      <c r="BF2551">
        <v>0</v>
      </c>
      <c r="BG2551">
        <v>0</v>
      </c>
      <c r="BH2551">
        <v>2450</v>
      </c>
      <c r="BI2551">
        <v>1</v>
      </c>
      <c r="BJ2551">
        <v>1</v>
      </c>
      <c r="BK2551">
        <v>0</v>
      </c>
      <c r="BL2551">
        <v>0</v>
      </c>
      <c r="BO2551">
        <v>0</v>
      </c>
      <c r="BP2551">
        <v>0</v>
      </c>
      <c r="BW2551" t="str">
        <f t="shared" ref="BW2551:BW2559" si="1208">"14:45:41.923"</f>
        <v>14:45:41.923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343</v>
      </c>
      <c r="CR2551">
        <v>1</v>
      </c>
      <c r="CW2551">
        <v>10800912</v>
      </c>
      <c r="CY2551">
        <v>1</v>
      </c>
      <c r="CZ2551">
        <v>0</v>
      </c>
      <c r="DA2551">
        <v>0</v>
      </c>
      <c r="DB2551">
        <v>0</v>
      </c>
      <c r="DC2551">
        <v>0</v>
      </c>
      <c r="DD2551">
        <v>1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 t="shared" si="1205"/>
        <v>05/12/2020 14:45:24.078</v>
      </c>
      <c r="C2552" t="str">
        <f t="shared" si="1191"/>
        <v>FFDFD3C0</v>
      </c>
      <c r="D2552" t="s">
        <v>131</v>
      </c>
      <c r="E2552">
        <v>18</v>
      </c>
      <c r="F2552">
        <v>2018</v>
      </c>
      <c r="G2552" t="s">
        <v>161</v>
      </c>
      <c r="J2552" t="s">
        <v>133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206"/>
        <v>14:45:41.922</v>
      </c>
      <c r="T2552" t="str">
        <f t="shared" si="1207"/>
        <v>14:45:41.822</v>
      </c>
      <c r="U2552" t="str">
        <f t="shared" si="1182"/>
        <v>A9808D</v>
      </c>
      <c r="V2552">
        <v>0</v>
      </c>
      <c r="W2552">
        <v>0</v>
      </c>
      <c r="X2552">
        <v>1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0</v>
      </c>
      <c r="AI2552" t="s">
        <v>633</v>
      </c>
      <c r="AJ2552">
        <v>28.251750000000001</v>
      </c>
      <c r="AK2552" t="s">
        <v>634</v>
      </c>
      <c r="AL2552">
        <v>-82.321607999999998</v>
      </c>
      <c r="AM2552">
        <v>100</v>
      </c>
      <c r="AN2552">
        <v>2300</v>
      </c>
      <c r="AO2552" t="s">
        <v>118</v>
      </c>
      <c r="AP2552">
        <v>98</v>
      </c>
      <c r="AQ2552">
        <v>-36</v>
      </c>
      <c r="AR2552">
        <v>256</v>
      </c>
      <c r="AZ2552">
        <v>1200</v>
      </c>
      <c r="BA2552">
        <v>1</v>
      </c>
      <c r="BB2552" t="str">
        <f t="shared" si="1192"/>
        <v xml:space="preserve">N711JA  </v>
      </c>
      <c r="BC2552">
        <v>1</v>
      </c>
      <c r="BE2552">
        <v>0</v>
      </c>
      <c r="BF2552">
        <v>0</v>
      </c>
      <c r="BG2552">
        <v>0</v>
      </c>
      <c r="BH2552">
        <v>2450</v>
      </c>
      <c r="BI2552">
        <v>1</v>
      </c>
      <c r="BJ2552">
        <v>1</v>
      </c>
      <c r="BK2552">
        <v>0</v>
      </c>
      <c r="BL2552">
        <v>0</v>
      </c>
      <c r="BO2552">
        <v>0</v>
      </c>
      <c r="BP2552">
        <v>0</v>
      </c>
      <c r="BW2552" t="str">
        <f t="shared" si="1208"/>
        <v>14:45:41.923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56</v>
      </c>
      <c r="CR2552">
        <v>2</v>
      </c>
      <c r="CW2552">
        <v>4877074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1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 t="shared" si="1205"/>
        <v>05/12/2020 14:45:24.078</v>
      </c>
      <c r="C2553" t="str">
        <f t="shared" si="1191"/>
        <v>FFDFD3C0</v>
      </c>
      <c r="D2553" t="s">
        <v>138</v>
      </c>
      <c r="E2553">
        <v>3</v>
      </c>
      <c r="H2553">
        <v>9</v>
      </c>
      <c r="I2553" t="s">
        <v>140</v>
      </c>
      <c r="J2553" t="s">
        <v>136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206"/>
        <v>14:45:41.922</v>
      </c>
      <c r="T2553" t="str">
        <f t="shared" si="1207"/>
        <v>14:45:41.822</v>
      </c>
      <c r="U2553" t="str">
        <f t="shared" si="1182"/>
        <v>A9808D</v>
      </c>
      <c r="V2553">
        <v>0</v>
      </c>
      <c r="W2553">
        <v>0</v>
      </c>
      <c r="X2553">
        <v>1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0</v>
      </c>
      <c r="AI2553" t="s">
        <v>633</v>
      </c>
      <c r="AJ2553">
        <v>28.251750000000001</v>
      </c>
      <c r="AK2553" t="s">
        <v>634</v>
      </c>
      <c r="AL2553">
        <v>-82.321607999999998</v>
      </c>
      <c r="AM2553">
        <v>100</v>
      </c>
      <c r="AN2553">
        <v>2300</v>
      </c>
      <c r="AO2553" t="s">
        <v>118</v>
      </c>
      <c r="AP2553">
        <v>98</v>
      </c>
      <c r="AQ2553">
        <v>-36</v>
      </c>
      <c r="AR2553">
        <v>256</v>
      </c>
      <c r="AZ2553">
        <v>1200</v>
      </c>
      <c r="BA2553">
        <v>1</v>
      </c>
      <c r="BB2553" t="str">
        <f t="shared" si="1192"/>
        <v xml:space="preserve">N711JA  </v>
      </c>
      <c r="BC2553">
        <v>1</v>
      </c>
      <c r="BE2553">
        <v>0</v>
      </c>
      <c r="BF2553">
        <v>0</v>
      </c>
      <c r="BG2553">
        <v>0</v>
      </c>
      <c r="BH2553">
        <v>2450</v>
      </c>
      <c r="BI2553">
        <v>1</v>
      </c>
      <c r="BJ2553">
        <v>1</v>
      </c>
      <c r="BK2553">
        <v>0</v>
      </c>
      <c r="BL2553">
        <v>0</v>
      </c>
      <c r="BO2553">
        <v>0</v>
      </c>
      <c r="BP2553">
        <v>0</v>
      </c>
      <c r="BW2553" t="str">
        <f t="shared" si="1208"/>
        <v>14:45:41.923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7</v>
      </c>
      <c r="CP2553" t="s">
        <v>119</v>
      </c>
      <c r="CQ2553">
        <v>56</v>
      </c>
      <c r="CR2553">
        <v>2</v>
      </c>
      <c r="CW2553">
        <v>4877074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1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 t="shared" si="1205"/>
        <v>05/12/2020 14:45:24.078</v>
      </c>
      <c r="C2554" t="str">
        <f t="shared" si="1191"/>
        <v>FFDFD3C0</v>
      </c>
      <c r="D2554" t="s">
        <v>126</v>
      </c>
      <c r="E2554">
        <v>6</v>
      </c>
      <c r="F2554">
        <v>1006</v>
      </c>
      <c r="G2554" t="s">
        <v>114</v>
      </c>
      <c r="J2554" t="s">
        <v>128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206"/>
        <v>14:45:41.922</v>
      </c>
      <c r="T2554" t="str">
        <f t="shared" si="1207"/>
        <v>14:45:41.822</v>
      </c>
      <c r="U2554" t="str">
        <f t="shared" si="1182"/>
        <v>A9808D</v>
      </c>
      <c r="V2554">
        <v>0</v>
      </c>
      <c r="W2554">
        <v>0</v>
      </c>
      <c r="X2554">
        <v>1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0</v>
      </c>
      <c r="AI2554" t="s">
        <v>633</v>
      </c>
      <c r="AJ2554">
        <v>28.251750000000001</v>
      </c>
      <c r="AK2554" t="s">
        <v>634</v>
      </c>
      <c r="AL2554">
        <v>-82.321607999999998</v>
      </c>
      <c r="AM2554">
        <v>100</v>
      </c>
      <c r="AN2554">
        <v>2300</v>
      </c>
      <c r="AO2554" t="s">
        <v>118</v>
      </c>
      <c r="AP2554">
        <v>98</v>
      </c>
      <c r="AQ2554">
        <v>-36</v>
      </c>
      <c r="AR2554">
        <v>256</v>
      </c>
      <c r="AZ2554">
        <v>1200</v>
      </c>
      <c r="BA2554">
        <v>1</v>
      </c>
      <c r="BB2554" t="str">
        <f t="shared" si="1192"/>
        <v xml:space="preserve">N711JA  </v>
      </c>
      <c r="BC2554">
        <v>1</v>
      </c>
      <c r="BE2554">
        <v>0</v>
      </c>
      <c r="BF2554">
        <v>0</v>
      </c>
      <c r="BG2554">
        <v>0</v>
      </c>
      <c r="BH2554">
        <v>2450</v>
      </c>
      <c r="BI2554">
        <v>1</v>
      </c>
      <c r="BJ2554">
        <v>1</v>
      </c>
      <c r="BK2554">
        <v>0</v>
      </c>
      <c r="BL2554">
        <v>0</v>
      </c>
      <c r="BO2554">
        <v>0</v>
      </c>
      <c r="BP2554">
        <v>0</v>
      </c>
      <c r="BW2554" t="str">
        <f t="shared" si="1208"/>
        <v>14:45:41.923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7</v>
      </c>
      <c r="CP2554" t="s">
        <v>119</v>
      </c>
      <c r="CQ2554">
        <v>56</v>
      </c>
      <c r="CR2554">
        <v>2</v>
      </c>
      <c r="CW2554">
        <v>4877074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1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 t="shared" si="1205"/>
        <v>05/12/2020 14:45:24.078</v>
      </c>
      <c r="C2555" t="str">
        <f t="shared" si="1191"/>
        <v>FFDFD3C0</v>
      </c>
      <c r="D2555" t="s">
        <v>126</v>
      </c>
      <c r="E2555">
        <v>7</v>
      </c>
      <c r="F2555">
        <v>1007</v>
      </c>
      <c r="G2555" t="s">
        <v>127</v>
      </c>
      <c r="J2555" t="s">
        <v>128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206"/>
        <v>14:45:41.922</v>
      </c>
      <c r="T2555" t="str">
        <f t="shared" si="1207"/>
        <v>14:45:41.822</v>
      </c>
      <c r="U2555" t="str">
        <f t="shared" si="1182"/>
        <v>A9808D</v>
      </c>
      <c r="V2555">
        <v>0</v>
      </c>
      <c r="W2555">
        <v>0</v>
      </c>
      <c r="X2555">
        <v>1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0</v>
      </c>
      <c r="AI2555" t="s">
        <v>633</v>
      </c>
      <c r="AJ2555">
        <v>28.251750000000001</v>
      </c>
      <c r="AK2555" t="s">
        <v>634</v>
      </c>
      <c r="AL2555">
        <v>-82.321607999999998</v>
      </c>
      <c r="AM2555">
        <v>100</v>
      </c>
      <c r="AN2555">
        <v>2300</v>
      </c>
      <c r="AO2555" t="s">
        <v>118</v>
      </c>
      <c r="AP2555">
        <v>98</v>
      </c>
      <c r="AQ2555">
        <v>-36</v>
      </c>
      <c r="AR2555">
        <v>256</v>
      </c>
      <c r="AZ2555">
        <v>1200</v>
      </c>
      <c r="BA2555">
        <v>1</v>
      </c>
      <c r="BB2555" t="str">
        <f t="shared" si="1192"/>
        <v xml:space="preserve">N711JA  </v>
      </c>
      <c r="BC2555">
        <v>1</v>
      </c>
      <c r="BE2555">
        <v>0</v>
      </c>
      <c r="BF2555">
        <v>0</v>
      </c>
      <c r="BG2555">
        <v>0</v>
      </c>
      <c r="BH2555">
        <v>2450</v>
      </c>
      <c r="BI2555">
        <v>1</v>
      </c>
      <c r="BJ2555">
        <v>1</v>
      </c>
      <c r="BK2555">
        <v>0</v>
      </c>
      <c r="BL2555">
        <v>0</v>
      </c>
      <c r="BO2555">
        <v>0</v>
      </c>
      <c r="BP2555">
        <v>0</v>
      </c>
      <c r="BW2555" t="str">
        <f t="shared" si="1208"/>
        <v>14:45:41.923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56</v>
      </c>
      <c r="CR2555">
        <v>2</v>
      </c>
      <c r="CW2555">
        <v>4877074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1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 t="shared" si="1205"/>
        <v>05/12/2020 14:45:24.078</v>
      </c>
      <c r="C2556" t="str">
        <f t="shared" si="1191"/>
        <v>FFDFD3C0</v>
      </c>
      <c r="D2556" t="s">
        <v>138</v>
      </c>
      <c r="E2556">
        <v>2</v>
      </c>
      <c r="H2556">
        <v>8</v>
      </c>
      <c r="I2556" t="s">
        <v>139</v>
      </c>
      <c r="J2556" t="s">
        <v>136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206"/>
        <v>14:45:41.922</v>
      </c>
      <c r="T2556" t="str">
        <f t="shared" si="1207"/>
        <v>14:45:41.822</v>
      </c>
      <c r="U2556" t="str">
        <f t="shared" si="1182"/>
        <v>A9808D</v>
      </c>
      <c r="V2556">
        <v>0</v>
      </c>
      <c r="W2556">
        <v>0</v>
      </c>
      <c r="X2556">
        <v>1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0</v>
      </c>
      <c r="AI2556" t="s">
        <v>633</v>
      </c>
      <c r="AJ2556">
        <v>28.251750000000001</v>
      </c>
      <c r="AK2556" t="s">
        <v>634</v>
      </c>
      <c r="AL2556">
        <v>-82.321607999999998</v>
      </c>
      <c r="AM2556">
        <v>100</v>
      </c>
      <c r="AN2556">
        <v>2300</v>
      </c>
      <c r="AO2556" t="s">
        <v>118</v>
      </c>
      <c r="AP2556">
        <v>98</v>
      </c>
      <c r="AQ2556">
        <v>-36</v>
      </c>
      <c r="AR2556">
        <v>256</v>
      </c>
      <c r="AZ2556">
        <v>1200</v>
      </c>
      <c r="BA2556">
        <v>1</v>
      </c>
      <c r="BB2556" t="str">
        <f t="shared" si="1192"/>
        <v xml:space="preserve">N711JA  </v>
      </c>
      <c r="BC2556">
        <v>1</v>
      </c>
      <c r="BE2556">
        <v>0</v>
      </c>
      <c r="BF2556">
        <v>0</v>
      </c>
      <c r="BG2556">
        <v>0</v>
      </c>
      <c r="BH2556">
        <v>2450</v>
      </c>
      <c r="BI2556">
        <v>1</v>
      </c>
      <c r="BJ2556">
        <v>1</v>
      </c>
      <c r="BK2556">
        <v>0</v>
      </c>
      <c r="BL2556">
        <v>0</v>
      </c>
      <c r="BO2556">
        <v>0</v>
      </c>
      <c r="BP2556">
        <v>0</v>
      </c>
      <c r="BW2556" t="str">
        <f t="shared" si="1208"/>
        <v>14:45:41.923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56</v>
      </c>
      <c r="CR2556">
        <v>2</v>
      </c>
      <c r="CW2556">
        <v>4877074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1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 t="shared" si="1205"/>
        <v>05/12/2020 14:45:24.078</v>
      </c>
      <c r="C2557" t="str">
        <f t="shared" si="1191"/>
        <v>FFDFD3C0</v>
      </c>
      <c r="D2557" t="s">
        <v>113</v>
      </c>
      <c r="E2557">
        <v>3</v>
      </c>
      <c r="H2557">
        <v>164</v>
      </c>
      <c r="I2557" t="s">
        <v>114</v>
      </c>
      <c r="J2557" t="s">
        <v>115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206"/>
        <v>14:45:41.922</v>
      </c>
      <c r="T2557" t="str">
        <f t="shared" si="1207"/>
        <v>14:45:41.822</v>
      </c>
      <c r="U2557" t="str">
        <f t="shared" si="1182"/>
        <v>A9808D</v>
      </c>
      <c r="V2557">
        <v>0</v>
      </c>
      <c r="W2557">
        <v>0</v>
      </c>
      <c r="X2557">
        <v>1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0</v>
      </c>
      <c r="AI2557" t="s">
        <v>633</v>
      </c>
      <c r="AJ2557">
        <v>28.251750000000001</v>
      </c>
      <c r="AK2557" t="s">
        <v>634</v>
      </c>
      <c r="AL2557">
        <v>-82.321607999999998</v>
      </c>
      <c r="AM2557">
        <v>100</v>
      </c>
      <c r="AN2557">
        <v>2300</v>
      </c>
      <c r="AO2557" t="s">
        <v>118</v>
      </c>
      <c r="AP2557">
        <v>98</v>
      </c>
      <c r="AQ2557">
        <v>-36</v>
      </c>
      <c r="AR2557">
        <v>256</v>
      </c>
      <c r="AZ2557">
        <v>1200</v>
      </c>
      <c r="BA2557">
        <v>1</v>
      </c>
      <c r="BB2557" t="str">
        <f t="shared" si="1192"/>
        <v xml:space="preserve">N711JA  </v>
      </c>
      <c r="BC2557">
        <v>1</v>
      </c>
      <c r="BE2557">
        <v>0</v>
      </c>
      <c r="BF2557">
        <v>0</v>
      </c>
      <c r="BG2557">
        <v>0</v>
      </c>
      <c r="BH2557">
        <v>2450</v>
      </c>
      <c r="BI2557">
        <v>1</v>
      </c>
      <c r="BJ2557">
        <v>1</v>
      </c>
      <c r="BK2557">
        <v>0</v>
      </c>
      <c r="BL2557">
        <v>0</v>
      </c>
      <c r="BO2557">
        <v>0</v>
      </c>
      <c r="BP2557">
        <v>0</v>
      </c>
      <c r="BW2557" t="str">
        <f t="shared" si="1208"/>
        <v>14:45:41.923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56</v>
      </c>
      <c r="CR2557">
        <v>2</v>
      </c>
      <c r="CW2557">
        <v>4877074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1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 t="shared" si="1205"/>
        <v>05/12/2020 14:45:24.078</v>
      </c>
      <c r="C2558" t="str">
        <f t="shared" si="1191"/>
        <v>FFDFD3C0</v>
      </c>
      <c r="D2558" t="s">
        <v>131</v>
      </c>
      <c r="E2558">
        <v>10</v>
      </c>
      <c r="F2558">
        <v>2010</v>
      </c>
      <c r="G2558" t="s">
        <v>132</v>
      </c>
      <c r="J2558" t="s">
        <v>133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206"/>
        <v>14:45:41.922</v>
      </c>
      <c r="T2558" t="str">
        <f t="shared" si="1207"/>
        <v>14:45:41.822</v>
      </c>
      <c r="U2558" t="str">
        <f t="shared" si="1182"/>
        <v>A9808D</v>
      </c>
      <c r="V2558">
        <v>0</v>
      </c>
      <c r="W2558">
        <v>0</v>
      </c>
      <c r="X2558">
        <v>1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0</v>
      </c>
      <c r="AI2558" t="s">
        <v>633</v>
      </c>
      <c r="AJ2558">
        <v>28.251750000000001</v>
      </c>
      <c r="AK2558" t="s">
        <v>634</v>
      </c>
      <c r="AL2558">
        <v>-82.321607999999998</v>
      </c>
      <c r="AM2558">
        <v>100</v>
      </c>
      <c r="AN2558">
        <v>2300</v>
      </c>
      <c r="AO2558" t="s">
        <v>118</v>
      </c>
      <c r="AP2558">
        <v>98</v>
      </c>
      <c r="AQ2558">
        <v>-36</v>
      </c>
      <c r="AR2558">
        <v>256</v>
      </c>
      <c r="AZ2558">
        <v>1200</v>
      </c>
      <c r="BA2558">
        <v>1</v>
      </c>
      <c r="BB2558" t="str">
        <f t="shared" si="1192"/>
        <v xml:space="preserve">N711JA  </v>
      </c>
      <c r="BC2558">
        <v>1</v>
      </c>
      <c r="BE2558">
        <v>0</v>
      </c>
      <c r="BF2558">
        <v>0</v>
      </c>
      <c r="BG2558">
        <v>0</v>
      </c>
      <c r="BH2558">
        <v>2450</v>
      </c>
      <c r="BI2558">
        <v>1</v>
      </c>
      <c r="BJ2558">
        <v>1</v>
      </c>
      <c r="BK2558">
        <v>0</v>
      </c>
      <c r="BL2558">
        <v>0</v>
      </c>
      <c r="BO2558">
        <v>0</v>
      </c>
      <c r="BP2558">
        <v>0</v>
      </c>
      <c r="BW2558" t="str">
        <f t="shared" si="1208"/>
        <v>14:45:41.923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7</v>
      </c>
      <c r="CP2558" t="s">
        <v>119</v>
      </c>
      <c r="CQ2558">
        <v>56</v>
      </c>
      <c r="CR2558">
        <v>2</v>
      </c>
      <c r="CW2558">
        <v>4877074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1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 t="shared" si="1205"/>
        <v>05/12/2020 14:45:24.078</v>
      </c>
      <c r="C2559" t="str">
        <f t="shared" si="1191"/>
        <v>FFDFD3C0</v>
      </c>
      <c r="D2559" t="s">
        <v>131</v>
      </c>
      <c r="E2559">
        <v>12</v>
      </c>
      <c r="F2559">
        <v>2012</v>
      </c>
      <c r="G2559" t="s">
        <v>137</v>
      </c>
      <c r="J2559" t="s">
        <v>133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si="1206"/>
        <v>14:45:41.922</v>
      </c>
      <c r="T2559" t="str">
        <f t="shared" si="1207"/>
        <v>14:45:41.822</v>
      </c>
      <c r="U2559" t="str">
        <f t="shared" si="1182"/>
        <v>A9808D</v>
      </c>
      <c r="V2559">
        <v>0</v>
      </c>
      <c r="W2559">
        <v>0</v>
      </c>
      <c r="X2559">
        <v>1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0</v>
      </c>
      <c r="AI2559" t="s">
        <v>633</v>
      </c>
      <c r="AJ2559">
        <v>28.251750000000001</v>
      </c>
      <c r="AK2559" t="s">
        <v>634</v>
      </c>
      <c r="AL2559">
        <v>-82.321607999999998</v>
      </c>
      <c r="AM2559">
        <v>100</v>
      </c>
      <c r="AN2559">
        <v>2300</v>
      </c>
      <c r="AO2559" t="s">
        <v>118</v>
      </c>
      <c r="AP2559">
        <v>98</v>
      </c>
      <c r="AQ2559">
        <v>-36</v>
      </c>
      <c r="AR2559">
        <v>256</v>
      </c>
      <c r="AZ2559">
        <v>1200</v>
      </c>
      <c r="BA2559">
        <v>1</v>
      </c>
      <c r="BB2559" t="str">
        <f t="shared" si="1192"/>
        <v xml:space="preserve">N711JA  </v>
      </c>
      <c r="BC2559">
        <v>1</v>
      </c>
      <c r="BE2559">
        <v>0</v>
      </c>
      <c r="BF2559">
        <v>0</v>
      </c>
      <c r="BG2559">
        <v>0</v>
      </c>
      <c r="BH2559">
        <v>2450</v>
      </c>
      <c r="BI2559">
        <v>1</v>
      </c>
      <c r="BJ2559">
        <v>1</v>
      </c>
      <c r="BK2559">
        <v>0</v>
      </c>
      <c r="BL2559">
        <v>0</v>
      </c>
      <c r="BO2559">
        <v>0</v>
      </c>
      <c r="BP2559">
        <v>0</v>
      </c>
      <c r="BW2559" t="str">
        <f t="shared" si="1208"/>
        <v>14:45:41.923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56</v>
      </c>
      <c r="CR2559">
        <v>2</v>
      </c>
      <c r="CW2559">
        <v>4877074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1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 t="shared" ref="A2560:A2568" si="1209">"05/12/2020 14:45:24.975"</f>
        <v>05/12/2020 14:45:24.975</v>
      </c>
      <c r="C2560" t="str">
        <f t="shared" si="1191"/>
        <v>FFDFD3C0</v>
      </c>
      <c r="D2560" t="s">
        <v>131</v>
      </c>
      <c r="E2560">
        <v>10</v>
      </c>
      <c r="F2560">
        <v>2010</v>
      </c>
      <c r="G2560" t="s">
        <v>132</v>
      </c>
      <c r="J2560" t="s">
        <v>133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ref="S2560:S2568" si="1210">"14:45:42.797"</f>
        <v>14:45:42.797</v>
      </c>
      <c r="T2560" t="str">
        <f t="shared" ref="T2560:T2568" si="1211">"14:45:42.397"</f>
        <v>14:45:42.397</v>
      </c>
      <c r="U2560" t="str">
        <f t="shared" si="1182"/>
        <v>A9808D</v>
      </c>
      <c r="V2560">
        <v>0</v>
      </c>
      <c r="W2560">
        <v>0</v>
      </c>
      <c r="X2560">
        <v>1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0</v>
      </c>
      <c r="AI2560" t="s">
        <v>635</v>
      </c>
      <c r="AJ2560">
        <v>28.251622000000001</v>
      </c>
      <c r="AK2560" t="s">
        <v>636</v>
      </c>
      <c r="AL2560">
        <v>-82.321200000000005</v>
      </c>
      <c r="AM2560">
        <v>100</v>
      </c>
      <c r="AN2560">
        <v>2300</v>
      </c>
      <c r="AO2560" t="s">
        <v>118</v>
      </c>
      <c r="AP2560">
        <v>98</v>
      </c>
      <c r="AQ2560">
        <v>-35</v>
      </c>
      <c r="AR2560">
        <v>256</v>
      </c>
      <c r="AZ2560">
        <v>1200</v>
      </c>
      <c r="BA2560">
        <v>1</v>
      </c>
      <c r="BB2560" t="str">
        <f t="shared" si="1192"/>
        <v xml:space="preserve">N711JA  </v>
      </c>
      <c r="BC2560">
        <v>1</v>
      </c>
      <c r="BE2560">
        <v>0</v>
      </c>
      <c r="BF2560">
        <v>0</v>
      </c>
      <c r="BG2560">
        <v>0</v>
      </c>
      <c r="BH2560">
        <v>2450</v>
      </c>
      <c r="BI2560">
        <v>1</v>
      </c>
      <c r="BJ2560">
        <v>1</v>
      </c>
      <c r="BK2560">
        <v>0</v>
      </c>
      <c r="BL2560">
        <v>0</v>
      </c>
      <c r="BO2560">
        <v>0</v>
      </c>
      <c r="BP2560">
        <v>0</v>
      </c>
      <c r="BW2560" t="str">
        <f t="shared" ref="BW2560:BW2568" si="1212">"14:45:42.797"</f>
        <v>14:45:42.797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343</v>
      </c>
      <c r="CR2560">
        <v>1</v>
      </c>
      <c r="CW2560">
        <v>10801846</v>
      </c>
      <c r="CY2560">
        <v>1</v>
      </c>
      <c r="CZ2560">
        <v>0</v>
      </c>
      <c r="DA2560">
        <v>0</v>
      </c>
      <c r="DB2560">
        <v>0</v>
      </c>
      <c r="DC2560">
        <v>0</v>
      </c>
      <c r="DD2560">
        <v>1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 t="shared" si="1209"/>
        <v>05/12/2020 14:45:24.975</v>
      </c>
      <c r="C2561" t="str">
        <f t="shared" si="1191"/>
        <v>FFDFD3C0</v>
      </c>
      <c r="D2561" t="s">
        <v>138</v>
      </c>
      <c r="E2561">
        <v>2</v>
      </c>
      <c r="H2561">
        <v>8</v>
      </c>
      <c r="I2561" t="s">
        <v>139</v>
      </c>
      <c r="J2561" t="s">
        <v>136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210"/>
        <v>14:45:42.797</v>
      </c>
      <c r="T2561" t="str">
        <f t="shared" si="1211"/>
        <v>14:45:42.397</v>
      </c>
      <c r="U2561" t="str">
        <f t="shared" si="1182"/>
        <v>A9808D</v>
      </c>
      <c r="V2561">
        <v>0</v>
      </c>
      <c r="W2561">
        <v>0</v>
      </c>
      <c r="X2561">
        <v>1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0</v>
      </c>
      <c r="AI2561" t="s">
        <v>635</v>
      </c>
      <c r="AJ2561">
        <v>28.251622000000001</v>
      </c>
      <c r="AK2561" t="s">
        <v>636</v>
      </c>
      <c r="AL2561">
        <v>-82.321200000000005</v>
      </c>
      <c r="AM2561">
        <v>100</v>
      </c>
      <c r="AN2561">
        <v>2300</v>
      </c>
      <c r="AO2561" t="s">
        <v>118</v>
      </c>
      <c r="AP2561">
        <v>98</v>
      </c>
      <c r="AQ2561">
        <v>-35</v>
      </c>
      <c r="AR2561">
        <v>256</v>
      </c>
      <c r="AZ2561">
        <v>1200</v>
      </c>
      <c r="BA2561">
        <v>1</v>
      </c>
      <c r="BB2561" t="str">
        <f t="shared" si="1192"/>
        <v xml:space="preserve">N711JA  </v>
      </c>
      <c r="BC2561">
        <v>1</v>
      </c>
      <c r="BE2561">
        <v>0</v>
      </c>
      <c r="BF2561">
        <v>0</v>
      </c>
      <c r="BG2561">
        <v>0</v>
      </c>
      <c r="BH2561">
        <v>2450</v>
      </c>
      <c r="BI2561">
        <v>1</v>
      </c>
      <c r="BJ2561">
        <v>1</v>
      </c>
      <c r="BK2561">
        <v>0</v>
      </c>
      <c r="BL2561">
        <v>0</v>
      </c>
      <c r="BO2561">
        <v>0</v>
      </c>
      <c r="BP2561">
        <v>0</v>
      </c>
      <c r="BW2561" t="str">
        <f t="shared" si="1212"/>
        <v>14:45:42.797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343</v>
      </c>
      <c r="CR2561">
        <v>1</v>
      </c>
      <c r="CW2561">
        <v>10801846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1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 t="shared" si="1209"/>
        <v>05/12/2020 14:45:24.975</v>
      </c>
      <c r="C2562" t="str">
        <f t="shared" si="1191"/>
        <v>FFDFD3C0</v>
      </c>
      <c r="D2562" t="s">
        <v>131</v>
      </c>
      <c r="E2562">
        <v>12</v>
      </c>
      <c r="F2562">
        <v>2012</v>
      </c>
      <c r="G2562" t="s">
        <v>137</v>
      </c>
      <c r="J2562" t="s">
        <v>133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210"/>
        <v>14:45:42.797</v>
      </c>
      <c r="T2562" t="str">
        <f t="shared" si="1211"/>
        <v>14:45:42.397</v>
      </c>
      <c r="U2562" t="str">
        <f t="shared" ref="U2562:U2625" si="1213">"A9808D"</f>
        <v>A9808D</v>
      </c>
      <c r="V2562">
        <v>0</v>
      </c>
      <c r="W2562">
        <v>0</v>
      </c>
      <c r="X2562">
        <v>1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0</v>
      </c>
      <c r="AI2562" t="s">
        <v>635</v>
      </c>
      <c r="AJ2562">
        <v>28.251622000000001</v>
      </c>
      <c r="AK2562" t="s">
        <v>636</v>
      </c>
      <c r="AL2562">
        <v>-82.321200000000005</v>
      </c>
      <c r="AM2562">
        <v>100</v>
      </c>
      <c r="AN2562">
        <v>2300</v>
      </c>
      <c r="AO2562" t="s">
        <v>118</v>
      </c>
      <c r="AP2562">
        <v>98</v>
      </c>
      <c r="AQ2562">
        <v>-35</v>
      </c>
      <c r="AR2562">
        <v>256</v>
      </c>
      <c r="AZ2562">
        <v>1200</v>
      </c>
      <c r="BA2562">
        <v>1</v>
      </c>
      <c r="BB2562" t="str">
        <f t="shared" si="1192"/>
        <v xml:space="preserve">N711JA  </v>
      </c>
      <c r="BC2562">
        <v>1</v>
      </c>
      <c r="BE2562">
        <v>0</v>
      </c>
      <c r="BF2562">
        <v>0</v>
      </c>
      <c r="BG2562">
        <v>0</v>
      </c>
      <c r="BH2562">
        <v>2450</v>
      </c>
      <c r="BI2562">
        <v>1</v>
      </c>
      <c r="BJ2562">
        <v>1</v>
      </c>
      <c r="BK2562">
        <v>0</v>
      </c>
      <c r="BL2562">
        <v>0</v>
      </c>
      <c r="BO2562">
        <v>0</v>
      </c>
      <c r="BP2562">
        <v>0</v>
      </c>
      <c r="BW2562" t="str">
        <f t="shared" si="1212"/>
        <v>14:45:42.797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343</v>
      </c>
      <c r="CR2562">
        <v>1</v>
      </c>
      <c r="CW2562">
        <v>10801846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1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 t="shared" si="1209"/>
        <v>05/12/2020 14:45:24.975</v>
      </c>
      <c r="C2563" t="str">
        <f t="shared" si="1191"/>
        <v>FFDFD3C0</v>
      </c>
      <c r="D2563" t="s">
        <v>113</v>
      </c>
      <c r="E2563">
        <v>3</v>
      </c>
      <c r="H2563">
        <v>164</v>
      </c>
      <c r="I2563" t="s">
        <v>114</v>
      </c>
      <c r="J2563" t="s">
        <v>115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210"/>
        <v>14:45:42.797</v>
      </c>
      <c r="T2563" t="str">
        <f t="shared" si="1211"/>
        <v>14:45:42.397</v>
      </c>
      <c r="U2563" t="str">
        <f t="shared" si="1213"/>
        <v>A9808D</v>
      </c>
      <c r="V2563">
        <v>0</v>
      </c>
      <c r="W2563">
        <v>0</v>
      </c>
      <c r="X2563">
        <v>1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0</v>
      </c>
      <c r="AI2563" t="s">
        <v>635</v>
      </c>
      <c r="AJ2563">
        <v>28.251622000000001</v>
      </c>
      <c r="AK2563" t="s">
        <v>636</v>
      </c>
      <c r="AL2563">
        <v>-82.321200000000005</v>
      </c>
      <c r="AM2563">
        <v>100</v>
      </c>
      <c r="AN2563">
        <v>2300</v>
      </c>
      <c r="AO2563" t="s">
        <v>118</v>
      </c>
      <c r="AP2563">
        <v>98</v>
      </c>
      <c r="AQ2563">
        <v>-35</v>
      </c>
      <c r="AR2563">
        <v>256</v>
      </c>
      <c r="AZ2563">
        <v>1200</v>
      </c>
      <c r="BA2563">
        <v>1</v>
      </c>
      <c r="BB2563" t="str">
        <f t="shared" si="1192"/>
        <v xml:space="preserve">N711JA  </v>
      </c>
      <c r="BC2563">
        <v>1</v>
      </c>
      <c r="BE2563">
        <v>0</v>
      </c>
      <c r="BF2563">
        <v>0</v>
      </c>
      <c r="BG2563">
        <v>0</v>
      </c>
      <c r="BH2563">
        <v>2450</v>
      </c>
      <c r="BI2563">
        <v>1</v>
      </c>
      <c r="BJ2563">
        <v>1</v>
      </c>
      <c r="BK2563">
        <v>0</v>
      </c>
      <c r="BL2563">
        <v>0</v>
      </c>
      <c r="BO2563">
        <v>0</v>
      </c>
      <c r="BP2563">
        <v>0</v>
      </c>
      <c r="BW2563" t="str">
        <f t="shared" si="1212"/>
        <v>14:45:42.797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343</v>
      </c>
      <c r="CR2563">
        <v>1</v>
      </c>
      <c r="CW2563">
        <v>10801846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1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 t="shared" si="1209"/>
        <v>05/12/2020 14:45:24.975</v>
      </c>
      <c r="C2564" t="str">
        <f t="shared" si="1191"/>
        <v>FFDFD3C0</v>
      </c>
      <c r="D2564" t="s">
        <v>131</v>
      </c>
      <c r="E2564">
        <v>18</v>
      </c>
      <c r="F2564">
        <v>2018</v>
      </c>
      <c r="G2564" t="s">
        <v>161</v>
      </c>
      <c r="J2564" t="s">
        <v>133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210"/>
        <v>14:45:42.797</v>
      </c>
      <c r="T2564" t="str">
        <f t="shared" si="1211"/>
        <v>14:45:42.397</v>
      </c>
      <c r="U2564" t="str">
        <f t="shared" si="1213"/>
        <v>A9808D</v>
      </c>
      <c r="V2564">
        <v>0</v>
      </c>
      <c r="W2564">
        <v>0</v>
      </c>
      <c r="X2564">
        <v>1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0</v>
      </c>
      <c r="AI2564" t="s">
        <v>635</v>
      </c>
      <c r="AJ2564">
        <v>28.251622000000001</v>
      </c>
      <c r="AK2564" t="s">
        <v>636</v>
      </c>
      <c r="AL2564">
        <v>-82.321200000000005</v>
      </c>
      <c r="AM2564">
        <v>100</v>
      </c>
      <c r="AN2564">
        <v>2300</v>
      </c>
      <c r="AO2564" t="s">
        <v>118</v>
      </c>
      <c r="AP2564">
        <v>98</v>
      </c>
      <c r="AQ2564">
        <v>-35</v>
      </c>
      <c r="AR2564">
        <v>256</v>
      </c>
      <c r="AZ2564">
        <v>1200</v>
      </c>
      <c r="BA2564">
        <v>1</v>
      </c>
      <c r="BB2564" t="str">
        <f t="shared" si="1192"/>
        <v xml:space="preserve">N711JA  </v>
      </c>
      <c r="BC2564">
        <v>1</v>
      </c>
      <c r="BE2564">
        <v>0</v>
      </c>
      <c r="BF2564">
        <v>0</v>
      </c>
      <c r="BG2564">
        <v>0</v>
      </c>
      <c r="BH2564">
        <v>2450</v>
      </c>
      <c r="BI2564">
        <v>1</v>
      </c>
      <c r="BJ2564">
        <v>1</v>
      </c>
      <c r="BK2564">
        <v>0</v>
      </c>
      <c r="BL2564">
        <v>0</v>
      </c>
      <c r="BO2564">
        <v>0</v>
      </c>
      <c r="BP2564">
        <v>0</v>
      </c>
      <c r="BW2564" t="str">
        <f t="shared" si="1212"/>
        <v>14:45:42.797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343</v>
      </c>
      <c r="CR2564">
        <v>1</v>
      </c>
      <c r="CW2564">
        <v>10801846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1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 t="shared" si="1209"/>
        <v>05/12/2020 14:45:24.975</v>
      </c>
      <c r="C2565" t="str">
        <f t="shared" si="1191"/>
        <v>FFDFD3C0</v>
      </c>
      <c r="D2565" t="s">
        <v>134</v>
      </c>
      <c r="E2565">
        <v>12</v>
      </c>
      <c r="H2565">
        <v>64</v>
      </c>
      <c r="I2565" t="s">
        <v>135</v>
      </c>
      <c r="J2565" t="s">
        <v>136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210"/>
        <v>14:45:42.797</v>
      </c>
      <c r="T2565" t="str">
        <f t="shared" si="1211"/>
        <v>14:45:42.397</v>
      </c>
      <c r="U2565" t="str">
        <f t="shared" si="1213"/>
        <v>A9808D</v>
      </c>
      <c r="V2565">
        <v>0</v>
      </c>
      <c r="W2565">
        <v>0</v>
      </c>
      <c r="X2565">
        <v>1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0</v>
      </c>
      <c r="AI2565" t="s">
        <v>635</v>
      </c>
      <c r="AJ2565">
        <v>28.251622000000001</v>
      </c>
      <c r="AK2565" t="s">
        <v>636</v>
      </c>
      <c r="AL2565">
        <v>-82.321200000000005</v>
      </c>
      <c r="AM2565">
        <v>100</v>
      </c>
      <c r="AN2565">
        <v>2300</v>
      </c>
      <c r="AO2565" t="s">
        <v>118</v>
      </c>
      <c r="AP2565">
        <v>98</v>
      </c>
      <c r="AQ2565">
        <v>-35</v>
      </c>
      <c r="AR2565">
        <v>256</v>
      </c>
      <c r="AZ2565">
        <v>1200</v>
      </c>
      <c r="BA2565">
        <v>1</v>
      </c>
      <c r="BB2565" t="str">
        <f t="shared" si="1192"/>
        <v xml:space="preserve">N711JA  </v>
      </c>
      <c r="BC2565">
        <v>1</v>
      </c>
      <c r="BE2565">
        <v>0</v>
      </c>
      <c r="BF2565">
        <v>0</v>
      </c>
      <c r="BG2565">
        <v>0</v>
      </c>
      <c r="BH2565">
        <v>2450</v>
      </c>
      <c r="BI2565">
        <v>1</v>
      </c>
      <c r="BJ2565">
        <v>1</v>
      </c>
      <c r="BK2565">
        <v>0</v>
      </c>
      <c r="BL2565">
        <v>0</v>
      </c>
      <c r="BO2565">
        <v>0</v>
      </c>
      <c r="BP2565">
        <v>0</v>
      </c>
      <c r="BW2565" t="str">
        <f t="shared" si="1212"/>
        <v>14:45:42.797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343</v>
      </c>
      <c r="CR2565">
        <v>1</v>
      </c>
      <c r="CW2565">
        <v>10801846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1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 t="shared" si="1209"/>
        <v>05/12/2020 14:45:24.975</v>
      </c>
      <c r="C2566" t="str">
        <f t="shared" si="1191"/>
        <v>FFDFD3C0</v>
      </c>
      <c r="D2566" t="s">
        <v>138</v>
      </c>
      <c r="E2566">
        <v>3</v>
      </c>
      <c r="H2566">
        <v>9</v>
      </c>
      <c r="I2566" t="s">
        <v>140</v>
      </c>
      <c r="J2566" t="s">
        <v>136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210"/>
        <v>14:45:42.797</v>
      </c>
      <c r="T2566" t="str">
        <f t="shared" si="1211"/>
        <v>14:45:42.397</v>
      </c>
      <c r="U2566" t="str">
        <f t="shared" si="1213"/>
        <v>A9808D</v>
      </c>
      <c r="V2566">
        <v>0</v>
      </c>
      <c r="W2566">
        <v>0</v>
      </c>
      <c r="X2566">
        <v>1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0</v>
      </c>
      <c r="AI2566" t="s">
        <v>635</v>
      </c>
      <c r="AJ2566">
        <v>28.251622000000001</v>
      </c>
      <c r="AK2566" t="s">
        <v>636</v>
      </c>
      <c r="AL2566">
        <v>-82.321200000000005</v>
      </c>
      <c r="AM2566">
        <v>100</v>
      </c>
      <c r="AN2566">
        <v>2300</v>
      </c>
      <c r="AO2566" t="s">
        <v>118</v>
      </c>
      <c r="AP2566">
        <v>98</v>
      </c>
      <c r="AQ2566">
        <v>-35</v>
      </c>
      <c r="AR2566">
        <v>256</v>
      </c>
      <c r="AZ2566">
        <v>1200</v>
      </c>
      <c r="BA2566">
        <v>1</v>
      </c>
      <c r="BB2566" t="str">
        <f t="shared" si="1192"/>
        <v xml:space="preserve">N711JA  </v>
      </c>
      <c r="BC2566">
        <v>1</v>
      </c>
      <c r="BE2566">
        <v>0</v>
      </c>
      <c r="BF2566">
        <v>0</v>
      </c>
      <c r="BG2566">
        <v>0</v>
      </c>
      <c r="BH2566">
        <v>2450</v>
      </c>
      <c r="BI2566">
        <v>1</v>
      </c>
      <c r="BJ2566">
        <v>1</v>
      </c>
      <c r="BK2566">
        <v>0</v>
      </c>
      <c r="BL2566">
        <v>0</v>
      </c>
      <c r="BO2566">
        <v>0</v>
      </c>
      <c r="BP2566">
        <v>0</v>
      </c>
      <c r="BW2566" t="str">
        <f t="shared" si="1212"/>
        <v>14:45:42.797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343</v>
      </c>
      <c r="CR2566">
        <v>1</v>
      </c>
      <c r="CW2566">
        <v>10801846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1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 t="shared" si="1209"/>
        <v>05/12/2020 14:45:24.975</v>
      </c>
      <c r="C2567" t="str">
        <f t="shared" si="1191"/>
        <v>FFDFD3C0</v>
      </c>
      <c r="D2567" t="s">
        <v>126</v>
      </c>
      <c r="E2567">
        <v>6</v>
      </c>
      <c r="F2567">
        <v>1006</v>
      </c>
      <c r="G2567" t="s">
        <v>114</v>
      </c>
      <c r="J2567" t="s">
        <v>128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210"/>
        <v>14:45:42.797</v>
      </c>
      <c r="T2567" t="str">
        <f t="shared" si="1211"/>
        <v>14:45:42.397</v>
      </c>
      <c r="U2567" t="str">
        <f t="shared" si="1213"/>
        <v>A9808D</v>
      </c>
      <c r="V2567">
        <v>0</v>
      </c>
      <c r="W2567">
        <v>0</v>
      </c>
      <c r="X2567">
        <v>1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0</v>
      </c>
      <c r="AI2567" t="s">
        <v>635</v>
      </c>
      <c r="AJ2567">
        <v>28.251622000000001</v>
      </c>
      <c r="AK2567" t="s">
        <v>636</v>
      </c>
      <c r="AL2567">
        <v>-82.321200000000005</v>
      </c>
      <c r="AM2567">
        <v>100</v>
      </c>
      <c r="AN2567">
        <v>2300</v>
      </c>
      <c r="AO2567" t="s">
        <v>118</v>
      </c>
      <c r="AP2567">
        <v>98</v>
      </c>
      <c r="AQ2567">
        <v>-35</v>
      </c>
      <c r="AR2567">
        <v>256</v>
      </c>
      <c r="AZ2567">
        <v>1200</v>
      </c>
      <c r="BA2567">
        <v>1</v>
      </c>
      <c r="BB2567" t="str">
        <f t="shared" si="1192"/>
        <v xml:space="preserve">N711JA  </v>
      </c>
      <c r="BC2567">
        <v>1</v>
      </c>
      <c r="BE2567">
        <v>0</v>
      </c>
      <c r="BF2567">
        <v>0</v>
      </c>
      <c r="BG2567">
        <v>0</v>
      </c>
      <c r="BH2567">
        <v>2450</v>
      </c>
      <c r="BI2567">
        <v>1</v>
      </c>
      <c r="BJ2567">
        <v>1</v>
      </c>
      <c r="BK2567">
        <v>0</v>
      </c>
      <c r="BL2567">
        <v>0</v>
      </c>
      <c r="BO2567">
        <v>0</v>
      </c>
      <c r="BP2567">
        <v>0</v>
      </c>
      <c r="BW2567" t="str">
        <f t="shared" si="1212"/>
        <v>14:45:42.797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343</v>
      </c>
      <c r="CR2567">
        <v>1</v>
      </c>
      <c r="CW2567">
        <v>10801846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1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 t="shared" si="1209"/>
        <v>05/12/2020 14:45:24.975</v>
      </c>
      <c r="C2568" t="str">
        <f t="shared" si="1191"/>
        <v>FFDFD3C0</v>
      </c>
      <c r="D2568" t="s">
        <v>126</v>
      </c>
      <c r="E2568">
        <v>7</v>
      </c>
      <c r="F2568">
        <v>1007</v>
      </c>
      <c r="G2568" t="s">
        <v>127</v>
      </c>
      <c r="J2568" t="s">
        <v>128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210"/>
        <v>14:45:42.797</v>
      </c>
      <c r="T2568" t="str">
        <f t="shared" si="1211"/>
        <v>14:45:42.397</v>
      </c>
      <c r="U2568" t="str">
        <f t="shared" si="1213"/>
        <v>A9808D</v>
      </c>
      <c r="V2568">
        <v>0</v>
      </c>
      <c r="W2568">
        <v>0</v>
      </c>
      <c r="X2568">
        <v>1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0</v>
      </c>
      <c r="AI2568" t="s">
        <v>635</v>
      </c>
      <c r="AJ2568">
        <v>28.251622000000001</v>
      </c>
      <c r="AK2568" t="s">
        <v>636</v>
      </c>
      <c r="AL2568">
        <v>-82.321200000000005</v>
      </c>
      <c r="AM2568">
        <v>100</v>
      </c>
      <c r="AN2568">
        <v>2300</v>
      </c>
      <c r="AO2568" t="s">
        <v>118</v>
      </c>
      <c r="AP2568">
        <v>98</v>
      </c>
      <c r="AQ2568">
        <v>-35</v>
      </c>
      <c r="AR2568">
        <v>256</v>
      </c>
      <c r="AZ2568">
        <v>1200</v>
      </c>
      <c r="BA2568">
        <v>1</v>
      </c>
      <c r="BB2568" t="str">
        <f t="shared" si="1192"/>
        <v xml:space="preserve">N711JA  </v>
      </c>
      <c r="BC2568">
        <v>1</v>
      </c>
      <c r="BE2568">
        <v>0</v>
      </c>
      <c r="BF2568">
        <v>0</v>
      </c>
      <c r="BG2568">
        <v>0</v>
      </c>
      <c r="BH2568">
        <v>2450</v>
      </c>
      <c r="BI2568">
        <v>1</v>
      </c>
      <c r="BJ2568">
        <v>1</v>
      </c>
      <c r="BK2568">
        <v>0</v>
      </c>
      <c r="BL2568">
        <v>0</v>
      </c>
      <c r="BO2568">
        <v>0</v>
      </c>
      <c r="BP2568">
        <v>0</v>
      </c>
      <c r="BW2568" t="str">
        <f t="shared" si="1212"/>
        <v>14:45:42.797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343</v>
      </c>
      <c r="CR2568">
        <v>1</v>
      </c>
      <c r="CW2568">
        <v>10801846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1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 t="shared" ref="A2569:A2577" si="1214">"05/12/2020 14:45:26.014"</f>
        <v>05/12/2020 14:45:26.014</v>
      </c>
      <c r="C2569" t="str">
        <f t="shared" si="1191"/>
        <v>FFDFD3C0</v>
      </c>
      <c r="D2569" t="s">
        <v>126</v>
      </c>
      <c r="E2569">
        <v>6</v>
      </c>
      <c r="F2569">
        <v>1006</v>
      </c>
      <c r="G2569" t="s">
        <v>114</v>
      </c>
      <c r="J2569" t="s">
        <v>128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ref="S2569:S2577" si="1215">"14:45:43.852"</f>
        <v>14:45:43.852</v>
      </c>
      <c r="T2569" t="str">
        <f t="shared" ref="T2569:T2577" si="1216">"14:45:43.752"</f>
        <v>14:45:43.752</v>
      </c>
      <c r="U2569" t="str">
        <f t="shared" si="1213"/>
        <v>A9808D</v>
      </c>
      <c r="V2569">
        <v>0</v>
      </c>
      <c r="W2569">
        <v>0</v>
      </c>
      <c r="X2569">
        <v>1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0</v>
      </c>
      <c r="AI2569" t="s">
        <v>637</v>
      </c>
      <c r="AJ2569">
        <v>28.251472</v>
      </c>
      <c r="AK2569" t="s">
        <v>638</v>
      </c>
      <c r="AL2569">
        <v>-82.320599999999999</v>
      </c>
      <c r="AM2569">
        <v>100</v>
      </c>
      <c r="AN2569">
        <v>2300</v>
      </c>
      <c r="AO2569" t="s">
        <v>118</v>
      </c>
      <c r="AP2569">
        <v>98</v>
      </c>
      <c r="AQ2569">
        <v>-34</v>
      </c>
      <c r="AR2569">
        <v>256</v>
      </c>
      <c r="AZ2569">
        <v>1200</v>
      </c>
      <c r="BA2569">
        <v>1</v>
      </c>
      <c r="BB2569" t="str">
        <f t="shared" si="1192"/>
        <v xml:space="preserve">N711JA  </v>
      </c>
      <c r="BC2569">
        <v>1</v>
      </c>
      <c r="BE2569">
        <v>0</v>
      </c>
      <c r="BF2569">
        <v>0</v>
      </c>
      <c r="BG2569">
        <v>0</v>
      </c>
      <c r="BH2569">
        <v>2450</v>
      </c>
      <c r="BI2569">
        <v>1</v>
      </c>
      <c r="BJ2569">
        <v>1</v>
      </c>
      <c r="BK2569">
        <v>0</v>
      </c>
      <c r="BL2569">
        <v>0</v>
      </c>
      <c r="BO2569">
        <v>0</v>
      </c>
      <c r="BP2569">
        <v>0</v>
      </c>
      <c r="BW2569" t="str">
        <f t="shared" ref="BW2569:BW2577" si="1217">"14:45:43.853"</f>
        <v>14:45:43.853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343</v>
      </c>
      <c r="CR2569">
        <v>2</v>
      </c>
      <c r="CW2569">
        <v>13148989</v>
      </c>
      <c r="CY2569">
        <v>1</v>
      </c>
      <c r="CZ2569">
        <v>0</v>
      </c>
      <c r="DA2569">
        <v>0</v>
      </c>
      <c r="DB2569">
        <v>0</v>
      </c>
      <c r="DC2569">
        <v>0</v>
      </c>
      <c r="DD2569">
        <v>1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 t="shared" si="1214"/>
        <v>05/12/2020 14:45:26.014</v>
      </c>
      <c r="C2570" t="str">
        <f t="shared" si="1191"/>
        <v>FFDFD3C0</v>
      </c>
      <c r="D2570" t="s">
        <v>138</v>
      </c>
      <c r="E2570">
        <v>3</v>
      </c>
      <c r="H2570">
        <v>9</v>
      </c>
      <c r="I2570" t="s">
        <v>140</v>
      </c>
      <c r="J2570" t="s">
        <v>136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215"/>
        <v>14:45:43.852</v>
      </c>
      <c r="T2570" t="str">
        <f t="shared" si="1216"/>
        <v>14:45:43.752</v>
      </c>
      <c r="U2570" t="str">
        <f t="shared" si="1213"/>
        <v>A9808D</v>
      </c>
      <c r="V2570">
        <v>0</v>
      </c>
      <c r="W2570">
        <v>0</v>
      </c>
      <c r="X2570">
        <v>1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0</v>
      </c>
      <c r="AI2570" t="s">
        <v>637</v>
      </c>
      <c r="AJ2570">
        <v>28.251472</v>
      </c>
      <c r="AK2570" t="s">
        <v>638</v>
      </c>
      <c r="AL2570">
        <v>-82.320599999999999</v>
      </c>
      <c r="AM2570">
        <v>100</v>
      </c>
      <c r="AN2570">
        <v>2300</v>
      </c>
      <c r="AO2570" t="s">
        <v>118</v>
      </c>
      <c r="AP2570">
        <v>98</v>
      </c>
      <c r="AQ2570">
        <v>-34</v>
      </c>
      <c r="AR2570">
        <v>256</v>
      </c>
      <c r="AZ2570">
        <v>1200</v>
      </c>
      <c r="BA2570">
        <v>1</v>
      </c>
      <c r="BB2570" t="str">
        <f t="shared" si="1192"/>
        <v xml:space="preserve">N711JA  </v>
      </c>
      <c r="BC2570">
        <v>1</v>
      </c>
      <c r="BE2570">
        <v>0</v>
      </c>
      <c r="BF2570">
        <v>0</v>
      </c>
      <c r="BG2570">
        <v>0</v>
      </c>
      <c r="BH2570">
        <v>2450</v>
      </c>
      <c r="BI2570">
        <v>1</v>
      </c>
      <c r="BJ2570">
        <v>1</v>
      </c>
      <c r="BK2570">
        <v>0</v>
      </c>
      <c r="BL2570">
        <v>0</v>
      </c>
      <c r="BO2570">
        <v>0</v>
      </c>
      <c r="BP2570">
        <v>0</v>
      </c>
      <c r="BW2570" t="str">
        <f t="shared" si="1217"/>
        <v>14:45:43.853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343</v>
      </c>
      <c r="CR2570">
        <v>2</v>
      </c>
      <c r="CW2570">
        <v>13148989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1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 t="shared" si="1214"/>
        <v>05/12/2020 14:45:26.014</v>
      </c>
      <c r="C2571" t="str">
        <f t="shared" si="1191"/>
        <v>FFDFD3C0</v>
      </c>
      <c r="D2571" t="s">
        <v>126</v>
      </c>
      <c r="E2571">
        <v>7</v>
      </c>
      <c r="F2571">
        <v>1007</v>
      </c>
      <c r="G2571" t="s">
        <v>127</v>
      </c>
      <c r="J2571" t="s">
        <v>128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215"/>
        <v>14:45:43.852</v>
      </c>
      <c r="T2571" t="str">
        <f t="shared" si="1216"/>
        <v>14:45:43.752</v>
      </c>
      <c r="U2571" t="str">
        <f t="shared" si="1213"/>
        <v>A9808D</v>
      </c>
      <c r="V2571">
        <v>0</v>
      </c>
      <c r="W2571">
        <v>0</v>
      </c>
      <c r="X2571">
        <v>1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0</v>
      </c>
      <c r="AI2571" t="s">
        <v>637</v>
      </c>
      <c r="AJ2571">
        <v>28.251472</v>
      </c>
      <c r="AK2571" t="s">
        <v>638</v>
      </c>
      <c r="AL2571">
        <v>-82.320599999999999</v>
      </c>
      <c r="AM2571">
        <v>100</v>
      </c>
      <c r="AN2571">
        <v>2300</v>
      </c>
      <c r="AO2571" t="s">
        <v>118</v>
      </c>
      <c r="AP2571">
        <v>98</v>
      </c>
      <c r="AQ2571">
        <v>-34</v>
      </c>
      <c r="AR2571">
        <v>256</v>
      </c>
      <c r="AZ2571">
        <v>1200</v>
      </c>
      <c r="BA2571">
        <v>1</v>
      </c>
      <c r="BB2571" t="str">
        <f t="shared" si="1192"/>
        <v xml:space="preserve">N711JA  </v>
      </c>
      <c r="BC2571">
        <v>1</v>
      </c>
      <c r="BE2571">
        <v>0</v>
      </c>
      <c r="BF2571">
        <v>0</v>
      </c>
      <c r="BG2571">
        <v>0</v>
      </c>
      <c r="BH2571">
        <v>2450</v>
      </c>
      <c r="BI2571">
        <v>1</v>
      </c>
      <c r="BJ2571">
        <v>1</v>
      </c>
      <c r="BK2571">
        <v>0</v>
      </c>
      <c r="BL2571">
        <v>0</v>
      </c>
      <c r="BO2571">
        <v>0</v>
      </c>
      <c r="BP2571">
        <v>0</v>
      </c>
      <c r="BW2571" t="str">
        <f t="shared" si="1217"/>
        <v>14:45:43.853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343</v>
      </c>
      <c r="CR2571">
        <v>2</v>
      </c>
      <c r="CW2571">
        <v>13148989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1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 t="shared" si="1214"/>
        <v>05/12/2020 14:45:26.014</v>
      </c>
      <c r="C2572" t="str">
        <f t="shared" si="1191"/>
        <v>FFDFD3C0</v>
      </c>
      <c r="D2572" t="s">
        <v>131</v>
      </c>
      <c r="E2572">
        <v>10</v>
      </c>
      <c r="F2572">
        <v>2010</v>
      </c>
      <c r="G2572" t="s">
        <v>132</v>
      </c>
      <c r="J2572" t="s">
        <v>133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215"/>
        <v>14:45:43.852</v>
      </c>
      <c r="T2572" t="str">
        <f t="shared" si="1216"/>
        <v>14:45:43.752</v>
      </c>
      <c r="U2572" t="str">
        <f t="shared" si="1213"/>
        <v>A9808D</v>
      </c>
      <c r="V2572">
        <v>0</v>
      </c>
      <c r="W2572">
        <v>0</v>
      </c>
      <c r="X2572">
        <v>1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0</v>
      </c>
      <c r="AI2572" t="s">
        <v>637</v>
      </c>
      <c r="AJ2572">
        <v>28.251472</v>
      </c>
      <c r="AK2572" t="s">
        <v>638</v>
      </c>
      <c r="AL2572">
        <v>-82.320599999999999</v>
      </c>
      <c r="AM2572">
        <v>100</v>
      </c>
      <c r="AN2572">
        <v>2300</v>
      </c>
      <c r="AO2572" t="s">
        <v>118</v>
      </c>
      <c r="AP2572">
        <v>98</v>
      </c>
      <c r="AQ2572">
        <v>-34</v>
      </c>
      <c r="AR2572">
        <v>256</v>
      </c>
      <c r="AZ2572">
        <v>1200</v>
      </c>
      <c r="BA2572">
        <v>1</v>
      </c>
      <c r="BB2572" t="str">
        <f t="shared" si="1192"/>
        <v xml:space="preserve">N711JA  </v>
      </c>
      <c r="BC2572">
        <v>1</v>
      </c>
      <c r="BE2572">
        <v>0</v>
      </c>
      <c r="BF2572">
        <v>0</v>
      </c>
      <c r="BG2572">
        <v>0</v>
      </c>
      <c r="BH2572">
        <v>2450</v>
      </c>
      <c r="BI2572">
        <v>1</v>
      </c>
      <c r="BJ2572">
        <v>1</v>
      </c>
      <c r="BK2572">
        <v>0</v>
      </c>
      <c r="BL2572">
        <v>0</v>
      </c>
      <c r="BO2572">
        <v>0</v>
      </c>
      <c r="BP2572">
        <v>0</v>
      </c>
      <c r="BW2572" t="str">
        <f t="shared" si="1217"/>
        <v>14:45:43.853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343</v>
      </c>
      <c r="CR2572">
        <v>2</v>
      </c>
      <c r="CW2572">
        <v>13148989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1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 t="shared" si="1214"/>
        <v>05/12/2020 14:45:26.014</v>
      </c>
      <c r="C2573" t="str">
        <f t="shared" si="1191"/>
        <v>FFDFD3C0</v>
      </c>
      <c r="D2573" t="s">
        <v>131</v>
      </c>
      <c r="E2573">
        <v>12</v>
      </c>
      <c r="F2573">
        <v>2012</v>
      </c>
      <c r="G2573" t="s">
        <v>137</v>
      </c>
      <c r="J2573" t="s">
        <v>133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215"/>
        <v>14:45:43.852</v>
      </c>
      <c r="T2573" t="str">
        <f t="shared" si="1216"/>
        <v>14:45:43.752</v>
      </c>
      <c r="U2573" t="str">
        <f t="shared" si="1213"/>
        <v>A9808D</v>
      </c>
      <c r="V2573">
        <v>0</v>
      </c>
      <c r="W2573">
        <v>0</v>
      </c>
      <c r="X2573">
        <v>1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0</v>
      </c>
      <c r="AI2573" t="s">
        <v>637</v>
      </c>
      <c r="AJ2573">
        <v>28.251472</v>
      </c>
      <c r="AK2573" t="s">
        <v>638</v>
      </c>
      <c r="AL2573">
        <v>-82.320599999999999</v>
      </c>
      <c r="AM2573">
        <v>100</v>
      </c>
      <c r="AN2573">
        <v>2300</v>
      </c>
      <c r="AO2573" t="s">
        <v>118</v>
      </c>
      <c r="AP2573">
        <v>98</v>
      </c>
      <c r="AQ2573">
        <v>-34</v>
      </c>
      <c r="AR2573">
        <v>256</v>
      </c>
      <c r="AZ2573">
        <v>1200</v>
      </c>
      <c r="BA2573">
        <v>1</v>
      </c>
      <c r="BB2573" t="str">
        <f t="shared" si="1192"/>
        <v xml:space="preserve">N711JA  </v>
      </c>
      <c r="BC2573">
        <v>1</v>
      </c>
      <c r="BE2573">
        <v>0</v>
      </c>
      <c r="BF2573">
        <v>0</v>
      </c>
      <c r="BG2573">
        <v>0</v>
      </c>
      <c r="BH2573">
        <v>2450</v>
      </c>
      <c r="BI2573">
        <v>1</v>
      </c>
      <c r="BJ2573">
        <v>1</v>
      </c>
      <c r="BK2573">
        <v>0</v>
      </c>
      <c r="BL2573">
        <v>0</v>
      </c>
      <c r="BO2573">
        <v>0</v>
      </c>
      <c r="BP2573">
        <v>0</v>
      </c>
      <c r="BW2573" t="str">
        <f t="shared" si="1217"/>
        <v>14:45:43.853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343</v>
      </c>
      <c r="CR2573">
        <v>2</v>
      </c>
      <c r="CW2573">
        <v>13148989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1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 t="shared" si="1214"/>
        <v>05/12/2020 14:45:26.014</v>
      </c>
      <c r="C2574" t="str">
        <f t="shared" si="1191"/>
        <v>FFDFD3C0</v>
      </c>
      <c r="D2574" t="s">
        <v>138</v>
      </c>
      <c r="E2574">
        <v>2</v>
      </c>
      <c r="H2574">
        <v>8</v>
      </c>
      <c r="I2574" t="s">
        <v>139</v>
      </c>
      <c r="J2574" t="s">
        <v>136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215"/>
        <v>14:45:43.852</v>
      </c>
      <c r="T2574" t="str">
        <f t="shared" si="1216"/>
        <v>14:45:43.752</v>
      </c>
      <c r="U2574" t="str">
        <f t="shared" si="1213"/>
        <v>A9808D</v>
      </c>
      <c r="V2574">
        <v>0</v>
      </c>
      <c r="W2574">
        <v>0</v>
      </c>
      <c r="X2574">
        <v>1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0</v>
      </c>
      <c r="AI2574" t="s">
        <v>637</v>
      </c>
      <c r="AJ2574">
        <v>28.251472</v>
      </c>
      <c r="AK2574" t="s">
        <v>638</v>
      </c>
      <c r="AL2574">
        <v>-82.320599999999999</v>
      </c>
      <c r="AM2574">
        <v>100</v>
      </c>
      <c r="AN2574">
        <v>2300</v>
      </c>
      <c r="AO2574" t="s">
        <v>118</v>
      </c>
      <c r="AP2574">
        <v>98</v>
      </c>
      <c r="AQ2574">
        <v>-34</v>
      </c>
      <c r="AR2574">
        <v>256</v>
      </c>
      <c r="AZ2574">
        <v>1200</v>
      </c>
      <c r="BA2574">
        <v>1</v>
      </c>
      <c r="BB2574" t="str">
        <f t="shared" si="1192"/>
        <v xml:space="preserve">N711JA  </v>
      </c>
      <c r="BC2574">
        <v>1</v>
      </c>
      <c r="BE2574">
        <v>0</v>
      </c>
      <c r="BF2574">
        <v>0</v>
      </c>
      <c r="BG2574">
        <v>0</v>
      </c>
      <c r="BH2574">
        <v>2450</v>
      </c>
      <c r="BI2574">
        <v>1</v>
      </c>
      <c r="BJ2574">
        <v>1</v>
      </c>
      <c r="BK2574">
        <v>0</v>
      </c>
      <c r="BL2574">
        <v>0</v>
      </c>
      <c r="BO2574">
        <v>0</v>
      </c>
      <c r="BP2574">
        <v>0</v>
      </c>
      <c r="BW2574" t="str">
        <f t="shared" si="1217"/>
        <v>14:45:43.853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343</v>
      </c>
      <c r="CR2574">
        <v>2</v>
      </c>
      <c r="CW2574">
        <v>13148989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1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 t="shared" si="1214"/>
        <v>05/12/2020 14:45:26.014</v>
      </c>
      <c r="C2575" t="str">
        <f t="shared" si="1191"/>
        <v>FFDFD3C0</v>
      </c>
      <c r="D2575" t="s">
        <v>131</v>
      </c>
      <c r="E2575">
        <v>18</v>
      </c>
      <c r="F2575">
        <v>2018</v>
      </c>
      <c r="G2575" t="s">
        <v>161</v>
      </c>
      <c r="J2575" t="s">
        <v>133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215"/>
        <v>14:45:43.852</v>
      </c>
      <c r="T2575" t="str">
        <f t="shared" si="1216"/>
        <v>14:45:43.752</v>
      </c>
      <c r="U2575" t="str">
        <f t="shared" si="1213"/>
        <v>A9808D</v>
      </c>
      <c r="V2575">
        <v>0</v>
      </c>
      <c r="W2575">
        <v>0</v>
      </c>
      <c r="X2575">
        <v>1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0</v>
      </c>
      <c r="AI2575" t="s">
        <v>637</v>
      </c>
      <c r="AJ2575">
        <v>28.251472</v>
      </c>
      <c r="AK2575" t="s">
        <v>638</v>
      </c>
      <c r="AL2575">
        <v>-82.320599999999999</v>
      </c>
      <c r="AM2575">
        <v>100</v>
      </c>
      <c r="AN2575">
        <v>2300</v>
      </c>
      <c r="AO2575" t="s">
        <v>118</v>
      </c>
      <c r="AP2575">
        <v>98</v>
      </c>
      <c r="AQ2575">
        <v>-34</v>
      </c>
      <c r="AR2575">
        <v>256</v>
      </c>
      <c r="AZ2575">
        <v>1200</v>
      </c>
      <c r="BA2575">
        <v>1</v>
      </c>
      <c r="BB2575" t="str">
        <f t="shared" si="1192"/>
        <v xml:space="preserve">N711JA  </v>
      </c>
      <c r="BC2575">
        <v>1</v>
      </c>
      <c r="BE2575">
        <v>0</v>
      </c>
      <c r="BF2575">
        <v>0</v>
      </c>
      <c r="BG2575">
        <v>0</v>
      </c>
      <c r="BH2575">
        <v>2450</v>
      </c>
      <c r="BI2575">
        <v>1</v>
      </c>
      <c r="BJ2575">
        <v>1</v>
      </c>
      <c r="BK2575">
        <v>0</v>
      </c>
      <c r="BL2575">
        <v>0</v>
      </c>
      <c r="BO2575">
        <v>0</v>
      </c>
      <c r="BP2575">
        <v>0</v>
      </c>
      <c r="BW2575" t="str">
        <f t="shared" si="1217"/>
        <v>14:45:43.853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343</v>
      </c>
      <c r="CR2575">
        <v>2</v>
      </c>
      <c r="CW2575">
        <v>13148989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1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 t="shared" si="1214"/>
        <v>05/12/2020 14:45:26.014</v>
      </c>
      <c r="C2576" t="str">
        <f t="shared" si="1191"/>
        <v>FFDFD3C0</v>
      </c>
      <c r="D2576" t="s">
        <v>113</v>
      </c>
      <c r="E2576">
        <v>3</v>
      </c>
      <c r="H2576">
        <v>164</v>
      </c>
      <c r="I2576" t="s">
        <v>114</v>
      </c>
      <c r="J2576" t="s">
        <v>115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215"/>
        <v>14:45:43.852</v>
      </c>
      <c r="T2576" t="str">
        <f t="shared" si="1216"/>
        <v>14:45:43.752</v>
      </c>
      <c r="U2576" t="str">
        <f t="shared" si="1213"/>
        <v>A9808D</v>
      </c>
      <c r="V2576">
        <v>0</v>
      </c>
      <c r="W2576">
        <v>0</v>
      </c>
      <c r="X2576">
        <v>1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0</v>
      </c>
      <c r="AI2576" t="s">
        <v>637</v>
      </c>
      <c r="AJ2576">
        <v>28.251472</v>
      </c>
      <c r="AK2576" t="s">
        <v>638</v>
      </c>
      <c r="AL2576">
        <v>-82.320599999999999</v>
      </c>
      <c r="AM2576">
        <v>100</v>
      </c>
      <c r="AN2576">
        <v>2300</v>
      </c>
      <c r="AO2576" t="s">
        <v>118</v>
      </c>
      <c r="AP2576">
        <v>98</v>
      </c>
      <c r="AQ2576">
        <v>-34</v>
      </c>
      <c r="AR2576">
        <v>256</v>
      </c>
      <c r="AZ2576">
        <v>1200</v>
      </c>
      <c r="BA2576">
        <v>1</v>
      </c>
      <c r="BB2576" t="str">
        <f t="shared" si="1192"/>
        <v xml:space="preserve">N711JA  </v>
      </c>
      <c r="BC2576">
        <v>1</v>
      </c>
      <c r="BE2576">
        <v>0</v>
      </c>
      <c r="BF2576">
        <v>0</v>
      </c>
      <c r="BG2576">
        <v>0</v>
      </c>
      <c r="BH2576">
        <v>2450</v>
      </c>
      <c r="BI2576">
        <v>1</v>
      </c>
      <c r="BJ2576">
        <v>1</v>
      </c>
      <c r="BK2576">
        <v>0</v>
      </c>
      <c r="BL2576">
        <v>0</v>
      </c>
      <c r="BO2576">
        <v>0</v>
      </c>
      <c r="BP2576">
        <v>0</v>
      </c>
      <c r="BW2576" t="str">
        <f t="shared" si="1217"/>
        <v>14:45:43.853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343</v>
      </c>
      <c r="CR2576">
        <v>2</v>
      </c>
      <c r="CW2576">
        <v>13148989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1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 t="shared" si="1214"/>
        <v>05/12/2020 14:45:26.014</v>
      </c>
      <c r="C2577" t="str">
        <f t="shared" si="1191"/>
        <v>FFDFD3C0</v>
      </c>
      <c r="D2577" t="s">
        <v>134</v>
      </c>
      <c r="E2577">
        <v>12</v>
      </c>
      <c r="H2577">
        <v>64</v>
      </c>
      <c r="I2577" t="s">
        <v>135</v>
      </c>
      <c r="J2577" t="s">
        <v>136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215"/>
        <v>14:45:43.852</v>
      </c>
      <c r="T2577" t="str">
        <f t="shared" si="1216"/>
        <v>14:45:43.752</v>
      </c>
      <c r="U2577" t="str">
        <f t="shared" si="1213"/>
        <v>A9808D</v>
      </c>
      <c r="V2577">
        <v>0</v>
      </c>
      <c r="W2577">
        <v>0</v>
      </c>
      <c r="X2577">
        <v>1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0</v>
      </c>
      <c r="AI2577" t="s">
        <v>637</v>
      </c>
      <c r="AJ2577">
        <v>28.251472</v>
      </c>
      <c r="AK2577" t="s">
        <v>638</v>
      </c>
      <c r="AL2577">
        <v>-82.320599999999999</v>
      </c>
      <c r="AM2577">
        <v>100</v>
      </c>
      <c r="AN2577">
        <v>2300</v>
      </c>
      <c r="AO2577" t="s">
        <v>118</v>
      </c>
      <c r="AP2577">
        <v>98</v>
      </c>
      <c r="AQ2577">
        <v>-34</v>
      </c>
      <c r="AR2577">
        <v>256</v>
      </c>
      <c r="AZ2577">
        <v>1200</v>
      </c>
      <c r="BA2577">
        <v>1</v>
      </c>
      <c r="BB2577" t="str">
        <f t="shared" si="1192"/>
        <v xml:space="preserve">N711JA  </v>
      </c>
      <c r="BC2577">
        <v>1</v>
      </c>
      <c r="BE2577">
        <v>0</v>
      </c>
      <c r="BF2577">
        <v>0</v>
      </c>
      <c r="BG2577">
        <v>0</v>
      </c>
      <c r="BH2577">
        <v>2450</v>
      </c>
      <c r="BI2577">
        <v>1</v>
      </c>
      <c r="BJ2577">
        <v>1</v>
      </c>
      <c r="BK2577">
        <v>0</v>
      </c>
      <c r="BL2577">
        <v>0</v>
      </c>
      <c r="BO2577">
        <v>0</v>
      </c>
      <c r="BP2577">
        <v>0</v>
      </c>
      <c r="BW2577" t="str">
        <f t="shared" si="1217"/>
        <v>14:45:43.853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343</v>
      </c>
      <c r="CR2577">
        <v>2</v>
      </c>
      <c r="CW2577">
        <v>13148989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1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 t="shared" ref="A2578:A2586" si="1218">"05/12/2020 14:45:26.949"</f>
        <v>05/12/2020 14:45:26.949</v>
      </c>
      <c r="C2578" t="str">
        <f t="shared" si="1191"/>
        <v>FFDFD3C0</v>
      </c>
      <c r="D2578" t="s">
        <v>138</v>
      </c>
      <c r="E2578">
        <v>2</v>
      </c>
      <c r="H2578">
        <v>8</v>
      </c>
      <c r="I2578" t="s">
        <v>139</v>
      </c>
      <c r="J2578" t="s">
        <v>136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ref="S2578:S2586" si="1219">"14:45:44.781"</f>
        <v>14:45:44.781</v>
      </c>
      <c r="T2578" t="str">
        <f t="shared" ref="T2578:T2586" si="1220">"14:45:44.681"</f>
        <v>14:45:44.681</v>
      </c>
      <c r="U2578" t="str">
        <f t="shared" si="1213"/>
        <v>A9808D</v>
      </c>
      <c r="V2578">
        <v>0</v>
      </c>
      <c r="W2578">
        <v>0</v>
      </c>
      <c r="X2578">
        <v>1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0</v>
      </c>
      <c r="AI2578" t="s">
        <v>639</v>
      </c>
      <c r="AJ2578">
        <v>28.251300000000001</v>
      </c>
      <c r="AK2578" t="s">
        <v>640</v>
      </c>
      <c r="AL2578">
        <v>-82.320170000000005</v>
      </c>
      <c r="AM2578">
        <v>100</v>
      </c>
      <c r="AN2578">
        <v>2400</v>
      </c>
      <c r="AO2578" t="s">
        <v>118</v>
      </c>
      <c r="AP2578">
        <v>99</v>
      </c>
      <c r="AQ2578">
        <v>-34</v>
      </c>
      <c r="AR2578">
        <v>320</v>
      </c>
      <c r="AZ2578">
        <v>1200</v>
      </c>
      <c r="BA2578">
        <v>1</v>
      </c>
      <c r="BB2578" t="str">
        <f t="shared" si="1192"/>
        <v xml:space="preserve">N711JA  </v>
      </c>
      <c r="BC2578">
        <v>1</v>
      </c>
      <c r="BE2578">
        <v>0</v>
      </c>
      <c r="BF2578">
        <v>0</v>
      </c>
      <c r="BG2578">
        <v>0</v>
      </c>
      <c r="BH2578">
        <v>2450</v>
      </c>
      <c r="BI2578">
        <v>1</v>
      </c>
      <c r="BJ2578">
        <v>1</v>
      </c>
      <c r="BK2578">
        <v>0</v>
      </c>
      <c r="BL2578">
        <v>0</v>
      </c>
      <c r="BO2578">
        <v>0</v>
      </c>
      <c r="BP2578">
        <v>0</v>
      </c>
      <c r="BW2578" t="str">
        <f t="shared" ref="BW2578:BW2586" si="1221">"14:45:44.788"</f>
        <v>14:45:44.788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343</v>
      </c>
      <c r="CR2578">
        <v>1</v>
      </c>
      <c r="CW2578">
        <v>10803966</v>
      </c>
      <c r="CY2578">
        <v>1</v>
      </c>
      <c r="CZ2578">
        <v>0</v>
      </c>
      <c r="DA2578">
        <v>0</v>
      </c>
      <c r="DB2578">
        <v>0</v>
      </c>
      <c r="DC2578">
        <v>0</v>
      </c>
      <c r="DD2578">
        <v>1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 t="shared" si="1218"/>
        <v>05/12/2020 14:45:26.949</v>
      </c>
      <c r="C2579" t="str">
        <f t="shared" si="1191"/>
        <v>FFDFD3C0</v>
      </c>
      <c r="D2579" t="s">
        <v>113</v>
      </c>
      <c r="E2579">
        <v>3</v>
      </c>
      <c r="H2579">
        <v>164</v>
      </c>
      <c r="I2579" t="s">
        <v>114</v>
      </c>
      <c r="J2579" t="s">
        <v>115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219"/>
        <v>14:45:44.781</v>
      </c>
      <c r="T2579" t="str">
        <f t="shared" si="1220"/>
        <v>14:45:44.681</v>
      </c>
      <c r="U2579" t="str">
        <f t="shared" si="1213"/>
        <v>A9808D</v>
      </c>
      <c r="V2579">
        <v>0</v>
      </c>
      <c r="W2579">
        <v>0</v>
      </c>
      <c r="X2579">
        <v>1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0</v>
      </c>
      <c r="AI2579" t="s">
        <v>639</v>
      </c>
      <c r="AJ2579">
        <v>28.251300000000001</v>
      </c>
      <c r="AK2579" t="s">
        <v>640</v>
      </c>
      <c r="AL2579">
        <v>-82.320170000000005</v>
      </c>
      <c r="AM2579">
        <v>100</v>
      </c>
      <c r="AN2579">
        <v>2400</v>
      </c>
      <c r="AO2579" t="s">
        <v>118</v>
      </c>
      <c r="AP2579">
        <v>99</v>
      </c>
      <c r="AQ2579">
        <v>-34</v>
      </c>
      <c r="AR2579">
        <v>320</v>
      </c>
      <c r="AZ2579">
        <v>1200</v>
      </c>
      <c r="BA2579">
        <v>1</v>
      </c>
      <c r="BB2579" t="str">
        <f t="shared" si="1192"/>
        <v xml:space="preserve">N711JA  </v>
      </c>
      <c r="BC2579">
        <v>1</v>
      </c>
      <c r="BE2579">
        <v>0</v>
      </c>
      <c r="BF2579">
        <v>0</v>
      </c>
      <c r="BG2579">
        <v>0</v>
      </c>
      <c r="BH2579">
        <v>2450</v>
      </c>
      <c r="BI2579">
        <v>1</v>
      </c>
      <c r="BJ2579">
        <v>1</v>
      </c>
      <c r="BK2579">
        <v>0</v>
      </c>
      <c r="BL2579">
        <v>0</v>
      </c>
      <c r="BO2579">
        <v>0</v>
      </c>
      <c r="BP2579">
        <v>0</v>
      </c>
      <c r="BW2579" t="str">
        <f t="shared" si="1221"/>
        <v>14:45:44.788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343</v>
      </c>
      <c r="CR2579">
        <v>1</v>
      </c>
      <c r="CW2579">
        <v>10803966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1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 t="shared" si="1218"/>
        <v>05/12/2020 14:45:26.949</v>
      </c>
      <c r="C2580" t="str">
        <f t="shared" si="1191"/>
        <v>FFDFD3C0</v>
      </c>
      <c r="D2580" t="s">
        <v>134</v>
      </c>
      <c r="E2580">
        <v>12</v>
      </c>
      <c r="H2580">
        <v>64</v>
      </c>
      <c r="I2580" t="s">
        <v>135</v>
      </c>
      <c r="J2580" t="s">
        <v>136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219"/>
        <v>14:45:44.781</v>
      </c>
      <c r="T2580" t="str">
        <f t="shared" si="1220"/>
        <v>14:45:44.681</v>
      </c>
      <c r="U2580" t="str">
        <f t="shared" si="1213"/>
        <v>A9808D</v>
      </c>
      <c r="V2580">
        <v>0</v>
      </c>
      <c r="W2580">
        <v>0</v>
      </c>
      <c r="X2580">
        <v>1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0</v>
      </c>
      <c r="AI2580" t="s">
        <v>639</v>
      </c>
      <c r="AJ2580">
        <v>28.251300000000001</v>
      </c>
      <c r="AK2580" t="s">
        <v>640</v>
      </c>
      <c r="AL2580">
        <v>-82.320170000000005</v>
      </c>
      <c r="AM2580">
        <v>100</v>
      </c>
      <c r="AN2580">
        <v>2400</v>
      </c>
      <c r="AO2580" t="s">
        <v>118</v>
      </c>
      <c r="AP2580">
        <v>99</v>
      </c>
      <c r="AQ2580">
        <v>-34</v>
      </c>
      <c r="AR2580">
        <v>320</v>
      </c>
      <c r="AZ2580">
        <v>1200</v>
      </c>
      <c r="BA2580">
        <v>1</v>
      </c>
      <c r="BB2580" t="str">
        <f t="shared" si="1192"/>
        <v xml:space="preserve">N711JA  </v>
      </c>
      <c r="BC2580">
        <v>1</v>
      </c>
      <c r="BE2580">
        <v>0</v>
      </c>
      <c r="BF2580">
        <v>0</v>
      </c>
      <c r="BG2580">
        <v>0</v>
      </c>
      <c r="BH2580">
        <v>2450</v>
      </c>
      <c r="BI2580">
        <v>1</v>
      </c>
      <c r="BJ2580">
        <v>1</v>
      </c>
      <c r="BK2580">
        <v>0</v>
      </c>
      <c r="BL2580">
        <v>0</v>
      </c>
      <c r="BO2580">
        <v>0</v>
      </c>
      <c r="BP2580">
        <v>0</v>
      </c>
      <c r="BW2580" t="str">
        <f t="shared" si="1221"/>
        <v>14:45:44.788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343</v>
      </c>
      <c r="CR2580">
        <v>1</v>
      </c>
      <c r="CW2580">
        <v>10803966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1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 t="shared" si="1218"/>
        <v>05/12/2020 14:45:26.949</v>
      </c>
      <c r="C2581" t="str">
        <f t="shared" si="1191"/>
        <v>FFDFD3C0</v>
      </c>
      <c r="D2581" t="s">
        <v>126</v>
      </c>
      <c r="E2581">
        <v>6</v>
      </c>
      <c r="F2581">
        <v>1006</v>
      </c>
      <c r="G2581" t="s">
        <v>114</v>
      </c>
      <c r="J2581" t="s">
        <v>128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219"/>
        <v>14:45:44.781</v>
      </c>
      <c r="T2581" t="str">
        <f t="shared" si="1220"/>
        <v>14:45:44.681</v>
      </c>
      <c r="U2581" t="str">
        <f t="shared" si="1213"/>
        <v>A9808D</v>
      </c>
      <c r="V2581">
        <v>0</v>
      </c>
      <c r="W2581">
        <v>0</v>
      </c>
      <c r="X2581">
        <v>1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0</v>
      </c>
      <c r="AI2581" t="s">
        <v>639</v>
      </c>
      <c r="AJ2581">
        <v>28.251300000000001</v>
      </c>
      <c r="AK2581" t="s">
        <v>640</v>
      </c>
      <c r="AL2581">
        <v>-82.320170000000005</v>
      </c>
      <c r="AM2581">
        <v>100</v>
      </c>
      <c r="AN2581">
        <v>2400</v>
      </c>
      <c r="AO2581" t="s">
        <v>118</v>
      </c>
      <c r="AP2581">
        <v>99</v>
      </c>
      <c r="AQ2581">
        <v>-34</v>
      </c>
      <c r="AR2581">
        <v>320</v>
      </c>
      <c r="AZ2581">
        <v>1200</v>
      </c>
      <c r="BA2581">
        <v>1</v>
      </c>
      <c r="BB2581" t="str">
        <f t="shared" si="1192"/>
        <v xml:space="preserve">N711JA  </v>
      </c>
      <c r="BC2581">
        <v>1</v>
      </c>
      <c r="BE2581">
        <v>0</v>
      </c>
      <c r="BF2581">
        <v>0</v>
      </c>
      <c r="BG2581">
        <v>0</v>
      </c>
      <c r="BH2581">
        <v>2450</v>
      </c>
      <c r="BI2581">
        <v>1</v>
      </c>
      <c r="BJ2581">
        <v>1</v>
      </c>
      <c r="BK2581">
        <v>0</v>
      </c>
      <c r="BL2581">
        <v>0</v>
      </c>
      <c r="BO2581">
        <v>0</v>
      </c>
      <c r="BP2581">
        <v>0</v>
      </c>
      <c r="BW2581" t="str">
        <f t="shared" si="1221"/>
        <v>14:45:44.788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343</v>
      </c>
      <c r="CR2581">
        <v>1</v>
      </c>
      <c r="CW2581">
        <v>10803966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1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 t="shared" si="1218"/>
        <v>05/12/2020 14:45:26.949</v>
      </c>
      <c r="C2582" t="str">
        <f t="shared" ref="C2582:C2645" si="1222">"FFDFD3C0"</f>
        <v>FFDFD3C0</v>
      </c>
      <c r="D2582" t="s">
        <v>138</v>
      </c>
      <c r="E2582">
        <v>3</v>
      </c>
      <c r="H2582">
        <v>9</v>
      </c>
      <c r="I2582" t="s">
        <v>140</v>
      </c>
      <c r="J2582" t="s">
        <v>136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219"/>
        <v>14:45:44.781</v>
      </c>
      <c r="T2582" t="str">
        <f t="shared" si="1220"/>
        <v>14:45:44.681</v>
      </c>
      <c r="U2582" t="str">
        <f t="shared" si="1213"/>
        <v>A9808D</v>
      </c>
      <c r="V2582">
        <v>0</v>
      </c>
      <c r="W2582">
        <v>0</v>
      </c>
      <c r="X2582">
        <v>1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0</v>
      </c>
      <c r="AI2582" t="s">
        <v>639</v>
      </c>
      <c r="AJ2582">
        <v>28.251300000000001</v>
      </c>
      <c r="AK2582" t="s">
        <v>640</v>
      </c>
      <c r="AL2582">
        <v>-82.320170000000005</v>
      </c>
      <c r="AM2582">
        <v>100</v>
      </c>
      <c r="AN2582">
        <v>2400</v>
      </c>
      <c r="AO2582" t="s">
        <v>118</v>
      </c>
      <c r="AP2582">
        <v>99</v>
      </c>
      <c r="AQ2582">
        <v>-34</v>
      </c>
      <c r="AR2582">
        <v>320</v>
      </c>
      <c r="AZ2582">
        <v>1200</v>
      </c>
      <c r="BA2582">
        <v>1</v>
      </c>
      <c r="BB2582" t="str">
        <f t="shared" ref="BB2582:BB2645" si="1223">"N711JA  "</f>
        <v xml:space="preserve">N711JA  </v>
      </c>
      <c r="BC2582">
        <v>1</v>
      </c>
      <c r="BE2582">
        <v>0</v>
      </c>
      <c r="BF2582">
        <v>0</v>
      </c>
      <c r="BG2582">
        <v>0</v>
      </c>
      <c r="BH2582">
        <v>2450</v>
      </c>
      <c r="BI2582">
        <v>1</v>
      </c>
      <c r="BJ2582">
        <v>1</v>
      </c>
      <c r="BK2582">
        <v>0</v>
      </c>
      <c r="BL2582">
        <v>0</v>
      </c>
      <c r="BO2582">
        <v>0</v>
      </c>
      <c r="BP2582">
        <v>0</v>
      </c>
      <c r="BW2582" t="str">
        <f t="shared" si="1221"/>
        <v>14:45:44.788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343</v>
      </c>
      <c r="CR2582">
        <v>1</v>
      </c>
      <c r="CW2582">
        <v>10803966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1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 t="shared" si="1218"/>
        <v>05/12/2020 14:45:26.949</v>
      </c>
      <c r="C2583" t="str">
        <f t="shared" si="1222"/>
        <v>FFDFD3C0</v>
      </c>
      <c r="D2583" t="s">
        <v>126</v>
      </c>
      <c r="E2583">
        <v>7</v>
      </c>
      <c r="F2583">
        <v>1007</v>
      </c>
      <c r="G2583" t="s">
        <v>127</v>
      </c>
      <c r="J2583" t="s">
        <v>128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219"/>
        <v>14:45:44.781</v>
      </c>
      <c r="T2583" t="str">
        <f t="shared" si="1220"/>
        <v>14:45:44.681</v>
      </c>
      <c r="U2583" t="str">
        <f t="shared" si="1213"/>
        <v>A9808D</v>
      </c>
      <c r="V2583">
        <v>0</v>
      </c>
      <c r="W2583">
        <v>0</v>
      </c>
      <c r="X2583">
        <v>1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0</v>
      </c>
      <c r="AI2583" t="s">
        <v>639</v>
      </c>
      <c r="AJ2583">
        <v>28.251300000000001</v>
      </c>
      <c r="AK2583" t="s">
        <v>640</v>
      </c>
      <c r="AL2583">
        <v>-82.320170000000005</v>
      </c>
      <c r="AM2583">
        <v>100</v>
      </c>
      <c r="AN2583">
        <v>2400</v>
      </c>
      <c r="AO2583" t="s">
        <v>118</v>
      </c>
      <c r="AP2583">
        <v>99</v>
      </c>
      <c r="AQ2583">
        <v>-34</v>
      </c>
      <c r="AR2583">
        <v>320</v>
      </c>
      <c r="AZ2583">
        <v>1200</v>
      </c>
      <c r="BA2583">
        <v>1</v>
      </c>
      <c r="BB2583" t="str">
        <f t="shared" si="1223"/>
        <v xml:space="preserve">N711JA  </v>
      </c>
      <c r="BC2583">
        <v>1</v>
      </c>
      <c r="BE2583">
        <v>0</v>
      </c>
      <c r="BF2583">
        <v>0</v>
      </c>
      <c r="BG2583">
        <v>0</v>
      </c>
      <c r="BH2583">
        <v>2450</v>
      </c>
      <c r="BI2583">
        <v>1</v>
      </c>
      <c r="BJ2583">
        <v>1</v>
      </c>
      <c r="BK2583">
        <v>0</v>
      </c>
      <c r="BL2583">
        <v>0</v>
      </c>
      <c r="BO2583">
        <v>0</v>
      </c>
      <c r="BP2583">
        <v>0</v>
      </c>
      <c r="BW2583" t="str">
        <f t="shared" si="1221"/>
        <v>14:45:44.788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343</v>
      </c>
      <c r="CR2583">
        <v>1</v>
      </c>
      <c r="CW2583">
        <v>10803966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1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 t="shared" si="1218"/>
        <v>05/12/2020 14:45:26.949</v>
      </c>
      <c r="C2584" t="str">
        <f t="shared" si="1222"/>
        <v>FFDFD3C0</v>
      </c>
      <c r="D2584" t="s">
        <v>131</v>
      </c>
      <c r="E2584">
        <v>10</v>
      </c>
      <c r="F2584">
        <v>2010</v>
      </c>
      <c r="G2584" t="s">
        <v>132</v>
      </c>
      <c r="J2584" t="s">
        <v>133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219"/>
        <v>14:45:44.781</v>
      </c>
      <c r="T2584" t="str">
        <f t="shared" si="1220"/>
        <v>14:45:44.681</v>
      </c>
      <c r="U2584" t="str">
        <f t="shared" si="1213"/>
        <v>A9808D</v>
      </c>
      <c r="V2584">
        <v>0</v>
      </c>
      <c r="W2584">
        <v>0</v>
      </c>
      <c r="X2584">
        <v>1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0</v>
      </c>
      <c r="AI2584" t="s">
        <v>639</v>
      </c>
      <c r="AJ2584">
        <v>28.251300000000001</v>
      </c>
      <c r="AK2584" t="s">
        <v>640</v>
      </c>
      <c r="AL2584">
        <v>-82.320170000000005</v>
      </c>
      <c r="AM2584">
        <v>100</v>
      </c>
      <c r="AN2584">
        <v>2400</v>
      </c>
      <c r="AO2584" t="s">
        <v>118</v>
      </c>
      <c r="AP2584">
        <v>99</v>
      </c>
      <c r="AQ2584">
        <v>-34</v>
      </c>
      <c r="AR2584">
        <v>320</v>
      </c>
      <c r="AZ2584">
        <v>1200</v>
      </c>
      <c r="BA2584">
        <v>1</v>
      </c>
      <c r="BB2584" t="str">
        <f t="shared" si="1223"/>
        <v xml:space="preserve">N711JA  </v>
      </c>
      <c r="BC2584">
        <v>1</v>
      </c>
      <c r="BE2584">
        <v>0</v>
      </c>
      <c r="BF2584">
        <v>0</v>
      </c>
      <c r="BG2584">
        <v>0</v>
      </c>
      <c r="BH2584">
        <v>2450</v>
      </c>
      <c r="BI2584">
        <v>1</v>
      </c>
      <c r="BJ2584">
        <v>1</v>
      </c>
      <c r="BK2584">
        <v>0</v>
      </c>
      <c r="BL2584">
        <v>0</v>
      </c>
      <c r="BO2584">
        <v>0</v>
      </c>
      <c r="BP2584">
        <v>0</v>
      </c>
      <c r="BW2584" t="str">
        <f t="shared" si="1221"/>
        <v>14:45:44.788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343</v>
      </c>
      <c r="CR2584">
        <v>1</v>
      </c>
      <c r="CW2584">
        <v>10803966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1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 t="shared" si="1218"/>
        <v>05/12/2020 14:45:26.949</v>
      </c>
      <c r="C2585" t="str">
        <f t="shared" si="1222"/>
        <v>FFDFD3C0</v>
      </c>
      <c r="D2585" t="s">
        <v>131</v>
      </c>
      <c r="E2585">
        <v>12</v>
      </c>
      <c r="F2585">
        <v>2012</v>
      </c>
      <c r="G2585" t="s">
        <v>137</v>
      </c>
      <c r="J2585" t="s">
        <v>133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219"/>
        <v>14:45:44.781</v>
      </c>
      <c r="T2585" t="str">
        <f t="shared" si="1220"/>
        <v>14:45:44.681</v>
      </c>
      <c r="U2585" t="str">
        <f t="shared" si="1213"/>
        <v>A9808D</v>
      </c>
      <c r="V2585">
        <v>0</v>
      </c>
      <c r="W2585">
        <v>0</v>
      </c>
      <c r="X2585">
        <v>1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0</v>
      </c>
      <c r="AI2585" t="s">
        <v>639</v>
      </c>
      <c r="AJ2585">
        <v>28.251300000000001</v>
      </c>
      <c r="AK2585" t="s">
        <v>640</v>
      </c>
      <c r="AL2585">
        <v>-82.320170000000005</v>
      </c>
      <c r="AM2585">
        <v>100</v>
      </c>
      <c r="AN2585">
        <v>2400</v>
      </c>
      <c r="AO2585" t="s">
        <v>118</v>
      </c>
      <c r="AP2585">
        <v>99</v>
      </c>
      <c r="AQ2585">
        <v>-34</v>
      </c>
      <c r="AR2585">
        <v>320</v>
      </c>
      <c r="AZ2585">
        <v>1200</v>
      </c>
      <c r="BA2585">
        <v>1</v>
      </c>
      <c r="BB2585" t="str">
        <f t="shared" si="1223"/>
        <v xml:space="preserve">N711JA  </v>
      </c>
      <c r="BC2585">
        <v>1</v>
      </c>
      <c r="BE2585">
        <v>0</v>
      </c>
      <c r="BF2585">
        <v>0</v>
      </c>
      <c r="BG2585">
        <v>0</v>
      </c>
      <c r="BH2585">
        <v>2450</v>
      </c>
      <c r="BI2585">
        <v>1</v>
      </c>
      <c r="BJ2585">
        <v>1</v>
      </c>
      <c r="BK2585">
        <v>0</v>
      </c>
      <c r="BL2585">
        <v>0</v>
      </c>
      <c r="BO2585">
        <v>0</v>
      </c>
      <c r="BP2585">
        <v>0</v>
      </c>
      <c r="BW2585" t="str">
        <f t="shared" si="1221"/>
        <v>14:45:44.788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343</v>
      </c>
      <c r="CR2585">
        <v>1</v>
      </c>
      <c r="CW2585">
        <v>10803966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1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 t="shared" si="1218"/>
        <v>05/12/2020 14:45:26.949</v>
      </c>
      <c r="C2586" t="str">
        <f t="shared" si="1222"/>
        <v>FFDFD3C0</v>
      </c>
      <c r="D2586" t="s">
        <v>131</v>
      </c>
      <c r="E2586">
        <v>18</v>
      </c>
      <c r="F2586">
        <v>2018</v>
      </c>
      <c r="G2586" t="s">
        <v>161</v>
      </c>
      <c r="J2586" t="s">
        <v>133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219"/>
        <v>14:45:44.781</v>
      </c>
      <c r="T2586" t="str">
        <f t="shared" si="1220"/>
        <v>14:45:44.681</v>
      </c>
      <c r="U2586" t="str">
        <f t="shared" si="1213"/>
        <v>A9808D</v>
      </c>
      <c r="V2586">
        <v>0</v>
      </c>
      <c r="W2586">
        <v>0</v>
      </c>
      <c r="X2586">
        <v>1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0</v>
      </c>
      <c r="AI2586" t="s">
        <v>639</v>
      </c>
      <c r="AJ2586">
        <v>28.251300000000001</v>
      </c>
      <c r="AK2586" t="s">
        <v>640</v>
      </c>
      <c r="AL2586">
        <v>-82.320170000000005</v>
      </c>
      <c r="AM2586">
        <v>100</v>
      </c>
      <c r="AN2586">
        <v>2400</v>
      </c>
      <c r="AO2586" t="s">
        <v>118</v>
      </c>
      <c r="AP2586">
        <v>99</v>
      </c>
      <c r="AQ2586">
        <v>-34</v>
      </c>
      <c r="AR2586">
        <v>320</v>
      </c>
      <c r="AZ2586">
        <v>1200</v>
      </c>
      <c r="BA2586">
        <v>1</v>
      </c>
      <c r="BB2586" t="str">
        <f t="shared" si="1223"/>
        <v xml:space="preserve">N711JA  </v>
      </c>
      <c r="BC2586">
        <v>1</v>
      </c>
      <c r="BE2586">
        <v>0</v>
      </c>
      <c r="BF2586">
        <v>0</v>
      </c>
      <c r="BG2586">
        <v>0</v>
      </c>
      <c r="BH2586">
        <v>2450</v>
      </c>
      <c r="BI2586">
        <v>1</v>
      </c>
      <c r="BJ2586">
        <v>1</v>
      </c>
      <c r="BK2586">
        <v>0</v>
      </c>
      <c r="BL2586">
        <v>0</v>
      </c>
      <c r="BO2586">
        <v>0</v>
      </c>
      <c r="BP2586">
        <v>0</v>
      </c>
      <c r="BW2586" t="str">
        <f t="shared" si="1221"/>
        <v>14:45:44.788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343</v>
      </c>
      <c r="CR2586">
        <v>1</v>
      </c>
      <c r="CW2586">
        <v>10803966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1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 t="shared" ref="A2587:A2595" si="1224">"05/12/2020 14:45:27.987"</f>
        <v>05/12/2020 14:45:27.987</v>
      </c>
      <c r="C2587" t="str">
        <f t="shared" si="1222"/>
        <v>FFDFD3C0</v>
      </c>
      <c r="D2587" t="s">
        <v>126</v>
      </c>
      <c r="E2587">
        <v>7</v>
      </c>
      <c r="F2587">
        <v>1007</v>
      </c>
      <c r="G2587" t="s">
        <v>127</v>
      </c>
      <c r="J2587" t="s">
        <v>128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ref="S2587:S2595" si="1225">"14:45:45.820"</f>
        <v>14:45:45.820</v>
      </c>
      <c r="T2587" t="str">
        <f t="shared" ref="T2587:T2595" si="1226">"14:45:45.620"</f>
        <v>14:45:45.620</v>
      </c>
      <c r="U2587" t="str">
        <f t="shared" si="1213"/>
        <v>A9808D</v>
      </c>
      <c r="V2587">
        <v>0</v>
      </c>
      <c r="W2587">
        <v>0</v>
      </c>
      <c r="X2587">
        <v>1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0</v>
      </c>
      <c r="AI2587" t="s">
        <v>641</v>
      </c>
      <c r="AJ2587">
        <v>28.251149999999999</v>
      </c>
      <c r="AK2587" t="s">
        <v>642</v>
      </c>
      <c r="AL2587">
        <v>-82.319591000000003</v>
      </c>
      <c r="AM2587">
        <v>100</v>
      </c>
      <c r="AN2587">
        <v>2400</v>
      </c>
      <c r="AO2587" t="s">
        <v>118</v>
      </c>
      <c r="AP2587">
        <v>99</v>
      </c>
      <c r="AQ2587">
        <v>-33</v>
      </c>
      <c r="AR2587">
        <v>256</v>
      </c>
      <c r="AZ2587">
        <v>1200</v>
      </c>
      <c r="BA2587">
        <v>1</v>
      </c>
      <c r="BB2587" t="str">
        <f t="shared" si="1223"/>
        <v xml:space="preserve">N711JA  </v>
      </c>
      <c r="BC2587">
        <v>1</v>
      </c>
      <c r="BE2587">
        <v>0</v>
      </c>
      <c r="BF2587">
        <v>0</v>
      </c>
      <c r="BG2587">
        <v>0</v>
      </c>
      <c r="BH2587">
        <v>2475</v>
      </c>
      <c r="BI2587">
        <v>1</v>
      </c>
      <c r="BJ2587">
        <v>1</v>
      </c>
      <c r="BK2587">
        <v>0</v>
      </c>
      <c r="BL2587">
        <v>0</v>
      </c>
      <c r="BO2587">
        <v>0</v>
      </c>
      <c r="BP2587">
        <v>0</v>
      </c>
      <c r="BW2587" t="str">
        <f t="shared" ref="BW2587:BW2595" si="1227">"14:45:45.822"</f>
        <v>14:45:45.822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56</v>
      </c>
      <c r="CR2587">
        <v>2</v>
      </c>
      <c r="CW2587">
        <v>4882087</v>
      </c>
      <c r="CY2587">
        <v>1</v>
      </c>
      <c r="CZ2587">
        <v>0</v>
      </c>
      <c r="DA2587">
        <v>0</v>
      </c>
      <c r="DB2587">
        <v>0</v>
      </c>
      <c r="DC2587">
        <v>0</v>
      </c>
      <c r="DD2587">
        <v>1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 t="shared" si="1224"/>
        <v>05/12/2020 14:45:27.987</v>
      </c>
      <c r="C2588" t="str">
        <f t="shared" si="1222"/>
        <v>FFDFD3C0</v>
      </c>
      <c r="D2588" t="s">
        <v>138</v>
      </c>
      <c r="E2588">
        <v>3</v>
      </c>
      <c r="H2588">
        <v>9</v>
      </c>
      <c r="I2588" t="s">
        <v>140</v>
      </c>
      <c r="J2588" t="s">
        <v>136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225"/>
        <v>14:45:45.820</v>
      </c>
      <c r="T2588" t="str">
        <f t="shared" si="1226"/>
        <v>14:45:45.620</v>
      </c>
      <c r="U2588" t="str">
        <f t="shared" si="1213"/>
        <v>A9808D</v>
      </c>
      <c r="V2588">
        <v>0</v>
      </c>
      <c r="W2588">
        <v>0</v>
      </c>
      <c r="X2588">
        <v>1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0</v>
      </c>
      <c r="AI2588" t="s">
        <v>641</v>
      </c>
      <c r="AJ2588">
        <v>28.251149999999999</v>
      </c>
      <c r="AK2588" t="s">
        <v>642</v>
      </c>
      <c r="AL2588">
        <v>-82.319591000000003</v>
      </c>
      <c r="AM2588">
        <v>100</v>
      </c>
      <c r="AN2588">
        <v>2400</v>
      </c>
      <c r="AO2588" t="s">
        <v>118</v>
      </c>
      <c r="AP2588">
        <v>99</v>
      </c>
      <c r="AQ2588">
        <v>-33</v>
      </c>
      <c r="AR2588">
        <v>256</v>
      </c>
      <c r="AZ2588">
        <v>1200</v>
      </c>
      <c r="BA2588">
        <v>1</v>
      </c>
      <c r="BB2588" t="str">
        <f t="shared" si="1223"/>
        <v xml:space="preserve">N711JA  </v>
      </c>
      <c r="BC2588">
        <v>1</v>
      </c>
      <c r="BE2588">
        <v>0</v>
      </c>
      <c r="BF2588">
        <v>0</v>
      </c>
      <c r="BG2588">
        <v>0</v>
      </c>
      <c r="BH2588">
        <v>2475</v>
      </c>
      <c r="BI2588">
        <v>1</v>
      </c>
      <c r="BJ2588">
        <v>1</v>
      </c>
      <c r="BK2588">
        <v>0</v>
      </c>
      <c r="BL2588">
        <v>0</v>
      </c>
      <c r="BO2588">
        <v>0</v>
      </c>
      <c r="BP2588">
        <v>0</v>
      </c>
      <c r="BW2588" t="str">
        <f t="shared" si="1227"/>
        <v>14:45:45.822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56</v>
      </c>
      <c r="CR2588">
        <v>2</v>
      </c>
      <c r="CW2588">
        <v>4882087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1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 t="shared" si="1224"/>
        <v>05/12/2020 14:45:27.987</v>
      </c>
      <c r="C2589" t="str">
        <f t="shared" si="1222"/>
        <v>FFDFD3C0</v>
      </c>
      <c r="D2589" t="s">
        <v>131</v>
      </c>
      <c r="E2589">
        <v>10</v>
      </c>
      <c r="F2589">
        <v>2010</v>
      </c>
      <c r="G2589" t="s">
        <v>132</v>
      </c>
      <c r="J2589" t="s">
        <v>133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225"/>
        <v>14:45:45.820</v>
      </c>
      <c r="T2589" t="str">
        <f t="shared" si="1226"/>
        <v>14:45:45.620</v>
      </c>
      <c r="U2589" t="str">
        <f t="shared" si="1213"/>
        <v>A9808D</v>
      </c>
      <c r="V2589">
        <v>0</v>
      </c>
      <c r="W2589">
        <v>0</v>
      </c>
      <c r="X2589">
        <v>1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0</v>
      </c>
      <c r="AI2589" t="s">
        <v>641</v>
      </c>
      <c r="AJ2589">
        <v>28.251149999999999</v>
      </c>
      <c r="AK2589" t="s">
        <v>642</v>
      </c>
      <c r="AL2589">
        <v>-82.319591000000003</v>
      </c>
      <c r="AM2589">
        <v>100</v>
      </c>
      <c r="AN2589">
        <v>2400</v>
      </c>
      <c r="AO2589" t="s">
        <v>118</v>
      </c>
      <c r="AP2589">
        <v>99</v>
      </c>
      <c r="AQ2589">
        <v>-33</v>
      </c>
      <c r="AR2589">
        <v>256</v>
      </c>
      <c r="AZ2589">
        <v>1200</v>
      </c>
      <c r="BA2589">
        <v>1</v>
      </c>
      <c r="BB2589" t="str">
        <f t="shared" si="1223"/>
        <v xml:space="preserve">N711JA  </v>
      </c>
      <c r="BC2589">
        <v>1</v>
      </c>
      <c r="BE2589">
        <v>0</v>
      </c>
      <c r="BF2589">
        <v>0</v>
      </c>
      <c r="BG2589">
        <v>0</v>
      </c>
      <c r="BH2589">
        <v>2475</v>
      </c>
      <c r="BI2589">
        <v>1</v>
      </c>
      <c r="BJ2589">
        <v>1</v>
      </c>
      <c r="BK2589">
        <v>0</v>
      </c>
      <c r="BL2589">
        <v>0</v>
      </c>
      <c r="BO2589">
        <v>0</v>
      </c>
      <c r="BP2589">
        <v>0</v>
      </c>
      <c r="BW2589" t="str">
        <f t="shared" si="1227"/>
        <v>14:45:45.822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56</v>
      </c>
      <c r="CR2589">
        <v>2</v>
      </c>
      <c r="CW2589">
        <v>4882087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1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 t="shared" si="1224"/>
        <v>05/12/2020 14:45:27.987</v>
      </c>
      <c r="C2590" t="str">
        <f t="shared" si="1222"/>
        <v>FFDFD3C0</v>
      </c>
      <c r="D2590" t="s">
        <v>131</v>
      </c>
      <c r="E2590">
        <v>12</v>
      </c>
      <c r="F2590">
        <v>2012</v>
      </c>
      <c r="G2590" t="s">
        <v>137</v>
      </c>
      <c r="J2590" t="s">
        <v>133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225"/>
        <v>14:45:45.820</v>
      </c>
      <c r="T2590" t="str">
        <f t="shared" si="1226"/>
        <v>14:45:45.620</v>
      </c>
      <c r="U2590" t="str">
        <f t="shared" si="1213"/>
        <v>A9808D</v>
      </c>
      <c r="V2590">
        <v>0</v>
      </c>
      <c r="W2590">
        <v>0</v>
      </c>
      <c r="X2590">
        <v>1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0</v>
      </c>
      <c r="AI2590" t="s">
        <v>641</v>
      </c>
      <c r="AJ2590">
        <v>28.251149999999999</v>
      </c>
      <c r="AK2590" t="s">
        <v>642</v>
      </c>
      <c r="AL2590">
        <v>-82.319591000000003</v>
      </c>
      <c r="AM2590">
        <v>100</v>
      </c>
      <c r="AN2590">
        <v>2400</v>
      </c>
      <c r="AO2590" t="s">
        <v>118</v>
      </c>
      <c r="AP2590">
        <v>99</v>
      </c>
      <c r="AQ2590">
        <v>-33</v>
      </c>
      <c r="AR2590">
        <v>256</v>
      </c>
      <c r="AZ2590">
        <v>1200</v>
      </c>
      <c r="BA2590">
        <v>1</v>
      </c>
      <c r="BB2590" t="str">
        <f t="shared" si="1223"/>
        <v xml:space="preserve">N711JA  </v>
      </c>
      <c r="BC2590">
        <v>1</v>
      </c>
      <c r="BE2590">
        <v>0</v>
      </c>
      <c r="BF2590">
        <v>0</v>
      </c>
      <c r="BG2590">
        <v>0</v>
      </c>
      <c r="BH2590">
        <v>2475</v>
      </c>
      <c r="BI2590">
        <v>1</v>
      </c>
      <c r="BJ2590">
        <v>1</v>
      </c>
      <c r="BK2590">
        <v>0</v>
      </c>
      <c r="BL2590">
        <v>0</v>
      </c>
      <c r="BO2590">
        <v>0</v>
      </c>
      <c r="BP2590">
        <v>0</v>
      </c>
      <c r="BW2590" t="str">
        <f t="shared" si="1227"/>
        <v>14:45:45.822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56</v>
      </c>
      <c r="CR2590">
        <v>2</v>
      </c>
      <c r="CW2590">
        <v>4882087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1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 t="shared" si="1224"/>
        <v>05/12/2020 14:45:27.987</v>
      </c>
      <c r="C2591" t="str">
        <f t="shared" si="1222"/>
        <v>FFDFD3C0</v>
      </c>
      <c r="D2591" t="s">
        <v>131</v>
      </c>
      <c r="E2591">
        <v>18</v>
      </c>
      <c r="F2591">
        <v>2018</v>
      </c>
      <c r="G2591" t="s">
        <v>161</v>
      </c>
      <c r="J2591" t="s">
        <v>133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225"/>
        <v>14:45:45.820</v>
      </c>
      <c r="T2591" t="str">
        <f t="shared" si="1226"/>
        <v>14:45:45.620</v>
      </c>
      <c r="U2591" t="str">
        <f t="shared" si="1213"/>
        <v>A9808D</v>
      </c>
      <c r="V2591">
        <v>0</v>
      </c>
      <c r="W2591">
        <v>0</v>
      </c>
      <c r="X2591">
        <v>1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0</v>
      </c>
      <c r="AI2591" t="s">
        <v>641</v>
      </c>
      <c r="AJ2591">
        <v>28.251149999999999</v>
      </c>
      <c r="AK2591" t="s">
        <v>642</v>
      </c>
      <c r="AL2591">
        <v>-82.319591000000003</v>
      </c>
      <c r="AM2591">
        <v>100</v>
      </c>
      <c r="AN2591">
        <v>2400</v>
      </c>
      <c r="AO2591" t="s">
        <v>118</v>
      </c>
      <c r="AP2591">
        <v>99</v>
      </c>
      <c r="AQ2591">
        <v>-33</v>
      </c>
      <c r="AR2591">
        <v>256</v>
      </c>
      <c r="AZ2591">
        <v>1200</v>
      </c>
      <c r="BA2591">
        <v>1</v>
      </c>
      <c r="BB2591" t="str">
        <f t="shared" si="1223"/>
        <v xml:space="preserve">N711JA  </v>
      </c>
      <c r="BC2591">
        <v>1</v>
      </c>
      <c r="BE2591">
        <v>0</v>
      </c>
      <c r="BF2591">
        <v>0</v>
      </c>
      <c r="BG2591">
        <v>0</v>
      </c>
      <c r="BH2591">
        <v>2475</v>
      </c>
      <c r="BI2591">
        <v>1</v>
      </c>
      <c r="BJ2591">
        <v>1</v>
      </c>
      <c r="BK2591">
        <v>0</v>
      </c>
      <c r="BL2591">
        <v>0</v>
      </c>
      <c r="BO2591">
        <v>0</v>
      </c>
      <c r="BP2591">
        <v>0</v>
      </c>
      <c r="BW2591" t="str">
        <f t="shared" si="1227"/>
        <v>14:45:45.822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56</v>
      </c>
      <c r="CR2591">
        <v>2</v>
      </c>
      <c r="CW2591">
        <v>4882087</v>
      </c>
      <c r="CY2591">
        <v>1</v>
      </c>
      <c r="CZ2591">
        <v>0</v>
      </c>
      <c r="DA2591">
        <v>1</v>
      </c>
      <c r="DB2591">
        <v>0</v>
      </c>
      <c r="DC2591">
        <v>0</v>
      </c>
      <c r="DD2591">
        <v>1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 t="shared" si="1224"/>
        <v>05/12/2020 14:45:27.987</v>
      </c>
      <c r="C2592" t="str">
        <f t="shared" si="1222"/>
        <v>FFDFD3C0</v>
      </c>
      <c r="D2592" t="s">
        <v>138</v>
      </c>
      <c r="E2592">
        <v>2</v>
      </c>
      <c r="H2592">
        <v>8</v>
      </c>
      <c r="I2592" t="s">
        <v>139</v>
      </c>
      <c r="J2592" t="s">
        <v>136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225"/>
        <v>14:45:45.820</v>
      </c>
      <c r="T2592" t="str">
        <f t="shared" si="1226"/>
        <v>14:45:45.620</v>
      </c>
      <c r="U2592" t="str">
        <f t="shared" si="1213"/>
        <v>A9808D</v>
      </c>
      <c r="V2592">
        <v>0</v>
      </c>
      <c r="W2592">
        <v>0</v>
      </c>
      <c r="X2592">
        <v>1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0</v>
      </c>
      <c r="AI2592" t="s">
        <v>641</v>
      </c>
      <c r="AJ2592">
        <v>28.251149999999999</v>
      </c>
      <c r="AK2592" t="s">
        <v>642</v>
      </c>
      <c r="AL2592">
        <v>-82.319591000000003</v>
      </c>
      <c r="AM2592">
        <v>100</v>
      </c>
      <c r="AN2592">
        <v>2400</v>
      </c>
      <c r="AO2592" t="s">
        <v>118</v>
      </c>
      <c r="AP2592">
        <v>99</v>
      </c>
      <c r="AQ2592">
        <v>-33</v>
      </c>
      <c r="AR2592">
        <v>256</v>
      </c>
      <c r="AZ2592">
        <v>1200</v>
      </c>
      <c r="BA2592">
        <v>1</v>
      </c>
      <c r="BB2592" t="str">
        <f t="shared" si="1223"/>
        <v xml:space="preserve">N711JA  </v>
      </c>
      <c r="BC2592">
        <v>1</v>
      </c>
      <c r="BE2592">
        <v>0</v>
      </c>
      <c r="BF2592">
        <v>0</v>
      </c>
      <c r="BG2592">
        <v>0</v>
      </c>
      <c r="BH2592">
        <v>2475</v>
      </c>
      <c r="BI2592">
        <v>1</v>
      </c>
      <c r="BJ2592">
        <v>1</v>
      </c>
      <c r="BK2592">
        <v>0</v>
      </c>
      <c r="BL2592">
        <v>0</v>
      </c>
      <c r="BO2592">
        <v>0</v>
      </c>
      <c r="BP2592">
        <v>0</v>
      </c>
      <c r="BW2592" t="str">
        <f t="shared" si="1227"/>
        <v>14:45:45.822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56</v>
      </c>
      <c r="CR2592">
        <v>2</v>
      </c>
      <c r="CW2592">
        <v>4882087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1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 t="shared" si="1224"/>
        <v>05/12/2020 14:45:27.987</v>
      </c>
      <c r="C2593" t="str">
        <f t="shared" si="1222"/>
        <v>FFDFD3C0</v>
      </c>
      <c r="D2593" t="s">
        <v>113</v>
      </c>
      <c r="E2593">
        <v>3</v>
      </c>
      <c r="H2593">
        <v>164</v>
      </c>
      <c r="I2593" t="s">
        <v>114</v>
      </c>
      <c r="J2593" t="s">
        <v>115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225"/>
        <v>14:45:45.820</v>
      </c>
      <c r="T2593" t="str">
        <f t="shared" si="1226"/>
        <v>14:45:45.620</v>
      </c>
      <c r="U2593" t="str">
        <f t="shared" si="1213"/>
        <v>A9808D</v>
      </c>
      <c r="V2593">
        <v>0</v>
      </c>
      <c r="W2593">
        <v>0</v>
      </c>
      <c r="X2593">
        <v>1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0</v>
      </c>
      <c r="AI2593" t="s">
        <v>641</v>
      </c>
      <c r="AJ2593">
        <v>28.251149999999999</v>
      </c>
      <c r="AK2593" t="s">
        <v>642</v>
      </c>
      <c r="AL2593">
        <v>-82.319591000000003</v>
      </c>
      <c r="AM2593">
        <v>100</v>
      </c>
      <c r="AN2593">
        <v>2400</v>
      </c>
      <c r="AO2593" t="s">
        <v>118</v>
      </c>
      <c r="AP2593">
        <v>99</v>
      </c>
      <c r="AQ2593">
        <v>-33</v>
      </c>
      <c r="AR2593">
        <v>256</v>
      </c>
      <c r="AZ2593">
        <v>1200</v>
      </c>
      <c r="BA2593">
        <v>1</v>
      </c>
      <c r="BB2593" t="str">
        <f t="shared" si="1223"/>
        <v xml:space="preserve">N711JA  </v>
      </c>
      <c r="BC2593">
        <v>1</v>
      </c>
      <c r="BE2593">
        <v>0</v>
      </c>
      <c r="BF2593">
        <v>0</v>
      </c>
      <c r="BG2593">
        <v>0</v>
      </c>
      <c r="BH2593">
        <v>2475</v>
      </c>
      <c r="BI2593">
        <v>1</v>
      </c>
      <c r="BJ2593">
        <v>1</v>
      </c>
      <c r="BK2593">
        <v>0</v>
      </c>
      <c r="BL2593">
        <v>0</v>
      </c>
      <c r="BO2593">
        <v>0</v>
      </c>
      <c r="BP2593">
        <v>0</v>
      </c>
      <c r="BW2593" t="str">
        <f t="shared" si="1227"/>
        <v>14:45:45.822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56</v>
      </c>
      <c r="CR2593">
        <v>2</v>
      </c>
      <c r="CW2593">
        <v>4882087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1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 t="shared" si="1224"/>
        <v>05/12/2020 14:45:27.987</v>
      </c>
      <c r="C2594" t="str">
        <f t="shared" si="1222"/>
        <v>FFDFD3C0</v>
      </c>
      <c r="D2594" t="s">
        <v>134</v>
      </c>
      <c r="E2594">
        <v>12</v>
      </c>
      <c r="H2594">
        <v>64</v>
      </c>
      <c r="I2594" t="s">
        <v>135</v>
      </c>
      <c r="J2594" t="s">
        <v>136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225"/>
        <v>14:45:45.820</v>
      </c>
      <c r="T2594" t="str">
        <f t="shared" si="1226"/>
        <v>14:45:45.620</v>
      </c>
      <c r="U2594" t="str">
        <f t="shared" si="1213"/>
        <v>A9808D</v>
      </c>
      <c r="V2594">
        <v>0</v>
      </c>
      <c r="W2594">
        <v>0</v>
      </c>
      <c r="X2594">
        <v>1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0</v>
      </c>
      <c r="AI2594" t="s">
        <v>641</v>
      </c>
      <c r="AJ2594">
        <v>28.251149999999999</v>
      </c>
      <c r="AK2594" t="s">
        <v>642</v>
      </c>
      <c r="AL2594">
        <v>-82.319591000000003</v>
      </c>
      <c r="AM2594">
        <v>100</v>
      </c>
      <c r="AN2594">
        <v>2400</v>
      </c>
      <c r="AO2594" t="s">
        <v>118</v>
      </c>
      <c r="AP2594">
        <v>99</v>
      </c>
      <c r="AQ2594">
        <v>-33</v>
      </c>
      <c r="AR2594">
        <v>256</v>
      </c>
      <c r="AZ2594">
        <v>1200</v>
      </c>
      <c r="BA2594">
        <v>1</v>
      </c>
      <c r="BB2594" t="str">
        <f t="shared" si="1223"/>
        <v xml:space="preserve">N711JA  </v>
      </c>
      <c r="BC2594">
        <v>1</v>
      </c>
      <c r="BE2594">
        <v>0</v>
      </c>
      <c r="BF2594">
        <v>0</v>
      </c>
      <c r="BG2594">
        <v>0</v>
      </c>
      <c r="BH2594">
        <v>2475</v>
      </c>
      <c r="BI2594">
        <v>1</v>
      </c>
      <c r="BJ2594">
        <v>1</v>
      </c>
      <c r="BK2594">
        <v>0</v>
      </c>
      <c r="BL2594">
        <v>0</v>
      </c>
      <c r="BO2594">
        <v>0</v>
      </c>
      <c r="BP2594">
        <v>0</v>
      </c>
      <c r="BW2594" t="str">
        <f t="shared" si="1227"/>
        <v>14:45:45.822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6</v>
      </c>
      <c r="CP2594" t="s">
        <v>119</v>
      </c>
      <c r="CQ2594">
        <v>358</v>
      </c>
      <c r="CR2594">
        <v>0</v>
      </c>
      <c r="CW2594">
        <v>4861179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1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 t="shared" si="1224"/>
        <v>05/12/2020 14:45:27.987</v>
      </c>
      <c r="C2595" t="str">
        <f t="shared" si="1222"/>
        <v>FFDFD3C0</v>
      </c>
      <c r="D2595" t="s">
        <v>126</v>
      </c>
      <c r="E2595">
        <v>6</v>
      </c>
      <c r="F2595">
        <v>1006</v>
      </c>
      <c r="G2595" t="s">
        <v>114</v>
      </c>
      <c r="J2595" t="s">
        <v>128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225"/>
        <v>14:45:45.820</v>
      </c>
      <c r="T2595" t="str">
        <f t="shared" si="1226"/>
        <v>14:45:45.620</v>
      </c>
      <c r="U2595" t="str">
        <f t="shared" si="1213"/>
        <v>A9808D</v>
      </c>
      <c r="V2595">
        <v>0</v>
      </c>
      <c r="W2595">
        <v>0</v>
      </c>
      <c r="X2595">
        <v>1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0</v>
      </c>
      <c r="AI2595" t="s">
        <v>641</v>
      </c>
      <c r="AJ2595">
        <v>28.251149999999999</v>
      </c>
      <c r="AK2595" t="s">
        <v>642</v>
      </c>
      <c r="AL2595">
        <v>-82.319591000000003</v>
      </c>
      <c r="AM2595">
        <v>100</v>
      </c>
      <c r="AN2595">
        <v>2400</v>
      </c>
      <c r="AO2595" t="s">
        <v>118</v>
      </c>
      <c r="AP2595">
        <v>99</v>
      </c>
      <c r="AQ2595">
        <v>-33</v>
      </c>
      <c r="AR2595">
        <v>256</v>
      </c>
      <c r="AZ2595">
        <v>1200</v>
      </c>
      <c r="BA2595">
        <v>1</v>
      </c>
      <c r="BB2595" t="str">
        <f t="shared" si="1223"/>
        <v xml:space="preserve">N711JA  </v>
      </c>
      <c r="BC2595">
        <v>1</v>
      </c>
      <c r="BE2595">
        <v>0</v>
      </c>
      <c r="BF2595">
        <v>0</v>
      </c>
      <c r="BG2595">
        <v>0</v>
      </c>
      <c r="BH2595">
        <v>2475</v>
      </c>
      <c r="BI2595">
        <v>1</v>
      </c>
      <c r="BJ2595">
        <v>1</v>
      </c>
      <c r="BK2595">
        <v>0</v>
      </c>
      <c r="BL2595">
        <v>0</v>
      </c>
      <c r="BO2595">
        <v>0</v>
      </c>
      <c r="BP2595">
        <v>0</v>
      </c>
      <c r="BW2595" t="str">
        <f t="shared" si="1227"/>
        <v>14:45:45.822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56</v>
      </c>
      <c r="CR2595">
        <v>2</v>
      </c>
      <c r="CW2595">
        <v>4882087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1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 t="shared" ref="A2596:A2604" si="1228">"05/12/2020 14:45:29.048"</f>
        <v>05/12/2020 14:45:29.048</v>
      </c>
      <c r="C2596" t="str">
        <f t="shared" si="1222"/>
        <v>FFDFD3C0</v>
      </c>
      <c r="D2596" t="s">
        <v>131</v>
      </c>
      <c r="E2596">
        <v>10</v>
      </c>
      <c r="F2596">
        <v>2010</v>
      </c>
      <c r="G2596" t="s">
        <v>132</v>
      </c>
      <c r="J2596" t="s">
        <v>133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ref="S2596:S2604" si="1229">"14:45:46.875"</f>
        <v>14:45:46.875</v>
      </c>
      <c r="T2596" t="str">
        <f t="shared" ref="T2596:T2604" si="1230">"14:45:46.575"</f>
        <v>14:45:46.575</v>
      </c>
      <c r="U2596" t="str">
        <f t="shared" si="1213"/>
        <v>A9808D</v>
      </c>
      <c r="V2596">
        <v>0</v>
      </c>
      <c r="W2596">
        <v>0</v>
      </c>
      <c r="X2596">
        <v>1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0</v>
      </c>
      <c r="AI2596" t="s">
        <v>643</v>
      </c>
      <c r="AJ2596">
        <v>28.250978</v>
      </c>
      <c r="AK2596" t="s">
        <v>644</v>
      </c>
      <c r="AL2596">
        <v>-82.319075999999995</v>
      </c>
      <c r="AM2596">
        <v>100</v>
      </c>
      <c r="AN2596">
        <v>2400</v>
      </c>
      <c r="AO2596" t="s">
        <v>118</v>
      </c>
      <c r="AP2596">
        <v>99</v>
      </c>
      <c r="AQ2596">
        <v>-33</v>
      </c>
      <c r="AR2596">
        <v>256</v>
      </c>
      <c r="AZ2596">
        <v>1200</v>
      </c>
      <c r="BA2596">
        <v>1</v>
      </c>
      <c r="BB2596" t="str">
        <f t="shared" si="1223"/>
        <v xml:space="preserve">N711JA  </v>
      </c>
      <c r="BC2596">
        <v>1</v>
      </c>
      <c r="BE2596">
        <v>0</v>
      </c>
      <c r="BF2596">
        <v>0</v>
      </c>
      <c r="BG2596">
        <v>0</v>
      </c>
      <c r="BH2596">
        <v>2475</v>
      </c>
      <c r="BI2596">
        <v>1</v>
      </c>
      <c r="BJ2596">
        <v>1</v>
      </c>
      <c r="BK2596">
        <v>0</v>
      </c>
      <c r="BL2596">
        <v>0</v>
      </c>
      <c r="BO2596">
        <v>0</v>
      </c>
      <c r="BP2596">
        <v>0</v>
      </c>
      <c r="BW2596" t="str">
        <f t="shared" ref="BW2596:BW2604" si="1231">"14:45:46.876"</f>
        <v>14:45:46.876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56</v>
      </c>
      <c r="CR2596">
        <v>2</v>
      </c>
      <c r="CW2596">
        <v>4883459</v>
      </c>
      <c r="CY2596">
        <v>1</v>
      </c>
      <c r="CZ2596">
        <v>0</v>
      </c>
      <c r="DA2596">
        <v>0</v>
      </c>
      <c r="DB2596">
        <v>0</v>
      </c>
      <c r="DC2596">
        <v>0</v>
      </c>
      <c r="DD2596">
        <v>1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 t="shared" si="1228"/>
        <v>05/12/2020 14:45:29.048</v>
      </c>
      <c r="C2597" t="str">
        <f t="shared" si="1222"/>
        <v>FFDFD3C0</v>
      </c>
      <c r="D2597" t="s">
        <v>131</v>
      </c>
      <c r="E2597">
        <v>12</v>
      </c>
      <c r="F2597">
        <v>2012</v>
      </c>
      <c r="G2597" t="s">
        <v>137</v>
      </c>
      <c r="J2597" t="s">
        <v>133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229"/>
        <v>14:45:46.875</v>
      </c>
      <c r="T2597" t="str">
        <f t="shared" si="1230"/>
        <v>14:45:46.575</v>
      </c>
      <c r="U2597" t="str">
        <f t="shared" si="1213"/>
        <v>A9808D</v>
      </c>
      <c r="V2597">
        <v>0</v>
      </c>
      <c r="W2597">
        <v>0</v>
      </c>
      <c r="X2597">
        <v>1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0</v>
      </c>
      <c r="AI2597" t="s">
        <v>643</v>
      </c>
      <c r="AJ2597">
        <v>28.250978</v>
      </c>
      <c r="AK2597" t="s">
        <v>644</v>
      </c>
      <c r="AL2597">
        <v>-82.319075999999995</v>
      </c>
      <c r="AM2597">
        <v>100</v>
      </c>
      <c r="AN2597">
        <v>2400</v>
      </c>
      <c r="AO2597" t="s">
        <v>118</v>
      </c>
      <c r="AP2597">
        <v>99</v>
      </c>
      <c r="AQ2597">
        <v>-33</v>
      </c>
      <c r="AR2597">
        <v>256</v>
      </c>
      <c r="AZ2597">
        <v>1200</v>
      </c>
      <c r="BA2597">
        <v>1</v>
      </c>
      <c r="BB2597" t="str">
        <f t="shared" si="1223"/>
        <v xml:space="preserve">N711JA  </v>
      </c>
      <c r="BC2597">
        <v>1</v>
      </c>
      <c r="BE2597">
        <v>0</v>
      </c>
      <c r="BF2597">
        <v>0</v>
      </c>
      <c r="BG2597">
        <v>0</v>
      </c>
      <c r="BH2597">
        <v>2475</v>
      </c>
      <c r="BI2597">
        <v>1</v>
      </c>
      <c r="BJ2597">
        <v>1</v>
      </c>
      <c r="BK2597">
        <v>0</v>
      </c>
      <c r="BL2597">
        <v>0</v>
      </c>
      <c r="BO2597">
        <v>0</v>
      </c>
      <c r="BP2597">
        <v>0</v>
      </c>
      <c r="BW2597" t="str">
        <f t="shared" si="1231"/>
        <v>14:45:46.876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56</v>
      </c>
      <c r="CR2597">
        <v>2</v>
      </c>
      <c r="CW2597">
        <v>4883459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1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 t="shared" si="1228"/>
        <v>05/12/2020 14:45:29.048</v>
      </c>
      <c r="C2598" t="str">
        <f t="shared" si="1222"/>
        <v>FFDFD3C0</v>
      </c>
      <c r="D2598" t="s">
        <v>138</v>
      </c>
      <c r="E2598">
        <v>3</v>
      </c>
      <c r="H2598">
        <v>9</v>
      </c>
      <c r="I2598" t="s">
        <v>140</v>
      </c>
      <c r="J2598" t="s">
        <v>136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229"/>
        <v>14:45:46.875</v>
      </c>
      <c r="T2598" t="str">
        <f t="shared" si="1230"/>
        <v>14:45:46.575</v>
      </c>
      <c r="U2598" t="str">
        <f t="shared" si="1213"/>
        <v>A9808D</v>
      </c>
      <c r="V2598">
        <v>0</v>
      </c>
      <c r="W2598">
        <v>0</v>
      </c>
      <c r="X2598">
        <v>1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0</v>
      </c>
      <c r="AI2598" t="s">
        <v>643</v>
      </c>
      <c r="AJ2598">
        <v>28.250978</v>
      </c>
      <c r="AK2598" t="s">
        <v>644</v>
      </c>
      <c r="AL2598">
        <v>-82.319075999999995</v>
      </c>
      <c r="AM2598">
        <v>100</v>
      </c>
      <c r="AN2598">
        <v>2400</v>
      </c>
      <c r="AO2598" t="s">
        <v>118</v>
      </c>
      <c r="AP2598">
        <v>99</v>
      </c>
      <c r="AQ2598">
        <v>-33</v>
      </c>
      <c r="AR2598">
        <v>256</v>
      </c>
      <c r="AZ2598">
        <v>1200</v>
      </c>
      <c r="BA2598">
        <v>1</v>
      </c>
      <c r="BB2598" t="str">
        <f t="shared" si="1223"/>
        <v xml:space="preserve">N711JA  </v>
      </c>
      <c r="BC2598">
        <v>1</v>
      </c>
      <c r="BE2598">
        <v>0</v>
      </c>
      <c r="BF2598">
        <v>0</v>
      </c>
      <c r="BG2598">
        <v>0</v>
      </c>
      <c r="BH2598">
        <v>2475</v>
      </c>
      <c r="BI2598">
        <v>1</v>
      </c>
      <c r="BJ2598">
        <v>1</v>
      </c>
      <c r="BK2598">
        <v>0</v>
      </c>
      <c r="BL2598">
        <v>0</v>
      </c>
      <c r="BO2598">
        <v>0</v>
      </c>
      <c r="BP2598">
        <v>0</v>
      </c>
      <c r="BW2598" t="str">
        <f t="shared" si="1231"/>
        <v>14:45:46.876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56</v>
      </c>
      <c r="CR2598">
        <v>2</v>
      </c>
      <c r="CW2598">
        <v>4883459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1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 t="shared" si="1228"/>
        <v>05/12/2020 14:45:29.048</v>
      </c>
      <c r="C2599" t="str">
        <f t="shared" si="1222"/>
        <v>FFDFD3C0</v>
      </c>
      <c r="D2599" t="s">
        <v>131</v>
      </c>
      <c r="E2599">
        <v>18</v>
      </c>
      <c r="F2599">
        <v>2018</v>
      </c>
      <c r="G2599" t="s">
        <v>161</v>
      </c>
      <c r="J2599" t="s">
        <v>133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229"/>
        <v>14:45:46.875</v>
      </c>
      <c r="T2599" t="str">
        <f t="shared" si="1230"/>
        <v>14:45:46.575</v>
      </c>
      <c r="U2599" t="str">
        <f t="shared" si="1213"/>
        <v>A9808D</v>
      </c>
      <c r="V2599">
        <v>0</v>
      </c>
      <c r="W2599">
        <v>0</v>
      </c>
      <c r="X2599">
        <v>1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0</v>
      </c>
      <c r="AI2599" t="s">
        <v>643</v>
      </c>
      <c r="AJ2599">
        <v>28.250978</v>
      </c>
      <c r="AK2599" t="s">
        <v>644</v>
      </c>
      <c r="AL2599">
        <v>-82.319075999999995</v>
      </c>
      <c r="AM2599">
        <v>100</v>
      </c>
      <c r="AN2599">
        <v>2400</v>
      </c>
      <c r="AO2599" t="s">
        <v>118</v>
      </c>
      <c r="AP2599">
        <v>99</v>
      </c>
      <c r="AQ2599">
        <v>-33</v>
      </c>
      <c r="AR2599">
        <v>256</v>
      </c>
      <c r="AZ2599">
        <v>1200</v>
      </c>
      <c r="BA2599">
        <v>1</v>
      </c>
      <c r="BB2599" t="str">
        <f t="shared" si="1223"/>
        <v xml:space="preserve">N711JA  </v>
      </c>
      <c r="BC2599">
        <v>1</v>
      </c>
      <c r="BE2599">
        <v>0</v>
      </c>
      <c r="BF2599">
        <v>0</v>
      </c>
      <c r="BG2599">
        <v>0</v>
      </c>
      <c r="BH2599">
        <v>2475</v>
      </c>
      <c r="BI2599">
        <v>1</v>
      </c>
      <c r="BJ2599">
        <v>1</v>
      </c>
      <c r="BK2599">
        <v>0</v>
      </c>
      <c r="BL2599">
        <v>0</v>
      </c>
      <c r="BO2599">
        <v>0</v>
      </c>
      <c r="BP2599">
        <v>0</v>
      </c>
      <c r="BW2599" t="str">
        <f t="shared" si="1231"/>
        <v>14:45:46.876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56</v>
      </c>
      <c r="CR2599">
        <v>2</v>
      </c>
      <c r="CW2599">
        <v>4883459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1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 t="shared" si="1228"/>
        <v>05/12/2020 14:45:29.048</v>
      </c>
      <c r="C2600" t="str">
        <f t="shared" si="1222"/>
        <v>FFDFD3C0</v>
      </c>
      <c r="D2600" t="s">
        <v>138</v>
      </c>
      <c r="E2600">
        <v>2</v>
      </c>
      <c r="H2600">
        <v>8</v>
      </c>
      <c r="I2600" t="s">
        <v>139</v>
      </c>
      <c r="J2600" t="s">
        <v>136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229"/>
        <v>14:45:46.875</v>
      </c>
      <c r="T2600" t="str">
        <f t="shared" si="1230"/>
        <v>14:45:46.575</v>
      </c>
      <c r="U2600" t="str">
        <f t="shared" si="1213"/>
        <v>A9808D</v>
      </c>
      <c r="V2600">
        <v>0</v>
      </c>
      <c r="W2600">
        <v>0</v>
      </c>
      <c r="X2600">
        <v>1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0</v>
      </c>
      <c r="AI2600" t="s">
        <v>643</v>
      </c>
      <c r="AJ2600">
        <v>28.250978</v>
      </c>
      <c r="AK2600" t="s">
        <v>644</v>
      </c>
      <c r="AL2600">
        <v>-82.319075999999995</v>
      </c>
      <c r="AM2600">
        <v>100</v>
      </c>
      <c r="AN2600">
        <v>2400</v>
      </c>
      <c r="AO2600" t="s">
        <v>118</v>
      </c>
      <c r="AP2600">
        <v>99</v>
      </c>
      <c r="AQ2600">
        <v>-33</v>
      </c>
      <c r="AR2600">
        <v>256</v>
      </c>
      <c r="AZ2600">
        <v>1200</v>
      </c>
      <c r="BA2600">
        <v>1</v>
      </c>
      <c r="BB2600" t="str">
        <f t="shared" si="1223"/>
        <v xml:space="preserve">N711JA  </v>
      </c>
      <c r="BC2600">
        <v>1</v>
      </c>
      <c r="BE2600">
        <v>0</v>
      </c>
      <c r="BF2600">
        <v>0</v>
      </c>
      <c r="BG2600">
        <v>0</v>
      </c>
      <c r="BH2600">
        <v>2475</v>
      </c>
      <c r="BI2600">
        <v>1</v>
      </c>
      <c r="BJ2600">
        <v>1</v>
      </c>
      <c r="BK2600">
        <v>0</v>
      </c>
      <c r="BL2600">
        <v>0</v>
      </c>
      <c r="BO2600">
        <v>0</v>
      </c>
      <c r="BP2600">
        <v>0</v>
      </c>
      <c r="BW2600" t="str">
        <f t="shared" si="1231"/>
        <v>14:45:46.876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56</v>
      </c>
      <c r="CR2600">
        <v>2</v>
      </c>
      <c r="CW2600">
        <v>4883459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1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 t="shared" si="1228"/>
        <v>05/12/2020 14:45:29.048</v>
      </c>
      <c r="C2601" t="str">
        <f t="shared" si="1222"/>
        <v>FFDFD3C0</v>
      </c>
      <c r="D2601" t="s">
        <v>113</v>
      </c>
      <c r="E2601">
        <v>3</v>
      </c>
      <c r="H2601">
        <v>164</v>
      </c>
      <c r="I2601" t="s">
        <v>114</v>
      </c>
      <c r="J2601" t="s">
        <v>115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229"/>
        <v>14:45:46.875</v>
      </c>
      <c r="T2601" t="str">
        <f t="shared" si="1230"/>
        <v>14:45:46.575</v>
      </c>
      <c r="U2601" t="str">
        <f t="shared" si="1213"/>
        <v>A9808D</v>
      </c>
      <c r="V2601">
        <v>0</v>
      </c>
      <c r="W2601">
        <v>0</v>
      </c>
      <c r="X2601">
        <v>1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0</v>
      </c>
      <c r="AI2601" t="s">
        <v>643</v>
      </c>
      <c r="AJ2601">
        <v>28.250978</v>
      </c>
      <c r="AK2601" t="s">
        <v>644</v>
      </c>
      <c r="AL2601">
        <v>-82.319075999999995</v>
      </c>
      <c r="AM2601">
        <v>100</v>
      </c>
      <c r="AN2601">
        <v>2400</v>
      </c>
      <c r="AO2601" t="s">
        <v>118</v>
      </c>
      <c r="AP2601">
        <v>99</v>
      </c>
      <c r="AQ2601">
        <v>-33</v>
      </c>
      <c r="AR2601">
        <v>256</v>
      </c>
      <c r="AZ2601">
        <v>1200</v>
      </c>
      <c r="BA2601">
        <v>1</v>
      </c>
      <c r="BB2601" t="str">
        <f t="shared" si="1223"/>
        <v xml:space="preserve">N711JA  </v>
      </c>
      <c r="BC2601">
        <v>1</v>
      </c>
      <c r="BE2601">
        <v>0</v>
      </c>
      <c r="BF2601">
        <v>0</v>
      </c>
      <c r="BG2601">
        <v>0</v>
      </c>
      <c r="BH2601">
        <v>2475</v>
      </c>
      <c r="BI2601">
        <v>1</v>
      </c>
      <c r="BJ2601">
        <v>1</v>
      </c>
      <c r="BK2601">
        <v>0</v>
      </c>
      <c r="BL2601">
        <v>0</v>
      </c>
      <c r="BO2601">
        <v>0</v>
      </c>
      <c r="BP2601">
        <v>0</v>
      </c>
      <c r="BW2601" t="str">
        <f t="shared" si="1231"/>
        <v>14:45:46.876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56</v>
      </c>
      <c r="CR2601">
        <v>2</v>
      </c>
      <c r="CW2601">
        <v>4883459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1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 t="shared" si="1228"/>
        <v>05/12/2020 14:45:29.048</v>
      </c>
      <c r="C2602" t="str">
        <f t="shared" si="1222"/>
        <v>FFDFD3C0</v>
      </c>
      <c r="D2602" t="s">
        <v>126</v>
      </c>
      <c r="E2602">
        <v>6</v>
      </c>
      <c r="F2602">
        <v>1006</v>
      </c>
      <c r="G2602" t="s">
        <v>114</v>
      </c>
      <c r="J2602" t="s">
        <v>128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229"/>
        <v>14:45:46.875</v>
      </c>
      <c r="T2602" t="str">
        <f t="shared" si="1230"/>
        <v>14:45:46.575</v>
      </c>
      <c r="U2602" t="str">
        <f t="shared" si="1213"/>
        <v>A9808D</v>
      </c>
      <c r="V2602">
        <v>0</v>
      </c>
      <c r="W2602">
        <v>0</v>
      </c>
      <c r="X2602">
        <v>1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0</v>
      </c>
      <c r="AI2602" t="s">
        <v>643</v>
      </c>
      <c r="AJ2602">
        <v>28.250978</v>
      </c>
      <c r="AK2602" t="s">
        <v>644</v>
      </c>
      <c r="AL2602">
        <v>-82.319075999999995</v>
      </c>
      <c r="AM2602">
        <v>100</v>
      </c>
      <c r="AN2602">
        <v>2400</v>
      </c>
      <c r="AO2602" t="s">
        <v>118</v>
      </c>
      <c r="AP2602">
        <v>99</v>
      </c>
      <c r="AQ2602">
        <v>-33</v>
      </c>
      <c r="AR2602">
        <v>256</v>
      </c>
      <c r="AZ2602">
        <v>1200</v>
      </c>
      <c r="BA2602">
        <v>1</v>
      </c>
      <c r="BB2602" t="str">
        <f t="shared" si="1223"/>
        <v xml:space="preserve">N711JA  </v>
      </c>
      <c r="BC2602">
        <v>1</v>
      </c>
      <c r="BE2602">
        <v>0</v>
      </c>
      <c r="BF2602">
        <v>0</v>
      </c>
      <c r="BG2602">
        <v>0</v>
      </c>
      <c r="BH2602">
        <v>2475</v>
      </c>
      <c r="BI2602">
        <v>1</v>
      </c>
      <c r="BJ2602">
        <v>1</v>
      </c>
      <c r="BK2602">
        <v>0</v>
      </c>
      <c r="BL2602">
        <v>0</v>
      </c>
      <c r="BO2602">
        <v>0</v>
      </c>
      <c r="BP2602">
        <v>0</v>
      </c>
      <c r="BW2602" t="str">
        <f t="shared" si="1231"/>
        <v>14:45:46.876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56</v>
      </c>
      <c r="CR2602">
        <v>2</v>
      </c>
      <c r="CW2602">
        <v>4883459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1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 t="shared" si="1228"/>
        <v>05/12/2020 14:45:29.048</v>
      </c>
      <c r="C2603" t="str">
        <f t="shared" si="1222"/>
        <v>FFDFD3C0</v>
      </c>
      <c r="D2603" t="s">
        <v>134</v>
      </c>
      <c r="E2603">
        <v>12</v>
      </c>
      <c r="H2603">
        <v>64</v>
      </c>
      <c r="I2603" t="s">
        <v>135</v>
      </c>
      <c r="J2603" t="s">
        <v>136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1229"/>
        <v>14:45:46.875</v>
      </c>
      <c r="T2603" t="str">
        <f t="shared" si="1230"/>
        <v>14:45:46.575</v>
      </c>
      <c r="U2603" t="str">
        <f t="shared" si="1213"/>
        <v>A9808D</v>
      </c>
      <c r="V2603">
        <v>0</v>
      </c>
      <c r="W2603">
        <v>0</v>
      </c>
      <c r="X2603">
        <v>1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0</v>
      </c>
      <c r="AI2603" t="s">
        <v>643</v>
      </c>
      <c r="AJ2603">
        <v>28.250978</v>
      </c>
      <c r="AK2603" t="s">
        <v>644</v>
      </c>
      <c r="AL2603">
        <v>-82.319075999999995</v>
      </c>
      <c r="AM2603">
        <v>100</v>
      </c>
      <c r="AN2603">
        <v>2400</v>
      </c>
      <c r="AO2603" t="s">
        <v>118</v>
      </c>
      <c r="AP2603">
        <v>99</v>
      </c>
      <c r="AQ2603">
        <v>-33</v>
      </c>
      <c r="AR2603">
        <v>256</v>
      </c>
      <c r="AZ2603">
        <v>1200</v>
      </c>
      <c r="BA2603">
        <v>1</v>
      </c>
      <c r="BB2603" t="str">
        <f t="shared" si="1223"/>
        <v xml:space="preserve">N711JA  </v>
      </c>
      <c r="BC2603">
        <v>1</v>
      </c>
      <c r="BE2603">
        <v>0</v>
      </c>
      <c r="BF2603">
        <v>0</v>
      </c>
      <c r="BG2603">
        <v>0</v>
      </c>
      <c r="BH2603">
        <v>2475</v>
      </c>
      <c r="BI2603">
        <v>1</v>
      </c>
      <c r="BJ2603">
        <v>1</v>
      </c>
      <c r="BK2603">
        <v>0</v>
      </c>
      <c r="BL2603">
        <v>0</v>
      </c>
      <c r="BO2603">
        <v>0</v>
      </c>
      <c r="BP2603">
        <v>0</v>
      </c>
      <c r="BW2603" t="str">
        <f t="shared" si="1231"/>
        <v>14:45:46.876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6</v>
      </c>
      <c r="CP2603" t="s">
        <v>119</v>
      </c>
      <c r="CQ2603">
        <v>358</v>
      </c>
      <c r="CR2603">
        <v>0</v>
      </c>
      <c r="CW2603">
        <v>4862444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1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 t="shared" si="1228"/>
        <v>05/12/2020 14:45:29.048</v>
      </c>
      <c r="C2604" t="str">
        <f t="shared" si="1222"/>
        <v>FFDFD3C0</v>
      </c>
      <c r="D2604" t="s">
        <v>126</v>
      </c>
      <c r="E2604">
        <v>7</v>
      </c>
      <c r="F2604">
        <v>1007</v>
      </c>
      <c r="G2604" t="s">
        <v>127</v>
      </c>
      <c r="J2604" t="s">
        <v>128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229"/>
        <v>14:45:46.875</v>
      </c>
      <c r="T2604" t="str">
        <f t="shared" si="1230"/>
        <v>14:45:46.575</v>
      </c>
      <c r="U2604" t="str">
        <f t="shared" si="1213"/>
        <v>A9808D</v>
      </c>
      <c r="V2604">
        <v>0</v>
      </c>
      <c r="W2604">
        <v>0</v>
      </c>
      <c r="X2604">
        <v>1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0</v>
      </c>
      <c r="AI2604" t="s">
        <v>643</v>
      </c>
      <c r="AJ2604">
        <v>28.250978</v>
      </c>
      <c r="AK2604" t="s">
        <v>644</v>
      </c>
      <c r="AL2604">
        <v>-82.319075999999995</v>
      </c>
      <c r="AM2604">
        <v>100</v>
      </c>
      <c r="AN2604">
        <v>2400</v>
      </c>
      <c r="AO2604" t="s">
        <v>118</v>
      </c>
      <c r="AP2604">
        <v>99</v>
      </c>
      <c r="AQ2604">
        <v>-33</v>
      </c>
      <c r="AR2604">
        <v>256</v>
      </c>
      <c r="AZ2604">
        <v>1200</v>
      </c>
      <c r="BA2604">
        <v>1</v>
      </c>
      <c r="BB2604" t="str">
        <f t="shared" si="1223"/>
        <v xml:space="preserve">N711JA  </v>
      </c>
      <c r="BC2604">
        <v>1</v>
      </c>
      <c r="BE2604">
        <v>0</v>
      </c>
      <c r="BF2604">
        <v>0</v>
      </c>
      <c r="BG2604">
        <v>0</v>
      </c>
      <c r="BH2604">
        <v>2475</v>
      </c>
      <c r="BI2604">
        <v>1</v>
      </c>
      <c r="BJ2604">
        <v>1</v>
      </c>
      <c r="BK2604">
        <v>0</v>
      </c>
      <c r="BL2604">
        <v>0</v>
      </c>
      <c r="BO2604">
        <v>0</v>
      </c>
      <c r="BP2604">
        <v>0</v>
      </c>
      <c r="BW2604" t="str">
        <f t="shared" si="1231"/>
        <v>14:45:46.876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56</v>
      </c>
      <c r="CR2604">
        <v>2</v>
      </c>
      <c r="CW2604">
        <v>4883459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1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 t="shared" ref="A2605:A2613" si="1232">"05/12/2020 14:45:30.149"</f>
        <v>05/12/2020 14:45:30.149</v>
      </c>
      <c r="C2605" t="str">
        <f t="shared" si="1222"/>
        <v>FFDFD3C0</v>
      </c>
      <c r="D2605" t="s">
        <v>126</v>
      </c>
      <c r="E2605">
        <v>7</v>
      </c>
      <c r="F2605">
        <v>1007</v>
      </c>
      <c r="G2605" t="s">
        <v>127</v>
      </c>
      <c r="J2605" t="s">
        <v>128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ref="S2605:T2613" si="1233">"14:45:47.984"</f>
        <v>14:45:47.984</v>
      </c>
      <c r="T2605" t="str">
        <f t="shared" si="1233"/>
        <v>14:45:47.984</v>
      </c>
      <c r="U2605" t="str">
        <f t="shared" si="1213"/>
        <v>A9808D</v>
      </c>
      <c r="V2605">
        <v>0</v>
      </c>
      <c r="W2605">
        <v>0</v>
      </c>
      <c r="X2605">
        <v>1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0</v>
      </c>
      <c r="AI2605" t="s">
        <v>645</v>
      </c>
      <c r="AJ2605">
        <v>28.250827999999998</v>
      </c>
      <c r="AK2605" t="s">
        <v>646</v>
      </c>
      <c r="AL2605">
        <v>-82.318517999999997</v>
      </c>
      <c r="AM2605">
        <v>100</v>
      </c>
      <c r="AN2605">
        <v>2400</v>
      </c>
      <c r="AO2605" t="s">
        <v>118</v>
      </c>
      <c r="AP2605">
        <v>100</v>
      </c>
      <c r="AQ2605">
        <v>-32</v>
      </c>
      <c r="AR2605">
        <v>256</v>
      </c>
      <c r="AZ2605">
        <v>1200</v>
      </c>
      <c r="BA2605">
        <v>1</v>
      </c>
      <c r="BB2605" t="str">
        <f t="shared" si="1223"/>
        <v xml:space="preserve">N711JA  </v>
      </c>
      <c r="BC2605">
        <v>1</v>
      </c>
      <c r="BE2605">
        <v>0</v>
      </c>
      <c r="BF2605">
        <v>0</v>
      </c>
      <c r="BG2605">
        <v>0</v>
      </c>
      <c r="BH2605">
        <v>2475</v>
      </c>
      <c r="BI2605">
        <v>1</v>
      </c>
      <c r="BJ2605">
        <v>1</v>
      </c>
      <c r="BK2605">
        <v>0</v>
      </c>
      <c r="BL2605">
        <v>0</v>
      </c>
      <c r="BO2605">
        <v>0</v>
      </c>
      <c r="BP2605">
        <v>0</v>
      </c>
      <c r="BW2605" t="str">
        <f t="shared" ref="BW2605:BW2613" si="1234">"14:45:47.986"</f>
        <v>14:45:47.986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6</v>
      </c>
      <c r="CP2605" t="s">
        <v>119</v>
      </c>
      <c r="CQ2605">
        <v>358</v>
      </c>
      <c r="CR2605">
        <v>0</v>
      </c>
      <c r="CW2605">
        <v>4863787</v>
      </c>
      <c r="CY2605">
        <v>1</v>
      </c>
      <c r="CZ2605">
        <v>0</v>
      </c>
      <c r="DA2605">
        <v>0</v>
      </c>
      <c r="DB2605">
        <v>0</v>
      </c>
      <c r="DC2605">
        <v>0</v>
      </c>
      <c r="DD2605">
        <v>1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 t="shared" si="1232"/>
        <v>05/12/2020 14:45:30.149</v>
      </c>
      <c r="C2606" t="str">
        <f t="shared" si="1222"/>
        <v>FFDFD3C0</v>
      </c>
      <c r="D2606" t="s">
        <v>134</v>
      </c>
      <c r="E2606">
        <v>12</v>
      </c>
      <c r="H2606">
        <v>64</v>
      </c>
      <c r="I2606" t="s">
        <v>135</v>
      </c>
      <c r="J2606" t="s">
        <v>136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233"/>
        <v>14:45:47.984</v>
      </c>
      <c r="T2606" t="str">
        <f t="shared" si="1233"/>
        <v>14:45:47.984</v>
      </c>
      <c r="U2606" t="str">
        <f t="shared" si="1213"/>
        <v>A9808D</v>
      </c>
      <c r="V2606">
        <v>0</v>
      </c>
      <c r="W2606">
        <v>0</v>
      </c>
      <c r="X2606">
        <v>1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0</v>
      </c>
      <c r="AI2606" t="s">
        <v>645</v>
      </c>
      <c r="AJ2606">
        <v>28.250827999999998</v>
      </c>
      <c r="AK2606" t="s">
        <v>646</v>
      </c>
      <c r="AL2606">
        <v>-82.318517999999997</v>
      </c>
      <c r="AM2606">
        <v>100</v>
      </c>
      <c r="AN2606">
        <v>2400</v>
      </c>
      <c r="AO2606" t="s">
        <v>118</v>
      </c>
      <c r="AP2606">
        <v>100</v>
      </c>
      <c r="AQ2606">
        <v>-32</v>
      </c>
      <c r="AR2606">
        <v>256</v>
      </c>
      <c r="AZ2606">
        <v>1200</v>
      </c>
      <c r="BA2606">
        <v>1</v>
      </c>
      <c r="BB2606" t="str">
        <f t="shared" si="1223"/>
        <v xml:space="preserve">N711JA  </v>
      </c>
      <c r="BC2606">
        <v>1</v>
      </c>
      <c r="BE2606">
        <v>0</v>
      </c>
      <c r="BF2606">
        <v>0</v>
      </c>
      <c r="BG2606">
        <v>0</v>
      </c>
      <c r="BH2606">
        <v>2475</v>
      </c>
      <c r="BI2606">
        <v>1</v>
      </c>
      <c r="BJ2606">
        <v>1</v>
      </c>
      <c r="BK2606">
        <v>0</v>
      </c>
      <c r="BL2606">
        <v>0</v>
      </c>
      <c r="BO2606">
        <v>0</v>
      </c>
      <c r="BP2606">
        <v>0</v>
      </c>
      <c r="BW2606" t="str">
        <f t="shared" si="1234"/>
        <v>14:45:47.986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6</v>
      </c>
      <c r="CP2606" t="s">
        <v>119</v>
      </c>
      <c r="CQ2606">
        <v>358</v>
      </c>
      <c r="CR2606">
        <v>0</v>
      </c>
      <c r="CW2606">
        <v>4863787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1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 t="shared" si="1232"/>
        <v>05/12/2020 14:45:30.149</v>
      </c>
      <c r="C2607" t="str">
        <f t="shared" si="1222"/>
        <v>FFDFD3C0</v>
      </c>
      <c r="D2607" t="s">
        <v>131</v>
      </c>
      <c r="E2607">
        <v>10</v>
      </c>
      <c r="F2607">
        <v>2010</v>
      </c>
      <c r="G2607" t="s">
        <v>132</v>
      </c>
      <c r="J2607" t="s">
        <v>133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233"/>
        <v>14:45:47.984</v>
      </c>
      <c r="T2607" t="str">
        <f t="shared" si="1233"/>
        <v>14:45:47.984</v>
      </c>
      <c r="U2607" t="str">
        <f t="shared" si="1213"/>
        <v>A9808D</v>
      </c>
      <c r="V2607">
        <v>0</v>
      </c>
      <c r="W2607">
        <v>0</v>
      </c>
      <c r="X2607">
        <v>1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0</v>
      </c>
      <c r="AI2607" t="s">
        <v>645</v>
      </c>
      <c r="AJ2607">
        <v>28.250827999999998</v>
      </c>
      <c r="AK2607" t="s">
        <v>646</v>
      </c>
      <c r="AL2607">
        <v>-82.318517999999997</v>
      </c>
      <c r="AM2607">
        <v>100</v>
      </c>
      <c r="AN2607">
        <v>2400</v>
      </c>
      <c r="AO2607" t="s">
        <v>118</v>
      </c>
      <c r="AP2607">
        <v>100</v>
      </c>
      <c r="AQ2607">
        <v>-32</v>
      </c>
      <c r="AR2607">
        <v>256</v>
      </c>
      <c r="AZ2607">
        <v>1200</v>
      </c>
      <c r="BA2607">
        <v>1</v>
      </c>
      <c r="BB2607" t="str">
        <f t="shared" si="1223"/>
        <v xml:space="preserve">N711JA  </v>
      </c>
      <c r="BC2607">
        <v>1</v>
      </c>
      <c r="BE2607">
        <v>0</v>
      </c>
      <c r="BF2607">
        <v>0</v>
      </c>
      <c r="BG2607">
        <v>0</v>
      </c>
      <c r="BH2607">
        <v>2475</v>
      </c>
      <c r="BI2607">
        <v>1</v>
      </c>
      <c r="BJ2607">
        <v>1</v>
      </c>
      <c r="BK2607">
        <v>0</v>
      </c>
      <c r="BL2607">
        <v>0</v>
      </c>
      <c r="BO2607">
        <v>0</v>
      </c>
      <c r="BP2607">
        <v>0</v>
      </c>
      <c r="BW2607" t="str">
        <f t="shared" si="1234"/>
        <v>14:45:47.986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6</v>
      </c>
      <c r="CP2607" t="s">
        <v>119</v>
      </c>
      <c r="CQ2607">
        <v>358</v>
      </c>
      <c r="CR2607">
        <v>0</v>
      </c>
      <c r="CW2607">
        <v>4863787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1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 t="shared" si="1232"/>
        <v>05/12/2020 14:45:30.149</v>
      </c>
      <c r="C2608" t="str">
        <f t="shared" si="1222"/>
        <v>FFDFD3C0</v>
      </c>
      <c r="D2608" t="s">
        <v>131</v>
      </c>
      <c r="E2608">
        <v>12</v>
      </c>
      <c r="F2608">
        <v>2012</v>
      </c>
      <c r="G2608" t="s">
        <v>137</v>
      </c>
      <c r="J2608" t="s">
        <v>133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233"/>
        <v>14:45:47.984</v>
      </c>
      <c r="T2608" t="str">
        <f t="shared" si="1233"/>
        <v>14:45:47.984</v>
      </c>
      <c r="U2608" t="str">
        <f t="shared" si="1213"/>
        <v>A9808D</v>
      </c>
      <c r="V2608">
        <v>0</v>
      </c>
      <c r="W2608">
        <v>0</v>
      </c>
      <c r="X2608">
        <v>1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0</v>
      </c>
      <c r="AI2608" t="s">
        <v>645</v>
      </c>
      <c r="AJ2608">
        <v>28.250827999999998</v>
      </c>
      <c r="AK2608" t="s">
        <v>646</v>
      </c>
      <c r="AL2608">
        <v>-82.318517999999997</v>
      </c>
      <c r="AM2608">
        <v>100</v>
      </c>
      <c r="AN2608">
        <v>2400</v>
      </c>
      <c r="AO2608" t="s">
        <v>118</v>
      </c>
      <c r="AP2608">
        <v>100</v>
      </c>
      <c r="AQ2608">
        <v>-32</v>
      </c>
      <c r="AR2608">
        <v>256</v>
      </c>
      <c r="AZ2608">
        <v>1200</v>
      </c>
      <c r="BA2608">
        <v>1</v>
      </c>
      <c r="BB2608" t="str">
        <f t="shared" si="1223"/>
        <v xml:space="preserve">N711JA  </v>
      </c>
      <c r="BC2608">
        <v>1</v>
      </c>
      <c r="BE2608">
        <v>0</v>
      </c>
      <c r="BF2608">
        <v>0</v>
      </c>
      <c r="BG2608">
        <v>0</v>
      </c>
      <c r="BH2608">
        <v>2475</v>
      </c>
      <c r="BI2608">
        <v>1</v>
      </c>
      <c r="BJ2608">
        <v>1</v>
      </c>
      <c r="BK2608">
        <v>0</v>
      </c>
      <c r="BL2608">
        <v>0</v>
      </c>
      <c r="BO2608">
        <v>0</v>
      </c>
      <c r="BP2608">
        <v>0</v>
      </c>
      <c r="BW2608" t="str">
        <f t="shared" si="1234"/>
        <v>14:45:47.986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6</v>
      </c>
      <c r="CP2608" t="s">
        <v>119</v>
      </c>
      <c r="CQ2608">
        <v>56</v>
      </c>
      <c r="CR2608">
        <v>3</v>
      </c>
      <c r="CW2608">
        <v>12185019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1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 t="shared" si="1232"/>
        <v>05/12/2020 14:45:30.149</v>
      </c>
      <c r="C2609" t="str">
        <f t="shared" si="1222"/>
        <v>FFDFD3C0</v>
      </c>
      <c r="D2609" t="s">
        <v>138</v>
      </c>
      <c r="E2609">
        <v>3</v>
      </c>
      <c r="H2609">
        <v>9</v>
      </c>
      <c r="I2609" t="s">
        <v>140</v>
      </c>
      <c r="J2609" t="s">
        <v>136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233"/>
        <v>14:45:47.984</v>
      </c>
      <c r="T2609" t="str">
        <f t="shared" si="1233"/>
        <v>14:45:47.984</v>
      </c>
      <c r="U2609" t="str">
        <f t="shared" si="1213"/>
        <v>A9808D</v>
      </c>
      <c r="V2609">
        <v>0</v>
      </c>
      <c r="W2609">
        <v>0</v>
      </c>
      <c r="X2609">
        <v>1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0</v>
      </c>
      <c r="AI2609" t="s">
        <v>645</v>
      </c>
      <c r="AJ2609">
        <v>28.250827999999998</v>
      </c>
      <c r="AK2609" t="s">
        <v>646</v>
      </c>
      <c r="AL2609">
        <v>-82.318517999999997</v>
      </c>
      <c r="AM2609">
        <v>100</v>
      </c>
      <c r="AN2609">
        <v>2400</v>
      </c>
      <c r="AO2609" t="s">
        <v>118</v>
      </c>
      <c r="AP2609">
        <v>100</v>
      </c>
      <c r="AQ2609">
        <v>-32</v>
      </c>
      <c r="AR2609">
        <v>256</v>
      </c>
      <c r="AZ2609">
        <v>1200</v>
      </c>
      <c r="BA2609">
        <v>1</v>
      </c>
      <c r="BB2609" t="str">
        <f t="shared" si="1223"/>
        <v xml:space="preserve">N711JA  </v>
      </c>
      <c r="BC2609">
        <v>1</v>
      </c>
      <c r="BE2609">
        <v>0</v>
      </c>
      <c r="BF2609">
        <v>0</v>
      </c>
      <c r="BG2609">
        <v>0</v>
      </c>
      <c r="BH2609">
        <v>2475</v>
      </c>
      <c r="BI2609">
        <v>1</v>
      </c>
      <c r="BJ2609">
        <v>1</v>
      </c>
      <c r="BK2609">
        <v>0</v>
      </c>
      <c r="BL2609">
        <v>0</v>
      </c>
      <c r="BO2609">
        <v>0</v>
      </c>
      <c r="BP2609">
        <v>0</v>
      </c>
      <c r="BW2609" t="str">
        <f t="shared" si="1234"/>
        <v>14:45:47.986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6</v>
      </c>
      <c r="CP2609" t="s">
        <v>119</v>
      </c>
      <c r="CQ2609">
        <v>358</v>
      </c>
      <c r="CR2609">
        <v>0</v>
      </c>
      <c r="CW2609">
        <v>4863787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1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 t="shared" si="1232"/>
        <v>05/12/2020 14:45:30.149</v>
      </c>
      <c r="C2610" t="str">
        <f t="shared" si="1222"/>
        <v>FFDFD3C0</v>
      </c>
      <c r="D2610" t="s">
        <v>131</v>
      </c>
      <c r="E2610">
        <v>18</v>
      </c>
      <c r="F2610">
        <v>2018</v>
      </c>
      <c r="G2610" t="s">
        <v>161</v>
      </c>
      <c r="J2610" t="s">
        <v>133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233"/>
        <v>14:45:47.984</v>
      </c>
      <c r="T2610" t="str">
        <f t="shared" si="1233"/>
        <v>14:45:47.984</v>
      </c>
      <c r="U2610" t="str">
        <f t="shared" si="1213"/>
        <v>A9808D</v>
      </c>
      <c r="V2610">
        <v>0</v>
      </c>
      <c r="W2610">
        <v>0</v>
      </c>
      <c r="X2610">
        <v>1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0</v>
      </c>
      <c r="AI2610" t="s">
        <v>645</v>
      </c>
      <c r="AJ2610">
        <v>28.250827999999998</v>
      </c>
      <c r="AK2610" t="s">
        <v>646</v>
      </c>
      <c r="AL2610">
        <v>-82.318517999999997</v>
      </c>
      <c r="AM2610">
        <v>100</v>
      </c>
      <c r="AN2610">
        <v>2400</v>
      </c>
      <c r="AO2610" t="s">
        <v>118</v>
      </c>
      <c r="AP2610">
        <v>100</v>
      </c>
      <c r="AQ2610">
        <v>-32</v>
      </c>
      <c r="AR2610">
        <v>256</v>
      </c>
      <c r="AZ2610">
        <v>1200</v>
      </c>
      <c r="BA2610">
        <v>1</v>
      </c>
      <c r="BB2610" t="str">
        <f t="shared" si="1223"/>
        <v xml:space="preserve">N711JA  </v>
      </c>
      <c r="BC2610">
        <v>1</v>
      </c>
      <c r="BE2610">
        <v>0</v>
      </c>
      <c r="BF2610">
        <v>0</v>
      </c>
      <c r="BG2610">
        <v>0</v>
      </c>
      <c r="BH2610">
        <v>2475</v>
      </c>
      <c r="BI2610">
        <v>1</v>
      </c>
      <c r="BJ2610">
        <v>1</v>
      </c>
      <c r="BK2610">
        <v>0</v>
      </c>
      <c r="BL2610">
        <v>0</v>
      </c>
      <c r="BO2610">
        <v>0</v>
      </c>
      <c r="BP2610">
        <v>0</v>
      </c>
      <c r="BW2610" t="str">
        <f t="shared" si="1234"/>
        <v>14:45:47.986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6</v>
      </c>
      <c r="CP2610" t="s">
        <v>119</v>
      </c>
      <c r="CQ2610">
        <v>56</v>
      </c>
      <c r="CR2610">
        <v>3</v>
      </c>
      <c r="CW2610">
        <v>12185019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1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 t="shared" si="1232"/>
        <v>05/12/2020 14:45:30.149</v>
      </c>
      <c r="C2611" t="str">
        <f t="shared" si="1222"/>
        <v>FFDFD3C0</v>
      </c>
      <c r="D2611" t="s">
        <v>138</v>
      </c>
      <c r="E2611">
        <v>2</v>
      </c>
      <c r="H2611">
        <v>8</v>
      </c>
      <c r="I2611" t="s">
        <v>139</v>
      </c>
      <c r="J2611" t="s">
        <v>136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233"/>
        <v>14:45:47.984</v>
      </c>
      <c r="T2611" t="str">
        <f t="shared" si="1233"/>
        <v>14:45:47.984</v>
      </c>
      <c r="U2611" t="str">
        <f t="shared" si="1213"/>
        <v>A9808D</v>
      </c>
      <c r="V2611">
        <v>0</v>
      </c>
      <c r="W2611">
        <v>0</v>
      </c>
      <c r="X2611">
        <v>1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0</v>
      </c>
      <c r="AI2611" t="s">
        <v>645</v>
      </c>
      <c r="AJ2611">
        <v>28.250827999999998</v>
      </c>
      <c r="AK2611" t="s">
        <v>646</v>
      </c>
      <c r="AL2611">
        <v>-82.318517999999997</v>
      </c>
      <c r="AM2611">
        <v>100</v>
      </c>
      <c r="AN2611">
        <v>2400</v>
      </c>
      <c r="AO2611" t="s">
        <v>118</v>
      </c>
      <c r="AP2611">
        <v>100</v>
      </c>
      <c r="AQ2611">
        <v>-32</v>
      </c>
      <c r="AR2611">
        <v>256</v>
      </c>
      <c r="AZ2611">
        <v>1200</v>
      </c>
      <c r="BA2611">
        <v>1</v>
      </c>
      <c r="BB2611" t="str">
        <f t="shared" si="1223"/>
        <v xml:space="preserve">N711JA  </v>
      </c>
      <c r="BC2611">
        <v>1</v>
      </c>
      <c r="BE2611">
        <v>0</v>
      </c>
      <c r="BF2611">
        <v>0</v>
      </c>
      <c r="BG2611">
        <v>0</v>
      </c>
      <c r="BH2611">
        <v>2475</v>
      </c>
      <c r="BI2611">
        <v>1</v>
      </c>
      <c r="BJ2611">
        <v>1</v>
      </c>
      <c r="BK2611">
        <v>0</v>
      </c>
      <c r="BL2611">
        <v>0</v>
      </c>
      <c r="BO2611">
        <v>0</v>
      </c>
      <c r="BP2611">
        <v>0</v>
      </c>
      <c r="BW2611" t="str">
        <f t="shared" si="1234"/>
        <v>14:45:47.986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6</v>
      </c>
      <c r="CP2611" t="s">
        <v>119</v>
      </c>
      <c r="CQ2611">
        <v>56</v>
      </c>
      <c r="CR2611">
        <v>3</v>
      </c>
      <c r="CW2611">
        <v>12185019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1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 t="shared" si="1232"/>
        <v>05/12/2020 14:45:30.149</v>
      </c>
      <c r="C2612" t="str">
        <f t="shared" si="1222"/>
        <v>FFDFD3C0</v>
      </c>
      <c r="D2612" t="s">
        <v>113</v>
      </c>
      <c r="E2612">
        <v>3</v>
      </c>
      <c r="H2612">
        <v>164</v>
      </c>
      <c r="I2612" t="s">
        <v>114</v>
      </c>
      <c r="J2612" t="s">
        <v>115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233"/>
        <v>14:45:47.984</v>
      </c>
      <c r="T2612" t="str">
        <f t="shared" si="1233"/>
        <v>14:45:47.984</v>
      </c>
      <c r="U2612" t="str">
        <f t="shared" si="1213"/>
        <v>A9808D</v>
      </c>
      <c r="V2612">
        <v>0</v>
      </c>
      <c r="W2612">
        <v>0</v>
      </c>
      <c r="X2612">
        <v>1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0</v>
      </c>
      <c r="AI2612" t="s">
        <v>645</v>
      </c>
      <c r="AJ2612">
        <v>28.250827999999998</v>
      </c>
      <c r="AK2612" t="s">
        <v>646</v>
      </c>
      <c r="AL2612">
        <v>-82.318517999999997</v>
      </c>
      <c r="AM2612">
        <v>100</v>
      </c>
      <c r="AN2612">
        <v>2400</v>
      </c>
      <c r="AO2612" t="s">
        <v>118</v>
      </c>
      <c r="AP2612">
        <v>100</v>
      </c>
      <c r="AQ2612">
        <v>-32</v>
      </c>
      <c r="AR2612">
        <v>256</v>
      </c>
      <c r="AZ2612">
        <v>1200</v>
      </c>
      <c r="BA2612">
        <v>1</v>
      </c>
      <c r="BB2612" t="str">
        <f t="shared" si="1223"/>
        <v xml:space="preserve">N711JA  </v>
      </c>
      <c r="BC2612">
        <v>1</v>
      </c>
      <c r="BE2612">
        <v>0</v>
      </c>
      <c r="BF2612">
        <v>0</v>
      </c>
      <c r="BG2612">
        <v>0</v>
      </c>
      <c r="BH2612">
        <v>2475</v>
      </c>
      <c r="BI2612">
        <v>1</v>
      </c>
      <c r="BJ2612">
        <v>1</v>
      </c>
      <c r="BK2612">
        <v>0</v>
      </c>
      <c r="BL2612">
        <v>0</v>
      </c>
      <c r="BO2612">
        <v>0</v>
      </c>
      <c r="BP2612">
        <v>0</v>
      </c>
      <c r="BW2612" t="str">
        <f t="shared" si="1234"/>
        <v>14:45:47.986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6</v>
      </c>
      <c r="CP2612" t="s">
        <v>119</v>
      </c>
      <c r="CQ2612">
        <v>56</v>
      </c>
      <c r="CR2612">
        <v>3</v>
      </c>
      <c r="CW2612">
        <v>12185019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1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 t="shared" si="1232"/>
        <v>05/12/2020 14:45:30.149</v>
      </c>
      <c r="C2613" t="str">
        <f t="shared" si="1222"/>
        <v>FFDFD3C0</v>
      </c>
      <c r="D2613" t="s">
        <v>126</v>
      </c>
      <c r="E2613">
        <v>6</v>
      </c>
      <c r="F2613">
        <v>1006</v>
      </c>
      <c r="G2613" t="s">
        <v>114</v>
      </c>
      <c r="J2613" t="s">
        <v>128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233"/>
        <v>14:45:47.984</v>
      </c>
      <c r="T2613" t="str">
        <f t="shared" si="1233"/>
        <v>14:45:47.984</v>
      </c>
      <c r="U2613" t="str">
        <f t="shared" si="1213"/>
        <v>A9808D</v>
      </c>
      <c r="V2613">
        <v>0</v>
      </c>
      <c r="W2613">
        <v>0</v>
      </c>
      <c r="X2613">
        <v>1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0</v>
      </c>
      <c r="AI2613" t="s">
        <v>645</v>
      </c>
      <c r="AJ2613">
        <v>28.250827999999998</v>
      </c>
      <c r="AK2613" t="s">
        <v>646</v>
      </c>
      <c r="AL2613">
        <v>-82.318517999999997</v>
      </c>
      <c r="AM2613">
        <v>100</v>
      </c>
      <c r="AN2613">
        <v>2400</v>
      </c>
      <c r="AO2613" t="s">
        <v>118</v>
      </c>
      <c r="AP2613">
        <v>100</v>
      </c>
      <c r="AQ2613">
        <v>-32</v>
      </c>
      <c r="AR2613">
        <v>256</v>
      </c>
      <c r="AZ2613">
        <v>1200</v>
      </c>
      <c r="BA2613">
        <v>1</v>
      </c>
      <c r="BB2613" t="str">
        <f t="shared" si="1223"/>
        <v xml:space="preserve">N711JA  </v>
      </c>
      <c r="BC2613">
        <v>1</v>
      </c>
      <c r="BE2613">
        <v>0</v>
      </c>
      <c r="BF2613">
        <v>0</v>
      </c>
      <c r="BG2613">
        <v>0</v>
      </c>
      <c r="BH2613">
        <v>2475</v>
      </c>
      <c r="BI2613">
        <v>1</v>
      </c>
      <c r="BJ2613">
        <v>1</v>
      </c>
      <c r="BK2613">
        <v>0</v>
      </c>
      <c r="BL2613">
        <v>0</v>
      </c>
      <c r="BO2613">
        <v>0</v>
      </c>
      <c r="BP2613">
        <v>0</v>
      </c>
      <c r="BW2613" t="str">
        <f t="shared" si="1234"/>
        <v>14:45:47.986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6</v>
      </c>
      <c r="CP2613" t="s">
        <v>119</v>
      </c>
      <c r="CQ2613">
        <v>358</v>
      </c>
      <c r="CR2613">
        <v>0</v>
      </c>
      <c r="CW2613">
        <v>4863787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1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 t="shared" ref="A2614:A2622" si="1235">"05/12/2020 14:45:31.224"</f>
        <v>05/12/2020 14:45:31.224</v>
      </c>
      <c r="C2614" t="str">
        <f t="shared" si="1222"/>
        <v>FFDFD3C0</v>
      </c>
      <c r="D2614" t="s">
        <v>131</v>
      </c>
      <c r="E2614">
        <v>18</v>
      </c>
      <c r="F2614">
        <v>2018</v>
      </c>
      <c r="G2614" t="s">
        <v>161</v>
      </c>
      <c r="J2614" t="s">
        <v>133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ref="S2614:S2622" si="1236">"14:45:49.063"</f>
        <v>14:45:49.063</v>
      </c>
      <c r="T2614" t="str">
        <f t="shared" ref="T2614:T2622" si="1237">"14:45:48.963"</f>
        <v>14:45:48.963</v>
      </c>
      <c r="U2614" t="str">
        <f t="shared" si="1213"/>
        <v>A9808D</v>
      </c>
      <c r="V2614">
        <v>0</v>
      </c>
      <c r="W2614">
        <v>0</v>
      </c>
      <c r="X2614">
        <v>1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0</v>
      </c>
      <c r="AI2614" t="s">
        <v>647</v>
      </c>
      <c r="AJ2614">
        <v>28.250655999999999</v>
      </c>
      <c r="AK2614" t="s">
        <v>648</v>
      </c>
      <c r="AL2614">
        <v>-82.317916999999994</v>
      </c>
      <c r="AM2614">
        <v>100</v>
      </c>
      <c r="AN2614">
        <v>2400</v>
      </c>
      <c r="AO2614" t="s">
        <v>118</v>
      </c>
      <c r="AP2614">
        <v>100</v>
      </c>
      <c r="AQ2614">
        <v>-31</v>
      </c>
      <c r="AR2614">
        <v>192</v>
      </c>
      <c r="AZ2614">
        <v>1200</v>
      </c>
      <c r="BA2614">
        <v>1</v>
      </c>
      <c r="BB2614" t="str">
        <f t="shared" si="1223"/>
        <v xml:space="preserve">N711JA  </v>
      </c>
      <c r="BC2614">
        <v>1</v>
      </c>
      <c r="BE2614">
        <v>0</v>
      </c>
      <c r="BF2614">
        <v>0</v>
      </c>
      <c r="BG2614">
        <v>0</v>
      </c>
      <c r="BH2614">
        <v>2475</v>
      </c>
      <c r="BI2614">
        <v>1</v>
      </c>
      <c r="BJ2614">
        <v>1</v>
      </c>
      <c r="BK2614">
        <v>0</v>
      </c>
      <c r="BL2614">
        <v>0</v>
      </c>
      <c r="BO2614">
        <v>0</v>
      </c>
      <c r="BP2614">
        <v>0</v>
      </c>
      <c r="BW2614" t="str">
        <f t="shared" ref="BW2614:BW2622" si="1238">"14:45:49.066"</f>
        <v>14:45:49.066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56</v>
      </c>
      <c r="CR2614">
        <v>2</v>
      </c>
      <c r="CW2614">
        <v>4886350</v>
      </c>
      <c r="CY2614">
        <v>1</v>
      </c>
      <c r="CZ2614">
        <v>0</v>
      </c>
      <c r="DA2614">
        <v>0</v>
      </c>
      <c r="DB2614">
        <v>0</v>
      </c>
      <c r="DC2614">
        <v>0</v>
      </c>
      <c r="DD2614">
        <v>1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 t="shared" si="1235"/>
        <v>05/12/2020 14:45:31.224</v>
      </c>
      <c r="C2615" t="str">
        <f t="shared" si="1222"/>
        <v>FFDFD3C0</v>
      </c>
      <c r="D2615" t="s">
        <v>138</v>
      </c>
      <c r="E2615">
        <v>3</v>
      </c>
      <c r="H2615">
        <v>9</v>
      </c>
      <c r="I2615" t="s">
        <v>140</v>
      </c>
      <c r="J2615" t="s">
        <v>136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236"/>
        <v>14:45:49.063</v>
      </c>
      <c r="T2615" t="str">
        <f t="shared" si="1237"/>
        <v>14:45:48.963</v>
      </c>
      <c r="U2615" t="str">
        <f t="shared" si="1213"/>
        <v>A9808D</v>
      </c>
      <c r="V2615">
        <v>0</v>
      </c>
      <c r="W2615">
        <v>0</v>
      </c>
      <c r="X2615">
        <v>1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0</v>
      </c>
      <c r="AI2615" t="s">
        <v>647</v>
      </c>
      <c r="AJ2615">
        <v>28.250655999999999</v>
      </c>
      <c r="AK2615" t="s">
        <v>648</v>
      </c>
      <c r="AL2615">
        <v>-82.317916999999994</v>
      </c>
      <c r="AM2615">
        <v>100</v>
      </c>
      <c r="AN2615">
        <v>2400</v>
      </c>
      <c r="AO2615" t="s">
        <v>118</v>
      </c>
      <c r="AP2615">
        <v>100</v>
      </c>
      <c r="AQ2615">
        <v>-31</v>
      </c>
      <c r="AR2615">
        <v>192</v>
      </c>
      <c r="AZ2615">
        <v>1200</v>
      </c>
      <c r="BA2615">
        <v>1</v>
      </c>
      <c r="BB2615" t="str">
        <f t="shared" si="1223"/>
        <v xml:space="preserve">N711JA  </v>
      </c>
      <c r="BC2615">
        <v>1</v>
      </c>
      <c r="BE2615">
        <v>0</v>
      </c>
      <c r="BF2615">
        <v>0</v>
      </c>
      <c r="BG2615">
        <v>0</v>
      </c>
      <c r="BH2615">
        <v>2475</v>
      </c>
      <c r="BI2615">
        <v>1</v>
      </c>
      <c r="BJ2615">
        <v>1</v>
      </c>
      <c r="BK2615">
        <v>0</v>
      </c>
      <c r="BL2615">
        <v>0</v>
      </c>
      <c r="BO2615">
        <v>0</v>
      </c>
      <c r="BP2615">
        <v>0</v>
      </c>
      <c r="BW2615" t="str">
        <f t="shared" si="1238"/>
        <v>14:45:49.066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56</v>
      </c>
      <c r="CR2615">
        <v>2</v>
      </c>
      <c r="CW2615">
        <v>4886350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1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 t="shared" si="1235"/>
        <v>05/12/2020 14:45:31.224</v>
      </c>
      <c r="C2616" t="str">
        <f t="shared" si="1222"/>
        <v>FFDFD3C0</v>
      </c>
      <c r="D2616" t="s">
        <v>138</v>
      </c>
      <c r="E2616">
        <v>2</v>
      </c>
      <c r="H2616">
        <v>8</v>
      </c>
      <c r="I2616" t="s">
        <v>139</v>
      </c>
      <c r="J2616" t="s">
        <v>136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236"/>
        <v>14:45:49.063</v>
      </c>
      <c r="T2616" t="str">
        <f t="shared" si="1237"/>
        <v>14:45:48.963</v>
      </c>
      <c r="U2616" t="str">
        <f t="shared" si="1213"/>
        <v>A9808D</v>
      </c>
      <c r="V2616">
        <v>0</v>
      </c>
      <c r="W2616">
        <v>0</v>
      </c>
      <c r="X2616">
        <v>1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0</v>
      </c>
      <c r="AI2616" t="s">
        <v>647</v>
      </c>
      <c r="AJ2616">
        <v>28.250655999999999</v>
      </c>
      <c r="AK2616" t="s">
        <v>648</v>
      </c>
      <c r="AL2616">
        <v>-82.317916999999994</v>
      </c>
      <c r="AM2616">
        <v>100</v>
      </c>
      <c r="AN2616">
        <v>2400</v>
      </c>
      <c r="AO2616" t="s">
        <v>118</v>
      </c>
      <c r="AP2616">
        <v>100</v>
      </c>
      <c r="AQ2616">
        <v>-31</v>
      </c>
      <c r="AR2616">
        <v>192</v>
      </c>
      <c r="AZ2616">
        <v>1200</v>
      </c>
      <c r="BA2616">
        <v>1</v>
      </c>
      <c r="BB2616" t="str">
        <f t="shared" si="1223"/>
        <v xml:space="preserve">N711JA  </v>
      </c>
      <c r="BC2616">
        <v>1</v>
      </c>
      <c r="BE2616">
        <v>0</v>
      </c>
      <c r="BF2616">
        <v>0</v>
      </c>
      <c r="BG2616">
        <v>0</v>
      </c>
      <c r="BH2616">
        <v>2475</v>
      </c>
      <c r="BI2616">
        <v>1</v>
      </c>
      <c r="BJ2616">
        <v>1</v>
      </c>
      <c r="BK2616">
        <v>0</v>
      </c>
      <c r="BL2616">
        <v>0</v>
      </c>
      <c r="BO2616">
        <v>0</v>
      </c>
      <c r="BP2616">
        <v>0</v>
      </c>
      <c r="BW2616" t="str">
        <f t="shared" si="1238"/>
        <v>14:45:49.066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56</v>
      </c>
      <c r="CR2616">
        <v>2</v>
      </c>
      <c r="CW2616">
        <v>4886350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1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 t="shared" si="1235"/>
        <v>05/12/2020 14:45:31.224</v>
      </c>
      <c r="C2617" t="str">
        <f t="shared" si="1222"/>
        <v>FFDFD3C0</v>
      </c>
      <c r="D2617" t="s">
        <v>126</v>
      </c>
      <c r="E2617">
        <v>6</v>
      </c>
      <c r="F2617">
        <v>1006</v>
      </c>
      <c r="G2617" t="s">
        <v>114</v>
      </c>
      <c r="J2617" t="s">
        <v>128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236"/>
        <v>14:45:49.063</v>
      </c>
      <c r="T2617" t="str">
        <f t="shared" si="1237"/>
        <v>14:45:48.963</v>
      </c>
      <c r="U2617" t="str">
        <f t="shared" si="1213"/>
        <v>A9808D</v>
      </c>
      <c r="V2617">
        <v>0</v>
      </c>
      <c r="W2617">
        <v>0</v>
      </c>
      <c r="X2617">
        <v>1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0</v>
      </c>
      <c r="AI2617" t="s">
        <v>647</v>
      </c>
      <c r="AJ2617">
        <v>28.250655999999999</v>
      </c>
      <c r="AK2617" t="s">
        <v>648</v>
      </c>
      <c r="AL2617">
        <v>-82.317916999999994</v>
      </c>
      <c r="AM2617">
        <v>100</v>
      </c>
      <c r="AN2617">
        <v>2400</v>
      </c>
      <c r="AO2617" t="s">
        <v>118</v>
      </c>
      <c r="AP2617">
        <v>100</v>
      </c>
      <c r="AQ2617">
        <v>-31</v>
      </c>
      <c r="AR2617">
        <v>192</v>
      </c>
      <c r="AZ2617">
        <v>1200</v>
      </c>
      <c r="BA2617">
        <v>1</v>
      </c>
      <c r="BB2617" t="str">
        <f t="shared" si="1223"/>
        <v xml:space="preserve">N711JA  </v>
      </c>
      <c r="BC2617">
        <v>1</v>
      </c>
      <c r="BE2617">
        <v>0</v>
      </c>
      <c r="BF2617">
        <v>0</v>
      </c>
      <c r="BG2617">
        <v>0</v>
      </c>
      <c r="BH2617">
        <v>2475</v>
      </c>
      <c r="BI2617">
        <v>1</v>
      </c>
      <c r="BJ2617">
        <v>1</v>
      </c>
      <c r="BK2617">
        <v>0</v>
      </c>
      <c r="BL2617">
        <v>0</v>
      </c>
      <c r="BO2617">
        <v>0</v>
      </c>
      <c r="BP2617">
        <v>0</v>
      </c>
      <c r="BW2617" t="str">
        <f t="shared" si="1238"/>
        <v>14:45:49.066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56</v>
      </c>
      <c r="CR2617">
        <v>2</v>
      </c>
      <c r="CW2617">
        <v>4886350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1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 t="shared" si="1235"/>
        <v>05/12/2020 14:45:31.224</v>
      </c>
      <c r="C2618" t="str">
        <f t="shared" si="1222"/>
        <v>FFDFD3C0</v>
      </c>
      <c r="D2618" t="s">
        <v>113</v>
      </c>
      <c r="E2618">
        <v>3</v>
      </c>
      <c r="H2618">
        <v>164</v>
      </c>
      <c r="I2618" t="s">
        <v>114</v>
      </c>
      <c r="J2618" t="s">
        <v>115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236"/>
        <v>14:45:49.063</v>
      </c>
      <c r="T2618" t="str">
        <f t="shared" si="1237"/>
        <v>14:45:48.963</v>
      </c>
      <c r="U2618" t="str">
        <f t="shared" si="1213"/>
        <v>A9808D</v>
      </c>
      <c r="V2618">
        <v>0</v>
      </c>
      <c r="W2618">
        <v>0</v>
      </c>
      <c r="X2618">
        <v>1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0</v>
      </c>
      <c r="AI2618" t="s">
        <v>647</v>
      </c>
      <c r="AJ2618">
        <v>28.250655999999999</v>
      </c>
      <c r="AK2618" t="s">
        <v>648</v>
      </c>
      <c r="AL2618">
        <v>-82.317916999999994</v>
      </c>
      <c r="AM2618">
        <v>100</v>
      </c>
      <c r="AN2618">
        <v>2400</v>
      </c>
      <c r="AO2618" t="s">
        <v>118</v>
      </c>
      <c r="AP2618">
        <v>100</v>
      </c>
      <c r="AQ2618">
        <v>-31</v>
      </c>
      <c r="AR2618">
        <v>192</v>
      </c>
      <c r="AZ2618">
        <v>1200</v>
      </c>
      <c r="BA2618">
        <v>1</v>
      </c>
      <c r="BB2618" t="str">
        <f t="shared" si="1223"/>
        <v xml:space="preserve">N711JA  </v>
      </c>
      <c r="BC2618">
        <v>1</v>
      </c>
      <c r="BE2618">
        <v>0</v>
      </c>
      <c r="BF2618">
        <v>0</v>
      </c>
      <c r="BG2618">
        <v>0</v>
      </c>
      <c r="BH2618">
        <v>2475</v>
      </c>
      <c r="BI2618">
        <v>1</v>
      </c>
      <c r="BJ2618">
        <v>1</v>
      </c>
      <c r="BK2618">
        <v>0</v>
      </c>
      <c r="BL2618">
        <v>0</v>
      </c>
      <c r="BO2618">
        <v>0</v>
      </c>
      <c r="BP2618">
        <v>0</v>
      </c>
      <c r="BW2618" t="str">
        <f t="shared" si="1238"/>
        <v>14:45:49.066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56</v>
      </c>
      <c r="CR2618">
        <v>2</v>
      </c>
      <c r="CW2618">
        <v>4886350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1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 t="shared" si="1235"/>
        <v>05/12/2020 14:45:31.224</v>
      </c>
      <c r="C2619" t="str">
        <f t="shared" si="1222"/>
        <v>FFDFD3C0</v>
      </c>
      <c r="D2619" t="s">
        <v>126</v>
      </c>
      <c r="E2619">
        <v>7</v>
      </c>
      <c r="F2619">
        <v>1007</v>
      </c>
      <c r="G2619" t="s">
        <v>127</v>
      </c>
      <c r="J2619" t="s">
        <v>128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236"/>
        <v>14:45:49.063</v>
      </c>
      <c r="T2619" t="str">
        <f t="shared" si="1237"/>
        <v>14:45:48.963</v>
      </c>
      <c r="U2619" t="str">
        <f t="shared" si="1213"/>
        <v>A9808D</v>
      </c>
      <c r="V2619">
        <v>0</v>
      </c>
      <c r="W2619">
        <v>0</v>
      </c>
      <c r="X2619">
        <v>1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0</v>
      </c>
      <c r="AI2619" t="s">
        <v>647</v>
      </c>
      <c r="AJ2619">
        <v>28.250655999999999</v>
      </c>
      <c r="AK2619" t="s">
        <v>648</v>
      </c>
      <c r="AL2619">
        <v>-82.317916999999994</v>
      </c>
      <c r="AM2619">
        <v>100</v>
      </c>
      <c r="AN2619">
        <v>2400</v>
      </c>
      <c r="AO2619" t="s">
        <v>118</v>
      </c>
      <c r="AP2619">
        <v>100</v>
      </c>
      <c r="AQ2619">
        <v>-31</v>
      </c>
      <c r="AR2619">
        <v>192</v>
      </c>
      <c r="AZ2619">
        <v>1200</v>
      </c>
      <c r="BA2619">
        <v>1</v>
      </c>
      <c r="BB2619" t="str">
        <f t="shared" si="1223"/>
        <v xml:space="preserve">N711JA  </v>
      </c>
      <c r="BC2619">
        <v>1</v>
      </c>
      <c r="BE2619">
        <v>0</v>
      </c>
      <c r="BF2619">
        <v>0</v>
      </c>
      <c r="BG2619">
        <v>0</v>
      </c>
      <c r="BH2619">
        <v>2475</v>
      </c>
      <c r="BI2619">
        <v>1</v>
      </c>
      <c r="BJ2619">
        <v>1</v>
      </c>
      <c r="BK2619">
        <v>0</v>
      </c>
      <c r="BL2619">
        <v>0</v>
      </c>
      <c r="BO2619">
        <v>0</v>
      </c>
      <c r="BP2619">
        <v>0</v>
      </c>
      <c r="BW2619" t="str">
        <f t="shared" si="1238"/>
        <v>14:45:49.066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56</v>
      </c>
      <c r="CR2619">
        <v>2</v>
      </c>
      <c r="CW2619">
        <v>4886350</v>
      </c>
      <c r="CY2619">
        <v>1</v>
      </c>
      <c r="CZ2619">
        <v>0</v>
      </c>
      <c r="DA2619">
        <v>1</v>
      </c>
      <c r="DB2619">
        <v>0</v>
      </c>
      <c r="DC2619">
        <v>0</v>
      </c>
      <c r="DD2619">
        <v>1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 t="shared" si="1235"/>
        <v>05/12/2020 14:45:31.224</v>
      </c>
      <c r="C2620" t="str">
        <f t="shared" si="1222"/>
        <v>FFDFD3C0</v>
      </c>
      <c r="D2620" t="s">
        <v>131</v>
      </c>
      <c r="E2620">
        <v>10</v>
      </c>
      <c r="F2620">
        <v>2010</v>
      </c>
      <c r="G2620" t="s">
        <v>132</v>
      </c>
      <c r="J2620" t="s">
        <v>133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1236"/>
        <v>14:45:49.063</v>
      </c>
      <c r="T2620" t="str">
        <f t="shared" si="1237"/>
        <v>14:45:48.963</v>
      </c>
      <c r="U2620" t="str">
        <f t="shared" si="1213"/>
        <v>A9808D</v>
      </c>
      <c r="V2620">
        <v>0</v>
      </c>
      <c r="W2620">
        <v>0</v>
      </c>
      <c r="X2620">
        <v>1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0</v>
      </c>
      <c r="AI2620" t="s">
        <v>647</v>
      </c>
      <c r="AJ2620">
        <v>28.250655999999999</v>
      </c>
      <c r="AK2620" t="s">
        <v>648</v>
      </c>
      <c r="AL2620">
        <v>-82.317916999999994</v>
      </c>
      <c r="AM2620">
        <v>100</v>
      </c>
      <c r="AN2620">
        <v>2400</v>
      </c>
      <c r="AO2620" t="s">
        <v>118</v>
      </c>
      <c r="AP2620">
        <v>100</v>
      </c>
      <c r="AQ2620">
        <v>-31</v>
      </c>
      <c r="AR2620">
        <v>192</v>
      </c>
      <c r="AZ2620">
        <v>1200</v>
      </c>
      <c r="BA2620">
        <v>1</v>
      </c>
      <c r="BB2620" t="str">
        <f t="shared" si="1223"/>
        <v xml:space="preserve">N711JA  </v>
      </c>
      <c r="BC2620">
        <v>1</v>
      </c>
      <c r="BE2620">
        <v>0</v>
      </c>
      <c r="BF2620">
        <v>0</v>
      </c>
      <c r="BG2620">
        <v>0</v>
      </c>
      <c r="BH2620">
        <v>2475</v>
      </c>
      <c r="BI2620">
        <v>1</v>
      </c>
      <c r="BJ2620">
        <v>1</v>
      </c>
      <c r="BK2620">
        <v>0</v>
      </c>
      <c r="BL2620">
        <v>0</v>
      </c>
      <c r="BO2620">
        <v>0</v>
      </c>
      <c r="BP2620">
        <v>0</v>
      </c>
      <c r="BW2620" t="str">
        <f t="shared" si="1238"/>
        <v>14:45:49.066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119</v>
      </c>
      <c r="CQ2620">
        <v>56</v>
      </c>
      <c r="CR2620">
        <v>2</v>
      </c>
      <c r="CW2620">
        <v>4886350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1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 t="shared" si="1235"/>
        <v>05/12/2020 14:45:31.224</v>
      </c>
      <c r="C2621" t="str">
        <f t="shared" si="1222"/>
        <v>FFDFD3C0</v>
      </c>
      <c r="D2621" t="s">
        <v>134</v>
      </c>
      <c r="E2621">
        <v>12</v>
      </c>
      <c r="H2621">
        <v>64</v>
      </c>
      <c r="I2621" t="s">
        <v>135</v>
      </c>
      <c r="J2621" t="s">
        <v>136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si="1236"/>
        <v>14:45:49.063</v>
      </c>
      <c r="T2621" t="str">
        <f t="shared" si="1237"/>
        <v>14:45:48.963</v>
      </c>
      <c r="U2621" t="str">
        <f t="shared" si="1213"/>
        <v>A9808D</v>
      </c>
      <c r="V2621">
        <v>0</v>
      </c>
      <c r="W2621">
        <v>0</v>
      </c>
      <c r="X2621">
        <v>1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0</v>
      </c>
      <c r="AI2621" t="s">
        <v>647</v>
      </c>
      <c r="AJ2621">
        <v>28.250655999999999</v>
      </c>
      <c r="AK2621" t="s">
        <v>648</v>
      </c>
      <c r="AL2621">
        <v>-82.317916999999994</v>
      </c>
      <c r="AM2621">
        <v>100</v>
      </c>
      <c r="AN2621">
        <v>2400</v>
      </c>
      <c r="AO2621" t="s">
        <v>118</v>
      </c>
      <c r="AP2621">
        <v>100</v>
      </c>
      <c r="AQ2621">
        <v>-31</v>
      </c>
      <c r="AR2621">
        <v>192</v>
      </c>
      <c r="AZ2621">
        <v>1200</v>
      </c>
      <c r="BA2621">
        <v>1</v>
      </c>
      <c r="BB2621" t="str">
        <f t="shared" si="1223"/>
        <v xml:space="preserve">N711JA  </v>
      </c>
      <c r="BC2621">
        <v>1</v>
      </c>
      <c r="BE2621">
        <v>0</v>
      </c>
      <c r="BF2621">
        <v>0</v>
      </c>
      <c r="BG2621">
        <v>0</v>
      </c>
      <c r="BH2621">
        <v>2475</v>
      </c>
      <c r="BI2621">
        <v>1</v>
      </c>
      <c r="BJ2621">
        <v>1</v>
      </c>
      <c r="BK2621">
        <v>0</v>
      </c>
      <c r="BL2621">
        <v>0</v>
      </c>
      <c r="BO2621">
        <v>0</v>
      </c>
      <c r="BP2621">
        <v>0</v>
      </c>
      <c r="BW2621" t="str">
        <f t="shared" si="1238"/>
        <v>14:45:49.066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5</v>
      </c>
      <c r="CP2621" t="s">
        <v>119</v>
      </c>
      <c r="CQ2621">
        <v>358</v>
      </c>
      <c r="CR2621">
        <v>0</v>
      </c>
      <c r="CW2621">
        <v>4865119</v>
      </c>
      <c r="CY2621">
        <v>1</v>
      </c>
      <c r="CZ2621">
        <v>0</v>
      </c>
      <c r="DA2621">
        <v>1</v>
      </c>
      <c r="DB2621">
        <v>0</v>
      </c>
      <c r="DC2621">
        <v>0</v>
      </c>
      <c r="DD2621">
        <v>1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 t="shared" si="1235"/>
        <v>05/12/2020 14:45:31.224</v>
      </c>
      <c r="C2622" t="str">
        <f t="shared" si="1222"/>
        <v>FFDFD3C0</v>
      </c>
      <c r="D2622" t="s">
        <v>131</v>
      </c>
      <c r="E2622">
        <v>12</v>
      </c>
      <c r="F2622">
        <v>2012</v>
      </c>
      <c r="G2622" t="s">
        <v>137</v>
      </c>
      <c r="J2622" t="s">
        <v>133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236"/>
        <v>14:45:49.063</v>
      </c>
      <c r="T2622" t="str">
        <f t="shared" si="1237"/>
        <v>14:45:48.963</v>
      </c>
      <c r="U2622" t="str">
        <f t="shared" si="1213"/>
        <v>A9808D</v>
      </c>
      <c r="V2622">
        <v>0</v>
      </c>
      <c r="W2622">
        <v>0</v>
      </c>
      <c r="X2622">
        <v>1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0</v>
      </c>
      <c r="AI2622" t="s">
        <v>647</v>
      </c>
      <c r="AJ2622">
        <v>28.250655999999999</v>
      </c>
      <c r="AK2622" t="s">
        <v>648</v>
      </c>
      <c r="AL2622">
        <v>-82.317916999999994</v>
      </c>
      <c r="AM2622">
        <v>100</v>
      </c>
      <c r="AN2622">
        <v>2400</v>
      </c>
      <c r="AO2622" t="s">
        <v>118</v>
      </c>
      <c r="AP2622">
        <v>100</v>
      </c>
      <c r="AQ2622">
        <v>-31</v>
      </c>
      <c r="AR2622">
        <v>192</v>
      </c>
      <c r="AZ2622">
        <v>1200</v>
      </c>
      <c r="BA2622">
        <v>1</v>
      </c>
      <c r="BB2622" t="str">
        <f t="shared" si="1223"/>
        <v xml:space="preserve">N711JA  </v>
      </c>
      <c r="BC2622">
        <v>1</v>
      </c>
      <c r="BE2622">
        <v>0</v>
      </c>
      <c r="BF2622">
        <v>0</v>
      </c>
      <c r="BG2622">
        <v>0</v>
      </c>
      <c r="BH2622">
        <v>2475</v>
      </c>
      <c r="BI2622">
        <v>1</v>
      </c>
      <c r="BJ2622">
        <v>1</v>
      </c>
      <c r="BK2622">
        <v>0</v>
      </c>
      <c r="BL2622">
        <v>0</v>
      </c>
      <c r="BO2622">
        <v>0</v>
      </c>
      <c r="BP2622">
        <v>0</v>
      </c>
      <c r="BW2622" t="str">
        <f t="shared" si="1238"/>
        <v>14:45:49.066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119</v>
      </c>
      <c r="CQ2622">
        <v>56</v>
      </c>
      <c r="CR2622">
        <v>2</v>
      </c>
      <c r="CW2622">
        <v>4886350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1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 t="shared" ref="A2623:A2631" si="1239">"05/12/2020 14:45:32.309"</f>
        <v>05/12/2020 14:45:32.309</v>
      </c>
      <c r="C2623" t="str">
        <f t="shared" si="1222"/>
        <v>FFDFD3C0</v>
      </c>
      <c r="D2623" t="s">
        <v>126</v>
      </c>
      <c r="E2623">
        <v>6</v>
      </c>
      <c r="F2623">
        <v>1006</v>
      </c>
      <c r="G2623" t="s">
        <v>114</v>
      </c>
      <c r="J2623" t="s">
        <v>128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ref="S2623:T2631" si="1240">"14:45:50.141"</f>
        <v>14:45:50.141</v>
      </c>
      <c r="T2623" t="str">
        <f t="shared" si="1240"/>
        <v>14:45:50.141</v>
      </c>
      <c r="U2623" t="str">
        <f t="shared" si="1213"/>
        <v>A9808D</v>
      </c>
      <c r="V2623">
        <v>0</v>
      </c>
      <c r="W2623">
        <v>0</v>
      </c>
      <c r="X2623">
        <v>1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0</v>
      </c>
      <c r="AI2623" t="s">
        <v>649</v>
      </c>
      <c r="AJ2623">
        <v>28.250506000000001</v>
      </c>
      <c r="AK2623" t="s">
        <v>650</v>
      </c>
      <c r="AL2623">
        <v>-82.317317000000003</v>
      </c>
      <c r="AM2623">
        <v>100</v>
      </c>
      <c r="AN2623">
        <v>2400</v>
      </c>
      <c r="AO2623" t="s">
        <v>118</v>
      </c>
      <c r="AP2623">
        <v>100</v>
      </c>
      <c r="AQ2623">
        <v>-31</v>
      </c>
      <c r="AR2623">
        <v>192</v>
      </c>
      <c r="AZ2623">
        <v>1200</v>
      </c>
      <c r="BA2623">
        <v>1</v>
      </c>
      <c r="BB2623" t="str">
        <f t="shared" si="1223"/>
        <v xml:space="preserve">N711JA  </v>
      </c>
      <c r="BC2623">
        <v>1</v>
      </c>
      <c r="BE2623">
        <v>0</v>
      </c>
      <c r="BF2623">
        <v>0</v>
      </c>
      <c r="BG2623">
        <v>0</v>
      </c>
      <c r="BH2623">
        <v>2475</v>
      </c>
      <c r="BI2623">
        <v>1</v>
      </c>
      <c r="BJ2623">
        <v>1</v>
      </c>
      <c r="BK2623">
        <v>0</v>
      </c>
      <c r="BL2623">
        <v>0</v>
      </c>
      <c r="BO2623">
        <v>0</v>
      </c>
      <c r="BP2623">
        <v>0</v>
      </c>
      <c r="BW2623" t="str">
        <f t="shared" ref="BW2623:BW2631" si="1241">"14:45:50.147"</f>
        <v>14:45:50.147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119</v>
      </c>
      <c r="CQ2623">
        <v>56</v>
      </c>
      <c r="CR2623">
        <v>2</v>
      </c>
      <c r="CW2623">
        <v>4887705</v>
      </c>
      <c r="CY2623">
        <v>1</v>
      </c>
      <c r="CZ2623">
        <v>0</v>
      </c>
      <c r="DA2623">
        <v>0</v>
      </c>
      <c r="DB2623">
        <v>0</v>
      </c>
      <c r="DC2623">
        <v>0</v>
      </c>
      <c r="DD2623">
        <v>1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 t="shared" si="1239"/>
        <v>05/12/2020 14:45:32.309</v>
      </c>
      <c r="C2624" t="str">
        <f t="shared" si="1222"/>
        <v>FFDFD3C0</v>
      </c>
      <c r="D2624" t="s">
        <v>126</v>
      </c>
      <c r="E2624">
        <v>7</v>
      </c>
      <c r="F2624">
        <v>1007</v>
      </c>
      <c r="G2624" t="s">
        <v>127</v>
      </c>
      <c r="J2624" t="s">
        <v>128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240"/>
        <v>14:45:50.141</v>
      </c>
      <c r="T2624" t="str">
        <f t="shared" si="1240"/>
        <v>14:45:50.141</v>
      </c>
      <c r="U2624" t="str">
        <f t="shared" si="1213"/>
        <v>A9808D</v>
      </c>
      <c r="V2624">
        <v>0</v>
      </c>
      <c r="W2624">
        <v>0</v>
      </c>
      <c r="X2624">
        <v>1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0</v>
      </c>
      <c r="AI2624" t="s">
        <v>649</v>
      </c>
      <c r="AJ2624">
        <v>28.250506000000001</v>
      </c>
      <c r="AK2624" t="s">
        <v>650</v>
      </c>
      <c r="AL2624">
        <v>-82.317317000000003</v>
      </c>
      <c r="AM2624">
        <v>100</v>
      </c>
      <c r="AN2624">
        <v>2400</v>
      </c>
      <c r="AO2624" t="s">
        <v>118</v>
      </c>
      <c r="AP2624">
        <v>100</v>
      </c>
      <c r="AQ2624">
        <v>-31</v>
      </c>
      <c r="AR2624">
        <v>192</v>
      </c>
      <c r="AZ2624">
        <v>1200</v>
      </c>
      <c r="BA2624">
        <v>1</v>
      </c>
      <c r="BB2624" t="str">
        <f t="shared" si="1223"/>
        <v xml:space="preserve">N711JA  </v>
      </c>
      <c r="BC2624">
        <v>1</v>
      </c>
      <c r="BE2624">
        <v>0</v>
      </c>
      <c r="BF2624">
        <v>0</v>
      </c>
      <c r="BG2624">
        <v>0</v>
      </c>
      <c r="BH2624">
        <v>2475</v>
      </c>
      <c r="BI2624">
        <v>1</v>
      </c>
      <c r="BJ2624">
        <v>1</v>
      </c>
      <c r="BK2624">
        <v>0</v>
      </c>
      <c r="BL2624">
        <v>0</v>
      </c>
      <c r="BO2624">
        <v>0</v>
      </c>
      <c r="BP2624">
        <v>0</v>
      </c>
      <c r="BW2624" t="str">
        <f t="shared" si="1241"/>
        <v>14:45:50.147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119</v>
      </c>
      <c r="CQ2624">
        <v>56</v>
      </c>
      <c r="CR2624">
        <v>2</v>
      </c>
      <c r="CW2624">
        <v>4887705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1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 t="shared" si="1239"/>
        <v>05/12/2020 14:45:32.309</v>
      </c>
      <c r="C2625" t="str">
        <f t="shared" si="1222"/>
        <v>FFDFD3C0</v>
      </c>
      <c r="D2625" t="s">
        <v>138</v>
      </c>
      <c r="E2625">
        <v>2</v>
      </c>
      <c r="H2625">
        <v>8</v>
      </c>
      <c r="I2625" t="s">
        <v>139</v>
      </c>
      <c r="J2625" t="s">
        <v>136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240"/>
        <v>14:45:50.141</v>
      </c>
      <c r="T2625" t="str">
        <f t="shared" si="1240"/>
        <v>14:45:50.141</v>
      </c>
      <c r="U2625" t="str">
        <f t="shared" si="1213"/>
        <v>A9808D</v>
      </c>
      <c r="V2625">
        <v>0</v>
      </c>
      <c r="W2625">
        <v>0</v>
      </c>
      <c r="X2625">
        <v>1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0</v>
      </c>
      <c r="AI2625" t="s">
        <v>649</v>
      </c>
      <c r="AJ2625">
        <v>28.250506000000001</v>
      </c>
      <c r="AK2625" t="s">
        <v>650</v>
      </c>
      <c r="AL2625">
        <v>-82.317317000000003</v>
      </c>
      <c r="AM2625">
        <v>100</v>
      </c>
      <c r="AN2625">
        <v>2400</v>
      </c>
      <c r="AO2625" t="s">
        <v>118</v>
      </c>
      <c r="AP2625">
        <v>100</v>
      </c>
      <c r="AQ2625">
        <v>-31</v>
      </c>
      <c r="AR2625">
        <v>192</v>
      </c>
      <c r="AZ2625">
        <v>1200</v>
      </c>
      <c r="BA2625">
        <v>1</v>
      </c>
      <c r="BB2625" t="str">
        <f t="shared" si="1223"/>
        <v xml:space="preserve">N711JA  </v>
      </c>
      <c r="BC2625">
        <v>1</v>
      </c>
      <c r="BE2625">
        <v>0</v>
      </c>
      <c r="BF2625">
        <v>0</v>
      </c>
      <c r="BG2625">
        <v>0</v>
      </c>
      <c r="BH2625">
        <v>2475</v>
      </c>
      <c r="BI2625">
        <v>1</v>
      </c>
      <c r="BJ2625">
        <v>1</v>
      </c>
      <c r="BK2625">
        <v>0</v>
      </c>
      <c r="BL2625">
        <v>0</v>
      </c>
      <c r="BO2625">
        <v>0</v>
      </c>
      <c r="BP2625">
        <v>0</v>
      </c>
      <c r="BW2625" t="str">
        <f t="shared" si="1241"/>
        <v>14:45:50.147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119</v>
      </c>
      <c r="CQ2625">
        <v>56</v>
      </c>
      <c r="CR2625">
        <v>2</v>
      </c>
      <c r="CW2625">
        <v>4887705</v>
      </c>
      <c r="CY2625">
        <v>1</v>
      </c>
      <c r="CZ2625">
        <v>0</v>
      </c>
      <c r="DA2625">
        <v>1</v>
      </c>
      <c r="DB2625">
        <v>0</v>
      </c>
      <c r="DC2625">
        <v>0</v>
      </c>
      <c r="DD2625">
        <v>1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 t="shared" si="1239"/>
        <v>05/12/2020 14:45:32.309</v>
      </c>
      <c r="C2626" t="str">
        <f t="shared" si="1222"/>
        <v>FFDFD3C0</v>
      </c>
      <c r="D2626" t="s">
        <v>131</v>
      </c>
      <c r="E2626">
        <v>10</v>
      </c>
      <c r="F2626">
        <v>2010</v>
      </c>
      <c r="G2626" t="s">
        <v>132</v>
      </c>
      <c r="J2626" t="s">
        <v>133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240"/>
        <v>14:45:50.141</v>
      </c>
      <c r="T2626" t="str">
        <f t="shared" si="1240"/>
        <v>14:45:50.141</v>
      </c>
      <c r="U2626" t="str">
        <f t="shared" ref="U2626:U2689" si="1242">"A9808D"</f>
        <v>A9808D</v>
      </c>
      <c r="V2626">
        <v>0</v>
      </c>
      <c r="W2626">
        <v>0</v>
      </c>
      <c r="X2626">
        <v>1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0</v>
      </c>
      <c r="AI2626" t="s">
        <v>649</v>
      </c>
      <c r="AJ2626">
        <v>28.250506000000001</v>
      </c>
      <c r="AK2626" t="s">
        <v>650</v>
      </c>
      <c r="AL2626">
        <v>-82.317317000000003</v>
      </c>
      <c r="AM2626">
        <v>100</v>
      </c>
      <c r="AN2626">
        <v>2400</v>
      </c>
      <c r="AO2626" t="s">
        <v>118</v>
      </c>
      <c r="AP2626">
        <v>100</v>
      </c>
      <c r="AQ2626">
        <v>-31</v>
      </c>
      <c r="AR2626">
        <v>192</v>
      </c>
      <c r="AZ2626">
        <v>1200</v>
      </c>
      <c r="BA2626">
        <v>1</v>
      </c>
      <c r="BB2626" t="str">
        <f t="shared" si="1223"/>
        <v xml:space="preserve">N711JA  </v>
      </c>
      <c r="BC2626">
        <v>1</v>
      </c>
      <c r="BE2626">
        <v>0</v>
      </c>
      <c r="BF2626">
        <v>0</v>
      </c>
      <c r="BG2626">
        <v>0</v>
      </c>
      <c r="BH2626">
        <v>2475</v>
      </c>
      <c r="BI2626">
        <v>1</v>
      </c>
      <c r="BJ2626">
        <v>1</v>
      </c>
      <c r="BK2626">
        <v>0</v>
      </c>
      <c r="BL2626">
        <v>0</v>
      </c>
      <c r="BO2626">
        <v>0</v>
      </c>
      <c r="BP2626">
        <v>0</v>
      </c>
      <c r="BW2626" t="str">
        <f t="shared" si="1241"/>
        <v>14:45:50.147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119</v>
      </c>
      <c r="CQ2626">
        <v>56</v>
      </c>
      <c r="CR2626">
        <v>2</v>
      </c>
      <c r="CW2626">
        <v>4887705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1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 t="shared" si="1239"/>
        <v>05/12/2020 14:45:32.309</v>
      </c>
      <c r="C2627" t="str">
        <f t="shared" si="1222"/>
        <v>FFDFD3C0</v>
      </c>
      <c r="D2627" t="s">
        <v>113</v>
      </c>
      <c r="E2627">
        <v>3</v>
      </c>
      <c r="H2627">
        <v>164</v>
      </c>
      <c r="I2627" t="s">
        <v>114</v>
      </c>
      <c r="J2627" t="s">
        <v>115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240"/>
        <v>14:45:50.141</v>
      </c>
      <c r="T2627" t="str">
        <f t="shared" si="1240"/>
        <v>14:45:50.141</v>
      </c>
      <c r="U2627" t="str">
        <f t="shared" si="1242"/>
        <v>A9808D</v>
      </c>
      <c r="V2627">
        <v>0</v>
      </c>
      <c r="W2627">
        <v>0</v>
      </c>
      <c r="X2627">
        <v>1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0</v>
      </c>
      <c r="AI2627" t="s">
        <v>649</v>
      </c>
      <c r="AJ2627">
        <v>28.250506000000001</v>
      </c>
      <c r="AK2627" t="s">
        <v>650</v>
      </c>
      <c r="AL2627">
        <v>-82.317317000000003</v>
      </c>
      <c r="AM2627">
        <v>100</v>
      </c>
      <c r="AN2627">
        <v>2400</v>
      </c>
      <c r="AO2627" t="s">
        <v>118</v>
      </c>
      <c r="AP2627">
        <v>100</v>
      </c>
      <c r="AQ2627">
        <v>-31</v>
      </c>
      <c r="AR2627">
        <v>192</v>
      </c>
      <c r="AZ2627">
        <v>1200</v>
      </c>
      <c r="BA2627">
        <v>1</v>
      </c>
      <c r="BB2627" t="str">
        <f t="shared" si="1223"/>
        <v xml:space="preserve">N711JA  </v>
      </c>
      <c r="BC2627">
        <v>1</v>
      </c>
      <c r="BE2627">
        <v>0</v>
      </c>
      <c r="BF2627">
        <v>0</v>
      </c>
      <c r="BG2627">
        <v>0</v>
      </c>
      <c r="BH2627">
        <v>2475</v>
      </c>
      <c r="BI2627">
        <v>1</v>
      </c>
      <c r="BJ2627">
        <v>1</v>
      </c>
      <c r="BK2627">
        <v>0</v>
      </c>
      <c r="BL2627">
        <v>0</v>
      </c>
      <c r="BO2627">
        <v>0</v>
      </c>
      <c r="BP2627">
        <v>0</v>
      </c>
      <c r="BW2627" t="str">
        <f t="shared" si="1241"/>
        <v>14:45:50.147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56</v>
      </c>
      <c r="CR2627">
        <v>2</v>
      </c>
      <c r="CW2627">
        <v>4887705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1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 t="shared" si="1239"/>
        <v>05/12/2020 14:45:32.309</v>
      </c>
      <c r="C2628" t="str">
        <f t="shared" si="1222"/>
        <v>FFDFD3C0</v>
      </c>
      <c r="D2628" t="s">
        <v>131</v>
      </c>
      <c r="E2628">
        <v>12</v>
      </c>
      <c r="F2628">
        <v>2012</v>
      </c>
      <c r="G2628" t="s">
        <v>137</v>
      </c>
      <c r="J2628" t="s">
        <v>133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240"/>
        <v>14:45:50.141</v>
      </c>
      <c r="T2628" t="str">
        <f t="shared" si="1240"/>
        <v>14:45:50.141</v>
      </c>
      <c r="U2628" t="str">
        <f t="shared" si="1242"/>
        <v>A9808D</v>
      </c>
      <c r="V2628">
        <v>0</v>
      </c>
      <c r="W2628">
        <v>0</v>
      </c>
      <c r="X2628">
        <v>1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0</v>
      </c>
      <c r="AI2628" t="s">
        <v>649</v>
      </c>
      <c r="AJ2628">
        <v>28.250506000000001</v>
      </c>
      <c r="AK2628" t="s">
        <v>650</v>
      </c>
      <c r="AL2628">
        <v>-82.317317000000003</v>
      </c>
      <c r="AM2628">
        <v>100</v>
      </c>
      <c r="AN2628">
        <v>2400</v>
      </c>
      <c r="AO2628" t="s">
        <v>118</v>
      </c>
      <c r="AP2628">
        <v>100</v>
      </c>
      <c r="AQ2628">
        <v>-31</v>
      </c>
      <c r="AR2628">
        <v>192</v>
      </c>
      <c r="AZ2628">
        <v>1200</v>
      </c>
      <c r="BA2628">
        <v>1</v>
      </c>
      <c r="BB2628" t="str">
        <f t="shared" si="1223"/>
        <v xml:space="preserve">N711JA  </v>
      </c>
      <c r="BC2628">
        <v>1</v>
      </c>
      <c r="BE2628">
        <v>0</v>
      </c>
      <c r="BF2628">
        <v>0</v>
      </c>
      <c r="BG2628">
        <v>0</v>
      </c>
      <c r="BH2628">
        <v>2475</v>
      </c>
      <c r="BI2628">
        <v>1</v>
      </c>
      <c r="BJ2628">
        <v>1</v>
      </c>
      <c r="BK2628">
        <v>0</v>
      </c>
      <c r="BL2628">
        <v>0</v>
      </c>
      <c r="BO2628">
        <v>0</v>
      </c>
      <c r="BP2628">
        <v>0</v>
      </c>
      <c r="BW2628" t="str">
        <f t="shared" si="1241"/>
        <v>14:45:50.147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56</v>
      </c>
      <c r="CR2628">
        <v>2</v>
      </c>
      <c r="CW2628">
        <v>4887705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1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 t="shared" si="1239"/>
        <v>05/12/2020 14:45:32.309</v>
      </c>
      <c r="C2629" t="str">
        <f t="shared" si="1222"/>
        <v>FFDFD3C0</v>
      </c>
      <c r="D2629" t="s">
        <v>134</v>
      </c>
      <c r="E2629">
        <v>12</v>
      </c>
      <c r="H2629">
        <v>64</v>
      </c>
      <c r="I2629" t="s">
        <v>135</v>
      </c>
      <c r="J2629" t="s">
        <v>136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240"/>
        <v>14:45:50.141</v>
      </c>
      <c r="T2629" t="str">
        <f t="shared" si="1240"/>
        <v>14:45:50.141</v>
      </c>
      <c r="U2629" t="str">
        <f t="shared" si="1242"/>
        <v>A9808D</v>
      </c>
      <c r="V2629">
        <v>0</v>
      </c>
      <c r="W2629">
        <v>0</v>
      </c>
      <c r="X2629">
        <v>1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0</v>
      </c>
      <c r="AI2629" t="s">
        <v>649</v>
      </c>
      <c r="AJ2629">
        <v>28.250506000000001</v>
      </c>
      <c r="AK2629" t="s">
        <v>650</v>
      </c>
      <c r="AL2629">
        <v>-82.317317000000003</v>
      </c>
      <c r="AM2629">
        <v>100</v>
      </c>
      <c r="AN2629">
        <v>2400</v>
      </c>
      <c r="AO2629" t="s">
        <v>118</v>
      </c>
      <c r="AP2629">
        <v>100</v>
      </c>
      <c r="AQ2629">
        <v>-31</v>
      </c>
      <c r="AR2629">
        <v>192</v>
      </c>
      <c r="AZ2629">
        <v>1200</v>
      </c>
      <c r="BA2629">
        <v>1</v>
      </c>
      <c r="BB2629" t="str">
        <f t="shared" si="1223"/>
        <v xml:space="preserve">N711JA  </v>
      </c>
      <c r="BC2629">
        <v>1</v>
      </c>
      <c r="BE2629">
        <v>0</v>
      </c>
      <c r="BF2629">
        <v>0</v>
      </c>
      <c r="BG2629">
        <v>0</v>
      </c>
      <c r="BH2629">
        <v>2475</v>
      </c>
      <c r="BI2629">
        <v>1</v>
      </c>
      <c r="BJ2629">
        <v>1</v>
      </c>
      <c r="BK2629">
        <v>0</v>
      </c>
      <c r="BL2629">
        <v>0</v>
      </c>
      <c r="BO2629">
        <v>0</v>
      </c>
      <c r="BP2629">
        <v>0</v>
      </c>
      <c r="BW2629" t="str">
        <f t="shared" si="1241"/>
        <v>14:45:50.147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6</v>
      </c>
      <c r="CP2629" t="s">
        <v>119</v>
      </c>
      <c r="CQ2629">
        <v>358</v>
      </c>
      <c r="CR2629">
        <v>0</v>
      </c>
      <c r="CW2629">
        <v>4866439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1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 t="shared" si="1239"/>
        <v>05/12/2020 14:45:32.309</v>
      </c>
      <c r="C2630" t="str">
        <f t="shared" si="1222"/>
        <v>FFDFD3C0</v>
      </c>
      <c r="D2630" t="s">
        <v>131</v>
      </c>
      <c r="E2630">
        <v>18</v>
      </c>
      <c r="F2630">
        <v>2018</v>
      </c>
      <c r="G2630" t="s">
        <v>161</v>
      </c>
      <c r="J2630" t="s">
        <v>133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240"/>
        <v>14:45:50.141</v>
      </c>
      <c r="T2630" t="str">
        <f t="shared" si="1240"/>
        <v>14:45:50.141</v>
      </c>
      <c r="U2630" t="str">
        <f t="shared" si="1242"/>
        <v>A9808D</v>
      </c>
      <c r="V2630">
        <v>0</v>
      </c>
      <c r="W2630">
        <v>0</v>
      </c>
      <c r="X2630">
        <v>1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0</v>
      </c>
      <c r="AI2630" t="s">
        <v>649</v>
      </c>
      <c r="AJ2630">
        <v>28.250506000000001</v>
      </c>
      <c r="AK2630" t="s">
        <v>650</v>
      </c>
      <c r="AL2630">
        <v>-82.317317000000003</v>
      </c>
      <c r="AM2630">
        <v>100</v>
      </c>
      <c r="AN2630">
        <v>2400</v>
      </c>
      <c r="AO2630" t="s">
        <v>118</v>
      </c>
      <c r="AP2630">
        <v>100</v>
      </c>
      <c r="AQ2630">
        <v>-31</v>
      </c>
      <c r="AR2630">
        <v>192</v>
      </c>
      <c r="AZ2630">
        <v>1200</v>
      </c>
      <c r="BA2630">
        <v>1</v>
      </c>
      <c r="BB2630" t="str">
        <f t="shared" si="1223"/>
        <v xml:space="preserve">N711JA  </v>
      </c>
      <c r="BC2630">
        <v>1</v>
      </c>
      <c r="BE2630">
        <v>0</v>
      </c>
      <c r="BF2630">
        <v>0</v>
      </c>
      <c r="BG2630">
        <v>0</v>
      </c>
      <c r="BH2630">
        <v>2475</v>
      </c>
      <c r="BI2630">
        <v>1</v>
      </c>
      <c r="BJ2630">
        <v>1</v>
      </c>
      <c r="BK2630">
        <v>0</v>
      </c>
      <c r="BL2630">
        <v>0</v>
      </c>
      <c r="BO2630">
        <v>0</v>
      </c>
      <c r="BP2630">
        <v>0</v>
      </c>
      <c r="BW2630" t="str">
        <f t="shared" si="1241"/>
        <v>14:45:50.147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7</v>
      </c>
      <c r="CP2630" t="s">
        <v>119</v>
      </c>
      <c r="CQ2630">
        <v>56</v>
      </c>
      <c r="CR2630">
        <v>2</v>
      </c>
      <c r="CW2630">
        <v>4887705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1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 t="shared" si="1239"/>
        <v>05/12/2020 14:45:32.309</v>
      </c>
      <c r="C2631" t="str">
        <f t="shared" si="1222"/>
        <v>FFDFD3C0</v>
      </c>
      <c r="D2631" t="s">
        <v>138</v>
      </c>
      <c r="E2631">
        <v>3</v>
      </c>
      <c r="H2631">
        <v>9</v>
      </c>
      <c r="I2631" t="s">
        <v>140</v>
      </c>
      <c r="J2631" t="s">
        <v>136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240"/>
        <v>14:45:50.141</v>
      </c>
      <c r="T2631" t="str">
        <f t="shared" si="1240"/>
        <v>14:45:50.141</v>
      </c>
      <c r="U2631" t="str">
        <f t="shared" si="1242"/>
        <v>A9808D</v>
      </c>
      <c r="V2631">
        <v>0</v>
      </c>
      <c r="W2631">
        <v>0</v>
      </c>
      <c r="X2631">
        <v>1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0</v>
      </c>
      <c r="AI2631" t="s">
        <v>649</v>
      </c>
      <c r="AJ2631">
        <v>28.250506000000001</v>
      </c>
      <c r="AK2631" t="s">
        <v>650</v>
      </c>
      <c r="AL2631">
        <v>-82.317317000000003</v>
      </c>
      <c r="AM2631">
        <v>100</v>
      </c>
      <c r="AN2631">
        <v>2400</v>
      </c>
      <c r="AO2631" t="s">
        <v>118</v>
      </c>
      <c r="AP2631">
        <v>100</v>
      </c>
      <c r="AQ2631">
        <v>-31</v>
      </c>
      <c r="AR2631">
        <v>192</v>
      </c>
      <c r="AZ2631">
        <v>1200</v>
      </c>
      <c r="BA2631">
        <v>1</v>
      </c>
      <c r="BB2631" t="str">
        <f t="shared" si="1223"/>
        <v xml:space="preserve">N711JA  </v>
      </c>
      <c r="BC2631">
        <v>1</v>
      </c>
      <c r="BE2631">
        <v>0</v>
      </c>
      <c r="BF2631">
        <v>0</v>
      </c>
      <c r="BG2631">
        <v>0</v>
      </c>
      <c r="BH2631">
        <v>2475</v>
      </c>
      <c r="BI2631">
        <v>1</v>
      </c>
      <c r="BJ2631">
        <v>1</v>
      </c>
      <c r="BK2631">
        <v>0</v>
      </c>
      <c r="BL2631">
        <v>0</v>
      </c>
      <c r="BO2631">
        <v>0</v>
      </c>
      <c r="BP2631">
        <v>0</v>
      </c>
      <c r="BW2631" t="str">
        <f t="shared" si="1241"/>
        <v>14:45:50.147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56</v>
      </c>
      <c r="CR2631">
        <v>2</v>
      </c>
      <c r="CW2631">
        <v>4887705</v>
      </c>
      <c r="CY2631">
        <v>1</v>
      </c>
      <c r="CZ2631">
        <v>0</v>
      </c>
      <c r="DA2631">
        <v>1</v>
      </c>
      <c r="DB2631">
        <v>0</v>
      </c>
      <c r="DC2631">
        <v>0</v>
      </c>
      <c r="DD2631">
        <v>1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 t="shared" ref="A2632:A2640" si="1243">"05/12/2020 14:45:33.355"</f>
        <v>05/12/2020 14:45:33.355</v>
      </c>
      <c r="C2632" t="str">
        <f t="shared" si="1222"/>
        <v>FFDFD3C0</v>
      </c>
      <c r="D2632" t="s">
        <v>138</v>
      </c>
      <c r="E2632">
        <v>3</v>
      </c>
      <c r="H2632">
        <v>9</v>
      </c>
      <c r="I2632" t="s">
        <v>140</v>
      </c>
      <c r="J2632" t="s">
        <v>136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ref="S2632:T2640" si="1244">"14:45:51.172"</f>
        <v>14:45:51.172</v>
      </c>
      <c r="T2632" t="str">
        <f t="shared" si="1244"/>
        <v>14:45:51.172</v>
      </c>
      <c r="U2632" t="str">
        <f t="shared" si="1242"/>
        <v>A9808D</v>
      </c>
      <c r="V2632">
        <v>0</v>
      </c>
      <c r="W2632">
        <v>0</v>
      </c>
      <c r="X2632">
        <v>1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0</v>
      </c>
      <c r="AI2632" t="s">
        <v>651</v>
      </c>
      <c r="AJ2632">
        <v>28.250356</v>
      </c>
      <c r="AK2632" t="s">
        <v>652</v>
      </c>
      <c r="AL2632">
        <v>-82.316779999999994</v>
      </c>
      <c r="AM2632">
        <v>100</v>
      </c>
      <c r="AN2632">
        <v>2400</v>
      </c>
      <c r="AO2632" t="s">
        <v>118</v>
      </c>
      <c r="AP2632">
        <v>101</v>
      </c>
      <c r="AQ2632">
        <v>-30</v>
      </c>
      <c r="AR2632">
        <v>192</v>
      </c>
      <c r="AZ2632">
        <v>1200</v>
      </c>
      <c r="BA2632">
        <v>1</v>
      </c>
      <c r="BB2632" t="str">
        <f t="shared" si="1223"/>
        <v xml:space="preserve">N711JA  </v>
      </c>
      <c r="BC2632">
        <v>1</v>
      </c>
      <c r="BE2632">
        <v>0</v>
      </c>
      <c r="BF2632">
        <v>0</v>
      </c>
      <c r="BG2632">
        <v>0</v>
      </c>
      <c r="BH2632">
        <v>2475</v>
      </c>
      <c r="BI2632">
        <v>1</v>
      </c>
      <c r="BJ2632">
        <v>1</v>
      </c>
      <c r="BK2632">
        <v>0</v>
      </c>
      <c r="BL2632">
        <v>0</v>
      </c>
      <c r="BO2632">
        <v>0</v>
      </c>
      <c r="BP2632">
        <v>0</v>
      </c>
      <c r="BW2632" t="str">
        <f t="shared" ref="BW2632:BW2640" si="1245">"14:45:51.173"</f>
        <v>14:45:51.173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119</v>
      </c>
      <c r="CQ2632">
        <v>56</v>
      </c>
      <c r="CR2632">
        <v>2</v>
      </c>
      <c r="CW2632">
        <v>4889052</v>
      </c>
      <c r="CY2632">
        <v>1</v>
      </c>
      <c r="CZ2632">
        <v>0</v>
      </c>
      <c r="DA2632">
        <v>0</v>
      </c>
      <c r="DB2632">
        <v>0</v>
      </c>
      <c r="DC2632">
        <v>0</v>
      </c>
      <c r="DD2632">
        <v>1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 t="shared" si="1243"/>
        <v>05/12/2020 14:45:33.355</v>
      </c>
      <c r="C2633" t="str">
        <f t="shared" si="1222"/>
        <v>FFDFD3C0</v>
      </c>
      <c r="D2633" t="s">
        <v>126</v>
      </c>
      <c r="E2633">
        <v>7</v>
      </c>
      <c r="F2633">
        <v>1007</v>
      </c>
      <c r="G2633" t="s">
        <v>127</v>
      </c>
      <c r="J2633" t="s">
        <v>128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1244"/>
        <v>14:45:51.172</v>
      </c>
      <c r="T2633" t="str">
        <f t="shared" si="1244"/>
        <v>14:45:51.172</v>
      </c>
      <c r="U2633" t="str">
        <f t="shared" si="1242"/>
        <v>A9808D</v>
      </c>
      <c r="V2633">
        <v>0</v>
      </c>
      <c r="W2633">
        <v>0</v>
      </c>
      <c r="X2633">
        <v>1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0</v>
      </c>
      <c r="AI2633" t="s">
        <v>651</v>
      </c>
      <c r="AJ2633">
        <v>28.250356</v>
      </c>
      <c r="AK2633" t="s">
        <v>652</v>
      </c>
      <c r="AL2633">
        <v>-82.316779999999994</v>
      </c>
      <c r="AM2633">
        <v>100</v>
      </c>
      <c r="AN2633">
        <v>2400</v>
      </c>
      <c r="AO2633" t="s">
        <v>118</v>
      </c>
      <c r="AP2633">
        <v>101</v>
      </c>
      <c r="AQ2633">
        <v>-30</v>
      </c>
      <c r="AR2633">
        <v>192</v>
      </c>
      <c r="AZ2633">
        <v>1200</v>
      </c>
      <c r="BA2633">
        <v>1</v>
      </c>
      <c r="BB2633" t="str">
        <f t="shared" si="1223"/>
        <v xml:space="preserve">N711JA  </v>
      </c>
      <c r="BC2633">
        <v>1</v>
      </c>
      <c r="BE2633">
        <v>0</v>
      </c>
      <c r="BF2633">
        <v>0</v>
      </c>
      <c r="BG2633">
        <v>0</v>
      </c>
      <c r="BH2633">
        <v>2475</v>
      </c>
      <c r="BI2633">
        <v>1</v>
      </c>
      <c r="BJ2633">
        <v>1</v>
      </c>
      <c r="BK2633">
        <v>0</v>
      </c>
      <c r="BL2633">
        <v>0</v>
      </c>
      <c r="BO2633">
        <v>0</v>
      </c>
      <c r="BP2633">
        <v>0</v>
      </c>
      <c r="BW2633" t="str">
        <f t="shared" si="1245"/>
        <v>14:45:51.173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119</v>
      </c>
      <c r="CQ2633">
        <v>56</v>
      </c>
      <c r="CR2633">
        <v>2</v>
      </c>
      <c r="CW2633">
        <v>4889052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1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 t="shared" si="1243"/>
        <v>05/12/2020 14:45:33.355</v>
      </c>
      <c r="C2634" t="str">
        <f t="shared" si="1222"/>
        <v>FFDFD3C0</v>
      </c>
      <c r="D2634" t="s">
        <v>126</v>
      </c>
      <c r="E2634">
        <v>6</v>
      </c>
      <c r="F2634">
        <v>1006</v>
      </c>
      <c r="G2634" t="s">
        <v>114</v>
      </c>
      <c r="J2634" t="s">
        <v>128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244"/>
        <v>14:45:51.172</v>
      </c>
      <c r="T2634" t="str">
        <f t="shared" si="1244"/>
        <v>14:45:51.172</v>
      </c>
      <c r="U2634" t="str">
        <f t="shared" si="1242"/>
        <v>A9808D</v>
      </c>
      <c r="V2634">
        <v>0</v>
      </c>
      <c r="W2634">
        <v>0</v>
      </c>
      <c r="X2634">
        <v>1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0</v>
      </c>
      <c r="AI2634" t="s">
        <v>651</v>
      </c>
      <c r="AJ2634">
        <v>28.250356</v>
      </c>
      <c r="AK2634" t="s">
        <v>652</v>
      </c>
      <c r="AL2634">
        <v>-82.316779999999994</v>
      </c>
      <c r="AM2634">
        <v>100</v>
      </c>
      <c r="AN2634">
        <v>2400</v>
      </c>
      <c r="AO2634" t="s">
        <v>118</v>
      </c>
      <c r="AP2634">
        <v>101</v>
      </c>
      <c r="AQ2634">
        <v>-30</v>
      </c>
      <c r="AR2634">
        <v>192</v>
      </c>
      <c r="AZ2634">
        <v>1200</v>
      </c>
      <c r="BA2634">
        <v>1</v>
      </c>
      <c r="BB2634" t="str">
        <f t="shared" si="1223"/>
        <v xml:space="preserve">N711JA  </v>
      </c>
      <c r="BC2634">
        <v>1</v>
      </c>
      <c r="BE2634">
        <v>0</v>
      </c>
      <c r="BF2634">
        <v>0</v>
      </c>
      <c r="BG2634">
        <v>0</v>
      </c>
      <c r="BH2634">
        <v>2475</v>
      </c>
      <c r="BI2634">
        <v>1</v>
      </c>
      <c r="BJ2634">
        <v>1</v>
      </c>
      <c r="BK2634">
        <v>0</v>
      </c>
      <c r="BL2634">
        <v>0</v>
      </c>
      <c r="BO2634">
        <v>0</v>
      </c>
      <c r="BP2634">
        <v>0</v>
      </c>
      <c r="BW2634" t="str">
        <f t="shared" si="1245"/>
        <v>14:45:51.173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56</v>
      </c>
      <c r="CR2634">
        <v>2</v>
      </c>
      <c r="CW2634">
        <v>4889052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1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 t="shared" si="1243"/>
        <v>05/12/2020 14:45:33.355</v>
      </c>
      <c r="C2635" t="str">
        <f t="shared" si="1222"/>
        <v>FFDFD3C0</v>
      </c>
      <c r="D2635" t="s">
        <v>131</v>
      </c>
      <c r="E2635">
        <v>10</v>
      </c>
      <c r="F2635">
        <v>2010</v>
      </c>
      <c r="G2635" t="s">
        <v>132</v>
      </c>
      <c r="J2635" t="s">
        <v>133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244"/>
        <v>14:45:51.172</v>
      </c>
      <c r="T2635" t="str">
        <f t="shared" si="1244"/>
        <v>14:45:51.172</v>
      </c>
      <c r="U2635" t="str">
        <f t="shared" si="1242"/>
        <v>A9808D</v>
      </c>
      <c r="V2635">
        <v>0</v>
      </c>
      <c r="W2635">
        <v>0</v>
      </c>
      <c r="X2635">
        <v>1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0</v>
      </c>
      <c r="AI2635" t="s">
        <v>651</v>
      </c>
      <c r="AJ2635">
        <v>28.250356</v>
      </c>
      <c r="AK2635" t="s">
        <v>652</v>
      </c>
      <c r="AL2635">
        <v>-82.316779999999994</v>
      </c>
      <c r="AM2635">
        <v>100</v>
      </c>
      <c r="AN2635">
        <v>2400</v>
      </c>
      <c r="AO2635" t="s">
        <v>118</v>
      </c>
      <c r="AP2635">
        <v>101</v>
      </c>
      <c r="AQ2635">
        <v>-30</v>
      </c>
      <c r="AR2635">
        <v>192</v>
      </c>
      <c r="AZ2635">
        <v>1200</v>
      </c>
      <c r="BA2635">
        <v>1</v>
      </c>
      <c r="BB2635" t="str">
        <f t="shared" si="1223"/>
        <v xml:space="preserve">N711JA  </v>
      </c>
      <c r="BC2635">
        <v>1</v>
      </c>
      <c r="BE2635">
        <v>0</v>
      </c>
      <c r="BF2635">
        <v>0</v>
      </c>
      <c r="BG2635">
        <v>0</v>
      </c>
      <c r="BH2635">
        <v>2475</v>
      </c>
      <c r="BI2635">
        <v>1</v>
      </c>
      <c r="BJ2635">
        <v>1</v>
      </c>
      <c r="BK2635">
        <v>0</v>
      </c>
      <c r="BL2635">
        <v>0</v>
      </c>
      <c r="BO2635">
        <v>0</v>
      </c>
      <c r="BP2635">
        <v>0</v>
      </c>
      <c r="BW2635" t="str">
        <f t="shared" si="1245"/>
        <v>14:45:51.173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56</v>
      </c>
      <c r="CR2635">
        <v>2</v>
      </c>
      <c r="CW2635">
        <v>4889052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1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 t="shared" si="1243"/>
        <v>05/12/2020 14:45:33.355</v>
      </c>
      <c r="C2636" t="str">
        <f t="shared" si="1222"/>
        <v>FFDFD3C0</v>
      </c>
      <c r="D2636" t="s">
        <v>138</v>
      </c>
      <c r="E2636">
        <v>2</v>
      </c>
      <c r="H2636">
        <v>8</v>
      </c>
      <c r="I2636" t="s">
        <v>139</v>
      </c>
      <c r="J2636" t="s">
        <v>136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244"/>
        <v>14:45:51.172</v>
      </c>
      <c r="T2636" t="str">
        <f t="shared" si="1244"/>
        <v>14:45:51.172</v>
      </c>
      <c r="U2636" t="str">
        <f t="shared" si="1242"/>
        <v>A9808D</v>
      </c>
      <c r="V2636">
        <v>0</v>
      </c>
      <c r="W2636">
        <v>0</v>
      </c>
      <c r="X2636">
        <v>1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0</v>
      </c>
      <c r="AI2636" t="s">
        <v>651</v>
      </c>
      <c r="AJ2636">
        <v>28.250356</v>
      </c>
      <c r="AK2636" t="s">
        <v>652</v>
      </c>
      <c r="AL2636">
        <v>-82.316779999999994</v>
      </c>
      <c r="AM2636">
        <v>100</v>
      </c>
      <c r="AN2636">
        <v>2400</v>
      </c>
      <c r="AO2636" t="s">
        <v>118</v>
      </c>
      <c r="AP2636">
        <v>101</v>
      </c>
      <c r="AQ2636">
        <v>-30</v>
      </c>
      <c r="AR2636">
        <v>192</v>
      </c>
      <c r="AZ2636">
        <v>1200</v>
      </c>
      <c r="BA2636">
        <v>1</v>
      </c>
      <c r="BB2636" t="str">
        <f t="shared" si="1223"/>
        <v xml:space="preserve">N711JA  </v>
      </c>
      <c r="BC2636">
        <v>1</v>
      </c>
      <c r="BE2636">
        <v>0</v>
      </c>
      <c r="BF2636">
        <v>0</v>
      </c>
      <c r="BG2636">
        <v>0</v>
      </c>
      <c r="BH2636">
        <v>2475</v>
      </c>
      <c r="BI2636">
        <v>1</v>
      </c>
      <c r="BJ2636">
        <v>1</v>
      </c>
      <c r="BK2636">
        <v>0</v>
      </c>
      <c r="BL2636">
        <v>0</v>
      </c>
      <c r="BO2636">
        <v>0</v>
      </c>
      <c r="BP2636">
        <v>0</v>
      </c>
      <c r="BW2636" t="str">
        <f t="shared" si="1245"/>
        <v>14:45:51.173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119</v>
      </c>
      <c r="CQ2636">
        <v>56</v>
      </c>
      <c r="CR2636">
        <v>2</v>
      </c>
      <c r="CW2636">
        <v>4889052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1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 t="shared" si="1243"/>
        <v>05/12/2020 14:45:33.355</v>
      </c>
      <c r="C2637" t="str">
        <f t="shared" si="1222"/>
        <v>FFDFD3C0</v>
      </c>
      <c r="D2637" t="s">
        <v>131</v>
      </c>
      <c r="E2637">
        <v>12</v>
      </c>
      <c r="F2637">
        <v>2012</v>
      </c>
      <c r="G2637" t="s">
        <v>137</v>
      </c>
      <c r="J2637" t="s">
        <v>133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244"/>
        <v>14:45:51.172</v>
      </c>
      <c r="T2637" t="str">
        <f t="shared" si="1244"/>
        <v>14:45:51.172</v>
      </c>
      <c r="U2637" t="str">
        <f t="shared" si="1242"/>
        <v>A9808D</v>
      </c>
      <c r="V2637">
        <v>0</v>
      </c>
      <c r="W2637">
        <v>0</v>
      </c>
      <c r="X2637">
        <v>1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0</v>
      </c>
      <c r="AI2637" t="s">
        <v>651</v>
      </c>
      <c r="AJ2637">
        <v>28.250356</v>
      </c>
      <c r="AK2637" t="s">
        <v>652</v>
      </c>
      <c r="AL2637">
        <v>-82.316779999999994</v>
      </c>
      <c r="AM2637">
        <v>100</v>
      </c>
      <c r="AN2637">
        <v>2400</v>
      </c>
      <c r="AO2637" t="s">
        <v>118</v>
      </c>
      <c r="AP2637">
        <v>101</v>
      </c>
      <c r="AQ2637">
        <v>-30</v>
      </c>
      <c r="AR2637">
        <v>192</v>
      </c>
      <c r="AZ2637">
        <v>1200</v>
      </c>
      <c r="BA2637">
        <v>1</v>
      </c>
      <c r="BB2637" t="str">
        <f t="shared" si="1223"/>
        <v xml:space="preserve">N711JA  </v>
      </c>
      <c r="BC2637">
        <v>1</v>
      </c>
      <c r="BE2637">
        <v>0</v>
      </c>
      <c r="BF2637">
        <v>0</v>
      </c>
      <c r="BG2637">
        <v>0</v>
      </c>
      <c r="BH2637">
        <v>2475</v>
      </c>
      <c r="BI2637">
        <v>1</v>
      </c>
      <c r="BJ2637">
        <v>1</v>
      </c>
      <c r="BK2637">
        <v>0</v>
      </c>
      <c r="BL2637">
        <v>0</v>
      </c>
      <c r="BO2637">
        <v>0</v>
      </c>
      <c r="BP2637">
        <v>0</v>
      </c>
      <c r="BW2637" t="str">
        <f t="shared" si="1245"/>
        <v>14:45:51.173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119</v>
      </c>
      <c r="CQ2637">
        <v>56</v>
      </c>
      <c r="CR2637">
        <v>2</v>
      </c>
      <c r="CW2637">
        <v>4889052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1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 t="shared" si="1243"/>
        <v>05/12/2020 14:45:33.355</v>
      </c>
      <c r="C2638" t="str">
        <f t="shared" si="1222"/>
        <v>FFDFD3C0</v>
      </c>
      <c r="D2638" t="s">
        <v>113</v>
      </c>
      <c r="E2638">
        <v>3</v>
      </c>
      <c r="H2638">
        <v>164</v>
      </c>
      <c r="I2638" t="s">
        <v>114</v>
      </c>
      <c r="J2638" t="s">
        <v>115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244"/>
        <v>14:45:51.172</v>
      </c>
      <c r="T2638" t="str">
        <f t="shared" si="1244"/>
        <v>14:45:51.172</v>
      </c>
      <c r="U2638" t="str">
        <f t="shared" si="1242"/>
        <v>A9808D</v>
      </c>
      <c r="V2638">
        <v>0</v>
      </c>
      <c r="W2638">
        <v>0</v>
      </c>
      <c r="X2638">
        <v>1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0</v>
      </c>
      <c r="AI2638" t="s">
        <v>651</v>
      </c>
      <c r="AJ2638">
        <v>28.250356</v>
      </c>
      <c r="AK2638" t="s">
        <v>652</v>
      </c>
      <c r="AL2638">
        <v>-82.316779999999994</v>
      </c>
      <c r="AM2638">
        <v>100</v>
      </c>
      <c r="AN2638">
        <v>2400</v>
      </c>
      <c r="AO2638" t="s">
        <v>118</v>
      </c>
      <c r="AP2638">
        <v>101</v>
      </c>
      <c r="AQ2638">
        <v>-30</v>
      </c>
      <c r="AR2638">
        <v>192</v>
      </c>
      <c r="AZ2638">
        <v>1200</v>
      </c>
      <c r="BA2638">
        <v>1</v>
      </c>
      <c r="BB2638" t="str">
        <f t="shared" si="1223"/>
        <v xml:space="preserve">N711JA  </v>
      </c>
      <c r="BC2638">
        <v>1</v>
      </c>
      <c r="BE2638">
        <v>0</v>
      </c>
      <c r="BF2638">
        <v>0</v>
      </c>
      <c r="BG2638">
        <v>0</v>
      </c>
      <c r="BH2638">
        <v>2475</v>
      </c>
      <c r="BI2638">
        <v>1</v>
      </c>
      <c r="BJ2638">
        <v>1</v>
      </c>
      <c r="BK2638">
        <v>0</v>
      </c>
      <c r="BL2638">
        <v>0</v>
      </c>
      <c r="BO2638">
        <v>0</v>
      </c>
      <c r="BP2638">
        <v>0</v>
      </c>
      <c r="BW2638" t="str">
        <f t="shared" si="1245"/>
        <v>14:45:51.173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119</v>
      </c>
      <c r="CQ2638">
        <v>56</v>
      </c>
      <c r="CR2638">
        <v>2</v>
      </c>
      <c r="CW2638">
        <v>4889052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1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 t="shared" si="1243"/>
        <v>05/12/2020 14:45:33.355</v>
      </c>
      <c r="C2639" t="str">
        <f t="shared" si="1222"/>
        <v>FFDFD3C0</v>
      </c>
      <c r="D2639" t="s">
        <v>131</v>
      </c>
      <c r="E2639">
        <v>18</v>
      </c>
      <c r="F2639">
        <v>2018</v>
      </c>
      <c r="G2639" t="s">
        <v>161</v>
      </c>
      <c r="J2639" t="s">
        <v>133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244"/>
        <v>14:45:51.172</v>
      </c>
      <c r="T2639" t="str">
        <f t="shared" si="1244"/>
        <v>14:45:51.172</v>
      </c>
      <c r="U2639" t="str">
        <f t="shared" si="1242"/>
        <v>A9808D</v>
      </c>
      <c r="V2639">
        <v>0</v>
      </c>
      <c r="W2639">
        <v>0</v>
      </c>
      <c r="X2639">
        <v>1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0</v>
      </c>
      <c r="AI2639" t="s">
        <v>651</v>
      </c>
      <c r="AJ2639">
        <v>28.250356</v>
      </c>
      <c r="AK2639" t="s">
        <v>652</v>
      </c>
      <c r="AL2639">
        <v>-82.316779999999994</v>
      </c>
      <c r="AM2639">
        <v>100</v>
      </c>
      <c r="AN2639">
        <v>2400</v>
      </c>
      <c r="AO2639" t="s">
        <v>118</v>
      </c>
      <c r="AP2639">
        <v>101</v>
      </c>
      <c r="AQ2639">
        <v>-30</v>
      </c>
      <c r="AR2639">
        <v>192</v>
      </c>
      <c r="AZ2639">
        <v>1200</v>
      </c>
      <c r="BA2639">
        <v>1</v>
      </c>
      <c r="BB2639" t="str">
        <f t="shared" si="1223"/>
        <v xml:space="preserve">N711JA  </v>
      </c>
      <c r="BC2639">
        <v>1</v>
      </c>
      <c r="BE2639">
        <v>0</v>
      </c>
      <c r="BF2639">
        <v>0</v>
      </c>
      <c r="BG2639">
        <v>0</v>
      </c>
      <c r="BH2639">
        <v>2475</v>
      </c>
      <c r="BI2639">
        <v>1</v>
      </c>
      <c r="BJ2639">
        <v>1</v>
      </c>
      <c r="BK2639">
        <v>0</v>
      </c>
      <c r="BL2639">
        <v>0</v>
      </c>
      <c r="BO2639">
        <v>0</v>
      </c>
      <c r="BP2639">
        <v>0</v>
      </c>
      <c r="BW2639" t="str">
        <f t="shared" si="1245"/>
        <v>14:45:51.173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119</v>
      </c>
      <c r="CQ2639">
        <v>56</v>
      </c>
      <c r="CR2639">
        <v>2</v>
      </c>
      <c r="CW2639">
        <v>4889052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1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 t="shared" si="1243"/>
        <v>05/12/2020 14:45:33.355</v>
      </c>
      <c r="C2640" t="str">
        <f t="shared" si="1222"/>
        <v>FFDFD3C0</v>
      </c>
      <c r="D2640" t="s">
        <v>134</v>
      </c>
      <c r="E2640">
        <v>12</v>
      </c>
      <c r="H2640">
        <v>64</v>
      </c>
      <c r="I2640" t="s">
        <v>135</v>
      </c>
      <c r="J2640" t="s">
        <v>136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244"/>
        <v>14:45:51.172</v>
      </c>
      <c r="T2640" t="str">
        <f t="shared" si="1244"/>
        <v>14:45:51.172</v>
      </c>
      <c r="U2640" t="str">
        <f t="shared" si="1242"/>
        <v>A9808D</v>
      </c>
      <c r="V2640">
        <v>0</v>
      </c>
      <c r="W2640">
        <v>0</v>
      </c>
      <c r="X2640">
        <v>1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0</v>
      </c>
      <c r="AI2640" t="s">
        <v>651</v>
      </c>
      <c r="AJ2640">
        <v>28.250356</v>
      </c>
      <c r="AK2640" t="s">
        <v>652</v>
      </c>
      <c r="AL2640">
        <v>-82.316779999999994</v>
      </c>
      <c r="AM2640">
        <v>100</v>
      </c>
      <c r="AN2640">
        <v>2400</v>
      </c>
      <c r="AO2640" t="s">
        <v>118</v>
      </c>
      <c r="AP2640">
        <v>101</v>
      </c>
      <c r="AQ2640">
        <v>-30</v>
      </c>
      <c r="AR2640">
        <v>192</v>
      </c>
      <c r="AZ2640">
        <v>1200</v>
      </c>
      <c r="BA2640">
        <v>1</v>
      </c>
      <c r="BB2640" t="str">
        <f t="shared" si="1223"/>
        <v xml:space="preserve">N711JA  </v>
      </c>
      <c r="BC2640">
        <v>1</v>
      </c>
      <c r="BE2640">
        <v>0</v>
      </c>
      <c r="BF2640">
        <v>0</v>
      </c>
      <c r="BG2640">
        <v>0</v>
      </c>
      <c r="BH2640">
        <v>2475</v>
      </c>
      <c r="BI2640">
        <v>1</v>
      </c>
      <c r="BJ2640">
        <v>1</v>
      </c>
      <c r="BK2640">
        <v>0</v>
      </c>
      <c r="BL2640">
        <v>0</v>
      </c>
      <c r="BO2640">
        <v>0</v>
      </c>
      <c r="BP2640">
        <v>0</v>
      </c>
      <c r="BW2640" t="str">
        <f t="shared" si="1245"/>
        <v>14:45:51.173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5</v>
      </c>
      <c r="CP2640" t="s">
        <v>119</v>
      </c>
      <c r="CQ2640">
        <v>358</v>
      </c>
      <c r="CR2640">
        <v>0</v>
      </c>
      <c r="CW2640">
        <v>4867686</v>
      </c>
      <c r="CY2640">
        <v>1</v>
      </c>
      <c r="CZ2640">
        <v>0</v>
      </c>
      <c r="DA2640">
        <v>1</v>
      </c>
      <c r="DB2640">
        <v>0</v>
      </c>
      <c r="DC2640">
        <v>0</v>
      </c>
      <c r="DD2640">
        <v>1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 t="shared" ref="A2641:A2649" si="1246">"05/12/2020 14:45:34.382"</f>
        <v>05/12/2020 14:45:34.382</v>
      </c>
      <c r="C2641" t="str">
        <f t="shared" si="1222"/>
        <v>FFDFD3C0</v>
      </c>
      <c r="D2641" t="s">
        <v>131</v>
      </c>
      <c r="E2641">
        <v>10</v>
      </c>
      <c r="F2641">
        <v>2010</v>
      </c>
      <c r="G2641" t="s">
        <v>132</v>
      </c>
      <c r="J2641" t="s">
        <v>133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ref="S2641:T2649" si="1247">"14:45:52.227"</f>
        <v>14:45:52.227</v>
      </c>
      <c r="T2641" t="str">
        <f t="shared" si="1247"/>
        <v>14:45:52.227</v>
      </c>
      <c r="U2641" t="str">
        <f t="shared" si="1242"/>
        <v>A9808D</v>
      </c>
      <c r="V2641">
        <v>0</v>
      </c>
      <c r="W2641">
        <v>0</v>
      </c>
      <c r="X2641">
        <v>1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0</v>
      </c>
      <c r="AI2641" t="s">
        <v>244</v>
      </c>
      <c r="AJ2641">
        <v>28.250247999999999</v>
      </c>
      <c r="AK2641" t="s">
        <v>653</v>
      </c>
      <c r="AL2641">
        <v>-82.316221999999996</v>
      </c>
      <c r="AM2641">
        <v>100</v>
      </c>
      <c r="AN2641">
        <v>2400</v>
      </c>
      <c r="AO2641" t="s">
        <v>118</v>
      </c>
      <c r="AP2641">
        <v>101</v>
      </c>
      <c r="AQ2641">
        <v>-30</v>
      </c>
      <c r="AR2641">
        <v>192</v>
      </c>
      <c r="AZ2641">
        <v>1200</v>
      </c>
      <c r="BA2641">
        <v>1</v>
      </c>
      <c r="BB2641" t="str">
        <f t="shared" si="1223"/>
        <v xml:space="preserve">N711JA  </v>
      </c>
      <c r="BC2641">
        <v>1</v>
      </c>
      <c r="BE2641">
        <v>0</v>
      </c>
      <c r="BF2641">
        <v>0</v>
      </c>
      <c r="BG2641">
        <v>0</v>
      </c>
      <c r="BH2641">
        <v>2500</v>
      </c>
      <c r="BI2641">
        <v>1</v>
      </c>
      <c r="BJ2641">
        <v>1</v>
      </c>
      <c r="BK2641">
        <v>0</v>
      </c>
      <c r="BL2641">
        <v>0</v>
      </c>
      <c r="BO2641">
        <v>0</v>
      </c>
      <c r="BP2641">
        <v>0</v>
      </c>
      <c r="BW2641" t="str">
        <f t="shared" ref="BW2641:BW2649" si="1248">"14:45:52.227"</f>
        <v>14:45:52.227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119</v>
      </c>
      <c r="CQ2641">
        <v>56</v>
      </c>
      <c r="CR2641">
        <v>2</v>
      </c>
      <c r="CW2641">
        <v>4890478</v>
      </c>
      <c r="CY2641">
        <v>1</v>
      </c>
      <c r="CZ2641">
        <v>0</v>
      </c>
      <c r="DA2641">
        <v>0</v>
      </c>
      <c r="DB2641">
        <v>0</v>
      </c>
      <c r="DC2641">
        <v>0</v>
      </c>
      <c r="DD2641">
        <v>1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 t="shared" si="1246"/>
        <v>05/12/2020 14:45:34.382</v>
      </c>
      <c r="C2642" t="str">
        <f t="shared" si="1222"/>
        <v>FFDFD3C0</v>
      </c>
      <c r="D2642" t="s">
        <v>131</v>
      </c>
      <c r="E2642">
        <v>12</v>
      </c>
      <c r="F2642">
        <v>2012</v>
      </c>
      <c r="G2642" t="s">
        <v>137</v>
      </c>
      <c r="J2642" t="s">
        <v>133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247"/>
        <v>14:45:52.227</v>
      </c>
      <c r="T2642" t="str">
        <f t="shared" si="1247"/>
        <v>14:45:52.227</v>
      </c>
      <c r="U2642" t="str">
        <f t="shared" si="1242"/>
        <v>A9808D</v>
      </c>
      <c r="V2642">
        <v>0</v>
      </c>
      <c r="W2642">
        <v>0</v>
      </c>
      <c r="X2642">
        <v>1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0</v>
      </c>
      <c r="AI2642" t="s">
        <v>244</v>
      </c>
      <c r="AJ2642">
        <v>28.250247999999999</v>
      </c>
      <c r="AK2642" t="s">
        <v>653</v>
      </c>
      <c r="AL2642">
        <v>-82.316221999999996</v>
      </c>
      <c r="AM2642">
        <v>100</v>
      </c>
      <c r="AN2642">
        <v>2400</v>
      </c>
      <c r="AO2642" t="s">
        <v>118</v>
      </c>
      <c r="AP2642">
        <v>101</v>
      </c>
      <c r="AQ2642">
        <v>-30</v>
      </c>
      <c r="AR2642">
        <v>192</v>
      </c>
      <c r="AZ2642">
        <v>1200</v>
      </c>
      <c r="BA2642">
        <v>1</v>
      </c>
      <c r="BB2642" t="str">
        <f t="shared" si="1223"/>
        <v xml:space="preserve">N711JA  </v>
      </c>
      <c r="BC2642">
        <v>1</v>
      </c>
      <c r="BE2642">
        <v>0</v>
      </c>
      <c r="BF2642">
        <v>0</v>
      </c>
      <c r="BG2642">
        <v>0</v>
      </c>
      <c r="BH2642">
        <v>2500</v>
      </c>
      <c r="BI2642">
        <v>1</v>
      </c>
      <c r="BJ2642">
        <v>1</v>
      </c>
      <c r="BK2642">
        <v>0</v>
      </c>
      <c r="BL2642">
        <v>0</v>
      </c>
      <c r="BO2642">
        <v>0</v>
      </c>
      <c r="BP2642">
        <v>0</v>
      </c>
      <c r="BW2642" t="str">
        <f t="shared" si="1248"/>
        <v>14:45:52.227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56</v>
      </c>
      <c r="CR2642">
        <v>2</v>
      </c>
      <c r="CW2642">
        <v>4890478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1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 t="shared" si="1246"/>
        <v>05/12/2020 14:45:34.382</v>
      </c>
      <c r="C2643" t="str">
        <f t="shared" si="1222"/>
        <v>FFDFD3C0</v>
      </c>
      <c r="D2643" t="s">
        <v>138</v>
      </c>
      <c r="E2643">
        <v>2</v>
      </c>
      <c r="H2643">
        <v>8</v>
      </c>
      <c r="I2643" t="s">
        <v>139</v>
      </c>
      <c r="J2643" t="s">
        <v>136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247"/>
        <v>14:45:52.227</v>
      </c>
      <c r="T2643" t="str">
        <f t="shared" si="1247"/>
        <v>14:45:52.227</v>
      </c>
      <c r="U2643" t="str">
        <f t="shared" si="1242"/>
        <v>A9808D</v>
      </c>
      <c r="V2643">
        <v>0</v>
      </c>
      <c r="W2643">
        <v>0</v>
      </c>
      <c r="X2643">
        <v>1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0</v>
      </c>
      <c r="AI2643" t="s">
        <v>244</v>
      </c>
      <c r="AJ2643">
        <v>28.250247999999999</v>
      </c>
      <c r="AK2643" t="s">
        <v>653</v>
      </c>
      <c r="AL2643">
        <v>-82.316221999999996</v>
      </c>
      <c r="AM2643">
        <v>100</v>
      </c>
      <c r="AN2643">
        <v>2400</v>
      </c>
      <c r="AO2643" t="s">
        <v>118</v>
      </c>
      <c r="AP2643">
        <v>101</v>
      </c>
      <c r="AQ2643">
        <v>-30</v>
      </c>
      <c r="AR2643">
        <v>192</v>
      </c>
      <c r="AZ2643">
        <v>1200</v>
      </c>
      <c r="BA2643">
        <v>1</v>
      </c>
      <c r="BB2643" t="str">
        <f t="shared" si="1223"/>
        <v xml:space="preserve">N711JA  </v>
      </c>
      <c r="BC2643">
        <v>1</v>
      </c>
      <c r="BE2643">
        <v>0</v>
      </c>
      <c r="BF2643">
        <v>0</v>
      </c>
      <c r="BG2643">
        <v>0</v>
      </c>
      <c r="BH2643">
        <v>2500</v>
      </c>
      <c r="BI2643">
        <v>1</v>
      </c>
      <c r="BJ2643">
        <v>1</v>
      </c>
      <c r="BK2643">
        <v>0</v>
      </c>
      <c r="BL2643">
        <v>0</v>
      </c>
      <c r="BO2643">
        <v>0</v>
      </c>
      <c r="BP2643">
        <v>0</v>
      </c>
      <c r="BW2643" t="str">
        <f t="shared" si="1248"/>
        <v>14:45:52.227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56</v>
      </c>
      <c r="CR2643">
        <v>2</v>
      </c>
      <c r="CW2643">
        <v>4890478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1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 t="shared" si="1246"/>
        <v>05/12/2020 14:45:34.382</v>
      </c>
      <c r="C2644" t="str">
        <f t="shared" si="1222"/>
        <v>FFDFD3C0</v>
      </c>
      <c r="D2644" t="s">
        <v>113</v>
      </c>
      <c r="E2644">
        <v>3</v>
      </c>
      <c r="H2644">
        <v>164</v>
      </c>
      <c r="I2644" t="s">
        <v>114</v>
      </c>
      <c r="J2644" t="s">
        <v>115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247"/>
        <v>14:45:52.227</v>
      </c>
      <c r="T2644" t="str">
        <f t="shared" si="1247"/>
        <v>14:45:52.227</v>
      </c>
      <c r="U2644" t="str">
        <f t="shared" si="1242"/>
        <v>A9808D</v>
      </c>
      <c r="V2644">
        <v>0</v>
      </c>
      <c r="W2644">
        <v>0</v>
      </c>
      <c r="X2644">
        <v>1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0</v>
      </c>
      <c r="AI2644" t="s">
        <v>244</v>
      </c>
      <c r="AJ2644">
        <v>28.250247999999999</v>
      </c>
      <c r="AK2644" t="s">
        <v>653</v>
      </c>
      <c r="AL2644">
        <v>-82.316221999999996</v>
      </c>
      <c r="AM2644">
        <v>100</v>
      </c>
      <c r="AN2644">
        <v>2400</v>
      </c>
      <c r="AO2644" t="s">
        <v>118</v>
      </c>
      <c r="AP2644">
        <v>101</v>
      </c>
      <c r="AQ2644">
        <v>-30</v>
      </c>
      <c r="AR2644">
        <v>192</v>
      </c>
      <c r="AZ2644">
        <v>1200</v>
      </c>
      <c r="BA2644">
        <v>1</v>
      </c>
      <c r="BB2644" t="str">
        <f t="shared" si="1223"/>
        <v xml:space="preserve">N711JA  </v>
      </c>
      <c r="BC2644">
        <v>1</v>
      </c>
      <c r="BE2644">
        <v>0</v>
      </c>
      <c r="BF2644">
        <v>0</v>
      </c>
      <c r="BG2644">
        <v>0</v>
      </c>
      <c r="BH2644">
        <v>2500</v>
      </c>
      <c r="BI2644">
        <v>1</v>
      </c>
      <c r="BJ2644">
        <v>1</v>
      </c>
      <c r="BK2644">
        <v>0</v>
      </c>
      <c r="BL2644">
        <v>0</v>
      </c>
      <c r="BO2644">
        <v>0</v>
      </c>
      <c r="BP2644">
        <v>0</v>
      </c>
      <c r="BW2644" t="str">
        <f t="shared" si="1248"/>
        <v>14:45:52.227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56</v>
      </c>
      <c r="CR2644">
        <v>2</v>
      </c>
      <c r="CW2644">
        <v>4890478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1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 t="shared" si="1246"/>
        <v>05/12/2020 14:45:34.382</v>
      </c>
      <c r="C2645" t="str">
        <f t="shared" si="1222"/>
        <v>FFDFD3C0</v>
      </c>
      <c r="D2645" t="s">
        <v>131</v>
      </c>
      <c r="E2645">
        <v>18</v>
      </c>
      <c r="F2645">
        <v>2018</v>
      </c>
      <c r="G2645" t="s">
        <v>161</v>
      </c>
      <c r="J2645" t="s">
        <v>133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247"/>
        <v>14:45:52.227</v>
      </c>
      <c r="T2645" t="str">
        <f t="shared" si="1247"/>
        <v>14:45:52.227</v>
      </c>
      <c r="U2645" t="str">
        <f t="shared" si="1242"/>
        <v>A9808D</v>
      </c>
      <c r="V2645">
        <v>0</v>
      </c>
      <c r="W2645">
        <v>0</v>
      </c>
      <c r="X2645">
        <v>1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0</v>
      </c>
      <c r="AI2645" t="s">
        <v>244</v>
      </c>
      <c r="AJ2645">
        <v>28.250247999999999</v>
      </c>
      <c r="AK2645" t="s">
        <v>653</v>
      </c>
      <c r="AL2645">
        <v>-82.316221999999996</v>
      </c>
      <c r="AM2645">
        <v>100</v>
      </c>
      <c r="AN2645">
        <v>2400</v>
      </c>
      <c r="AO2645" t="s">
        <v>118</v>
      </c>
      <c r="AP2645">
        <v>101</v>
      </c>
      <c r="AQ2645">
        <v>-30</v>
      </c>
      <c r="AR2645">
        <v>192</v>
      </c>
      <c r="AZ2645">
        <v>1200</v>
      </c>
      <c r="BA2645">
        <v>1</v>
      </c>
      <c r="BB2645" t="str">
        <f t="shared" si="1223"/>
        <v xml:space="preserve">N711JA  </v>
      </c>
      <c r="BC2645">
        <v>1</v>
      </c>
      <c r="BE2645">
        <v>0</v>
      </c>
      <c r="BF2645">
        <v>0</v>
      </c>
      <c r="BG2645">
        <v>0</v>
      </c>
      <c r="BH2645">
        <v>2500</v>
      </c>
      <c r="BI2645">
        <v>1</v>
      </c>
      <c r="BJ2645">
        <v>1</v>
      </c>
      <c r="BK2645">
        <v>0</v>
      </c>
      <c r="BL2645">
        <v>0</v>
      </c>
      <c r="BO2645">
        <v>0</v>
      </c>
      <c r="BP2645">
        <v>0</v>
      </c>
      <c r="BW2645" t="str">
        <f t="shared" si="1248"/>
        <v>14:45:52.227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56</v>
      </c>
      <c r="CR2645">
        <v>2</v>
      </c>
      <c r="CW2645">
        <v>4890478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1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 t="shared" si="1246"/>
        <v>05/12/2020 14:45:34.382</v>
      </c>
      <c r="C2646" t="str">
        <f t="shared" ref="C2646:C2709" si="1249">"FFDFD3C0"</f>
        <v>FFDFD3C0</v>
      </c>
      <c r="D2646" t="s">
        <v>134</v>
      </c>
      <c r="E2646">
        <v>12</v>
      </c>
      <c r="H2646">
        <v>64</v>
      </c>
      <c r="I2646" t="s">
        <v>135</v>
      </c>
      <c r="J2646" t="s">
        <v>136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247"/>
        <v>14:45:52.227</v>
      </c>
      <c r="T2646" t="str">
        <f t="shared" si="1247"/>
        <v>14:45:52.227</v>
      </c>
      <c r="U2646" t="str">
        <f t="shared" si="1242"/>
        <v>A9808D</v>
      </c>
      <c r="V2646">
        <v>0</v>
      </c>
      <c r="W2646">
        <v>0</v>
      </c>
      <c r="X2646">
        <v>1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0</v>
      </c>
      <c r="AI2646" t="s">
        <v>244</v>
      </c>
      <c r="AJ2646">
        <v>28.250247999999999</v>
      </c>
      <c r="AK2646" t="s">
        <v>653</v>
      </c>
      <c r="AL2646">
        <v>-82.316221999999996</v>
      </c>
      <c r="AM2646">
        <v>100</v>
      </c>
      <c r="AN2646">
        <v>2400</v>
      </c>
      <c r="AO2646" t="s">
        <v>118</v>
      </c>
      <c r="AP2646">
        <v>101</v>
      </c>
      <c r="AQ2646">
        <v>-30</v>
      </c>
      <c r="AR2646">
        <v>192</v>
      </c>
      <c r="AZ2646">
        <v>1200</v>
      </c>
      <c r="BA2646">
        <v>1</v>
      </c>
      <c r="BB2646" t="str">
        <f t="shared" ref="BB2646:BB2709" si="1250">"N711JA  "</f>
        <v xml:space="preserve">N711JA  </v>
      </c>
      <c r="BC2646">
        <v>1</v>
      </c>
      <c r="BE2646">
        <v>0</v>
      </c>
      <c r="BF2646">
        <v>0</v>
      </c>
      <c r="BG2646">
        <v>0</v>
      </c>
      <c r="BH2646">
        <v>2500</v>
      </c>
      <c r="BI2646">
        <v>1</v>
      </c>
      <c r="BJ2646">
        <v>1</v>
      </c>
      <c r="BK2646">
        <v>0</v>
      </c>
      <c r="BL2646">
        <v>0</v>
      </c>
      <c r="BO2646">
        <v>0</v>
      </c>
      <c r="BP2646">
        <v>0</v>
      </c>
      <c r="BW2646" t="str">
        <f t="shared" si="1248"/>
        <v>14:45:52.227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5</v>
      </c>
      <c r="CP2646" t="s">
        <v>119</v>
      </c>
      <c r="CQ2646">
        <v>358</v>
      </c>
      <c r="CR2646">
        <v>0</v>
      </c>
      <c r="CW2646">
        <v>4868971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1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 t="shared" si="1246"/>
        <v>05/12/2020 14:45:34.382</v>
      </c>
      <c r="C2647" t="str">
        <f t="shared" si="1249"/>
        <v>FFDFD3C0</v>
      </c>
      <c r="D2647" t="s">
        <v>138</v>
      </c>
      <c r="E2647">
        <v>3</v>
      </c>
      <c r="H2647">
        <v>9</v>
      </c>
      <c r="I2647" t="s">
        <v>140</v>
      </c>
      <c r="J2647" t="s">
        <v>136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247"/>
        <v>14:45:52.227</v>
      </c>
      <c r="T2647" t="str">
        <f t="shared" si="1247"/>
        <v>14:45:52.227</v>
      </c>
      <c r="U2647" t="str">
        <f t="shared" si="1242"/>
        <v>A9808D</v>
      </c>
      <c r="V2647">
        <v>0</v>
      </c>
      <c r="W2647">
        <v>0</v>
      </c>
      <c r="X2647">
        <v>1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0</v>
      </c>
      <c r="AI2647" t="s">
        <v>244</v>
      </c>
      <c r="AJ2647">
        <v>28.250247999999999</v>
      </c>
      <c r="AK2647" t="s">
        <v>653</v>
      </c>
      <c r="AL2647">
        <v>-82.316221999999996</v>
      </c>
      <c r="AM2647">
        <v>100</v>
      </c>
      <c r="AN2647">
        <v>2400</v>
      </c>
      <c r="AO2647" t="s">
        <v>118</v>
      </c>
      <c r="AP2647">
        <v>101</v>
      </c>
      <c r="AQ2647">
        <v>-30</v>
      </c>
      <c r="AR2647">
        <v>192</v>
      </c>
      <c r="AZ2647">
        <v>1200</v>
      </c>
      <c r="BA2647">
        <v>1</v>
      </c>
      <c r="BB2647" t="str">
        <f t="shared" si="1250"/>
        <v xml:space="preserve">N711JA  </v>
      </c>
      <c r="BC2647">
        <v>1</v>
      </c>
      <c r="BE2647">
        <v>0</v>
      </c>
      <c r="BF2647">
        <v>0</v>
      </c>
      <c r="BG2647">
        <v>0</v>
      </c>
      <c r="BH2647">
        <v>2500</v>
      </c>
      <c r="BI2647">
        <v>1</v>
      </c>
      <c r="BJ2647">
        <v>1</v>
      </c>
      <c r="BK2647">
        <v>0</v>
      </c>
      <c r="BL2647">
        <v>0</v>
      </c>
      <c r="BO2647">
        <v>0</v>
      </c>
      <c r="BP2647">
        <v>0</v>
      </c>
      <c r="BW2647" t="str">
        <f t="shared" si="1248"/>
        <v>14:45:52.227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56</v>
      </c>
      <c r="CR2647">
        <v>2</v>
      </c>
      <c r="CW2647">
        <v>4890478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1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 t="shared" si="1246"/>
        <v>05/12/2020 14:45:34.382</v>
      </c>
      <c r="C2648" t="str">
        <f t="shared" si="1249"/>
        <v>FFDFD3C0</v>
      </c>
      <c r="D2648" t="s">
        <v>126</v>
      </c>
      <c r="E2648">
        <v>6</v>
      </c>
      <c r="F2648">
        <v>1006</v>
      </c>
      <c r="G2648" t="s">
        <v>114</v>
      </c>
      <c r="J2648" t="s">
        <v>128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247"/>
        <v>14:45:52.227</v>
      </c>
      <c r="T2648" t="str">
        <f t="shared" si="1247"/>
        <v>14:45:52.227</v>
      </c>
      <c r="U2648" t="str">
        <f t="shared" si="1242"/>
        <v>A9808D</v>
      </c>
      <c r="V2648">
        <v>0</v>
      </c>
      <c r="W2648">
        <v>0</v>
      </c>
      <c r="X2648">
        <v>1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0</v>
      </c>
      <c r="AI2648" t="s">
        <v>244</v>
      </c>
      <c r="AJ2648">
        <v>28.250247999999999</v>
      </c>
      <c r="AK2648" t="s">
        <v>653</v>
      </c>
      <c r="AL2648">
        <v>-82.316221999999996</v>
      </c>
      <c r="AM2648">
        <v>100</v>
      </c>
      <c r="AN2648">
        <v>2400</v>
      </c>
      <c r="AO2648" t="s">
        <v>118</v>
      </c>
      <c r="AP2648">
        <v>101</v>
      </c>
      <c r="AQ2648">
        <v>-30</v>
      </c>
      <c r="AR2648">
        <v>192</v>
      </c>
      <c r="AZ2648">
        <v>1200</v>
      </c>
      <c r="BA2648">
        <v>1</v>
      </c>
      <c r="BB2648" t="str">
        <f t="shared" si="1250"/>
        <v xml:space="preserve">N711JA  </v>
      </c>
      <c r="BC2648">
        <v>1</v>
      </c>
      <c r="BE2648">
        <v>0</v>
      </c>
      <c r="BF2648">
        <v>0</v>
      </c>
      <c r="BG2648">
        <v>0</v>
      </c>
      <c r="BH2648">
        <v>2500</v>
      </c>
      <c r="BI2648">
        <v>1</v>
      </c>
      <c r="BJ2648">
        <v>1</v>
      </c>
      <c r="BK2648">
        <v>0</v>
      </c>
      <c r="BL2648">
        <v>0</v>
      </c>
      <c r="BO2648">
        <v>0</v>
      </c>
      <c r="BP2648">
        <v>0</v>
      </c>
      <c r="BW2648" t="str">
        <f t="shared" si="1248"/>
        <v>14:45:52.227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56</v>
      </c>
      <c r="CR2648">
        <v>2</v>
      </c>
      <c r="CW2648">
        <v>4890478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1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 t="shared" si="1246"/>
        <v>05/12/2020 14:45:34.382</v>
      </c>
      <c r="C2649" t="str">
        <f t="shared" si="1249"/>
        <v>FFDFD3C0</v>
      </c>
      <c r="D2649" t="s">
        <v>126</v>
      </c>
      <c r="E2649">
        <v>7</v>
      </c>
      <c r="F2649">
        <v>1007</v>
      </c>
      <c r="G2649" t="s">
        <v>127</v>
      </c>
      <c r="J2649" t="s">
        <v>128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247"/>
        <v>14:45:52.227</v>
      </c>
      <c r="T2649" t="str">
        <f t="shared" si="1247"/>
        <v>14:45:52.227</v>
      </c>
      <c r="U2649" t="str">
        <f t="shared" si="1242"/>
        <v>A9808D</v>
      </c>
      <c r="V2649">
        <v>0</v>
      </c>
      <c r="W2649">
        <v>0</v>
      </c>
      <c r="X2649">
        <v>1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0</v>
      </c>
      <c r="AI2649" t="s">
        <v>244</v>
      </c>
      <c r="AJ2649">
        <v>28.250247999999999</v>
      </c>
      <c r="AK2649" t="s">
        <v>653</v>
      </c>
      <c r="AL2649">
        <v>-82.316221999999996</v>
      </c>
      <c r="AM2649">
        <v>100</v>
      </c>
      <c r="AN2649">
        <v>2400</v>
      </c>
      <c r="AO2649" t="s">
        <v>118</v>
      </c>
      <c r="AP2649">
        <v>101</v>
      </c>
      <c r="AQ2649">
        <v>-30</v>
      </c>
      <c r="AR2649">
        <v>192</v>
      </c>
      <c r="AZ2649">
        <v>1200</v>
      </c>
      <c r="BA2649">
        <v>1</v>
      </c>
      <c r="BB2649" t="str">
        <f t="shared" si="1250"/>
        <v xml:space="preserve">N711JA  </v>
      </c>
      <c r="BC2649">
        <v>1</v>
      </c>
      <c r="BE2649">
        <v>0</v>
      </c>
      <c r="BF2649">
        <v>0</v>
      </c>
      <c r="BG2649">
        <v>0</v>
      </c>
      <c r="BH2649">
        <v>2500</v>
      </c>
      <c r="BI2649">
        <v>1</v>
      </c>
      <c r="BJ2649">
        <v>1</v>
      </c>
      <c r="BK2649">
        <v>0</v>
      </c>
      <c r="BL2649">
        <v>0</v>
      </c>
      <c r="BO2649">
        <v>0</v>
      </c>
      <c r="BP2649">
        <v>0</v>
      </c>
      <c r="BW2649" t="str">
        <f t="shared" si="1248"/>
        <v>14:45:52.227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56</v>
      </c>
      <c r="CR2649">
        <v>2</v>
      </c>
      <c r="CW2649">
        <v>4890478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1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 t="shared" ref="A2650:A2658" si="1251">"05/12/2020 14:45:35.457"</f>
        <v>05/12/2020 14:45:35.457</v>
      </c>
      <c r="C2650" t="str">
        <f t="shared" si="1249"/>
        <v>FFDFD3C0</v>
      </c>
      <c r="D2650" t="s">
        <v>113</v>
      </c>
      <c r="E2650">
        <v>3</v>
      </c>
      <c r="H2650">
        <v>164</v>
      </c>
      <c r="I2650" t="s">
        <v>114</v>
      </c>
      <c r="J2650" t="s">
        <v>115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ref="S2650:S2658" si="1252">"14:45:53.266"</f>
        <v>14:45:53.266</v>
      </c>
      <c r="T2650" t="str">
        <f t="shared" ref="T2650:T2658" si="1253">"14:45:53.166"</f>
        <v>14:45:53.166</v>
      </c>
      <c r="U2650" t="str">
        <f t="shared" si="1242"/>
        <v>A9808D</v>
      </c>
      <c r="V2650">
        <v>0</v>
      </c>
      <c r="W2650">
        <v>0</v>
      </c>
      <c r="X2650">
        <v>1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0</v>
      </c>
      <c r="AI2650" t="s">
        <v>654</v>
      </c>
      <c r="AJ2650">
        <v>28.250098000000001</v>
      </c>
      <c r="AK2650" t="s">
        <v>655</v>
      </c>
      <c r="AL2650">
        <v>-82.315707000000003</v>
      </c>
      <c r="AM2650">
        <v>100</v>
      </c>
      <c r="AN2650">
        <v>2400</v>
      </c>
      <c r="AO2650" t="s">
        <v>118</v>
      </c>
      <c r="AP2650">
        <v>101</v>
      </c>
      <c r="AQ2650">
        <v>-29</v>
      </c>
      <c r="AR2650">
        <v>192</v>
      </c>
      <c r="AZ2650">
        <v>1200</v>
      </c>
      <c r="BA2650">
        <v>1</v>
      </c>
      <c r="BB2650" t="str">
        <f t="shared" si="1250"/>
        <v xml:space="preserve">N711JA  </v>
      </c>
      <c r="BC2650">
        <v>1</v>
      </c>
      <c r="BE2650">
        <v>0</v>
      </c>
      <c r="BF2650">
        <v>0</v>
      </c>
      <c r="BG2650">
        <v>0</v>
      </c>
      <c r="BH2650">
        <v>2500</v>
      </c>
      <c r="BI2650">
        <v>1</v>
      </c>
      <c r="BJ2650">
        <v>1</v>
      </c>
      <c r="BK2650">
        <v>0</v>
      </c>
      <c r="BL2650">
        <v>0</v>
      </c>
      <c r="BO2650">
        <v>0</v>
      </c>
      <c r="BP2650">
        <v>0</v>
      </c>
      <c r="BW2650" t="str">
        <f t="shared" ref="BW2650:BW2658" si="1254">"14:45:53.273"</f>
        <v>14:45:53.273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56</v>
      </c>
      <c r="CR2650">
        <v>2</v>
      </c>
      <c r="CW2650">
        <v>4891867</v>
      </c>
      <c r="CY2650">
        <v>1</v>
      </c>
      <c r="CZ2650">
        <v>0</v>
      </c>
      <c r="DA2650">
        <v>0</v>
      </c>
      <c r="DB2650">
        <v>0</v>
      </c>
      <c r="DC2650">
        <v>0</v>
      </c>
      <c r="DD2650">
        <v>1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 t="shared" si="1251"/>
        <v>05/12/2020 14:45:35.457</v>
      </c>
      <c r="C2651" t="str">
        <f t="shared" si="1249"/>
        <v>FFDFD3C0</v>
      </c>
      <c r="D2651" t="s">
        <v>134</v>
      </c>
      <c r="E2651">
        <v>12</v>
      </c>
      <c r="H2651">
        <v>64</v>
      </c>
      <c r="I2651" t="s">
        <v>135</v>
      </c>
      <c r="J2651" t="s">
        <v>136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252"/>
        <v>14:45:53.266</v>
      </c>
      <c r="T2651" t="str">
        <f t="shared" si="1253"/>
        <v>14:45:53.166</v>
      </c>
      <c r="U2651" t="str">
        <f t="shared" si="1242"/>
        <v>A9808D</v>
      </c>
      <c r="V2651">
        <v>0</v>
      </c>
      <c r="W2651">
        <v>0</v>
      </c>
      <c r="X2651">
        <v>1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0</v>
      </c>
      <c r="AI2651" t="s">
        <v>654</v>
      </c>
      <c r="AJ2651">
        <v>28.250098000000001</v>
      </c>
      <c r="AK2651" t="s">
        <v>655</v>
      </c>
      <c r="AL2651">
        <v>-82.315707000000003</v>
      </c>
      <c r="AM2651">
        <v>100</v>
      </c>
      <c r="AN2651">
        <v>2400</v>
      </c>
      <c r="AO2651" t="s">
        <v>118</v>
      </c>
      <c r="AP2651">
        <v>101</v>
      </c>
      <c r="AQ2651">
        <v>-29</v>
      </c>
      <c r="AR2651">
        <v>192</v>
      </c>
      <c r="AZ2651">
        <v>1200</v>
      </c>
      <c r="BA2651">
        <v>1</v>
      </c>
      <c r="BB2651" t="str">
        <f t="shared" si="1250"/>
        <v xml:space="preserve">N711JA  </v>
      </c>
      <c r="BC2651">
        <v>1</v>
      </c>
      <c r="BE2651">
        <v>0</v>
      </c>
      <c r="BF2651">
        <v>0</v>
      </c>
      <c r="BG2651">
        <v>0</v>
      </c>
      <c r="BH2651">
        <v>2500</v>
      </c>
      <c r="BI2651">
        <v>1</v>
      </c>
      <c r="BJ2651">
        <v>1</v>
      </c>
      <c r="BK2651">
        <v>0</v>
      </c>
      <c r="BL2651">
        <v>0</v>
      </c>
      <c r="BO2651">
        <v>0</v>
      </c>
      <c r="BP2651">
        <v>0</v>
      </c>
      <c r="BW2651" t="str">
        <f t="shared" si="1254"/>
        <v>14:45:53.273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5</v>
      </c>
      <c r="CP2651" t="s">
        <v>119</v>
      </c>
      <c r="CQ2651">
        <v>358</v>
      </c>
      <c r="CR2651">
        <v>0</v>
      </c>
      <c r="CW2651">
        <v>4870309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1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 t="shared" si="1251"/>
        <v>05/12/2020 14:45:35.457</v>
      </c>
      <c r="C2652" t="str">
        <f t="shared" si="1249"/>
        <v>FFDFD3C0</v>
      </c>
      <c r="D2652" t="s">
        <v>138</v>
      </c>
      <c r="E2652">
        <v>3</v>
      </c>
      <c r="H2652">
        <v>9</v>
      </c>
      <c r="I2652" t="s">
        <v>140</v>
      </c>
      <c r="J2652" t="s">
        <v>136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252"/>
        <v>14:45:53.266</v>
      </c>
      <c r="T2652" t="str">
        <f t="shared" si="1253"/>
        <v>14:45:53.166</v>
      </c>
      <c r="U2652" t="str">
        <f t="shared" si="1242"/>
        <v>A9808D</v>
      </c>
      <c r="V2652">
        <v>0</v>
      </c>
      <c r="W2652">
        <v>0</v>
      </c>
      <c r="X2652">
        <v>1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0</v>
      </c>
      <c r="AI2652" t="s">
        <v>654</v>
      </c>
      <c r="AJ2652">
        <v>28.250098000000001</v>
      </c>
      <c r="AK2652" t="s">
        <v>655</v>
      </c>
      <c r="AL2652">
        <v>-82.315707000000003</v>
      </c>
      <c r="AM2652">
        <v>100</v>
      </c>
      <c r="AN2652">
        <v>2400</v>
      </c>
      <c r="AO2652" t="s">
        <v>118</v>
      </c>
      <c r="AP2652">
        <v>101</v>
      </c>
      <c r="AQ2652">
        <v>-29</v>
      </c>
      <c r="AR2652">
        <v>192</v>
      </c>
      <c r="AZ2652">
        <v>1200</v>
      </c>
      <c r="BA2652">
        <v>1</v>
      </c>
      <c r="BB2652" t="str">
        <f t="shared" si="1250"/>
        <v xml:space="preserve">N711JA  </v>
      </c>
      <c r="BC2652">
        <v>1</v>
      </c>
      <c r="BE2652">
        <v>0</v>
      </c>
      <c r="BF2652">
        <v>0</v>
      </c>
      <c r="BG2652">
        <v>0</v>
      </c>
      <c r="BH2652">
        <v>2500</v>
      </c>
      <c r="BI2652">
        <v>1</v>
      </c>
      <c r="BJ2652">
        <v>1</v>
      </c>
      <c r="BK2652">
        <v>0</v>
      </c>
      <c r="BL2652">
        <v>0</v>
      </c>
      <c r="BO2652">
        <v>0</v>
      </c>
      <c r="BP2652">
        <v>0</v>
      </c>
      <c r="BW2652" t="str">
        <f t="shared" si="1254"/>
        <v>14:45:53.273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119</v>
      </c>
      <c r="CQ2652">
        <v>56</v>
      </c>
      <c r="CR2652">
        <v>2</v>
      </c>
      <c r="CW2652">
        <v>4891867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1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 t="shared" si="1251"/>
        <v>05/12/2020 14:45:35.457</v>
      </c>
      <c r="C2653" t="str">
        <f t="shared" si="1249"/>
        <v>FFDFD3C0</v>
      </c>
      <c r="D2653" t="s">
        <v>126</v>
      </c>
      <c r="E2653">
        <v>7</v>
      </c>
      <c r="F2653">
        <v>1007</v>
      </c>
      <c r="G2653" t="s">
        <v>127</v>
      </c>
      <c r="J2653" t="s">
        <v>128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252"/>
        <v>14:45:53.266</v>
      </c>
      <c r="T2653" t="str">
        <f t="shared" si="1253"/>
        <v>14:45:53.166</v>
      </c>
      <c r="U2653" t="str">
        <f t="shared" si="1242"/>
        <v>A9808D</v>
      </c>
      <c r="V2653">
        <v>0</v>
      </c>
      <c r="W2653">
        <v>0</v>
      </c>
      <c r="X2653">
        <v>1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0</v>
      </c>
      <c r="AI2653" t="s">
        <v>654</v>
      </c>
      <c r="AJ2653">
        <v>28.250098000000001</v>
      </c>
      <c r="AK2653" t="s">
        <v>655</v>
      </c>
      <c r="AL2653">
        <v>-82.315707000000003</v>
      </c>
      <c r="AM2653">
        <v>100</v>
      </c>
      <c r="AN2653">
        <v>2400</v>
      </c>
      <c r="AO2653" t="s">
        <v>118</v>
      </c>
      <c r="AP2653">
        <v>101</v>
      </c>
      <c r="AQ2653">
        <v>-29</v>
      </c>
      <c r="AR2653">
        <v>192</v>
      </c>
      <c r="AZ2653">
        <v>1200</v>
      </c>
      <c r="BA2653">
        <v>1</v>
      </c>
      <c r="BB2653" t="str">
        <f t="shared" si="1250"/>
        <v xml:space="preserve">N711JA  </v>
      </c>
      <c r="BC2653">
        <v>1</v>
      </c>
      <c r="BE2653">
        <v>0</v>
      </c>
      <c r="BF2653">
        <v>0</v>
      </c>
      <c r="BG2653">
        <v>0</v>
      </c>
      <c r="BH2653">
        <v>2500</v>
      </c>
      <c r="BI2653">
        <v>1</v>
      </c>
      <c r="BJ2653">
        <v>1</v>
      </c>
      <c r="BK2653">
        <v>0</v>
      </c>
      <c r="BL2653">
        <v>0</v>
      </c>
      <c r="BO2653">
        <v>0</v>
      </c>
      <c r="BP2653">
        <v>0</v>
      </c>
      <c r="BW2653" t="str">
        <f t="shared" si="1254"/>
        <v>14:45:53.273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56</v>
      </c>
      <c r="CR2653">
        <v>2</v>
      </c>
      <c r="CW2653">
        <v>4891867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1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 t="shared" si="1251"/>
        <v>05/12/2020 14:45:35.457</v>
      </c>
      <c r="C2654" t="str">
        <f t="shared" si="1249"/>
        <v>FFDFD3C0</v>
      </c>
      <c r="D2654" t="s">
        <v>126</v>
      </c>
      <c r="E2654">
        <v>6</v>
      </c>
      <c r="F2654">
        <v>1006</v>
      </c>
      <c r="G2654" t="s">
        <v>114</v>
      </c>
      <c r="J2654" t="s">
        <v>128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1252"/>
        <v>14:45:53.266</v>
      </c>
      <c r="T2654" t="str">
        <f t="shared" si="1253"/>
        <v>14:45:53.166</v>
      </c>
      <c r="U2654" t="str">
        <f t="shared" si="1242"/>
        <v>A9808D</v>
      </c>
      <c r="V2654">
        <v>0</v>
      </c>
      <c r="W2654">
        <v>0</v>
      </c>
      <c r="X2654">
        <v>1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0</v>
      </c>
      <c r="AI2654" t="s">
        <v>654</v>
      </c>
      <c r="AJ2654">
        <v>28.250098000000001</v>
      </c>
      <c r="AK2654" t="s">
        <v>655</v>
      </c>
      <c r="AL2654">
        <v>-82.315707000000003</v>
      </c>
      <c r="AM2654">
        <v>100</v>
      </c>
      <c r="AN2654">
        <v>2400</v>
      </c>
      <c r="AO2654" t="s">
        <v>118</v>
      </c>
      <c r="AP2654">
        <v>101</v>
      </c>
      <c r="AQ2654">
        <v>-29</v>
      </c>
      <c r="AR2654">
        <v>192</v>
      </c>
      <c r="AZ2654">
        <v>1200</v>
      </c>
      <c r="BA2654">
        <v>1</v>
      </c>
      <c r="BB2654" t="str">
        <f t="shared" si="1250"/>
        <v xml:space="preserve">N711JA  </v>
      </c>
      <c r="BC2654">
        <v>1</v>
      </c>
      <c r="BE2654">
        <v>0</v>
      </c>
      <c r="BF2654">
        <v>0</v>
      </c>
      <c r="BG2654">
        <v>0</v>
      </c>
      <c r="BH2654">
        <v>2500</v>
      </c>
      <c r="BI2654">
        <v>1</v>
      </c>
      <c r="BJ2654">
        <v>1</v>
      </c>
      <c r="BK2654">
        <v>0</v>
      </c>
      <c r="BL2654">
        <v>0</v>
      </c>
      <c r="BO2654">
        <v>0</v>
      </c>
      <c r="BP2654">
        <v>0</v>
      </c>
      <c r="BW2654" t="str">
        <f t="shared" si="1254"/>
        <v>14:45:53.273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119</v>
      </c>
      <c r="CQ2654">
        <v>56</v>
      </c>
      <c r="CR2654">
        <v>2</v>
      </c>
      <c r="CW2654">
        <v>4891867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1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 t="shared" si="1251"/>
        <v>05/12/2020 14:45:35.457</v>
      </c>
      <c r="C2655" t="str">
        <f t="shared" si="1249"/>
        <v>FFDFD3C0</v>
      </c>
      <c r="D2655" t="s">
        <v>131</v>
      </c>
      <c r="E2655">
        <v>10</v>
      </c>
      <c r="F2655">
        <v>2010</v>
      </c>
      <c r="G2655" t="s">
        <v>132</v>
      </c>
      <c r="J2655" t="s">
        <v>133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252"/>
        <v>14:45:53.266</v>
      </c>
      <c r="T2655" t="str">
        <f t="shared" si="1253"/>
        <v>14:45:53.166</v>
      </c>
      <c r="U2655" t="str">
        <f t="shared" si="1242"/>
        <v>A9808D</v>
      </c>
      <c r="V2655">
        <v>0</v>
      </c>
      <c r="W2655">
        <v>0</v>
      </c>
      <c r="X2655">
        <v>1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0</v>
      </c>
      <c r="AI2655" t="s">
        <v>654</v>
      </c>
      <c r="AJ2655">
        <v>28.250098000000001</v>
      </c>
      <c r="AK2655" t="s">
        <v>655</v>
      </c>
      <c r="AL2655">
        <v>-82.315707000000003</v>
      </c>
      <c r="AM2655">
        <v>100</v>
      </c>
      <c r="AN2655">
        <v>2400</v>
      </c>
      <c r="AO2655" t="s">
        <v>118</v>
      </c>
      <c r="AP2655">
        <v>101</v>
      </c>
      <c r="AQ2655">
        <v>-29</v>
      </c>
      <c r="AR2655">
        <v>192</v>
      </c>
      <c r="AZ2655">
        <v>1200</v>
      </c>
      <c r="BA2655">
        <v>1</v>
      </c>
      <c r="BB2655" t="str">
        <f t="shared" si="1250"/>
        <v xml:space="preserve">N711JA  </v>
      </c>
      <c r="BC2655">
        <v>1</v>
      </c>
      <c r="BE2655">
        <v>0</v>
      </c>
      <c r="BF2655">
        <v>0</v>
      </c>
      <c r="BG2655">
        <v>0</v>
      </c>
      <c r="BH2655">
        <v>2500</v>
      </c>
      <c r="BI2655">
        <v>1</v>
      </c>
      <c r="BJ2655">
        <v>1</v>
      </c>
      <c r="BK2655">
        <v>0</v>
      </c>
      <c r="BL2655">
        <v>0</v>
      </c>
      <c r="BO2655">
        <v>0</v>
      </c>
      <c r="BP2655">
        <v>0</v>
      </c>
      <c r="BW2655" t="str">
        <f t="shared" si="1254"/>
        <v>14:45:53.273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56</v>
      </c>
      <c r="CR2655">
        <v>2</v>
      </c>
      <c r="CW2655">
        <v>4891867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1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 t="shared" si="1251"/>
        <v>05/12/2020 14:45:35.457</v>
      </c>
      <c r="C2656" t="str">
        <f t="shared" si="1249"/>
        <v>FFDFD3C0</v>
      </c>
      <c r="D2656" t="s">
        <v>131</v>
      </c>
      <c r="E2656">
        <v>12</v>
      </c>
      <c r="F2656">
        <v>2012</v>
      </c>
      <c r="G2656" t="s">
        <v>137</v>
      </c>
      <c r="J2656" t="s">
        <v>133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1252"/>
        <v>14:45:53.266</v>
      </c>
      <c r="T2656" t="str">
        <f t="shared" si="1253"/>
        <v>14:45:53.166</v>
      </c>
      <c r="U2656" t="str">
        <f t="shared" si="1242"/>
        <v>A9808D</v>
      </c>
      <c r="V2656">
        <v>0</v>
      </c>
      <c r="W2656">
        <v>0</v>
      </c>
      <c r="X2656">
        <v>1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0</v>
      </c>
      <c r="AI2656" t="s">
        <v>654</v>
      </c>
      <c r="AJ2656">
        <v>28.250098000000001</v>
      </c>
      <c r="AK2656" t="s">
        <v>655</v>
      </c>
      <c r="AL2656">
        <v>-82.315707000000003</v>
      </c>
      <c r="AM2656">
        <v>100</v>
      </c>
      <c r="AN2656">
        <v>2400</v>
      </c>
      <c r="AO2656" t="s">
        <v>118</v>
      </c>
      <c r="AP2656">
        <v>101</v>
      </c>
      <c r="AQ2656">
        <v>-29</v>
      </c>
      <c r="AR2656">
        <v>192</v>
      </c>
      <c r="AZ2656">
        <v>1200</v>
      </c>
      <c r="BA2656">
        <v>1</v>
      </c>
      <c r="BB2656" t="str">
        <f t="shared" si="1250"/>
        <v xml:space="preserve">N711JA  </v>
      </c>
      <c r="BC2656">
        <v>1</v>
      </c>
      <c r="BE2656">
        <v>0</v>
      </c>
      <c r="BF2656">
        <v>0</v>
      </c>
      <c r="BG2656">
        <v>0</v>
      </c>
      <c r="BH2656">
        <v>2500</v>
      </c>
      <c r="BI2656">
        <v>1</v>
      </c>
      <c r="BJ2656">
        <v>1</v>
      </c>
      <c r="BK2656">
        <v>0</v>
      </c>
      <c r="BL2656">
        <v>0</v>
      </c>
      <c r="BO2656">
        <v>0</v>
      </c>
      <c r="BP2656">
        <v>0</v>
      </c>
      <c r="BW2656" t="str">
        <f t="shared" si="1254"/>
        <v>14:45:53.273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56</v>
      </c>
      <c r="CR2656">
        <v>2</v>
      </c>
      <c r="CW2656">
        <v>4891867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1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 t="shared" si="1251"/>
        <v>05/12/2020 14:45:35.457</v>
      </c>
      <c r="C2657" t="str">
        <f t="shared" si="1249"/>
        <v>FFDFD3C0</v>
      </c>
      <c r="D2657" t="s">
        <v>131</v>
      </c>
      <c r="E2657">
        <v>18</v>
      </c>
      <c r="F2657">
        <v>2018</v>
      </c>
      <c r="G2657" t="s">
        <v>161</v>
      </c>
      <c r="J2657" t="s">
        <v>133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1252"/>
        <v>14:45:53.266</v>
      </c>
      <c r="T2657" t="str">
        <f t="shared" si="1253"/>
        <v>14:45:53.166</v>
      </c>
      <c r="U2657" t="str">
        <f t="shared" si="1242"/>
        <v>A9808D</v>
      </c>
      <c r="V2657">
        <v>0</v>
      </c>
      <c r="W2657">
        <v>0</v>
      </c>
      <c r="X2657">
        <v>1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0</v>
      </c>
      <c r="AI2657" t="s">
        <v>654</v>
      </c>
      <c r="AJ2657">
        <v>28.250098000000001</v>
      </c>
      <c r="AK2657" t="s">
        <v>655</v>
      </c>
      <c r="AL2657">
        <v>-82.315707000000003</v>
      </c>
      <c r="AM2657">
        <v>100</v>
      </c>
      <c r="AN2657">
        <v>2400</v>
      </c>
      <c r="AO2657" t="s">
        <v>118</v>
      </c>
      <c r="AP2657">
        <v>101</v>
      </c>
      <c r="AQ2657">
        <v>-29</v>
      </c>
      <c r="AR2657">
        <v>192</v>
      </c>
      <c r="AZ2657">
        <v>1200</v>
      </c>
      <c r="BA2657">
        <v>1</v>
      </c>
      <c r="BB2657" t="str">
        <f t="shared" si="1250"/>
        <v xml:space="preserve">N711JA  </v>
      </c>
      <c r="BC2657">
        <v>1</v>
      </c>
      <c r="BE2657">
        <v>0</v>
      </c>
      <c r="BF2657">
        <v>0</v>
      </c>
      <c r="BG2657">
        <v>0</v>
      </c>
      <c r="BH2657">
        <v>2500</v>
      </c>
      <c r="BI2657">
        <v>1</v>
      </c>
      <c r="BJ2657">
        <v>1</v>
      </c>
      <c r="BK2657">
        <v>0</v>
      </c>
      <c r="BL2657">
        <v>0</v>
      </c>
      <c r="BO2657">
        <v>0</v>
      </c>
      <c r="BP2657">
        <v>0</v>
      </c>
      <c r="BW2657" t="str">
        <f t="shared" si="1254"/>
        <v>14:45:53.273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56</v>
      </c>
      <c r="CR2657">
        <v>2</v>
      </c>
      <c r="CW2657">
        <v>4891867</v>
      </c>
      <c r="CY2657">
        <v>1</v>
      </c>
      <c r="CZ2657">
        <v>0</v>
      </c>
      <c r="DA2657">
        <v>1</v>
      </c>
      <c r="DB2657">
        <v>0</v>
      </c>
      <c r="DC2657">
        <v>0</v>
      </c>
      <c r="DD2657">
        <v>1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 t="shared" si="1251"/>
        <v>05/12/2020 14:45:35.457</v>
      </c>
      <c r="C2658" t="str">
        <f t="shared" si="1249"/>
        <v>FFDFD3C0</v>
      </c>
      <c r="D2658" t="s">
        <v>138</v>
      </c>
      <c r="E2658">
        <v>2</v>
      </c>
      <c r="H2658">
        <v>8</v>
      </c>
      <c r="I2658" t="s">
        <v>139</v>
      </c>
      <c r="J2658" t="s">
        <v>136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252"/>
        <v>14:45:53.266</v>
      </c>
      <c r="T2658" t="str">
        <f t="shared" si="1253"/>
        <v>14:45:53.166</v>
      </c>
      <c r="U2658" t="str">
        <f t="shared" si="1242"/>
        <v>A9808D</v>
      </c>
      <c r="V2658">
        <v>0</v>
      </c>
      <c r="W2658">
        <v>0</v>
      </c>
      <c r="X2658">
        <v>1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0</v>
      </c>
      <c r="AI2658" t="s">
        <v>654</v>
      </c>
      <c r="AJ2658">
        <v>28.250098000000001</v>
      </c>
      <c r="AK2658" t="s">
        <v>655</v>
      </c>
      <c r="AL2658">
        <v>-82.315707000000003</v>
      </c>
      <c r="AM2658">
        <v>100</v>
      </c>
      <c r="AN2658">
        <v>2400</v>
      </c>
      <c r="AO2658" t="s">
        <v>118</v>
      </c>
      <c r="AP2658">
        <v>101</v>
      </c>
      <c r="AQ2658">
        <v>-29</v>
      </c>
      <c r="AR2658">
        <v>192</v>
      </c>
      <c r="AZ2658">
        <v>1200</v>
      </c>
      <c r="BA2658">
        <v>1</v>
      </c>
      <c r="BB2658" t="str">
        <f t="shared" si="1250"/>
        <v xml:space="preserve">N711JA  </v>
      </c>
      <c r="BC2658">
        <v>1</v>
      </c>
      <c r="BE2658">
        <v>0</v>
      </c>
      <c r="BF2658">
        <v>0</v>
      </c>
      <c r="BG2658">
        <v>0</v>
      </c>
      <c r="BH2658">
        <v>2500</v>
      </c>
      <c r="BI2658">
        <v>1</v>
      </c>
      <c r="BJ2658">
        <v>1</v>
      </c>
      <c r="BK2658">
        <v>0</v>
      </c>
      <c r="BL2658">
        <v>0</v>
      </c>
      <c r="BO2658">
        <v>0</v>
      </c>
      <c r="BP2658">
        <v>0</v>
      </c>
      <c r="BW2658" t="str">
        <f t="shared" si="1254"/>
        <v>14:45:53.273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56</v>
      </c>
      <c r="CR2658">
        <v>2</v>
      </c>
      <c r="CW2658">
        <v>4891867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1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 t="shared" ref="A2659:A2667" si="1255">"05/12/2020 14:45:36.464"</f>
        <v>05/12/2020 14:45:36.464</v>
      </c>
      <c r="C2659" t="str">
        <f t="shared" si="1249"/>
        <v>FFDFD3C0</v>
      </c>
      <c r="D2659" t="s">
        <v>138</v>
      </c>
      <c r="E2659">
        <v>2</v>
      </c>
      <c r="H2659">
        <v>8</v>
      </c>
      <c r="I2659" t="s">
        <v>139</v>
      </c>
      <c r="J2659" t="s">
        <v>136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ref="S2659:T2667" si="1256">"14:45:54.305"</f>
        <v>14:45:54.305</v>
      </c>
      <c r="T2659" t="str">
        <f t="shared" si="1256"/>
        <v>14:45:54.305</v>
      </c>
      <c r="U2659" t="str">
        <f t="shared" si="1242"/>
        <v>A9808D</v>
      </c>
      <c r="V2659">
        <v>0</v>
      </c>
      <c r="W2659">
        <v>0</v>
      </c>
      <c r="X2659">
        <v>1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0</v>
      </c>
      <c r="AI2659" t="s">
        <v>656</v>
      </c>
      <c r="AJ2659">
        <v>28.249927</v>
      </c>
      <c r="AK2659" t="s">
        <v>657</v>
      </c>
      <c r="AL2659">
        <v>-82.315106</v>
      </c>
      <c r="AM2659">
        <v>100</v>
      </c>
      <c r="AN2659">
        <v>2400</v>
      </c>
      <c r="AO2659" t="s">
        <v>118</v>
      </c>
      <c r="AP2659">
        <v>102</v>
      </c>
      <c r="AQ2659">
        <v>-28</v>
      </c>
      <c r="AR2659">
        <v>192</v>
      </c>
      <c r="AZ2659">
        <v>1200</v>
      </c>
      <c r="BA2659">
        <v>1</v>
      </c>
      <c r="BB2659" t="str">
        <f t="shared" si="1250"/>
        <v xml:space="preserve">N711JA  </v>
      </c>
      <c r="BC2659">
        <v>1</v>
      </c>
      <c r="BE2659">
        <v>0</v>
      </c>
      <c r="BF2659">
        <v>0</v>
      </c>
      <c r="BG2659">
        <v>0</v>
      </c>
      <c r="BH2659">
        <v>2500</v>
      </c>
      <c r="BI2659">
        <v>1</v>
      </c>
      <c r="BJ2659">
        <v>1</v>
      </c>
      <c r="BK2659">
        <v>0</v>
      </c>
      <c r="BL2659">
        <v>0</v>
      </c>
      <c r="BO2659">
        <v>0</v>
      </c>
      <c r="BP2659">
        <v>0</v>
      </c>
      <c r="BW2659" t="str">
        <f t="shared" ref="BW2659:BW2667" si="1257">"14:45:54.310"</f>
        <v>14:45:54.310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6</v>
      </c>
      <c r="CP2659" t="s">
        <v>119</v>
      </c>
      <c r="CQ2659">
        <v>56</v>
      </c>
      <c r="CR2659">
        <v>3</v>
      </c>
      <c r="CW2659">
        <v>12194116</v>
      </c>
      <c r="CY2659">
        <v>0</v>
      </c>
      <c r="CZ2659">
        <v>0</v>
      </c>
      <c r="DA2659">
        <v>0</v>
      </c>
      <c r="DB2659">
        <v>0</v>
      </c>
      <c r="DC2659">
        <v>0</v>
      </c>
      <c r="DD2659">
        <v>1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 t="shared" si="1255"/>
        <v>05/12/2020 14:45:36.464</v>
      </c>
      <c r="C2660" t="str">
        <f t="shared" si="1249"/>
        <v>FFDFD3C0</v>
      </c>
      <c r="D2660" t="s">
        <v>113</v>
      </c>
      <c r="E2660">
        <v>3</v>
      </c>
      <c r="H2660">
        <v>164</v>
      </c>
      <c r="I2660" t="s">
        <v>114</v>
      </c>
      <c r="J2660" t="s">
        <v>115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256"/>
        <v>14:45:54.305</v>
      </c>
      <c r="T2660" t="str">
        <f t="shared" si="1256"/>
        <v>14:45:54.305</v>
      </c>
      <c r="U2660" t="str">
        <f t="shared" si="1242"/>
        <v>A9808D</v>
      </c>
      <c r="V2660">
        <v>0</v>
      </c>
      <c r="W2660">
        <v>0</v>
      </c>
      <c r="X2660">
        <v>1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0</v>
      </c>
      <c r="AI2660" t="s">
        <v>656</v>
      </c>
      <c r="AJ2660">
        <v>28.249927</v>
      </c>
      <c r="AK2660" t="s">
        <v>657</v>
      </c>
      <c r="AL2660">
        <v>-82.315106</v>
      </c>
      <c r="AM2660">
        <v>100</v>
      </c>
      <c r="AN2660">
        <v>2400</v>
      </c>
      <c r="AO2660" t="s">
        <v>118</v>
      </c>
      <c r="AP2660">
        <v>102</v>
      </c>
      <c r="AQ2660">
        <v>-28</v>
      </c>
      <c r="AR2660">
        <v>192</v>
      </c>
      <c r="AZ2660">
        <v>1200</v>
      </c>
      <c r="BA2660">
        <v>1</v>
      </c>
      <c r="BB2660" t="str">
        <f t="shared" si="1250"/>
        <v xml:space="preserve">N711JA  </v>
      </c>
      <c r="BC2660">
        <v>1</v>
      </c>
      <c r="BE2660">
        <v>0</v>
      </c>
      <c r="BF2660">
        <v>0</v>
      </c>
      <c r="BG2660">
        <v>0</v>
      </c>
      <c r="BH2660">
        <v>2500</v>
      </c>
      <c r="BI2660">
        <v>1</v>
      </c>
      <c r="BJ2660">
        <v>1</v>
      </c>
      <c r="BK2660">
        <v>0</v>
      </c>
      <c r="BL2660">
        <v>0</v>
      </c>
      <c r="BO2660">
        <v>0</v>
      </c>
      <c r="BP2660">
        <v>0</v>
      </c>
      <c r="BW2660" t="str">
        <f t="shared" si="1257"/>
        <v>14:45:54.310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6</v>
      </c>
      <c r="CP2660" t="s">
        <v>119</v>
      </c>
      <c r="CQ2660">
        <v>56</v>
      </c>
      <c r="CR2660">
        <v>3</v>
      </c>
      <c r="CW2660">
        <v>12194116</v>
      </c>
      <c r="CY2660">
        <v>0</v>
      </c>
      <c r="CZ2660">
        <v>0</v>
      </c>
      <c r="DA2660">
        <v>1</v>
      </c>
      <c r="DB2660">
        <v>0</v>
      </c>
      <c r="DC2660">
        <v>0</v>
      </c>
      <c r="DD2660">
        <v>1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 t="shared" si="1255"/>
        <v>05/12/2020 14:45:36.464</v>
      </c>
      <c r="C2661" t="str">
        <f t="shared" si="1249"/>
        <v>FFDFD3C0</v>
      </c>
      <c r="D2661" t="s">
        <v>134</v>
      </c>
      <c r="E2661">
        <v>12</v>
      </c>
      <c r="H2661">
        <v>64</v>
      </c>
      <c r="I2661" t="s">
        <v>135</v>
      </c>
      <c r="J2661" t="s">
        <v>136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256"/>
        <v>14:45:54.305</v>
      </c>
      <c r="T2661" t="str">
        <f t="shared" si="1256"/>
        <v>14:45:54.305</v>
      </c>
      <c r="U2661" t="str">
        <f t="shared" si="1242"/>
        <v>A9808D</v>
      </c>
      <c r="V2661">
        <v>0</v>
      </c>
      <c r="W2661">
        <v>0</v>
      </c>
      <c r="X2661">
        <v>1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0</v>
      </c>
      <c r="AI2661" t="s">
        <v>656</v>
      </c>
      <c r="AJ2661">
        <v>28.249927</v>
      </c>
      <c r="AK2661" t="s">
        <v>657</v>
      </c>
      <c r="AL2661">
        <v>-82.315106</v>
      </c>
      <c r="AM2661">
        <v>100</v>
      </c>
      <c r="AN2661">
        <v>2400</v>
      </c>
      <c r="AO2661" t="s">
        <v>118</v>
      </c>
      <c r="AP2661">
        <v>102</v>
      </c>
      <c r="AQ2661">
        <v>-28</v>
      </c>
      <c r="AR2661">
        <v>192</v>
      </c>
      <c r="AZ2661">
        <v>1200</v>
      </c>
      <c r="BA2661">
        <v>1</v>
      </c>
      <c r="BB2661" t="str">
        <f t="shared" si="1250"/>
        <v xml:space="preserve">N711JA  </v>
      </c>
      <c r="BC2661">
        <v>1</v>
      </c>
      <c r="BE2661">
        <v>0</v>
      </c>
      <c r="BF2661">
        <v>0</v>
      </c>
      <c r="BG2661">
        <v>0</v>
      </c>
      <c r="BH2661">
        <v>2500</v>
      </c>
      <c r="BI2661">
        <v>1</v>
      </c>
      <c r="BJ2661">
        <v>1</v>
      </c>
      <c r="BK2661">
        <v>0</v>
      </c>
      <c r="BL2661">
        <v>0</v>
      </c>
      <c r="BO2661">
        <v>0</v>
      </c>
      <c r="BP2661">
        <v>0</v>
      </c>
      <c r="BW2661" t="str">
        <f t="shared" si="1257"/>
        <v>14:45:54.310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5</v>
      </c>
      <c r="CP2661" t="s">
        <v>119</v>
      </c>
      <c r="CQ2661">
        <v>358</v>
      </c>
      <c r="CR2661">
        <v>0</v>
      </c>
      <c r="CW2661">
        <v>4871635</v>
      </c>
      <c r="CY2661">
        <v>0</v>
      </c>
      <c r="CZ2661">
        <v>0</v>
      </c>
      <c r="DA2661">
        <v>1</v>
      </c>
      <c r="DB2661">
        <v>0</v>
      </c>
      <c r="DC2661">
        <v>0</v>
      </c>
      <c r="DD2661">
        <v>1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 t="shared" si="1255"/>
        <v>05/12/2020 14:45:36.464</v>
      </c>
      <c r="C2662" t="str">
        <f t="shared" si="1249"/>
        <v>FFDFD3C0</v>
      </c>
      <c r="D2662" t="s">
        <v>126</v>
      </c>
      <c r="E2662">
        <v>7</v>
      </c>
      <c r="F2662">
        <v>1007</v>
      </c>
      <c r="G2662" t="s">
        <v>127</v>
      </c>
      <c r="J2662" t="s">
        <v>128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256"/>
        <v>14:45:54.305</v>
      </c>
      <c r="T2662" t="str">
        <f t="shared" si="1256"/>
        <v>14:45:54.305</v>
      </c>
      <c r="U2662" t="str">
        <f t="shared" si="1242"/>
        <v>A9808D</v>
      </c>
      <c r="V2662">
        <v>0</v>
      </c>
      <c r="W2662">
        <v>0</v>
      </c>
      <c r="X2662">
        <v>1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0</v>
      </c>
      <c r="AI2662" t="s">
        <v>656</v>
      </c>
      <c r="AJ2662">
        <v>28.249927</v>
      </c>
      <c r="AK2662" t="s">
        <v>657</v>
      </c>
      <c r="AL2662">
        <v>-82.315106</v>
      </c>
      <c r="AM2662">
        <v>100</v>
      </c>
      <c r="AN2662">
        <v>2400</v>
      </c>
      <c r="AO2662" t="s">
        <v>118</v>
      </c>
      <c r="AP2662">
        <v>102</v>
      </c>
      <c r="AQ2662">
        <v>-28</v>
      </c>
      <c r="AR2662">
        <v>192</v>
      </c>
      <c r="AZ2662">
        <v>1200</v>
      </c>
      <c r="BA2662">
        <v>1</v>
      </c>
      <c r="BB2662" t="str">
        <f t="shared" si="1250"/>
        <v xml:space="preserve">N711JA  </v>
      </c>
      <c r="BC2662">
        <v>1</v>
      </c>
      <c r="BE2662">
        <v>0</v>
      </c>
      <c r="BF2662">
        <v>0</v>
      </c>
      <c r="BG2662">
        <v>0</v>
      </c>
      <c r="BH2662">
        <v>2500</v>
      </c>
      <c r="BI2662">
        <v>1</v>
      </c>
      <c r="BJ2662">
        <v>1</v>
      </c>
      <c r="BK2662">
        <v>0</v>
      </c>
      <c r="BL2662">
        <v>0</v>
      </c>
      <c r="BO2662">
        <v>0</v>
      </c>
      <c r="BP2662">
        <v>0</v>
      </c>
      <c r="BW2662" t="str">
        <f t="shared" si="1257"/>
        <v>14:45:54.310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6</v>
      </c>
      <c r="CP2662" t="s">
        <v>119</v>
      </c>
      <c r="CQ2662">
        <v>56</v>
      </c>
      <c r="CR2662">
        <v>3</v>
      </c>
      <c r="CW2662">
        <v>12194116</v>
      </c>
      <c r="CY2662">
        <v>0</v>
      </c>
      <c r="CZ2662">
        <v>0</v>
      </c>
      <c r="DA2662">
        <v>1</v>
      </c>
      <c r="DB2662">
        <v>0</v>
      </c>
      <c r="DC2662">
        <v>0</v>
      </c>
      <c r="DD2662">
        <v>1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 t="shared" si="1255"/>
        <v>05/12/2020 14:45:36.464</v>
      </c>
      <c r="C2663" t="str">
        <f t="shared" si="1249"/>
        <v>FFDFD3C0</v>
      </c>
      <c r="D2663" t="s">
        <v>131</v>
      </c>
      <c r="E2663">
        <v>10</v>
      </c>
      <c r="F2663">
        <v>2010</v>
      </c>
      <c r="G2663" t="s">
        <v>132</v>
      </c>
      <c r="J2663" t="s">
        <v>133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256"/>
        <v>14:45:54.305</v>
      </c>
      <c r="T2663" t="str">
        <f t="shared" si="1256"/>
        <v>14:45:54.305</v>
      </c>
      <c r="U2663" t="str">
        <f t="shared" si="1242"/>
        <v>A9808D</v>
      </c>
      <c r="V2663">
        <v>0</v>
      </c>
      <c r="W2663">
        <v>0</v>
      </c>
      <c r="X2663">
        <v>1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0</v>
      </c>
      <c r="AI2663" t="s">
        <v>656</v>
      </c>
      <c r="AJ2663">
        <v>28.249927</v>
      </c>
      <c r="AK2663" t="s">
        <v>657</v>
      </c>
      <c r="AL2663">
        <v>-82.315106</v>
      </c>
      <c r="AM2663">
        <v>100</v>
      </c>
      <c r="AN2663">
        <v>2400</v>
      </c>
      <c r="AO2663" t="s">
        <v>118</v>
      </c>
      <c r="AP2663">
        <v>102</v>
      </c>
      <c r="AQ2663">
        <v>-28</v>
      </c>
      <c r="AR2663">
        <v>192</v>
      </c>
      <c r="AZ2663">
        <v>1200</v>
      </c>
      <c r="BA2663">
        <v>1</v>
      </c>
      <c r="BB2663" t="str">
        <f t="shared" si="1250"/>
        <v xml:space="preserve">N711JA  </v>
      </c>
      <c r="BC2663">
        <v>1</v>
      </c>
      <c r="BE2663">
        <v>0</v>
      </c>
      <c r="BF2663">
        <v>0</v>
      </c>
      <c r="BG2663">
        <v>0</v>
      </c>
      <c r="BH2663">
        <v>2500</v>
      </c>
      <c r="BI2663">
        <v>1</v>
      </c>
      <c r="BJ2663">
        <v>1</v>
      </c>
      <c r="BK2663">
        <v>0</v>
      </c>
      <c r="BL2663">
        <v>0</v>
      </c>
      <c r="BO2663">
        <v>0</v>
      </c>
      <c r="BP2663">
        <v>0</v>
      </c>
      <c r="BW2663" t="str">
        <f t="shared" si="1257"/>
        <v>14:45:54.310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6</v>
      </c>
      <c r="CP2663" t="s">
        <v>119</v>
      </c>
      <c r="CQ2663">
        <v>56</v>
      </c>
      <c r="CR2663">
        <v>3</v>
      </c>
      <c r="CW2663">
        <v>12194116</v>
      </c>
      <c r="CY2663">
        <v>0</v>
      </c>
      <c r="CZ2663">
        <v>0</v>
      </c>
      <c r="DA2663">
        <v>1</v>
      </c>
      <c r="DB2663">
        <v>0</v>
      </c>
      <c r="DC2663">
        <v>0</v>
      </c>
      <c r="DD2663">
        <v>1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 t="shared" si="1255"/>
        <v>05/12/2020 14:45:36.464</v>
      </c>
      <c r="C2664" t="str">
        <f t="shared" si="1249"/>
        <v>FFDFD3C0</v>
      </c>
      <c r="D2664" t="s">
        <v>138</v>
      </c>
      <c r="E2664">
        <v>3</v>
      </c>
      <c r="H2664">
        <v>9</v>
      </c>
      <c r="I2664" t="s">
        <v>140</v>
      </c>
      <c r="J2664" t="s">
        <v>136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256"/>
        <v>14:45:54.305</v>
      </c>
      <c r="T2664" t="str">
        <f t="shared" si="1256"/>
        <v>14:45:54.305</v>
      </c>
      <c r="U2664" t="str">
        <f t="shared" si="1242"/>
        <v>A9808D</v>
      </c>
      <c r="V2664">
        <v>0</v>
      </c>
      <c r="W2664">
        <v>0</v>
      </c>
      <c r="X2664">
        <v>1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0</v>
      </c>
      <c r="AI2664" t="s">
        <v>656</v>
      </c>
      <c r="AJ2664">
        <v>28.249927</v>
      </c>
      <c r="AK2664" t="s">
        <v>657</v>
      </c>
      <c r="AL2664">
        <v>-82.315106</v>
      </c>
      <c r="AM2664">
        <v>100</v>
      </c>
      <c r="AN2664">
        <v>2400</v>
      </c>
      <c r="AO2664" t="s">
        <v>118</v>
      </c>
      <c r="AP2664">
        <v>102</v>
      </c>
      <c r="AQ2664">
        <v>-28</v>
      </c>
      <c r="AR2664">
        <v>192</v>
      </c>
      <c r="AZ2664">
        <v>1200</v>
      </c>
      <c r="BA2664">
        <v>1</v>
      </c>
      <c r="BB2664" t="str">
        <f t="shared" si="1250"/>
        <v xml:space="preserve">N711JA  </v>
      </c>
      <c r="BC2664">
        <v>1</v>
      </c>
      <c r="BE2664">
        <v>0</v>
      </c>
      <c r="BF2664">
        <v>0</v>
      </c>
      <c r="BG2664">
        <v>0</v>
      </c>
      <c r="BH2664">
        <v>2500</v>
      </c>
      <c r="BI2664">
        <v>1</v>
      </c>
      <c r="BJ2664">
        <v>1</v>
      </c>
      <c r="BK2664">
        <v>0</v>
      </c>
      <c r="BL2664">
        <v>0</v>
      </c>
      <c r="BO2664">
        <v>0</v>
      </c>
      <c r="BP2664">
        <v>0</v>
      </c>
      <c r="BW2664" t="str">
        <f t="shared" si="1257"/>
        <v>14:45:54.310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6</v>
      </c>
      <c r="CP2664" t="s">
        <v>119</v>
      </c>
      <c r="CQ2664">
        <v>56</v>
      </c>
      <c r="CR2664">
        <v>3</v>
      </c>
      <c r="CW2664">
        <v>12194116</v>
      </c>
      <c r="CY2664">
        <v>0</v>
      </c>
      <c r="CZ2664">
        <v>0</v>
      </c>
      <c r="DA2664">
        <v>1</v>
      </c>
      <c r="DB2664">
        <v>0</v>
      </c>
      <c r="DC2664">
        <v>0</v>
      </c>
      <c r="DD2664">
        <v>1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 t="shared" si="1255"/>
        <v>05/12/2020 14:45:36.464</v>
      </c>
      <c r="C2665" t="str">
        <f t="shared" si="1249"/>
        <v>FFDFD3C0</v>
      </c>
      <c r="D2665" t="s">
        <v>126</v>
      </c>
      <c r="E2665">
        <v>6</v>
      </c>
      <c r="F2665">
        <v>1006</v>
      </c>
      <c r="G2665" t="s">
        <v>114</v>
      </c>
      <c r="J2665" t="s">
        <v>128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256"/>
        <v>14:45:54.305</v>
      </c>
      <c r="T2665" t="str">
        <f t="shared" si="1256"/>
        <v>14:45:54.305</v>
      </c>
      <c r="U2665" t="str">
        <f t="shared" si="1242"/>
        <v>A9808D</v>
      </c>
      <c r="V2665">
        <v>0</v>
      </c>
      <c r="W2665">
        <v>0</v>
      </c>
      <c r="X2665">
        <v>1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0</v>
      </c>
      <c r="AI2665" t="s">
        <v>656</v>
      </c>
      <c r="AJ2665">
        <v>28.249927</v>
      </c>
      <c r="AK2665" t="s">
        <v>657</v>
      </c>
      <c r="AL2665">
        <v>-82.315106</v>
      </c>
      <c r="AM2665">
        <v>100</v>
      </c>
      <c r="AN2665">
        <v>2400</v>
      </c>
      <c r="AO2665" t="s">
        <v>118</v>
      </c>
      <c r="AP2665">
        <v>102</v>
      </c>
      <c r="AQ2665">
        <v>-28</v>
      </c>
      <c r="AR2665">
        <v>192</v>
      </c>
      <c r="AZ2665">
        <v>1200</v>
      </c>
      <c r="BA2665">
        <v>1</v>
      </c>
      <c r="BB2665" t="str">
        <f t="shared" si="1250"/>
        <v xml:space="preserve">N711JA  </v>
      </c>
      <c r="BC2665">
        <v>1</v>
      </c>
      <c r="BE2665">
        <v>0</v>
      </c>
      <c r="BF2665">
        <v>0</v>
      </c>
      <c r="BG2665">
        <v>0</v>
      </c>
      <c r="BH2665">
        <v>2500</v>
      </c>
      <c r="BI2665">
        <v>1</v>
      </c>
      <c r="BJ2665">
        <v>1</v>
      </c>
      <c r="BK2665">
        <v>0</v>
      </c>
      <c r="BL2665">
        <v>0</v>
      </c>
      <c r="BO2665">
        <v>0</v>
      </c>
      <c r="BP2665">
        <v>0</v>
      </c>
      <c r="BW2665" t="str">
        <f t="shared" si="1257"/>
        <v>14:45:54.310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6</v>
      </c>
      <c r="CP2665" t="s">
        <v>119</v>
      </c>
      <c r="CQ2665">
        <v>56</v>
      </c>
      <c r="CR2665">
        <v>3</v>
      </c>
      <c r="CW2665">
        <v>12194116</v>
      </c>
      <c r="CY2665">
        <v>0</v>
      </c>
      <c r="CZ2665">
        <v>0</v>
      </c>
      <c r="DA2665">
        <v>1</v>
      </c>
      <c r="DB2665">
        <v>0</v>
      </c>
      <c r="DC2665">
        <v>0</v>
      </c>
      <c r="DD2665">
        <v>1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 t="shared" si="1255"/>
        <v>05/12/2020 14:45:36.464</v>
      </c>
      <c r="C2666" t="str">
        <f t="shared" si="1249"/>
        <v>FFDFD3C0</v>
      </c>
      <c r="D2666" t="s">
        <v>131</v>
      </c>
      <c r="E2666">
        <v>12</v>
      </c>
      <c r="F2666">
        <v>2012</v>
      </c>
      <c r="G2666" t="s">
        <v>137</v>
      </c>
      <c r="J2666" t="s">
        <v>133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1256"/>
        <v>14:45:54.305</v>
      </c>
      <c r="T2666" t="str">
        <f t="shared" si="1256"/>
        <v>14:45:54.305</v>
      </c>
      <c r="U2666" t="str">
        <f t="shared" si="1242"/>
        <v>A9808D</v>
      </c>
      <c r="V2666">
        <v>0</v>
      </c>
      <c r="W2666">
        <v>0</v>
      </c>
      <c r="X2666">
        <v>1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0</v>
      </c>
      <c r="AI2666" t="s">
        <v>656</v>
      </c>
      <c r="AJ2666">
        <v>28.249927</v>
      </c>
      <c r="AK2666" t="s">
        <v>657</v>
      </c>
      <c r="AL2666">
        <v>-82.315106</v>
      </c>
      <c r="AM2666">
        <v>100</v>
      </c>
      <c r="AN2666">
        <v>2400</v>
      </c>
      <c r="AO2666" t="s">
        <v>118</v>
      </c>
      <c r="AP2666">
        <v>102</v>
      </c>
      <c r="AQ2666">
        <v>-28</v>
      </c>
      <c r="AR2666">
        <v>192</v>
      </c>
      <c r="AZ2666">
        <v>1200</v>
      </c>
      <c r="BA2666">
        <v>1</v>
      </c>
      <c r="BB2666" t="str">
        <f t="shared" si="1250"/>
        <v xml:space="preserve">N711JA  </v>
      </c>
      <c r="BC2666">
        <v>1</v>
      </c>
      <c r="BE2666">
        <v>0</v>
      </c>
      <c r="BF2666">
        <v>0</v>
      </c>
      <c r="BG2666">
        <v>0</v>
      </c>
      <c r="BH2666">
        <v>2500</v>
      </c>
      <c r="BI2666">
        <v>1</v>
      </c>
      <c r="BJ2666">
        <v>1</v>
      </c>
      <c r="BK2666">
        <v>0</v>
      </c>
      <c r="BL2666">
        <v>0</v>
      </c>
      <c r="BO2666">
        <v>0</v>
      </c>
      <c r="BP2666">
        <v>0</v>
      </c>
      <c r="BW2666" t="str">
        <f t="shared" si="1257"/>
        <v>14:45:54.310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6</v>
      </c>
      <c r="CP2666" t="s">
        <v>119</v>
      </c>
      <c r="CQ2666">
        <v>56</v>
      </c>
      <c r="CR2666">
        <v>3</v>
      </c>
      <c r="CW2666">
        <v>12194116</v>
      </c>
      <c r="CY2666">
        <v>0</v>
      </c>
      <c r="CZ2666">
        <v>0</v>
      </c>
      <c r="DA2666">
        <v>1</v>
      </c>
      <c r="DB2666">
        <v>0</v>
      </c>
      <c r="DC2666">
        <v>0</v>
      </c>
      <c r="DD2666">
        <v>1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 t="shared" si="1255"/>
        <v>05/12/2020 14:45:36.464</v>
      </c>
      <c r="C2667" t="str">
        <f t="shared" si="1249"/>
        <v>FFDFD3C0</v>
      </c>
      <c r="D2667" t="s">
        <v>131</v>
      </c>
      <c r="E2667">
        <v>18</v>
      </c>
      <c r="F2667">
        <v>2018</v>
      </c>
      <c r="G2667" t="s">
        <v>161</v>
      </c>
      <c r="J2667" t="s">
        <v>133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256"/>
        <v>14:45:54.305</v>
      </c>
      <c r="T2667" t="str">
        <f t="shared" si="1256"/>
        <v>14:45:54.305</v>
      </c>
      <c r="U2667" t="str">
        <f t="shared" si="1242"/>
        <v>A9808D</v>
      </c>
      <c r="V2667">
        <v>0</v>
      </c>
      <c r="W2667">
        <v>0</v>
      </c>
      <c r="X2667">
        <v>1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0</v>
      </c>
      <c r="AI2667" t="s">
        <v>656</v>
      </c>
      <c r="AJ2667">
        <v>28.249927</v>
      </c>
      <c r="AK2667" t="s">
        <v>657</v>
      </c>
      <c r="AL2667">
        <v>-82.315106</v>
      </c>
      <c r="AM2667">
        <v>100</v>
      </c>
      <c r="AN2667">
        <v>2400</v>
      </c>
      <c r="AO2667" t="s">
        <v>118</v>
      </c>
      <c r="AP2667">
        <v>102</v>
      </c>
      <c r="AQ2667">
        <v>-28</v>
      </c>
      <c r="AR2667">
        <v>192</v>
      </c>
      <c r="AZ2667">
        <v>1200</v>
      </c>
      <c r="BA2667">
        <v>1</v>
      </c>
      <c r="BB2667" t="str">
        <f t="shared" si="1250"/>
        <v xml:space="preserve">N711JA  </v>
      </c>
      <c r="BC2667">
        <v>1</v>
      </c>
      <c r="BE2667">
        <v>0</v>
      </c>
      <c r="BF2667">
        <v>0</v>
      </c>
      <c r="BG2667">
        <v>0</v>
      </c>
      <c r="BH2667">
        <v>2500</v>
      </c>
      <c r="BI2667">
        <v>1</v>
      </c>
      <c r="BJ2667">
        <v>1</v>
      </c>
      <c r="BK2667">
        <v>0</v>
      </c>
      <c r="BL2667">
        <v>0</v>
      </c>
      <c r="BO2667">
        <v>0</v>
      </c>
      <c r="BP2667">
        <v>0</v>
      </c>
      <c r="BW2667" t="str">
        <f t="shared" si="1257"/>
        <v>14:45:54.310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6</v>
      </c>
      <c r="CP2667" t="s">
        <v>119</v>
      </c>
      <c r="CQ2667">
        <v>56</v>
      </c>
      <c r="CR2667">
        <v>3</v>
      </c>
      <c r="CW2667">
        <v>12194116</v>
      </c>
      <c r="CY2667">
        <v>0</v>
      </c>
      <c r="CZ2667">
        <v>0</v>
      </c>
      <c r="DA2667">
        <v>1</v>
      </c>
      <c r="DB2667">
        <v>0</v>
      </c>
      <c r="DC2667">
        <v>0</v>
      </c>
      <c r="DD2667">
        <v>1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 t="shared" ref="A2668:A2676" si="1258">"05/12/2020 14:45:37.323"</f>
        <v>05/12/2020 14:45:37.323</v>
      </c>
      <c r="C2668" t="str">
        <f t="shared" si="1249"/>
        <v>FFDFD3C0</v>
      </c>
      <c r="D2668" t="s">
        <v>138</v>
      </c>
      <c r="E2668">
        <v>2</v>
      </c>
      <c r="H2668">
        <v>8</v>
      </c>
      <c r="I2668" t="s">
        <v>139</v>
      </c>
      <c r="J2668" t="s">
        <v>136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ref="S2668:S2676" si="1259">"14:45:55.156"</f>
        <v>14:45:55.156</v>
      </c>
      <c r="T2668" t="str">
        <f t="shared" ref="T2668:T2676" si="1260">"14:45:54.856"</f>
        <v>14:45:54.856</v>
      </c>
      <c r="U2668" t="str">
        <f t="shared" si="1242"/>
        <v>A9808D</v>
      </c>
      <c r="V2668">
        <v>0</v>
      </c>
      <c r="W2668">
        <v>0</v>
      </c>
      <c r="X2668">
        <v>1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0</v>
      </c>
      <c r="AI2668" t="s">
        <v>658</v>
      </c>
      <c r="AJ2668">
        <v>28.249862</v>
      </c>
      <c r="AK2668" t="s">
        <v>659</v>
      </c>
      <c r="AL2668">
        <v>-82.314677000000003</v>
      </c>
      <c r="AM2668">
        <v>100</v>
      </c>
      <c r="AN2668">
        <v>2400</v>
      </c>
      <c r="AO2668" t="s">
        <v>118</v>
      </c>
      <c r="AP2668">
        <v>102</v>
      </c>
      <c r="AQ2668">
        <v>-28</v>
      </c>
      <c r="AR2668">
        <v>192</v>
      </c>
      <c r="AZ2668">
        <v>1200</v>
      </c>
      <c r="BA2668">
        <v>1</v>
      </c>
      <c r="BB2668" t="str">
        <f t="shared" si="1250"/>
        <v xml:space="preserve">N711JA  </v>
      </c>
      <c r="BC2668">
        <v>1</v>
      </c>
      <c r="BE2668">
        <v>0</v>
      </c>
      <c r="BF2668">
        <v>0</v>
      </c>
      <c r="BG2668">
        <v>0</v>
      </c>
      <c r="BH2668">
        <v>2500</v>
      </c>
      <c r="BI2668">
        <v>1</v>
      </c>
      <c r="BJ2668">
        <v>1</v>
      </c>
      <c r="BK2668">
        <v>0</v>
      </c>
      <c r="BL2668">
        <v>0</v>
      </c>
      <c r="BO2668">
        <v>0</v>
      </c>
      <c r="BP2668">
        <v>0</v>
      </c>
      <c r="BW2668" t="str">
        <f t="shared" ref="BW2668:BW2676" si="1261">"14:45:55.160"</f>
        <v>14:45:55.160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6</v>
      </c>
      <c r="CP2668" t="s">
        <v>119</v>
      </c>
      <c r="CQ2668">
        <v>56</v>
      </c>
      <c r="CR2668">
        <v>3</v>
      </c>
      <c r="CW2668">
        <v>12195317</v>
      </c>
      <c r="CY2668">
        <v>1</v>
      </c>
      <c r="CZ2668">
        <v>0</v>
      </c>
      <c r="DA2668">
        <v>0</v>
      </c>
      <c r="DB2668">
        <v>0</v>
      </c>
      <c r="DC2668">
        <v>0</v>
      </c>
      <c r="DD2668">
        <v>1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 t="shared" si="1258"/>
        <v>05/12/2020 14:45:37.323</v>
      </c>
      <c r="C2669" t="str">
        <f t="shared" si="1249"/>
        <v>FFDFD3C0</v>
      </c>
      <c r="D2669" t="s">
        <v>113</v>
      </c>
      <c r="E2669">
        <v>3</v>
      </c>
      <c r="H2669">
        <v>164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259"/>
        <v>14:45:55.156</v>
      </c>
      <c r="T2669" t="str">
        <f t="shared" si="1260"/>
        <v>14:45:54.856</v>
      </c>
      <c r="U2669" t="str">
        <f t="shared" si="1242"/>
        <v>A9808D</v>
      </c>
      <c r="V2669">
        <v>0</v>
      </c>
      <c r="W2669">
        <v>0</v>
      </c>
      <c r="X2669">
        <v>1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0</v>
      </c>
      <c r="AI2669" t="s">
        <v>658</v>
      </c>
      <c r="AJ2669">
        <v>28.249862</v>
      </c>
      <c r="AK2669" t="s">
        <v>659</v>
      </c>
      <c r="AL2669">
        <v>-82.314677000000003</v>
      </c>
      <c r="AM2669">
        <v>100</v>
      </c>
      <c r="AN2669">
        <v>2400</v>
      </c>
      <c r="AO2669" t="s">
        <v>118</v>
      </c>
      <c r="AP2669">
        <v>102</v>
      </c>
      <c r="AQ2669">
        <v>-28</v>
      </c>
      <c r="AR2669">
        <v>192</v>
      </c>
      <c r="AZ2669">
        <v>1200</v>
      </c>
      <c r="BA2669">
        <v>1</v>
      </c>
      <c r="BB2669" t="str">
        <f t="shared" si="1250"/>
        <v xml:space="preserve">N711JA  </v>
      </c>
      <c r="BC2669">
        <v>1</v>
      </c>
      <c r="BE2669">
        <v>0</v>
      </c>
      <c r="BF2669">
        <v>0</v>
      </c>
      <c r="BG2669">
        <v>0</v>
      </c>
      <c r="BH2669">
        <v>2500</v>
      </c>
      <c r="BI2669">
        <v>1</v>
      </c>
      <c r="BJ2669">
        <v>1</v>
      </c>
      <c r="BK2669">
        <v>0</v>
      </c>
      <c r="BL2669">
        <v>0</v>
      </c>
      <c r="BO2669">
        <v>0</v>
      </c>
      <c r="BP2669">
        <v>0</v>
      </c>
      <c r="BW2669" t="str">
        <f t="shared" si="1261"/>
        <v>14:45:55.160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6</v>
      </c>
      <c r="CP2669" t="s">
        <v>119</v>
      </c>
      <c r="CQ2669">
        <v>56</v>
      </c>
      <c r="CR2669">
        <v>3</v>
      </c>
      <c r="CW2669">
        <v>12195317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1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 t="shared" si="1258"/>
        <v>05/12/2020 14:45:37.323</v>
      </c>
      <c r="C2670" t="str">
        <f t="shared" si="1249"/>
        <v>FFDFD3C0</v>
      </c>
      <c r="D2670" t="s">
        <v>126</v>
      </c>
      <c r="E2670">
        <v>7</v>
      </c>
      <c r="F2670">
        <v>1007</v>
      </c>
      <c r="G2670" t="s">
        <v>127</v>
      </c>
      <c r="J2670" t="s">
        <v>128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259"/>
        <v>14:45:55.156</v>
      </c>
      <c r="T2670" t="str">
        <f t="shared" si="1260"/>
        <v>14:45:54.856</v>
      </c>
      <c r="U2670" t="str">
        <f t="shared" si="1242"/>
        <v>A9808D</v>
      </c>
      <c r="V2670">
        <v>0</v>
      </c>
      <c r="W2670">
        <v>0</v>
      </c>
      <c r="X2670">
        <v>1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0</v>
      </c>
      <c r="AI2670" t="s">
        <v>658</v>
      </c>
      <c r="AJ2670">
        <v>28.249862</v>
      </c>
      <c r="AK2670" t="s">
        <v>659</v>
      </c>
      <c r="AL2670">
        <v>-82.314677000000003</v>
      </c>
      <c r="AM2670">
        <v>100</v>
      </c>
      <c r="AN2670">
        <v>2400</v>
      </c>
      <c r="AO2670" t="s">
        <v>118</v>
      </c>
      <c r="AP2670">
        <v>102</v>
      </c>
      <c r="AQ2670">
        <v>-28</v>
      </c>
      <c r="AR2670">
        <v>192</v>
      </c>
      <c r="AZ2670">
        <v>1200</v>
      </c>
      <c r="BA2670">
        <v>1</v>
      </c>
      <c r="BB2670" t="str">
        <f t="shared" si="1250"/>
        <v xml:space="preserve">N711JA  </v>
      </c>
      <c r="BC2670">
        <v>1</v>
      </c>
      <c r="BE2670">
        <v>0</v>
      </c>
      <c r="BF2670">
        <v>0</v>
      </c>
      <c r="BG2670">
        <v>0</v>
      </c>
      <c r="BH2670">
        <v>2500</v>
      </c>
      <c r="BI2670">
        <v>1</v>
      </c>
      <c r="BJ2670">
        <v>1</v>
      </c>
      <c r="BK2670">
        <v>0</v>
      </c>
      <c r="BL2670">
        <v>0</v>
      </c>
      <c r="BO2670">
        <v>0</v>
      </c>
      <c r="BP2670">
        <v>0</v>
      </c>
      <c r="BW2670" t="str">
        <f t="shared" si="1261"/>
        <v>14:45:55.160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6</v>
      </c>
      <c r="CP2670" t="s">
        <v>119</v>
      </c>
      <c r="CQ2670">
        <v>56</v>
      </c>
      <c r="CR2670">
        <v>3</v>
      </c>
      <c r="CW2670">
        <v>12195317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1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 t="shared" si="1258"/>
        <v>05/12/2020 14:45:37.323</v>
      </c>
      <c r="C2671" t="str">
        <f t="shared" si="1249"/>
        <v>FFDFD3C0</v>
      </c>
      <c r="D2671" t="s">
        <v>134</v>
      </c>
      <c r="E2671">
        <v>12</v>
      </c>
      <c r="H2671">
        <v>64</v>
      </c>
      <c r="I2671" t="s">
        <v>135</v>
      </c>
      <c r="J2671" t="s">
        <v>136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259"/>
        <v>14:45:55.156</v>
      </c>
      <c r="T2671" t="str">
        <f t="shared" si="1260"/>
        <v>14:45:54.856</v>
      </c>
      <c r="U2671" t="str">
        <f t="shared" si="1242"/>
        <v>A9808D</v>
      </c>
      <c r="V2671">
        <v>0</v>
      </c>
      <c r="W2671">
        <v>0</v>
      </c>
      <c r="X2671">
        <v>1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0</v>
      </c>
      <c r="AI2671" t="s">
        <v>658</v>
      </c>
      <c r="AJ2671">
        <v>28.249862</v>
      </c>
      <c r="AK2671" t="s">
        <v>659</v>
      </c>
      <c r="AL2671">
        <v>-82.314677000000003</v>
      </c>
      <c r="AM2671">
        <v>100</v>
      </c>
      <c r="AN2671">
        <v>2400</v>
      </c>
      <c r="AO2671" t="s">
        <v>118</v>
      </c>
      <c r="AP2671">
        <v>102</v>
      </c>
      <c r="AQ2671">
        <v>-28</v>
      </c>
      <c r="AR2671">
        <v>192</v>
      </c>
      <c r="AZ2671">
        <v>1200</v>
      </c>
      <c r="BA2671">
        <v>1</v>
      </c>
      <c r="BB2671" t="str">
        <f t="shared" si="1250"/>
        <v xml:space="preserve">N711JA  </v>
      </c>
      <c r="BC2671">
        <v>1</v>
      </c>
      <c r="BE2671">
        <v>0</v>
      </c>
      <c r="BF2671">
        <v>0</v>
      </c>
      <c r="BG2671">
        <v>0</v>
      </c>
      <c r="BH2671">
        <v>2500</v>
      </c>
      <c r="BI2671">
        <v>1</v>
      </c>
      <c r="BJ2671">
        <v>1</v>
      </c>
      <c r="BK2671">
        <v>0</v>
      </c>
      <c r="BL2671">
        <v>0</v>
      </c>
      <c r="BO2671">
        <v>0</v>
      </c>
      <c r="BP2671">
        <v>0</v>
      </c>
      <c r="BW2671" t="str">
        <f t="shared" si="1261"/>
        <v>14:45:55.160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5</v>
      </c>
      <c r="CP2671" t="s">
        <v>119</v>
      </c>
      <c r="CQ2671">
        <v>358</v>
      </c>
      <c r="CR2671">
        <v>0</v>
      </c>
      <c r="CW2671">
        <v>4872708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1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 t="shared" si="1258"/>
        <v>05/12/2020 14:45:37.323</v>
      </c>
      <c r="C2672" t="str">
        <f t="shared" si="1249"/>
        <v>FFDFD3C0</v>
      </c>
      <c r="D2672" t="s">
        <v>126</v>
      </c>
      <c r="E2672">
        <v>6</v>
      </c>
      <c r="F2672">
        <v>1006</v>
      </c>
      <c r="G2672" t="s">
        <v>114</v>
      </c>
      <c r="J2672" t="s">
        <v>128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259"/>
        <v>14:45:55.156</v>
      </c>
      <c r="T2672" t="str">
        <f t="shared" si="1260"/>
        <v>14:45:54.856</v>
      </c>
      <c r="U2672" t="str">
        <f t="shared" si="1242"/>
        <v>A9808D</v>
      </c>
      <c r="V2672">
        <v>0</v>
      </c>
      <c r="W2672">
        <v>0</v>
      </c>
      <c r="X2672">
        <v>1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0</v>
      </c>
      <c r="AI2672" t="s">
        <v>658</v>
      </c>
      <c r="AJ2672">
        <v>28.249862</v>
      </c>
      <c r="AK2672" t="s">
        <v>659</v>
      </c>
      <c r="AL2672">
        <v>-82.314677000000003</v>
      </c>
      <c r="AM2672">
        <v>100</v>
      </c>
      <c r="AN2672">
        <v>2400</v>
      </c>
      <c r="AO2672" t="s">
        <v>118</v>
      </c>
      <c r="AP2672">
        <v>102</v>
      </c>
      <c r="AQ2672">
        <v>-28</v>
      </c>
      <c r="AR2672">
        <v>192</v>
      </c>
      <c r="AZ2672">
        <v>1200</v>
      </c>
      <c r="BA2672">
        <v>1</v>
      </c>
      <c r="BB2672" t="str">
        <f t="shared" si="1250"/>
        <v xml:space="preserve">N711JA  </v>
      </c>
      <c r="BC2672">
        <v>1</v>
      </c>
      <c r="BE2672">
        <v>0</v>
      </c>
      <c r="BF2672">
        <v>0</v>
      </c>
      <c r="BG2672">
        <v>0</v>
      </c>
      <c r="BH2672">
        <v>2500</v>
      </c>
      <c r="BI2672">
        <v>1</v>
      </c>
      <c r="BJ2672">
        <v>1</v>
      </c>
      <c r="BK2672">
        <v>0</v>
      </c>
      <c r="BL2672">
        <v>0</v>
      </c>
      <c r="BO2672">
        <v>0</v>
      </c>
      <c r="BP2672">
        <v>0</v>
      </c>
      <c r="BW2672" t="str">
        <f t="shared" si="1261"/>
        <v>14:45:55.160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6</v>
      </c>
      <c r="CP2672" t="s">
        <v>119</v>
      </c>
      <c r="CQ2672">
        <v>56</v>
      </c>
      <c r="CR2672">
        <v>3</v>
      </c>
      <c r="CW2672">
        <v>12195317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1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 t="shared" si="1258"/>
        <v>05/12/2020 14:45:37.323</v>
      </c>
      <c r="C2673" t="str">
        <f t="shared" si="1249"/>
        <v>FFDFD3C0</v>
      </c>
      <c r="D2673" t="s">
        <v>131</v>
      </c>
      <c r="E2673">
        <v>10</v>
      </c>
      <c r="F2673">
        <v>2010</v>
      </c>
      <c r="G2673" t="s">
        <v>132</v>
      </c>
      <c r="J2673" t="s">
        <v>133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si="1259"/>
        <v>14:45:55.156</v>
      </c>
      <c r="T2673" t="str">
        <f t="shared" si="1260"/>
        <v>14:45:54.856</v>
      </c>
      <c r="U2673" t="str">
        <f t="shared" si="1242"/>
        <v>A9808D</v>
      </c>
      <c r="V2673">
        <v>0</v>
      </c>
      <c r="W2673">
        <v>0</v>
      </c>
      <c r="X2673">
        <v>1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0</v>
      </c>
      <c r="AI2673" t="s">
        <v>658</v>
      </c>
      <c r="AJ2673">
        <v>28.249862</v>
      </c>
      <c r="AK2673" t="s">
        <v>659</v>
      </c>
      <c r="AL2673">
        <v>-82.314677000000003</v>
      </c>
      <c r="AM2673">
        <v>100</v>
      </c>
      <c r="AN2673">
        <v>2400</v>
      </c>
      <c r="AO2673" t="s">
        <v>118</v>
      </c>
      <c r="AP2673">
        <v>102</v>
      </c>
      <c r="AQ2673">
        <v>-28</v>
      </c>
      <c r="AR2673">
        <v>192</v>
      </c>
      <c r="AZ2673">
        <v>1200</v>
      </c>
      <c r="BA2673">
        <v>1</v>
      </c>
      <c r="BB2673" t="str">
        <f t="shared" si="1250"/>
        <v xml:space="preserve">N711JA  </v>
      </c>
      <c r="BC2673">
        <v>1</v>
      </c>
      <c r="BE2673">
        <v>0</v>
      </c>
      <c r="BF2673">
        <v>0</v>
      </c>
      <c r="BG2673">
        <v>0</v>
      </c>
      <c r="BH2673">
        <v>2500</v>
      </c>
      <c r="BI2673">
        <v>1</v>
      </c>
      <c r="BJ2673">
        <v>1</v>
      </c>
      <c r="BK2673">
        <v>0</v>
      </c>
      <c r="BL2673">
        <v>0</v>
      </c>
      <c r="BO2673">
        <v>0</v>
      </c>
      <c r="BP2673">
        <v>0</v>
      </c>
      <c r="BW2673" t="str">
        <f t="shared" si="1261"/>
        <v>14:45:55.160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6</v>
      </c>
      <c r="CP2673" t="s">
        <v>119</v>
      </c>
      <c r="CQ2673">
        <v>56</v>
      </c>
      <c r="CR2673">
        <v>3</v>
      </c>
      <c r="CW2673">
        <v>12195317</v>
      </c>
      <c r="CY2673">
        <v>1</v>
      </c>
      <c r="CZ2673">
        <v>0</v>
      </c>
      <c r="DA2673">
        <v>1</v>
      </c>
      <c r="DB2673">
        <v>0</v>
      </c>
      <c r="DC2673">
        <v>0</v>
      </c>
      <c r="DD2673">
        <v>1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 t="shared" si="1258"/>
        <v>05/12/2020 14:45:37.323</v>
      </c>
      <c r="C2674" t="str">
        <f t="shared" si="1249"/>
        <v>FFDFD3C0</v>
      </c>
      <c r="D2674" t="s">
        <v>138</v>
      </c>
      <c r="E2674">
        <v>3</v>
      </c>
      <c r="H2674">
        <v>9</v>
      </c>
      <c r="I2674" t="s">
        <v>140</v>
      </c>
      <c r="J2674" t="s">
        <v>136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259"/>
        <v>14:45:55.156</v>
      </c>
      <c r="T2674" t="str">
        <f t="shared" si="1260"/>
        <v>14:45:54.856</v>
      </c>
      <c r="U2674" t="str">
        <f t="shared" si="1242"/>
        <v>A9808D</v>
      </c>
      <c r="V2674">
        <v>0</v>
      </c>
      <c r="W2674">
        <v>0</v>
      </c>
      <c r="X2674">
        <v>1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0</v>
      </c>
      <c r="AI2674" t="s">
        <v>658</v>
      </c>
      <c r="AJ2674">
        <v>28.249862</v>
      </c>
      <c r="AK2674" t="s">
        <v>659</v>
      </c>
      <c r="AL2674">
        <v>-82.314677000000003</v>
      </c>
      <c r="AM2674">
        <v>100</v>
      </c>
      <c r="AN2674">
        <v>2400</v>
      </c>
      <c r="AO2674" t="s">
        <v>118</v>
      </c>
      <c r="AP2674">
        <v>102</v>
      </c>
      <c r="AQ2674">
        <v>-28</v>
      </c>
      <c r="AR2674">
        <v>192</v>
      </c>
      <c r="AZ2674">
        <v>1200</v>
      </c>
      <c r="BA2674">
        <v>1</v>
      </c>
      <c r="BB2674" t="str">
        <f t="shared" si="1250"/>
        <v xml:space="preserve">N711JA  </v>
      </c>
      <c r="BC2674">
        <v>1</v>
      </c>
      <c r="BE2674">
        <v>0</v>
      </c>
      <c r="BF2674">
        <v>0</v>
      </c>
      <c r="BG2674">
        <v>0</v>
      </c>
      <c r="BH2674">
        <v>2500</v>
      </c>
      <c r="BI2674">
        <v>1</v>
      </c>
      <c r="BJ2674">
        <v>1</v>
      </c>
      <c r="BK2674">
        <v>0</v>
      </c>
      <c r="BL2674">
        <v>0</v>
      </c>
      <c r="BO2674">
        <v>0</v>
      </c>
      <c r="BP2674">
        <v>0</v>
      </c>
      <c r="BW2674" t="str">
        <f t="shared" si="1261"/>
        <v>14:45:55.160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6</v>
      </c>
      <c r="CP2674" t="s">
        <v>119</v>
      </c>
      <c r="CQ2674">
        <v>56</v>
      </c>
      <c r="CR2674">
        <v>3</v>
      </c>
      <c r="CW2674">
        <v>12195317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1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 t="shared" si="1258"/>
        <v>05/12/2020 14:45:37.323</v>
      </c>
      <c r="C2675" t="str">
        <f t="shared" si="1249"/>
        <v>FFDFD3C0</v>
      </c>
      <c r="D2675" t="s">
        <v>131</v>
      </c>
      <c r="E2675">
        <v>12</v>
      </c>
      <c r="F2675">
        <v>2012</v>
      </c>
      <c r="G2675" t="s">
        <v>137</v>
      </c>
      <c r="J2675" t="s">
        <v>133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1259"/>
        <v>14:45:55.156</v>
      </c>
      <c r="T2675" t="str">
        <f t="shared" si="1260"/>
        <v>14:45:54.856</v>
      </c>
      <c r="U2675" t="str">
        <f t="shared" si="1242"/>
        <v>A9808D</v>
      </c>
      <c r="V2675">
        <v>0</v>
      </c>
      <c r="W2675">
        <v>0</v>
      </c>
      <c r="X2675">
        <v>1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0</v>
      </c>
      <c r="AI2675" t="s">
        <v>658</v>
      </c>
      <c r="AJ2675">
        <v>28.249862</v>
      </c>
      <c r="AK2675" t="s">
        <v>659</v>
      </c>
      <c r="AL2675">
        <v>-82.314677000000003</v>
      </c>
      <c r="AM2675">
        <v>100</v>
      </c>
      <c r="AN2675">
        <v>2400</v>
      </c>
      <c r="AO2675" t="s">
        <v>118</v>
      </c>
      <c r="AP2675">
        <v>102</v>
      </c>
      <c r="AQ2675">
        <v>-28</v>
      </c>
      <c r="AR2675">
        <v>192</v>
      </c>
      <c r="AZ2675">
        <v>1200</v>
      </c>
      <c r="BA2675">
        <v>1</v>
      </c>
      <c r="BB2675" t="str">
        <f t="shared" si="1250"/>
        <v xml:space="preserve">N711JA  </v>
      </c>
      <c r="BC2675">
        <v>1</v>
      </c>
      <c r="BE2675">
        <v>0</v>
      </c>
      <c r="BF2675">
        <v>0</v>
      </c>
      <c r="BG2675">
        <v>0</v>
      </c>
      <c r="BH2675">
        <v>2500</v>
      </c>
      <c r="BI2675">
        <v>1</v>
      </c>
      <c r="BJ2675">
        <v>1</v>
      </c>
      <c r="BK2675">
        <v>0</v>
      </c>
      <c r="BL2675">
        <v>0</v>
      </c>
      <c r="BO2675">
        <v>0</v>
      </c>
      <c r="BP2675">
        <v>0</v>
      </c>
      <c r="BW2675" t="str">
        <f t="shared" si="1261"/>
        <v>14:45:55.160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6</v>
      </c>
      <c r="CP2675" t="s">
        <v>119</v>
      </c>
      <c r="CQ2675">
        <v>56</v>
      </c>
      <c r="CR2675">
        <v>3</v>
      </c>
      <c r="CW2675">
        <v>12195317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1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 t="shared" si="1258"/>
        <v>05/12/2020 14:45:37.323</v>
      </c>
      <c r="C2676" t="str">
        <f t="shared" si="1249"/>
        <v>FFDFD3C0</v>
      </c>
      <c r="D2676" t="s">
        <v>131</v>
      </c>
      <c r="E2676">
        <v>18</v>
      </c>
      <c r="F2676">
        <v>2018</v>
      </c>
      <c r="G2676" t="s">
        <v>161</v>
      </c>
      <c r="J2676" t="s">
        <v>133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259"/>
        <v>14:45:55.156</v>
      </c>
      <c r="T2676" t="str">
        <f t="shared" si="1260"/>
        <v>14:45:54.856</v>
      </c>
      <c r="U2676" t="str">
        <f t="shared" si="1242"/>
        <v>A9808D</v>
      </c>
      <c r="V2676">
        <v>0</v>
      </c>
      <c r="W2676">
        <v>0</v>
      </c>
      <c r="X2676">
        <v>1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0</v>
      </c>
      <c r="AI2676" t="s">
        <v>658</v>
      </c>
      <c r="AJ2676">
        <v>28.249862</v>
      </c>
      <c r="AK2676" t="s">
        <v>659</v>
      </c>
      <c r="AL2676">
        <v>-82.314677000000003</v>
      </c>
      <c r="AM2676">
        <v>100</v>
      </c>
      <c r="AN2676">
        <v>2400</v>
      </c>
      <c r="AO2676" t="s">
        <v>118</v>
      </c>
      <c r="AP2676">
        <v>102</v>
      </c>
      <c r="AQ2676">
        <v>-28</v>
      </c>
      <c r="AR2676">
        <v>192</v>
      </c>
      <c r="AZ2676">
        <v>1200</v>
      </c>
      <c r="BA2676">
        <v>1</v>
      </c>
      <c r="BB2676" t="str">
        <f t="shared" si="1250"/>
        <v xml:space="preserve">N711JA  </v>
      </c>
      <c r="BC2676">
        <v>1</v>
      </c>
      <c r="BE2676">
        <v>0</v>
      </c>
      <c r="BF2676">
        <v>0</v>
      </c>
      <c r="BG2676">
        <v>0</v>
      </c>
      <c r="BH2676">
        <v>2500</v>
      </c>
      <c r="BI2676">
        <v>1</v>
      </c>
      <c r="BJ2676">
        <v>1</v>
      </c>
      <c r="BK2676">
        <v>0</v>
      </c>
      <c r="BL2676">
        <v>0</v>
      </c>
      <c r="BO2676">
        <v>0</v>
      </c>
      <c r="BP2676">
        <v>0</v>
      </c>
      <c r="BW2676" t="str">
        <f t="shared" si="1261"/>
        <v>14:45:55.160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6</v>
      </c>
      <c r="CP2676" t="s">
        <v>119</v>
      </c>
      <c r="CQ2676">
        <v>56</v>
      </c>
      <c r="CR2676">
        <v>3</v>
      </c>
      <c r="CW2676">
        <v>12195317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1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 t="shared" ref="A2677:A2685" si="1262">"05/12/2020 14:45:38.488"</f>
        <v>05/12/2020 14:45:38.488</v>
      </c>
      <c r="C2677" t="str">
        <f t="shared" si="1249"/>
        <v>FFDFD3C0</v>
      </c>
      <c r="D2677" t="s">
        <v>138</v>
      </c>
      <c r="E2677">
        <v>2</v>
      </c>
      <c r="H2677">
        <v>8</v>
      </c>
      <c r="I2677" t="s">
        <v>139</v>
      </c>
      <c r="J2677" t="s">
        <v>136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ref="S2677:S2685" si="1263">"14:45:56.313"</f>
        <v>14:45:56.313</v>
      </c>
      <c r="T2677" t="str">
        <f t="shared" ref="T2677:T2685" si="1264">"14:45:56.013"</f>
        <v>14:45:56.013</v>
      </c>
      <c r="U2677" t="str">
        <f t="shared" si="1242"/>
        <v>A9808D</v>
      </c>
      <c r="V2677">
        <v>0</v>
      </c>
      <c r="W2677">
        <v>0</v>
      </c>
      <c r="X2677">
        <v>1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0</v>
      </c>
      <c r="AI2677" t="s">
        <v>660</v>
      </c>
      <c r="AJ2677">
        <v>28.249690999999999</v>
      </c>
      <c r="AK2677" t="s">
        <v>661</v>
      </c>
      <c r="AL2677">
        <v>-82.314054999999996</v>
      </c>
      <c r="AM2677">
        <v>100</v>
      </c>
      <c r="AN2677">
        <v>2400</v>
      </c>
      <c r="AO2677" t="s">
        <v>118</v>
      </c>
      <c r="AP2677">
        <v>102</v>
      </c>
      <c r="AQ2677">
        <v>-27</v>
      </c>
      <c r="AR2677">
        <v>256</v>
      </c>
      <c r="AZ2677">
        <v>1200</v>
      </c>
      <c r="BA2677">
        <v>1</v>
      </c>
      <c r="BB2677" t="str">
        <f t="shared" si="1250"/>
        <v xml:space="preserve">N711JA  </v>
      </c>
      <c r="BC2677">
        <v>1</v>
      </c>
      <c r="BE2677">
        <v>0</v>
      </c>
      <c r="BF2677">
        <v>0</v>
      </c>
      <c r="BG2677">
        <v>0</v>
      </c>
      <c r="BH2677">
        <v>2500</v>
      </c>
      <c r="BI2677">
        <v>1</v>
      </c>
      <c r="BJ2677">
        <v>1</v>
      </c>
      <c r="BK2677">
        <v>0</v>
      </c>
      <c r="BL2677">
        <v>0</v>
      </c>
      <c r="BO2677">
        <v>0</v>
      </c>
      <c r="BP2677">
        <v>0</v>
      </c>
      <c r="BW2677" t="str">
        <f t="shared" ref="BW2677:BW2685" si="1265">"14:45:56.318"</f>
        <v>14:45:56.318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119</v>
      </c>
      <c r="CQ2677">
        <v>56</v>
      </c>
      <c r="CR2677">
        <v>2</v>
      </c>
      <c r="CW2677">
        <v>4895942</v>
      </c>
      <c r="CY2677">
        <v>1</v>
      </c>
      <c r="CZ2677">
        <v>0</v>
      </c>
      <c r="DA2677">
        <v>0</v>
      </c>
      <c r="DB2677">
        <v>0</v>
      </c>
      <c r="DC2677">
        <v>0</v>
      </c>
      <c r="DD2677">
        <v>1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 t="shared" si="1262"/>
        <v>05/12/2020 14:45:38.488</v>
      </c>
      <c r="C2678" t="str">
        <f t="shared" si="1249"/>
        <v>FFDFD3C0</v>
      </c>
      <c r="D2678" t="s">
        <v>113</v>
      </c>
      <c r="E2678">
        <v>3</v>
      </c>
      <c r="H2678">
        <v>164</v>
      </c>
      <c r="I2678" t="s">
        <v>114</v>
      </c>
      <c r="J2678" t="s">
        <v>115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263"/>
        <v>14:45:56.313</v>
      </c>
      <c r="T2678" t="str">
        <f t="shared" si="1264"/>
        <v>14:45:56.013</v>
      </c>
      <c r="U2678" t="str">
        <f t="shared" si="1242"/>
        <v>A9808D</v>
      </c>
      <c r="V2678">
        <v>0</v>
      </c>
      <c r="W2678">
        <v>0</v>
      </c>
      <c r="X2678">
        <v>1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0</v>
      </c>
      <c r="AI2678" t="s">
        <v>660</v>
      </c>
      <c r="AJ2678">
        <v>28.249690999999999</v>
      </c>
      <c r="AK2678" t="s">
        <v>661</v>
      </c>
      <c r="AL2678">
        <v>-82.314054999999996</v>
      </c>
      <c r="AM2678">
        <v>100</v>
      </c>
      <c r="AN2678">
        <v>2400</v>
      </c>
      <c r="AO2678" t="s">
        <v>118</v>
      </c>
      <c r="AP2678">
        <v>102</v>
      </c>
      <c r="AQ2678">
        <v>-27</v>
      </c>
      <c r="AR2678">
        <v>256</v>
      </c>
      <c r="AZ2678">
        <v>1200</v>
      </c>
      <c r="BA2678">
        <v>1</v>
      </c>
      <c r="BB2678" t="str">
        <f t="shared" si="1250"/>
        <v xml:space="preserve">N711JA  </v>
      </c>
      <c r="BC2678">
        <v>1</v>
      </c>
      <c r="BE2678">
        <v>0</v>
      </c>
      <c r="BF2678">
        <v>0</v>
      </c>
      <c r="BG2678">
        <v>0</v>
      </c>
      <c r="BH2678">
        <v>2500</v>
      </c>
      <c r="BI2678">
        <v>1</v>
      </c>
      <c r="BJ2678">
        <v>1</v>
      </c>
      <c r="BK2678">
        <v>0</v>
      </c>
      <c r="BL2678">
        <v>0</v>
      </c>
      <c r="BO2678">
        <v>0</v>
      </c>
      <c r="BP2678">
        <v>0</v>
      </c>
      <c r="BW2678" t="str">
        <f t="shared" si="1265"/>
        <v>14:45:56.318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7</v>
      </c>
      <c r="CP2678" t="s">
        <v>119</v>
      </c>
      <c r="CQ2678">
        <v>56</v>
      </c>
      <c r="CR2678">
        <v>2</v>
      </c>
      <c r="CW2678">
        <v>4895942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1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 t="shared" si="1262"/>
        <v>05/12/2020 14:45:38.488</v>
      </c>
      <c r="C2679" t="str">
        <f t="shared" si="1249"/>
        <v>FFDFD3C0</v>
      </c>
      <c r="D2679" t="s">
        <v>126</v>
      </c>
      <c r="E2679">
        <v>7</v>
      </c>
      <c r="F2679">
        <v>1007</v>
      </c>
      <c r="G2679" t="s">
        <v>127</v>
      </c>
      <c r="J2679" t="s">
        <v>128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si="1263"/>
        <v>14:45:56.313</v>
      </c>
      <c r="T2679" t="str">
        <f t="shared" si="1264"/>
        <v>14:45:56.013</v>
      </c>
      <c r="U2679" t="str">
        <f t="shared" si="1242"/>
        <v>A9808D</v>
      </c>
      <c r="V2679">
        <v>0</v>
      </c>
      <c r="W2679">
        <v>0</v>
      </c>
      <c r="X2679">
        <v>1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0</v>
      </c>
      <c r="AI2679" t="s">
        <v>660</v>
      </c>
      <c r="AJ2679">
        <v>28.249690999999999</v>
      </c>
      <c r="AK2679" t="s">
        <v>661</v>
      </c>
      <c r="AL2679">
        <v>-82.314054999999996</v>
      </c>
      <c r="AM2679">
        <v>100</v>
      </c>
      <c r="AN2679">
        <v>2400</v>
      </c>
      <c r="AO2679" t="s">
        <v>118</v>
      </c>
      <c r="AP2679">
        <v>102</v>
      </c>
      <c r="AQ2679">
        <v>-27</v>
      </c>
      <c r="AR2679">
        <v>256</v>
      </c>
      <c r="AZ2679">
        <v>1200</v>
      </c>
      <c r="BA2679">
        <v>1</v>
      </c>
      <c r="BB2679" t="str">
        <f t="shared" si="1250"/>
        <v xml:space="preserve">N711JA  </v>
      </c>
      <c r="BC2679">
        <v>1</v>
      </c>
      <c r="BE2679">
        <v>0</v>
      </c>
      <c r="BF2679">
        <v>0</v>
      </c>
      <c r="BG2679">
        <v>0</v>
      </c>
      <c r="BH2679">
        <v>2500</v>
      </c>
      <c r="BI2679">
        <v>1</v>
      </c>
      <c r="BJ2679">
        <v>1</v>
      </c>
      <c r="BK2679">
        <v>0</v>
      </c>
      <c r="BL2679">
        <v>0</v>
      </c>
      <c r="BO2679">
        <v>0</v>
      </c>
      <c r="BP2679">
        <v>0</v>
      </c>
      <c r="BW2679" t="str">
        <f t="shared" si="1265"/>
        <v>14:45:56.318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7</v>
      </c>
      <c r="CP2679" t="s">
        <v>119</v>
      </c>
      <c r="CQ2679">
        <v>56</v>
      </c>
      <c r="CR2679">
        <v>2</v>
      </c>
      <c r="CW2679">
        <v>4895942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1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 t="shared" si="1262"/>
        <v>05/12/2020 14:45:38.488</v>
      </c>
      <c r="C2680" t="str">
        <f t="shared" si="1249"/>
        <v>FFDFD3C0</v>
      </c>
      <c r="D2680" t="s">
        <v>131</v>
      </c>
      <c r="E2680">
        <v>10</v>
      </c>
      <c r="F2680">
        <v>2010</v>
      </c>
      <c r="G2680" t="s">
        <v>132</v>
      </c>
      <c r="J2680" t="s">
        <v>133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si="1263"/>
        <v>14:45:56.313</v>
      </c>
      <c r="T2680" t="str">
        <f t="shared" si="1264"/>
        <v>14:45:56.013</v>
      </c>
      <c r="U2680" t="str">
        <f t="shared" si="1242"/>
        <v>A9808D</v>
      </c>
      <c r="V2680">
        <v>0</v>
      </c>
      <c r="W2680">
        <v>0</v>
      </c>
      <c r="X2680">
        <v>1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0</v>
      </c>
      <c r="AI2680" t="s">
        <v>660</v>
      </c>
      <c r="AJ2680">
        <v>28.249690999999999</v>
      </c>
      <c r="AK2680" t="s">
        <v>661</v>
      </c>
      <c r="AL2680">
        <v>-82.314054999999996</v>
      </c>
      <c r="AM2680">
        <v>100</v>
      </c>
      <c r="AN2680">
        <v>2400</v>
      </c>
      <c r="AO2680" t="s">
        <v>118</v>
      </c>
      <c r="AP2680">
        <v>102</v>
      </c>
      <c r="AQ2680">
        <v>-27</v>
      </c>
      <c r="AR2680">
        <v>256</v>
      </c>
      <c r="AZ2680">
        <v>1200</v>
      </c>
      <c r="BA2680">
        <v>1</v>
      </c>
      <c r="BB2680" t="str">
        <f t="shared" si="1250"/>
        <v xml:space="preserve">N711JA  </v>
      </c>
      <c r="BC2680">
        <v>1</v>
      </c>
      <c r="BE2680">
        <v>0</v>
      </c>
      <c r="BF2680">
        <v>0</v>
      </c>
      <c r="BG2680">
        <v>0</v>
      </c>
      <c r="BH2680">
        <v>2500</v>
      </c>
      <c r="BI2680">
        <v>1</v>
      </c>
      <c r="BJ2680">
        <v>1</v>
      </c>
      <c r="BK2680">
        <v>0</v>
      </c>
      <c r="BL2680">
        <v>0</v>
      </c>
      <c r="BO2680">
        <v>0</v>
      </c>
      <c r="BP2680">
        <v>0</v>
      </c>
      <c r="BW2680" t="str">
        <f t="shared" si="1265"/>
        <v>14:45:56.318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119</v>
      </c>
      <c r="CQ2680">
        <v>56</v>
      </c>
      <c r="CR2680">
        <v>2</v>
      </c>
      <c r="CW2680">
        <v>4895942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1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 t="shared" si="1262"/>
        <v>05/12/2020 14:45:38.488</v>
      </c>
      <c r="C2681" t="str">
        <f t="shared" si="1249"/>
        <v>FFDFD3C0</v>
      </c>
      <c r="D2681" t="s">
        <v>134</v>
      </c>
      <c r="E2681">
        <v>12</v>
      </c>
      <c r="H2681">
        <v>64</v>
      </c>
      <c r="I2681" t="s">
        <v>135</v>
      </c>
      <c r="J2681" t="s">
        <v>136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263"/>
        <v>14:45:56.313</v>
      </c>
      <c r="T2681" t="str">
        <f t="shared" si="1264"/>
        <v>14:45:56.013</v>
      </c>
      <c r="U2681" t="str">
        <f t="shared" si="1242"/>
        <v>A9808D</v>
      </c>
      <c r="V2681">
        <v>0</v>
      </c>
      <c r="W2681">
        <v>0</v>
      </c>
      <c r="X2681">
        <v>1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0</v>
      </c>
      <c r="AI2681" t="s">
        <v>660</v>
      </c>
      <c r="AJ2681">
        <v>28.249690999999999</v>
      </c>
      <c r="AK2681" t="s">
        <v>661</v>
      </c>
      <c r="AL2681">
        <v>-82.314054999999996</v>
      </c>
      <c r="AM2681">
        <v>100</v>
      </c>
      <c r="AN2681">
        <v>2400</v>
      </c>
      <c r="AO2681" t="s">
        <v>118</v>
      </c>
      <c r="AP2681">
        <v>102</v>
      </c>
      <c r="AQ2681">
        <v>-27</v>
      </c>
      <c r="AR2681">
        <v>256</v>
      </c>
      <c r="AZ2681">
        <v>1200</v>
      </c>
      <c r="BA2681">
        <v>1</v>
      </c>
      <c r="BB2681" t="str">
        <f t="shared" si="1250"/>
        <v xml:space="preserve">N711JA  </v>
      </c>
      <c r="BC2681">
        <v>1</v>
      </c>
      <c r="BE2681">
        <v>0</v>
      </c>
      <c r="BF2681">
        <v>0</v>
      </c>
      <c r="BG2681">
        <v>0</v>
      </c>
      <c r="BH2681">
        <v>2500</v>
      </c>
      <c r="BI2681">
        <v>1</v>
      </c>
      <c r="BJ2681">
        <v>1</v>
      </c>
      <c r="BK2681">
        <v>0</v>
      </c>
      <c r="BL2681">
        <v>0</v>
      </c>
      <c r="BO2681">
        <v>0</v>
      </c>
      <c r="BP2681">
        <v>0</v>
      </c>
      <c r="BW2681" t="str">
        <f t="shared" si="1265"/>
        <v>14:45:56.318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5</v>
      </c>
      <c r="CP2681" t="s">
        <v>119</v>
      </c>
      <c r="CQ2681">
        <v>358</v>
      </c>
      <c r="CR2681">
        <v>0</v>
      </c>
      <c r="CW2681">
        <v>4874106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1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 t="shared" si="1262"/>
        <v>05/12/2020 14:45:38.488</v>
      </c>
      <c r="C2682" t="str">
        <f t="shared" si="1249"/>
        <v>FFDFD3C0</v>
      </c>
      <c r="D2682" t="s">
        <v>131</v>
      </c>
      <c r="E2682">
        <v>12</v>
      </c>
      <c r="F2682">
        <v>2012</v>
      </c>
      <c r="G2682" t="s">
        <v>137</v>
      </c>
      <c r="J2682" t="s">
        <v>133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263"/>
        <v>14:45:56.313</v>
      </c>
      <c r="T2682" t="str">
        <f t="shared" si="1264"/>
        <v>14:45:56.013</v>
      </c>
      <c r="U2682" t="str">
        <f t="shared" si="1242"/>
        <v>A9808D</v>
      </c>
      <c r="V2682">
        <v>0</v>
      </c>
      <c r="W2682">
        <v>0</v>
      </c>
      <c r="X2682">
        <v>1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0</v>
      </c>
      <c r="AI2682" t="s">
        <v>660</v>
      </c>
      <c r="AJ2682">
        <v>28.249690999999999</v>
      </c>
      <c r="AK2682" t="s">
        <v>661</v>
      </c>
      <c r="AL2682">
        <v>-82.314054999999996</v>
      </c>
      <c r="AM2682">
        <v>100</v>
      </c>
      <c r="AN2682">
        <v>2400</v>
      </c>
      <c r="AO2682" t="s">
        <v>118</v>
      </c>
      <c r="AP2682">
        <v>102</v>
      </c>
      <c r="AQ2682">
        <v>-27</v>
      </c>
      <c r="AR2682">
        <v>256</v>
      </c>
      <c r="AZ2682">
        <v>1200</v>
      </c>
      <c r="BA2682">
        <v>1</v>
      </c>
      <c r="BB2682" t="str">
        <f t="shared" si="1250"/>
        <v xml:space="preserve">N711JA  </v>
      </c>
      <c r="BC2682">
        <v>1</v>
      </c>
      <c r="BE2682">
        <v>0</v>
      </c>
      <c r="BF2682">
        <v>0</v>
      </c>
      <c r="BG2682">
        <v>0</v>
      </c>
      <c r="BH2682">
        <v>2500</v>
      </c>
      <c r="BI2682">
        <v>1</v>
      </c>
      <c r="BJ2682">
        <v>1</v>
      </c>
      <c r="BK2682">
        <v>0</v>
      </c>
      <c r="BL2682">
        <v>0</v>
      </c>
      <c r="BO2682">
        <v>0</v>
      </c>
      <c r="BP2682">
        <v>0</v>
      </c>
      <c r="BW2682" t="str">
        <f t="shared" si="1265"/>
        <v>14:45:56.318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119</v>
      </c>
      <c r="CQ2682">
        <v>56</v>
      </c>
      <c r="CR2682">
        <v>2</v>
      </c>
      <c r="CW2682">
        <v>4895942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1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 t="shared" si="1262"/>
        <v>05/12/2020 14:45:38.488</v>
      </c>
      <c r="C2683" t="str">
        <f t="shared" si="1249"/>
        <v>FFDFD3C0</v>
      </c>
      <c r="D2683" t="s">
        <v>126</v>
      </c>
      <c r="E2683">
        <v>6</v>
      </c>
      <c r="F2683">
        <v>1006</v>
      </c>
      <c r="G2683" t="s">
        <v>114</v>
      </c>
      <c r="J2683" t="s">
        <v>128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263"/>
        <v>14:45:56.313</v>
      </c>
      <c r="T2683" t="str">
        <f t="shared" si="1264"/>
        <v>14:45:56.013</v>
      </c>
      <c r="U2683" t="str">
        <f t="shared" si="1242"/>
        <v>A9808D</v>
      </c>
      <c r="V2683">
        <v>0</v>
      </c>
      <c r="W2683">
        <v>0</v>
      </c>
      <c r="X2683">
        <v>1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0</v>
      </c>
      <c r="AI2683" t="s">
        <v>660</v>
      </c>
      <c r="AJ2683">
        <v>28.249690999999999</v>
      </c>
      <c r="AK2683" t="s">
        <v>661</v>
      </c>
      <c r="AL2683">
        <v>-82.314054999999996</v>
      </c>
      <c r="AM2683">
        <v>100</v>
      </c>
      <c r="AN2683">
        <v>2400</v>
      </c>
      <c r="AO2683" t="s">
        <v>118</v>
      </c>
      <c r="AP2683">
        <v>102</v>
      </c>
      <c r="AQ2683">
        <v>-27</v>
      </c>
      <c r="AR2683">
        <v>256</v>
      </c>
      <c r="AZ2683">
        <v>1200</v>
      </c>
      <c r="BA2683">
        <v>1</v>
      </c>
      <c r="BB2683" t="str">
        <f t="shared" si="1250"/>
        <v xml:space="preserve">N711JA  </v>
      </c>
      <c r="BC2683">
        <v>1</v>
      </c>
      <c r="BE2683">
        <v>0</v>
      </c>
      <c r="BF2683">
        <v>0</v>
      </c>
      <c r="BG2683">
        <v>0</v>
      </c>
      <c r="BH2683">
        <v>2500</v>
      </c>
      <c r="BI2683">
        <v>1</v>
      </c>
      <c r="BJ2683">
        <v>1</v>
      </c>
      <c r="BK2683">
        <v>0</v>
      </c>
      <c r="BL2683">
        <v>0</v>
      </c>
      <c r="BO2683">
        <v>0</v>
      </c>
      <c r="BP2683">
        <v>0</v>
      </c>
      <c r="BW2683" t="str">
        <f t="shared" si="1265"/>
        <v>14:45:56.318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119</v>
      </c>
      <c r="CQ2683">
        <v>56</v>
      </c>
      <c r="CR2683">
        <v>2</v>
      </c>
      <c r="CW2683">
        <v>4895942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1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 t="shared" si="1262"/>
        <v>05/12/2020 14:45:38.488</v>
      </c>
      <c r="C2684" t="str">
        <f t="shared" si="1249"/>
        <v>FFDFD3C0</v>
      </c>
      <c r="D2684" t="s">
        <v>138</v>
      </c>
      <c r="E2684">
        <v>3</v>
      </c>
      <c r="H2684">
        <v>9</v>
      </c>
      <c r="I2684" t="s">
        <v>140</v>
      </c>
      <c r="J2684" t="s">
        <v>136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263"/>
        <v>14:45:56.313</v>
      </c>
      <c r="T2684" t="str">
        <f t="shared" si="1264"/>
        <v>14:45:56.013</v>
      </c>
      <c r="U2684" t="str">
        <f t="shared" si="1242"/>
        <v>A9808D</v>
      </c>
      <c r="V2684">
        <v>0</v>
      </c>
      <c r="W2684">
        <v>0</v>
      </c>
      <c r="X2684">
        <v>1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0</v>
      </c>
      <c r="AI2684" t="s">
        <v>660</v>
      </c>
      <c r="AJ2684">
        <v>28.249690999999999</v>
      </c>
      <c r="AK2684" t="s">
        <v>661</v>
      </c>
      <c r="AL2684">
        <v>-82.314054999999996</v>
      </c>
      <c r="AM2684">
        <v>100</v>
      </c>
      <c r="AN2684">
        <v>2400</v>
      </c>
      <c r="AO2684" t="s">
        <v>118</v>
      </c>
      <c r="AP2684">
        <v>102</v>
      </c>
      <c r="AQ2684">
        <v>-27</v>
      </c>
      <c r="AR2684">
        <v>256</v>
      </c>
      <c r="AZ2684">
        <v>1200</v>
      </c>
      <c r="BA2684">
        <v>1</v>
      </c>
      <c r="BB2684" t="str">
        <f t="shared" si="1250"/>
        <v xml:space="preserve">N711JA  </v>
      </c>
      <c r="BC2684">
        <v>1</v>
      </c>
      <c r="BE2684">
        <v>0</v>
      </c>
      <c r="BF2684">
        <v>0</v>
      </c>
      <c r="BG2684">
        <v>0</v>
      </c>
      <c r="BH2684">
        <v>2500</v>
      </c>
      <c r="BI2684">
        <v>1</v>
      </c>
      <c r="BJ2684">
        <v>1</v>
      </c>
      <c r="BK2684">
        <v>0</v>
      </c>
      <c r="BL2684">
        <v>0</v>
      </c>
      <c r="BO2684">
        <v>0</v>
      </c>
      <c r="BP2684">
        <v>0</v>
      </c>
      <c r="BW2684" t="str">
        <f t="shared" si="1265"/>
        <v>14:45:56.318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119</v>
      </c>
      <c r="CQ2684">
        <v>56</v>
      </c>
      <c r="CR2684">
        <v>2</v>
      </c>
      <c r="CW2684">
        <v>4895942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1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 t="shared" si="1262"/>
        <v>05/12/2020 14:45:38.488</v>
      </c>
      <c r="C2685" t="str">
        <f t="shared" si="1249"/>
        <v>FFDFD3C0</v>
      </c>
      <c r="D2685" t="s">
        <v>131</v>
      </c>
      <c r="E2685">
        <v>18</v>
      </c>
      <c r="F2685">
        <v>2018</v>
      </c>
      <c r="G2685" t="s">
        <v>161</v>
      </c>
      <c r="J2685" t="s">
        <v>133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263"/>
        <v>14:45:56.313</v>
      </c>
      <c r="T2685" t="str">
        <f t="shared" si="1264"/>
        <v>14:45:56.013</v>
      </c>
      <c r="U2685" t="str">
        <f t="shared" si="1242"/>
        <v>A9808D</v>
      </c>
      <c r="V2685">
        <v>0</v>
      </c>
      <c r="W2685">
        <v>0</v>
      </c>
      <c r="X2685">
        <v>1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0</v>
      </c>
      <c r="AI2685" t="s">
        <v>660</v>
      </c>
      <c r="AJ2685">
        <v>28.249690999999999</v>
      </c>
      <c r="AK2685" t="s">
        <v>661</v>
      </c>
      <c r="AL2685">
        <v>-82.314054999999996</v>
      </c>
      <c r="AM2685">
        <v>100</v>
      </c>
      <c r="AN2685">
        <v>2400</v>
      </c>
      <c r="AO2685" t="s">
        <v>118</v>
      </c>
      <c r="AP2685">
        <v>102</v>
      </c>
      <c r="AQ2685">
        <v>-27</v>
      </c>
      <c r="AR2685">
        <v>256</v>
      </c>
      <c r="AZ2685">
        <v>1200</v>
      </c>
      <c r="BA2685">
        <v>1</v>
      </c>
      <c r="BB2685" t="str">
        <f t="shared" si="1250"/>
        <v xml:space="preserve">N711JA  </v>
      </c>
      <c r="BC2685">
        <v>1</v>
      </c>
      <c r="BE2685">
        <v>0</v>
      </c>
      <c r="BF2685">
        <v>0</v>
      </c>
      <c r="BG2685">
        <v>0</v>
      </c>
      <c r="BH2685">
        <v>2500</v>
      </c>
      <c r="BI2685">
        <v>1</v>
      </c>
      <c r="BJ2685">
        <v>1</v>
      </c>
      <c r="BK2685">
        <v>0</v>
      </c>
      <c r="BL2685">
        <v>0</v>
      </c>
      <c r="BO2685">
        <v>0</v>
      </c>
      <c r="BP2685">
        <v>0</v>
      </c>
      <c r="BW2685" t="str">
        <f t="shared" si="1265"/>
        <v>14:45:56.318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7</v>
      </c>
      <c r="CP2685" t="s">
        <v>119</v>
      </c>
      <c r="CQ2685">
        <v>56</v>
      </c>
      <c r="CR2685">
        <v>2</v>
      </c>
      <c r="CW2685">
        <v>4895942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1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 t="shared" ref="A2686:A2694" si="1266">"05/12/2020 14:45:39.556"</f>
        <v>05/12/2020 14:45:39.556</v>
      </c>
      <c r="C2686" t="str">
        <f t="shared" si="1249"/>
        <v>FFDFD3C0</v>
      </c>
      <c r="D2686" t="s">
        <v>126</v>
      </c>
      <c r="E2686">
        <v>7</v>
      </c>
      <c r="F2686">
        <v>1007</v>
      </c>
      <c r="G2686" t="s">
        <v>127</v>
      </c>
      <c r="J2686" t="s">
        <v>128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ref="S2686:S2694" si="1267">"14:45:57.383"</f>
        <v>14:45:57.383</v>
      </c>
      <c r="T2686" t="str">
        <f t="shared" ref="T2686:T2694" si="1268">"14:45:56.983"</f>
        <v>14:45:56.983</v>
      </c>
      <c r="U2686" t="str">
        <f t="shared" si="1242"/>
        <v>A9808D</v>
      </c>
      <c r="V2686">
        <v>0</v>
      </c>
      <c r="W2686">
        <v>0</v>
      </c>
      <c r="X2686">
        <v>1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0</v>
      </c>
      <c r="AI2686" t="s">
        <v>662</v>
      </c>
      <c r="AJ2686">
        <v>28.249583000000001</v>
      </c>
      <c r="AK2686" t="s">
        <v>663</v>
      </c>
      <c r="AL2686">
        <v>-82.313496999999998</v>
      </c>
      <c r="AM2686">
        <v>100</v>
      </c>
      <c r="AN2686">
        <v>2400</v>
      </c>
      <c r="AO2686" t="s">
        <v>118</v>
      </c>
      <c r="AP2686">
        <v>103</v>
      </c>
      <c r="AQ2686">
        <v>-26</v>
      </c>
      <c r="AR2686">
        <v>256</v>
      </c>
      <c r="AZ2686">
        <v>1200</v>
      </c>
      <c r="BA2686">
        <v>1</v>
      </c>
      <c r="BB2686" t="str">
        <f t="shared" si="1250"/>
        <v xml:space="preserve">N711JA  </v>
      </c>
      <c r="BC2686">
        <v>1</v>
      </c>
      <c r="BE2686">
        <v>0</v>
      </c>
      <c r="BF2686">
        <v>0</v>
      </c>
      <c r="BG2686">
        <v>0</v>
      </c>
      <c r="BH2686">
        <v>2500</v>
      </c>
      <c r="BI2686">
        <v>1</v>
      </c>
      <c r="BJ2686">
        <v>1</v>
      </c>
      <c r="BK2686">
        <v>0</v>
      </c>
      <c r="BL2686">
        <v>0</v>
      </c>
      <c r="BO2686">
        <v>0</v>
      </c>
      <c r="BP2686">
        <v>0</v>
      </c>
      <c r="BW2686" t="str">
        <f t="shared" ref="BW2686:BW2694" si="1269">"14:45:57.390"</f>
        <v>14:45:57.390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7</v>
      </c>
      <c r="CP2686" t="s">
        <v>119</v>
      </c>
      <c r="CQ2686">
        <v>56</v>
      </c>
      <c r="CR2686">
        <v>2</v>
      </c>
      <c r="CW2686">
        <v>4897400</v>
      </c>
      <c r="CY2686">
        <v>1</v>
      </c>
      <c r="CZ2686">
        <v>0</v>
      </c>
      <c r="DA2686">
        <v>0</v>
      </c>
      <c r="DB2686">
        <v>0</v>
      </c>
      <c r="DC2686">
        <v>0</v>
      </c>
      <c r="DD2686">
        <v>1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 t="shared" si="1266"/>
        <v>05/12/2020 14:45:39.556</v>
      </c>
      <c r="C2687" t="str">
        <f t="shared" si="1249"/>
        <v>FFDFD3C0</v>
      </c>
      <c r="D2687" t="s">
        <v>113</v>
      </c>
      <c r="E2687">
        <v>3</v>
      </c>
      <c r="H2687">
        <v>164</v>
      </c>
      <c r="I2687" t="s">
        <v>114</v>
      </c>
      <c r="J2687" t="s">
        <v>115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1267"/>
        <v>14:45:57.383</v>
      </c>
      <c r="T2687" t="str">
        <f t="shared" si="1268"/>
        <v>14:45:56.983</v>
      </c>
      <c r="U2687" t="str">
        <f t="shared" si="1242"/>
        <v>A9808D</v>
      </c>
      <c r="V2687">
        <v>0</v>
      </c>
      <c r="W2687">
        <v>0</v>
      </c>
      <c r="X2687">
        <v>1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0</v>
      </c>
      <c r="AI2687" t="s">
        <v>662</v>
      </c>
      <c r="AJ2687">
        <v>28.249583000000001</v>
      </c>
      <c r="AK2687" t="s">
        <v>663</v>
      </c>
      <c r="AL2687">
        <v>-82.313496999999998</v>
      </c>
      <c r="AM2687">
        <v>100</v>
      </c>
      <c r="AN2687">
        <v>2400</v>
      </c>
      <c r="AO2687" t="s">
        <v>118</v>
      </c>
      <c r="AP2687">
        <v>103</v>
      </c>
      <c r="AQ2687">
        <v>-26</v>
      </c>
      <c r="AR2687">
        <v>256</v>
      </c>
      <c r="AZ2687">
        <v>1200</v>
      </c>
      <c r="BA2687">
        <v>1</v>
      </c>
      <c r="BB2687" t="str">
        <f t="shared" si="1250"/>
        <v xml:space="preserve">N711JA  </v>
      </c>
      <c r="BC2687">
        <v>1</v>
      </c>
      <c r="BE2687">
        <v>0</v>
      </c>
      <c r="BF2687">
        <v>0</v>
      </c>
      <c r="BG2687">
        <v>0</v>
      </c>
      <c r="BH2687">
        <v>2500</v>
      </c>
      <c r="BI2687">
        <v>1</v>
      </c>
      <c r="BJ2687">
        <v>1</v>
      </c>
      <c r="BK2687">
        <v>0</v>
      </c>
      <c r="BL2687">
        <v>0</v>
      </c>
      <c r="BO2687">
        <v>0</v>
      </c>
      <c r="BP2687">
        <v>0</v>
      </c>
      <c r="BW2687" t="str">
        <f t="shared" si="1269"/>
        <v>14:45:57.390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119</v>
      </c>
      <c r="CQ2687">
        <v>56</v>
      </c>
      <c r="CR2687">
        <v>2</v>
      </c>
      <c r="CW2687">
        <v>4897400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1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 t="shared" si="1266"/>
        <v>05/12/2020 14:45:39.556</v>
      </c>
      <c r="C2688" t="str">
        <f t="shared" si="1249"/>
        <v>FFDFD3C0</v>
      </c>
      <c r="D2688" t="s">
        <v>131</v>
      </c>
      <c r="E2688">
        <v>10</v>
      </c>
      <c r="F2688">
        <v>2010</v>
      </c>
      <c r="G2688" t="s">
        <v>132</v>
      </c>
      <c r="J2688" t="s">
        <v>133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267"/>
        <v>14:45:57.383</v>
      </c>
      <c r="T2688" t="str">
        <f t="shared" si="1268"/>
        <v>14:45:56.983</v>
      </c>
      <c r="U2688" t="str">
        <f t="shared" si="1242"/>
        <v>A9808D</v>
      </c>
      <c r="V2688">
        <v>0</v>
      </c>
      <c r="W2688">
        <v>0</v>
      </c>
      <c r="X2688">
        <v>1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0</v>
      </c>
      <c r="AI2688" t="s">
        <v>662</v>
      </c>
      <c r="AJ2688">
        <v>28.249583000000001</v>
      </c>
      <c r="AK2688" t="s">
        <v>663</v>
      </c>
      <c r="AL2688">
        <v>-82.313496999999998</v>
      </c>
      <c r="AM2688">
        <v>100</v>
      </c>
      <c r="AN2688">
        <v>2400</v>
      </c>
      <c r="AO2688" t="s">
        <v>118</v>
      </c>
      <c r="AP2688">
        <v>103</v>
      </c>
      <c r="AQ2688">
        <v>-26</v>
      </c>
      <c r="AR2688">
        <v>256</v>
      </c>
      <c r="AZ2688">
        <v>1200</v>
      </c>
      <c r="BA2688">
        <v>1</v>
      </c>
      <c r="BB2688" t="str">
        <f t="shared" si="1250"/>
        <v xml:space="preserve">N711JA  </v>
      </c>
      <c r="BC2688">
        <v>1</v>
      </c>
      <c r="BE2688">
        <v>0</v>
      </c>
      <c r="BF2688">
        <v>0</v>
      </c>
      <c r="BG2688">
        <v>0</v>
      </c>
      <c r="BH2688">
        <v>2500</v>
      </c>
      <c r="BI2688">
        <v>1</v>
      </c>
      <c r="BJ2688">
        <v>1</v>
      </c>
      <c r="BK2688">
        <v>0</v>
      </c>
      <c r="BL2688">
        <v>0</v>
      </c>
      <c r="BO2688">
        <v>0</v>
      </c>
      <c r="BP2688">
        <v>0</v>
      </c>
      <c r="BW2688" t="str">
        <f t="shared" si="1269"/>
        <v>14:45:57.390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7</v>
      </c>
      <c r="CP2688" t="s">
        <v>119</v>
      </c>
      <c r="CQ2688">
        <v>56</v>
      </c>
      <c r="CR2688">
        <v>2</v>
      </c>
      <c r="CW2688">
        <v>4897400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1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 t="shared" si="1266"/>
        <v>05/12/2020 14:45:39.556</v>
      </c>
      <c r="C2689" t="str">
        <f t="shared" si="1249"/>
        <v>FFDFD3C0</v>
      </c>
      <c r="D2689" t="s">
        <v>131</v>
      </c>
      <c r="E2689">
        <v>12</v>
      </c>
      <c r="F2689">
        <v>2012</v>
      </c>
      <c r="G2689" t="s">
        <v>137</v>
      </c>
      <c r="J2689" t="s">
        <v>133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267"/>
        <v>14:45:57.383</v>
      </c>
      <c r="T2689" t="str">
        <f t="shared" si="1268"/>
        <v>14:45:56.983</v>
      </c>
      <c r="U2689" t="str">
        <f t="shared" si="1242"/>
        <v>A9808D</v>
      </c>
      <c r="V2689">
        <v>0</v>
      </c>
      <c r="W2689">
        <v>0</v>
      </c>
      <c r="X2689">
        <v>1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0</v>
      </c>
      <c r="AI2689" t="s">
        <v>662</v>
      </c>
      <c r="AJ2689">
        <v>28.249583000000001</v>
      </c>
      <c r="AK2689" t="s">
        <v>663</v>
      </c>
      <c r="AL2689">
        <v>-82.313496999999998</v>
      </c>
      <c r="AM2689">
        <v>100</v>
      </c>
      <c r="AN2689">
        <v>2400</v>
      </c>
      <c r="AO2689" t="s">
        <v>118</v>
      </c>
      <c r="AP2689">
        <v>103</v>
      </c>
      <c r="AQ2689">
        <v>-26</v>
      </c>
      <c r="AR2689">
        <v>256</v>
      </c>
      <c r="AZ2689">
        <v>1200</v>
      </c>
      <c r="BA2689">
        <v>1</v>
      </c>
      <c r="BB2689" t="str">
        <f t="shared" si="1250"/>
        <v xml:space="preserve">N711JA  </v>
      </c>
      <c r="BC2689">
        <v>1</v>
      </c>
      <c r="BE2689">
        <v>0</v>
      </c>
      <c r="BF2689">
        <v>0</v>
      </c>
      <c r="BG2689">
        <v>0</v>
      </c>
      <c r="BH2689">
        <v>2500</v>
      </c>
      <c r="BI2689">
        <v>1</v>
      </c>
      <c r="BJ2689">
        <v>1</v>
      </c>
      <c r="BK2689">
        <v>0</v>
      </c>
      <c r="BL2689">
        <v>0</v>
      </c>
      <c r="BO2689">
        <v>0</v>
      </c>
      <c r="BP2689">
        <v>0</v>
      </c>
      <c r="BW2689" t="str">
        <f t="shared" si="1269"/>
        <v>14:45:57.390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7</v>
      </c>
      <c r="CP2689" t="s">
        <v>119</v>
      </c>
      <c r="CQ2689">
        <v>56</v>
      </c>
      <c r="CR2689">
        <v>2</v>
      </c>
      <c r="CW2689">
        <v>4897400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1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 t="shared" si="1266"/>
        <v>05/12/2020 14:45:39.556</v>
      </c>
      <c r="C2690" t="str">
        <f t="shared" si="1249"/>
        <v>FFDFD3C0</v>
      </c>
      <c r="D2690" t="s">
        <v>126</v>
      </c>
      <c r="E2690">
        <v>6</v>
      </c>
      <c r="F2690">
        <v>1006</v>
      </c>
      <c r="G2690" t="s">
        <v>114</v>
      </c>
      <c r="J2690" t="s">
        <v>128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267"/>
        <v>14:45:57.383</v>
      </c>
      <c r="T2690" t="str">
        <f t="shared" si="1268"/>
        <v>14:45:56.983</v>
      </c>
      <c r="U2690" t="str">
        <f t="shared" ref="U2690:U2753" si="1270">"A9808D"</f>
        <v>A9808D</v>
      </c>
      <c r="V2690">
        <v>0</v>
      </c>
      <c r="W2690">
        <v>0</v>
      </c>
      <c r="X2690">
        <v>1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0</v>
      </c>
      <c r="AI2690" t="s">
        <v>662</v>
      </c>
      <c r="AJ2690">
        <v>28.249583000000001</v>
      </c>
      <c r="AK2690" t="s">
        <v>663</v>
      </c>
      <c r="AL2690">
        <v>-82.313496999999998</v>
      </c>
      <c r="AM2690">
        <v>100</v>
      </c>
      <c r="AN2690">
        <v>2400</v>
      </c>
      <c r="AO2690" t="s">
        <v>118</v>
      </c>
      <c r="AP2690">
        <v>103</v>
      </c>
      <c r="AQ2690">
        <v>-26</v>
      </c>
      <c r="AR2690">
        <v>256</v>
      </c>
      <c r="AZ2690">
        <v>1200</v>
      </c>
      <c r="BA2690">
        <v>1</v>
      </c>
      <c r="BB2690" t="str">
        <f t="shared" si="1250"/>
        <v xml:space="preserve">N711JA  </v>
      </c>
      <c r="BC2690">
        <v>1</v>
      </c>
      <c r="BE2690">
        <v>0</v>
      </c>
      <c r="BF2690">
        <v>0</v>
      </c>
      <c r="BG2690">
        <v>0</v>
      </c>
      <c r="BH2690">
        <v>2500</v>
      </c>
      <c r="BI2690">
        <v>1</v>
      </c>
      <c r="BJ2690">
        <v>1</v>
      </c>
      <c r="BK2690">
        <v>0</v>
      </c>
      <c r="BL2690">
        <v>0</v>
      </c>
      <c r="BO2690">
        <v>0</v>
      </c>
      <c r="BP2690">
        <v>0</v>
      </c>
      <c r="BW2690" t="str">
        <f t="shared" si="1269"/>
        <v>14:45:57.390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119</v>
      </c>
      <c r="CQ2690">
        <v>56</v>
      </c>
      <c r="CR2690">
        <v>2</v>
      </c>
      <c r="CW2690">
        <v>4897400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1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 t="shared" si="1266"/>
        <v>05/12/2020 14:45:39.556</v>
      </c>
      <c r="C2691" t="str">
        <f t="shared" si="1249"/>
        <v>FFDFD3C0</v>
      </c>
      <c r="D2691" t="s">
        <v>134</v>
      </c>
      <c r="E2691">
        <v>12</v>
      </c>
      <c r="H2691">
        <v>64</v>
      </c>
      <c r="I2691" t="s">
        <v>135</v>
      </c>
      <c r="J2691" t="s">
        <v>136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267"/>
        <v>14:45:57.383</v>
      </c>
      <c r="T2691" t="str">
        <f t="shared" si="1268"/>
        <v>14:45:56.983</v>
      </c>
      <c r="U2691" t="str">
        <f t="shared" si="1270"/>
        <v>A9808D</v>
      </c>
      <c r="V2691">
        <v>0</v>
      </c>
      <c r="W2691">
        <v>0</v>
      </c>
      <c r="X2691">
        <v>1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0</v>
      </c>
      <c r="AI2691" t="s">
        <v>662</v>
      </c>
      <c r="AJ2691">
        <v>28.249583000000001</v>
      </c>
      <c r="AK2691" t="s">
        <v>663</v>
      </c>
      <c r="AL2691">
        <v>-82.313496999999998</v>
      </c>
      <c r="AM2691">
        <v>100</v>
      </c>
      <c r="AN2691">
        <v>2400</v>
      </c>
      <c r="AO2691" t="s">
        <v>118</v>
      </c>
      <c r="AP2691">
        <v>103</v>
      </c>
      <c r="AQ2691">
        <v>-26</v>
      </c>
      <c r="AR2691">
        <v>256</v>
      </c>
      <c r="AZ2691">
        <v>1200</v>
      </c>
      <c r="BA2691">
        <v>1</v>
      </c>
      <c r="BB2691" t="str">
        <f t="shared" si="1250"/>
        <v xml:space="preserve">N711JA  </v>
      </c>
      <c r="BC2691">
        <v>1</v>
      </c>
      <c r="BE2691">
        <v>0</v>
      </c>
      <c r="BF2691">
        <v>0</v>
      </c>
      <c r="BG2691">
        <v>0</v>
      </c>
      <c r="BH2691">
        <v>2500</v>
      </c>
      <c r="BI2691">
        <v>1</v>
      </c>
      <c r="BJ2691">
        <v>1</v>
      </c>
      <c r="BK2691">
        <v>0</v>
      </c>
      <c r="BL2691">
        <v>0</v>
      </c>
      <c r="BO2691">
        <v>0</v>
      </c>
      <c r="BP2691">
        <v>0</v>
      </c>
      <c r="BW2691" t="str">
        <f t="shared" si="1269"/>
        <v>14:45:57.390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5</v>
      </c>
      <c r="CP2691" t="s">
        <v>119</v>
      </c>
      <c r="CQ2691">
        <v>358</v>
      </c>
      <c r="CR2691">
        <v>0</v>
      </c>
      <c r="CW2691">
        <v>4875431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1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 t="shared" si="1266"/>
        <v>05/12/2020 14:45:39.556</v>
      </c>
      <c r="C2692" t="str">
        <f t="shared" si="1249"/>
        <v>FFDFD3C0</v>
      </c>
      <c r="D2692" t="s">
        <v>131</v>
      </c>
      <c r="E2692">
        <v>18</v>
      </c>
      <c r="F2692">
        <v>2018</v>
      </c>
      <c r="G2692" t="s">
        <v>161</v>
      </c>
      <c r="J2692" t="s">
        <v>133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267"/>
        <v>14:45:57.383</v>
      </c>
      <c r="T2692" t="str">
        <f t="shared" si="1268"/>
        <v>14:45:56.983</v>
      </c>
      <c r="U2692" t="str">
        <f t="shared" si="1270"/>
        <v>A9808D</v>
      </c>
      <c r="V2692">
        <v>0</v>
      </c>
      <c r="W2692">
        <v>0</v>
      </c>
      <c r="X2692">
        <v>1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0</v>
      </c>
      <c r="AI2692" t="s">
        <v>662</v>
      </c>
      <c r="AJ2692">
        <v>28.249583000000001</v>
      </c>
      <c r="AK2692" t="s">
        <v>663</v>
      </c>
      <c r="AL2692">
        <v>-82.313496999999998</v>
      </c>
      <c r="AM2692">
        <v>100</v>
      </c>
      <c r="AN2692">
        <v>2400</v>
      </c>
      <c r="AO2692" t="s">
        <v>118</v>
      </c>
      <c r="AP2692">
        <v>103</v>
      </c>
      <c r="AQ2692">
        <v>-26</v>
      </c>
      <c r="AR2692">
        <v>256</v>
      </c>
      <c r="AZ2692">
        <v>1200</v>
      </c>
      <c r="BA2692">
        <v>1</v>
      </c>
      <c r="BB2692" t="str">
        <f t="shared" si="1250"/>
        <v xml:space="preserve">N711JA  </v>
      </c>
      <c r="BC2692">
        <v>1</v>
      </c>
      <c r="BE2692">
        <v>0</v>
      </c>
      <c r="BF2692">
        <v>0</v>
      </c>
      <c r="BG2692">
        <v>0</v>
      </c>
      <c r="BH2692">
        <v>2500</v>
      </c>
      <c r="BI2692">
        <v>1</v>
      </c>
      <c r="BJ2692">
        <v>1</v>
      </c>
      <c r="BK2692">
        <v>0</v>
      </c>
      <c r="BL2692">
        <v>0</v>
      </c>
      <c r="BO2692">
        <v>0</v>
      </c>
      <c r="BP2692">
        <v>0</v>
      </c>
      <c r="BW2692" t="str">
        <f t="shared" si="1269"/>
        <v>14:45:57.390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7</v>
      </c>
      <c r="CP2692" t="s">
        <v>119</v>
      </c>
      <c r="CQ2692">
        <v>56</v>
      </c>
      <c r="CR2692">
        <v>2</v>
      </c>
      <c r="CW2692">
        <v>4897400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1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 t="shared" si="1266"/>
        <v>05/12/2020 14:45:39.556</v>
      </c>
      <c r="C2693" t="str">
        <f t="shared" si="1249"/>
        <v>FFDFD3C0</v>
      </c>
      <c r="D2693" t="s">
        <v>138</v>
      </c>
      <c r="E2693">
        <v>3</v>
      </c>
      <c r="H2693">
        <v>9</v>
      </c>
      <c r="I2693" t="s">
        <v>140</v>
      </c>
      <c r="J2693" t="s">
        <v>136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si="1267"/>
        <v>14:45:57.383</v>
      </c>
      <c r="T2693" t="str">
        <f t="shared" si="1268"/>
        <v>14:45:56.983</v>
      </c>
      <c r="U2693" t="str">
        <f t="shared" si="1270"/>
        <v>A9808D</v>
      </c>
      <c r="V2693">
        <v>0</v>
      </c>
      <c r="W2693">
        <v>0</v>
      </c>
      <c r="X2693">
        <v>1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0</v>
      </c>
      <c r="AI2693" t="s">
        <v>662</v>
      </c>
      <c r="AJ2693">
        <v>28.249583000000001</v>
      </c>
      <c r="AK2693" t="s">
        <v>663</v>
      </c>
      <c r="AL2693">
        <v>-82.313496999999998</v>
      </c>
      <c r="AM2693">
        <v>100</v>
      </c>
      <c r="AN2693">
        <v>2400</v>
      </c>
      <c r="AO2693" t="s">
        <v>118</v>
      </c>
      <c r="AP2693">
        <v>103</v>
      </c>
      <c r="AQ2693">
        <v>-26</v>
      </c>
      <c r="AR2693">
        <v>256</v>
      </c>
      <c r="AZ2693">
        <v>1200</v>
      </c>
      <c r="BA2693">
        <v>1</v>
      </c>
      <c r="BB2693" t="str">
        <f t="shared" si="1250"/>
        <v xml:space="preserve">N711JA  </v>
      </c>
      <c r="BC2693">
        <v>1</v>
      </c>
      <c r="BE2693">
        <v>0</v>
      </c>
      <c r="BF2693">
        <v>0</v>
      </c>
      <c r="BG2693">
        <v>0</v>
      </c>
      <c r="BH2693">
        <v>2500</v>
      </c>
      <c r="BI2693">
        <v>1</v>
      </c>
      <c r="BJ2693">
        <v>1</v>
      </c>
      <c r="BK2693">
        <v>0</v>
      </c>
      <c r="BL2693">
        <v>0</v>
      </c>
      <c r="BO2693">
        <v>0</v>
      </c>
      <c r="BP2693">
        <v>0</v>
      </c>
      <c r="BW2693" t="str">
        <f t="shared" si="1269"/>
        <v>14:45:57.390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119</v>
      </c>
      <c r="CQ2693">
        <v>56</v>
      </c>
      <c r="CR2693">
        <v>2</v>
      </c>
      <c r="CW2693">
        <v>4897400</v>
      </c>
      <c r="CY2693">
        <v>1</v>
      </c>
      <c r="CZ2693">
        <v>0</v>
      </c>
      <c r="DA2693">
        <v>1</v>
      </c>
      <c r="DB2693">
        <v>0</v>
      </c>
      <c r="DC2693">
        <v>0</v>
      </c>
      <c r="DD2693">
        <v>1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 t="shared" si="1266"/>
        <v>05/12/2020 14:45:39.556</v>
      </c>
      <c r="C2694" t="str">
        <f t="shared" si="1249"/>
        <v>FFDFD3C0</v>
      </c>
      <c r="D2694" t="s">
        <v>138</v>
      </c>
      <c r="E2694">
        <v>2</v>
      </c>
      <c r="H2694">
        <v>8</v>
      </c>
      <c r="I2694" t="s">
        <v>139</v>
      </c>
      <c r="J2694" t="s">
        <v>136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1267"/>
        <v>14:45:57.383</v>
      </c>
      <c r="T2694" t="str">
        <f t="shared" si="1268"/>
        <v>14:45:56.983</v>
      </c>
      <c r="U2694" t="str">
        <f t="shared" si="1270"/>
        <v>A9808D</v>
      </c>
      <c r="V2694">
        <v>0</v>
      </c>
      <c r="W2694">
        <v>0</v>
      </c>
      <c r="X2694">
        <v>1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0</v>
      </c>
      <c r="AI2694" t="s">
        <v>662</v>
      </c>
      <c r="AJ2694">
        <v>28.249583000000001</v>
      </c>
      <c r="AK2694" t="s">
        <v>663</v>
      </c>
      <c r="AL2694">
        <v>-82.313496999999998</v>
      </c>
      <c r="AM2694">
        <v>100</v>
      </c>
      <c r="AN2694">
        <v>2400</v>
      </c>
      <c r="AO2694" t="s">
        <v>118</v>
      </c>
      <c r="AP2694">
        <v>103</v>
      </c>
      <c r="AQ2694">
        <v>-26</v>
      </c>
      <c r="AR2694">
        <v>256</v>
      </c>
      <c r="AZ2694">
        <v>1200</v>
      </c>
      <c r="BA2694">
        <v>1</v>
      </c>
      <c r="BB2694" t="str">
        <f t="shared" si="1250"/>
        <v xml:space="preserve">N711JA  </v>
      </c>
      <c r="BC2694">
        <v>1</v>
      </c>
      <c r="BE2694">
        <v>0</v>
      </c>
      <c r="BF2694">
        <v>0</v>
      </c>
      <c r="BG2694">
        <v>0</v>
      </c>
      <c r="BH2694">
        <v>2500</v>
      </c>
      <c r="BI2694">
        <v>1</v>
      </c>
      <c r="BJ2694">
        <v>1</v>
      </c>
      <c r="BK2694">
        <v>0</v>
      </c>
      <c r="BL2694">
        <v>0</v>
      </c>
      <c r="BO2694">
        <v>0</v>
      </c>
      <c r="BP2694">
        <v>0</v>
      </c>
      <c r="BW2694" t="str">
        <f t="shared" si="1269"/>
        <v>14:45:57.390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119</v>
      </c>
      <c r="CQ2694">
        <v>56</v>
      </c>
      <c r="CR2694">
        <v>2</v>
      </c>
      <c r="CW2694">
        <v>4897400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1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 t="shared" ref="A2695:A2703" si="1271">"05/12/2020 14:45:40.493"</f>
        <v>05/12/2020 14:45:40.493</v>
      </c>
      <c r="C2695" t="str">
        <f t="shared" si="1249"/>
        <v>FFDFD3C0</v>
      </c>
      <c r="D2695" t="s">
        <v>138</v>
      </c>
      <c r="E2695">
        <v>3</v>
      </c>
      <c r="H2695">
        <v>9</v>
      </c>
      <c r="I2695" t="s">
        <v>140</v>
      </c>
      <c r="J2695" t="s">
        <v>136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ref="S2695:S2703" si="1272">"14:45:58.328"</f>
        <v>14:45:58.328</v>
      </c>
      <c r="T2695" t="str">
        <f t="shared" ref="T2695:T2703" si="1273">"14:45:58.028"</f>
        <v>14:45:58.028</v>
      </c>
      <c r="U2695" t="str">
        <f t="shared" si="1270"/>
        <v>A9808D</v>
      </c>
      <c r="V2695">
        <v>0</v>
      </c>
      <c r="W2695">
        <v>0</v>
      </c>
      <c r="X2695">
        <v>1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0</v>
      </c>
      <c r="AI2695" t="s">
        <v>664</v>
      </c>
      <c r="AJ2695">
        <v>28.249433</v>
      </c>
      <c r="AK2695" t="s">
        <v>665</v>
      </c>
      <c r="AL2695">
        <v>-82.312961000000001</v>
      </c>
      <c r="AM2695">
        <v>100</v>
      </c>
      <c r="AN2695">
        <v>2400</v>
      </c>
      <c r="AO2695" t="s">
        <v>118</v>
      </c>
      <c r="AP2695">
        <v>103</v>
      </c>
      <c r="AQ2695">
        <v>-26</v>
      </c>
      <c r="AR2695">
        <v>256</v>
      </c>
      <c r="AZ2695">
        <v>1200</v>
      </c>
      <c r="BA2695">
        <v>1</v>
      </c>
      <c r="BB2695" t="str">
        <f t="shared" si="1250"/>
        <v xml:space="preserve">N711JA  </v>
      </c>
      <c r="BC2695">
        <v>1</v>
      </c>
      <c r="BE2695">
        <v>0</v>
      </c>
      <c r="BF2695">
        <v>0</v>
      </c>
      <c r="BG2695">
        <v>0</v>
      </c>
      <c r="BH2695">
        <v>2500</v>
      </c>
      <c r="BI2695">
        <v>1</v>
      </c>
      <c r="BJ2695">
        <v>1</v>
      </c>
      <c r="BK2695">
        <v>0</v>
      </c>
      <c r="BL2695">
        <v>0</v>
      </c>
      <c r="BO2695">
        <v>0</v>
      </c>
      <c r="BP2695">
        <v>0</v>
      </c>
      <c r="BW2695" t="str">
        <f t="shared" ref="BW2695:BW2703" si="1274">"14:45:58.335"</f>
        <v>14:45:58.335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56</v>
      </c>
      <c r="CR2695">
        <v>2</v>
      </c>
      <c r="CW2695">
        <v>4898600</v>
      </c>
      <c r="CY2695">
        <v>1</v>
      </c>
      <c r="CZ2695">
        <v>0</v>
      </c>
      <c r="DA2695">
        <v>0</v>
      </c>
      <c r="DB2695">
        <v>0</v>
      </c>
      <c r="DC2695">
        <v>0</v>
      </c>
      <c r="DD2695">
        <v>1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 t="shared" si="1271"/>
        <v>05/12/2020 14:45:40.493</v>
      </c>
      <c r="C2696" t="str">
        <f t="shared" si="1249"/>
        <v>FFDFD3C0</v>
      </c>
      <c r="D2696" t="s">
        <v>126</v>
      </c>
      <c r="E2696">
        <v>7</v>
      </c>
      <c r="F2696">
        <v>1007</v>
      </c>
      <c r="G2696" t="s">
        <v>127</v>
      </c>
      <c r="J2696" t="s">
        <v>128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272"/>
        <v>14:45:58.328</v>
      </c>
      <c r="T2696" t="str">
        <f t="shared" si="1273"/>
        <v>14:45:58.028</v>
      </c>
      <c r="U2696" t="str">
        <f t="shared" si="1270"/>
        <v>A9808D</v>
      </c>
      <c r="V2696">
        <v>0</v>
      </c>
      <c r="W2696">
        <v>0</v>
      </c>
      <c r="X2696">
        <v>1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0</v>
      </c>
      <c r="AI2696" t="s">
        <v>664</v>
      </c>
      <c r="AJ2696">
        <v>28.249433</v>
      </c>
      <c r="AK2696" t="s">
        <v>665</v>
      </c>
      <c r="AL2696">
        <v>-82.312961000000001</v>
      </c>
      <c r="AM2696">
        <v>100</v>
      </c>
      <c r="AN2696">
        <v>2400</v>
      </c>
      <c r="AO2696" t="s">
        <v>118</v>
      </c>
      <c r="AP2696">
        <v>103</v>
      </c>
      <c r="AQ2696">
        <v>-26</v>
      </c>
      <c r="AR2696">
        <v>256</v>
      </c>
      <c r="AZ2696">
        <v>1200</v>
      </c>
      <c r="BA2696">
        <v>1</v>
      </c>
      <c r="BB2696" t="str">
        <f t="shared" si="1250"/>
        <v xml:space="preserve">N711JA  </v>
      </c>
      <c r="BC2696">
        <v>1</v>
      </c>
      <c r="BE2696">
        <v>0</v>
      </c>
      <c r="BF2696">
        <v>0</v>
      </c>
      <c r="BG2696">
        <v>0</v>
      </c>
      <c r="BH2696">
        <v>2500</v>
      </c>
      <c r="BI2696">
        <v>1</v>
      </c>
      <c r="BJ2696">
        <v>1</v>
      </c>
      <c r="BK2696">
        <v>0</v>
      </c>
      <c r="BL2696">
        <v>0</v>
      </c>
      <c r="BO2696">
        <v>0</v>
      </c>
      <c r="BP2696">
        <v>0</v>
      </c>
      <c r="BW2696" t="str">
        <f t="shared" si="1274"/>
        <v>14:45:58.335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119</v>
      </c>
      <c r="CQ2696">
        <v>56</v>
      </c>
      <c r="CR2696">
        <v>2</v>
      </c>
      <c r="CW2696">
        <v>4898600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1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 t="shared" si="1271"/>
        <v>05/12/2020 14:45:40.493</v>
      </c>
      <c r="C2697" t="str">
        <f t="shared" si="1249"/>
        <v>FFDFD3C0</v>
      </c>
      <c r="D2697" t="s">
        <v>138</v>
      </c>
      <c r="E2697">
        <v>2</v>
      </c>
      <c r="H2697">
        <v>8</v>
      </c>
      <c r="I2697" t="s">
        <v>139</v>
      </c>
      <c r="J2697" t="s">
        <v>136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272"/>
        <v>14:45:58.328</v>
      </c>
      <c r="T2697" t="str">
        <f t="shared" si="1273"/>
        <v>14:45:58.028</v>
      </c>
      <c r="U2697" t="str">
        <f t="shared" si="1270"/>
        <v>A9808D</v>
      </c>
      <c r="V2697">
        <v>0</v>
      </c>
      <c r="W2697">
        <v>0</v>
      </c>
      <c r="X2697">
        <v>1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0</v>
      </c>
      <c r="AI2697" t="s">
        <v>664</v>
      </c>
      <c r="AJ2697">
        <v>28.249433</v>
      </c>
      <c r="AK2697" t="s">
        <v>665</v>
      </c>
      <c r="AL2697">
        <v>-82.312961000000001</v>
      </c>
      <c r="AM2697">
        <v>100</v>
      </c>
      <c r="AN2697">
        <v>2400</v>
      </c>
      <c r="AO2697" t="s">
        <v>118</v>
      </c>
      <c r="AP2697">
        <v>103</v>
      </c>
      <c r="AQ2697">
        <v>-26</v>
      </c>
      <c r="AR2697">
        <v>256</v>
      </c>
      <c r="AZ2697">
        <v>1200</v>
      </c>
      <c r="BA2697">
        <v>1</v>
      </c>
      <c r="BB2697" t="str">
        <f t="shared" si="1250"/>
        <v xml:space="preserve">N711JA  </v>
      </c>
      <c r="BC2697">
        <v>1</v>
      </c>
      <c r="BE2697">
        <v>0</v>
      </c>
      <c r="BF2697">
        <v>0</v>
      </c>
      <c r="BG2697">
        <v>0</v>
      </c>
      <c r="BH2697">
        <v>2500</v>
      </c>
      <c r="BI2697">
        <v>1</v>
      </c>
      <c r="BJ2697">
        <v>1</v>
      </c>
      <c r="BK2697">
        <v>0</v>
      </c>
      <c r="BL2697">
        <v>0</v>
      </c>
      <c r="BO2697">
        <v>0</v>
      </c>
      <c r="BP2697">
        <v>0</v>
      </c>
      <c r="BW2697" t="str">
        <f t="shared" si="1274"/>
        <v>14:45:58.335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56</v>
      </c>
      <c r="CR2697">
        <v>2</v>
      </c>
      <c r="CW2697">
        <v>4898600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1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 t="shared" si="1271"/>
        <v>05/12/2020 14:45:40.493</v>
      </c>
      <c r="C2698" t="str">
        <f t="shared" si="1249"/>
        <v>FFDFD3C0</v>
      </c>
      <c r="D2698" t="s">
        <v>131</v>
      </c>
      <c r="E2698">
        <v>10</v>
      </c>
      <c r="F2698">
        <v>2010</v>
      </c>
      <c r="G2698" t="s">
        <v>132</v>
      </c>
      <c r="J2698" t="s">
        <v>133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272"/>
        <v>14:45:58.328</v>
      </c>
      <c r="T2698" t="str">
        <f t="shared" si="1273"/>
        <v>14:45:58.028</v>
      </c>
      <c r="U2698" t="str">
        <f t="shared" si="1270"/>
        <v>A9808D</v>
      </c>
      <c r="V2698">
        <v>0</v>
      </c>
      <c r="W2698">
        <v>0</v>
      </c>
      <c r="X2698">
        <v>1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0</v>
      </c>
      <c r="AI2698" t="s">
        <v>664</v>
      </c>
      <c r="AJ2698">
        <v>28.249433</v>
      </c>
      <c r="AK2698" t="s">
        <v>665</v>
      </c>
      <c r="AL2698">
        <v>-82.312961000000001</v>
      </c>
      <c r="AM2698">
        <v>100</v>
      </c>
      <c r="AN2698">
        <v>2400</v>
      </c>
      <c r="AO2698" t="s">
        <v>118</v>
      </c>
      <c r="AP2698">
        <v>103</v>
      </c>
      <c r="AQ2698">
        <v>-26</v>
      </c>
      <c r="AR2698">
        <v>256</v>
      </c>
      <c r="AZ2698">
        <v>1200</v>
      </c>
      <c r="BA2698">
        <v>1</v>
      </c>
      <c r="BB2698" t="str">
        <f t="shared" si="1250"/>
        <v xml:space="preserve">N711JA  </v>
      </c>
      <c r="BC2698">
        <v>1</v>
      </c>
      <c r="BE2698">
        <v>0</v>
      </c>
      <c r="BF2698">
        <v>0</v>
      </c>
      <c r="BG2698">
        <v>0</v>
      </c>
      <c r="BH2698">
        <v>2500</v>
      </c>
      <c r="BI2698">
        <v>1</v>
      </c>
      <c r="BJ2698">
        <v>1</v>
      </c>
      <c r="BK2698">
        <v>0</v>
      </c>
      <c r="BL2698">
        <v>0</v>
      </c>
      <c r="BO2698">
        <v>0</v>
      </c>
      <c r="BP2698">
        <v>0</v>
      </c>
      <c r="BW2698" t="str">
        <f t="shared" si="1274"/>
        <v>14:45:58.335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56</v>
      </c>
      <c r="CR2698">
        <v>2</v>
      </c>
      <c r="CW2698">
        <v>4898600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1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 t="shared" si="1271"/>
        <v>05/12/2020 14:45:40.493</v>
      </c>
      <c r="C2699" t="str">
        <f t="shared" si="1249"/>
        <v>FFDFD3C0</v>
      </c>
      <c r="D2699" t="s">
        <v>113</v>
      </c>
      <c r="E2699">
        <v>3</v>
      </c>
      <c r="H2699">
        <v>164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272"/>
        <v>14:45:58.328</v>
      </c>
      <c r="T2699" t="str">
        <f t="shared" si="1273"/>
        <v>14:45:58.028</v>
      </c>
      <c r="U2699" t="str">
        <f t="shared" si="1270"/>
        <v>A9808D</v>
      </c>
      <c r="V2699">
        <v>0</v>
      </c>
      <c r="W2699">
        <v>0</v>
      </c>
      <c r="X2699">
        <v>1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0</v>
      </c>
      <c r="AI2699" t="s">
        <v>664</v>
      </c>
      <c r="AJ2699">
        <v>28.249433</v>
      </c>
      <c r="AK2699" t="s">
        <v>665</v>
      </c>
      <c r="AL2699">
        <v>-82.312961000000001</v>
      </c>
      <c r="AM2699">
        <v>100</v>
      </c>
      <c r="AN2699">
        <v>2400</v>
      </c>
      <c r="AO2699" t="s">
        <v>118</v>
      </c>
      <c r="AP2699">
        <v>103</v>
      </c>
      <c r="AQ2699">
        <v>-26</v>
      </c>
      <c r="AR2699">
        <v>256</v>
      </c>
      <c r="AZ2699">
        <v>1200</v>
      </c>
      <c r="BA2699">
        <v>1</v>
      </c>
      <c r="BB2699" t="str">
        <f t="shared" si="1250"/>
        <v xml:space="preserve">N711JA  </v>
      </c>
      <c r="BC2699">
        <v>1</v>
      </c>
      <c r="BE2699">
        <v>0</v>
      </c>
      <c r="BF2699">
        <v>0</v>
      </c>
      <c r="BG2699">
        <v>0</v>
      </c>
      <c r="BH2699">
        <v>2500</v>
      </c>
      <c r="BI2699">
        <v>1</v>
      </c>
      <c r="BJ2699">
        <v>1</v>
      </c>
      <c r="BK2699">
        <v>0</v>
      </c>
      <c r="BL2699">
        <v>0</v>
      </c>
      <c r="BO2699">
        <v>0</v>
      </c>
      <c r="BP2699">
        <v>0</v>
      </c>
      <c r="BW2699" t="str">
        <f t="shared" si="1274"/>
        <v>14:45:58.335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56</v>
      </c>
      <c r="CR2699">
        <v>2</v>
      </c>
      <c r="CW2699">
        <v>4898600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1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 t="shared" si="1271"/>
        <v>05/12/2020 14:45:40.493</v>
      </c>
      <c r="C2700" t="str">
        <f t="shared" si="1249"/>
        <v>FFDFD3C0</v>
      </c>
      <c r="D2700" t="s">
        <v>131</v>
      </c>
      <c r="E2700">
        <v>12</v>
      </c>
      <c r="F2700">
        <v>2012</v>
      </c>
      <c r="G2700" t="s">
        <v>137</v>
      </c>
      <c r="J2700" t="s">
        <v>133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272"/>
        <v>14:45:58.328</v>
      </c>
      <c r="T2700" t="str">
        <f t="shared" si="1273"/>
        <v>14:45:58.028</v>
      </c>
      <c r="U2700" t="str">
        <f t="shared" si="1270"/>
        <v>A9808D</v>
      </c>
      <c r="V2700">
        <v>0</v>
      </c>
      <c r="W2700">
        <v>0</v>
      </c>
      <c r="X2700">
        <v>1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0</v>
      </c>
      <c r="AI2700" t="s">
        <v>664</v>
      </c>
      <c r="AJ2700">
        <v>28.249433</v>
      </c>
      <c r="AK2700" t="s">
        <v>665</v>
      </c>
      <c r="AL2700">
        <v>-82.312961000000001</v>
      </c>
      <c r="AM2700">
        <v>100</v>
      </c>
      <c r="AN2700">
        <v>2400</v>
      </c>
      <c r="AO2700" t="s">
        <v>118</v>
      </c>
      <c r="AP2700">
        <v>103</v>
      </c>
      <c r="AQ2700">
        <v>-26</v>
      </c>
      <c r="AR2700">
        <v>256</v>
      </c>
      <c r="AZ2700">
        <v>1200</v>
      </c>
      <c r="BA2700">
        <v>1</v>
      </c>
      <c r="BB2700" t="str">
        <f t="shared" si="1250"/>
        <v xml:space="preserve">N711JA  </v>
      </c>
      <c r="BC2700">
        <v>1</v>
      </c>
      <c r="BE2700">
        <v>0</v>
      </c>
      <c r="BF2700">
        <v>0</v>
      </c>
      <c r="BG2700">
        <v>0</v>
      </c>
      <c r="BH2700">
        <v>2500</v>
      </c>
      <c r="BI2700">
        <v>1</v>
      </c>
      <c r="BJ2700">
        <v>1</v>
      </c>
      <c r="BK2700">
        <v>0</v>
      </c>
      <c r="BL2700">
        <v>0</v>
      </c>
      <c r="BO2700">
        <v>0</v>
      </c>
      <c r="BP2700">
        <v>0</v>
      </c>
      <c r="BW2700" t="str">
        <f t="shared" si="1274"/>
        <v>14:45:58.335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56</v>
      </c>
      <c r="CR2700">
        <v>2</v>
      </c>
      <c r="CW2700">
        <v>4898600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1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 t="shared" si="1271"/>
        <v>05/12/2020 14:45:40.493</v>
      </c>
      <c r="C2701" t="str">
        <f t="shared" si="1249"/>
        <v>FFDFD3C0</v>
      </c>
      <c r="D2701" t="s">
        <v>126</v>
      </c>
      <c r="E2701">
        <v>6</v>
      </c>
      <c r="F2701">
        <v>1006</v>
      </c>
      <c r="G2701" t="s">
        <v>114</v>
      </c>
      <c r="J2701" t="s">
        <v>128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272"/>
        <v>14:45:58.328</v>
      </c>
      <c r="T2701" t="str">
        <f t="shared" si="1273"/>
        <v>14:45:58.028</v>
      </c>
      <c r="U2701" t="str">
        <f t="shared" si="1270"/>
        <v>A9808D</v>
      </c>
      <c r="V2701">
        <v>0</v>
      </c>
      <c r="W2701">
        <v>0</v>
      </c>
      <c r="X2701">
        <v>1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0</v>
      </c>
      <c r="AI2701" t="s">
        <v>664</v>
      </c>
      <c r="AJ2701">
        <v>28.249433</v>
      </c>
      <c r="AK2701" t="s">
        <v>665</v>
      </c>
      <c r="AL2701">
        <v>-82.312961000000001</v>
      </c>
      <c r="AM2701">
        <v>100</v>
      </c>
      <c r="AN2701">
        <v>2400</v>
      </c>
      <c r="AO2701" t="s">
        <v>118</v>
      </c>
      <c r="AP2701">
        <v>103</v>
      </c>
      <c r="AQ2701">
        <v>-26</v>
      </c>
      <c r="AR2701">
        <v>256</v>
      </c>
      <c r="AZ2701">
        <v>1200</v>
      </c>
      <c r="BA2701">
        <v>1</v>
      </c>
      <c r="BB2701" t="str">
        <f t="shared" si="1250"/>
        <v xml:space="preserve">N711JA  </v>
      </c>
      <c r="BC2701">
        <v>1</v>
      </c>
      <c r="BE2701">
        <v>0</v>
      </c>
      <c r="BF2701">
        <v>0</v>
      </c>
      <c r="BG2701">
        <v>0</v>
      </c>
      <c r="BH2701">
        <v>2500</v>
      </c>
      <c r="BI2701">
        <v>1</v>
      </c>
      <c r="BJ2701">
        <v>1</v>
      </c>
      <c r="BK2701">
        <v>0</v>
      </c>
      <c r="BL2701">
        <v>0</v>
      </c>
      <c r="BO2701">
        <v>0</v>
      </c>
      <c r="BP2701">
        <v>0</v>
      </c>
      <c r="BW2701" t="str">
        <f t="shared" si="1274"/>
        <v>14:45:58.335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56</v>
      </c>
      <c r="CR2701">
        <v>2</v>
      </c>
      <c r="CW2701">
        <v>4898600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1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 t="shared" si="1271"/>
        <v>05/12/2020 14:45:40.493</v>
      </c>
      <c r="C2702" t="str">
        <f t="shared" si="1249"/>
        <v>FFDFD3C0</v>
      </c>
      <c r="D2702" t="s">
        <v>131</v>
      </c>
      <c r="E2702">
        <v>18</v>
      </c>
      <c r="F2702">
        <v>2018</v>
      </c>
      <c r="G2702" t="s">
        <v>161</v>
      </c>
      <c r="J2702" t="s">
        <v>133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272"/>
        <v>14:45:58.328</v>
      </c>
      <c r="T2702" t="str">
        <f t="shared" si="1273"/>
        <v>14:45:58.028</v>
      </c>
      <c r="U2702" t="str">
        <f t="shared" si="1270"/>
        <v>A9808D</v>
      </c>
      <c r="V2702">
        <v>0</v>
      </c>
      <c r="W2702">
        <v>0</v>
      </c>
      <c r="X2702">
        <v>1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0</v>
      </c>
      <c r="AI2702" t="s">
        <v>664</v>
      </c>
      <c r="AJ2702">
        <v>28.249433</v>
      </c>
      <c r="AK2702" t="s">
        <v>665</v>
      </c>
      <c r="AL2702">
        <v>-82.312961000000001</v>
      </c>
      <c r="AM2702">
        <v>100</v>
      </c>
      <c r="AN2702">
        <v>2400</v>
      </c>
      <c r="AO2702" t="s">
        <v>118</v>
      </c>
      <c r="AP2702">
        <v>103</v>
      </c>
      <c r="AQ2702">
        <v>-26</v>
      </c>
      <c r="AR2702">
        <v>256</v>
      </c>
      <c r="AZ2702">
        <v>1200</v>
      </c>
      <c r="BA2702">
        <v>1</v>
      </c>
      <c r="BB2702" t="str">
        <f t="shared" si="1250"/>
        <v xml:space="preserve">N711JA  </v>
      </c>
      <c r="BC2702">
        <v>1</v>
      </c>
      <c r="BE2702">
        <v>0</v>
      </c>
      <c r="BF2702">
        <v>0</v>
      </c>
      <c r="BG2702">
        <v>0</v>
      </c>
      <c r="BH2702">
        <v>2500</v>
      </c>
      <c r="BI2702">
        <v>1</v>
      </c>
      <c r="BJ2702">
        <v>1</v>
      </c>
      <c r="BK2702">
        <v>0</v>
      </c>
      <c r="BL2702">
        <v>0</v>
      </c>
      <c r="BO2702">
        <v>0</v>
      </c>
      <c r="BP2702">
        <v>0</v>
      </c>
      <c r="BW2702" t="str">
        <f t="shared" si="1274"/>
        <v>14:45:58.335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56</v>
      </c>
      <c r="CR2702">
        <v>2</v>
      </c>
      <c r="CW2702">
        <v>4898600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1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 t="shared" si="1271"/>
        <v>05/12/2020 14:45:40.493</v>
      </c>
      <c r="C2703" t="str">
        <f t="shared" si="1249"/>
        <v>FFDFD3C0</v>
      </c>
      <c r="D2703" t="s">
        <v>134</v>
      </c>
      <c r="E2703">
        <v>12</v>
      </c>
      <c r="H2703">
        <v>64</v>
      </c>
      <c r="I2703" t="s">
        <v>135</v>
      </c>
      <c r="J2703" t="s">
        <v>136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272"/>
        <v>14:45:58.328</v>
      </c>
      <c r="T2703" t="str">
        <f t="shared" si="1273"/>
        <v>14:45:58.028</v>
      </c>
      <c r="U2703" t="str">
        <f t="shared" si="1270"/>
        <v>A9808D</v>
      </c>
      <c r="V2703">
        <v>0</v>
      </c>
      <c r="W2703">
        <v>0</v>
      </c>
      <c r="X2703">
        <v>1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0</v>
      </c>
      <c r="AI2703" t="s">
        <v>664</v>
      </c>
      <c r="AJ2703">
        <v>28.249433</v>
      </c>
      <c r="AK2703" t="s">
        <v>665</v>
      </c>
      <c r="AL2703">
        <v>-82.312961000000001</v>
      </c>
      <c r="AM2703">
        <v>100</v>
      </c>
      <c r="AN2703">
        <v>2400</v>
      </c>
      <c r="AO2703" t="s">
        <v>118</v>
      </c>
      <c r="AP2703">
        <v>103</v>
      </c>
      <c r="AQ2703">
        <v>-26</v>
      </c>
      <c r="AR2703">
        <v>256</v>
      </c>
      <c r="AZ2703">
        <v>1200</v>
      </c>
      <c r="BA2703">
        <v>1</v>
      </c>
      <c r="BB2703" t="str">
        <f t="shared" si="1250"/>
        <v xml:space="preserve">N711JA  </v>
      </c>
      <c r="BC2703">
        <v>1</v>
      </c>
      <c r="BE2703">
        <v>0</v>
      </c>
      <c r="BF2703">
        <v>0</v>
      </c>
      <c r="BG2703">
        <v>0</v>
      </c>
      <c r="BH2703">
        <v>2500</v>
      </c>
      <c r="BI2703">
        <v>1</v>
      </c>
      <c r="BJ2703">
        <v>1</v>
      </c>
      <c r="BK2703">
        <v>0</v>
      </c>
      <c r="BL2703">
        <v>0</v>
      </c>
      <c r="BO2703">
        <v>0</v>
      </c>
      <c r="BP2703">
        <v>0</v>
      </c>
      <c r="BW2703" t="str">
        <f t="shared" si="1274"/>
        <v>14:45:58.335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343</v>
      </c>
      <c r="CR2703">
        <v>1</v>
      </c>
      <c r="CW2703">
        <v>10818650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1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 t="shared" ref="A2704:A2712" si="1275">"05/12/2020 14:45:41.568"</f>
        <v>05/12/2020 14:45:41.568</v>
      </c>
      <c r="C2704" t="str">
        <f t="shared" si="1249"/>
        <v>FFDFD3C0</v>
      </c>
      <c r="D2704" t="s">
        <v>126</v>
      </c>
      <c r="E2704">
        <v>7</v>
      </c>
      <c r="F2704">
        <v>1007</v>
      </c>
      <c r="G2704" t="s">
        <v>127</v>
      </c>
      <c r="J2704" t="s">
        <v>128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ref="S2704:S2712" si="1276">"14:45:59.398"</f>
        <v>14:45:59.398</v>
      </c>
      <c r="T2704" t="str">
        <f t="shared" ref="T2704:T2710" si="1277">"14:45:59.098"</f>
        <v>14:45:59.098</v>
      </c>
      <c r="U2704" t="str">
        <f t="shared" si="1270"/>
        <v>A9808D</v>
      </c>
      <c r="V2704">
        <v>0</v>
      </c>
      <c r="W2704">
        <v>0</v>
      </c>
      <c r="X2704">
        <v>1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0</v>
      </c>
      <c r="AI2704" t="s">
        <v>666</v>
      </c>
      <c r="AJ2704">
        <v>28.249347</v>
      </c>
      <c r="AK2704" t="s">
        <v>667</v>
      </c>
      <c r="AL2704">
        <v>-82.312423999999993</v>
      </c>
      <c r="AM2704">
        <v>100</v>
      </c>
      <c r="AN2704">
        <v>2400</v>
      </c>
      <c r="AO2704" t="s">
        <v>118</v>
      </c>
      <c r="AP2704">
        <v>103</v>
      </c>
      <c r="AQ2704">
        <v>-25</v>
      </c>
      <c r="AR2704">
        <v>192</v>
      </c>
      <c r="AZ2704">
        <v>1200</v>
      </c>
      <c r="BA2704">
        <v>1</v>
      </c>
      <c r="BB2704" t="str">
        <f t="shared" si="1250"/>
        <v xml:space="preserve">N711JA  </v>
      </c>
      <c r="BC2704">
        <v>1</v>
      </c>
      <c r="BE2704">
        <v>0</v>
      </c>
      <c r="BF2704">
        <v>0</v>
      </c>
      <c r="BG2704">
        <v>0</v>
      </c>
      <c r="BH2704">
        <v>2525</v>
      </c>
      <c r="BI2704">
        <v>1</v>
      </c>
      <c r="BJ2704">
        <v>1</v>
      </c>
      <c r="BK2704">
        <v>0</v>
      </c>
      <c r="BL2704">
        <v>0</v>
      </c>
      <c r="BO2704">
        <v>0</v>
      </c>
      <c r="BP2704">
        <v>0</v>
      </c>
      <c r="BW2704" t="str">
        <f t="shared" ref="BW2704:BW2712" si="1278">"14:45:59.399"</f>
        <v>14:45:59.399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56</v>
      </c>
      <c r="CR2704">
        <v>2</v>
      </c>
      <c r="CW2704">
        <v>4899954</v>
      </c>
      <c r="CY2704">
        <v>1</v>
      </c>
      <c r="CZ2704">
        <v>0</v>
      </c>
      <c r="DA2704">
        <v>0</v>
      </c>
      <c r="DB2704">
        <v>0</v>
      </c>
      <c r="DC2704">
        <v>0</v>
      </c>
      <c r="DD2704">
        <v>1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 t="shared" si="1275"/>
        <v>05/12/2020 14:45:41.568</v>
      </c>
      <c r="C2705" t="str">
        <f t="shared" si="1249"/>
        <v>FFDFD3C0</v>
      </c>
      <c r="D2705" t="s">
        <v>131</v>
      </c>
      <c r="E2705">
        <v>10</v>
      </c>
      <c r="F2705">
        <v>2010</v>
      </c>
      <c r="G2705" t="s">
        <v>132</v>
      </c>
      <c r="J2705" t="s">
        <v>133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276"/>
        <v>14:45:59.398</v>
      </c>
      <c r="T2705" t="str">
        <f t="shared" si="1277"/>
        <v>14:45:59.098</v>
      </c>
      <c r="U2705" t="str">
        <f t="shared" si="1270"/>
        <v>A9808D</v>
      </c>
      <c r="V2705">
        <v>0</v>
      </c>
      <c r="W2705">
        <v>0</v>
      </c>
      <c r="X2705">
        <v>1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0</v>
      </c>
      <c r="AI2705" t="s">
        <v>666</v>
      </c>
      <c r="AJ2705">
        <v>28.249347</v>
      </c>
      <c r="AK2705" t="s">
        <v>667</v>
      </c>
      <c r="AL2705">
        <v>-82.312423999999993</v>
      </c>
      <c r="AM2705">
        <v>100</v>
      </c>
      <c r="AN2705">
        <v>2400</v>
      </c>
      <c r="AO2705" t="s">
        <v>118</v>
      </c>
      <c r="AP2705">
        <v>103</v>
      </c>
      <c r="AQ2705">
        <v>-25</v>
      </c>
      <c r="AR2705">
        <v>192</v>
      </c>
      <c r="AZ2705">
        <v>1200</v>
      </c>
      <c r="BA2705">
        <v>1</v>
      </c>
      <c r="BB2705" t="str">
        <f t="shared" si="1250"/>
        <v xml:space="preserve">N711JA  </v>
      </c>
      <c r="BC2705">
        <v>1</v>
      </c>
      <c r="BE2705">
        <v>0</v>
      </c>
      <c r="BF2705">
        <v>0</v>
      </c>
      <c r="BG2705">
        <v>0</v>
      </c>
      <c r="BH2705">
        <v>2525</v>
      </c>
      <c r="BI2705">
        <v>1</v>
      </c>
      <c r="BJ2705">
        <v>1</v>
      </c>
      <c r="BK2705">
        <v>0</v>
      </c>
      <c r="BL2705">
        <v>0</v>
      </c>
      <c r="BO2705">
        <v>0</v>
      </c>
      <c r="BP2705">
        <v>0</v>
      </c>
      <c r="BW2705" t="str">
        <f t="shared" si="1278"/>
        <v>14:45:59.399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56</v>
      </c>
      <c r="CR2705">
        <v>2</v>
      </c>
      <c r="CW2705">
        <v>4899954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1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 t="shared" si="1275"/>
        <v>05/12/2020 14:45:41.568</v>
      </c>
      <c r="C2706" t="str">
        <f t="shared" si="1249"/>
        <v>FFDFD3C0</v>
      </c>
      <c r="D2706" t="s">
        <v>138</v>
      </c>
      <c r="E2706">
        <v>2</v>
      </c>
      <c r="H2706">
        <v>8</v>
      </c>
      <c r="I2706" t="s">
        <v>139</v>
      </c>
      <c r="J2706" t="s">
        <v>136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276"/>
        <v>14:45:59.398</v>
      </c>
      <c r="T2706" t="str">
        <f t="shared" si="1277"/>
        <v>14:45:59.098</v>
      </c>
      <c r="U2706" t="str">
        <f t="shared" si="1270"/>
        <v>A9808D</v>
      </c>
      <c r="V2706">
        <v>0</v>
      </c>
      <c r="W2706">
        <v>0</v>
      </c>
      <c r="X2706">
        <v>1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0</v>
      </c>
      <c r="AI2706" t="s">
        <v>666</v>
      </c>
      <c r="AJ2706">
        <v>28.249347</v>
      </c>
      <c r="AK2706" t="s">
        <v>667</v>
      </c>
      <c r="AL2706">
        <v>-82.312423999999993</v>
      </c>
      <c r="AM2706">
        <v>100</v>
      </c>
      <c r="AN2706">
        <v>2400</v>
      </c>
      <c r="AO2706" t="s">
        <v>118</v>
      </c>
      <c r="AP2706">
        <v>103</v>
      </c>
      <c r="AQ2706">
        <v>-25</v>
      </c>
      <c r="AR2706">
        <v>192</v>
      </c>
      <c r="AZ2706">
        <v>1200</v>
      </c>
      <c r="BA2706">
        <v>1</v>
      </c>
      <c r="BB2706" t="str">
        <f t="shared" si="1250"/>
        <v xml:space="preserve">N711JA  </v>
      </c>
      <c r="BC2706">
        <v>1</v>
      </c>
      <c r="BE2706">
        <v>0</v>
      </c>
      <c r="BF2706">
        <v>0</v>
      </c>
      <c r="BG2706">
        <v>0</v>
      </c>
      <c r="BH2706">
        <v>2525</v>
      </c>
      <c r="BI2706">
        <v>1</v>
      </c>
      <c r="BJ2706">
        <v>1</v>
      </c>
      <c r="BK2706">
        <v>0</v>
      </c>
      <c r="BL2706">
        <v>0</v>
      </c>
      <c r="BO2706">
        <v>0</v>
      </c>
      <c r="BP2706">
        <v>0</v>
      </c>
      <c r="BW2706" t="str">
        <f t="shared" si="1278"/>
        <v>14:45:59.399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56</v>
      </c>
      <c r="CR2706">
        <v>2</v>
      </c>
      <c r="CW2706">
        <v>4899954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1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 t="shared" si="1275"/>
        <v>05/12/2020 14:45:41.568</v>
      </c>
      <c r="C2707" t="str">
        <f t="shared" si="1249"/>
        <v>FFDFD3C0</v>
      </c>
      <c r="D2707" t="s">
        <v>131</v>
      </c>
      <c r="E2707">
        <v>12</v>
      </c>
      <c r="F2707">
        <v>2012</v>
      </c>
      <c r="G2707" t="s">
        <v>137</v>
      </c>
      <c r="J2707" t="s">
        <v>133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276"/>
        <v>14:45:59.398</v>
      </c>
      <c r="T2707" t="str">
        <f t="shared" si="1277"/>
        <v>14:45:59.098</v>
      </c>
      <c r="U2707" t="str">
        <f t="shared" si="1270"/>
        <v>A9808D</v>
      </c>
      <c r="V2707">
        <v>0</v>
      </c>
      <c r="W2707">
        <v>0</v>
      </c>
      <c r="X2707">
        <v>1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0</v>
      </c>
      <c r="AI2707" t="s">
        <v>666</v>
      </c>
      <c r="AJ2707">
        <v>28.249347</v>
      </c>
      <c r="AK2707" t="s">
        <v>667</v>
      </c>
      <c r="AL2707">
        <v>-82.312423999999993</v>
      </c>
      <c r="AM2707">
        <v>100</v>
      </c>
      <c r="AN2707">
        <v>2400</v>
      </c>
      <c r="AO2707" t="s">
        <v>118</v>
      </c>
      <c r="AP2707">
        <v>103</v>
      </c>
      <c r="AQ2707">
        <v>-25</v>
      </c>
      <c r="AR2707">
        <v>192</v>
      </c>
      <c r="AZ2707">
        <v>1200</v>
      </c>
      <c r="BA2707">
        <v>1</v>
      </c>
      <c r="BB2707" t="str">
        <f t="shared" si="1250"/>
        <v xml:space="preserve">N711JA  </v>
      </c>
      <c r="BC2707">
        <v>1</v>
      </c>
      <c r="BE2707">
        <v>0</v>
      </c>
      <c r="BF2707">
        <v>0</v>
      </c>
      <c r="BG2707">
        <v>0</v>
      </c>
      <c r="BH2707">
        <v>2525</v>
      </c>
      <c r="BI2707">
        <v>1</v>
      </c>
      <c r="BJ2707">
        <v>1</v>
      </c>
      <c r="BK2707">
        <v>0</v>
      </c>
      <c r="BL2707">
        <v>0</v>
      </c>
      <c r="BO2707">
        <v>0</v>
      </c>
      <c r="BP2707">
        <v>0</v>
      </c>
      <c r="BW2707" t="str">
        <f t="shared" si="1278"/>
        <v>14:45:59.399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56</v>
      </c>
      <c r="CR2707">
        <v>2</v>
      </c>
      <c r="CW2707">
        <v>4899954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1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 t="shared" si="1275"/>
        <v>05/12/2020 14:45:41.568</v>
      </c>
      <c r="C2708" t="str">
        <f t="shared" si="1249"/>
        <v>FFDFD3C0</v>
      </c>
      <c r="D2708" t="s">
        <v>113</v>
      </c>
      <c r="E2708">
        <v>3</v>
      </c>
      <c r="H2708">
        <v>164</v>
      </c>
      <c r="I2708" t="s">
        <v>114</v>
      </c>
      <c r="J2708" t="s">
        <v>115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276"/>
        <v>14:45:59.398</v>
      </c>
      <c r="T2708" t="str">
        <f t="shared" si="1277"/>
        <v>14:45:59.098</v>
      </c>
      <c r="U2708" t="str">
        <f t="shared" si="1270"/>
        <v>A9808D</v>
      </c>
      <c r="V2708">
        <v>0</v>
      </c>
      <c r="W2708">
        <v>0</v>
      </c>
      <c r="X2708">
        <v>1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0</v>
      </c>
      <c r="AI2708" t="s">
        <v>666</v>
      </c>
      <c r="AJ2708">
        <v>28.249347</v>
      </c>
      <c r="AK2708" t="s">
        <v>667</v>
      </c>
      <c r="AL2708">
        <v>-82.312423999999993</v>
      </c>
      <c r="AM2708">
        <v>100</v>
      </c>
      <c r="AN2708">
        <v>2400</v>
      </c>
      <c r="AO2708" t="s">
        <v>118</v>
      </c>
      <c r="AP2708">
        <v>103</v>
      </c>
      <c r="AQ2708">
        <v>-25</v>
      </c>
      <c r="AR2708">
        <v>192</v>
      </c>
      <c r="AZ2708">
        <v>1200</v>
      </c>
      <c r="BA2708">
        <v>1</v>
      </c>
      <c r="BB2708" t="str">
        <f t="shared" si="1250"/>
        <v xml:space="preserve">N711JA  </v>
      </c>
      <c r="BC2708">
        <v>1</v>
      </c>
      <c r="BE2708">
        <v>0</v>
      </c>
      <c r="BF2708">
        <v>0</v>
      </c>
      <c r="BG2708">
        <v>0</v>
      </c>
      <c r="BH2708">
        <v>2525</v>
      </c>
      <c r="BI2708">
        <v>1</v>
      </c>
      <c r="BJ2708">
        <v>1</v>
      </c>
      <c r="BK2708">
        <v>0</v>
      </c>
      <c r="BL2708">
        <v>0</v>
      </c>
      <c r="BO2708">
        <v>0</v>
      </c>
      <c r="BP2708">
        <v>0</v>
      </c>
      <c r="BW2708" t="str">
        <f t="shared" si="1278"/>
        <v>14:45:59.399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119</v>
      </c>
      <c r="CQ2708">
        <v>56</v>
      </c>
      <c r="CR2708">
        <v>2</v>
      </c>
      <c r="CW2708">
        <v>4899954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1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 t="shared" si="1275"/>
        <v>05/12/2020 14:45:41.568</v>
      </c>
      <c r="C2709" t="str">
        <f t="shared" si="1249"/>
        <v>FFDFD3C0</v>
      </c>
      <c r="D2709" t="s">
        <v>131</v>
      </c>
      <c r="E2709">
        <v>18</v>
      </c>
      <c r="F2709">
        <v>2018</v>
      </c>
      <c r="G2709" t="s">
        <v>161</v>
      </c>
      <c r="J2709" t="s">
        <v>133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276"/>
        <v>14:45:59.398</v>
      </c>
      <c r="T2709" t="str">
        <f t="shared" si="1277"/>
        <v>14:45:59.098</v>
      </c>
      <c r="U2709" t="str">
        <f t="shared" si="1270"/>
        <v>A9808D</v>
      </c>
      <c r="V2709">
        <v>0</v>
      </c>
      <c r="W2709">
        <v>0</v>
      </c>
      <c r="X2709">
        <v>1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0</v>
      </c>
      <c r="AI2709" t="s">
        <v>666</v>
      </c>
      <c r="AJ2709">
        <v>28.249347</v>
      </c>
      <c r="AK2709" t="s">
        <v>667</v>
      </c>
      <c r="AL2709">
        <v>-82.312423999999993</v>
      </c>
      <c r="AM2709">
        <v>100</v>
      </c>
      <c r="AN2709">
        <v>2400</v>
      </c>
      <c r="AO2709" t="s">
        <v>118</v>
      </c>
      <c r="AP2709">
        <v>103</v>
      </c>
      <c r="AQ2709">
        <v>-25</v>
      </c>
      <c r="AR2709">
        <v>192</v>
      </c>
      <c r="AZ2709">
        <v>1200</v>
      </c>
      <c r="BA2709">
        <v>1</v>
      </c>
      <c r="BB2709" t="str">
        <f t="shared" si="1250"/>
        <v xml:space="preserve">N711JA  </v>
      </c>
      <c r="BC2709">
        <v>1</v>
      </c>
      <c r="BE2709">
        <v>0</v>
      </c>
      <c r="BF2709">
        <v>0</v>
      </c>
      <c r="BG2709">
        <v>0</v>
      </c>
      <c r="BH2709">
        <v>2525</v>
      </c>
      <c r="BI2709">
        <v>1</v>
      </c>
      <c r="BJ2709">
        <v>1</v>
      </c>
      <c r="BK2709">
        <v>0</v>
      </c>
      <c r="BL2709">
        <v>0</v>
      </c>
      <c r="BO2709">
        <v>0</v>
      </c>
      <c r="BP2709">
        <v>0</v>
      </c>
      <c r="BW2709" t="str">
        <f t="shared" si="1278"/>
        <v>14:45:59.399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7</v>
      </c>
      <c r="CP2709" t="s">
        <v>119</v>
      </c>
      <c r="CQ2709">
        <v>56</v>
      </c>
      <c r="CR2709">
        <v>2</v>
      </c>
      <c r="CW2709">
        <v>4899954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1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 t="shared" si="1275"/>
        <v>05/12/2020 14:45:41.568</v>
      </c>
      <c r="C2710" t="str">
        <f t="shared" ref="C2710:C2773" si="1279">"FFDFD3C0"</f>
        <v>FFDFD3C0</v>
      </c>
      <c r="D2710" t="s">
        <v>126</v>
      </c>
      <c r="E2710">
        <v>6</v>
      </c>
      <c r="F2710">
        <v>1006</v>
      </c>
      <c r="G2710" t="s">
        <v>114</v>
      </c>
      <c r="J2710" t="s">
        <v>128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276"/>
        <v>14:45:59.398</v>
      </c>
      <c r="T2710" t="str">
        <f t="shared" si="1277"/>
        <v>14:45:59.098</v>
      </c>
      <c r="U2710" t="str">
        <f t="shared" si="1270"/>
        <v>A9808D</v>
      </c>
      <c r="V2710">
        <v>0</v>
      </c>
      <c r="W2710">
        <v>0</v>
      </c>
      <c r="X2710">
        <v>1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0</v>
      </c>
      <c r="AI2710" t="s">
        <v>666</v>
      </c>
      <c r="AJ2710">
        <v>28.249347</v>
      </c>
      <c r="AK2710" t="s">
        <v>667</v>
      </c>
      <c r="AL2710">
        <v>-82.312423999999993</v>
      </c>
      <c r="AM2710">
        <v>100</v>
      </c>
      <c r="AN2710">
        <v>2400</v>
      </c>
      <c r="AO2710" t="s">
        <v>118</v>
      </c>
      <c r="AP2710">
        <v>103</v>
      </c>
      <c r="AQ2710">
        <v>-25</v>
      </c>
      <c r="AR2710">
        <v>192</v>
      </c>
      <c r="AZ2710">
        <v>1200</v>
      </c>
      <c r="BA2710">
        <v>1</v>
      </c>
      <c r="BB2710" t="str">
        <f t="shared" ref="BB2710:BB2773" si="1280">"N711JA  "</f>
        <v xml:space="preserve">N711JA  </v>
      </c>
      <c r="BC2710">
        <v>1</v>
      </c>
      <c r="BE2710">
        <v>0</v>
      </c>
      <c r="BF2710">
        <v>0</v>
      </c>
      <c r="BG2710">
        <v>0</v>
      </c>
      <c r="BH2710">
        <v>2525</v>
      </c>
      <c r="BI2710">
        <v>1</v>
      </c>
      <c r="BJ2710">
        <v>1</v>
      </c>
      <c r="BK2710">
        <v>0</v>
      </c>
      <c r="BL2710">
        <v>0</v>
      </c>
      <c r="BO2710">
        <v>0</v>
      </c>
      <c r="BP2710">
        <v>0</v>
      </c>
      <c r="BW2710" t="str">
        <f t="shared" si="1278"/>
        <v>14:45:59.399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119</v>
      </c>
      <c r="CQ2710">
        <v>56</v>
      </c>
      <c r="CR2710">
        <v>2</v>
      </c>
      <c r="CW2710">
        <v>4899954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1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 t="shared" si="1275"/>
        <v>05/12/2020 14:45:41.568</v>
      </c>
      <c r="C2711" t="str">
        <f t="shared" si="1279"/>
        <v>FFDFD3C0</v>
      </c>
      <c r="D2711" t="s">
        <v>134</v>
      </c>
      <c r="E2711">
        <v>12</v>
      </c>
      <c r="H2711">
        <v>64</v>
      </c>
      <c r="I2711" t="s">
        <v>135</v>
      </c>
      <c r="J2711" t="s">
        <v>136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276"/>
        <v>14:45:59.398</v>
      </c>
      <c r="T2711" t="str">
        <f>"14:45:58.598"</f>
        <v>14:45:58.598</v>
      </c>
      <c r="U2711" t="str">
        <f t="shared" si="1270"/>
        <v>A9808D</v>
      </c>
      <c r="V2711">
        <v>0</v>
      </c>
      <c r="W2711">
        <v>0</v>
      </c>
      <c r="X2711">
        <v>1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0</v>
      </c>
      <c r="AI2711" t="s">
        <v>666</v>
      </c>
      <c r="AJ2711">
        <v>28.249347</v>
      </c>
      <c r="AK2711" t="s">
        <v>667</v>
      </c>
      <c r="AL2711">
        <v>-82.312423999999993</v>
      </c>
      <c r="AM2711">
        <v>100</v>
      </c>
      <c r="AN2711">
        <v>2400</v>
      </c>
      <c r="AO2711" t="s">
        <v>118</v>
      </c>
      <c r="AP2711">
        <v>103</v>
      </c>
      <c r="AQ2711">
        <v>-25</v>
      </c>
      <c r="AR2711">
        <v>256</v>
      </c>
      <c r="AZ2711">
        <v>1200</v>
      </c>
      <c r="BA2711">
        <v>1</v>
      </c>
      <c r="BB2711" t="str">
        <f t="shared" si="1280"/>
        <v xml:space="preserve">N711JA  </v>
      </c>
      <c r="BC2711">
        <v>1</v>
      </c>
      <c r="BE2711">
        <v>0</v>
      </c>
      <c r="BF2711">
        <v>0</v>
      </c>
      <c r="BG2711">
        <v>0</v>
      </c>
      <c r="BH2711">
        <v>2525</v>
      </c>
      <c r="BI2711">
        <v>1</v>
      </c>
      <c r="BJ2711">
        <v>1</v>
      </c>
      <c r="BK2711">
        <v>0</v>
      </c>
      <c r="BL2711">
        <v>0</v>
      </c>
      <c r="BO2711">
        <v>0</v>
      </c>
      <c r="BP2711">
        <v>0</v>
      </c>
      <c r="BW2711" t="str">
        <f t="shared" si="1278"/>
        <v>14:45:59.399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5</v>
      </c>
      <c r="CP2711" t="s">
        <v>119</v>
      </c>
      <c r="CQ2711">
        <v>358</v>
      </c>
      <c r="CR2711">
        <v>0</v>
      </c>
      <c r="CW2711">
        <v>4877905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1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 t="shared" si="1275"/>
        <v>05/12/2020 14:45:41.568</v>
      </c>
      <c r="C2712" t="str">
        <f t="shared" si="1279"/>
        <v>FFDFD3C0</v>
      </c>
      <c r="D2712" t="s">
        <v>138</v>
      </c>
      <c r="E2712">
        <v>3</v>
      </c>
      <c r="H2712">
        <v>9</v>
      </c>
      <c r="I2712" t="s">
        <v>140</v>
      </c>
      <c r="J2712" t="s">
        <v>136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276"/>
        <v>14:45:59.398</v>
      </c>
      <c r="T2712" t="str">
        <f>"14:45:59.098"</f>
        <v>14:45:59.098</v>
      </c>
      <c r="U2712" t="str">
        <f t="shared" si="1270"/>
        <v>A9808D</v>
      </c>
      <c r="V2712">
        <v>0</v>
      </c>
      <c r="W2712">
        <v>0</v>
      </c>
      <c r="X2712">
        <v>1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0</v>
      </c>
      <c r="AI2712" t="s">
        <v>666</v>
      </c>
      <c r="AJ2712">
        <v>28.249347</v>
      </c>
      <c r="AK2712" t="s">
        <v>667</v>
      </c>
      <c r="AL2712">
        <v>-82.312423999999993</v>
      </c>
      <c r="AM2712">
        <v>100</v>
      </c>
      <c r="AN2712">
        <v>2400</v>
      </c>
      <c r="AO2712" t="s">
        <v>118</v>
      </c>
      <c r="AP2712">
        <v>103</v>
      </c>
      <c r="AQ2712">
        <v>-25</v>
      </c>
      <c r="AR2712">
        <v>192</v>
      </c>
      <c r="AZ2712">
        <v>1200</v>
      </c>
      <c r="BA2712">
        <v>1</v>
      </c>
      <c r="BB2712" t="str">
        <f t="shared" si="1280"/>
        <v xml:space="preserve">N711JA  </v>
      </c>
      <c r="BC2712">
        <v>1</v>
      </c>
      <c r="BE2712">
        <v>0</v>
      </c>
      <c r="BF2712">
        <v>0</v>
      </c>
      <c r="BG2712">
        <v>0</v>
      </c>
      <c r="BH2712">
        <v>2525</v>
      </c>
      <c r="BI2712">
        <v>1</v>
      </c>
      <c r="BJ2712">
        <v>1</v>
      </c>
      <c r="BK2712">
        <v>0</v>
      </c>
      <c r="BL2712">
        <v>0</v>
      </c>
      <c r="BO2712">
        <v>0</v>
      </c>
      <c r="BP2712">
        <v>0</v>
      </c>
      <c r="BW2712" t="str">
        <f t="shared" si="1278"/>
        <v>14:45:59.399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7</v>
      </c>
      <c r="CP2712" t="s">
        <v>119</v>
      </c>
      <c r="CQ2712">
        <v>56</v>
      </c>
      <c r="CR2712">
        <v>2</v>
      </c>
      <c r="CW2712">
        <v>4899954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1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 t="shared" ref="A2713:A2721" si="1281">"05/12/2020 14:45:42.629"</f>
        <v>05/12/2020 14:45:42.629</v>
      </c>
      <c r="C2713" t="str">
        <f t="shared" si="1279"/>
        <v>FFDFD3C0</v>
      </c>
      <c r="D2713" t="s">
        <v>131</v>
      </c>
      <c r="E2713">
        <v>10</v>
      </c>
      <c r="F2713">
        <v>2010</v>
      </c>
      <c r="G2713" t="s">
        <v>132</v>
      </c>
      <c r="J2713" t="s">
        <v>133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ref="S2713:S2721" si="1282">"14:46:00.445"</f>
        <v>14:46:00.445</v>
      </c>
      <c r="T2713" t="str">
        <f t="shared" ref="T2713:T2721" si="1283">"14:46:00.145"</f>
        <v>14:46:00.145</v>
      </c>
      <c r="U2713" t="str">
        <f t="shared" si="1270"/>
        <v>A9808D</v>
      </c>
      <c r="V2713">
        <v>0</v>
      </c>
      <c r="W2713">
        <v>0</v>
      </c>
      <c r="X2713">
        <v>1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0</v>
      </c>
      <c r="AI2713" t="s">
        <v>668</v>
      </c>
      <c r="AJ2713">
        <v>28.249196999999999</v>
      </c>
      <c r="AK2713" t="s">
        <v>669</v>
      </c>
      <c r="AL2713">
        <v>-82.311845000000005</v>
      </c>
      <c r="AM2713">
        <v>100</v>
      </c>
      <c r="AN2713">
        <v>2400</v>
      </c>
      <c r="AO2713" t="s">
        <v>118</v>
      </c>
      <c r="AP2713">
        <v>103</v>
      </c>
      <c r="AQ2713">
        <v>-24</v>
      </c>
      <c r="AR2713">
        <v>192</v>
      </c>
      <c r="AZ2713">
        <v>1200</v>
      </c>
      <c r="BA2713">
        <v>1</v>
      </c>
      <c r="BB2713" t="str">
        <f t="shared" si="1280"/>
        <v xml:space="preserve">N711JA  </v>
      </c>
      <c r="BC2713">
        <v>1</v>
      </c>
      <c r="BE2713">
        <v>0</v>
      </c>
      <c r="BF2713">
        <v>0</v>
      </c>
      <c r="BG2713">
        <v>0</v>
      </c>
      <c r="BH2713">
        <v>2525</v>
      </c>
      <c r="BI2713">
        <v>1</v>
      </c>
      <c r="BJ2713">
        <v>1</v>
      </c>
      <c r="BK2713">
        <v>0</v>
      </c>
      <c r="BL2713">
        <v>0</v>
      </c>
      <c r="BO2713">
        <v>0</v>
      </c>
      <c r="BP2713">
        <v>0</v>
      </c>
      <c r="BW2713" t="str">
        <f t="shared" ref="BW2713:BW2721" si="1284">"14:46:00.447"</f>
        <v>14:46:00.447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7</v>
      </c>
      <c r="CP2713" t="s">
        <v>119</v>
      </c>
      <c r="CQ2713">
        <v>56</v>
      </c>
      <c r="CR2713">
        <v>2</v>
      </c>
      <c r="CW2713">
        <v>4901378</v>
      </c>
      <c r="CY2713">
        <v>1</v>
      </c>
      <c r="CZ2713">
        <v>0</v>
      </c>
      <c r="DA2713">
        <v>0</v>
      </c>
      <c r="DB2713">
        <v>0</v>
      </c>
      <c r="DC2713">
        <v>0</v>
      </c>
      <c r="DD2713">
        <v>1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 t="shared" si="1281"/>
        <v>05/12/2020 14:45:42.629</v>
      </c>
      <c r="C2714" t="str">
        <f t="shared" si="1279"/>
        <v>FFDFD3C0</v>
      </c>
      <c r="D2714" t="s">
        <v>131</v>
      </c>
      <c r="E2714">
        <v>12</v>
      </c>
      <c r="F2714">
        <v>2012</v>
      </c>
      <c r="G2714" t="s">
        <v>137</v>
      </c>
      <c r="J2714" t="s">
        <v>133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282"/>
        <v>14:46:00.445</v>
      </c>
      <c r="T2714" t="str">
        <f t="shared" si="1283"/>
        <v>14:46:00.145</v>
      </c>
      <c r="U2714" t="str">
        <f t="shared" si="1270"/>
        <v>A9808D</v>
      </c>
      <c r="V2714">
        <v>0</v>
      </c>
      <c r="W2714">
        <v>0</v>
      </c>
      <c r="X2714">
        <v>1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0</v>
      </c>
      <c r="AI2714" t="s">
        <v>668</v>
      </c>
      <c r="AJ2714">
        <v>28.249196999999999</v>
      </c>
      <c r="AK2714" t="s">
        <v>669</v>
      </c>
      <c r="AL2714">
        <v>-82.311845000000005</v>
      </c>
      <c r="AM2714">
        <v>100</v>
      </c>
      <c r="AN2714">
        <v>2400</v>
      </c>
      <c r="AO2714" t="s">
        <v>118</v>
      </c>
      <c r="AP2714">
        <v>103</v>
      </c>
      <c r="AQ2714">
        <v>-24</v>
      </c>
      <c r="AR2714">
        <v>192</v>
      </c>
      <c r="AZ2714">
        <v>1200</v>
      </c>
      <c r="BA2714">
        <v>1</v>
      </c>
      <c r="BB2714" t="str">
        <f t="shared" si="1280"/>
        <v xml:space="preserve">N711JA  </v>
      </c>
      <c r="BC2714">
        <v>1</v>
      </c>
      <c r="BE2714">
        <v>0</v>
      </c>
      <c r="BF2714">
        <v>0</v>
      </c>
      <c r="BG2714">
        <v>0</v>
      </c>
      <c r="BH2714">
        <v>2525</v>
      </c>
      <c r="BI2714">
        <v>1</v>
      </c>
      <c r="BJ2714">
        <v>1</v>
      </c>
      <c r="BK2714">
        <v>0</v>
      </c>
      <c r="BL2714">
        <v>0</v>
      </c>
      <c r="BO2714">
        <v>0</v>
      </c>
      <c r="BP2714">
        <v>0</v>
      </c>
      <c r="BW2714" t="str">
        <f t="shared" si="1284"/>
        <v>14:46:00.447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119</v>
      </c>
      <c r="CQ2714">
        <v>56</v>
      </c>
      <c r="CR2714">
        <v>2</v>
      </c>
      <c r="CW2714">
        <v>4901378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1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 t="shared" si="1281"/>
        <v>05/12/2020 14:45:42.629</v>
      </c>
      <c r="C2715" t="str">
        <f t="shared" si="1279"/>
        <v>FFDFD3C0</v>
      </c>
      <c r="D2715" t="s">
        <v>138</v>
      </c>
      <c r="E2715">
        <v>2</v>
      </c>
      <c r="H2715">
        <v>8</v>
      </c>
      <c r="I2715" t="s">
        <v>139</v>
      </c>
      <c r="J2715" t="s">
        <v>136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282"/>
        <v>14:46:00.445</v>
      </c>
      <c r="T2715" t="str">
        <f t="shared" si="1283"/>
        <v>14:46:00.145</v>
      </c>
      <c r="U2715" t="str">
        <f t="shared" si="1270"/>
        <v>A9808D</v>
      </c>
      <c r="V2715">
        <v>0</v>
      </c>
      <c r="W2715">
        <v>0</v>
      </c>
      <c r="X2715">
        <v>1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0</v>
      </c>
      <c r="AI2715" t="s">
        <v>668</v>
      </c>
      <c r="AJ2715">
        <v>28.249196999999999</v>
      </c>
      <c r="AK2715" t="s">
        <v>669</v>
      </c>
      <c r="AL2715">
        <v>-82.311845000000005</v>
      </c>
      <c r="AM2715">
        <v>100</v>
      </c>
      <c r="AN2715">
        <v>2400</v>
      </c>
      <c r="AO2715" t="s">
        <v>118</v>
      </c>
      <c r="AP2715">
        <v>103</v>
      </c>
      <c r="AQ2715">
        <v>-24</v>
      </c>
      <c r="AR2715">
        <v>192</v>
      </c>
      <c r="AZ2715">
        <v>1200</v>
      </c>
      <c r="BA2715">
        <v>1</v>
      </c>
      <c r="BB2715" t="str">
        <f t="shared" si="1280"/>
        <v xml:space="preserve">N711JA  </v>
      </c>
      <c r="BC2715">
        <v>1</v>
      </c>
      <c r="BE2715">
        <v>0</v>
      </c>
      <c r="BF2715">
        <v>0</v>
      </c>
      <c r="BG2715">
        <v>0</v>
      </c>
      <c r="BH2715">
        <v>2525</v>
      </c>
      <c r="BI2715">
        <v>1</v>
      </c>
      <c r="BJ2715">
        <v>1</v>
      </c>
      <c r="BK2715">
        <v>0</v>
      </c>
      <c r="BL2715">
        <v>0</v>
      </c>
      <c r="BO2715">
        <v>0</v>
      </c>
      <c r="BP2715">
        <v>0</v>
      </c>
      <c r="BW2715" t="str">
        <f t="shared" si="1284"/>
        <v>14:46:00.447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119</v>
      </c>
      <c r="CQ2715">
        <v>56</v>
      </c>
      <c r="CR2715">
        <v>2</v>
      </c>
      <c r="CW2715">
        <v>4901378</v>
      </c>
      <c r="CY2715">
        <v>1</v>
      </c>
      <c r="CZ2715">
        <v>0</v>
      </c>
      <c r="DA2715">
        <v>1</v>
      </c>
      <c r="DB2715">
        <v>0</v>
      </c>
      <c r="DC2715">
        <v>0</v>
      </c>
      <c r="DD2715">
        <v>1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 t="shared" si="1281"/>
        <v>05/12/2020 14:45:42.629</v>
      </c>
      <c r="C2716" t="str">
        <f t="shared" si="1279"/>
        <v>FFDFD3C0</v>
      </c>
      <c r="D2716" t="s">
        <v>131</v>
      </c>
      <c r="E2716">
        <v>18</v>
      </c>
      <c r="F2716">
        <v>2018</v>
      </c>
      <c r="G2716" t="s">
        <v>161</v>
      </c>
      <c r="J2716" t="s">
        <v>133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282"/>
        <v>14:46:00.445</v>
      </c>
      <c r="T2716" t="str">
        <f t="shared" si="1283"/>
        <v>14:46:00.145</v>
      </c>
      <c r="U2716" t="str">
        <f t="shared" si="1270"/>
        <v>A9808D</v>
      </c>
      <c r="V2716">
        <v>0</v>
      </c>
      <c r="W2716">
        <v>0</v>
      </c>
      <c r="X2716">
        <v>1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0</v>
      </c>
      <c r="AI2716" t="s">
        <v>668</v>
      </c>
      <c r="AJ2716">
        <v>28.249196999999999</v>
      </c>
      <c r="AK2716" t="s">
        <v>669</v>
      </c>
      <c r="AL2716">
        <v>-82.311845000000005</v>
      </c>
      <c r="AM2716">
        <v>100</v>
      </c>
      <c r="AN2716">
        <v>2400</v>
      </c>
      <c r="AO2716" t="s">
        <v>118</v>
      </c>
      <c r="AP2716">
        <v>103</v>
      </c>
      <c r="AQ2716">
        <v>-24</v>
      </c>
      <c r="AR2716">
        <v>192</v>
      </c>
      <c r="AZ2716">
        <v>1200</v>
      </c>
      <c r="BA2716">
        <v>1</v>
      </c>
      <c r="BB2716" t="str">
        <f t="shared" si="1280"/>
        <v xml:space="preserve">N711JA  </v>
      </c>
      <c r="BC2716">
        <v>1</v>
      </c>
      <c r="BE2716">
        <v>0</v>
      </c>
      <c r="BF2716">
        <v>0</v>
      </c>
      <c r="BG2716">
        <v>0</v>
      </c>
      <c r="BH2716">
        <v>2525</v>
      </c>
      <c r="BI2716">
        <v>1</v>
      </c>
      <c r="BJ2716">
        <v>1</v>
      </c>
      <c r="BK2716">
        <v>0</v>
      </c>
      <c r="BL2716">
        <v>0</v>
      </c>
      <c r="BO2716">
        <v>0</v>
      </c>
      <c r="BP2716">
        <v>0</v>
      </c>
      <c r="BW2716" t="str">
        <f t="shared" si="1284"/>
        <v>14:46:00.447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56</v>
      </c>
      <c r="CR2716">
        <v>2</v>
      </c>
      <c r="CW2716">
        <v>4901378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1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 t="shared" si="1281"/>
        <v>05/12/2020 14:45:42.629</v>
      </c>
      <c r="C2717" t="str">
        <f t="shared" si="1279"/>
        <v>FFDFD3C0</v>
      </c>
      <c r="D2717" t="s">
        <v>126</v>
      </c>
      <c r="E2717">
        <v>6</v>
      </c>
      <c r="F2717">
        <v>1006</v>
      </c>
      <c r="G2717" t="s">
        <v>114</v>
      </c>
      <c r="J2717" t="s">
        <v>128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282"/>
        <v>14:46:00.445</v>
      </c>
      <c r="T2717" t="str">
        <f t="shared" si="1283"/>
        <v>14:46:00.145</v>
      </c>
      <c r="U2717" t="str">
        <f t="shared" si="1270"/>
        <v>A9808D</v>
      </c>
      <c r="V2717">
        <v>0</v>
      </c>
      <c r="W2717">
        <v>0</v>
      </c>
      <c r="X2717">
        <v>1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0</v>
      </c>
      <c r="AI2717" t="s">
        <v>668</v>
      </c>
      <c r="AJ2717">
        <v>28.249196999999999</v>
      </c>
      <c r="AK2717" t="s">
        <v>669</v>
      </c>
      <c r="AL2717">
        <v>-82.311845000000005</v>
      </c>
      <c r="AM2717">
        <v>100</v>
      </c>
      <c r="AN2717">
        <v>2400</v>
      </c>
      <c r="AO2717" t="s">
        <v>118</v>
      </c>
      <c r="AP2717">
        <v>103</v>
      </c>
      <c r="AQ2717">
        <v>-24</v>
      </c>
      <c r="AR2717">
        <v>192</v>
      </c>
      <c r="AZ2717">
        <v>1200</v>
      </c>
      <c r="BA2717">
        <v>1</v>
      </c>
      <c r="BB2717" t="str">
        <f t="shared" si="1280"/>
        <v xml:space="preserve">N711JA  </v>
      </c>
      <c r="BC2717">
        <v>1</v>
      </c>
      <c r="BE2717">
        <v>0</v>
      </c>
      <c r="BF2717">
        <v>0</v>
      </c>
      <c r="BG2717">
        <v>0</v>
      </c>
      <c r="BH2717">
        <v>2525</v>
      </c>
      <c r="BI2717">
        <v>1</v>
      </c>
      <c r="BJ2717">
        <v>1</v>
      </c>
      <c r="BK2717">
        <v>0</v>
      </c>
      <c r="BL2717">
        <v>0</v>
      </c>
      <c r="BO2717">
        <v>0</v>
      </c>
      <c r="BP2717">
        <v>0</v>
      </c>
      <c r="BW2717" t="str">
        <f t="shared" si="1284"/>
        <v>14:46:00.447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7</v>
      </c>
      <c r="CP2717" t="s">
        <v>119</v>
      </c>
      <c r="CQ2717">
        <v>56</v>
      </c>
      <c r="CR2717">
        <v>2</v>
      </c>
      <c r="CW2717">
        <v>4901378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1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 t="shared" si="1281"/>
        <v>05/12/2020 14:45:42.629</v>
      </c>
      <c r="C2718" t="str">
        <f t="shared" si="1279"/>
        <v>FFDFD3C0</v>
      </c>
      <c r="D2718" t="s">
        <v>113</v>
      </c>
      <c r="E2718">
        <v>3</v>
      </c>
      <c r="H2718">
        <v>164</v>
      </c>
      <c r="I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282"/>
        <v>14:46:00.445</v>
      </c>
      <c r="T2718" t="str">
        <f t="shared" si="1283"/>
        <v>14:46:00.145</v>
      </c>
      <c r="U2718" t="str">
        <f t="shared" si="1270"/>
        <v>A9808D</v>
      </c>
      <c r="V2718">
        <v>0</v>
      </c>
      <c r="W2718">
        <v>0</v>
      </c>
      <c r="X2718">
        <v>1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0</v>
      </c>
      <c r="AI2718" t="s">
        <v>668</v>
      </c>
      <c r="AJ2718">
        <v>28.249196999999999</v>
      </c>
      <c r="AK2718" t="s">
        <v>669</v>
      </c>
      <c r="AL2718">
        <v>-82.311845000000005</v>
      </c>
      <c r="AM2718">
        <v>100</v>
      </c>
      <c r="AN2718">
        <v>2400</v>
      </c>
      <c r="AO2718" t="s">
        <v>118</v>
      </c>
      <c r="AP2718">
        <v>103</v>
      </c>
      <c r="AQ2718">
        <v>-24</v>
      </c>
      <c r="AR2718">
        <v>192</v>
      </c>
      <c r="AZ2718">
        <v>1200</v>
      </c>
      <c r="BA2718">
        <v>1</v>
      </c>
      <c r="BB2718" t="str">
        <f t="shared" si="1280"/>
        <v xml:space="preserve">N711JA  </v>
      </c>
      <c r="BC2718">
        <v>1</v>
      </c>
      <c r="BE2718">
        <v>0</v>
      </c>
      <c r="BF2718">
        <v>0</v>
      </c>
      <c r="BG2718">
        <v>0</v>
      </c>
      <c r="BH2718">
        <v>2525</v>
      </c>
      <c r="BI2718">
        <v>1</v>
      </c>
      <c r="BJ2718">
        <v>1</v>
      </c>
      <c r="BK2718">
        <v>0</v>
      </c>
      <c r="BL2718">
        <v>0</v>
      </c>
      <c r="BO2718">
        <v>0</v>
      </c>
      <c r="BP2718">
        <v>0</v>
      </c>
      <c r="BW2718" t="str">
        <f t="shared" si="1284"/>
        <v>14:46:00.447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7</v>
      </c>
      <c r="CP2718" t="s">
        <v>119</v>
      </c>
      <c r="CQ2718">
        <v>56</v>
      </c>
      <c r="CR2718">
        <v>2</v>
      </c>
      <c r="CW2718">
        <v>4901378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1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 t="shared" si="1281"/>
        <v>05/12/2020 14:45:42.629</v>
      </c>
      <c r="C2719" t="str">
        <f t="shared" si="1279"/>
        <v>FFDFD3C0</v>
      </c>
      <c r="D2719" t="s">
        <v>134</v>
      </c>
      <c r="E2719">
        <v>12</v>
      </c>
      <c r="H2719">
        <v>64</v>
      </c>
      <c r="I2719" t="s">
        <v>135</v>
      </c>
      <c r="J2719" t="s">
        <v>136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282"/>
        <v>14:46:00.445</v>
      </c>
      <c r="T2719" t="str">
        <f t="shared" si="1283"/>
        <v>14:46:00.145</v>
      </c>
      <c r="U2719" t="str">
        <f t="shared" si="1270"/>
        <v>A9808D</v>
      </c>
      <c r="V2719">
        <v>0</v>
      </c>
      <c r="W2719">
        <v>0</v>
      </c>
      <c r="X2719">
        <v>1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0</v>
      </c>
      <c r="AI2719" t="s">
        <v>668</v>
      </c>
      <c r="AJ2719">
        <v>28.249196999999999</v>
      </c>
      <c r="AK2719" t="s">
        <v>669</v>
      </c>
      <c r="AL2719">
        <v>-82.311845000000005</v>
      </c>
      <c r="AM2719">
        <v>100</v>
      </c>
      <c r="AN2719">
        <v>2400</v>
      </c>
      <c r="AO2719" t="s">
        <v>118</v>
      </c>
      <c r="AP2719">
        <v>103</v>
      </c>
      <c r="AQ2719">
        <v>-24</v>
      </c>
      <c r="AR2719">
        <v>192</v>
      </c>
      <c r="AZ2719">
        <v>1200</v>
      </c>
      <c r="BA2719">
        <v>1</v>
      </c>
      <c r="BB2719" t="str">
        <f t="shared" si="1280"/>
        <v xml:space="preserve">N711JA  </v>
      </c>
      <c r="BC2719">
        <v>1</v>
      </c>
      <c r="BE2719">
        <v>0</v>
      </c>
      <c r="BF2719">
        <v>0</v>
      </c>
      <c r="BG2719">
        <v>0</v>
      </c>
      <c r="BH2719">
        <v>2525</v>
      </c>
      <c r="BI2719">
        <v>1</v>
      </c>
      <c r="BJ2719">
        <v>1</v>
      </c>
      <c r="BK2719">
        <v>0</v>
      </c>
      <c r="BL2719">
        <v>0</v>
      </c>
      <c r="BO2719">
        <v>0</v>
      </c>
      <c r="BP2719">
        <v>0</v>
      </c>
      <c r="BW2719" t="str">
        <f t="shared" si="1284"/>
        <v>14:46:00.447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6</v>
      </c>
      <c r="CP2719" t="s">
        <v>119</v>
      </c>
      <c r="CQ2719">
        <v>358</v>
      </c>
      <c r="CR2719">
        <v>0</v>
      </c>
      <c r="CW2719">
        <v>4879166</v>
      </c>
      <c r="CY2719">
        <v>1</v>
      </c>
      <c r="CZ2719">
        <v>0</v>
      </c>
      <c r="DA2719">
        <v>1</v>
      </c>
      <c r="DB2719">
        <v>0</v>
      </c>
      <c r="DC2719">
        <v>0</v>
      </c>
      <c r="DD2719">
        <v>1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 t="shared" si="1281"/>
        <v>05/12/2020 14:45:42.629</v>
      </c>
      <c r="C2720" t="str">
        <f t="shared" si="1279"/>
        <v>FFDFD3C0</v>
      </c>
      <c r="D2720" t="s">
        <v>138</v>
      </c>
      <c r="E2720">
        <v>3</v>
      </c>
      <c r="H2720">
        <v>9</v>
      </c>
      <c r="I2720" t="s">
        <v>140</v>
      </c>
      <c r="J2720" t="s">
        <v>136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282"/>
        <v>14:46:00.445</v>
      </c>
      <c r="T2720" t="str">
        <f t="shared" si="1283"/>
        <v>14:46:00.145</v>
      </c>
      <c r="U2720" t="str">
        <f t="shared" si="1270"/>
        <v>A9808D</v>
      </c>
      <c r="V2720">
        <v>0</v>
      </c>
      <c r="W2720">
        <v>0</v>
      </c>
      <c r="X2720">
        <v>1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0</v>
      </c>
      <c r="AI2720" t="s">
        <v>668</v>
      </c>
      <c r="AJ2720">
        <v>28.249196999999999</v>
      </c>
      <c r="AK2720" t="s">
        <v>669</v>
      </c>
      <c r="AL2720">
        <v>-82.311845000000005</v>
      </c>
      <c r="AM2720">
        <v>100</v>
      </c>
      <c r="AN2720">
        <v>2400</v>
      </c>
      <c r="AO2720" t="s">
        <v>118</v>
      </c>
      <c r="AP2720">
        <v>103</v>
      </c>
      <c r="AQ2720">
        <v>-24</v>
      </c>
      <c r="AR2720">
        <v>192</v>
      </c>
      <c r="AZ2720">
        <v>1200</v>
      </c>
      <c r="BA2720">
        <v>1</v>
      </c>
      <c r="BB2720" t="str">
        <f t="shared" si="1280"/>
        <v xml:space="preserve">N711JA  </v>
      </c>
      <c r="BC2720">
        <v>1</v>
      </c>
      <c r="BE2720">
        <v>0</v>
      </c>
      <c r="BF2720">
        <v>0</v>
      </c>
      <c r="BG2720">
        <v>0</v>
      </c>
      <c r="BH2720">
        <v>2525</v>
      </c>
      <c r="BI2720">
        <v>1</v>
      </c>
      <c r="BJ2720">
        <v>1</v>
      </c>
      <c r="BK2720">
        <v>0</v>
      </c>
      <c r="BL2720">
        <v>0</v>
      </c>
      <c r="BO2720">
        <v>0</v>
      </c>
      <c r="BP2720">
        <v>0</v>
      </c>
      <c r="BW2720" t="str">
        <f t="shared" si="1284"/>
        <v>14:46:00.447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119</v>
      </c>
      <c r="CQ2720">
        <v>56</v>
      </c>
      <c r="CR2720">
        <v>2</v>
      </c>
      <c r="CW2720">
        <v>4901378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1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 t="shared" si="1281"/>
        <v>05/12/2020 14:45:42.629</v>
      </c>
      <c r="C2721" t="str">
        <f t="shared" si="1279"/>
        <v>FFDFD3C0</v>
      </c>
      <c r="D2721" t="s">
        <v>126</v>
      </c>
      <c r="E2721">
        <v>7</v>
      </c>
      <c r="F2721">
        <v>1007</v>
      </c>
      <c r="G2721" t="s">
        <v>127</v>
      </c>
      <c r="J2721" t="s">
        <v>128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282"/>
        <v>14:46:00.445</v>
      </c>
      <c r="T2721" t="str">
        <f t="shared" si="1283"/>
        <v>14:46:00.145</v>
      </c>
      <c r="U2721" t="str">
        <f t="shared" si="1270"/>
        <v>A9808D</v>
      </c>
      <c r="V2721">
        <v>0</v>
      </c>
      <c r="W2721">
        <v>0</v>
      </c>
      <c r="X2721">
        <v>1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0</v>
      </c>
      <c r="AI2721" t="s">
        <v>668</v>
      </c>
      <c r="AJ2721">
        <v>28.249196999999999</v>
      </c>
      <c r="AK2721" t="s">
        <v>669</v>
      </c>
      <c r="AL2721">
        <v>-82.311845000000005</v>
      </c>
      <c r="AM2721">
        <v>100</v>
      </c>
      <c r="AN2721">
        <v>2400</v>
      </c>
      <c r="AO2721" t="s">
        <v>118</v>
      </c>
      <c r="AP2721">
        <v>103</v>
      </c>
      <c r="AQ2721">
        <v>-24</v>
      </c>
      <c r="AR2721">
        <v>192</v>
      </c>
      <c r="AZ2721">
        <v>1200</v>
      </c>
      <c r="BA2721">
        <v>1</v>
      </c>
      <c r="BB2721" t="str">
        <f t="shared" si="1280"/>
        <v xml:space="preserve">N711JA  </v>
      </c>
      <c r="BC2721">
        <v>1</v>
      </c>
      <c r="BE2721">
        <v>0</v>
      </c>
      <c r="BF2721">
        <v>0</v>
      </c>
      <c r="BG2721">
        <v>0</v>
      </c>
      <c r="BH2721">
        <v>2525</v>
      </c>
      <c r="BI2721">
        <v>1</v>
      </c>
      <c r="BJ2721">
        <v>1</v>
      </c>
      <c r="BK2721">
        <v>0</v>
      </c>
      <c r="BL2721">
        <v>0</v>
      </c>
      <c r="BO2721">
        <v>0</v>
      </c>
      <c r="BP2721">
        <v>0</v>
      </c>
      <c r="BW2721" t="str">
        <f t="shared" si="1284"/>
        <v>14:46:00.447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119</v>
      </c>
      <c r="CQ2721">
        <v>56</v>
      </c>
      <c r="CR2721">
        <v>2</v>
      </c>
      <c r="CW2721">
        <v>4901378</v>
      </c>
      <c r="CY2721">
        <v>1</v>
      </c>
      <c r="CZ2721">
        <v>0</v>
      </c>
      <c r="DA2721">
        <v>1</v>
      </c>
      <c r="DB2721">
        <v>0</v>
      </c>
      <c r="DC2721">
        <v>0</v>
      </c>
      <c r="DD2721">
        <v>1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 t="shared" ref="A2722:A2730" si="1285">"05/12/2020 14:45:43.630"</f>
        <v>05/12/2020 14:45:43.630</v>
      </c>
      <c r="C2722" t="str">
        <f t="shared" si="1279"/>
        <v>FFDFD3C0</v>
      </c>
      <c r="D2722" t="s">
        <v>126</v>
      </c>
      <c r="E2722">
        <v>7</v>
      </c>
      <c r="F2722">
        <v>1007</v>
      </c>
      <c r="G2722" t="s">
        <v>127</v>
      </c>
      <c r="J2722" t="s">
        <v>128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ref="S2722:S2730" si="1286">"14:46:01.453"</f>
        <v>14:46:01.453</v>
      </c>
      <c r="T2722" t="str">
        <f t="shared" ref="T2722:T2730" si="1287">"14:46:01.253"</f>
        <v>14:46:01.253</v>
      </c>
      <c r="U2722" t="str">
        <f t="shared" si="1270"/>
        <v>A9808D</v>
      </c>
      <c r="V2722">
        <v>0</v>
      </c>
      <c r="W2722">
        <v>0</v>
      </c>
      <c r="X2722">
        <v>1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0</v>
      </c>
      <c r="AI2722" t="s">
        <v>670</v>
      </c>
      <c r="AJ2722">
        <v>28.249089999999999</v>
      </c>
      <c r="AK2722" t="s">
        <v>671</v>
      </c>
      <c r="AL2722">
        <v>-82.311265000000006</v>
      </c>
      <c r="AM2722">
        <v>100</v>
      </c>
      <c r="AN2722">
        <v>2400</v>
      </c>
      <c r="AO2722" t="s">
        <v>118</v>
      </c>
      <c r="AP2722">
        <v>104</v>
      </c>
      <c r="AQ2722">
        <v>-24</v>
      </c>
      <c r="AR2722">
        <v>192</v>
      </c>
      <c r="AZ2722">
        <v>1200</v>
      </c>
      <c r="BA2722">
        <v>1</v>
      </c>
      <c r="BB2722" t="str">
        <f t="shared" si="1280"/>
        <v xml:space="preserve">N711JA  </v>
      </c>
      <c r="BC2722">
        <v>1</v>
      </c>
      <c r="BE2722">
        <v>0</v>
      </c>
      <c r="BF2722">
        <v>0</v>
      </c>
      <c r="BG2722">
        <v>0</v>
      </c>
      <c r="BH2722">
        <v>2525</v>
      </c>
      <c r="BI2722">
        <v>1</v>
      </c>
      <c r="BJ2722">
        <v>1</v>
      </c>
      <c r="BK2722">
        <v>0</v>
      </c>
      <c r="BL2722">
        <v>0</v>
      </c>
      <c r="BO2722">
        <v>0</v>
      </c>
      <c r="BP2722">
        <v>0</v>
      </c>
      <c r="BW2722" t="str">
        <f t="shared" ref="BW2722:BW2730" si="1288">"14:46:01.457"</f>
        <v>14:46:01.457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119</v>
      </c>
      <c r="CQ2722">
        <v>56</v>
      </c>
      <c r="CR2722">
        <v>2</v>
      </c>
      <c r="CW2722">
        <v>4902704</v>
      </c>
      <c r="CY2722">
        <v>1</v>
      </c>
      <c r="CZ2722">
        <v>0</v>
      </c>
      <c r="DA2722">
        <v>0</v>
      </c>
      <c r="DB2722">
        <v>0</v>
      </c>
      <c r="DC2722">
        <v>0</v>
      </c>
      <c r="DD2722">
        <v>1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 t="shared" si="1285"/>
        <v>05/12/2020 14:45:43.630</v>
      </c>
      <c r="C2723" t="str">
        <f t="shared" si="1279"/>
        <v>FFDFD3C0</v>
      </c>
      <c r="D2723" t="s">
        <v>134</v>
      </c>
      <c r="E2723">
        <v>12</v>
      </c>
      <c r="H2723">
        <v>64</v>
      </c>
      <c r="I2723" t="s">
        <v>135</v>
      </c>
      <c r="J2723" t="s">
        <v>136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286"/>
        <v>14:46:01.453</v>
      </c>
      <c r="T2723" t="str">
        <f t="shared" si="1287"/>
        <v>14:46:01.253</v>
      </c>
      <c r="U2723" t="str">
        <f t="shared" si="1270"/>
        <v>A9808D</v>
      </c>
      <c r="V2723">
        <v>0</v>
      </c>
      <c r="W2723">
        <v>0</v>
      </c>
      <c r="X2723">
        <v>1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0</v>
      </c>
      <c r="AI2723" t="s">
        <v>670</v>
      </c>
      <c r="AJ2723">
        <v>28.249089999999999</v>
      </c>
      <c r="AK2723" t="s">
        <v>671</v>
      </c>
      <c r="AL2723">
        <v>-82.311265000000006</v>
      </c>
      <c r="AM2723">
        <v>100</v>
      </c>
      <c r="AN2723">
        <v>2400</v>
      </c>
      <c r="AO2723" t="s">
        <v>118</v>
      </c>
      <c r="AP2723">
        <v>104</v>
      </c>
      <c r="AQ2723">
        <v>-24</v>
      </c>
      <c r="AR2723">
        <v>192</v>
      </c>
      <c r="AZ2723">
        <v>1200</v>
      </c>
      <c r="BA2723">
        <v>1</v>
      </c>
      <c r="BB2723" t="str">
        <f t="shared" si="1280"/>
        <v xml:space="preserve">N711JA  </v>
      </c>
      <c r="BC2723">
        <v>1</v>
      </c>
      <c r="BE2723">
        <v>0</v>
      </c>
      <c r="BF2723">
        <v>0</v>
      </c>
      <c r="BG2723">
        <v>0</v>
      </c>
      <c r="BH2723">
        <v>2525</v>
      </c>
      <c r="BI2723">
        <v>1</v>
      </c>
      <c r="BJ2723">
        <v>1</v>
      </c>
      <c r="BK2723">
        <v>0</v>
      </c>
      <c r="BL2723">
        <v>0</v>
      </c>
      <c r="BO2723">
        <v>0</v>
      </c>
      <c r="BP2723">
        <v>0</v>
      </c>
      <c r="BW2723" t="str">
        <f t="shared" si="1288"/>
        <v>14:46:01.457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6</v>
      </c>
      <c r="CP2723" t="s">
        <v>119</v>
      </c>
      <c r="CQ2723">
        <v>358</v>
      </c>
      <c r="CR2723">
        <v>0</v>
      </c>
      <c r="CW2723">
        <v>4880390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1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 t="shared" si="1285"/>
        <v>05/12/2020 14:45:43.630</v>
      </c>
      <c r="C2724" t="str">
        <f t="shared" si="1279"/>
        <v>FFDFD3C0</v>
      </c>
      <c r="D2724" t="s">
        <v>138</v>
      </c>
      <c r="E2724">
        <v>3</v>
      </c>
      <c r="H2724">
        <v>9</v>
      </c>
      <c r="I2724" t="s">
        <v>140</v>
      </c>
      <c r="J2724" t="s">
        <v>136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286"/>
        <v>14:46:01.453</v>
      </c>
      <c r="T2724" t="str">
        <f t="shared" si="1287"/>
        <v>14:46:01.253</v>
      </c>
      <c r="U2724" t="str">
        <f t="shared" si="1270"/>
        <v>A9808D</v>
      </c>
      <c r="V2724">
        <v>0</v>
      </c>
      <c r="W2724">
        <v>0</v>
      </c>
      <c r="X2724">
        <v>1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0</v>
      </c>
      <c r="AI2724" t="s">
        <v>670</v>
      </c>
      <c r="AJ2724">
        <v>28.249089999999999</v>
      </c>
      <c r="AK2724" t="s">
        <v>671</v>
      </c>
      <c r="AL2724">
        <v>-82.311265000000006</v>
      </c>
      <c r="AM2724">
        <v>100</v>
      </c>
      <c r="AN2724">
        <v>2400</v>
      </c>
      <c r="AO2724" t="s">
        <v>118</v>
      </c>
      <c r="AP2724">
        <v>104</v>
      </c>
      <c r="AQ2724">
        <v>-24</v>
      </c>
      <c r="AR2724">
        <v>192</v>
      </c>
      <c r="AZ2724">
        <v>1200</v>
      </c>
      <c r="BA2724">
        <v>1</v>
      </c>
      <c r="BB2724" t="str">
        <f t="shared" si="1280"/>
        <v xml:space="preserve">N711JA  </v>
      </c>
      <c r="BC2724">
        <v>1</v>
      </c>
      <c r="BE2724">
        <v>0</v>
      </c>
      <c r="BF2724">
        <v>0</v>
      </c>
      <c r="BG2724">
        <v>0</v>
      </c>
      <c r="BH2724">
        <v>2525</v>
      </c>
      <c r="BI2724">
        <v>1</v>
      </c>
      <c r="BJ2724">
        <v>1</v>
      </c>
      <c r="BK2724">
        <v>0</v>
      </c>
      <c r="BL2724">
        <v>0</v>
      </c>
      <c r="BO2724">
        <v>0</v>
      </c>
      <c r="BP2724">
        <v>0</v>
      </c>
      <c r="BW2724" t="str">
        <f t="shared" si="1288"/>
        <v>14:46:01.457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7</v>
      </c>
      <c r="CP2724" t="s">
        <v>119</v>
      </c>
      <c r="CQ2724">
        <v>56</v>
      </c>
      <c r="CR2724">
        <v>2</v>
      </c>
      <c r="CW2724">
        <v>4902704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1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 t="shared" si="1285"/>
        <v>05/12/2020 14:45:43.630</v>
      </c>
      <c r="C2725" t="str">
        <f t="shared" si="1279"/>
        <v>FFDFD3C0</v>
      </c>
      <c r="D2725" t="s">
        <v>131</v>
      </c>
      <c r="E2725">
        <v>10</v>
      </c>
      <c r="F2725">
        <v>2010</v>
      </c>
      <c r="G2725" t="s">
        <v>132</v>
      </c>
      <c r="J2725" t="s">
        <v>133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286"/>
        <v>14:46:01.453</v>
      </c>
      <c r="T2725" t="str">
        <f t="shared" si="1287"/>
        <v>14:46:01.253</v>
      </c>
      <c r="U2725" t="str">
        <f t="shared" si="1270"/>
        <v>A9808D</v>
      </c>
      <c r="V2725">
        <v>0</v>
      </c>
      <c r="W2725">
        <v>0</v>
      </c>
      <c r="X2725">
        <v>1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0</v>
      </c>
      <c r="AI2725" t="s">
        <v>670</v>
      </c>
      <c r="AJ2725">
        <v>28.249089999999999</v>
      </c>
      <c r="AK2725" t="s">
        <v>671</v>
      </c>
      <c r="AL2725">
        <v>-82.311265000000006</v>
      </c>
      <c r="AM2725">
        <v>100</v>
      </c>
      <c r="AN2725">
        <v>2400</v>
      </c>
      <c r="AO2725" t="s">
        <v>118</v>
      </c>
      <c r="AP2725">
        <v>104</v>
      </c>
      <c r="AQ2725">
        <v>-24</v>
      </c>
      <c r="AR2725">
        <v>192</v>
      </c>
      <c r="AZ2725">
        <v>1200</v>
      </c>
      <c r="BA2725">
        <v>1</v>
      </c>
      <c r="BB2725" t="str">
        <f t="shared" si="1280"/>
        <v xml:space="preserve">N711JA  </v>
      </c>
      <c r="BC2725">
        <v>1</v>
      </c>
      <c r="BE2725">
        <v>0</v>
      </c>
      <c r="BF2725">
        <v>0</v>
      </c>
      <c r="BG2725">
        <v>0</v>
      </c>
      <c r="BH2725">
        <v>2525</v>
      </c>
      <c r="BI2725">
        <v>1</v>
      </c>
      <c r="BJ2725">
        <v>1</v>
      </c>
      <c r="BK2725">
        <v>0</v>
      </c>
      <c r="BL2725">
        <v>0</v>
      </c>
      <c r="BO2725">
        <v>0</v>
      </c>
      <c r="BP2725">
        <v>0</v>
      </c>
      <c r="BW2725" t="str">
        <f t="shared" si="1288"/>
        <v>14:46:01.457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7</v>
      </c>
      <c r="CP2725" t="s">
        <v>119</v>
      </c>
      <c r="CQ2725">
        <v>56</v>
      </c>
      <c r="CR2725">
        <v>2</v>
      </c>
      <c r="CW2725">
        <v>4902704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1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 t="shared" si="1285"/>
        <v>05/12/2020 14:45:43.630</v>
      </c>
      <c r="C2726" t="str">
        <f t="shared" si="1279"/>
        <v>FFDFD3C0</v>
      </c>
      <c r="D2726" t="s">
        <v>131</v>
      </c>
      <c r="E2726">
        <v>12</v>
      </c>
      <c r="F2726">
        <v>2012</v>
      </c>
      <c r="G2726" t="s">
        <v>137</v>
      </c>
      <c r="J2726" t="s">
        <v>133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286"/>
        <v>14:46:01.453</v>
      </c>
      <c r="T2726" t="str">
        <f t="shared" si="1287"/>
        <v>14:46:01.253</v>
      </c>
      <c r="U2726" t="str">
        <f t="shared" si="1270"/>
        <v>A9808D</v>
      </c>
      <c r="V2726">
        <v>0</v>
      </c>
      <c r="W2726">
        <v>0</v>
      </c>
      <c r="X2726">
        <v>1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0</v>
      </c>
      <c r="AI2726" t="s">
        <v>670</v>
      </c>
      <c r="AJ2726">
        <v>28.249089999999999</v>
      </c>
      <c r="AK2726" t="s">
        <v>671</v>
      </c>
      <c r="AL2726">
        <v>-82.311265000000006</v>
      </c>
      <c r="AM2726">
        <v>100</v>
      </c>
      <c r="AN2726">
        <v>2400</v>
      </c>
      <c r="AO2726" t="s">
        <v>118</v>
      </c>
      <c r="AP2726">
        <v>104</v>
      </c>
      <c r="AQ2726">
        <v>-24</v>
      </c>
      <c r="AR2726">
        <v>192</v>
      </c>
      <c r="AZ2726">
        <v>1200</v>
      </c>
      <c r="BA2726">
        <v>1</v>
      </c>
      <c r="BB2726" t="str">
        <f t="shared" si="1280"/>
        <v xml:space="preserve">N711JA  </v>
      </c>
      <c r="BC2726">
        <v>1</v>
      </c>
      <c r="BE2726">
        <v>0</v>
      </c>
      <c r="BF2726">
        <v>0</v>
      </c>
      <c r="BG2726">
        <v>0</v>
      </c>
      <c r="BH2726">
        <v>2525</v>
      </c>
      <c r="BI2726">
        <v>1</v>
      </c>
      <c r="BJ2726">
        <v>1</v>
      </c>
      <c r="BK2726">
        <v>0</v>
      </c>
      <c r="BL2726">
        <v>0</v>
      </c>
      <c r="BO2726">
        <v>0</v>
      </c>
      <c r="BP2726">
        <v>0</v>
      </c>
      <c r="BW2726" t="str">
        <f t="shared" si="1288"/>
        <v>14:46:01.457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56</v>
      </c>
      <c r="CR2726">
        <v>2</v>
      </c>
      <c r="CW2726">
        <v>4902704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1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 t="shared" si="1285"/>
        <v>05/12/2020 14:45:43.630</v>
      </c>
      <c r="C2727" t="str">
        <f t="shared" si="1279"/>
        <v>FFDFD3C0</v>
      </c>
      <c r="D2727" t="s">
        <v>131</v>
      </c>
      <c r="E2727">
        <v>18</v>
      </c>
      <c r="F2727">
        <v>2018</v>
      </c>
      <c r="G2727" t="s">
        <v>161</v>
      </c>
      <c r="J2727" t="s">
        <v>133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286"/>
        <v>14:46:01.453</v>
      </c>
      <c r="T2727" t="str">
        <f t="shared" si="1287"/>
        <v>14:46:01.253</v>
      </c>
      <c r="U2727" t="str">
        <f t="shared" si="1270"/>
        <v>A9808D</v>
      </c>
      <c r="V2727">
        <v>0</v>
      </c>
      <c r="W2727">
        <v>0</v>
      </c>
      <c r="X2727">
        <v>1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0</v>
      </c>
      <c r="AI2727" t="s">
        <v>670</v>
      </c>
      <c r="AJ2727">
        <v>28.249089999999999</v>
      </c>
      <c r="AK2727" t="s">
        <v>671</v>
      </c>
      <c r="AL2727">
        <v>-82.311265000000006</v>
      </c>
      <c r="AM2727">
        <v>100</v>
      </c>
      <c r="AN2727">
        <v>2400</v>
      </c>
      <c r="AO2727" t="s">
        <v>118</v>
      </c>
      <c r="AP2727">
        <v>104</v>
      </c>
      <c r="AQ2727">
        <v>-24</v>
      </c>
      <c r="AR2727">
        <v>192</v>
      </c>
      <c r="AZ2727">
        <v>1200</v>
      </c>
      <c r="BA2727">
        <v>1</v>
      </c>
      <c r="BB2727" t="str">
        <f t="shared" si="1280"/>
        <v xml:space="preserve">N711JA  </v>
      </c>
      <c r="BC2727">
        <v>1</v>
      </c>
      <c r="BE2727">
        <v>0</v>
      </c>
      <c r="BF2727">
        <v>0</v>
      </c>
      <c r="BG2727">
        <v>0</v>
      </c>
      <c r="BH2727">
        <v>2525</v>
      </c>
      <c r="BI2727">
        <v>1</v>
      </c>
      <c r="BJ2727">
        <v>1</v>
      </c>
      <c r="BK2727">
        <v>0</v>
      </c>
      <c r="BL2727">
        <v>0</v>
      </c>
      <c r="BO2727">
        <v>0</v>
      </c>
      <c r="BP2727">
        <v>0</v>
      </c>
      <c r="BW2727" t="str">
        <f t="shared" si="1288"/>
        <v>14:46:01.457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56</v>
      </c>
      <c r="CR2727">
        <v>2</v>
      </c>
      <c r="CW2727">
        <v>4902704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1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 t="shared" si="1285"/>
        <v>05/12/2020 14:45:43.630</v>
      </c>
      <c r="C2728" t="str">
        <f t="shared" si="1279"/>
        <v>FFDFD3C0</v>
      </c>
      <c r="D2728" t="s">
        <v>126</v>
      </c>
      <c r="E2728">
        <v>6</v>
      </c>
      <c r="F2728">
        <v>1006</v>
      </c>
      <c r="G2728" t="s">
        <v>114</v>
      </c>
      <c r="J2728" t="s">
        <v>128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286"/>
        <v>14:46:01.453</v>
      </c>
      <c r="T2728" t="str">
        <f t="shared" si="1287"/>
        <v>14:46:01.253</v>
      </c>
      <c r="U2728" t="str">
        <f t="shared" si="1270"/>
        <v>A9808D</v>
      </c>
      <c r="V2728">
        <v>0</v>
      </c>
      <c r="W2728">
        <v>0</v>
      </c>
      <c r="X2728">
        <v>1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0</v>
      </c>
      <c r="AI2728" t="s">
        <v>670</v>
      </c>
      <c r="AJ2728">
        <v>28.249089999999999</v>
      </c>
      <c r="AK2728" t="s">
        <v>671</v>
      </c>
      <c r="AL2728">
        <v>-82.311265000000006</v>
      </c>
      <c r="AM2728">
        <v>100</v>
      </c>
      <c r="AN2728">
        <v>2400</v>
      </c>
      <c r="AO2728" t="s">
        <v>118</v>
      </c>
      <c r="AP2728">
        <v>104</v>
      </c>
      <c r="AQ2728">
        <v>-24</v>
      </c>
      <c r="AR2728">
        <v>192</v>
      </c>
      <c r="AZ2728">
        <v>1200</v>
      </c>
      <c r="BA2728">
        <v>1</v>
      </c>
      <c r="BB2728" t="str">
        <f t="shared" si="1280"/>
        <v xml:space="preserve">N711JA  </v>
      </c>
      <c r="BC2728">
        <v>1</v>
      </c>
      <c r="BE2728">
        <v>0</v>
      </c>
      <c r="BF2728">
        <v>0</v>
      </c>
      <c r="BG2728">
        <v>0</v>
      </c>
      <c r="BH2728">
        <v>2525</v>
      </c>
      <c r="BI2728">
        <v>1</v>
      </c>
      <c r="BJ2728">
        <v>1</v>
      </c>
      <c r="BK2728">
        <v>0</v>
      </c>
      <c r="BL2728">
        <v>0</v>
      </c>
      <c r="BO2728">
        <v>0</v>
      </c>
      <c r="BP2728">
        <v>0</v>
      </c>
      <c r="BW2728" t="str">
        <f t="shared" si="1288"/>
        <v>14:46:01.457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56</v>
      </c>
      <c r="CR2728">
        <v>2</v>
      </c>
      <c r="CW2728">
        <v>4902704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1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 t="shared" si="1285"/>
        <v>05/12/2020 14:45:43.630</v>
      </c>
      <c r="C2729" t="str">
        <f t="shared" si="1279"/>
        <v>FFDFD3C0</v>
      </c>
      <c r="D2729" t="s">
        <v>138</v>
      </c>
      <c r="E2729">
        <v>2</v>
      </c>
      <c r="H2729">
        <v>8</v>
      </c>
      <c r="I2729" t="s">
        <v>139</v>
      </c>
      <c r="J2729" t="s">
        <v>136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286"/>
        <v>14:46:01.453</v>
      </c>
      <c r="T2729" t="str">
        <f t="shared" si="1287"/>
        <v>14:46:01.253</v>
      </c>
      <c r="U2729" t="str">
        <f t="shared" si="1270"/>
        <v>A9808D</v>
      </c>
      <c r="V2729">
        <v>0</v>
      </c>
      <c r="W2729">
        <v>0</v>
      </c>
      <c r="X2729">
        <v>1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0</v>
      </c>
      <c r="AI2729" t="s">
        <v>670</v>
      </c>
      <c r="AJ2729">
        <v>28.249089999999999</v>
      </c>
      <c r="AK2729" t="s">
        <v>671</v>
      </c>
      <c r="AL2729">
        <v>-82.311265000000006</v>
      </c>
      <c r="AM2729">
        <v>100</v>
      </c>
      <c r="AN2729">
        <v>2400</v>
      </c>
      <c r="AO2729" t="s">
        <v>118</v>
      </c>
      <c r="AP2729">
        <v>104</v>
      </c>
      <c r="AQ2729">
        <v>-24</v>
      </c>
      <c r="AR2729">
        <v>192</v>
      </c>
      <c r="AZ2729">
        <v>1200</v>
      </c>
      <c r="BA2729">
        <v>1</v>
      </c>
      <c r="BB2729" t="str">
        <f t="shared" si="1280"/>
        <v xml:space="preserve">N711JA  </v>
      </c>
      <c r="BC2729">
        <v>1</v>
      </c>
      <c r="BE2729">
        <v>0</v>
      </c>
      <c r="BF2729">
        <v>0</v>
      </c>
      <c r="BG2729">
        <v>0</v>
      </c>
      <c r="BH2729">
        <v>2525</v>
      </c>
      <c r="BI2729">
        <v>1</v>
      </c>
      <c r="BJ2729">
        <v>1</v>
      </c>
      <c r="BK2729">
        <v>0</v>
      </c>
      <c r="BL2729">
        <v>0</v>
      </c>
      <c r="BO2729">
        <v>0</v>
      </c>
      <c r="BP2729">
        <v>0</v>
      </c>
      <c r="BW2729" t="str">
        <f t="shared" si="1288"/>
        <v>14:46:01.457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56</v>
      </c>
      <c r="CR2729">
        <v>2</v>
      </c>
      <c r="CW2729">
        <v>4902704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1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 t="shared" si="1285"/>
        <v>05/12/2020 14:45:43.630</v>
      </c>
      <c r="C2730" t="str">
        <f t="shared" si="1279"/>
        <v>FFDFD3C0</v>
      </c>
      <c r="D2730" t="s">
        <v>113</v>
      </c>
      <c r="E2730">
        <v>3</v>
      </c>
      <c r="H2730">
        <v>164</v>
      </c>
      <c r="I2730" t="s">
        <v>114</v>
      </c>
      <c r="J2730" t="s">
        <v>115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286"/>
        <v>14:46:01.453</v>
      </c>
      <c r="T2730" t="str">
        <f t="shared" si="1287"/>
        <v>14:46:01.253</v>
      </c>
      <c r="U2730" t="str">
        <f t="shared" si="1270"/>
        <v>A9808D</v>
      </c>
      <c r="V2730">
        <v>0</v>
      </c>
      <c r="W2730">
        <v>0</v>
      </c>
      <c r="X2730">
        <v>1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0</v>
      </c>
      <c r="AI2730" t="s">
        <v>670</v>
      </c>
      <c r="AJ2730">
        <v>28.249089999999999</v>
      </c>
      <c r="AK2730" t="s">
        <v>671</v>
      </c>
      <c r="AL2730">
        <v>-82.311265000000006</v>
      </c>
      <c r="AM2730">
        <v>100</v>
      </c>
      <c r="AN2730">
        <v>2400</v>
      </c>
      <c r="AO2730" t="s">
        <v>118</v>
      </c>
      <c r="AP2730">
        <v>104</v>
      </c>
      <c r="AQ2730">
        <v>-24</v>
      </c>
      <c r="AR2730">
        <v>192</v>
      </c>
      <c r="AZ2730">
        <v>1200</v>
      </c>
      <c r="BA2730">
        <v>1</v>
      </c>
      <c r="BB2730" t="str">
        <f t="shared" si="1280"/>
        <v xml:space="preserve">N711JA  </v>
      </c>
      <c r="BC2730">
        <v>1</v>
      </c>
      <c r="BE2730">
        <v>0</v>
      </c>
      <c r="BF2730">
        <v>0</v>
      </c>
      <c r="BG2730">
        <v>0</v>
      </c>
      <c r="BH2730">
        <v>2525</v>
      </c>
      <c r="BI2730">
        <v>1</v>
      </c>
      <c r="BJ2730">
        <v>1</v>
      </c>
      <c r="BK2730">
        <v>0</v>
      </c>
      <c r="BL2730">
        <v>0</v>
      </c>
      <c r="BO2730">
        <v>0</v>
      </c>
      <c r="BP2730">
        <v>0</v>
      </c>
      <c r="BW2730" t="str">
        <f t="shared" si="1288"/>
        <v>14:46:01.457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56</v>
      </c>
      <c r="CR2730">
        <v>2</v>
      </c>
      <c r="CW2730">
        <v>4902704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1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 t="shared" ref="A2731:A2738" si="1289">"05/12/2020 14:45:44.667"</f>
        <v>05/12/2020 14:45:44.667</v>
      </c>
      <c r="C2731" t="str">
        <f t="shared" si="1279"/>
        <v>FFDFD3C0</v>
      </c>
      <c r="D2731" t="s">
        <v>138</v>
      </c>
      <c r="E2731">
        <v>2</v>
      </c>
      <c r="H2731">
        <v>8</v>
      </c>
      <c r="I2731" t="s">
        <v>139</v>
      </c>
      <c r="J2731" t="s">
        <v>136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ref="S2731:S2738" si="1290">"14:46:02.484"</f>
        <v>14:46:02.484</v>
      </c>
      <c r="T2731" t="str">
        <f t="shared" ref="T2731:T2738" si="1291">"14:46:02.384"</f>
        <v>14:46:02.384</v>
      </c>
      <c r="U2731" t="str">
        <f t="shared" si="1270"/>
        <v>A9808D</v>
      </c>
      <c r="V2731">
        <v>0</v>
      </c>
      <c r="W2731">
        <v>0</v>
      </c>
      <c r="X2731">
        <v>1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0</v>
      </c>
      <c r="AI2731" t="s">
        <v>239</v>
      </c>
      <c r="AJ2731">
        <v>28.249003999999999</v>
      </c>
      <c r="AK2731" t="s">
        <v>672</v>
      </c>
      <c r="AL2731">
        <v>-82.310728999999995</v>
      </c>
      <c r="AM2731">
        <v>100</v>
      </c>
      <c r="AN2731">
        <v>2400</v>
      </c>
      <c r="AO2731" t="s">
        <v>118</v>
      </c>
      <c r="AP2731">
        <v>104</v>
      </c>
      <c r="AQ2731">
        <v>-23</v>
      </c>
      <c r="AR2731">
        <v>192</v>
      </c>
      <c r="AZ2731">
        <v>1200</v>
      </c>
      <c r="BA2731">
        <v>1</v>
      </c>
      <c r="BB2731" t="str">
        <f t="shared" si="1280"/>
        <v xml:space="preserve">N711JA  </v>
      </c>
      <c r="BC2731">
        <v>1</v>
      </c>
      <c r="BE2731">
        <v>0</v>
      </c>
      <c r="BF2731">
        <v>0</v>
      </c>
      <c r="BG2731">
        <v>0</v>
      </c>
      <c r="BH2731">
        <v>2525</v>
      </c>
      <c r="BI2731">
        <v>1</v>
      </c>
      <c r="BJ2731">
        <v>1</v>
      </c>
      <c r="BK2731">
        <v>0</v>
      </c>
      <c r="BL2731">
        <v>0</v>
      </c>
      <c r="BO2731">
        <v>0</v>
      </c>
      <c r="BP2731">
        <v>0</v>
      </c>
      <c r="BW2731" t="str">
        <f t="shared" ref="BW2731:BW2738" si="1292">"14:46:02.490"</f>
        <v>14:46:02.490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6</v>
      </c>
      <c r="CP2731" t="s">
        <v>119</v>
      </c>
      <c r="CQ2731">
        <v>56</v>
      </c>
      <c r="CR2731">
        <v>3</v>
      </c>
      <c r="CW2731">
        <v>12205804</v>
      </c>
      <c r="CY2731">
        <v>1</v>
      </c>
      <c r="CZ2731">
        <v>0</v>
      </c>
      <c r="DA2731">
        <v>0</v>
      </c>
      <c r="DB2731">
        <v>0</v>
      </c>
      <c r="DC2731">
        <v>0</v>
      </c>
      <c r="DD2731">
        <v>1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 t="shared" si="1289"/>
        <v>05/12/2020 14:45:44.667</v>
      </c>
      <c r="C2732" t="str">
        <f t="shared" si="1279"/>
        <v>FFDFD3C0</v>
      </c>
      <c r="D2732" t="s">
        <v>113</v>
      </c>
      <c r="E2732">
        <v>3</v>
      </c>
      <c r="H2732">
        <v>164</v>
      </c>
      <c r="I2732" t="s">
        <v>114</v>
      </c>
      <c r="J2732" t="s">
        <v>115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290"/>
        <v>14:46:02.484</v>
      </c>
      <c r="T2732" t="str">
        <f t="shared" si="1291"/>
        <v>14:46:02.384</v>
      </c>
      <c r="U2732" t="str">
        <f t="shared" si="1270"/>
        <v>A9808D</v>
      </c>
      <c r="V2732">
        <v>0</v>
      </c>
      <c r="W2732">
        <v>0</v>
      </c>
      <c r="X2732">
        <v>1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0</v>
      </c>
      <c r="AI2732" t="s">
        <v>239</v>
      </c>
      <c r="AJ2732">
        <v>28.249003999999999</v>
      </c>
      <c r="AK2732" t="s">
        <v>672</v>
      </c>
      <c r="AL2732">
        <v>-82.310728999999995</v>
      </c>
      <c r="AM2732">
        <v>100</v>
      </c>
      <c r="AN2732">
        <v>2400</v>
      </c>
      <c r="AO2732" t="s">
        <v>118</v>
      </c>
      <c r="AP2732">
        <v>104</v>
      </c>
      <c r="AQ2732">
        <v>-23</v>
      </c>
      <c r="AR2732">
        <v>192</v>
      </c>
      <c r="AZ2732">
        <v>1200</v>
      </c>
      <c r="BA2732">
        <v>1</v>
      </c>
      <c r="BB2732" t="str">
        <f t="shared" si="1280"/>
        <v xml:space="preserve">N711JA  </v>
      </c>
      <c r="BC2732">
        <v>1</v>
      </c>
      <c r="BE2732">
        <v>0</v>
      </c>
      <c r="BF2732">
        <v>0</v>
      </c>
      <c r="BG2732">
        <v>0</v>
      </c>
      <c r="BH2732">
        <v>2525</v>
      </c>
      <c r="BI2732">
        <v>1</v>
      </c>
      <c r="BJ2732">
        <v>1</v>
      </c>
      <c r="BK2732">
        <v>0</v>
      </c>
      <c r="BL2732">
        <v>0</v>
      </c>
      <c r="BO2732">
        <v>0</v>
      </c>
      <c r="BP2732">
        <v>0</v>
      </c>
      <c r="BW2732" t="str">
        <f t="shared" si="1292"/>
        <v>14:46:02.490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6</v>
      </c>
      <c r="CP2732" t="s">
        <v>119</v>
      </c>
      <c r="CQ2732">
        <v>56</v>
      </c>
      <c r="CR2732">
        <v>3</v>
      </c>
      <c r="CW2732">
        <v>12205804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1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 t="shared" si="1289"/>
        <v>05/12/2020 14:45:44.667</v>
      </c>
      <c r="C2733" t="str">
        <f t="shared" si="1279"/>
        <v>FFDFD3C0</v>
      </c>
      <c r="D2733" t="s">
        <v>126</v>
      </c>
      <c r="E2733">
        <v>7</v>
      </c>
      <c r="F2733">
        <v>1007</v>
      </c>
      <c r="G2733" t="s">
        <v>127</v>
      </c>
      <c r="J2733" t="s">
        <v>128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290"/>
        <v>14:46:02.484</v>
      </c>
      <c r="T2733" t="str">
        <f t="shared" si="1291"/>
        <v>14:46:02.384</v>
      </c>
      <c r="U2733" t="str">
        <f t="shared" si="1270"/>
        <v>A9808D</v>
      </c>
      <c r="V2733">
        <v>0</v>
      </c>
      <c r="W2733">
        <v>0</v>
      </c>
      <c r="X2733">
        <v>1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0</v>
      </c>
      <c r="AI2733" t="s">
        <v>239</v>
      </c>
      <c r="AJ2733">
        <v>28.249003999999999</v>
      </c>
      <c r="AK2733" t="s">
        <v>672</v>
      </c>
      <c r="AL2733">
        <v>-82.310728999999995</v>
      </c>
      <c r="AM2733">
        <v>100</v>
      </c>
      <c r="AN2733">
        <v>2400</v>
      </c>
      <c r="AO2733" t="s">
        <v>118</v>
      </c>
      <c r="AP2733">
        <v>104</v>
      </c>
      <c r="AQ2733">
        <v>-23</v>
      </c>
      <c r="AR2733">
        <v>192</v>
      </c>
      <c r="AZ2733">
        <v>1200</v>
      </c>
      <c r="BA2733">
        <v>1</v>
      </c>
      <c r="BB2733" t="str">
        <f t="shared" si="1280"/>
        <v xml:space="preserve">N711JA  </v>
      </c>
      <c r="BC2733">
        <v>1</v>
      </c>
      <c r="BE2733">
        <v>0</v>
      </c>
      <c r="BF2733">
        <v>0</v>
      </c>
      <c r="BG2733">
        <v>0</v>
      </c>
      <c r="BH2733">
        <v>2525</v>
      </c>
      <c r="BI2733">
        <v>1</v>
      </c>
      <c r="BJ2733">
        <v>1</v>
      </c>
      <c r="BK2733">
        <v>0</v>
      </c>
      <c r="BL2733">
        <v>0</v>
      </c>
      <c r="BO2733">
        <v>0</v>
      </c>
      <c r="BP2733">
        <v>0</v>
      </c>
      <c r="BW2733" t="str">
        <f t="shared" si="1292"/>
        <v>14:46:02.490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6</v>
      </c>
      <c r="CP2733" t="s">
        <v>119</v>
      </c>
      <c r="CQ2733">
        <v>56</v>
      </c>
      <c r="CR2733">
        <v>3</v>
      </c>
      <c r="CW2733">
        <v>12205804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1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 t="shared" si="1289"/>
        <v>05/12/2020 14:45:44.667</v>
      </c>
      <c r="C2734" t="str">
        <f t="shared" si="1279"/>
        <v>FFDFD3C0</v>
      </c>
      <c r="D2734" t="s">
        <v>131</v>
      </c>
      <c r="E2734">
        <v>10</v>
      </c>
      <c r="F2734">
        <v>2010</v>
      </c>
      <c r="G2734" t="s">
        <v>132</v>
      </c>
      <c r="J2734" t="s">
        <v>133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290"/>
        <v>14:46:02.484</v>
      </c>
      <c r="T2734" t="str">
        <f t="shared" si="1291"/>
        <v>14:46:02.384</v>
      </c>
      <c r="U2734" t="str">
        <f t="shared" si="1270"/>
        <v>A9808D</v>
      </c>
      <c r="V2734">
        <v>0</v>
      </c>
      <c r="W2734">
        <v>0</v>
      </c>
      <c r="X2734">
        <v>1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0</v>
      </c>
      <c r="AI2734" t="s">
        <v>239</v>
      </c>
      <c r="AJ2734">
        <v>28.249003999999999</v>
      </c>
      <c r="AK2734" t="s">
        <v>672</v>
      </c>
      <c r="AL2734">
        <v>-82.310728999999995</v>
      </c>
      <c r="AM2734">
        <v>100</v>
      </c>
      <c r="AN2734">
        <v>2400</v>
      </c>
      <c r="AO2734" t="s">
        <v>118</v>
      </c>
      <c r="AP2734">
        <v>104</v>
      </c>
      <c r="AQ2734">
        <v>-23</v>
      </c>
      <c r="AR2734">
        <v>192</v>
      </c>
      <c r="AZ2734">
        <v>1200</v>
      </c>
      <c r="BA2734">
        <v>1</v>
      </c>
      <c r="BB2734" t="str">
        <f t="shared" si="1280"/>
        <v xml:space="preserve">N711JA  </v>
      </c>
      <c r="BC2734">
        <v>1</v>
      </c>
      <c r="BE2734">
        <v>0</v>
      </c>
      <c r="BF2734">
        <v>0</v>
      </c>
      <c r="BG2734">
        <v>0</v>
      </c>
      <c r="BH2734">
        <v>2525</v>
      </c>
      <c r="BI2734">
        <v>1</v>
      </c>
      <c r="BJ2734">
        <v>1</v>
      </c>
      <c r="BK2734">
        <v>0</v>
      </c>
      <c r="BL2734">
        <v>0</v>
      </c>
      <c r="BO2734">
        <v>0</v>
      </c>
      <c r="BP2734">
        <v>0</v>
      </c>
      <c r="BW2734" t="str">
        <f t="shared" si="1292"/>
        <v>14:46:02.490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6</v>
      </c>
      <c r="CP2734" t="s">
        <v>119</v>
      </c>
      <c r="CQ2734">
        <v>56</v>
      </c>
      <c r="CR2734">
        <v>3</v>
      </c>
      <c r="CW2734">
        <v>12205804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1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 t="shared" si="1289"/>
        <v>05/12/2020 14:45:44.667</v>
      </c>
      <c r="C2735" t="str">
        <f t="shared" si="1279"/>
        <v>FFDFD3C0</v>
      </c>
      <c r="D2735" t="s">
        <v>131</v>
      </c>
      <c r="E2735">
        <v>12</v>
      </c>
      <c r="F2735">
        <v>2012</v>
      </c>
      <c r="G2735" t="s">
        <v>137</v>
      </c>
      <c r="J2735" t="s">
        <v>133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290"/>
        <v>14:46:02.484</v>
      </c>
      <c r="T2735" t="str">
        <f t="shared" si="1291"/>
        <v>14:46:02.384</v>
      </c>
      <c r="U2735" t="str">
        <f t="shared" si="1270"/>
        <v>A9808D</v>
      </c>
      <c r="V2735">
        <v>0</v>
      </c>
      <c r="W2735">
        <v>0</v>
      </c>
      <c r="X2735">
        <v>1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0</v>
      </c>
      <c r="AI2735" t="s">
        <v>239</v>
      </c>
      <c r="AJ2735">
        <v>28.249003999999999</v>
      </c>
      <c r="AK2735" t="s">
        <v>672</v>
      </c>
      <c r="AL2735">
        <v>-82.310728999999995</v>
      </c>
      <c r="AM2735">
        <v>100</v>
      </c>
      <c r="AN2735">
        <v>2400</v>
      </c>
      <c r="AO2735" t="s">
        <v>118</v>
      </c>
      <c r="AP2735">
        <v>104</v>
      </c>
      <c r="AQ2735">
        <v>-23</v>
      </c>
      <c r="AR2735">
        <v>192</v>
      </c>
      <c r="AZ2735">
        <v>1200</v>
      </c>
      <c r="BA2735">
        <v>1</v>
      </c>
      <c r="BB2735" t="str">
        <f t="shared" si="1280"/>
        <v xml:space="preserve">N711JA  </v>
      </c>
      <c r="BC2735">
        <v>1</v>
      </c>
      <c r="BE2735">
        <v>0</v>
      </c>
      <c r="BF2735">
        <v>0</v>
      </c>
      <c r="BG2735">
        <v>0</v>
      </c>
      <c r="BH2735">
        <v>2525</v>
      </c>
      <c r="BI2735">
        <v>1</v>
      </c>
      <c r="BJ2735">
        <v>1</v>
      </c>
      <c r="BK2735">
        <v>0</v>
      </c>
      <c r="BL2735">
        <v>0</v>
      </c>
      <c r="BO2735">
        <v>0</v>
      </c>
      <c r="BP2735">
        <v>0</v>
      </c>
      <c r="BW2735" t="str">
        <f t="shared" si="1292"/>
        <v>14:46:02.490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6</v>
      </c>
      <c r="CP2735" t="s">
        <v>119</v>
      </c>
      <c r="CQ2735">
        <v>56</v>
      </c>
      <c r="CR2735">
        <v>3</v>
      </c>
      <c r="CW2735">
        <v>12205804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1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 t="shared" si="1289"/>
        <v>05/12/2020 14:45:44.667</v>
      </c>
      <c r="C2736" t="str">
        <f t="shared" si="1279"/>
        <v>FFDFD3C0</v>
      </c>
      <c r="D2736" t="s">
        <v>138</v>
      </c>
      <c r="E2736">
        <v>3</v>
      </c>
      <c r="H2736">
        <v>9</v>
      </c>
      <c r="I2736" t="s">
        <v>140</v>
      </c>
      <c r="J2736" t="s">
        <v>136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290"/>
        <v>14:46:02.484</v>
      </c>
      <c r="T2736" t="str">
        <f t="shared" si="1291"/>
        <v>14:46:02.384</v>
      </c>
      <c r="U2736" t="str">
        <f t="shared" si="1270"/>
        <v>A9808D</v>
      </c>
      <c r="V2736">
        <v>0</v>
      </c>
      <c r="W2736">
        <v>0</v>
      </c>
      <c r="X2736">
        <v>1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0</v>
      </c>
      <c r="AI2736" t="s">
        <v>239</v>
      </c>
      <c r="AJ2736">
        <v>28.249003999999999</v>
      </c>
      <c r="AK2736" t="s">
        <v>672</v>
      </c>
      <c r="AL2736">
        <v>-82.310728999999995</v>
      </c>
      <c r="AM2736">
        <v>100</v>
      </c>
      <c r="AN2736">
        <v>2400</v>
      </c>
      <c r="AO2736" t="s">
        <v>118</v>
      </c>
      <c r="AP2736">
        <v>104</v>
      </c>
      <c r="AQ2736">
        <v>-23</v>
      </c>
      <c r="AR2736">
        <v>192</v>
      </c>
      <c r="AZ2736">
        <v>1200</v>
      </c>
      <c r="BA2736">
        <v>1</v>
      </c>
      <c r="BB2736" t="str">
        <f t="shared" si="1280"/>
        <v xml:space="preserve">N711JA  </v>
      </c>
      <c r="BC2736">
        <v>1</v>
      </c>
      <c r="BE2736">
        <v>0</v>
      </c>
      <c r="BF2736">
        <v>0</v>
      </c>
      <c r="BG2736">
        <v>0</v>
      </c>
      <c r="BH2736">
        <v>2525</v>
      </c>
      <c r="BI2736">
        <v>1</v>
      </c>
      <c r="BJ2736">
        <v>1</v>
      </c>
      <c r="BK2736">
        <v>0</v>
      </c>
      <c r="BL2736">
        <v>0</v>
      </c>
      <c r="BO2736">
        <v>0</v>
      </c>
      <c r="BP2736">
        <v>0</v>
      </c>
      <c r="BW2736" t="str">
        <f t="shared" si="1292"/>
        <v>14:46:02.490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6</v>
      </c>
      <c r="CP2736" t="s">
        <v>119</v>
      </c>
      <c r="CQ2736">
        <v>56</v>
      </c>
      <c r="CR2736">
        <v>3</v>
      </c>
      <c r="CW2736">
        <v>12205804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1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 t="shared" si="1289"/>
        <v>05/12/2020 14:45:44.667</v>
      </c>
      <c r="C2737" t="str">
        <f t="shared" si="1279"/>
        <v>FFDFD3C0</v>
      </c>
      <c r="D2737" t="s">
        <v>131</v>
      </c>
      <c r="E2737">
        <v>18</v>
      </c>
      <c r="F2737">
        <v>2018</v>
      </c>
      <c r="G2737" t="s">
        <v>161</v>
      </c>
      <c r="J2737" t="s">
        <v>133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290"/>
        <v>14:46:02.484</v>
      </c>
      <c r="T2737" t="str">
        <f t="shared" si="1291"/>
        <v>14:46:02.384</v>
      </c>
      <c r="U2737" t="str">
        <f t="shared" si="1270"/>
        <v>A9808D</v>
      </c>
      <c r="V2737">
        <v>0</v>
      </c>
      <c r="W2737">
        <v>0</v>
      </c>
      <c r="X2737">
        <v>1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0</v>
      </c>
      <c r="AI2737" t="s">
        <v>239</v>
      </c>
      <c r="AJ2737">
        <v>28.249003999999999</v>
      </c>
      <c r="AK2737" t="s">
        <v>672</v>
      </c>
      <c r="AL2737">
        <v>-82.310728999999995</v>
      </c>
      <c r="AM2737">
        <v>100</v>
      </c>
      <c r="AN2737">
        <v>2400</v>
      </c>
      <c r="AO2737" t="s">
        <v>118</v>
      </c>
      <c r="AP2737">
        <v>104</v>
      </c>
      <c r="AQ2737">
        <v>-23</v>
      </c>
      <c r="AR2737">
        <v>192</v>
      </c>
      <c r="AZ2737">
        <v>1200</v>
      </c>
      <c r="BA2737">
        <v>1</v>
      </c>
      <c r="BB2737" t="str">
        <f t="shared" si="1280"/>
        <v xml:space="preserve">N711JA  </v>
      </c>
      <c r="BC2737">
        <v>1</v>
      </c>
      <c r="BE2737">
        <v>0</v>
      </c>
      <c r="BF2737">
        <v>0</v>
      </c>
      <c r="BG2737">
        <v>0</v>
      </c>
      <c r="BH2737">
        <v>2525</v>
      </c>
      <c r="BI2737">
        <v>1</v>
      </c>
      <c r="BJ2737">
        <v>1</v>
      </c>
      <c r="BK2737">
        <v>0</v>
      </c>
      <c r="BL2737">
        <v>0</v>
      </c>
      <c r="BO2737">
        <v>0</v>
      </c>
      <c r="BP2737">
        <v>0</v>
      </c>
      <c r="BW2737" t="str">
        <f t="shared" si="1292"/>
        <v>14:46:02.490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6</v>
      </c>
      <c r="CP2737" t="s">
        <v>119</v>
      </c>
      <c r="CQ2737">
        <v>56</v>
      </c>
      <c r="CR2737">
        <v>3</v>
      </c>
      <c r="CW2737">
        <v>12205804</v>
      </c>
      <c r="CY2737">
        <v>1</v>
      </c>
      <c r="CZ2737">
        <v>0</v>
      </c>
      <c r="DA2737">
        <v>1</v>
      </c>
      <c r="DB2737">
        <v>0</v>
      </c>
      <c r="DC2737">
        <v>0</v>
      </c>
      <c r="DD2737">
        <v>1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 t="shared" si="1289"/>
        <v>05/12/2020 14:45:44.667</v>
      </c>
      <c r="C2738" t="str">
        <f t="shared" si="1279"/>
        <v>FFDFD3C0</v>
      </c>
      <c r="D2738" t="s">
        <v>126</v>
      </c>
      <c r="E2738">
        <v>6</v>
      </c>
      <c r="F2738">
        <v>1006</v>
      </c>
      <c r="G2738" t="s">
        <v>114</v>
      </c>
      <c r="J2738" t="s">
        <v>128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290"/>
        <v>14:46:02.484</v>
      </c>
      <c r="T2738" t="str">
        <f t="shared" si="1291"/>
        <v>14:46:02.384</v>
      </c>
      <c r="U2738" t="str">
        <f t="shared" si="1270"/>
        <v>A9808D</v>
      </c>
      <c r="V2738">
        <v>0</v>
      </c>
      <c r="W2738">
        <v>0</v>
      </c>
      <c r="X2738">
        <v>1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0</v>
      </c>
      <c r="AI2738" t="s">
        <v>239</v>
      </c>
      <c r="AJ2738">
        <v>28.249003999999999</v>
      </c>
      <c r="AK2738" t="s">
        <v>672</v>
      </c>
      <c r="AL2738">
        <v>-82.310728999999995</v>
      </c>
      <c r="AM2738">
        <v>100</v>
      </c>
      <c r="AN2738">
        <v>2400</v>
      </c>
      <c r="AO2738" t="s">
        <v>118</v>
      </c>
      <c r="AP2738">
        <v>104</v>
      </c>
      <c r="AQ2738">
        <v>-23</v>
      </c>
      <c r="AR2738">
        <v>192</v>
      </c>
      <c r="AZ2738">
        <v>1200</v>
      </c>
      <c r="BA2738">
        <v>1</v>
      </c>
      <c r="BB2738" t="str">
        <f t="shared" si="1280"/>
        <v xml:space="preserve">N711JA  </v>
      </c>
      <c r="BC2738">
        <v>1</v>
      </c>
      <c r="BE2738">
        <v>0</v>
      </c>
      <c r="BF2738">
        <v>0</v>
      </c>
      <c r="BG2738">
        <v>0</v>
      </c>
      <c r="BH2738">
        <v>2525</v>
      </c>
      <c r="BI2738">
        <v>1</v>
      </c>
      <c r="BJ2738">
        <v>1</v>
      </c>
      <c r="BK2738">
        <v>0</v>
      </c>
      <c r="BL2738">
        <v>0</v>
      </c>
      <c r="BO2738">
        <v>0</v>
      </c>
      <c r="BP2738">
        <v>0</v>
      </c>
      <c r="BW2738" t="str">
        <f t="shared" si="1292"/>
        <v>14:46:02.490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6</v>
      </c>
      <c r="CP2738" t="s">
        <v>119</v>
      </c>
      <c r="CQ2738">
        <v>56</v>
      </c>
      <c r="CR2738">
        <v>3</v>
      </c>
      <c r="CW2738">
        <v>12205804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1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"05/12/2020 14:45:45.641"</f>
        <v>05/12/2020 14:45:45.641</v>
      </c>
      <c r="C2739" t="str">
        <f t="shared" si="1279"/>
        <v>FFDFD3C0</v>
      </c>
      <c r="D2739" t="s">
        <v>126</v>
      </c>
      <c r="E2739">
        <v>7</v>
      </c>
      <c r="F2739">
        <v>1007</v>
      </c>
      <c r="G2739" t="s">
        <v>127</v>
      </c>
      <c r="J2739" t="s">
        <v>128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"14:46:03.438"</f>
        <v>14:46:03.438</v>
      </c>
      <c r="T2739" t="str">
        <f>"14:46:02.938"</f>
        <v>14:46:02.938</v>
      </c>
      <c r="U2739" t="str">
        <f t="shared" si="1270"/>
        <v>A9808D</v>
      </c>
      <c r="V2739">
        <v>0</v>
      </c>
      <c r="W2739">
        <v>0</v>
      </c>
      <c r="X2739">
        <v>1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0</v>
      </c>
      <c r="AI2739" t="s">
        <v>673</v>
      </c>
      <c r="AJ2739">
        <v>28.248875000000002</v>
      </c>
      <c r="AK2739" t="s">
        <v>674</v>
      </c>
      <c r="AL2739">
        <v>-82.310214000000002</v>
      </c>
      <c r="AM2739">
        <v>100</v>
      </c>
      <c r="AN2739">
        <v>2400</v>
      </c>
      <c r="AO2739" t="s">
        <v>118</v>
      </c>
      <c r="AP2739">
        <v>104</v>
      </c>
      <c r="AQ2739">
        <v>-22</v>
      </c>
      <c r="AR2739">
        <v>192</v>
      </c>
      <c r="AZ2739">
        <v>1200</v>
      </c>
      <c r="BA2739">
        <v>1</v>
      </c>
      <c r="BB2739" t="str">
        <f t="shared" si="1280"/>
        <v xml:space="preserve">N711JA  </v>
      </c>
      <c r="BC2739">
        <v>1</v>
      </c>
      <c r="BE2739">
        <v>0</v>
      </c>
      <c r="BF2739">
        <v>0</v>
      </c>
      <c r="BG2739">
        <v>0</v>
      </c>
      <c r="BH2739">
        <v>2525</v>
      </c>
      <c r="BI2739">
        <v>1</v>
      </c>
      <c r="BJ2739">
        <v>1</v>
      </c>
      <c r="BK2739">
        <v>0</v>
      </c>
      <c r="BL2739">
        <v>0</v>
      </c>
      <c r="BO2739">
        <v>0</v>
      </c>
      <c r="BP2739">
        <v>0</v>
      </c>
      <c r="BW2739" t="str">
        <f>"14:46:03.444"</f>
        <v>14:46:03.444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2</v>
      </c>
      <c r="CP2739" t="s">
        <v>675</v>
      </c>
      <c r="CQ2739">
        <v>363</v>
      </c>
      <c r="CR2739">
        <v>0</v>
      </c>
      <c r="CW2739">
        <v>6401882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1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"05/12/2020 14:45:45.641"</f>
        <v>05/12/2020 14:45:45.641</v>
      </c>
      <c r="C2740" t="str">
        <f t="shared" si="1279"/>
        <v>FFDFD3C0</v>
      </c>
      <c r="D2740" t="s">
        <v>131</v>
      </c>
      <c r="E2740">
        <v>12</v>
      </c>
      <c r="F2740">
        <v>2012</v>
      </c>
      <c r="G2740" t="s">
        <v>137</v>
      </c>
      <c r="J2740" t="s">
        <v>133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"14:46:03.438"</f>
        <v>14:46:03.438</v>
      </c>
      <c r="T2740" t="str">
        <f>"14:46:02.938"</f>
        <v>14:46:02.938</v>
      </c>
      <c r="U2740" t="str">
        <f t="shared" si="1270"/>
        <v>A9808D</v>
      </c>
      <c r="V2740">
        <v>0</v>
      </c>
      <c r="W2740">
        <v>0</v>
      </c>
      <c r="X2740">
        <v>1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0</v>
      </c>
      <c r="AI2740" t="s">
        <v>673</v>
      </c>
      <c r="AJ2740">
        <v>28.248875000000002</v>
      </c>
      <c r="AK2740" t="s">
        <v>674</v>
      </c>
      <c r="AL2740">
        <v>-82.310214000000002</v>
      </c>
      <c r="AM2740">
        <v>100</v>
      </c>
      <c r="AN2740">
        <v>2400</v>
      </c>
      <c r="AO2740" t="s">
        <v>118</v>
      </c>
      <c r="AP2740">
        <v>104</v>
      </c>
      <c r="AQ2740">
        <v>-22</v>
      </c>
      <c r="AR2740">
        <v>192</v>
      </c>
      <c r="AZ2740">
        <v>1200</v>
      </c>
      <c r="BA2740">
        <v>1</v>
      </c>
      <c r="BB2740" t="str">
        <f t="shared" si="1280"/>
        <v xml:space="preserve">N711JA  </v>
      </c>
      <c r="BC2740">
        <v>1</v>
      </c>
      <c r="BE2740">
        <v>0</v>
      </c>
      <c r="BF2740">
        <v>0</v>
      </c>
      <c r="BG2740">
        <v>0</v>
      </c>
      <c r="BH2740">
        <v>2525</v>
      </c>
      <c r="BI2740">
        <v>1</v>
      </c>
      <c r="BJ2740">
        <v>1</v>
      </c>
      <c r="BK2740">
        <v>0</v>
      </c>
      <c r="BL2740">
        <v>0</v>
      </c>
      <c r="BO2740">
        <v>0</v>
      </c>
      <c r="BP2740">
        <v>0</v>
      </c>
      <c r="BW2740" t="str">
        <f>"14:46:03.444"</f>
        <v>14:46:03.444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2</v>
      </c>
      <c r="CP2740" t="s">
        <v>675</v>
      </c>
      <c r="CQ2740">
        <v>363</v>
      </c>
      <c r="CR2740">
        <v>0</v>
      </c>
      <c r="CW2740">
        <v>6401882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1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"05/12/2020 14:45:45.641"</f>
        <v>05/12/2020 14:45:45.641</v>
      </c>
      <c r="C2741" t="str">
        <f t="shared" si="1279"/>
        <v>FFDFD3C0</v>
      </c>
      <c r="D2741" t="s">
        <v>126</v>
      </c>
      <c r="E2741">
        <v>6</v>
      </c>
      <c r="F2741">
        <v>1006</v>
      </c>
      <c r="G2741" t="s">
        <v>114</v>
      </c>
      <c r="J2741" t="s">
        <v>128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"14:46:03.438"</f>
        <v>14:46:03.438</v>
      </c>
      <c r="T2741" t="str">
        <f>"14:46:01.838"</f>
        <v>14:46:01.838</v>
      </c>
      <c r="U2741" t="str">
        <f t="shared" si="1270"/>
        <v>A9808D</v>
      </c>
      <c r="V2741">
        <v>0</v>
      </c>
      <c r="W2741">
        <v>0</v>
      </c>
      <c r="X2741">
        <v>1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0</v>
      </c>
      <c r="AI2741" t="s">
        <v>673</v>
      </c>
      <c r="AJ2741">
        <v>28.248875000000002</v>
      </c>
      <c r="AK2741" t="s">
        <v>674</v>
      </c>
      <c r="AL2741">
        <v>-82.310214000000002</v>
      </c>
      <c r="AM2741">
        <v>100</v>
      </c>
      <c r="AN2741">
        <v>2400</v>
      </c>
      <c r="AO2741" t="s">
        <v>118</v>
      </c>
      <c r="AP2741">
        <v>104</v>
      </c>
      <c r="AQ2741">
        <v>-23</v>
      </c>
      <c r="AR2741">
        <v>192</v>
      </c>
      <c r="AZ2741">
        <v>1200</v>
      </c>
      <c r="BA2741">
        <v>1</v>
      </c>
      <c r="BB2741" t="str">
        <f t="shared" si="1280"/>
        <v xml:space="preserve">N711JA  </v>
      </c>
      <c r="BC2741">
        <v>1</v>
      </c>
      <c r="BE2741">
        <v>0</v>
      </c>
      <c r="BF2741">
        <v>0</v>
      </c>
      <c r="BG2741">
        <v>0</v>
      </c>
      <c r="BH2741">
        <v>2525</v>
      </c>
      <c r="BI2741">
        <v>1</v>
      </c>
      <c r="BJ2741">
        <v>1</v>
      </c>
      <c r="BK2741">
        <v>0</v>
      </c>
      <c r="BL2741">
        <v>0</v>
      </c>
      <c r="BO2741">
        <v>0</v>
      </c>
      <c r="BP2741">
        <v>0</v>
      </c>
      <c r="BW2741" t="str">
        <f>"14:46:03.444"</f>
        <v>14:46:03.444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2</v>
      </c>
      <c r="CP2741" t="s">
        <v>119</v>
      </c>
      <c r="CQ2741">
        <v>11</v>
      </c>
      <c r="CR2741">
        <v>2</v>
      </c>
      <c r="CW2741">
        <v>15955819</v>
      </c>
      <c r="CY2741">
        <v>1</v>
      </c>
      <c r="CZ2741">
        <v>0</v>
      </c>
      <c r="DA2741">
        <v>1</v>
      </c>
      <c r="DB2741">
        <v>0</v>
      </c>
      <c r="DC2741">
        <v>0</v>
      </c>
      <c r="DD2741">
        <v>1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"05/12/2020 14:45:45.641"</f>
        <v>05/12/2020 14:45:45.641</v>
      </c>
      <c r="C2742" t="str">
        <f t="shared" si="1279"/>
        <v>FFDFD3C0</v>
      </c>
      <c r="D2742" t="s">
        <v>138</v>
      </c>
      <c r="E2742">
        <v>2</v>
      </c>
      <c r="H2742">
        <v>8</v>
      </c>
      <c r="I2742" t="s">
        <v>139</v>
      </c>
      <c r="J2742" t="s">
        <v>136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"14:46:03.438"</f>
        <v>14:46:03.438</v>
      </c>
      <c r="T2742" t="str">
        <f>"14:46:02.938"</f>
        <v>14:46:02.938</v>
      </c>
      <c r="U2742" t="str">
        <f t="shared" si="1270"/>
        <v>A9808D</v>
      </c>
      <c r="V2742">
        <v>0</v>
      </c>
      <c r="W2742">
        <v>0</v>
      </c>
      <c r="X2742">
        <v>1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0</v>
      </c>
      <c r="AI2742" t="s">
        <v>673</v>
      </c>
      <c r="AJ2742">
        <v>28.248875000000002</v>
      </c>
      <c r="AK2742" t="s">
        <v>674</v>
      </c>
      <c r="AL2742">
        <v>-82.310214000000002</v>
      </c>
      <c r="AM2742">
        <v>100</v>
      </c>
      <c r="AN2742">
        <v>2400</v>
      </c>
      <c r="AO2742" t="s">
        <v>118</v>
      </c>
      <c r="AP2742">
        <v>104</v>
      </c>
      <c r="AQ2742">
        <v>-22</v>
      </c>
      <c r="AR2742">
        <v>192</v>
      </c>
      <c r="AZ2742">
        <v>1200</v>
      </c>
      <c r="BA2742">
        <v>1</v>
      </c>
      <c r="BB2742" t="str">
        <f t="shared" si="1280"/>
        <v xml:space="preserve">N711JA  </v>
      </c>
      <c r="BC2742">
        <v>1</v>
      </c>
      <c r="BE2742">
        <v>0</v>
      </c>
      <c r="BF2742">
        <v>0</v>
      </c>
      <c r="BG2742">
        <v>0</v>
      </c>
      <c r="BH2742">
        <v>2525</v>
      </c>
      <c r="BI2742">
        <v>1</v>
      </c>
      <c r="BJ2742">
        <v>1</v>
      </c>
      <c r="BK2742">
        <v>0</v>
      </c>
      <c r="BL2742">
        <v>0</v>
      </c>
      <c r="BO2742">
        <v>0</v>
      </c>
      <c r="BP2742">
        <v>0</v>
      </c>
      <c r="BW2742" t="str">
        <f>"14:46:03.444"</f>
        <v>14:46:03.444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2</v>
      </c>
      <c r="CP2742" t="s">
        <v>675</v>
      </c>
      <c r="CQ2742">
        <v>363</v>
      </c>
      <c r="CR2742">
        <v>0</v>
      </c>
      <c r="CW2742">
        <v>6401882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1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"05/12/2020 14:45:45.641"</f>
        <v>05/12/2020 14:45:45.641</v>
      </c>
      <c r="C2743" t="str">
        <f t="shared" si="1279"/>
        <v>FFDFD3C0</v>
      </c>
      <c r="D2743" t="s">
        <v>113</v>
      </c>
      <c r="E2743">
        <v>3</v>
      </c>
      <c r="H2743">
        <v>164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"14:46:03.438"</f>
        <v>14:46:03.438</v>
      </c>
      <c r="T2743" t="str">
        <f>"14:46:01.838"</f>
        <v>14:46:01.838</v>
      </c>
      <c r="U2743" t="str">
        <f t="shared" si="1270"/>
        <v>A9808D</v>
      </c>
      <c r="V2743">
        <v>0</v>
      </c>
      <c r="W2743">
        <v>0</v>
      </c>
      <c r="X2743">
        <v>1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0</v>
      </c>
      <c r="AI2743" t="s">
        <v>673</v>
      </c>
      <c r="AJ2743">
        <v>28.248875000000002</v>
      </c>
      <c r="AK2743" t="s">
        <v>674</v>
      </c>
      <c r="AL2743">
        <v>-82.310214000000002</v>
      </c>
      <c r="AM2743">
        <v>100</v>
      </c>
      <c r="AN2743">
        <v>2400</v>
      </c>
      <c r="AO2743" t="s">
        <v>118</v>
      </c>
      <c r="AP2743">
        <v>104</v>
      </c>
      <c r="AQ2743">
        <v>-23</v>
      </c>
      <c r="AR2743">
        <v>192</v>
      </c>
      <c r="AZ2743">
        <v>1200</v>
      </c>
      <c r="BA2743">
        <v>1</v>
      </c>
      <c r="BB2743" t="str">
        <f t="shared" si="1280"/>
        <v xml:space="preserve">N711JA  </v>
      </c>
      <c r="BC2743">
        <v>1</v>
      </c>
      <c r="BE2743">
        <v>0</v>
      </c>
      <c r="BF2743">
        <v>0</v>
      </c>
      <c r="BG2743">
        <v>0</v>
      </c>
      <c r="BH2743">
        <v>2525</v>
      </c>
      <c r="BI2743">
        <v>1</v>
      </c>
      <c r="BJ2743">
        <v>1</v>
      </c>
      <c r="BK2743">
        <v>0</v>
      </c>
      <c r="BL2743">
        <v>0</v>
      </c>
      <c r="BO2743">
        <v>0</v>
      </c>
      <c r="BP2743">
        <v>0</v>
      </c>
      <c r="BW2743" t="str">
        <f>"14:46:03.444"</f>
        <v>14:46:03.444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2</v>
      </c>
      <c r="CP2743" t="s">
        <v>119</v>
      </c>
      <c r="CQ2743">
        <v>11</v>
      </c>
      <c r="CR2743">
        <v>2</v>
      </c>
      <c r="CW2743">
        <v>15955819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1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 t="shared" ref="A2744:A2752" si="1293">"05/12/2020 14:45:46.499"</f>
        <v>05/12/2020 14:45:46.499</v>
      </c>
      <c r="C2744" t="str">
        <f t="shared" si="1279"/>
        <v>FFDFD3C0</v>
      </c>
      <c r="D2744" t="s">
        <v>131</v>
      </c>
      <c r="E2744">
        <v>10</v>
      </c>
      <c r="F2744">
        <v>2010</v>
      </c>
      <c r="G2744" t="s">
        <v>132</v>
      </c>
      <c r="J2744" t="s">
        <v>133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ref="S2744:S2752" si="1294">"14:46:04.336"</f>
        <v>14:46:04.336</v>
      </c>
      <c r="T2744" t="str">
        <f>"14:46:03.836"</f>
        <v>14:46:03.836</v>
      </c>
      <c r="U2744" t="str">
        <f t="shared" si="1270"/>
        <v>A9808D</v>
      </c>
      <c r="V2744">
        <v>0</v>
      </c>
      <c r="W2744">
        <v>0</v>
      </c>
      <c r="X2744">
        <v>1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0</v>
      </c>
      <c r="AI2744" t="s">
        <v>676</v>
      </c>
      <c r="AJ2744">
        <v>28.248832</v>
      </c>
      <c r="AK2744" t="s">
        <v>677</v>
      </c>
      <c r="AL2744">
        <v>-82.309678000000005</v>
      </c>
      <c r="AM2744">
        <v>100</v>
      </c>
      <c r="AN2744">
        <v>2400</v>
      </c>
      <c r="AO2744" t="s">
        <v>118</v>
      </c>
      <c r="AP2744">
        <v>104</v>
      </c>
      <c r="AQ2744">
        <v>-22</v>
      </c>
      <c r="AR2744">
        <v>192</v>
      </c>
      <c r="AZ2744">
        <v>1200</v>
      </c>
      <c r="BA2744">
        <v>1</v>
      </c>
      <c r="BB2744" t="str">
        <f t="shared" si="1280"/>
        <v xml:space="preserve">N711JA  </v>
      </c>
      <c r="BC2744">
        <v>1</v>
      </c>
      <c r="BE2744">
        <v>0</v>
      </c>
      <c r="BF2744">
        <v>0</v>
      </c>
      <c r="BG2744">
        <v>0</v>
      </c>
      <c r="BH2744">
        <v>2525</v>
      </c>
      <c r="BI2744">
        <v>1</v>
      </c>
      <c r="BJ2744">
        <v>1</v>
      </c>
      <c r="BK2744">
        <v>0</v>
      </c>
      <c r="BL2744">
        <v>0</v>
      </c>
      <c r="BO2744">
        <v>0</v>
      </c>
      <c r="BP2744">
        <v>0</v>
      </c>
      <c r="BW2744" t="str">
        <f t="shared" ref="BW2744:BW2752" si="1295">"14:46:04.342"</f>
        <v>14:46:04.342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6</v>
      </c>
      <c r="CP2744" t="s">
        <v>119</v>
      </c>
      <c r="CQ2744">
        <v>358</v>
      </c>
      <c r="CR2744">
        <v>0</v>
      </c>
      <c r="CW2744">
        <v>4883784</v>
      </c>
      <c r="CY2744">
        <v>1</v>
      </c>
      <c r="CZ2744">
        <v>0</v>
      </c>
      <c r="DA2744">
        <v>0</v>
      </c>
      <c r="DB2744">
        <v>0</v>
      </c>
      <c r="DC2744">
        <v>0</v>
      </c>
      <c r="DD2744">
        <v>1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 t="shared" si="1293"/>
        <v>05/12/2020 14:45:46.499</v>
      </c>
      <c r="C2745" t="str">
        <f t="shared" si="1279"/>
        <v>FFDFD3C0</v>
      </c>
      <c r="D2745" t="s">
        <v>131</v>
      </c>
      <c r="E2745">
        <v>12</v>
      </c>
      <c r="F2745">
        <v>2012</v>
      </c>
      <c r="G2745" t="s">
        <v>137</v>
      </c>
      <c r="J2745" t="s">
        <v>133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294"/>
        <v>14:46:04.336</v>
      </c>
      <c r="T2745" t="str">
        <f>"14:46:04.336"</f>
        <v>14:46:04.336</v>
      </c>
      <c r="U2745" t="str">
        <f t="shared" si="1270"/>
        <v>A9808D</v>
      </c>
      <c r="V2745">
        <v>0</v>
      </c>
      <c r="W2745">
        <v>0</v>
      </c>
      <c r="X2745">
        <v>1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0</v>
      </c>
      <c r="AI2745" t="s">
        <v>676</v>
      </c>
      <c r="AJ2745">
        <v>28.248832</v>
      </c>
      <c r="AK2745" t="s">
        <v>677</v>
      </c>
      <c r="AL2745">
        <v>-82.309678000000005</v>
      </c>
      <c r="AM2745">
        <v>100</v>
      </c>
      <c r="AN2745">
        <v>2400</v>
      </c>
      <c r="AO2745" t="s">
        <v>118</v>
      </c>
      <c r="AP2745">
        <v>104</v>
      </c>
      <c r="AQ2745">
        <v>-21</v>
      </c>
      <c r="AR2745">
        <v>192</v>
      </c>
      <c r="AZ2745">
        <v>1200</v>
      </c>
      <c r="BA2745">
        <v>1</v>
      </c>
      <c r="BB2745" t="str">
        <f t="shared" si="1280"/>
        <v xml:space="preserve">N711JA  </v>
      </c>
      <c r="BC2745">
        <v>1</v>
      </c>
      <c r="BE2745">
        <v>0</v>
      </c>
      <c r="BF2745">
        <v>0</v>
      </c>
      <c r="BG2745">
        <v>0</v>
      </c>
      <c r="BH2745">
        <v>2525</v>
      </c>
      <c r="BI2745">
        <v>1</v>
      </c>
      <c r="BJ2745">
        <v>1</v>
      </c>
      <c r="BK2745">
        <v>0</v>
      </c>
      <c r="BL2745">
        <v>0</v>
      </c>
      <c r="BO2745">
        <v>0</v>
      </c>
      <c r="BP2745">
        <v>0</v>
      </c>
      <c r="BW2745" t="str">
        <f t="shared" si="1295"/>
        <v>14:46:04.342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2</v>
      </c>
      <c r="CP2745" t="s">
        <v>119</v>
      </c>
      <c r="CQ2745">
        <v>11</v>
      </c>
      <c r="CR2745">
        <v>2</v>
      </c>
      <c r="CW2745">
        <v>15957145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1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 t="shared" si="1293"/>
        <v>05/12/2020 14:45:46.499</v>
      </c>
      <c r="C2746" t="str">
        <f t="shared" si="1279"/>
        <v>FFDFD3C0</v>
      </c>
      <c r="D2746" t="s">
        <v>134</v>
      </c>
      <c r="E2746">
        <v>12</v>
      </c>
      <c r="H2746">
        <v>64</v>
      </c>
      <c r="I2746" t="s">
        <v>135</v>
      </c>
      <c r="J2746" t="s">
        <v>136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294"/>
        <v>14:46:04.336</v>
      </c>
      <c r="T2746" t="str">
        <f>"14:46:03.836"</f>
        <v>14:46:03.836</v>
      </c>
      <c r="U2746" t="str">
        <f t="shared" si="1270"/>
        <v>A9808D</v>
      </c>
      <c r="V2746">
        <v>0</v>
      </c>
      <c r="W2746">
        <v>0</v>
      </c>
      <c r="X2746">
        <v>1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0</v>
      </c>
      <c r="AI2746" t="s">
        <v>676</v>
      </c>
      <c r="AJ2746">
        <v>28.248832</v>
      </c>
      <c r="AK2746" t="s">
        <v>677</v>
      </c>
      <c r="AL2746">
        <v>-82.309678000000005</v>
      </c>
      <c r="AM2746">
        <v>100</v>
      </c>
      <c r="AN2746">
        <v>2400</v>
      </c>
      <c r="AO2746" t="s">
        <v>118</v>
      </c>
      <c r="AP2746">
        <v>104</v>
      </c>
      <c r="AQ2746">
        <v>-22</v>
      </c>
      <c r="AR2746">
        <v>192</v>
      </c>
      <c r="AZ2746">
        <v>1200</v>
      </c>
      <c r="BA2746">
        <v>1</v>
      </c>
      <c r="BB2746" t="str">
        <f t="shared" si="1280"/>
        <v xml:space="preserve">N711JA  </v>
      </c>
      <c r="BC2746">
        <v>1</v>
      </c>
      <c r="BE2746">
        <v>0</v>
      </c>
      <c r="BF2746">
        <v>0</v>
      </c>
      <c r="BG2746">
        <v>0</v>
      </c>
      <c r="BH2746">
        <v>2525</v>
      </c>
      <c r="BI2746">
        <v>1</v>
      </c>
      <c r="BJ2746">
        <v>1</v>
      </c>
      <c r="BK2746">
        <v>0</v>
      </c>
      <c r="BL2746">
        <v>0</v>
      </c>
      <c r="BO2746">
        <v>0</v>
      </c>
      <c r="BP2746">
        <v>0</v>
      </c>
      <c r="BW2746" t="str">
        <f t="shared" si="1295"/>
        <v>14:46:04.342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6</v>
      </c>
      <c r="CP2746" t="s">
        <v>119</v>
      </c>
      <c r="CQ2746">
        <v>358</v>
      </c>
      <c r="CR2746">
        <v>0</v>
      </c>
      <c r="CW2746">
        <v>4883784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1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 t="shared" si="1293"/>
        <v>05/12/2020 14:45:46.499</v>
      </c>
      <c r="C2747" t="str">
        <f t="shared" si="1279"/>
        <v>FFDFD3C0</v>
      </c>
      <c r="D2747" t="s">
        <v>131</v>
      </c>
      <c r="E2747">
        <v>18</v>
      </c>
      <c r="F2747">
        <v>2018</v>
      </c>
      <c r="G2747" t="s">
        <v>161</v>
      </c>
      <c r="J2747" t="s">
        <v>133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si="1294"/>
        <v>14:46:04.336</v>
      </c>
      <c r="T2747" t="str">
        <f>"14:46:04.336"</f>
        <v>14:46:04.336</v>
      </c>
      <c r="U2747" t="str">
        <f t="shared" si="1270"/>
        <v>A9808D</v>
      </c>
      <c r="V2747">
        <v>0</v>
      </c>
      <c r="W2747">
        <v>0</v>
      </c>
      <c r="X2747">
        <v>1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0</v>
      </c>
      <c r="AI2747" t="s">
        <v>676</v>
      </c>
      <c r="AJ2747">
        <v>28.248832</v>
      </c>
      <c r="AK2747" t="s">
        <v>677</v>
      </c>
      <c r="AL2747">
        <v>-82.309678000000005</v>
      </c>
      <c r="AM2747">
        <v>100</v>
      </c>
      <c r="AN2747">
        <v>2400</v>
      </c>
      <c r="AO2747" t="s">
        <v>118</v>
      </c>
      <c r="AP2747">
        <v>104</v>
      </c>
      <c r="AQ2747">
        <v>-21</v>
      </c>
      <c r="AR2747">
        <v>192</v>
      </c>
      <c r="AZ2747">
        <v>1200</v>
      </c>
      <c r="BA2747">
        <v>1</v>
      </c>
      <c r="BB2747" t="str">
        <f t="shared" si="1280"/>
        <v xml:space="preserve">N711JA  </v>
      </c>
      <c r="BC2747">
        <v>1</v>
      </c>
      <c r="BE2747">
        <v>0</v>
      </c>
      <c r="BF2747">
        <v>0</v>
      </c>
      <c r="BG2747">
        <v>0</v>
      </c>
      <c r="BH2747">
        <v>2525</v>
      </c>
      <c r="BI2747">
        <v>1</v>
      </c>
      <c r="BJ2747">
        <v>1</v>
      </c>
      <c r="BK2747">
        <v>0</v>
      </c>
      <c r="BL2747">
        <v>0</v>
      </c>
      <c r="BO2747">
        <v>0</v>
      </c>
      <c r="BP2747">
        <v>0</v>
      </c>
      <c r="BW2747" t="str">
        <f t="shared" si="1295"/>
        <v>14:46:04.342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5</v>
      </c>
      <c r="CP2747" t="s">
        <v>119</v>
      </c>
      <c r="CQ2747">
        <v>62</v>
      </c>
      <c r="CR2747">
        <v>1</v>
      </c>
      <c r="CW2747">
        <v>12830990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1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 t="shared" si="1293"/>
        <v>05/12/2020 14:45:46.499</v>
      </c>
      <c r="C2748" t="str">
        <f t="shared" si="1279"/>
        <v>FFDFD3C0</v>
      </c>
      <c r="D2748" t="s">
        <v>138</v>
      </c>
      <c r="E2748">
        <v>3</v>
      </c>
      <c r="H2748">
        <v>9</v>
      </c>
      <c r="I2748" t="s">
        <v>140</v>
      </c>
      <c r="J2748" t="s">
        <v>136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294"/>
        <v>14:46:04.336</v>
      </c>
      <c r="T2748" t="str">
        <f>"14:46:03.836"</f>
        <v>14:46:03.836</v>
      </c>
      <c r="U2748" t="str">
        <f t="shared" si="1270"/>
        <v>A9808D</v>
      </c>
      <c r="V2748">
        <v>0</v>
      </c>
      <c r="W2748">
        <v>0</v>
      </c>
      <c r="X2748">
        <v>1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0</v>
      </c>
      <c r="AI2748" t="s">
        <v>676</v>
      </c>
      <c r="AJ2748">
        <v>28.248832</v>
      </c>
      <c r="AK2748" t="s">
        <v>677</v>
      </c>
      <c r="AL2748">
        <v>-82.309678000000005</v>
      </c>
      <c r="AM2748">
        <v>100</v>
      </c>
      <c r="AN2748">
        <v>2400</v>
      </c>
      <c r="AO2748" t="s">
        <v>118</v>
      </c>
      <c r="AP2748">
        <v>104</v>
      </c>
      <c r="AQ2748">
        <v>-22</v>
      </c>
      <c r="AR2748">
        <v>192</v>
      </c>
      <c r="AZ2748">
        <v>1200</v>
      </c>
      <c r="BA2748">
        <v>1</v>
      </c>
      <c r="BB2748" t="str">
        <f t="shared" si="1280"/>
        <v xml:space="preserve">N711JA  </v>
      </c>
      <c r="BC2748">
        <v>1</v>
      </c>
      <c r="BE2748">
        <v>0</v>
      </c>
      <c r="BF2748">
        <v>0</v>
      </c>
      <c r="BG2748">
        <v>0</v>
      </c>
      <c r="BH2748">
        <v>2525</v>
      </c>
      <c r="BI2748">
        <v>1</v>
      </c>
      <c r="BJ2748">
        <v>1</v>
      </c>
      <c r="BK2748">
        <v>0</v>
      </c>
      <c r="BL2748">
        <v>0</v>
      </c>
      <c r="BO2748">
        <v>0</v>
      </c>
      <c r="BP2748">
        <v>0</v>
      </c>
      <c r="BW2748" t="str">
        <f t="shared" si="1295"/>
        <v>14:46:04.342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6</v>
      </c>
      <c r="CP2748" t="s">
        <v>119</v>
      </c>
      <c r="CQ2748">
        <v>358</v>
      </c>
      <c r="CR2748">
        <v>0</v>
      </c>
      <c r="CW2748">
        <v>4883784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1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 t="shared" si="1293"/>
        <v>05/12/2020 14:45:46.499</v>
      </c>
      <c r="C2749" t="str">
        <f t="shared" si="1279"/>
        <v>FFDFD3C0</v>
      </c>
      <c r="D2749" t="s">
        <v>126</v>
      </c>
      <c r="E2749">
        <v>6</v>
      </c>
      <c r="F2749">
        <v>1006</v>
      </c>
      <c r="G2749" t="s">
        <v>114</v>
      </c>
      <c r="J2749" t="s">
        <v>128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294"/>
        <v>14:46:04.336</v>
      </c>
      <c r="T2749" t="str">
        <f>"14:46:04.336"</f>
        <v>14:46:04.336</v>
      </c>
      <c r="U2749" t="str">
        <f t="shared" si="1270"/>
        <v>A9808D</v>
      </c>
      <c r="V2749">
        <v>0</v>
      </c>
      <c r="W2749">
        <v>0</v>
      </c>
      <c r="X2749">
        <v>1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0</v>
      </c>
      <c r="AI2749" t="s">
        <v>676</v>
      </c>
      <c r="AJ2749">
        <v>28.248832</v>
      </c>
      <c r="AK2749" t="s">
        <v>677</v>
      </c>
      <c r="AL2749">
        <v>-82.309678000000005</v>
      </c>
      <c r="AM2749">
        <v>100</v>
      </c>
      <c r="AN2749">
        <v>2400</v>
      </c>
      <c r="AO2749" t="s">
        <v>118</v>
      </c>
      <c r="AP2749">
        <v>104</v>
      </c>
      <c r="AQ2749">
        <v>-21</v>
      </c>
      <c r="AR2749">
        <v>192</v>
      </c>
      <c r="AZ2749">
        <v>1200</v>
      </c>
      <c r="BA2749">
        <v>1</v>
      </c>
      <c r="BB2749" t="str">
        <f t="shared" si="1280"/>
        <v xml:space="preserve">N711JA  </v>
      </c>
      <c r="BC2749">
        <v>1</v>
      </c>
      <c r="BE2749">
        <v>0</v>
      </c>
      <c r="BF2749">
        <v>0</v>
      </c>
      <c r="BG2749">
        <v>0</v>
      </c>
      <c r="BH2749">
        <v>2525</v>
      </c>
      <c r="BI2749">
        <v>1</v>
      </c>
      <c r="BJ2749">
        <v>1</v>
      </c>
      <c r="BK2749">
        <v>0</v>
      </c>
      <c r="BL2749">
        <v>0</v>
      </c>
      <c r="BO2749">
        <v>0</v>
      </c>
      <c r="BP2749">
        <v>0</v>
      </c>
      <c r="BW2749" t="str">
        <f t="shared" si="1295"/>
        <v>14:46:04.342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5</v>
      </c>
      <c r="CP2749" t="s">
        <v>119</v>
      </c>
      <c r="CQ2749">
        <v>62</v>
      </c>
      <c r="CR2749">
        <v>1</v>
      </c>
      <c r="CW2749">
        <v>12830990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1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 t="shared" si="1293"/>
        <v>05/12/2020 14:45:46.499</v>
      </c>
      <c r="C2750" t="str">
        <f t="shared" si="1279"/>
        <v>FFDFD3C0</v>
      </c>
      <c r="D2750" t="s">
        <v>113</v>
      </c>
      <c r="E2750">
        <v>3</v>
      </c>
      <c r="H2750">
        <v>164</v>
      </c>
      <c r="I2750" t="s">
        <v>114</v>
      </c>
      <c r="J2750" t="s">
        <v>115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294"/>
        <v>14:46:04.336</v>
      </c>
      <c r="T2750" t="str">
        <f>"14:46:04.336"</f>
        <v>14:46:04.336</v>
      </c>
      <c r="U2750" t="str">
        <f t="shared" si="1270"/>
        <v>A9808D</v>
      </c>
      <c r="V2750">
        <v>0</v>
      </c>
      <c r="W2750">
        <v>0</v>
      </c>
      <c r="X2750">
        <v>1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0</v>
      </c>
      <c r="AI2750" t="s">
        <v>676</v>
      </c>
      <c r="AJ2750">
        <v>28.248832</v>
      </c>
      <c r="AK2750" t="s">
        <v>677</v>
      </c>
      <c r="AL2750">
        <v>-82.309678000000005</v>
      </c>
      <c r="AM2750">
        <v>100</v>
      </c>
      <c r="AN2750">
        <v>2400</v>
      </c>
      <c r="AO2750" t="s">
        <v>118</v>
      </c>
      <c r="AP2750">
        <v>104</v>
      </c>
      <c r="AQ2750">
        <v>-21</v>
      </c>
      <c r="AR2750">
        <v>192</v>
      </c>
      <c r="AZ2750">
        <v>1200</v>
      </c>
      <c r="BA2750">
        <v>1</v>
      </c>
      <c r="BB2750" t="str">
        <f t="shared" si="1280"/>
        <v xml:space="preserve">N711JA  </v>
      </c>
      <c r="BC2750">
        <v>1</v>
      </c>
      <c r="BE2750">
        <v>0</v>
      </c>
      <c r="BF2750">
        <v>0</v>
      </c>
      <c r="BG2750">
        <v>0</v>
      </c>
      <c r="BH2750">
        <v>2525</v>
      </c>
      <c r="BI2750">
        <v>1</v>
      </c>
      <c r="BJ2750">
        <v>1</v>
      </c>
      <c r="BK2750">
        <v>0</v>
      </c>
      <c r="BL2750">
        <v>0</v>
      </c>
      <c r="BO2750">
        <v>0</v>
      </c>
      <c r="BP2750">
        <v>0</v>
      </c>
      <c r="BW2750" t="str">
        <f t="shared" si="1295"/>
        <v>14:46:04.342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5</v>
      </c>
      <c r="CP2750" t="s">
        <v>119</v>
      </c>
      <c r="CQ2750">
        <v>62</v>
      </c>
      <c r="CR2750">
        <v>1</v>
      </c>
      <c r="CW2750">
        <v>12830990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1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 t="shared" si="1293"/>
        <v>05/12/2020 14:45:46.499</v>
      </c>
      <c r="C2751" t="str">
        <f t="shared" si="1279"/>
        <v>FFDFD3C0</v>
      </c>
      <c r="D2751" t="s">
        <v>138</v>
      </c>
      <c r="E2751">
        <v>2</v>
      </c>
      <c r="H2751">
        <v>8</v>
      </c>
      <c r="I2751" t="s">
        <v>139</v>
      </c>
      <c r="J2751" t="s">
        <v>136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294"/>
        <v>14:46:04.336</v>
      </c>
      <c r="T2751" t="str">
        <f>"14:46:04.336"</f>
        <v>14:46:04.336</v>
      </c>
      <c r="U2751" t="str">
        <f t="shared" si="1270"/>
        <v>A9808D</v>
      </c>
      <c r="V2751">
        <v>0</v>
      </c>
      <c r="W2751">
        <v>0</v>
      </c>
      <c r="X2751">
        <v>1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0</v>
      </c>
      <c r="AI2751" t="s">
        <v>676</v>
      </c>
      <c r="AJ2751">
        <v>28.248832</v>
      </c>
      <c r="AK2751" t="s">
        <v>677</v>
      </c>
      <c r="AL2751">
        <v>-82.309678000000005</v>
      </c>
      <c r="AM2751">
        <v>100</v>
      </c>
      <c r="AN2751">
        <v>2400</v>
      </c>
      <c r="AO2751" t="s">
        <v>118</v>
      </c>
      <c r="AP2751">
        <v>104</v>
      </c>
      <c r="AQ2751">
        <v>-21</v>
      </c>
      <c r="AR2751">
        <v>192</v>
      </c>
      <c r="AZ2751">
        <v>1200</v>
      </c>
      <c r="BA2751">
        <v>1</v>
      </c>
      <c r="BB2751" t="str">
        <f t="shared" si="1280"/>
        <v xml:space="preserve">N711JA  </v>
      </c>
      <c r="BC2751">
        <v>1</v>
      </c>
      <c r="BE2751">
        <v>0</v>
      </c>
      <c r="BF2751">
        <v>0</v>
      </c>
      <c r="BG2751">
        <v>0</v>
      </c>
      <c r="BH2751">
        <v>2525</v>
      </c>
      <c r="BI2751">
        <v>1</v>
      </c>
      <c r="BJ2751">
        <v>1</v>
      </c>
      <c r="BK2751">
        <v>0</v>
      </c>
      <c r="BL2751">
        <v>0</v>
      </c>
      <c r="BO2751">
        <v>0</v>
      </c>
      <c r="BP2751">
        <v>0</v>
      </c>
      <c r="BW2751" t="str">
        <f t="shared" si="1295"/>
        <v>14:46:04.342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2</v>
      </c>
      <c r="CP2751" t="s">
        <v>119</v>
      </c>
      <c r="CQ2751">
        <v>11</v>
      </c>
      <c r="CR2751">
        <v>2</v>
      </c>
      <c r="CW2751">
        <v>15957145</v>
      </c>
      <c r="CY2751">
        <v>1</v>
      </c>
      <c r="CZ2751">
        <v>0</v>
      </c>
      <c r="DA2751">
        <v>1</v>
      </c>
      <c r="DB2751">
        <v>0</v>
      </c>
      <c r="DC2751">
        <v>0</v>
      </c>
      <c r="DD2751">
        <v>1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 t="shared" si="1293"/>
        <v>05/12/2020 14:45:46.499</v>
      </c>
      <c r="C2752" t="str">
        <f t="shared" si="1279"/>
        <v>FFDFD3C0</v>
      </c>
      <c r="D2752" t="s">
        <v>126</v>
      </c>
      <c r="E2752">
        <v>7</v>
      </c>
      <c r="F2752">
        <v>1007</v>
      </c>
      <c r="G2752" t="s">
        <v>127</v>
      </c>
      <c r="J2752" t="s">
        <v>128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294"/>
        <v>14:46:04.336</v>
      </c>
      <c r="T2752" t="str">
        <f>"14:46:04.336"</f>
        <v>14:46:04.336</v>
      </c>
      <c r="U2752" t="str">
        <f t="shared" si="1270"/>
        <v>A9808D</v>
      </c>
      <c r="V2752">
        <v>0</v>
      </c>
      <c r="W2752">
        <v>0</v>
      </c>
      <c r="X2752">
        <v>1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0</v>
      </c>
      <c r="AI2752" t="s">
        <v>676</v>
      </c>
      <c r="AJ2752">
        <v>28.248832</v>
      </c>
      <c r="AK2752" t="s">
        <v>677</v>
      </c>
      <c r="AL2752">
        <v>-82.309678000000005</v>
      </c>
      <c r="AM2752">
        <v>100</v>
      </c>
      <c r="AN2752">
        <v>2400</v>
      </c>
      <c r="AO2752" t="s">
        <v>118</v>
      </c>
      <c r="AP2752">
        <v>104</v>
      </c>
      <c r="AQ2752">
        <v>-21</v>
      </c>
      <c r="AR2752">
        <v>192</v>
      </c>
      <c r="AZ2752">
        <v>1200</v>
      </c>
      <c r="BA2752">
        <v>1</v>
      </c>
      <c r="BB2752" t="str">
        <f t="shared" si="1280"/>
        <v xml:space="preserve">N711JA  </v>
      </c>
      <c r="BC2752">
        <v>1</v>
      </c>
      <c r="BE2752">
        <v>0</v>
      </c>
      <c r="BF2752">
        <v>0</v>
      </c>
      <c r="BG2752">
        <v>0</v>
      </c>
      <c r="BH2752">
        <v>2525</v>
      </c>
      <c r="BI2752">
        <v>1</v>
      </c>
      <c r="BJ2752">
        <v>1</v>
      </c>
      <c r="BK2752">
        <v>0</v>
      </c>
      <c r="BL2752">
        <v>0</v>
      </c>
      <c r="BO2752">
        <v>0</v>
      </c>
      <c r="BP2752">
        <v>0</v>
      </c>
      <c r="BW2752" t="str">
        <f t="shared" si="1295"/>
        <v>14:46:04.342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5</v>
      </c>
      <c r="CP2752" t="s">
        <v>119</v>
      </c>
      <c r="CQ2752">
        <v>62</v>
      </c>
      <c r="CR2752">
        <v>1</v>
      </c>
      <c r="CW2752">
        <v>12830990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1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 t="shared" ref="A2753:A2761" si="1296">"05/12/2020 14:45:47.569"</f>
        <v>05/12/2020 14:45:47.569</v>
      </c>
      <c r="C2753" t="str">
        <f t="shared" si="1279"/>
        <v>FFDFD3C0</v>
      </c>
      <c r="D2753" t="s">
        <v>134</v>
      </c>
      <c r="E2753">
        <v>12</v>
      </c>
      <c r="H2753">
        <v>64</v>
      </c>
      <c r="I2753" t="s">
        <v>135</v>
      </c>
      <c r="J2753" t="s">
        <v>136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ref="S2753:S2761" si="1297">"14:46:05.414"</f>
        <v>14:46:05.414</v>
      </c>
      <c r="T2753" t="str">
        <f t="shared" ref="T2753:T2761" si="1298">"14:46:05.314"</f>
        <v>14:46:05.314</v>
      </c>
      <c r="U2753" t="str">
        <f t="shared" si="1270"/>
        <v>A9808D</v>
      </c>
      <c r="V2753">
        <v>0</v>
      </c>
      <c r="W2753">
        <v>0</v>
      </c>
      <c r="X2753">
        <v>1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0</v>
      </c>
      <c r="AI2753" t="s">
        <v>678</v>
      </c>
      <c r="AJ2753">
        <v>28.248681999999999</v>
      </c>
      <c r="AK2753" t="s">
        <v>679</v>
      </c>
      <c r="AL2753">
        <v>-82.309077000000002</v>
      </c>
      <c r="AM2753">
        <v>100</v>
      </c>
      <c r="AN2753">
        <v>2400</v>
      </c>
      <c r="AO2753" t="s">
        <v>118</v>
      </c>
      <c r="AP2753">
        <v>105</v>
      </c>
      <c r="AQ2753">
        <v>-21</v>
      </c>
      <c r="AR2753">
        <v>192</v>
      </c>
      <c r="AZ2753">
        <v>1200</v>
      </c>
      <c r="BA2753">
        <v>1</v>
      </c>
      <c r="BB2753" t="str">
        <f t="shared" si="1280"/>
        <v xml:space="preserve">N711JA  </v>
      </c>
      <c r="BC2753">
        <v>1</v>
      </c>
      <c r="BE2753">
        <v>0</v>
      </c>
      <c r="BF2753">
        <v>0</v>
      </c>
      <c r="BG2753">
        <v>0</v>
      </c>
      <c r="BH2753">
        <v>2525</v>
      </c>
      <c r="BI2753">
        <v>1</v>
      </c>
      <c r="BJ2753">
        <v>1</v>
      </c>
      <c r="BK2753">
        <v>0</v>
      </c>
      <c r="BL2753">
        <v>0</v>
      </c>
      <c r="BO2753">
        <v>0</v>
      </c>
      <c r="BP2753">
        <v>0</v>
      </c>
      <c r="BW2753" t="str">
        <f t="shared" ref="BW2753:BW2761" si="1299">"14:46:05.418"</f>
        <v>14:46:05.418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6</v>
      </c>
      <c r="CP2753" t="s">
        <v>119</v>
      </c>
      <c r="CQ2753">
        <v>358</v>
      </c>
      <c r="CR2753">
        <v>0</v>
      </c>
      <c r="CW2753">
        <v>4885037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1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 t="shared" si="1296"/>
        <v>05/12/2020 14:45:47.569</v>
      </c>
      <c r="C2754" t="str">
        <f t="shared" si="1279"/>
        <v>FFDFD3C0</v>
      </c>
      <c r="D2754" t="s">
        <v>126</v>
      </c>
      <c r="E2754">
        <v>6</v>
      </c>
      <c r="F2754">
        <v>1006</v>
      </c>
      <c r="G2754" t="s">
        <v>114</v>
      </c>
      <c r="J2754" t="s">
        <v>128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297"/>
        <v>14:46:05.414</v>
      </c>
      <c r="T2754" t="str">
        <f t="shared" si="1298"/>
        <v>14:46:05.314</v>
      </c>
      <c r="U2754" t="str">
        <f t="shared" ref="U2754:U2817" si="1300">"A9808D"</f>
        <v>A9808D</v>
      </c>
      <c r="V2754">
        <v>0</v>
      </c>
      <c r="W2754">
        <v>0</v>
      </c>
      <c r="X2754">
        <v>1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0</v>
      </c>
      <c r="AI2754" t="s">
        <v>678</v>
      </c>
      <c r="AJ2754">
        <v>28.248681999999999</v>
      </c>
      <c r="AK2754" t="s">
        <v>679</v>
      </c>
      <c r="AL2754">
        <v>-82.309077000000002</v>
      </c>
      <c r="AM2754">
        <v>100</v>
      </c>
      <c r="AN2754">
        <v>2400</v>
      </c>
      <c r="AO2754" t="s">
        <v>118</v>
      </c>
      <c r="AP2754">
        <v>105</v>
      </c>
      <c r="AQ2754">
        <v>-21</v>
      </c>
      <c r="AR2754">
        <v>192</v>
      </c>
      <c r="AZ2754">
        <v>1200</v>
      </c>
      <c r="BA2754">
        <v>1</v>
      </c>
      <c r="BB2754" t="str">
        <f t="shared" si="1280"/>
        <v xml:space="preserve">N711JA  </v>
      </c>
      <c r="BC2754">
        <v>1</v>
      </c>
      <c r="BE2754">
        <v>0</v>
      </c>
      <c r="BF2754">
        <v>0</v>
      </c>
      <c r="BG2754">
        <v>0</v>
      </c>
      <c r="BH2754">
        <v>2525</v>
      </c>
      <c r="BI2754">
        <v>1</v>
      </c>
      <c r="BJ2754">
        <v>1</v>
      </c>
      <c r="BK2754">
        <v>0</v>
      </c>
      <c r="BL2754">
        <v>0</v>
      </c>
      <c r="BO2754">
        <v>0</v>
      </c>
      <c r="BP2754">
        <v>0</v>
      </c>
      <c r="BW2754" t="str">
        <f t="shared" si="1299"/>
        <v>14:46:05.418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6</v>
      </c>
      <c r="CP2754" t="s">
        <v>119</v>
      </c>
      <c r="CQ2754">
        <v>358</v>
      </c>
      <c r="CR2754">
        <v>0</v>
      </c>
      <c r="CW2754">
        <v>4885037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1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 t="shared" si="1296"/>
        <v>05/12/2020 14:45:47.569</v>
      </c>
      <c r="C2755" t="str">
        <f t="shared" si="1279"/>
        <v>FFDFD3C0</v>
      </c>
      <c r="D2755" t="s">
        <v>138</v>
      </c>
      <c r="E2755">
        <v>3</v>
      </c>
      <c r="H2755">
        <v>9</v>
      </c>
      <c r="I2755" t="s">
        <v>140</v>
      </c>
      <c r="J2755" t="s">
        <v>136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297"/>
        <v>14:46:05.414</v>
      </c>
      <c r="T2755" t="str">
        <f t="shared" si="1298"/>
        <v>14:46:05.314</v>
      </c>
      <c r="U2755" t="str">
        <f t="shared" si="1300"/>
        <v>A9808D</v>
      </c>
      <c r="V2755">
        <v>0</v>
      </c>
      <c r="W2755">
        <v>0</v>
      </c>
      <c r="X2755">
        <v>1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0</v>
      </c>
      <c r="AI2755" t="s">
        <v>678</v>
      </c>
      <c r="AJ2755">
        <v>28.248681999999999</v>
      </c>
      <c r="AK2755" t="s">
        <v>679</v>
      </c>
      <c r="AL2755">
        <v>-82.309077000000002</v>
      </c>
      <c r="AM2755">
        <v>100</v>
      </c>
      <c r="AN2755">
        <v>2400</v>
      </c>
      <c r="AO2755" t="s">
        <v>118</v>
      </c>
      <c r="AP2755">
        <v>105</v>
      </c>
      <c r="AQ2755">
        <v>-21</v>
      </c>
      <c r="AR2755">
        <v>192</v>
      </c>
      <c r="AZ2755">
        <v>1200</v>
      </c>
      <c r="BA2755">
        <v>1</v>
      </c>
      <c r="BB2755" t="str">
        <f t="shared" si="1280"/>
        <v xml:space="preserve">N711JA  </v>
      </c>
      <c r="BC2755">
        <v>1</v>
      </c>
      <c r="BE2755">
        <v>0</v>
      </c>
      <c r="BF2755">
        <v>0</v>
      </c>
      <c r="BG2755">
        <v>0</v>
      </c>
      <c r="BH2755">
        <v>2525</v>
      </c>
      <c r="BI2755">
        <v>1</v>
      </c>
      <c r="BJ2755">
        <v>1</v>
      </c>
      <c r="BK2755">
        <v>0</v>
      </c>
      <c r="BL2755">
        <v>0</v>
      </c>
      <c r="BO2755">
        <v>0</v>
      </c>
      <c r="BP2755">
        <v>0</v>
      </c>
      <c r="BW2755" t="str">
        <f t="shared" si="1299"/>
        <v>14:46:05.418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6</v>
      </c>
      <c r="CP2755" t="s">
        <v>119</v>
      </c>
      <c r="CQ2755">
        <v>358</v>
      </c>
      <c r="CR2755">
        <v>0</v>
      </c>
      <c r="CW2755">
        <v>4885037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1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 t="shared" si="1296"/>
        <v>05/12/2020 14:45:47.569</v>
      </c>
      <c r="C2756" t="str">
        <f t="shared" si="1279"/>
        <v>FFDFD3C0</v>
      </c>
      <c r="D2756" t="s">
        <v>113</v>
      </c>
      <c r="E2756">
        <v>3</v>
      </c>
      <c r="H2756">
        <v>164</v>
      </c>
      <c r="I2756" t="s">
        <v>114</v>
      </c>
      <c r="J2756" t="s">
        <v>115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297"/>
        <v>14:46:05.414</v>
      </c>
      <c r="T2756" t="str">
        <f t="shared" si="1298"/>
        <v>14:46:05.314</v>
      </c>
      <c r="U2756" t="str">
        <f t="shared" si="1300"/>
        <v>A9808D</v>
      </c>
      <c r="V2756">
        <v>0</v>
      </c>
      <c r="W2756">
        <v>0</v>
      </c>
      <c r="X2756">
        <v>1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0</v>
      </c>
      <c r="AI2756" t="s">
        <v>678</v>
      </c>
      <c r="AJ2756">
        <v>28.248681999999999</v>
      </c>
      <c r="AK2756" t="s">
        <v>679</v>
      </c>
      <c r="AL2756">
        <v>-82.309077000000002</v>
      </c>
      <c r="AM2756">
        <v>100</v>
      </c>
      <c r="AN2756">
        <v>2400</v>
      </c>
      <c r="AO2756" t="s">
        <v>118</v>
      </c>
      <c r="AP2756">
        <v>105</v>
      </c>
      <c r="AQ2756">
        <v>-21</v>
      </c>
      <c r="AR2756">
        <v>192</v>
      </c>
      <c r="AZ2756">
        <v>1200</v>
      </c>
      <c r="BA2756">
        <v>1</v>
      </c>
      <c r="BB2756" t="str">
        <f t="shared" si="1280"/>
        <v xml:space="preserve">N711JA  </v>
      </c>
      <c r="BC2756">
        <v>1</v>
      </c>
      <c r="BE2756">
        <v>0</v>
      </c>
      <c r="BF2756">
        <v>0</v>
      </c>
      <c r="BG2756">
        <v>0</v>
      </c>
      <c r="BH2756">
        <v>2525</v>
      </c>
      <c r="BI2756">
        <v>1</v>
      </c>
      <c r="BJ2756">
        <v>1</v>
      </c>
      <c r="BK2756">
        <v>0</v>
      </c>
      <c r="BL2756">
        <v>0</v>
      </c>
      <c r="BO2756">
        <v>0</v>
      </c>
      <c r="BP2756">
        <v>0</v>
      </c>
      <c r="BW2756" t="str">
        <f t="shared" si="1299"/>
        <v>14:46:05.418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5</v>
      </c>
      <c r="CP2756" t="s">
        <v>119</v>
      </c>
      <c r="CQ2756">
        <v>62</v>
      </c>
      <c r="CR2756">
        <v>1</v>
      </c>
      <c r="CW2756">
        <v>12832230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1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 t="shared" si="1296"/>
        <v>05/12/2020 14:45:47.569</v>
      </c>
      <c r="C2757" t="str">
        <f t="shared" si="1279"/>
        <v>FFDFD3C0</v>
      </c>
      <c r="D2757" t="s">
        <v>138</v>
      </c>
      <c r="E2757">
        <v>2</v>
      </c>
      <c r="H2757">
        <v>8</v>
      </c>
      <c r="I2757" t="s">
        <v>139</v>
      </c>
      <c r="J2757" t="s">
        <v>136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297"/>
        <v>14:46:05.414</v>
      </c>
      <c r="T2757" t="str">
        <f t="shared" si="1298"/>
        <v>14:46:05.314</v>
      </c>
      <c r="U2757" t="str">
        <f t="shared" si="1300"/>
        <v>A9808D</v>
      </c>
      <c r="V2757">
        <v>0</v>
      </c>
      <c r="W2757">
        <v>0</v>
      </c>
      <c r="X2757">
        <v>1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0</v>
      </c>
      <c r="AI2757" t="s">
        <v>678</v>
      </c>
      <c r="AJ2757">
        <v>28.248681999999999</v>
      </c>
      <c r="AK2757" t="s">
        <v>679</v>
      </c>
      <c r="AL2757">
        <v>-82.309077000000002</v>
      </c>
      <c r="AM2757">
        <v>100</v>
      </c>
      <c r="AN2757">
        <v>2400</v>
      </c>
      <c r="AO2757" t="s">
        <v>118</v>
      </c>
      <c r="AP2757">
        <v>105</v>
      </c>
      <c r="AQ2757">
        <v>-21</v>
      </c>
      <c r="AR2757">
        <v>192</v>
      </c>
      <c r="AZ2757">
        <v>1200</v>
      </c>
      <c r="BA2757">
        <v>1</v>
      </c>
      <c r="BB2757" t="str">
        <f t="shared" si="1280"/>
        <v xml:space="preserve">N711JA  </v>
      </c>
      <c r="BC2757">
        <v>1</v>
      </c>
      <c r="BE2757">
        <v>0</v>
      </c>
      <c r="BF2757">
        <v>0</v>
      </c>
      <c r="BG2757">
        <v>0</v>
      </c>
      <c r="BH2757">
        <v>2525</v>
      </c>
      <c r="BI2757">
        <v>1</v>
      </c>
      <c r="BJ2757">
        <v>1</v>
      </c>
      <c r="BK2757">
        <v>0</v>
      </c>
      <c r="BL2757">
        <v>0</v>
      </c>
      <c r="BO2757">
        <v>0</v>
      </c>
      <c r="BP2757">
        <v>0</v>
      </c>
      <c r="BW2757" t="str">
        <f t="shared" si="1299"/>
        <v>14:46:05.418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2</v>
      </c>
      <c r="CP2757" t="s">
        <v>119</v>
      </c>
      <c r="CQ2757">
        <v>11</v>
      </c>
      <c r="CR2757">
        <v>2</v>
      </c>
      <c r="CW2757">
        <v>15958853</v>
      </c>
      <c r="CY2757">
        <v>1</v>
      </c>
      <c r="CZ2757">
        <v>0</v>
      </c>
      <c r="DA2757">
        <v>1</v>
      </c>
      <c r="DB2757">
        <v>0</v>
      </c>
      <c r="DC2757">
        <v>0</v>
      </c>
      <c r="DD2757">
        <v>1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 t="shared" si="1296"/>
        <v>05/12/2020 14:45:47.569</v>
      </c>
      <c r="C2758" t="str">
        <f t="shared" si="1279"/>
        <v>FFDFD3C0</v>
      </c>
      <c r="D2758" t="s">
        <v>126</v>
      </c>
      <c r="E2758">
        <v>7</v>
      </c>
      <c r="F2758">
        <v>1007</v>
      </c>
      <c r="G2758" t="s">
        <v>127</v>
      </c>
      <c r="J2758" t="s">
        <v>128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297"/>
        <v>14:46:05.414</v>
      </c>
      <c r="T2758" t="str">
        <f t="shared" si="1298"/>
        <v>14:46:05.314</v>
      </c>
      <c r="U2758" t="str">
        <f t="shared" si="1300"/>
        <v>A9808D</v>
      </c>
      <c r="V2758">
        <v>0</v>
      </c>
      <c r="W2758">
        <v>0</v>
      </c>
      <c r="X2758">
        <v>1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0</v>
      </c>
      <c r="AI2758" t="s">
        <v>678</v>
      </c>
      <c r="AJ2758">
        <v>28.248681999999999</v>
      </c>
      <c r="AK2758" t="s">
        <v>679</v>
      </c>
      <c r="AL2758">
        <v>-82.309077000000002</v>
      </c>
      <c r="AM2758">
        <v>100</v>
      </c>
      <c r="AN2758">
        <v>2400</v>
      </c>
      <c r="AO2758" t="s">
        <v>118</v>
      </c>
      <c r="AP2758">
        <v>105</v>
      </c>
      <c r="AQ2758">
        <v>-21</v>
      </c>
      <c r="AR2758">
        <v>192</v>
      </c>
      <c r="AZ2758">
        <v>1200</v>
      </c>
      <c r="BA2758">
        <v>1</v>
      </c>
      <c r="BB2758" t="str">
        <f t="shared" si="1280"/>
        <v xml:space="preserve">N711JA  </v>
      </c>
      <c r="BC2758">
        <v>1</v>
      </c>
      <c r="BE2758">
        <v>0</v>
      </c>
      <c r="BF2758">
        <v>0</v>
      </c>
      <c r="BG2758">
        <v>0</v>
      </c>
      <c r="BH2758">
        <v>2525</v>
      </c>
      <c r="BI2758">
        <v>1</v>
      </c>
      <c r="BJ2758">
        <v>1</v>
      </c>
      <c r="BK2758">
        <v>0</v>
      </c>
      <c r="BL2758">
        <v>0</v>
      </c>
      <c r="BO2758">
        <v>0</v>
      </c>
      <c r="BP2758">
        <v>0</v>
      </c>
      <c r="BW2758" t="str">
        <f t="shared" si="1299"/>
        <v>14:46:05.418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6</v>
      </c>
      <c r="CP2758" t="s">
        <v>119</v>
      </c>
      <c r="CQ2758">
        <v>358</v>
      </c>
      <c r="CR2758">
        <v>0</v>
      </c>
      <c r="CW2758">
        <v>4885037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1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 t="shared" si="1296"/>
        <v>05/12/2020 14:45:47.569</v>
      </c>
      <c r="C2759" t="str">
        <f t="shared" si="1279"/>
        <v>FFDFD3C0</v>
      </c>
      <c r="D2759" t="s">
        <v>131</v>
      </c>
      <c r="E2759">
        <v>10</v>
      </c>
      <c r="F2759">
        <v>2010</v>
      </c>
      <c r="G2759" t="s">
        <v>132</v>
      </c>
      <c r="J2759" t="s">
        <v>133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297"/>
        <v>14:46:05.414</v>
      </c>
      <c r="T2759" t="str">
        <f t="shared" si="1298"/>
        <v>14:46:05.314</v>
      </c>
      <c r="U2759" t="str">
        <f t="shared" si="1300"/>
        <v>A9808D</v>
      </c>
      <c r="V2759">
        <v>0</v>
      </c>
      <c r="W2759">
        <v>0</v>
      </c>
      <c r="X2759">
        <v>1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0</v>
      </c>
      <c r="AI2759" t="s">
        <v>678</v>
      </c>
      <c r="AJ2759">
        <v>28.248681999999999</v>
      </c>
      <c r="AK2759" t="s">
        <v>679</v>
      </c>
      <c r="AL2759">
        <v>-82.309077000000002</v>
      </c>
      <c r="AM2759">
        <v>100</v>
      </c>
      <c r="AN2759">
        <v>2400</v>
      </c>
      <c r="AO2759" t="s">
        <v>118</v>
      </c>
      <c r="AP2759">
        <v>105</v>
      </c>
      <c r="AQ2759">
        <v>-21</v>
      </c>
      <c r="AR2759">
        <v>192</v>
      </c>
      <c r="AZ2759">
        <v>1200</v>
      </c>
      <c r="BA2759">
        <v>1</v>
      </c>
      <c r="BB2759" t="str">
        <f t="shared" si="1280"/>
        <v xml:space="preserve">N711JA  </v>
      </c>
      <c r="BC2759">
        <v>1</v>
      </c>
      <c r="BE2759">
        <v>0</v>
      </c>
      <c r="BF2759">
        <v>0</v>
      </c>
      <c r="BG2759">
        <v>0</v>
      </c>
      <c r="BH2759">
        <v>2525</v>
      </c>
      <c r="BI2759">
        <v>1</v>
      </c>
      <c r="BJ2759">
        <v>1</v>
      </c>
      <c r="BK2759">
        <v>0</v>
      </c>
      <c r="BL2759">
        <v>0</v>
      </c>
      <c r="BO2759">
        <v>0</v>
      </c>
      <c r="BP2759">
        <v>0</v>
      </c>
      <c r="BW2759" t="str">
        <f t="shared" si="1299"/>
        <v>14:46:05.418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6</v>
      </c>
      <c r="CP2759" t="s">
        <v>119</v>
      </c>
      <c r="CQ2759">
        <v>358</v>
      </c>
      <c r="CR2759">
        <v>0</v>
      </c>
      <c r="CW2759">
        <v>4885037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1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 t="shared" si="1296"/>
        <v>05/12/2020 14:45:47.569</v>
      </c>
      <c r="C2760" t="str">
        <f t="shared" si="1279"/>
        <v>FFDFD3C0</v>
      </c>
      <c r="D2760" t="s">
        <v>131</v>
      </c>
      <c r="E2760">
        <v>12</v>
      </c>
      <c r="F2760">
        <v>2012</v>
      </c>
      <c r="G2760" t="s">
        <v>137</v>
      </c>
      <c r="J2760" t="s">
        <v>133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297"/>
        <v>14:46:05.414</v>
      </c>
      <c r="T2760" t="str">
        <f t="shared" si="1298"/>
        <v>14:46:05.314</v>
      </c>
      <c r="U2760" t="str">
        <f t="shared" si="1300"/>
        <v>A9808D</v>
      </c>
      <c r="V2760">
        <v>0</v>
      </c>
      <c r="W2760">
        <v>0</v>
      </c>
      <c r="X2760">
        <v>1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0</v>
      </c>
      <c r="AI2760" t="s">
        <v>678</v>
      </c>
      <c r="AJ2760">
        <v>28.248681999999999</v>
      </c>
      <c r="AK2760" t="s">
        <v>679</v>
      </c>
      <c r="AL2760">
        <v>-82.309077000000002</v>
      </c>
      <c r="AM2760">
        <v>100</v>
      </c>
      <c r="AN2760">
        <v>2400</v>
      </c>
      <c r="AO2760" t="s">
        <v>118</v>
      </c>
      <c r="AP2760">
        <v>105</v>
      </c>
      <c r="AQ2760">
        <v>-21</v>
      </c>
      <c r="AR2760">
        <v>192</v>
      </c>
      <c r="AZ2760">
        <v>1200</v>
      </c>
      <c r="BA2760">
        <v>1</v>
      </c>
      <c r="BB2760" t="str">
        <f t="shared" si="1280"/>
        <v xml:space="preserve">N711JA  </v>
      </c>
      <c r="BC2760">
        <v>1</v>
      </c>
      <c r="BE2760">
        <v>0</v>
      </c>
      <c r="BF2760">
        <v>0</v>
      </c>
      <c r="BG2760">
        <v>0</v>
      </c>
      <c r="BH2760">
        <v>2525</v>
      </c>
      <c r="BI2760">
        <v>1</v>
      </c>
      <c r="BJ2760">
        <v>1</v>
      </c>
      <c r="BK2760">
        <v>0</v>
      </c>
      <c r="BL2760">
        <v>0</v>
      </c>
      <c r="BO2760">
        <v>0</v>
      </c>
      <c r="BP2760">
        <v>0</v>
      </c>
      <c r="BW2760" t="str">
        <f t="shared" si="1299"/>
        <v>14:46:05.418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2</v>
      </c>
      <c r="CP2760" t="s">
        <v>119</v>
      </c>
      <c r="CQ2760">
        <v>11</v>
      </c>
      <c r="CR2760">
        <v>2</v>
      </c>
      <c r="CW2760">
        <v>15958853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1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 t="shared" si="1296"/>
        <v>05/12/2020 14:45:47.569</v>
      </c>
      <c r="C2761" t="str">
        <f t="shared" si="1279"/>
        <v>FFDFD3C0</v>
      </c>
      <c r="D2761" t="s">
        <v>131</v>
      </c>
      <c r="E2761">
        <v>18</v>
      </c>
      <c r="F2761">
        <v>2018</v>
      </c>
      <c r="G2761" t="s">
        <v>161</v>
      </c>
      <c r="J2761" t="s">
        <v>133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297"/>
        <v>14:46:05.414</v>
      </c>
      <c r="T2761" t="str">
        <f t="shared" si="1298"/>
        <v>14:46:05.314</v>
      </c>
      <c r="U2761" t="str">
        <f t="shared" si="1300"/>
        <v>A9808D</v>
      </c>
      <c r="V2761">
        <v>0</v>
      </c>
      <c r="W2761">
        <v>0</v>
      </c>
      <c r="X2761">
        <v>1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0</v>
      </c>
      <c r="AI2761" t="s">
        <v>678</v>
      </c>
      <c r="AJ2761">
        <v>28.248681999999999</v>
      </c>
      <c r="AK2761" t="s">
        <v>679</v>
      </c>
      <c r="AL2761">
        <v>-82.309077000000002</v>
      </c>
      <c r="AM2761">
        <v>100</v>
      </c>
      <c r="AN2761">
        <v>2400</v>
      </c>
      <c r="AO2761" t="s">
        <v>118</v>
      </c>
      <c r="AP2761">
        <v>105</v>
      </c>
      <c r="AQ2761">
        <v>-21</v>
      </c>
      <c r="AR2761">
        <v>192</v>
      </c>
      <c r="AZ2761">
        <v>1200</v>
      </c>
      <c r="BA2761">
        <v>1</v>
      </c>
      <c r="BB2761" t="str">
        <f t="shared" si="1280"/>
        <v xml:space="preserve">N711JA  </v>
      </c>
      <c r="BC2761">
        <v>1</v>
      </c>
      <c r="BE2761">
        <v>0</v>
      </c>
      <c r="BF2761">
        <v>0</v>
      </c>
      <c r="BG2761">
        <v>0</v>
      </c>
      <c r="BH2761">
        <v>2525</v>
      </c>
      <c r="BI2761">
        <v>1</v>
      </c>
      <c r="BJ2761">
        <v>1</v>
      </c>
      <c r="BK2761">
        <v>0</v>
      </c>
      <c r="BL2761">
        <v>0</v>
      </c>
      <c r="BO2761">
        <v>0</v>
      </c>
      <c r="BP2761">
        <v>0</v>
      </c>
      <c r="BW2761" t="str">
        <f t="shared" si="1299"/>
        <v>14:46:05.418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5</v>
      </c>
      <c r="CP2761" t="s">
        <v>119</v>
      </c>
      <c r="CQ2761">
        <v>62</v>
      </c>
      <c r="CR2761">
        <v>1</v>
      </c>
      <c r="CW2761">
        <v>12832230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1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 t="shared" ref="A2762:A2770" si="1301">"05/12/2020 14:45:48.710"</f>
        <v>05/12/2020 14:45:48.710</v>
      </c>
      <c r="C2762" t="str">
        <f t="shared" si="1279"/>
        <v>FFDFD3C0</v>
      </c>
      <c r="D2762" t="s">
        <v>126</v>
      </c>
      <c r="E2762">
        <v>7</v>
      </c>
      <c r="F2762">
        <v>1007</v>
      </c>
      <c r="G2762" t="s">
        <v>127</v>
      </c>
      <c r="J2762" t="s">
        <v>128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ref="S2762:S2770" si="1302">"14:46:06.539"</f>
        <v>14:46:06.539</v>
      </c>
      <c r="T2762" t="str">
        <f t="shared" ref="T2762:T2770" si="1303">"14:46:06.239"</f>
        <v>14:46:06.239</v>
      </c>
      <c r="U2762" t="str">
        <f t="shared" si="1300"/>
        <v>A9808D</v>
      </c>
      <c r="V2762">
        <v>0</v>
      </c>
      <c r="W2762">
        <v>0</v>
      </c>
      <c r="X2762">
        <v>1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0</v>
      </c>
      <c r="AI2762" t="s">
        <v>680</v>
      </c>
      <c r="AJ2762">
        <v>28.248595999999999</v>
      </c>
      <c r="AK2762" t="s">
        <v>681</v>
      </c>
      <c r="AL2762">
        <v>-82.308497000000003</v>
      </c>
      <c r="AM2762">
        <v>100</v>
      </c>
      <c r="AN2762">
        <v>2400</v>
      </c>
      <c r="AO2762" t="s">
        <v>118</v>
      </c>
      <c r="AP2762">
        <v>105</v>
      </c>
      <c r="AQ2762">
        <v>-20</v>
      </c>
      <c r="AR2762">
        <v>192</v>
      </c>
      <c r="AZ2762">
        <v>1200</v>
      </c>
      <c r="BA2762">
        <v>1</v>
      </c>
      <c r="BB2762" t="str">
        <f t="shared" si="1280"/>
        <v xml:space="preserve">N711JA  </v>
      </c>
      <c r="BC2762">
        <v>1</v>
      </c>
      <c r="BE2762">
        <v>0</v>
      </c>
      <c r="BF2762">
        <v>0</v>
      </c>
      <c r="BG2762">
        <v>0</v>
      </c>
      <c r="BH2762">
        <v>2550</v>
      </c>
      <c r="BI2762">
        <v>1</v>
      </c>
      <c r="BJ2762">
        <v>1</v>
      </c>
      <c r="BK2762">
        <v>0</v>
      </c>
      <c r="BL2762">
        <v>0</v>
      </c>
      <c r="BO2762">
        <v>0</v>
      </c>
      <c r="BP2762">
        <v>0</v>
      </c>
      <c r="BW2762" t="str">
        <f>"14:46:06.543"</f>
        <v>14:46:06.543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6</v>
      </c>
      <c r="CP2762" t="s">
        <v>119</v>
      </c>
      <c r="CQ2762">
        <v>358</v>
      </c>
      <c r="CR2762">
        <v>0</v>
      </c>
      <c r="CW2762">
        <v>4886450</v>
      </c>
      <c r="CY2762">
        <v>1</v>
      </c>
      <c r="CZ2762">
        <v>0</v>
      </c>
      <c r="DA2762">
        <v>0</v>
      </c>
      <c r="DB2762">
        <v>0</v>
      </c>
      <c r="DC2762">
        <v>0</v>
      </c>
      <c r="DD2762">
        <v>1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 t="shared" si="1301"/>
        <v>05/12/2020 14:45:48.710</v>
      </c>
      <c r="C2763" t="str">
        <f t="shared" si="1279"/>
        <v>FFDFD3C0</v>
      </c>
      <c r="D2763" t="s">
        <v>131</v>
      </c>
      <c r="E2763">
        <v>10</v>
      </c>
      <c r="F2763">
        <v>2010</v>
      </c>
      <c r="G2763" t="s">
        <v>132</v>
      </c>
      <c r="J2763" t="s">
        <v>133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302"/>
        <v>14:46:06.539</v>
      </c>
      <c r="T2763" t="str">
        <f t="shared" si="1303"/>
        <v>14:46:06.239</v>
      </c>
      <c r="U2763" t="str">
        <f t="shared" si="1300"/>
        <v>A9808D</v>
      </c>
      <c r="V2763">
        <v>0</v>
      </c>
      <c r="W2763">
        <v>0</v>
      </c>
      <c r="X2763">
        <v>1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0</v>
      </c>
      <c r="AI2763" t="s">
        <v>680</v>
      </c>
      <c r="AJ2763">
        <v>28.248595999999999</v>
      </c>
      <c r="AK2763" t="s">
        <v>681</v>
      </c>
      <c r="AL2763">
        <v>-82.308497000000003</v>
      </c>
      <c r="AM2763">
        <v>100</v>
      </c>
      <c r="AN2763">
        <v>2400</v>
      </c>
      <c r="AO2763" t="s">
        <v>118</v>
      </c>
      <c r="AP2763">
        <v>105</v>
      </c>
      <c r="AQ2763">
        <v>-20</v>
      </c>
      <c r="AR2763">
        <v>192</v>
      </c>
      <c r="AZ2763">
        <v>1200</v>
      </c>
      <c r="BA2763">
        <v>1</v>
      </c>
      <c r="BB2763" t="str">
        <f t="shared" si="1280"/>
        <v xml:space="preserve">N711JA  </v>
      </c>
      <c r="BC2763">
        <v>1</v>
      </c>
      <c r="BE2763">
        <v>0</v>
      </c>
      <c r="BF2763">
        <v>0</v>
      </c>
      <c r="BG2763">
        <v>0</v>
      </c>
      <c r="BH2763">
        <v>2550</v>
      </c>
      <c r="BI2763">
        <v>1</v>
      </c>
      <c r="BJ2763">
        <v>1</v>
      </c>
      <c r="BK2763">
        <v>0</v>
      </c>
      <c r="BL2763">
        <v>0</v>
      </c>
      <c r="BO2763">
        <v>0</v>
      </c>
      <c r="BP2763">
        <v>0</v>
      </c>
      <c r="BW2763" t="str">
        <f>"14:46:06.543"</f>
        <v>14:46:06.543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6</v>
      </c>
      <c r="CP2763" t="s">
        <v>119</v>
      </c>
      <c r="CQ2763">
        <v>358</v>
      </c>
      <c r="CR2763">
        <v>0</v>
      </c>
      <c r="CW2763">
        <v>4886450</v>
      </c>
      <c r="CY2763">
        <v>1</v>
      </c>
      <c r="CZ2763">
        <v>0</v>
      </c>
      <c r="DA2763">
        <v>1</v>
      </c>
      <c r="DB2763">
        <v>0</v>
      </c>
      <c r="DC2763">
        <v>0</v>
      </c>
      <c r="DD2763">
        <v>1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 t="shared" si="1301"/>
        <v>05/12/2020 14:45:48.710</v>
      </c>
      <c r="C2764" t="str">
        <f t="shared" si="1279"/>
        <v>FFDFD3C0</v>
      </c>
      <c r="D2764" t="s">
        <v>113</v>
      </c>
      <c r="E2764">
        <v>3</v>
      </c>
      <c r="H2764">
        <v>164</v>
      </c>
      <c r="I2764" t="s">
        <v>114</v>
      </c>
      <c r="J2764" t="s">
        <v>115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302"/>
        <v>14:46:06.539</v>
      </c>
      <c r="T2764" t="str">
        <f t="shared" si="1303"/>
        <v>14:46:06.239</v>
      </c>
      <c r="U2764" t="str">
        <f t="shared" si="1300"/>
        <v>A9808D</v>
      </c>
      <c r="V2764">
        <v>0</v>
      </c>
      <c r="W2764">
        <v>0</v>
      </c>
      <c r="X2764">
        <v>1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0</v>
      </c>
      <c r="AI2764" t="s">
        <v>680</v>
      </c>
      <c r="AJ2764">
        <v>28.248595999999999</v>
      </c>
      <c r="AK2764" t="s">
        <v>681</v>
      </c>
      <c r="AL2764">
        <v>-82.308497000000003</v>
      </c>
      <c r="AM2764">
        <v>100</v>
      </c>
      <c r="AN2764">
        <v>2400</v>
      </c>
      <c r="AO2764" t="s">
        <v>118</v>
      </c>
      <c r="AP2764">
        <v>105</v>
      </c>
      <c r="AQ2764">
        <v>-20</v>
      </c>
      <c r="AR2764">
        <v>192</v>
      </c>
      <c r="AZ2764">
        <v>1200</v>
      </c>
      <c r="BA2764">
        <v>1</v>
      </c>
      <c r="BB2764" t="str">
        <f t="shared" si="1280"/>
        <v xml:space="preserve">N711JA  </v>
      </c>
      <c r="BC2764">
        <v>1</v>
      </c>
      <c r="BE2764">
        <v>0</v>
      </c>
      <c r="BF2764">
        <v>0</v>
      </c>
      <c r="BG2764">
        <v>0</v>
      </c>
      <c r="BH2764">
        <v>2550</v>
      </c>
      <c r="BI2764">
        <v>1</v>
      </c>
      <c r="BJ2764">
        <v>1</v>
      </c>
      <c r="BK2764">
        <v>0</v>
      </c>
      <c r="BL2764">
        <v>0</v>
      </c>
      <c r="BO2764">
        <v>0</v>
      </c>
      <c r="BP2764">
        <v>0</v>
      </c>
      <c r="BW2764" t="str">
        <f>"14:46:06.544"</f>
        <v>14:46:06.544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5</v>
      </c>
      <c r="CP2764" t="s">
        <v>119</v>
      </c>
      <c r="CQ2764">
        <v>62</v>
      </c>
      <c r="CR2764">
        <v>1</v>
      </c>
      <c r="CW2764">
        <v>12833452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1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 t="shared" si="1301"/>
        <v>05/12/2020 14:45:48.710</v>
      </c>
      <c r="C2765" t="str">
        <f t="shared" si="1279"/>
        <v>FFDFD3C0</v>
      </c>
      <c r="D2765" t="s">
        <v>138</v>
      </c>
      <c r="E2765">
        <v>2</v>
      </c>
      <c r="H2765">
        <v>8</v>
      </c>
      <c r="I2765" t="s">
        <v>139</v>
      </c>
      <c r="J2765" t="s">
        <v>136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302"/>
        <v>14:46:06.539</v>
      </c>
      <c r="T2765" t="str">
        <f t="shared" si="1303"/>
        <v>14:46:06.239</v>
      </c>
      <c r="U2765" t="str">
        <f t="shared" si="1300"/>
        <v>A9808D</v>
      </c>
      <c r="V2765">
        <v>0</v>
      </c>
      <c r="W2765">
        <v>0</v>
      </c>
      <c r="X2765">
        <v>1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0</v>
      </c>
      <c r="AI2765" t="s">
        <v>680</v>
      </c>
      <c r="AJ2765">
        <v>28.248595999999999</v>
      </c>
      <c r="AK2765" t="s">
        <v>681</v>
      </c>
      <c r="AL2765">
        <v>-82.308497000000003</v>
      </c>
      <c r="AM2765">
        <v>100</v>
      </c>
      <c r="AN2765">
        <v>2400</v>
      </c>
      <c r="AO2765" t="s">
        <v>118</v>
      </c>
      <c r="AP2765">
        <v>105</v>
      </c>
      <c r="AQ2765">
        <v>-20</v>
      </c>
      <c r="AR2765">
        <v>192</v>
      </c>
      <c r="AZ2765">
        <v>1200</v>
      </c>
      <c r="BA2765">
        <v>1</v>
      </c>
      <c r="BB2765" t="str">
        <f t="shared" si="1280"/>
        <v xml:space="preserve">N711JA  </v>
      </c>
      <c r="BC2765">
        <v>1</v>
      </c>
      <c r="BE2765">
        <v>0</v>
      </c>
      <c r="BF2765">
        <v>0</v>
      </c>
      <c r="BG2765">
        <v>0</v>
      </c>
      <c r="BH2765">
        <v>2550</v>
      </c>
      <c r="BI2765">
        <v>1</v>
      </c>
      <c r="BJ2765">
        <v>1</v>
      </c>
      <c r="BK2765">
        <v>0</v>
      </c>
      <c r="BL2765">
        <v>0</v>
      </c>
      <c r="BO2765">
        <v>0</v>
      </c>
      <c r="BP2765">
        <v>0</v>
      </c>
      <c r="BW2765" t="str">
        <f>"14:46:06.544"</f>
        <v>14:46:06.544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3</v>
      </c>
      <c r="CP2765" t="s">
        <v>675</v>
      </c>
      <c r="CQ2765">
        <v>363</v>
      </c>
      <c r="CR2765">
        <v>0</v>
      </c>
      <c r="CW2765">
        <v>6405973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1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 t="shared" si="1301"/>
        <v>05/12/2020 14:45:48.710</v>
      </c>
      <c r="C2766" t="str">
        <f t="shared" si="1279"/>
        <v>FFDFD3C0</v>
      </c>
      <c r="D2766" t="s">
        <v>131</v>
      </c>
      <c r="E2766">
        <v>12</v>
      </c>
      <c r="F2766">
        <v>2012</v>
      </c>
      <c r="G2766" t="s">
        <v>137</v>
      </c>
      <c r="J2766" t="s">
        <v>133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302"/>
        <v>14:46:06.539</v>
      </c>
      <c r="T2766" t="str">
        <f t="shared" si="1303"/>
        <v>14:46:06.239</v>
      </c>
      <c r="U2766" t="str">
        <f t="shared" si="1300"/>
        <v>A9808D</v>
      </c>
      <c r="V2766">
        <v>0</v>
      </c>
      <c r="W2766">
        <v>0</v>
      </c>
      <c r="X2766">
        <v>1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0</v>
      </c>
      <c r="AI2766" t="s">
        <v>680</v>
      </c>
      <c r="AJ2766">
        <v>28.248595999999999</v>
      </c>
      <c r="AK2766" t="s">
        <v>681</v>
      </c>
      <c r="AL2766">
        <v>-82.308497000000003</v>
      </c>
      <c r="AM2766">
        <v>100</v>
      </c>
      <c r="AN2766">
        <v>2400</v>
      </c>
      <c r="AO2766" t="s">
        <v>118</v>
      </c>
      <c r="AP2766">
        <v>105</v>
      </c>
      <c r="AQ2766">
        <v>-20</v>
      </c>
      <c r="AR2766">
        <v>192</v>
      </c>
      <c r="AZ2766">
        <v>1200</v>
      </c>
      <c r="BA2766">
        <v>1</v>
      </c>
      <c r="BB2766" t="str">
        <f t="shared" si="1280"/>
        <v xml:space="preserve">N711JA  </v>
      </c>
      <c r="BC2766">
        <v>1</v>
      </c>
      <c r="BE2766">
        <v>0</v>
      </c>
      <c r="BF2766">
        <v>0</v>
      </c>
      <c r="BG2766">
        <v>0</v>
      </c>
      <c r="BH2766">
        <v>2550</v>
      </c>
      <c r="BI2766">
        <v>1</v>
      </c>
      <c r="BJ2766">
        <v>1</v>
      </c>
      <c r="BK2766">
        <v>0</v>
      </c>
      <c r="BL2766">
        <v>0</v>
      </c>
      <c r="BO2766">
        <v>0</v>
      </c>
      <c r="BP2766">
        <v>0</v>
      </c>
      <c r="BW2766" t="str">
        <f>"14:46:06.544"</f>
        <v>14:46:06.544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3</v>
      </c>
      <c r="CP2766" t="s">
        <v>675</v>
      </c>
      <c r="CQ2766">
        <v>363</v>
      </c>
      <c r="CR2766">
        <v>0</v>
      </c>
      <c r="CW2766">
        <v>6405973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1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 t="shared" si="1301"/>
        <v>05/12/2020 14:45:48.710</v>
      </c>
      <c r="C2767" t="str">
        <f t="shared" si="1279"/>
        <v>FFDFD3C0</v>
      </c>
      <c r="D2767" t="s">
        <v>131</v>
      </c>
      <c r="E2767">
        <v>18</v>
      </c>
      <c r="F2767">
        <v>2018</v>
      </c>
      <c r="G2767" t="s">
        <v>161</v>
      </c>
      <c r="J2767" t="s">
        <v>133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302"/>
        <v>14:46:06.539</v>
      </c>
      <c r="T2767" t="str">
        <f t="shared" si="1303"/>
        <v>14:46:06.239</v>
      </c>
      <c r="U2767" t="str">
        <f t="shared" si="1300"/>
        <v>A9808D</v>
      </c>
      <c r="V2767">
        <v>0</v>
      </c>
      <c r="W2767">
        <v>0</v>
      </c>
      <c r="X2767">
        <v>1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0</v>
      </c>
      <c r="AI2767" t="s">
        <v>680</v>
      </c>
      <c r="AJ2767">
        <v>28.248595999999999</v>
      </c>
      <c r="AK2767" t="s">
        <v>681</v>
      </c>
      <c r="AL2767">
        <v>-82.308497000000003</v>
      </c>
      <c r="AM2767">
        <v>100</v>
      </c>
      <c r="AN2767">
        <v>2400</v>
      </c>
      <c r="AO2767" t="s">
        <v>118</v>
      </c>
      <c r="AP2767">
        <v>105</v>
      </c>
      <c r="AQ2767">
        <v>-20</v>
      </c>
      <c r="AR2767">
        <v>192</v>
      </c>
      <c r="AZ2767">
        <v>1200</v>
      </c>
      <c r="BA2767">
        <v>1</v>
      </c>
      <c r="BB2767" t="str">
        <f t="shared" si="1280"/>
        <v xml:space="preserve">N711JA  </v>
      </c>
      <c r="BC2767">
        <v>1</v>
      </c>
      <c r="BE2767">
        <v>0</v>
      </c>
      <c r="BF2767">
        <v>0</v>
      </c>
      <c r="BG2767">
        <v>0</v>
      </c>
      <c r="BH2767">
        <v>2550</v>
      </c>
      <c r="BI2767">
        <v>1</v>
      </c>
      <c r="BJ2767">
        <v>1</v>
      </c>
      <c r="BK2767">
        <v>0</v>
      </c>
      <c r="BL2767">
        <v>0</v>
      </c>
      <c r="BO2767">
        <v>0</v>
      </c>
      <c r="BP2767">
        <v>0</v>
      </c>
      <c r="BW2767" t="str">
        <f>"14:46:06.544"</f>
        <v>14:46:06.544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5</v>
      </c>
      <c r="CP2767" t="s">
        <v>119</v>
      </c>
      <c r="CQ2767">
        <v>62</v>
      </c>
      <c r="CR2767">
        <v>1</v>
      </c>
      <c r="CW2767">
        <v>12833452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1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 t="shared" si="1301"/>
        <v>05/12/2020 14:45:48.710</v>
      </c>
      <c r="C2768" t="str">
        <f t="shared" si="1279"/>
        <v>FFDFD3C0</v>
      </c>
      <c r="D2768" t="s">
        <v>126</v>
      </c>
      <c r="E2768">
        <v>6</v>
      </c>
      <c r="F2768">
        <v>1006</v>
      </c>
      <c r="G2768" t="s">
        <v>114</v>
      </c>
      <c r="J2768" t="s">
        <v>128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302"/>
        <v>14:46:06.539</v>
      </c>
      <c r="T2768" t="str">
        <f t="shared" si="1303"/>
        <v>14:46:06.239</v>
      </c>
      <c r="U2768" t="str">
        <f t="shared" si="1300"/>
        <v>A9808D</v>
      </c>
      <c r="V2768">
        <v>0</v>
      </c>
      <c r="W2768">
        <v>0</v>
      </c>
      <c r="X2768">
        <v>1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0</v>
      </c>
      <c r="AI2768" t="s">
        <v>680</v>
      </c>
      <c r="AJ2768">
        <v>28.248595999999999</v>
      </c>
      <c r="AK2768" t="s">
        <v>681</v>
      </c>
      <c r="AL2768">
        <v>-82.308497000000003</v>
      </c>
      <c r="AM2768">
        <v>100</v>
      </c>
      <c r="AN2768">
        <v>2400</v>
      </c>
      <c r="AO2768" t="s">
        <v>118</v>
      </c>
      <c r="AP2768">
        <v>105</v>
      </c>
      <c r="AQ2768">
        <v>-20</v>
      </c>
      <c r="AR2768">
        <v>192</v>
      </c>
      <c r="AZ2768">
        <v>1200</v>
      </c>
      <c r="BA2768">
        <v>1</v>
      </c>
      <c r="BB2768" t="str">
        <f t="shared" si="1280"/>
        <v xml:space="preserve">N711JA  </v>
      </c>
      <c r="BC2768">
        <v>1</v>
      </c>
      <c r="BE2768">
        <v>0</v>
      </c>
      <c r="BF2768">
        <v>0</v>
      </c>
      <c r="BG2768">
        <v>0</v>
      </c>
      <c r="BH2768">
        <v>2550</v>
      </c>
      <c r="BI2768">
        <v>1</v>
      </c>
      <c r="BJ2768">
        <v>1</v>
      </c>
      <c r="BK2768">
        <v>0</v>
      </c>
      <c r="BL2768">
        <v>0</v>
      </c>
      <c r="BO2768">
        <v>0</v>
      </c>
      <c r="BP2768">
        <v>0</v>
      </c>
      <c r="BW2768" t="str">
        <f>"14:46:06.543"</f>
        <v>14:46:06.543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6</v>
      </c>
      <c r="CP2768" t="s">
        <v>119</v>
      </c>
      <c r="CQ2768">
        <v>358</v>
      </c>
      <c r="CR2768">
        <v>0</v>
      </c>
      <c r="CW2768">
        <v>4886450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1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 t="shared" si="1301"/>
        <v>05/12/2020 14:45:48.710</v>
      </c>
      <c r="C2769" t="str">
        <f t="shared" si="1279"/>
        <v>FFDFD3C0</v>
      </c>
      <c r="D2769" t="s">
        <v>134</v>
      </c>
      <c r="E2769">
        <v>12</v>
      </c>
      <c r="H2769">
        <v>64</v>
      </c>
      <c r="I2769" t="s">
        <v>135</v>
      </c>
      <c r="J2769" t="s">
        <v>136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302"/>
        <v>14:46:06.539</v>
      </c>
      <c r="T2769" t="str">
        <f t="shared" si="1303"/>
        <v>14:46:06.239</v>
      </c>
      <c r="U2769" t="str">
        <f t="shared" si="1300"/>
        <v>A9808D</v>
      </c>
      <c r="V2769">
        <v>0</v>
      </c>
      <c r="W2769">
        <v>0</v>
      </c>
      <c r="X2769">
        <v>1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0</v>
      </c>
      <c r="AI2769" t="s">
        <v>680</v>
      </c>
      <c r="AJ2769">
        <v>28.248595999999999</v>
      </c>
      <c r="AK2769" t="s">
        <v>681</v>
      </c>
      <c r="AL2769">
        <v>-82.308497000000003</v>
      </c>
      <c r="AM2769">
        <v>100</v>
      </c>
      <c r="AN2769">
        <v>2400</v>
      </c>
      <c r="AO2769" t="s">
        <v>118</v>
      </c>
      <c r="AP2769">
        <v>105</v>
      </c>
      <c r="AQ2769">
        <v>-20</v>
      </c>
      <c r="AR2769">
        <v>192</v>
      </c>
      <c r="AZ2769">
        <v>1200</v>
      </c>
      <c r="BA2769">
        <v>1</v>
      </c>
      <c r="BB2769" t="str">
        <f t="shared" si="1280"/>
        <v xml:space="preserve">N711JA  </v>
      </c>
      <c r="BC2769">
        <v>1</v>
      </c>
      <c r="BE2769">
        <v>0</v>
      </c>
      <c r="BF2769">
        <v>0</v>
      </c>
      <c r="BG2769">
        <v>0</v>
      </c>
      <c r="BH2769">
        <v>2550</v>
      </c>
      <c r="BI2769">
        <v>1</v>
      </c>
      <c r="BJ2769">
        <v>1</v>
      </c>
      <c r="BK2769">
        <v>0</v>
      </c>
      <c r="BL2769">
        <v>0</v>
      </c>
      <c r="BO2769">
        <v>0</v>
      </c>
      <c r="BP2769">
        <v>0</v>
      </c>
      <c r="BW2769" t="str">
        <f>"14:46:06.543"</f>
        <v>14:46:06.543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6</v>
      </c>
      <c r="CP2769" t="s">
        <v>119</v>
      </c>
      <c r="CQ2769">
        <v>358</v>
      </c>
      <c r="CR2769">
        <v>0</v>
      </c>
      <c r="CW2769">
        <v>4886450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1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 t="shared" si="1301"/>
        <v>05/12/2020 14:45:48.710</v>
      </c>
      <c r="C2770" t="str">
        <f t="shared" si="1279"/>
        <v>FFDFD3C0</v>
      </c>
      <c r="D2770" t="s">
        <v>138</v>
      </c>
      <c r="E2770">
        <v>3</v>
      </c>
      <c r="H2770">
        <v>9</v>
      </c>
      <c r="I2770" t="s">
        <v>140</v>
      </c>
      <c r="J2770" t="s">
        <v>136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302"/>
        <v>14:46:06.539</v>
      </c>
      <c r="T2770" t="str">
        <f t="shared" si="1303"/>
        <v>14:46:06.239</v>
      </c>
      <c r="U2770" t="str">
        <f t="shared" si="1300"/>
        <v>A9808D</v>
      </c>
      <c r="V2770">
        <v>0</v>
      </c>
      <c r="W2770">
        <v>0</v>
      </c>
      <c r="X2770">
        <v>1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0</v>
      </c>
      <c r="AI2770" t="s">
        <v>680</v>
      </c>
      <c r="AJ2770">
        <v>28.248595999999999</v>
      </c>
      <c r="AK2770" t="s">
        <v>681</v>
      </c>
      <c r="AL2770">
        <v>-82.308497000000003</v>
      </c>
      <c r="AM2770">
        <v>100</v>
      </c>
      <c r="AN2770">
        <v>2400</v>
      </c>
      <c r="AO2770" t="s">
        <v>118</v>
      </c>
      <c r="AP2770">
        <v>105</v>
      </c>
      <c r="AQ2770">
        <v>-20</v>
      </c>
      <c r="AR2770">
        <v>192</v>
      </c>
      <c r="AZ2770">
        <v>1200</v>
      </c>
      <c r="BA2770">
        <v>1</v>
      </c>
      <c r="BB2770" t="str">
        <f t="shared" si="1280"/>
        <v xml:space="preserve">N711JA  </v>
      </c>
      <c r="BC2770">
        <v>1</v>
      </c>
      <c r="BE2770">
        <v>0</v>
      </c>
      <c r="BF2770">
        <v>0</v>
      </c>
      <c r="BG2770">
        <v>0</v>
      </c>
      <c r="BH2770">
        <v>2550</v>
      </c>
      <c r="BI2770">
        <v>1</v>
      </c>
      <c r="BJ2770">
        <v>1</v>
      </c>
      <c r="BK2770">
        <v>0</v>
      </c>
      <c r="BL2770">
        <v>0</v>
      </c>
      <c r="BO2770">
        <v>0</v>
      </c>
      <c r="BP2770">
        <v>0</v>
      </c>
      <c r="BW2770" t="str">
        <f>"14:46:06.543"</f>
        <v>14:46:06.543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6</v>
      </c>
      <c r="CP2770" t="s">
        <v>119</v>
      </c>
      <c r="CQ2770">
        <v>358</v>
      </c>
      <c r="CR2770">
        <v>0</v>
      </c>
      <c r="CW2770">
        <v>4886450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1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 t="shared" ref="A2771:A2779" si="1304">"05/12/2020 14:45:49.890"</f>
        <v>05/12/2020 14:45:49.890</v>
      </c>
      <c r="C2771" t="str">
        <f t="shared" si="1279"/>
        <v>FFDFD3C0</v>
      </c>
      <c r="D2771" t="s">
        <v>126</v>
      </c>
      <c r="E2771">
        <v>6</v>
      </c>
      <c r="F2771">
        <v>1006</v>
      </c>
      <c r="G2771" t="s">
        <v>114</v>
      </c>
      <c r="J2771" t="s">
        <v>128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"14:46:07.711"</f>
        <v>14:46:07.711</v>
      </c>
      <c r="T2771" t="str">
        <f>"14:46:07.711"</f>
        <v>14:46:07.711</v>
      </c>
      <c r="U2771" t="str">
        <f t="shared" si="1300"/>
        <v>A9808D</v>
      </c>
      <c r="V2771">
        <v>0</v>
      </c>
      <c r="W2771">
        <v>0</v>
      </c>
      <c r="X2771">
        <v>1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0</v>
      </c>
      <c r="AI2771" t="s">
        <v>682</v>
      </c>
      <c r="AJ2771">
        <v>28.24851</v>
      </c>
      <c r="AK2771" t="s">
        <v>683</v>
      </c>
      <c r="AL2771">
        <v>-82.307832000000005</v>
      </c>
      <c r="AM2771">
        <v>100</v>
      </c>
      <c r="AN2771">
        <v>2400</v>
      </c>
      <c r="AO2771" t="s">
        <v>118</v>
      </c>
      <c r="AP2771">
        <v>105</v>
      </c>
      <c r="AQ2771">
        <v>-19</v>
      </c>
      <c r="AR2771">
        <v>128</v>
      </c>
      <c r="AZ2771">
        <v>1200</v>
      </c>
      <c r="BA2771">
        <v>1</v>
      </c>
      <c r="BB2771" t="str">
        <f t="shared" si="1280"/>
        <v xml:space="preserve">N711JA  </v>
      </c>
      <c r="BC2771">
        <v>1</v>
      </c>
      <c r="BE2771">
        <v>0</v>
      </c>
      <c r="BF2771">
        <v>0</v>
      </c>
      <c r="BG2771">
        <v>0</v>
      </c>
      <c r="BH2771">
        <v>2550</v>
      </c>
      <c r="BI2771">
        <v>1</v>
      </c>
      <c r="BJ2771">
        <v>1</v>
      </c>
      <c r="BK2771">
        <v>0</v>
      </c>
      <c r="BL2771">
        <v>0</v>
      </c>
      <c r="BO2771">
        <v>0</v>
      </c>
      <c r="BP2771">
        <v>0</v>
      </c>
      <c r="BW2771" t="str">
        <f t="shared" ref="BW2771:BW2779" si="1305">"14:46:07.713"</f>
        <v>14:46:07.713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6</v>
      </c>
      <c r="CP2771" t="s">
        <v>119</v>
      </c>
      <c r="CQ2771">
        <v>358</v>
      </c>
      <c r="CR2771">
        <v>0</v>
      </c>
      <c r="CW2771">
        <v>4887857</v>
      </c>
      <c r="CY2771">
        <v>1</v>
      </c>
      <c r="CZ2771">
        <v>0</v>
      </c>
      <c r="DA2771">
        <v>0</v>
      </c>
      <c r="DB2771">
        <v>0</v>
      </c>
      <c r="DC2771">
        <v>0</v>
      </c>
      <c r="DD2771">
        <v>1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 t="shared" si="1304"/>
        <v>05/12/2020 14:45:49.890</v>
      </c>
      <c r="C2772" t="str">
        <f t="shared" si="1279"/>
        <v>FFDFD3C0</v>
      </c>
      <c r="D2772" t="s">
        <v>131</v>
      </c>
      <c r="E2772">
        <v>12</v>
      </c>
      <c r="F2772">
        <v>2012</v>
      </c>
      <c r="G2772" t="s">
        <v>137</v>
      </c>
      <c r="J2772" t="s">
        <v>133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ref="S2772:S2779" si="1306">"14:46:07.711"</f>
        <v>14:46:07.711</v>
      </c>
      <c r="T2772" t="str">
        <f>"14:46:06.711"</f>
        <v>14:46:06.711</v>
      </c>
      <c r="U2772" t="str">
        <f t="shared" si="1300"/>
        <v>A9808D</v>
      </c>
      <c r="V2772">
        <v>0</v>
      </c>
      <c r="W2772">
        <v>0</v>
      </c>
      <c r="X2772">
        <v>1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0</v>
      </c>
      <c r="AI2772" t="s">
        <v>682</v>
      </c>
      <c r="AJ2772">
        <v>28.24851</v>
      </c>
      <c r="AK2772" t="s">
        <v>683</v>
      </c>
      <c r="AL2772">
        <v>-82.307832000000005</v>
      </c>
      <c r="AM2772">
        <v>100</v>
      </c>
      <c r="AN2772">
        <v>2400</v>
      </c>
      <c r="AO2772" t="s">
        <v>118</v>
      </c>
      <c r="AP2772">
        <v>105</v>
      </c>
      <c r="AQ2772">
        <v>-20</v>
      </c>
      <c r="AR2772">
        <v>192</v>
      </c>
      <c r="AZ2772">
        <v>1200</v>
      </c>
      <c r="BA2772">
        <v>1</v>
      </c>
      <c r="BB2772" t="str">
        <f t="shared" si="1280"/>
        <v xml:space="preserve">N711JA  </v>
      </c>
      <c r="BC2772">
        <v>1</v>
      </c>
      <c r="BE2772">
        <v>0</v>
      </c>
      <c r="BF2772">
        <v>0</v>
      </c>
      <c r="BG2772">
        <v>0</v>
      </c>
      <c r="BH2772">
        <v>2550</v>
      </c>
      <c r="BI2772">
        <v>1</v>
      </c>
      <c r="BJ2772">
        <v>1</v>
      </c>
      <c r="BK2772">
        <v>0</v>
      </c>
      <c r="BL2772">
        <v>0</v>
      </c>
      <c r="BO2772">
        <v>0</v>
      </c>
      <c r="BP2772">
        <v>0</v>
      </c>
      <c r="BW2772" t="str">
        <f t="shared" si="1305"/>
        <v>14:46:07.713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2</v>
      </c>
      <c r="CP2772" t="s">
        <v>675</v>
      </c>
      <c r="CQ2772">
        <v>362</v>
      </c>
      <c r="CR2772">
        <v>0</v>
      </c>
      <c r="CW2772">
        <v>2342270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1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 t="shared" si="1304"/>
        <v>05/12/2020 14:45:49.890</v>
      </c>
      <c r="C2773" t="str">
        <f t="shared" si="1279"/>
        <v>FFDFD3C0</v>
      </c>
      <c r="D2773" t="s">
        <v>113</v>
      </c>
      <c r="E2773">
        <v>3</v>
      </c>
      <c r="H2773">
        <v>164</v>
      </c>
      <c r="I2773" t="s">
        <v>114</v>
      </c>
      <c r="J2773" t="s">
        <v>115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306"/>
        <v>14:46:07.711</v>
      </c>
      <c r="T2773" t="str">
        <f>"14:46:07.711"</f>
        <v>14:46:07.711</v>
      </c>
      <c r="U2773" t="str">
        <f t="shared" si="1300"/>
        <v>A9808D</v>
      </c>
      <c r="V2773">
        <v>0</v>
      </c>
      <c r="W2773">
        <v>0</v>
      </c>
      <c r="X2773">
        <v>1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0</v>
      </c>
      <c r="AI2773" t="s">
        <v>682</v>
      </c>
      <c r="AJ2773">
        <v>28.24851</v>
      </c>
      <c r="AK2773" t="s">
        <v>683</v>
      </c>
      <c r="AL2773">
        <v>-82.307832000000005</v>
      </c>
      <c r="AM2773">
        <v>100</v>
      </c>
      <c r="AN2773">
        <v>2400</v>
      </c>
      <c r="AO2773" t="s">
        <v>118</v>
      </c>
      <c r="AP2773">
        <v>105</v>
      </c>
      <c r="AQ2773">
        <v>-19</v>
      </c>
      <c r="AR2773">
        <v>128</v>
      </c>
      <c r="AZ2773">
        <v>1200</v>
      </c>
      <c r="BA2773">
        <v>1</v>
      </c>
      <c r="BB2773" t="str">
        <f t="shared" si="1280"/>
        <v xml:space="preserve">N711JA  </v>
      </c>
      <c r="BC2773">
        <v>1</v>
      </c>
      <c r="BE2773">
        <v>0</v>
      </c>
      <c r="BF2773">
        <v>0</v>
      </c>
      <c r="BG2773">
        <v>0</v>
      </c>
      <c r="BH2773">
        <v>2550</v>
      </c>
      <c r="BI2773">
        <v>1</v>
      </c>
      <c r="BJ2773">
        <v>1</v>
      </c>
      <c r="BK2773">
        <v>0</v>
      </c>
      <c r="BL2773">
        <v>0</v>
      </c>
      <c r="BO2773">
        <v>0</v>
      </c>
      <c r="BP2773">
        <v>0</v>
      </c>
      <c r="BW2773" t="str">
        <f t="shared" si="1305"/>
        <v>14:46:07.713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5</v>
      </c>
      <c r="CP2773" t="s">
        <v>119</v>
      </c>
      <c r="CQ2773">
        <v>62</v>
      </c>
      <c r="CR2773">
        <v>1</v>
      </c>
      <c r="CW2773">
        <v>12834755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1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 t="shared" si="1304"/>
        <v>05/12/2020 14:45:49.890</v>
      </c>
      <c r="C2774" t="str">
        <f t="shared" ref="C2774:C2837" si="1307">"FFDFD3C0"</f>
        <v>FFDFD3C0</v>
      </c>
      <c r="D2774" t="s">
        <v>138</v>
      </c>
      <c r="E2774">
        <v>2</v>
      </c>
      <c r="H2774">
        <v>8</v>
      </c>
      <c r="I2774" t="s">
        <v>139</v>
      </c>
      <c r="J2774" t="s">
        <v>136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si="1306"/>
        <v>14:46:07.711</v>
      </c>
      <c r="T2774" t="str">
        <f>"14:46:06.711"</f>
        <v>14:46:06.711</v>
      </c>
      <c r="U2774" t="str">
        <f t="shared" si="1300"/>
        <v>A9808D</v>
      </c>
      <c r="V2774">
        <v>0</v>
      </c>
      <c r="W2774">
        <v>0</v>
      </c>
      <c r="X2774">
        <v>1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0</v>
      </c>
      <c r="AI2774" t="s">
        <v>682</v>
      </c>
      <c r="AJ2774">
        <v>28.24851</v>
      </c>
      <c r="AK2774" t="s">
        <v>683</v>
      </c>
      <c r="AL2774">
        <v>-82.307832000000005</v>
      </c>
      <c r="AM2774">
        <v>100</v>
      </c>
      <c r="AN2774">
        <v>2400</v>
      </c>
      <c r="AO2774" t="s">
        <v>118</v>
      </c>
      <c r="AP2774">
        <v>105</v>
      </c>
      <c r="AQ2774">
        <v>-20</v>
      </c>
      <c r="AR2774">
        <v>192</v>
      </c>
      <c r="AZ2774">
        <v>1200</v>
      </c>
      <c r="BA2774">
        <v>1</v>
      </c>
      <c r="BB2774" t="str">
        <f t="shared" ref="BB2774:BB2837" si="1308">"N711JA  "</f>
        <v xml:space="preserve">N711JA  </v>
      </c>
      <c r="BC2774">
        <v>1</v>
      </c>
      <c r="BE2774">
        <v>0</v>
      </c>
      <c r="BF2774">
        <v>0</v>
      </c>
      <c r="BG2774">
        <v>0</v>
      </c>
      <c r="BH2774">
        <v>2550</v>
      </c>
      <c r="BI2774">
        <v>1</v>
      </c>
      <c r="BJ2774">
        <v>1</v>
      </c>
      <c r="BK2774">
        <v>0</v>
      </c>
      <c r="BL2774">
        <v>0</v>
      </c>
      <c r="BO2774">
        <v>0</v>
      </c>
      <c r="BP2774">
        <v>0</v>
      </c>
      <c r="BW2774" t="str">
        <f t="shared" si="1305"/>
        <v>14:46:07.713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2</v>
      </c>
      <c r="CP2774" t="s">
        <v>675</v>
      </c>
      <c r="CQ2774">
        <v>362</v>
      </c>
      <c r="CR2774">
        <v>0</v>
      </c>
      <c r="CW2774">
        <v>2342270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1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 t="shared" si="1304"/>
        <v>05/12/2020 14:45:49.890</v>
      </c>
      <c r="C2775" t="str">
        <f t="shared" si="1307"/>
        <v>FFDFD3C0</v>
      </c>
      <c r="D2775" t="s">
        <v>131</v>
      </c>
      <c r="E2775">
        <v>18</v>
      </c>
      <c r="F2775">
        <v>2018</v>
      </c>
      <c r="G2775" t="s">
        <v>161</v>
      </c>
      <c r="J2775" t="s">
        <v>133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si="1306"/>
        <v>14:46:07.711</v>
      </c>
      <c r="T2775" t="str">
        <f>"14:46:07.711"</f>
        <v>14:46:07.711</v>
      </c>
      <c r="U2775" t="str">
        <f t="shared" si="1300"/>
        <v>A9808D</v>
      </c>
      <c r="V2775">
        <v>0</v>
      </c>
      <c r="W2775">
        <v>0</v>
      </c>
      <c r="X2775">
        <v>1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0</v>
      </c>
      <c r="AI2775" t="s">
        <v>682</v>
      </c>
      <c r="AJ2775">
        <v>28.24851</v>
      </c>
      <c r="AK2775" t="s">
        <v>683</v>
      </c>
      <c r="AL2775">
        <v>-82.307832000000005</v>
      </c>
      <c r="AM2775">
        <v>100</v>
      </c>
      <c r="AN2775">
        <v>2400</v>
      </c>
      <c r="AO2775" t="s">
        <v>118</v>
      </c>
      <c r="AP2775">
        <v>105</v>
      </c>
      <c r="AQ2775">
        <v>-19</v>
      </c>
      <c r="AR2775">
        <v>128</v>
      </c>
      <c r="AZ2775">
        <v>1200</v>
      </c>
      <c r="BA2775">
        <v>1</v>
      </c>
      <c r="BB2775" t="str">
        <f t="shared" si="1308"/>
        <v xml:space="preserve">N711JA  </v>
      </c>
      <c r="BC2775">
        <v>1</v>
      </c>
      <c r="BE2775">
        <v>0</v>
      </c>
      <c r="BF2775">
        <v>0</v>
      </c>
      <c r="BG2775">
        <v>0</v>
      </c>
      <c r="BH2775">
        <v>2550</v>
      </c>
      <c r="BI2775">
        <v>1</v>
      </c>
      <c r="BJ2775">
        <v>1</v>
      </c>
      <c r="BK2775">
        <v>0</v>
      </c>
      <c r="BL2775">
        <v>0</v>
      </c>
      <c r="BO2775">
        <v>0</v>
      </c>
      <c r="BP2775">
        <v>0</v>
      </c>
      <c r="BW2775" t="str">
        <f t="shared" si="1305"/>
        <v>14:46:07.713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5</v>
      </c>
      <c r="CP2775" t="s">
        <v>119</v>
      </c>
      <c r="CQ2775">
        <v>62</v>
      </c>
      <c r="CR2775">
        <v>1</v>
      </c>
      <c r="CW2775">
        <v>12834755</v>
      </c>
      <c r="CY2775">
        <v>1</v>
      </c>
      <c r="CZ2775">
        <v>0</v>
      </c>
      <c r="DA2775">
        <v>1</v>
      </c>
      <c r="DB2775">
        <v>0</v>
      </c>
      <c r="DC2775">
        <v>0</v>
      </c>
      <c r="DD2775">
        <v>1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 t="shared" si="1304"/>
        <v>05/12/2020 14:45:49.890</v>
      </c>
      <c r="C2776" t="str">
        <f t="shared" si="1307"/>
        <v>FFDFD3C0</v>
      </c>
      <c r="D2776" t="s">
        <v>134</v>
      </c>
      <c r="E2776">
        <v>12</v>
      </c>
      <c r="H2776">
        <v>64</v>
      </c>
      <c r="I2776" t="s">
        <v>135</v>
      </c>
      <c r="J2776" t="s">
        <v>136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306"/>
        <v>14:46:07.711</v>
      </c>
      <c r="T2776" t="str">
        <f>"14:46:07.711"</f>
        <v>14:46:07.711</v>
      </c>
      <c r="U2776" t="str">
        <f t="shared" si="1300"/>
        <v>A9808D</v>
      </c>
      <c r="V2776">
        <v>0</v>
      </c>
      <c r="W2776">
        <v>0</v>
      </c>
      <c r="X2776">
        <v>1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0</v>
      </c>
      <c r="AI2776" t="s">
        <v>682</v>
      </c>
      <c r="AJ2776">
        <v>28.24851</v>
      </c>
      <c r="AK2776" t="s">
        <v>683</v>
      </c>
      <c r="AL2776">
        <v>-82.307832000000005</v>
      </c>
      <c r="AM2776">
        <v>100</v>
      </c>
      <c r="AN2776">
        <v>2400</v>
      </c>
      <c r="AO2776" t="s">
        <v>118</v>
      </c>
      <c r="AP2776">
        <v>105</v>
      </c>
      <c r="AQ2776">
        <v>-19</v>
      </c>
      <c r="AR2776">
        <v>128</v>
      </c>
      <c r="AZ2776">
        <v>1200</v>
      </c>
      <c r="BA2776">
        <v>1</v>
      </c>
      <c r="BB2776" t="str">
        <f t="shared" si="1308"/>
        <v xml:space="preserve">N711JA  </v>
      </c>
      <c r="BC2776">
        <v>1</v>
      </c>
      <c r="BE2776">
        <v>0</v>
      </c>
      <c r="BF2776">
        <v>0</v>
      </c>
      <c r="BG2776">
        <v>0</v>
      </c>
      <c r="BH2776">
        <v>2550</v>
      </c>
      <c r="BI2776">
        <v>1</v>
      </c>
      <c r="BJ2776">
        <v>1</v>
      </c>
      <c r="BK2776">
        <v>0</v>
      </c>
      <c r="BL2776">
        <v>0</v>
      </c>
      <c r="BO2776">
        <v>0</v>
      </c>
      <c r="BP2776">
        <v>0</v>
      </c>
      <c r="BW2776" t="str">
        <f t="shared" si="1305"/>
        <v>14:46:07.713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6</v>
      </c>
      <c r="CP2776" t="s">
        <v>119</v>
      </c>
      <c r="CQ2776">
        <v>358</v>
      </c>
      <c r="CR2776">
        <v>0</v>
      </c>
      <c r="CW2776">
        <v>4887857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1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 t="shared" si="1304"/>
        <v>05/12/2020 14:45:49.890</v>
      </c>
      <c r="C2777" t="str">
        <f t="shared" si="1307"/>
        <v>FFDFD3C0</v>
      </c>
      <c r="D2777" t="s">
        <v>138</v>
      </c>
      <c r="E2777">
        <v>3</v>
      </c>
      <c r="H2777">
        <v>9</v>
      </c>
      <c r="I2777" t="s">
        <v>140</v>
      </c>
      <c r="J2777" t="s">
        <v>136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306"/>
        <v>14:46:07.711</v>
      </c>
      <c r="T2777" t="str">
        <f>"14:46:07.711"</f>
        <v>14:46:07.711</v>
      </c>
      <c r="U2777" t="str">
        <f t="shared" si="1300"/>
        <v>A9808D</v>
      </c>
      <c r="V2777">
        <v>0</v>
      </c>
      <c r="W2777">
        <v>0</v>
      </c>
      <c r="X2777">
        <v>1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0</v>
      </c>
      <c r="AI2777" t="s">
        <v>682</v>
      </c>
      <c r="AJ2777">
        <v>28.24851</v>
      </c>
      <c r="AK2777" t="s">
        <v>683</v>
      </c>
      <c r="AL2777">
        <v>-82.307832000000005</v>
      </c>
      <c r="AM2777">
        <v>100</v>
      </c>
      <c r="AN2777">
        <v>2400</v>
      </c>
      <c r="AO2777" t="s">
        <v>118</v>
      </c>
      <c r="AP2777">
        <v>105</v>
      </c>
      <c r="AQ2777">
        <v>-19</v>
      </c>
      <c r="AR2777">
        <v>128</v>
      </c>
      <c r="AZ2777">
        <v>1200</v>
      </c>
      <c r="BA2777">
        <v>1</v>
      </c>
      <c r="BB2777" t="str">
        <f t="shared" si="1308"/>
        <v xml:space="preserve">N711JA  </v>
      </c>
      <c r="BC2777">
        <v>1</v>
      </c>
      <c r="BE2777">
        <v>0</v>
      </c>
      <c r="BF2777">
        <v>0</v>
      </c>
      <c r="BG2777">
        <v>0</v>
      </c>
      <c r="BH2777">
        <v>2550</v>
      </c>
      <c r="BI2777">
        <v>1</v>
      </c>
      <c r="BJ2777">
        <v>1</v>
      </c>
      <c r="BK2777">
        <v>0</v>
      </c>
      <c r="BL2777">
        <v>0</v>
      </c>
      <c r="BO2777">
        <v>0</v>
      </c>
      <c r="BP2777">
        <v>0</v>
      </c>
      <c r="BW2777" t="str">
        <f t="shared" si="1305"/>
        <v>14:46:07.713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6</v>
      </c>
      <c r="CP2777" t="s">
        <v>119</v>
      </c>
      <c r="CQ2777">
        <v>358</v>
      </c>
      <c r="CR2777">
        <v>0</v>
      </c>
      <c r="CW2777">
        <v>4887857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1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 t="shared" si="1304"/>
        <v>05/12/2020 14:45:49.890</v>
      </c>
      <c r="C2778" t="str">
        <f t="shared" si="1307"/>
        <v>FFDFD3C0</v>
      </c>
      <c r="D2778" t="s">
        <v>126</v>
      </c>
      <c r="E2778">
        <v>7</v>
      </c>
      <c r="F2778">
        <v>1007</v>
      </c>
      <c r="G2778" t="s">
        <v>127</v>
      </c>
      <c r="J2778" t="s">
        <v>128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306"/>
        <v>14:46:07.711</v>
      </c>
      <c r="T2778" t="str">
        <f>"14:46:07.711"</f>
        <v>14:46:07.711</v>
      </c>
      <c r="U2778" t="str">
        <f t="shared" si="1300"/>
        <v>A9808D</v>
      </c>
      <c r="V2778">
        <v>0</v>
      </c>
      <c r="W2778">
        <v>0</v>
      </c>
      <c r="X2778">
        <v>1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0</v>
      </c>
      <c r="AI2778" t="s">
        <v>682</v>
      </c>
      <c r="AJ2778">
        <v>28.24851</v>
      </c>
      <c r="AK2778" t="s">
        <v>683</v>
      </c>
      <c r="AL2778">
        <v>-82.307832000000005</v>
      </c>
      <c r="AM2778">
        <v>100</v>
      </c>
      <c r="AN2778">
        <v>2400</v>
      </c>
      <c r="AO2778" t="s">
        <v>118</v>
      </c>
      <c r="AP2778">
        <v>105</v>
      </c>
      <c r="AQ2778">
        <v>-19</v>
      </c>
      <c r="AR2778">
        <v>128</v>
      </c>
      <c r="AZ2778">
        <v>1200</v>
      </c>
      <c r="BA2778">
        <v>1</v>
      </c>
      <c r="BB2778" t="str">
        <f t="shared" si="1308"/>
        <v xml:space="preserve">N711JA  </v>
      </c>
      <c r="BC2778">
        <v>1</v>
      </c>
      <c r="BE2778">
        <v>0</v>
      </c>
      <c r="BF2778">
        <v>0</v>
      </c>
      <c r="BG2778">
        <v>0</v>
      </c>
      <c r="BH2778">
        <v>2550</v>
      </c>
      <c r="BI2778">
        <v>1</v>
      </c>
      <c r="BJ2778">
        <v>1</v>
      </c>
      <c r="BK2778">
        <v>0</v>
      </c>
      <c r="BL2778">
        <v>0</v>
      </c>
      <c r="BO2778">
        <v>0</v>
      </c>
      <c r="BP2778">
        <v>0</v>
      </c>
      <c r="BW2778" t="str">
        <f t="shared" si="1305"/>
        <v>14:46:07.713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6</v>
      </c>
      <c r="CP2778" t="s">
        <v>119</v>
      </c>
      <c r="CQ2778">
        <v>358</v>
      </c>
      <c r="CR2778">
        <v>0</v>
      </c>
      <c r="CW2778">
        <v>4887857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1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 t="shared" si="1304"/>
        <v>05/12/2020 14:45:49.890</v>
      </c>
      <c r="C2779" t="str">
        <f t="shared" si="1307"/>
        <v>FFDFD3C0</v>
      </c>
      <c r="D2779" t="s">
        <v>131</v>
      </c>
      <c r="E2779">
        <v>10</v>
      </c>
      <c r="F2779">
        <v>2010</v>
      </c>
      <c r="G2779" t="s">
        <v>132</v>
      </c>
      <c r="J2779" t="s">
        <v>133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306"/>
        <v>14:46:07.711</v>
      </c>
      <c r="T2779" t="str">
        <f>"14:46:07.711"</f>
        <v>14:46:07.711</v>
      </c>
      <c r="U2779" t="str">
        <f t="shared" si="1300"/>
        <v>A9808D</v>
      </c>
      <c r="V2779">
        <v>0</v>
      </c>
      <c r="W2779">
        <v>0</v>
      </c>
      <c r="X2779">
        <v>1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0</v>
      </c>
      <c r="AI2779" t="s">
        <v>682</v>
      </c>
      <c r="AJ2779">
        <v>28.24851</v>
      </c>
      <c r="AK2779" t="s">
        <v>683</v>
      </c>
      <c r="AL2779">
        <v>-82.307832000000005</v>
      </c>
      <c r="AM2779">
        <v>100</v>
      </c>
      <c r="AN2779">
        <v>2400</v>
      </c>
      <c r="AO2779" t="s">
        <v>118</v>
      </c>
      <c r="AP2779">
        <v>105</v>
      </c>
      <c r="AQ2779">
        <v>-19</v>
      </c>
      <c r="AR2779">
        <v>128</v>
      </c>
      <c r="AZ2779">
        <v>1200</v>
      </c>
      <c r="BA2779">
        <v>1</v>
      </c>
      <c r="BB2779" t="str">
        <f t="shared" si="1308"/>
        <v xml:space="preserve">N711JA  </v>
      </c>
      <c r="BC2779">
        <v>1</v>
      </c>
      <c r="BE2779">
        <v>0</v>
      </c>
      <c r="BF2779">
        <v>0</v>
      </c>
      <c r="BG2779">
        <v>0</v>
      </c>
      <c r="BH2779">
        <v>2550</v>
      </c>
      <c r="BI2779">
        <v>1</v>
      </c>
      <c r="BJ2779">
        <v>1</v>
      </c>
      <c r="BK2779">
        <v>0</v>
      </c>
      <c r="BL2779">
        <v>0</v>
      </c>
      <c r="BO2779">
        <v>0</v>
      </c>
      <c r="BP2779">
        <v>0</v>
      </c>
      <c r="BW2779" t="str">
        <f t="shared" si="1305"/>
        <v>14:46:07.713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6</v>
      </c>
      <c r="CP2779" t="s">
        <v>119</v>
      </c>
      <c r="CQ2779">
        <v>358</v>
      </c>
      <c r="CR2779">
        <v>0</v>
      </c>
      <c r="CW2779">
        <v>4887857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1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 t="shared" ref="A2780:A2788" si="1309">"05/12/2020 14:45:50.860"</f>
        <v>05/12/2020 14:45:50.860</v>
      </c>
      <c r="C2780" t="str">
        <f t="shared" si="1307"/>
        <v>FFDFD3C0</v>
      </c>
      <c r="D2780" t="s">
        <v>134</v>
      </c>
      <c r="E2780">
        <v>12</v>
      </c>
      <c r="H2780">
        <v>64</v>
      </c>
      <c r="I2780" t="s">
        <v>135</v>
      </c>
      <c r="J2780" t="s">
        <v>136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ref="S2780:S2788" si="1310">"14:46:08.688"</f>
        <v>14:46:08.688</v>
      </c>
      <c r="T2780" t="str">
        <f>"14:46:08.188"</f>
        <v>14:46:08.188</v>
      </c>
      <c r="U2780" t="str">
        <f t="shared" si="1300"/>
        <v>A9808D</v>
      </c>
      <c r="V2780">
        <v>0</v>
      </c>
      <c r="W2780">
        <v>0</v>
      </c>
      <c r="X2780">
        <v>1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0</v>
      </c>
      <c r="AI2780" t="s">
        <v>684</v>
      </c>
      <c r="AJ2780">
        <v>28.248403</v>
      </c>
      <c r="AK2780" t="s">
        <v>685</v>
      </c>
      <c r="AL2780">
        <v>-82.307360000000003</v>
      </c>
      <c r="AM2780">
        <v>100</v>
      </c>
      <c r="AN2780">
        <v>2400</v>
      </c>
      <c r="AO2780" t="s">
        <v>118</v>
      </c>
      <c r="AP2780">
        <v>105</v>
      </c>
      <c r="AQ2780">
        <v>-19</v>
      </c>
      <c r="AR2780">
        <v>128</v>
      </c>
      <c r="AZ2780">
        <v>1200</v>
      </c>
      <c r="BA2780">
        <v>1</v>
      </c>
      <c r="BB2780" t="str">
        <f t="shared" si="1308"/>
        <v xml:space="preserve">N711JA  </v>
      </c>
      <c r="BC2780">
        <v>1</v>
      </c>
      <c r="BE2780">
        <v>0</v>
      </c>
      <c r="BF2780">
        <v>0</v>
      </c>
      <c r="BG2780">
        <v>0</v>
      </c>
      <c r="BH2780">
        <v>2550</v>
      </c>
      <c r="BI2780">
        <v>1</v>
      </c>
      <c r="BJ2780">
        <v>1</v>
      </c>
      <c r="BK2780">
        <v>0</v>
      </c>
      <c r="BL2780">
        <v>0</v>
      </c>
      <c r="BO2780">
        <v>0</v>
      </c>
      <c r="BP2780">
        <v>0</v>
      </c>
      <c r="BW2780" t="str">
        <f t="shared" ref="BW2780:BW2788" si="1311">"14:46:08.689"</f>
        <v>14:46:08.689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6</v>
      </c>
      <c r="CP2780" t="s">
        <v>119</v>
      </c>
      <c r="CQ2780">
        <v>358</v>
      </c>
      <c r="CR2780">
        <v>0</v>
      </c>
      <c r="CW2780">
        <v>4888980</v>
      </c>
      <c r="CY2780">
        <v>1</v>
      </c>
      <c r="CZ2780">
        <v>0</v>
      </c>
      <c r="DA2780">
        <v>0</v>
      </c>
      <c r="DB2780">
        <v>0</v>
      </c>
      <c r="DC2780">
        <v>0</v>
      </c>
      <c r="DD2780">
        <v>1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 t="shared" si="1309"/>
        <v>05/12/2020 14:45:50.860</v>
      </c>
      <c r="C2781" t="str">
        <f t="shared" si="1307"/>
        <v>FFDFD3C0</v>
      </c>
      <c r="D2781" t="s">
        <v>138</v>
      </c>
      <c r="E2781">
        <v>3</v>
      </c>
      <c r="H2781">
        <v>9</v>
      </c>
      <c r="I2781" t="s">
        <v>140</v>
      </c>
      <c r="J2781" t="s">
        <v>136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310"/>
        <v>14:46:08.688</v>
      </c>
      <c r="T2781" t="str">
        <f>"14:46:08.188"</f>
        <v>14:46:08.188</v>
      </c>
      <c r="U2781" t="str">
        <f t="shared" si="1300"/>
        <v>A9808D</v>
      </c>
      <c r="V2781">
        <v>0</v>
      </c>
      <c r="W2781">
        <v>0</v>
      </c>
      <c r="X2781">
        <v>1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0</v>
      </c>
      <c r="AI2781" t="s">
        <v>684</v>
      </c>
      <c r="AJ2781">
        <v>28.248403</v>
      </c>
      <c r="AK2781" t="s">
        <v>685</v>
      </c>
      <c r="AL2781">
        <v>-82.307360000000003</v>
      </c>
      <c r="AM2781">
        <v>100</v>
      </c>
      <c r="AN2781">
        <v>2400</v>
      </c>
      <c r="AO2781" t="s">
        <v>118</v>
      </c>
      <c r="AP2781">
        <v>105</v>
      </c>
      <c r="AQ2781">
        <v>-19</v>
      </c>
      <c r="AR2781">
        <v>128</v>
      </c>
      <c r="AZ2781">
        <v>1200</v>
      </c>
      <c r="BA2781">
        <v>1</v>
      </c>
      <c r="BB2781" t="str">
        <f t="shared" si="1308"/>
        <v xml:space="preserve">N711JA  </v>
      </c>
      <c r="BC2781">
        <v>1</v>
      </c>
      <c r="BE2781">
        <v>0</v>
      </c>
      <c r="BF2781">
        <v>0</v>
      </c>
      <c r="BG2781">
        <v>0</v>
      </c>
      <c r="BH2781">
        <v>2550</v>
      </c>
      <c r="BI2781">
        <v>1</v>
      </c>
      <c r="BJ2781">
        <v>1</v>
      </c>
      <c r="BK2781">
        <v>0</v>
      </c>
      <c r="BL2781">
        <v>0</v>
      </c>
      <c r="BO2781">
        <v>0</v>
      </c>
      <c r="BP2781">
        <v>0</v>
      </c>
      <c r="BW2781" t="str">
        <f t="shared" si="1311"/>
        <v>14:46:08.689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6</v>
      </c>
      <c r="CP2781" t="s">
        <v>119</v>
      </c>
      <c r="CQ2781">
        <v>358</v>
      </c>
      <c r="CR2781">
        <v>0</v>
      </c>
      <c r="CW2781">
        <v>4888980</v>
      </c>
      <c r="CY2781">
        <v>1</v>
      </c>
      <c r="CZ2781">
        <v>0</v>
      </c>
      <c r="DA2781">
        <v>1</v>
      </c>
      <c r="DB2781">
        <v>0</v>
      </c>
      <c r="DC2781">
        <v>0</v>
      </c>
      <c r="DD2781">
        <v>1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 t="shared" si="1309"/>
        <v>05/12/2020 14:45:50.860</v>
      </c>
      <c r="C2782" t="str">
        <f t="shared" si="1307"/>
        <v>FFDFD3C0</v>
      </c>
      <c r="D2782" t="s">
        <v>126</v>
      </c>
      <c r="E2782">
        <v>7</v>
      </c>
      <c r="F2782">
        <v>1007</v>
      </c>
      <c r="G2782" t="s">
        <v>127</v>
      </c>
      <c r="J2782" t="s">
        <v>128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310"/>
        <v>14:46:08.688</v>
      </c>
      <c r="T2782" t="str">
        <f>"14:46:08.188"</f>
        <v>14:46:08.188</v>
      </c>
      <c r="U2782" t="str">
        <f t="shared" si="1300"/>
        <v>A9808D</v>
      </c>
      <c r="V2782">
        <v>0</v>
      </c>
      <c r="W2782">
        <v>0</v>
      </c>
      <c r="X2782">
        <v>1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0</v>
      </c>
      <c r="AI2782" t="s">
        <v>684</v>
      </c>
      <c r="AJ2782">
        <v>28.248403</v>
      </c>
      <c r="AK2782" t="s">
        <v>685</v>
      </c>
      <c r="AL2782">
        <v>-82.307360000000003</v>
      </c>
      <c r="AM2782">
        <v>100</v>
      </c>
      <c r="AN2782">
        <v>2400</v>
      </c>
      <c r="AO2782" t="s">
        <v>118</v>
      </c>
      <c r="AP2782">
        <v>105</v>
      </c>
      <c r="AQ2782">
        <v>-19</v>
      </c>
      <c r="AR2782">
        <v>128</v>
      </c>
      <c r="AZ2782">
        <v>1200</v>
      </c>
      <c r="BA2782">
        <v>1</v>
      </c>
      <c r="BB2782" t="str">
        <f t="shared" si="1308"/>
        <v xml:space="preserve">N711JA  </v>
      </c>
      <c r="BC2782">
        <v>1</v>
      </c>
      <c r="BE2782">
        <v>0</v>
      </c>
      <c r="BF2782">
        <v>0</v>
      </c>
      <c r="BG2782">
        <v>0</v>
      </c>
      <c r="BH2782">
        <v>2550</v>
      </c>
      <c r="BI2782">
        <v>1</v>
      </c>
      <c r="BJ2782">
        <v>1</v>
      </c>
      <c r="BK2782">
        <v>0</v>
      </c>
      <c r="BL2782">
        <v>0</v>
      </c>
      <c r="BO2782">
        <v>0</v>
      </c>
      <c r="BP2782">
        <v>0</v>
      </c>
      <c r="BW2782" t="str">
        <f t="shared" si="1311"/>
        <v>14:46:08.689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6</v>
      </c>
      <c r="CP2782" t="s">
        <v>119</v>
      </c>
      <c r="CQ2782">
        <v>358</v>
      </c>
      <c r="CR2782">
        <v>0</v>
      </c>
      <c r="CW2782">
        <v>4888980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1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 t="shared" si="1309"/>
        <v>05/12/2020 14:45:50.860</v>
      </c>
      <c r="C2783" t="str">
        <f t="shared" si="1307"/>
        <v>FFDFD3C0</v>
      </c>
      <c r="D2783" t="s">
        <v>131</v>
      </c>
      <c r="E2783">
        <v>10</v>
      </c>
      <c r="F2783">
        <v>2010</v>
      </c>
      <c r="G2783" t="s">
        <v>132</v>
      </c>
      <c r="J2783" t="s">
        <v>133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310"/>
        <v>14:46:08.688</v>
      </c>
      <c r="T2783" t="str">
        <f>"14:46:08.188"</f>
        <v>14:46:08.188</v>
      </c>
      <c r="U2783" t="str">
        <f t="shared" si="1300"/>
        <v>A9808D</v>
      </c>
      <c r="V2783">
        <v>0</v>
      </c>
      <c r="W2783">
        <v>0</v>
      </c>
      <c r="X2783">
        <v>1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0</v>
      </c>
      <c r="AI2783" t="s">
        <v>684</v>
      </c>
      <c r="AJ2783">
        <v>28.248403</v>
      </c>
      <c r="AK2783" t="s">
        <v>685</v>
      </c>
      <c r="AL2783">
        <v>-82.307360000000003</v>
      </c>
      <c r="AM2783">
        <v>100</v>
      </c>
      <c r="AN2783">
        <v>2400</v>
      </c>
      <c r="AO2783" t="s">
        <v>118</v>
      </c>
      <c r="AP2783">
        <v>105</v>
      </c>
      <c r="AQ2783">
        <v>-19</v>
      </c>
      <c r="AR2783">
        <v>128</v>
      </c>
      <c r="AZ2783">
        <v>1200</v>
      </c>
      <c r="BA2783">
        <v>1</v>
      </c>
      <c r="BB2783" t="str">
        <f t="shared" si="1308"/>
        <v xml:space="preserve">N711JA  </v>
      </c>
      <c r="BC2783">
        <v>1</v>
      </c>
      <c r="BE2783">
        <v>0</v>
      </c>
      <c r="BF2783">
        <v>0</v>
      </c>
      <c r="BG2783">
        <v>0</v>
      </c>
      <c r="BH2783">
        <v>2550</v>
      </c>
      <c r="BI2783">
        <v>1</v>
      </c>
      <c r="BJ2783">
        <v>1</v>
      </c>
      <c r="BK2783">
        <v>0</v>
      </c>
      <c r="BL2783">
        <v>0</v>
      </c>
      <c r="BO2783">
        <v>0</v>
      </c>
      <c r="BP2783">
        <v>0</v>
      </c>
      <c r="BW2783" t="str">
        <f t="shared" si="1311"/>
        <v>14:46:08.689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6</v>
      </c>
      <c r="CP2783" t="s">
        <v>119</v>
      </c>
      <c r="CQ2783">
        <v>358</v>
      </c>
      <c r="CR2783">
        <v>0</v>
      </c>
      <c r="CW2783">
        <v>4888980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1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 t="shared" si="1309"/>
        <v>05/12/2020 14:45:50.860</v>
      </c>
      <c r="C2784" t="str">
        <f t="shared" si="1307"/>
        <v>FFDFD3C0</v>
      </c>
      <c r="D2784" t="s">
        <v>131</v>
      </c>
      <c r="E2784">
        <v>12</v>
      </c>
      <c r="F2784">
        <v>2012</v>
      </c>
      <c r="G2784" t="s">
        <v>137</v>
      </c>
      <c r="J2784" t="s">
        <v>133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310"/>
        <v>14:46:08.688</v>
      </c>
      <c r="T2784" t="str">
        <f>"14:46:06.788"</f>
        <v>14:46:06.788</v>
      </c>
      <c r="U2784" t="str">
        <f t="shared" si="1300"/>
        <v>A9808D</v>
      </c>
      <c r="V2784">
        <v>0</v>
      </c>
      <c r="W2784">
        <v>0</v>
      </c>
      <c r="X2784">
        <v>1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0</v>
      </c>
      <c r="AI2784" t="s">
        <v>684</v>
      </c>
      <c r="AJ2784">
        <v>28.248403</v>
      </c>
      <c r="AK2784" t="s">
        <v>685</v>
      </c>
      <c r="AL2784">
        <v>-82.307360000000003</v>
      </c>
      <c r="AM2784">
        <v>100</v>
      </c>
      <c r="AN2784">
        <v>2400</v>
      </c>
      <c r="AO2784" t="s">
        <v>118</v>
      </c>
      <c r="AP2784">
        <v>105</v>
      </c>
      <c r="AQ2784">
        <v>-20</v>
      </c>
      <c r="AR2784">
        <v>192</v>
      </c>
      <c r="AZ2784">
        <v>1200</v>
      </c>
      <c r="BA2784">
        <v>1</v>
      </c>
      <c r="BB2784" t="str">
        <f t="shared" si="1308"/>
        <v xml:space="preserve">N711JA  </v>
      </c>
      <c r="BC2784">
        <v>1</v>
      </c>
      <c r="BE2784">
        <v>0</v>
      </c>
      <c r="BF2784">
        <v>0</v>
      </c>
      <c r="BG2784">
        <v>0</v>
      </c>
      <c r="BH2784">
        <v>2550</v>
      </c>
      <c r="BI2784">
        <v>1</v>
      </c>
      <c r="BJ2784">
        <v>1</v>
      </c>
      <c r="BK2784">
        <v>0</v>
      </c>
      <c r="BL2784">
        <v>0</v>
      </c>
      <c r="BO2784">
        <v>0</v>
      </c>
      <c r="BP2784">
        <v>0</v>
      </c>
      <c r="BW2784" t="str">
        <f t="shared" si="1311"/>
        <v>14:46:08.689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2</v>
      </c>
      <c r="CP2784" t="s">
        <v>675</v>
      </c>
      <c r="CQ2784">
        <v>362</v>
      </c>
      <c r="CR2784">
        <v>0</v>
      </c>
      <c r="CW2784">
        <v>2343534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1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 t="shared" si="1309"/>
        <v>05/12/2020 14:45:50.860</v>
      </c>
      <c r="C2785" t="str">
        <f t="shared" si="1307"/>
        <v>FFDFD3C0</v>
      </c>
      <c r="D2785" t="s">
        <v>131</v>
      </c>
      <c r="E2785">
        <v>18</v>
      </c>
      <c r="F2785">
        <v>2018</v>
      </c>
      <c r="G2785" t="s">
        <v>161</v>
      </c>
      <c r="J2785" t="s">
        <v>133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310"/>
        <v>14:46:08.688</v>
      </c>
      <c r="T2785" t="str">
        <f>"14:46:08.188"</f>
        <v>14:46:08.188</v>
      </c>
      <c r="U2785" t="str">
        <f t="shared" si="1300"/>
        <v>A9808D</v>
      </c>
      <c r="V2785">
        <v>0</v>
      </c>
      <c r="W2785">
        <v>0</v>
      </c>
      <c r="X2785">
        <v>1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0</v>
      </c>
      <c r="AI2785" t="s">
        <v>684</v>
      </c>
      <c r="AJ2785">
        <v>28.248403</v>
      </c>
      <c r="AK2785" t="s">
        <v>685</v>
      </c>
      <c r="AL2785">
        <v>-82.307360000000003</v>
      </c>
      <c r="AM2785">
        <v>100</v>
      </c>
      <c r="AN2785">
        <v>2400</v>
      </c>
      <c r="AO2785" t="s">
        <v>118</v>
      </c>
      <c r="AP2785">
        <v>105</v>
      </c>
      <c r="AQ2785">
        <v>-19</v>
      </c>
      <c r="AR2785">
        <v>128</v>
      </c>
      <c r="AZ2785">
        <v>1200</v>
      </c>
      <c r="BA2785">
        <v>1</v>
      </c>
      <c r="BB2785" t="str">
        <f t="shared" si="1308"/>
        <v xml:space="preserve">N711JA  </v>
      </c>
      <c r="BC2785">
        <v>1</v>
      </c>
      <c r="BE2785">
        <v>0</v>
      </c>
      <c r="BF2785">
        <v>0</v>
      </c>
      <c r="BG2785">
        <v>0</v>
      </c>
      <c r="BH2785">
        <v>2550</v>
      </c>
      <c r="BI2785">
        <v>1</v>
      </c>
      <c r="BJ2785">
        <v>1</v>
      </c>
      <c r="BK2785">
        <v>0</v>
      </c>
      <c r="BL2785">
        <v>0</v>
      </c>
      <c r="BO2785">
        <v>0</v>
      </c>
      <c r="BP2785">
        <v>0</v>
      </c>
      <c r="BW2785" t="str">
        <f t="shared" si="1311"/>
        <v>14:46:08.689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5</v>
      </c>
      <c r="CP2785" t="s">
        <v>119</v>
      </c>
      <c r="CQ2785">
        <v>62</v>
      </c>
      <c r="CR2785">
        <v>1</v>
      </c>
      <c r="CW2785">
        <v>12835794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1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 t="shared" si="1309"/>
        <v>05/12/2020 14:45:50.860</v>
      </c>
      <c r="C2786" t="str">
        <f t="shared" si="1307"/>
        <v>FFDFD3C0</v>
      </c>
      <c r="D2786" t="s">
        <v>113</v>
      </c>
      <c r="E2786">
        <v>3</v>
      </c>
      <c r="H2786">
        <v>164</v>
      </c>
      <c r="I2786" t="s">
        <v>114</v>
      </c>
      <c r="J2786" t="s">
        <v>115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310"/>
        <v>14:46:08.688</v>
      </c>
      <c r="T2786" t="str">
        <f>"14:46:08.188"</f>
        <v>14:46:08.188</v>
      </c>
      <c r="U2786" t="str">
        <f t="shared" si="1300"/>
        <v>A9808D</v>
      </c>
      <c r="V2786">
        <v>0</v>
      </c>
      <c r="W2786">
        <v>0</v>
      </c>
      <c r="X2786">
        <v>1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0</v>
      </c>
      <c r="AI2786" t="s">
        <v>684</v>
      </c>
      <c r="AJ2786">
        <v>28.248403</v>
      </c>
      <c r="AK2786" t="s">
        <v>685</v>
      </c>
      <c r="AL2786">
        <v>-82.307360000000003</v>
      </c>
      <c r="AM2786">
        <v>100</v>
      </c>
      <c r="AN2786">
        <v>2400</v>
      </c>
      <c r="AO2786" t="s">
        <v>118</v>
      </c>
      <c r="AP2786">
        <v>105</v>
      </c>
      <c r="AQ2786">
        <v>-19</v>
      </c>
      <c r="AR2786">
        <v>128</v>
      </c>
      <c r="AZ2786">
        <v>1200</v>
      </c>
      <c r="BA2786">
        <v>1</v>
      </c>
      <c r="BB2786" t="str">
        <f t="shared" si="1308"/>
        <v xml:space="preserve">N711JA  </v>
      </c>
      <c r="BC2786">
        <v>1</v>
      </c>
      <c r="BE2786">
        <v>0</v>
      </c>
      <c r="BF2786">
        <v>0</v>
      </c>
      <c r="BG2786">
        <v>0</v>
      </c>
      <c r="BH2786">
        <v>2550</v>
      </c>
      <c r="BI2786">
        <v>1</v>
      </c>
      <c r="BJ2786">
        <v>1</v>
      </c>
      <c r="BK2786">
        <v>0</v>
      </c>
      <c r="BL2786">
        <v>0</v>
      </c>
      <c r="BO2786">
        <v>0</v>
      </c>
      <c r="BP2786">
        <v>0</v>
      </c>
      <c r="BW2786" t="str">
        <f t="shared" si="1311"/>
        <v>14:46:08.689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5</v>
      </c>
      <c r="CP2786" t="s">
        <v>119</v>
      </c>
      <c r="CQ2786">
        <v>62</v>
      </c>
      <c r="CR2786">
        <v>1</v>
      </c>
      <c r="CW2786">
        <v>12835794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1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 t="shared" si="1309"/>
        <v>05/12/2020 14:45:50.860</v>
      </c>
      <c r="C2787" t="str">
        <f t="shared" si="1307"/>
        <v>FFDFD3C0</v>
      </c>
      <c r="D2787" t="s">
        <v>138</v>
      </c>
      <c r="E2787">
        <v>2</v>
      </c>
      <c r="H2787">
        <v>8</v>
      </c>
      <c r="I2787" t="s">
        <v>139</v>
      </c>
      <c r="J2787" t="s">
        <v>136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310"/>
        <v>14:46:08.688</v>
      </c>
      <c r="T2787" t="str">
        <f>"14:46:06.788"</f>
        <v>14:46:06.788</v>
      </c>
      <c r="U2787" t="str">
        <f t="shared" si="1300"/>
        <v>A9808D</v>
      </c>
      <c r="V2787">
        <v>0</v>
      </c>
      <c r="W2787">
        <v>0</v>
      </c>
      <c r="X2787">
        <v>1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0</v>
      </c>
      <c r="AI2787" t="s">
        <v>684</v>
      </c>
      <c r="AJ2787">
        <v>28.248403</v>
      </c>
      <c r="AK2787" t="s">
        <v>685</v>
      </c>
      <c r="AL2787">
        <v>-82.307360000000003</v>
      </c>
      <c r="AM2787">
        <v>100</v>
      </c>
      <c r="AN2787">
        <v>2400</v>
      </c>
      <c r="AO2787" t="s">
        <v>118</v>
      </c>
      <c r="AP2787">
        <v>105</v>
      </c>
      <c r="AQ2787">
        <v>-20</v>
      </c>
      <c r="AR2787">
        <v>192</v>
      </c>
      <c r="AZ2787">
        <v>1200</v>
      </c>
      <c r="BA2787">
        <v>1</v>
      </c>
      <c r="BB2787" t="str">
        <f t="shared" si="1308"/>
        <v xml:space="preserve">N711JA  </v>
      </c>
      <c r="BC2787">
        <v>1</v>
      </c>
      <c r="BE2787">
        <v>0</v>
      </c>
      <c r="BF2787">
        <v>0</v>
      </c>
      <c r="BG2787">
        <v>0</v>
      </c>
      <c r="BH2787">
        <v>2550</v>
      </c>
      <c r="BI2787">
        <v>1</v>
      </c>
      <c r="BJ2787">
        <v>1</v>
      </c>
      <c r="BK2787">
        <v>0</v>
      </c>
      <c r="BL2787">
        <v>0</v>
      </c>
      <c r="BO2787">
        <v>0</v>
      </c>
      <c r="BP2787">
        <v>0</v>
      </c>
      <c r="BW2787" t="str">
        <f t="shared" si="1311"/>
        <v>14:46:08.689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2</v>
      </c>
      <c r="CP2787" t="s">
        <v>675</v>
      </c>
      <c r="CQ2787">
        <v>362</v>
      </c>
      <c r="CR2787">
        <v>0</v>
      </c>
      <c r="CW2787">
        <v>2343534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1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 t="shared" si="1309"/>
        <v>05/12/2020 14:45:50.860</v>
      </c>
      <c r="C2788" t="str">
        <f t="shared" si="1307"/>
        <v>FFDFD3C0</v>
      </c>
      <c r="D2788" t="s">
        <v>126</v>
      </c>
      <c r="E2788">
        <v>6</v>
      </c>
      <c r="F2788">
        <v>1006</v>
      </c>
      <c r="G2788" t="s">
        <v>114</v>
      </c>
      <c r="J2788" t="s">
        <v>128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310"/>
        <v>14:46:08.688</v>
      </c>
      <c r="T2788" t="str">
        <f>"14:46:08.188"</f>
        <v>14:46:08.188</v>
      </c>
      <c r="U2788" t="str">
        <f t="shared" si="1300"/>
        <v>A9808D</v>
      </c>
      <c r="V2788">
        <v>0</v>
      </c>
      <c r="W2788">
        <v>0</v>
      </c>
      <c r="X2788">
        <v>1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0</v>
      </c>
      <c r="AI2788" t="s">
        <v>684</v>
      </c>
      <c r="AJ2788">
        <v>28.248403</v>
      </c>
      <c r="AK2788" t="s">
        <v>685</v>
      </c>
      <c r="AL2788">
        <v>-82.307360000000003</v>
      </c>
      <c r="AM2788">
        <v>100</v>
      </c>
      <c r="AN2788">
        <v>2400</v>
      </c>
      <c r="AO2788" t="s">
        <v>118</v>
      </c>
      <c r="AP2788">
        <v>105</v>
      </c>
      <c r="AQ2788">
        <v>-19</v>
      </c>
      <c r="AR2788">
        <v>128</v>
      </c>
      <c r="AZ2788">
        <v>1200</v>
      </c>
      <c r="BA2788">
        <v>1</v>
      </c>
      <c r="BB2788" t="str">
        <f t="shared" si="1308"/>
        <v xml:space="preserve">N711JA  </v>
      </c>
      <c r="BC2788">
        <v>1</v>
      </c>
      <c r="BE2788">
        <v>0</v>
      </c>
      <c r="BF2788">
        <v>0</v>
      </c>
      <c r="BG2788">
        <v>0</v>
      </c>
      <c r="BH2788">
        <v>2550</v>
      </c>
      <c r="BI2788">
        <v>1</v>
      </c>
      <c r="BJ2788">
        <v>1</v>
      </c>
      <c r="BK2788">
        <v>0</v>
      </c>
      <c r="BL2788">
        <v>0</v>
      </c>
      <c r="BO2788">
        <v>0</v>
      </c>
      <c r="BP2788">
        <v>0</v>
      </c>
      <c r="BW2788" t="str">
        <f t="shared" si="1311"/>
        <v>14:46:08.689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358</v>
      </c>
      <c r="CR2788">
        <v>0</v>
      </c>
      <c r="CW2788">
        <v>4888980</v>
      </c>
      <c r="CY2788">
        <v>1</v>
      </c>
      <c r="CZ2788">
        <v>0</v>
      </c>
      <c r="DA2788">
        <v>1</v>
      </c>
      <c r="DB2788">
        <v>0</v>
      </c>
      <c r="DC2788">
        <v>0</v>
      </c>
      <c r="DD2788">
        <v>1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>"05/12/2020 14:45:51.829"</f>
        <v>05/12/2020 14:45:51.829</v>
      </c>
      <c r="C2789" t="str">
        <f t="shared" si="1307"/>
        <v>FFDFD3C0</v>
      </c>
      <c r="D2789" t="s">
        <v>126</v>
      </c>
      <c r="E2789">
        <v>7</v>
      </c>
      <c r="F2789">
        <v>1007</v>
      </c>
      <c r="G2789" t="s">
        <v>127</v>
      </c>
      <c r="J2789" t="s">
        <v>128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"14:46:09.633"</f>
        <v>14:46:09.633</v>
      </c>
      <c r="T2789" t="str">
        <f>"14:46:09.233"</f>
        <v>14:46:09.233</v>
      </c>
      <c r="U2789" t="str">
        <f t="shared" si="1300"/>
        <v>A9808D</v>
      </c>
      <c r="V2789">
        <v>0</v>
      </c>
      <c r="W2789">
        <v>0</v>
      </c>
      <c r="X2789">
        <v>1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0</v>
      </c>
      <c r="AI2789" t="s">
        <v>686</v>
      </c>
      <c r="AJ2789">
        <v>28.248317</v>
      </c>
      <c r="AK2789" t="s">
        <v>687</v>
      </c>
      <c r="AL2789">
        <v>-82.306781000000001</v>
      </c>
      <c r="AM2789">
        <v>100</v>
      </c>
      <c r="AN2789">
        <v>2400</v>
      </c>
      <c r="AO2789" t="s">
        <v>118</v>
      </c>
      <c r="AP2789">
        <v>106</v>
      </c>
      <c r="AQ2789">
        <v>-18</v>
      </c>
      <c r="AR2789">
        <v>128</v>
      </c>
      <c r="AZ2789">
        <v>1200</v>
      </c>
      <c r="BA2789">
        <v>1</v>
      </c>
      <c r="BB2789" t="str">
        <f t="shared" si="1308"/>
        <v xml:space="preserve">N711JA  </v>
      </c>
      <c r="BC2789">
        <v>1</v>
      </c>
      <c r="BE2789">
        <v>0</v>
      </c>
      <c r="BF2789">
        <v>0</v>
      </c>
      <c r="BG2789">
        <v>0</v>
      </c>
      <c r="BH2789">
        <v>2550</v>
      </c>
      <c r="BI2789">
        <v>1</v>
      </c>
      <c r="BJ2789">
        <v>1</v>
      </c>
      <c r="BK2789">
        <v>0</v>
      </c>
      <c r="BL2789">
        <v>0</v>
      </c>
      <c r="BO2789">
        <v>0</v>
      </c>
      <c r="BP2789">
        <v>0</v>
      </c>
      <c r="BW2789" t="str">
        <f>"14:46:09.639"</f>
        <v>14:46:09.639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6</v>
      </c>
      <c r="CP2789" t="s">
        <v>119</v>
      </c>
      <c r="CQ2789">
        <v>358</v>
      </c>
      <c r="CR2789">
        <v>0</v>
      </c>
      <c r="CW2789">
        <v>4890091</v>
      </c>
      <c r="CY2789">
        <v>1</v>
      </c>
      <c r="CZ2789">
        <v>0</v>
      </c>
      <c r="DA2789">
        <v>0</v>
      </c>
      <c r="DB2789">
        <v>0</v>
      </c>
      <c r="DC2789">
        <v>0</v>
      </c>
      <c r="DD2789">
        <v>1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>"05/12/2020 14:45:51.829"</f>
        <v>05/12/2020 14:45:51.829</v>
      </c>
      <c r="C2790" t="str">
        <f t="shared" si="1307"/>
        <v>FFDFD3C0</v>
      </c>
      <c r="D2790" t="s">
        <v>131</v>
      </c>
      <c r="E2790">
        <v>10</v>
      </c>
      <c r="F2790">
        <v>2010</v>
      </c>
      <c r="G2790" t="s">
        <v>132</v>
      </c>
      <c r="J2790" t="s">
        <v>133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"14:46:09.633"</f>
        <v>14:46:09.633</v>
      </c>
      <c r="T2790" t="str">
        <f>"14:46:09.233"</f>
        <v>14:46:09.233</v>
      </c>
      <c r="U2790" t="str">
        <f t="shared" si="1300"/>
        <v>A9808D</v>
      </c>
      <c r="V2790">
        <v>0</v>
      </c>
      <c r="W2790">
        <v>0</v>
      </c>
      <c r="X2790">
        <v>1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0</v>
      </c>
      <c r="AI2790" t="s">
        <v>686</v>
      </c>
      <c r="AJ2790">
        <v>28.248317</v>
      </c>
      <c r="AK2790" t="s">
        <v>687</v>
      </c>
      <c r="AL2790">
        <v>-82.306781000000001</v>
      </c>
      <c r="AM2790">
        <v>100</v>
      </c>
      <c r="AN2790">
        <v>2400</v>
      </c>
      <c r="AO2790" t="s">
        <v>118</v>
      </c>
      <c r="AP2790">
        <v>106</v>
      </c>
      <c r="AQ2790">
        <v>-18</v>
      </c>
      <c r="AR2790">
        <v>128</v>
      </c>
      <c r="AZ2790">
        <v>1200</v>
      </c>
      <c r="BA2790">
        <v>1</v>
      </c>
      <c r="BB2790" t="str">
        <f t="shared" si="1308"/>
        <v xml:space="preserve">N711JA  </v>
      </c>
      <c r="BC2790">
        <v>1</v>
      </c>
      <c r="BE2790">
        <v>0</v>
      </c>
      <c r="BF2790">
        <v>0</v>
      </c>
      <c r="BG2790">
        <v>0</v>
      </c>
      <c r="BH2790">
        <v>2550</v>
      </c>
      <c r="BI2790">
        <v>1</v>
      </c>
      <c r="BJ2790">
        <v>1</v>
      </c>
      <c r="BK2790">
        <v>0</v>
      </c>
      <c r="BL2790">
        <v>0</v>
      </c>
      <c r="BO2790">
        <v>0</v>
      </c>
      <c r="BP2790">
        <v>0</v>
      </c>
      <c r="BW2790" t="str">
        <f>"14:46:09.639"</f>
        <v>14:46:09.639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6</v>
      </c>
      <c r="CP2790" t="s">
        <v>119</v>
      </c>
      <c r="CQ2790">
        <v>358</v>
      </c>
      <c r="CR2790">
        <v>0</v>
      </c>
      <c r="CW2790">
        <v>4890091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1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>"05/12/2020 14:45:51.829"</f>
        <v>05/12/2020 14:45:51.829</v>
      </c>
      <c r="C2791" t="str">
        <f t="shared" si="1307"/>
        <v>FFDFD3C0</v>
      </c>
      <c r="D2791" t="s">
        <v>138</v>
      </c>
      <c r="E2791">
        <v>3</v>
      </c>
      <c r="H2791">
        <v>9</v>
      </c>
      <c r="I2791" t="s">
        <v>140</v>
      </c>
      <c r="J2791" t="s">
        <v>136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"14:46:09.633"</f>
        <v>14:46:09.633</v>
      </c>
      <c r="T2791" t="str">
        <f>"14:46:09.233"</f>
        <v>14:46:09.233</v>
      </c>
      <c r="U2791" t="str">
        <f t="shared" si="1300"/>
        <v>A9808D</v>
      </c>
      <c r="V2791">
        <v>0</v>
      </c>
      <c r="W2791">
        <v>0</v>
      </c>
      <c r="X2791">
        <v>1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0</v>
      </c>
      <c r="AI2791" t="s">
        <v>686</v>
      </c>
      <c r="AJ2791">
        <v>28.248317</v>
      </c>
      <c r="AK2791" t="s">
        <v>687</v>
      </c>
      <c r="AL2791">
        <v>-82.306781000000001</v>
      </c>
      <c r="AM2791">
        <v>100</v>
      </c>
      <c r="AN2791">
        <v>2400</v>
      </c>
      <c r="AO2791" t="s">
        <v>118</v>
      </c>
      <c r="AP2791">
        <v>106</v>
      </c>
      <c r="AQ2791">
        <v>-18</v>
      </c>
      <c r="AR2791">
        <v>128</v>
      </c>
      <c r="AZ2791">
        <v>1200</v>
      </c>
      <c r="BA2791">
        <v>1</v>
      </c>
      <c r="BB2791" t="str">
        <f t="shared" si="1308"/>
        <v xml:space="preserve">N711JA  </v>
      </c>
      <c r="BC2791">
        <v>1</v>
      </c>
      <c r="BE2791">
        <v>0</v>
      </c>
      <c r="BF2791">
        <v>0</v>
      </c>
      <c r="BG2791">
        <v>0</v>
      </c>
      <c r="BH2791">
        <v>2550</v>
      </c>
      <c r="BI2791">
        <v>1</v>
      </c>
      <c r="BJ2791">
        <v>1</v>
      </c>
      <c r="BK2791">
        <v>0</v>
      </c>
      <c r="BL2791">
        <v>0</v>
      </c>
      <c r="BO2791">
        <v>0</v>
      </c>
      <c r="BP2791">
        <v>0</v>
      </c>
      <c r="BW2791" t="str">
        <f>"14:46:09.639"</f>
        <v>14:46:09.639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6</v>
      </c>
      <c r="CP2791" t="s">
        <v>119</v>
      </c>
      <c r="CQ2791">
        <v>358</v>
      </c>
      <c r="CR2791">
        <v>0</v>
      </c>
      <c r="CW2791">
        <v>4890091</v>
      </c>
      <c r="CY2791">
        <v>1</v>
      </c>
      <c r="CZ2791">
        <v>0</v>
      </c>
      <c r="DA2791">
        <v>1</v>
      </c>
      <c r="DB2791">
        <v>0</v>
      </c>
      <c r="DC2791">
        <v>0</v>
      </c>
      <c r="DD2791">
        <v>1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>"05/12/2020 14:45:51.829"</f>
        <v>05/12/2020 14:45:51.829</v>
      </c>
      <c r="C2792" t="str">
        <f t="shared" si="1307"/>
        <v>FFDFD3C0</v>
      </c>
      <c r="D2792" t="s">
        <v>126</v>
      </c>
      <c r="E2792">
        <v>6</v>
      </c>
      <c r="F2792">
        <v>1006</v>
      </c>
      <c r="G2792" t="s">
        <v>114</v>
      </c>
      <c r="J2792" t="s">
        <v>128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"14:46:09.633"</f>
        <v>14:46:09.633</v>
      </c>
      <c r="T2792" t="str">
        <f>"14:46:09.233"</f>
        <v>14:46:09.233</v>
      </c>
      <c r="U2792" t="str">
        <f t="shared" si="1300"/>
        <v>A9808D</v>
      </c>
      <c r="V2792">
        <v>0</v>
      </c>
      <c r="W2792">
        <v>0</v>
      </c>
      <c r="X2792">
        <v>1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0</v>
      </c>
      <c r="AI2792" t="s">
        <v>686</v>
      </c>
      <c r="AJ2792">
        <v>28.248317</v>
      </c>
      <c r="AK2792" t="s">
        <v>687</v>
      </c>
      <c r="AL2792">
        <v>-82.306781000000001</v>
      </c>
      <c r="AM2792">
        <v>100</v>
      </c>
      <c r="AN2792">
        <v>2400</v>
      </c>
      <c r="AO2792" t="s">
        <v>118</v>
      </c>
      <c r="AP2792">
        <v>106</v>
      </c>
      <c r="AQ2792">
        <v>-18</v>
      </c>
      <c r="AR2792">
        <v>128</v>
      </c>
      <c r="AZ2792">
        <v>1200</v>
      </c>
      <c r="BA2792">
        <v>1</v>
      </c>
      <c r="BB2792" t="str">
        <f t="shared" si="1308"/>
        <v xml:space="preserve">N711JA  </v>
      </c>
      <c r="BC2792">
        <v>1</v>
      </c>
      <c r="BE2792">
        <v>0</v>
      </c>
      <c r="BF2792">
        <v>0</v>
      </c>
      <c r="BG2792">
        <v>0</v>
      </c>
      <c r="BH2792">
        <v>2550</v>
      </c>
      <c r="BI2792">
        <v>1</v>
      </c>
      <c r="BJ2792">
        <v>1</v>
      </c>
      <c r="BK2792">
        <v>0</v>
      </c>
      <c r="BL2792">
        <v>0</v>
      </c>
      <c r="BO2792">
        <v>0</v>
      </c>
      <c r="BP2792">
        <v>0</v>
      </c>
      <c r="BW2792" t="str">
        <f>"14:46:09.639"</f>
        <v>14:46:09.639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6</v>
      </c>
      <c r="CP2792" t="s">
        <v>119</v>
      </c>
      <c r="CQ2792">
        <v>358</v>
      </c>
      <c r="CR2792">
        <v>0</v>
      </c>
      <c r="CW2792">
        <v>4890091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1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>"05/12/2020 14:45:51.829"</f>
        <v>05/12/2020 14:45:51.829</v>
      </c>
      <c r="C2793" t="str">
        <f t="shared" si="1307"/>
        <v>FFDFD3C0</v>
      </c>
      <c r="D2793" t="s">
        <v>134</v>
      </c>
      <c r="E2793">
        <v>12</v>
      </c>
      <c r="H2793">
        <v>64</v>
      </c>
      <c r="I2793" t="s">
        <v>135</v>
      </c>
      <c r="J2793" t="s">
        <v>136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"14:46:09.633"</f>
        <v>14:46:09.633</v>
      </c>
      <c r="T2793" t="str">
        <f>"14:46:09.233"</f>
        <v>14:46:09.233</v>
      </c>
      <c r="U2793" t="str">
        <f t="shared" si="1300"/>
        <v>A9808D</v>
      </c>
      <c r="V2793">
        <v>0</v>
      </c>
      <c r="W2793">
        <v>0</v>
      </c>
      <c r="X2793">
        <v>1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0</v>
      </c>
      <c r="AI2793" t="s">
        <v>686</v>
      </c>
      <c r="AJ2793">
        <v>28.248317</v>
      </c>
      <c r="AK2793" t="s">
        <v>687</v>
      </c>
      <c r="AL2793">
        <v>-82.306781000000001</v>
      </c>
      <c r="AM2793">
        <v>100</v>
      </c>
      <c r="AN2793">
        <v>2400</v>
      </c>
      <c r="AO2793" t="s">
        <v>118</v>
      </c>
      <c r="AP2793">
        <v>106</v>
      </c>
      <c r="AQ2793">
        <v>-18</v>
      </c>
      <c r="AR2793">
        <v>128</v>
      </c>
      <c r="AZ2793">
        <v>1200</v>
      </c>
      <c r="BA2793">
        <v>1</v>
      </c>
      <c r="BB2793" t="str">
        <f t="shared" si="1308"/>
        <v xml:space="preserve">N711JA  </v>
      </c>
      <c r="BC2793">
        <v>1</v>
      </c>
      <c r="BE2793">
        <v>0</v>
      </c>
      <c r="BF2793">
        <v>0</v>
      </c>
      <c r="BG2793">
        <v>0</v>
      </c>
      <c r="BH2793">
        <v>2550</v>
      </c>
      <c r="BI2793">
        <v>1</v>
      </c>
      <c r="BJ2793">
        <v>1</v>
      </c>
      <c r="BK2793">
        <v>0</v>
      </c>
      <c r="BL2793">
        <v>0</v>
      </c>
      <c r="BO2793">
        <v>0</v>
      </c>
      <c r="BP2793">
        <v>0</v>
      </c>
      <c r="BW2793" t="str">
        <f>"14:46:09.639"</f>
        <v>14:46:09.639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6</v>
      </c>
      <c r="CP2793" t="s">
        <v>119</v>
      </c>
      <c r="CQ2793">
        <v>358</v>
      </c>
      <c r="CR2793">
        <v>0</v>
      </c>
      <c r="CW2793">
        <v>4890091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1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>"05/12/2020 14:45:52.795"</f>
        <v>05/12/2020 14:45:52.795</v>
      </c>
      <c r="C2794" t="str">
        <f t="shared" si="1307"/>
        <v>FFDFD3C0</v>
      </c>
      <c r="D2794" t="s">
        <v>131</v>
      </c>
      <c r="E2794">
        <v>18</v>
      </c>
      <c r="F2794">
        <v>2018</v>
      </c>
      <c r="G2794" t="s">
        <v>161</v>
      </c>
      <c r="J2794" t="s">
        <v>133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"14:46:10.617"</f>
        <v>14:46:10.617</v>
      </c>
      <c r="T2794" t="str">
        <f>"14:46:10.317"</f>
        <v>14:46:10.317</v>
      </c>
      <c r="U2794" t="str">
        <f t="shared" si="1300"/>
        <v>A9808D</v>
      </c>
      <c r="V2794">
        <v>0</v>
      </c>
      <c r="W2794">
        <v>0</v>
      </c>
      <c r="X2794">
        <v>1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0</v>
      </c>
      <c r="AI2794" t="s">
        <v>688</v>
      </c>
      <c r="AJ2794">
        <v>28.248231000000001</v>
      </c>
      <c r="AK2794" t="s">
        <v>689</v>
      </c>
      <c r="AL2794">
        <v>-82.306223000000003</v>
      </c>
      <c r="AM2794">
        <v>100</v>
      </c>
      <c r="AN2794">
        <v>2400</v>
      </c>
      <c r="AO2794" t="s">
        <v>118</v>
      </c>
      <c r="AP2794">
        <v>106</v>
      </c>
      <c r="AQ2794">
        <v>-17</v>
      </c>
      <c r="AR2794">
        <v>192</v>
      </c>
      <c r="AZ2794">
        <v>1200</v>
      </c>
      <c r="BA2794">
        <v>1</v>
      </c>
      <c r="BB2794" t="str">
        <f t="shared" si="1308"/>
        <v xml:space="preserve">N711JA  </v>
      </c>
      <c r="BC2794">
        <v>1</v>
      </c>
      <c r="BE2794">
        <v>0</v>
      </c>
      <c r="BF2794">
        <v>0</v>
      </c>
      <c r="BG2794">
        <v>0</v>
      </c>
      <c r="BH2794">
        <v>2550</v>
      </c>
      <c r="BI2794">
        <v>1</v>
      </c>
      <c r="BJ2794">
        <v>1</v>
      </c>
      <c r="BK2794">
        <v>0</v>
      </c>
      <c r="BL2794">
        <v>0</v>
      </c>
      <c r="BO2794">
        <v>0</v>
      </c>
      <c r="BP2794">
        <v>0</v>
      </c>
      <c r="BW2794" t="str">
        <f>"14:46:10.621"</f>
        <v>14:46:10.621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5</v>
      </c>
      <c r="CP2794" t="s">
        <v>119</v>
      </c>
      <c r="CQ2794">
        <v>62</v>
      </c>
      <c r="CR2794">
        <v>1</v>
      </c>
      <c r="CW2794">
        <v>12837915</v>
      </c>
      <c r="CY2794">
        <v>1</v>
      </c>
      <c r="CZ2794">
        <v>0</v>
      </c>
      <c r="DA2794">
        <v>0</v>
      </c>
      <c r="DB2794">
        <v>0</v>
      </c>
      <c r="DC2794">
        <v>0</v>
      </c>
      <c r="DD2794">
        <v>1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>"05/12/2020 14:45:52.795"</f>
        <v>05/12/2020 14:45:52.795</v>
      </c>
      <c r="C2795" t="str">
        <f t="shared" si="1307"/>
        <v>FFDFD3C0</v>
      </c>
      <c r="D2795" t="s">
        <v>126</v>
      </c>
      <c r="E2795">
        <v>6</v>
      </c>
      <c r="F2795">
        <v>1006</v>
      </c>
      <c r="G2795" t="s">
        <v>114</v>
      </c>
      <c r="J2795" t="s">
        <v>128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"14:46:10.617"</f>
        <v>14:46:10.617</v>
      </c>
      <c r="T2795" t="str">
        <f>"14:46:10.317"</f>
        <v>14:46:10.317</v>
      </c>
      <c r="U2795" t="str">
        <f t="shared" si="1300"/>
        <v>A9808D</v>
      </c>
      <c r="V2795">
        <v>0</v>
      </c>
      <c r="W2795">
        <v>0</v>
      </c>
      <c r="X2795">
        <v>1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0</v>
      </c>
      <c r="AI2795" t="s">
        <v>688</v>
      </c>
      <c r="AJ2795">
        <v>28.248231000000001</v>
      </c>
      <c r="AK2795" t="s">
        <v>689</v>
      </c>
      <c r="AL2795">
        <v>-82.306223000000003</v>
      </c>
      <c r="AM2795">
        <v>100</v>
      </c>
      <c r="AN2795">
        <v>2400</v>
      </c>
      <c r="AO2795" t="s">
        <v>118</v>
      </c>
      <c r="AP2795">
        <v>106</v>
      </c>
      <c r="AQ2795">
        <v>-17</v>
      </c>
      <c r="AR2795">
        <v>192</v>
      </c>
      <c r="AZ2795">
        <v>1200</v>
      </c>
      <c r="BA2795">
        <v>1</v>
      </c>
      <c r="BB2795" t="str">
        <f t="shared" si="1308"/>
        <v xml:space="preserve">N711JA  </v>
      </c>
      <c r="BC2795">
        <v>1</v>
      </c>
      <c r="BE2795">
        <v>0</v>
      </c>
      <c r="BF2795">
        <v>0</v>
      </c>
      <c r="BG2795">
        <v>0</v>
      </c>
      <c r="BH2795">
        <v>2550</v>
      </c>
      <c r="BI2795">
        <v>1</v>
      </c>
      <c r="BJ2795">
        <v>1</v>
      </c>
      <c r="BK2795">
        <v>0</v>
      </c>
      <c r="BL2795">
        <v>0</v>
      </c>
      <c r="BO2795">
        <v>0</v>
      </c>
      <c r="BP2795">
        <v>0</v>
      </c>
      <c r="BW2795" t="str">
        <f>"14:46:10.621"</f>
        <v>14:46:10.621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5</v>
      </c>
      <c r="CP2795" t="s">
        <v>119</v>
      </c>
      <c r="CQ2795">
        <v>62</v>
      </c>
      <c r="CR2795">
        <v>1</v>
      </c>
      <c r="CW2795">
        <v>12837915</v>
      </c>
      <c r="CY2795">
        <v>1</v>
      </c>
      <c r="CZ2795">
        <v>0</v>
      </c>
      <c r="DA2795">
        <v>1</v>
      </c>
      <c r="DB2795">
        <v>0</v>
      </c>
      <c r="DC2795">
        <v>0</v>
      </c>
      <c r="DD2795">
        <v>1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>"05/12/2020 14:45:52.795"</f>
        <v>05/12/2020 14:45:52.795</v>
      </c>
      <c r="C2796" t="str">
        <f t="shared" si="1307"/>
        <v>FFDFD3C0</v>
      </c>
      <c r="D2796" t="s">
        <v>113</v>
      </c>
      <c r="E2796">
        <v>3</v>
      </c>
      <c r="H2796">
        <v>164</v>
      </c>
      <c r="I2796" t="s">
        <v>114</v>
      </c>
      <c r="J2796" t="s">
        <v>115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"14:46:10.617"</f>
        <v>14:46:10.617</v>
      </c>
      <c r="T2796" t="str">
        <f>"14:46:10.317"</f>
        <v>14:46:10.317</v>
      </c>
      <c r="U2796" t="str">
        <f t="shared" si="1300"/>
        <v>A9808D</v>
      </c>
      <c r="V2796">
        <v>0</v>
      </c>
      <c r="W2796">
        <v>0</v>
      </c>
      <c r="X2796">
        <v>1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0</v>
      </c>
      <c r="AI2796" t="s">
        <v>688</v>
      </c>
      <c r="AJ2796">
        <v>28.248231000000001</v>
      </c>
      <c r="AK2796" t="s">
        <v>689</v>
      </c>
      <c r="AL2796">
        <v>-82.306223000000003</v>
      </c>
      <c r="AM2796">
        <v>100</v>
      </c>
      <c r="AN2796">
        <v>2400</v>
      </c>
      <c r="AO2796" t="s">
        <v>118</v>
      </c>
      <c r="AP2796">
        <v>106</v>
      </c>
      <c r="AQ2796">
        <v>-17</v>
      </c>
      <c r="AR2796">
        <v>192</v>
      </c>
      <c r="AZ2796">
        <v>1200</v>
      </c>
      <c r="BA2796">
        <v>1</v>
      </c>
      <c r="BB2796" t="str">
        <f t="shared" si="1308"/>
        <v xml:space="preserve">N711JA  </v>
      </c>
      <c r="BC2796">
        <v>1</v>
      </c>
      <c r="BE2796">
        <v>0</v>
      </c>
      <c r="BF2796">
        <v>0</v>
      </c>
      <c r="BG2796">
        <v>0</v>
      </c>
      <c r="BH2796">
        <v>2550</v>
      </c>
      <c r="BI2796">
        <v>1</v>
      </c>
      <c r="BJ2796">
        <v>1</v>
      </c>
      <c r="BK2796">
        <v>0</v>
      </c>
      <c r="BL2796">
        <v>0</v>
      </c>
      <c r="BO2796">
        <v>0</v>
      </c>
      <c r="BP2796">
        <v>0</v>
      </c>
      <c r="BW2796" t="str">
        <f>"14:46:10.621"</f>
        <v>14:46:10.621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5</v>
      </c>
      <c r="CP2796" t="s">
        <v>119</v>
      </c>
      <c r="CQ2796">
        <v>62</v>
      </c>
      <c r="CR2796">
        <v>1</v>
      </c>
      <c r="CW2796">
        <v>12837915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1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>"05/12/2020 14:45:52.795"</f>
        <v>05/12/2020 14:45:52.795</v>
      </c>
      <c r="C2797" t="str">
        <f t="shared" si="1307"/>
        <v>FFDFD3C0</v>
      </c>
      <c r="D2797" t="s">
        <v>126</v>
      </c>
      <c r="E2797">
        <v>7</v>
      </c>
      <c r="F2797">
        <v>1007</v>
      </c>
      <c r="G2797" t="s">
        <v>127</v>
      </c>
      <c r="J2797" t="s">
        <v>128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"14:46:10.617"</f>
        <v>14:46:10.617</v>
      </c>
      <c r="T2797" t="str">
        <f>"14:46:10.317"</f>
        <v>14:46:10.317</v>
      </c>
      <c r="U2797" t="str">
        <f t="shared" si="1300"/>
        <v>A9808D</v>
      </c>
      <c r="V2797">
        <v>0</v>
      </c>
      <c r="W2797">
        <v>0</v>
      </c>
      <c r="X2797">
        <v>1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0</v>
      </c>
      <c r="AI2797" t="s">
        <v>688</v>
      </c>
      <c r="AJ2797">
        <v>28.248231000000001</v>
      </c>
      <c r="AK2797" t="s">
        <v>689</v>
      </c>
      <c r="AL2797">
        <v>-82.306223000000003</v>
      </c>
      <c r="AM2797">
        <v>100</v>
      </c>
      <c r="AN2797">
        <v>2400</v>
      </c>
      <c r="AO2797" t="s">
        <v>118</v>
      </c>
      <c r="AP2797">
        <v>106</v>
      </c>
      <c r="AQ2797">
        <v>-17</v>
      </c>
      <c r="AR2797">
        <v>192</v>
      </c>
      <c r="AZ2797">
        <v>1200</v>
      </c>
      <c r="BA2797">
        <v>1</v>
      </c>
      <c r="BB2797" t="str">
        <f t="shared" si="1308"/>
        <v xml:space="preserve">N711JA  </v>
      </c>
      <c r="BC2797">
        <v>1</v>
      </c>
      <c r="BE2797">
        <v>0</v>
      </c>
      <c r="BF2797">
        <v>0</v>
      </c>
      <c r="BG2797">
        <v>0</v>
      </c>
      <c r="BH2797">
        <v>2550</v>
      </c>
      <c r="BI2797">
        <v>1</v>
      </c>
      <c r="BJ2797">
        <v>1</v>
      </c>
      <c r="BK2797">
        <v>0</v>
      </c>
      <c r="BL2797">
        <v>0</v>
      </c>
      <c r="BO2797">
        <v>0</v>
      </c>
      <c r="BP2797">
        <v>0</v>
      </c>
      <c r="BW2797" t="str">
        <f>"14:46:10.621"</f>
        <v>14:46:10.621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5</v>
      </c>
      <c r="CP2797" t="s">
        <v>119</v>
      </c>
      <c r="CQ2797">
        <v>62</v>
      </c>
      <c r="CR2797">
        <v>1</v>
      </c>
      <c r="CW2797">
        <v>12837915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1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 t="shared" ref="A2798:A2805" si="1312">"05/12/2020 14:45:53.689"</f>
        <v>05/12/2020 14:45:53.689</v>
      </c>
      <c r="C2798" t="str">
        <f t="shared" si="1307"/>
        <v>FFDFD3C0</v>
      </c>
      <c r="D2798" t="s">
        <v>126</v>
      </c>
      <c r="E2798">
        <v>7</v>
      </c>
      <c r="F2798">
        <v>1007</v>
      </c>
      <c r="G2798" t="s">
        <v>127</v>
      </c>
      <c r="J2798" t="s">
        <v>128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ref="S2798:S2805" si="1313">"14:46:11.508"</f>
        <v>14:46:11.508</v>
      </c>
      <c r="T2798" t="str">
        <f t="shared" ref="T2798:T2805" si="1314">"14:46:11.308"</f>
        <v>14:46:11.308</v>
      </c>
      <c r="U2798" t="str">
        <f t="shared" si="1300"/>
        <v>A9808D</v>
      </c>
      <c r="V2798">
        <v>0</v>
      </c>
      <c r="W2798">
        <v>0</v>
      </c>
      <c r="X2798">
        <v>1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0</v>
      </c>
      <c r="AI2798" t="s">
        <v>690</v>
      </c>
      <c r="AJ2798">
        <v>28.248187999999999</v>
      </c>
      <c r="AK2798" t="s">
        <v>691</v>
      </c>
      <c r="AL2798">
        <v>-82.305707999999996</v>
      </c>
      <c r="AM2798">
        <v>100</v>
      </c>
      <c r="AN2798">
        <v>2500</v>
      </c>
      <c r="AO2798" t="s">
        <v>118</v>
      </c>
      <c r="AP2798">
        <v>106</v>
      </c>
      <c r="AQ2798">
        <v>-16</v>
      </c>
      <c r="AR2798">
        <v>192</v>
      </c>
      <c r="AZ2798">
        <v>1200</v>
      </c>
      <c r="BA2798">
        <v>1</v>
      </c>
      <c r="BB2798" t="str">
        <f t="shared" si="1308"/>
        <v xml:space="preserve">N711JA  </v>
      </c>
      <c r="BC2798">
        <v>1</v>
      </c>
      <c r="BE2798">
        <v>0</v>
      </c>
      <c r="BF2798">
        <v>0</v>
      </c>
      <c r="BG2798">
        <v>0</v>
      </c>
      <c r="BH2798">
        <v>2550</v>
      </c>
      <c r="BI2798">
        <v>1</v>
      </c>
      <c r="BJ2798">
        <v>1</v>
      </c>
      <c r="BK2798">
        <v>0</v>
      </c>
      <c r="BL2798">
        <v>0</v>
      </c>
      <c r="BO2798">
        <v>0</v>
      </c>
      <c r="BP2798">
        <v>0</v>
      </c>
      <c r="BW2798" t="str">
        <f t="shared" ref="BW2798:BW2805" si="1315">"14:46:11.512"</f>
        <v>14:46:11.512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6</v>
      </c>
      <c r="CP2798" t="s">
        <v>119</v>
      </c>
      <c r="CQ2798">
        <v>358</v>
      </c>
      <c r="CR2798">
        <v>0</v>
      </c>
      <c r="CW2798">
        <v>4892351</v>
      </c>
      <c r="CY2798">
        <v>1</v>
      </c>
      <c r="CZ2798">
        <v>0</v>
      </c>
      <c r="DA2798">
        <v>0</v>
      </c>
      <c r="DB2798">
        <v>0</v>
      </c>
      <c r="DC2798">
        <v>0</v>
      </c>
      <c r="DD2798">
        <v>1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 t="shared" si="1312"/>
        <v>05/12/2020 14:45:53.689</v>
      </c>
      <c r="C2799" t="str">
        <f t="shared" si="1307"/>
        <v>FFDFD3C0</v>
      </c>
      <c r="D2799" t="s">
        <v>138</v>
      </c>
      <c r="E2799">
        <v>2</v>
      </c>
      <c r="H2799">
        <v>8</v>
      </c>
      <c r="I2799" t="s">
        <v>139</v>
      </c>
      <c r="J2799" t="s">
        <v>136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313"/>
        <v>14:46:11.508</v>
      </c>
      <c r="T2799" t="str">
        <f t="shared" si="1314"/>
        <v>14:46:11.308</v>
      </c>
      <c r="U2799" t="str">
        <f t="shared" si="1300"/>
        <v>A9808D</v>
      </c>
      <c r="V2799">
        <v>0</v>
      </c>
      <c r="W2799">
        <v>0</v>
      </c>
      <c r="X2799">
        <v>1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0</v>
      </c>
      <c r="AI2799" t="s">
        <v>690</v>
      </c>
      <c r="AJ2799">
        <v>28.248187999999999</v>
      </c>
      <c r="AK2799" t="s">
        <v>691</v>
      </c>
      <c r="AL2799">
        <v>-82.305707999999996</v>
      </c>
      <c r="AM2799">
        <v>100</v>
      </c>
      <c r="AN2799">
        <v>2500</v>
      </c>
      <c r="AO2799" t="s">
        <v>118</v>
      </c>
      <c r="AP2799">
        <v>106</v>
      </c>
      <c r="AQ2799">
        <v>-16</v>
      </c>
      <c r="AR2799">
        <v>192</v>
      </c>
      <c r="AZ2799">
        <v>1200</v>
      </c>
      <c r="BA2799">
        <v>1</v>
      </c>
      <c r="BB2799" t="str">
        <f t="shared" si="1308"/>
        <v xml:space="preserve">N711JA  </v>
      </c>
      <c r="BC2799">
        <v>1</v>
      </c>
      <c r="BE2799">
        <v>0</v>
      </c>
      <c r="BF2799">
        <v>0</v>
      </c>
      <c r="BG2799">
        <v>0</v>
      </c>
      <c r="BH2799">
        <v>2550</v>
      </c>
      <c r="BI2799">
        <v>1</v>
      </c>
      <c r="BJ2799">
        <v>1</v>
      </c>
      <c r="BK2799">
        <v>0</v>
      </c>
      <c r="BL2799">
        <v>0</v>
      </c>
      <c r="BO2799">
        <v>0</v>
      </c>
      <c r="BP2799">
        <v>0</v>
      </c>
      <c r="BW2799" t="str">
        <f t="shared" si="1315"/>
        <v>14:46:11.512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2</v>
      </c>
      <c r="CP2799" t="s">
        <v>119</v>
      </c>
      <c r="CQ2799">
        <v>11</v>
      </c>
      <c r="CR2799">
        <v>2</v>
      </c>
      <c r="CW2799">
        <v>15968286</v>
      </c>
      <c r="CY2799">
        <v>1</v>
      </c>
      <c r="CZ2799">
        <v>0</v>
      </c>
      <c r="DA2799">
        <v>1</v>
      </c>
      <c r="DB2799">
        <v>0</v>
      </c>
      <c r="DC2799">
        <v>0</v>
      </c>
      <c r="DD2799">
        <v>1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 t="shared" si="1312"/>
        <v>05/12/2020 14:45:53.689</v>
      </c>
      <c r="C2800" t="str">
        <f t="shared" si="1307"/>
        <v>FFDFD3C0</v>
      </c>
      <c r="D2800" t="s">
        <v>113</v>
      </c>
      <c r="E2800">
        <v>3</v>
      </c>
      <c r="H2800">
        <v>164</v>
      </c>
      <c r="I2800" t="s">
        <v>114</v>
      </c>
      <c r="J2800" t="s">
        <v>115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313"/>
        <v>14:46:11.508</v>
      </c>
      <c r="T2800" t="str">
        <f t="shared" si="1314"/>
        <v>14:46:11.308</v>
      </c>
      <c r="U2800" t="str">
        <f t="shared" si="1300"/>
        <v>A9808D</v>
      </c>
      <c r="V2800">
        <v>0</v>
      </c>
      <c r="W2800">
        <v>0</v>
      </c>
      <c r="X2800">
        <v>1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0</v>
      </c>
      <c r="AI2800" t="s">
        <v>690</v>
      </c>
      <c r="AJ2800">
        <v>28.248187999999999</v>
      </c>
      <c r="AK2800" t="s">
        <v>691</v>
      </c>
      <c r="AL2800">
        <v>-82.305707999999996</v>
      </c>
      <c r="AM2800">
        <v>100</v>
      </c>
      <c r="AN2800">
        <v>2500</v>
      </c>
      <c r="AO2800" t="s">
        <v>118</v>
      </c>
      <c r="AP2800">
        <v>106</v>
      </c>
      <c r="AQ2800">
        <v>-16</v>
      </c>
      <c r="AR2800">
        <v>192</v>
      </c>
      <c r="AZ2800">
        <v>1200</v>
      </c>
      <c r="BA2800">
        <v>1</v>
      </c>
      <c r="BB2800" t="str">
        <f t="shared" si="1308"/>
        <v xml:space="preserve">N711JA  </v>
      </c>
      <c r="BC2800">
        <v>1</v>
      </c>
      <c r="BE2800">
        <v>0</v>
      </c>
      <c r="BF2800">
        <v>0</v>
      </c>
      <c r="BG2800">
        <v>0</v>
      </c>
      <c r="BH2800">
        <v>2550</v>
      </c>
      <c r="BI2800">
        <v>1</v>
      </c>
      <c r="BJ2800">
        <v>1</v>
      </c>
      <c r="BK2800">
        <v>0</v>
      </c>
      <c r="BL2800">
        <v>0</v>
      </c>
      <c r="BO2800">
        <v>0</v>
      </c>
      <c r="BP2800">
        <v>0</v>
      </c>
      <c r="BW2800" t="str">
        <f t="shared" si="1315"/>
        <v>14:46:11.512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2</v>
      </c>
      <c r="CP2800" t="s">
        <v>119</v>
      </c>
      <c r="CQ2800">
        <v>11</v>
      </c>
      <c r="CR2800">
        <v>2</v>
      </c>
      <c r="CW2800">
        <v>15968286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1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 t="shared" si="1312"/>
        <v>05/12/2020 14:45:53.689</v>
      </c>
      <c r="C2801" t="str">
        <f t="shared" si="1307"/>
        <v>FFDFD3C0</v>
      </c>
      <c r="D2801" t="s">
        <v>131</v>
      </c>
      <c r="E2801">
        <v>10</v>
      </c>
      <c r="F2801">
        <v>2010</v>
      </c>
      <c r="G2801" t="s">
        <v>132</v>
      </c>
      <c r="J2801" t="s">
        <v>133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313"/>
        <v>14:46:11.508</v>
      </c>
      <c r="T2801" t="str">
        <f t="shared" si="1314"/>
        <v>14:46:11.308</v>
      </c>
      <c r="U2801" t="str">
        <f t="shared" si="1300"/>
        <v>A9808D</v>
      </c>
      <c r="V2801">
        <v>0</v>
      </c>
      <c r="W2801">
        <v>0</v>
      </c>
      <c r="X2801">
        <v>1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0</v>
      </c>
      <c r="AI2801" t="s">
        <v>690</v>
      </c>
      <c r="AJ2801">
        <v>28.248187999999999</v>
      </c>
      <c r="AK2801" t="s">
        <v>691</v>
      </c>
      <c r="AL2801">
        <v>-82.305707999999996</v>
      </c>
      <c r="AM2801">
        <v>100</v>
      </c>
      <c r="AN2801">
        <v>2500</v>
      </c>
      <c r="AO2801" t="s">
        <v>118</v>
      </c>
      <c r="AP2801">
        <v>106</v>
      </c>
      <c r="AQ2801">
        <v>-16</v>
      </c>
      <c r="AR2801">
        <v>192</v>
      </c>
      <c r="AZ2801">
        <v>1200</v>
      </c>
      <c r="BA2801">
        <v>1</v>
      </c>
      <c r="BB2801" t="str">
        <f t="shared" si="1308"/>
        <v xml:space="preserve">N711JA  </v>
      </c>
      <c r="BC2801">
        <v>1</v>
      </c>
      <c r="BE2801">
        <v>0</v>
      </c>
      <c r="BF2801">
        <v>0</v>
      </c>
      <c r="BG2801">
        <v>0</v>
      </c>
      <c r="BH2801">
        <v>2550</v>
      </c>
      <c r="BI2801">
        <v>1</v>
      </c>
      <c r="BJ2801">
        <v>1</v>
      </c>
      <c r="BK2801">
        <v>0</v>
      </c>
      <c r="BL2801">
        <v>0</v>
      </c>
      <c r="BO2801">
        <v>0</v>
      </c>
      <c r="BP2801">
        <v>0</v>
      </c>
      <c r="BW2801" t="str">
        <f t="shared" si="1315"/>
        <v>14:46:11.512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6</v>
      </c>
      <c r="CP2801" t="s">
        <v>119</v>
      </c>
      <c r="CQ2801">
        <v>358</v>
      </c>
      <c r="CR2801">
        <v>0</v>
      </c>
      <c r="CW2801">
        <v>4892351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1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 t="shared" si="1312"/>
        <v>05/12/2020 14:45:53.689</v>
      </c>
      <c r="C2802" t="str">
        <f t="shared" si="1307"/>
        <v>FFDFD3C0</v>
      </c>
      <c r="D2802" t="s">
        <v>131</v>
      </c>
      <c r="E2802">
        <v>12</v>
      </c>
      <c r="F2802">
        <v>2012</v>
      </c>
      <c r="G2802" t="s">
        <v>137</v>
      </c>
      <c r="J2802" t="s">
        <v>133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313"/>
        <v>14:46:11.508</v>
      </c>
      <c r="T2802" t="str">
        <f t="shared" si="1314"/>
        <v>14:46:11.308</v>
      </c>
      <c r="U2802" t="str">
        <f t="shared" si="1300"/>
        <v>A9808D</v>
      </c>
      <c r="V2802">
        <v>0</v>
      </c>
      <c r="W2802">
        <v>0</v>
      </c>
      <c r="X2802">
        <v>1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0</v>
      </c>
      <c r="AI2802" t="s">
        <v>690</v>
      </c>
      <c r="AJ2802">
        <v>28.248187999999999</v>
      </c>
      <c r="AK2802" t="s">
        <v>691</v>
      </c>
      <c r="AL2802">
        <v>-82.305707999999996</v>
      </c>
      <c r="AM2802">
        <v>100</v>
      </c>
      <c r="AN2802">
        <v>2500</v>
      </c>
      <c r="AO2802" t="s">
        <v>118</v>
      </c>
      <c r="AP2802">
        <v>106</v>
      </c>
      <c r="AQ2802">
        <v>-16</v>
      </c>
      <c r="AR2802">
        <v>192</v>
      </c>
      <c r="AZ2802">
        <v>1200</v>
      </c>
      <c r="BA2802">
        <v>1</v>
      </c>
      <c r="BB2802" t="str">
        <f t="shared" si="1308"/>
        <v xml:space="preserve">N711JA  </v>
      </c>
      <c r="BC2802">
        <v>1</v>
      </c>
      <c r="BE2802">
        <v>0</v>
      </c>
      <c r="BF2802">
        <v>0</v>
      </c>
      <c r="BG2802">
        <v>0</v>
      </c>
      <c r="BH2802">
        <v>2550</v>
      </c>
      <c r="BI2802">
        <v>1</v>
      </c>
      <c r="BJ2802">
        <v>1</v>
      </c>
      <c r="BK2802">
        <v>0</v>
      </c>
      <c r="BL2802">
        <v>0</v>
      </c>
      <c r="BO2802">
        <v>0</v>
      </c>
      <c r="BP2802">
        <v>0</v>
      </c>
      <c r="BW2802" t="str">
        <f t="shared" si="1315"/>
        <v>14:46:11.512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2</v>
      </c>
      <c r="CP2802" t="s">
        <v>119</v>
      </c>
      <c r="CQ2802">
        <v>11</v>
      </c>
      <c r="CR2802">
        <v>2</v>
      </c>
      <c r="CW2802">
        <v>15968286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1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 t="shared" si="1312"/>
        <v>05/12/2020 14:45:53.689</v>
      </c>
      <c r="C2803" t="str">
        <f t="shared" si="1307"/>
        <v>FFDFD3C0</v>
      </c>
      <c r="D2803" t="s">
        <v>134</v>
      </c>
      <c r="E2803">
        <v>12</v>
      </c>
      <c r="H2803">
        <v>64</v>
      </c>
      <c r="I2803" t="s">
        <v>135</v>
      </c>
      <c r="J2803" t="s">
        <v>136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313"/>
        <v>14:46:11.508</v>
      </c>
      <c r="T2803" t="str">
        <f t="shared" si="1314"/>
        <v>14:46:11.308</v>
      </c>
      <c r="U2803" t="str">
        <f t="shared" si="1300"/>
        <v>A9808D</v>
      </c>
      <c r="V2803">
        <v>0</v>
      </c>
      <c r="W2803">
        <v>0</v>
      </c>
      <c r="X2803">
        <v>1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0</v>
      </c>
      <c r="AI2803" t="s">
        <v>690</v>
      </c>
      <c r="AJ2803">
        <v>28.248187999999999</v>
      </c>
      <c r="AK2803" t="s">
        <v>691</v>
      </c>
      <c r="AL2803">
        <v>-82.305707999999996</v>
      </c>
      <c r="AM2803">
        <v>100</v>
      </c>
      <c r="AN2803">
        <v>2500</v>
      </c>
      <c r="AO2803" t="s">
        <v>118</v>
      </c>
      <c r="AP2803">
        <v>106</v>
      </c>
      <c r="AQ2803">
        <v>-16</v>
      </c>
      <c r="AR2803">
        <v>192</v>
      </c>
      <c r="AZ2803">
        <v>1200</v>
      </c>
      <c r="BA2803">
        <v>1</v>
      </c>
      <c r="BB2803" t="str">
        <f t="shared" si="1308"/>
        <v xml:space="preserve">N711JA  </v>
      </c>
      <c r="BC2803">
        <v>1</v>
      </c>
      <c r="BE2803">
        <v>0</v>
      </c>
      <c r="BF2803">
        <v>0</v>
      </c>
      <c r="BG2803">
        <v>0</v>
      </c>
      <c r="BH2803">
        <v>2550</v>
      </c>
      <c r="BI2803">
        <v>1</v>
      </c>
      <c r="BJ2803">
        <v>1</v>
      </c>
      <c r="BK2803">
        <v>0</v>
      </c>
      <c r="BL2803">
        <v>0</v>
      </c>
      <c r="BO2803">
        <v>0</v>
      </c>
      <c r="BP2803">
        <v>0</v>
      </c>
      <c r="BW2803" t="str">
        <f t="shared" si="1315"/>
        <v>14:46:11.512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6</v>
      </c>
      <c r="CP2803" t="s">
        <v>119</v>
      </c>
      <c r="CQ2803">
        <v>358</v>
      </c>
      <c r="CR2803">
        <v>0</v>
      </c>
      <c r="CW2803">
        <v>4892351</v>
      </c>
      <c r="CY2803">
        <v>1</v>
      </c>
      <c r="CZ2803">
        <v>0</v>
      </c>
      <c r="DA2803">
        <v>1</v>
      </c>
      <c r="DB2803">
        <v>0</v>
      </c>
      <c r="DC2803">
        <v>0</v>
      </c>
      <c r="DD2803">
        <v>1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 t="shared" si="1312"/>
        <v>05/12/2020 14:45:53.689</v>
      </c>
      <c r="C2804" t="str">
        <f t="shared" si="1307"/>
        <v>FFDFD3C0</v>
      </c>
      <c r="D2804" t="s">
        <v>138</v>
      </c>
      <c r="E2804">
        <v>3</v>
      </c>
      <c r="H2804">
        <v>9</v>
      </c>
      <c r="I2804" t="s">
        <v>140</v>
      </c>
      <c r="J2804" t="s">
        <v>136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313"/>
        <v>14:46:11.508</v>
      </c>
      <c r="T2804" t="str">
        <f t="shared" si="1314"/>
        <v>14:46:11.308</v>
      </c>
      <c r="U2804" t="str">
        <f t="shared" si="1300"/>
        <v>A9808D</v>
      </c>
      <c r="V2804">
        <v>0</v>
      </c>
      <c r="W2804">
        <v>0</v>
      </c>
      <c r="X2804">
        <v>1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0</v>
      </c>
      <c r="AI2804" t="s">
        <v>690</v>
      </c>
      <c r="AJ2804">
        <v>28.248187999999999</v>
      </c>
      <c r="AK2804" t="s">
        <v>691</v>
      </c>
      <c r="AL2804">
        <v>-82.305707999999996</v>
      </c>
      <c r="AM2804">
        <v>100</v>
      </c>
      <c r="AN2804">
        <v>2500</v>
      </c>
      <c r="AO2804" t="s">
        <v>118</v>
      </c>
      <c r="AP2804">
        <v>106</v>
      </c>
      <c r="AQ2804">
        <v>-16</v>
      </c>
      <c r="AR2804">
        <v>192</v>
      </c>
      <c r="AZ2804">
        <v>1200</v>
      </c>
      <c r="BA2804">
        <v>1</v>
      </c>
      <c r="BB2804" t="str">
        <f t="shared" si="1308"/>
        <v xml:space="preserve">N711JA  </v>
      </c>
      <c r="BC2804">
        <v>1</v>
      </c>
      <c r="BE2804">
        <v>0</v>
      </c>
      <c r="BF2804">
        <v>0</v>
      </c>
      <c r="BG2804">
        <v>0</v>
      </c>
      <c r="BH2804">
        <v>2550</v>
      </c>
      <c r="BI2804">
        <v>1</v>
      </c>
      <c r="BJ2804">
        <v>1</v>
      </c>
      <c r="BK2804">
        <v>0</v>
      </c>
      <c r="BL2804">
        <v>0</v>
      </c>
      <c r="BO2804">
        <v>0</v>
      </c>
      <c r="BP2804">
        <v>0</v>
      </c>
      <c r="BW2804" t="str">
        <f t="shared" si="1315"/>
        <v>14:46:11.512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6</v>
      </c>
      <c r="CP2804" t="s">
        <v>119</v>
      </c>
      <c r="CQ2804">
        <v>358</v>
      </c>
      <c r="CR2804">
        <v>0</v>
      </c>
      <c r="CW2804">
        <v>4892351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1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 t="shared" si="1312"/>
        <v>05/12/2020 14:45:53.689</v>
      </c>
      <c r="C2805" t="str">
        <f t="shared" si="1307"/>
        <v>FFDFD3C0</v>
      </c>
      <c r="D2805" t="s">
        <v>126</v>
      </c>
      <c r="E2805">
        <v>6</v>
      </c>
      <c r="F2805">
        <v>1006</v>
      </c>
      <c r="G2805" t="s">
        <v>114</v>
      </c>
      <c r="J2805" t="s">
        <v>128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si="1313"/>
        <v>14:46:11.508</v>
      </c>
      <c r="T2805" t="str">
        <f t="shared" si="1314"/>
        <v>14:46:11.308</v>
      </c>
      <c r="U2805" t="str">
        <f t="shared" si="1300"/>
        <v>A9808D</v>
      </c>
      <c r="V2805">
        <v>0</v>
      </c>
      <c r="W2805">
        <v>0</v>
      </c>
      <c r="X2805">
        <v>1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0</v>
      </c>
      <c r="AI2805" t="s">
        <v>690</v>
      </c>
      <c r="AJ2805">
        <v>28.248187999999999</v>
      </c>
      <c r="AK2805" t="s">
        <v>691</v>
      </c>
      <c r="AL2805">
        <v>-82.305707999999996</v>
      </c>
      <c r="AM2805">
        <v>100</v>
      </c>
      <c r="AN2805">
        <v>2500</v>
      </c>
      <c r="AO2805" t="s">
        <v>118</v>
      </c>
      <c r="AP2805">
        <v>106</v>
      </c>
      <c r="AQ2805">
        <v>-16</v>
      </c>
      <c r="AR2805">
        <v>192</v>
      </c>
      <c r="AZ2805">
        <v>1200</v>
      </c>
      <c r="BA2805">
        <v>1</v>
      </c>
      <c r="BB2805" t="str">
        <f t="shared" si="1308"/>
        <v xml:space="preserve">N711JA  </v>
      </c>
      <c r="BC2805">
        <v>1</v>
      </c>
      <c r="BE2805">
        <v>0</v>
      </c>
      <c r="BF2805">
        <v>0</v>
      </c>
      <c r="BG2805">
        <v>0</v>
      </c>
      <c r="BH2805">
        <v>2550</v>
      </c>
      <c r="BI2805">
        <v>1</v>
      </c>
      <c r="BJ2805">
        <v>1</v>
      </c>
      <c r="BK2805">
        <v>0</v>
      </c>
      <c r="BL2805">
        <v>0</v>
      </c>
      <c r="BO2805">
        <v>0</v>
      </c>
      <c r="BP2805">
        <v>0</v>
      </c>
      <c r="BW2805" t="str">
        <f t="shared" si="1315"/>
        <v>14:46:11.512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6</v>
      </c>
      <c r="CP2805" t="s">
        <v>119</v>
      </c>
      <c r="CQ2805">
        <v>358</v>
      </c>
      <c r="CR2805">
        <v>0</v>
      </c>
      <c r="CW2805">
        <v>4892351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1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 t="shared" ref="A2806:A2812" si="1316">"05/12/2020 14:45:54.712"</f>
        <v>05/12/2020 14:45:54.712</v>
      </c>
      <c r="C2806" t="str">
        <f t="shared" si="1307"/>
        <v>FFDFD3C0</v>
      </c>
      <c r="D2806" t="s">
        <v>134</v>
      </c>
      <c r="E2806">
        <v>12</v>
      </c>
      <c r="H2806">
        <v>64</v>
      </c>
      <c r="I2806" t="s">
        <v>135</v>
      </c>
      <c r="J2806" t="s">
        <v>136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ref="S2806:S2812" si="1317">"14:46:12.523"</f>
        <v>14:46:12.523</v>
      </c>
      <c r="T2806" t="str">
        <f t="shared" ref="T2806:T2812" si="1318">"14:46:12.423"</f>
        <v>14:46:12.423</v>
      </c>
      <c r="U2806" t="str">
        <f t="shared" si="1300"/>
        <v>A9808D</v>
      </c>
      <c r="V2806">
        <v>0</v>
      </c>
      <c r="W2806">
        <v>0</v>
      </c>
      <c r="X2806">
        <v>1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0</v>
      </c>
      <c r="AI2806" t="s">
        <v>692</v>
      </c>
      <c r="AJ2806">
        <v>28.248080999999999</v>
      </c>
      <c r="AK2806" t="s">
        <v>693</v>
      </c>
      <c r="AL2806">
        <v>-82.305149999999998</v>
      </c>
      <c r="AM2806">
        <v>100</v>
      </c>
      <c r="AN2806">
        <v>2500</v>
      </c>
      <c r="AO2806" t="s">
        <v>118</v>
      </c>
      <c r="AP2806">
        <v>106</v>
      </c>
      <c r="AQ2806">
        <v>-16</v>
      </c>
      <c r="AR2806">
        <v>192</v>
      </c>
      <c r="AZ2806">
        <v>1200</v>
      </c>
      <c r="BA2806">
        <v>1</v>
      </c>
      <c r="BB2806" t="str">
        <f t="shared" si="1308"/>
        <v xml:space="preserve">N711JA  </v>
      </c>
      <c r="BC2806">
        <v>1</v>
      </c>
      <c r="BE2806">
        <v>0</v>
      </c>
      <c r="BF2806">
        <v>0</v>
      </c>
      <c r="BG2806">
        <v>0</v>
      </c>
      <c r="BH2806">
        <v>2550</v>
      </c>
      <c r="BI2806">
        <v>1</v>
      </c>
      <c r="BJ2806">
        <v>1</v>
      </c>
      <c r="BK2806">
        <v>0</v>
      </c>
      <c r="BL2806">
        <v>0</v>
      </c>
      <c r="BO2806">
        <v>0</v>
      </c>
      <c r="BP2806">
        <v>0</v>
      </c>
      <c r="BW2806" t="str">
        <f t="shared" ref="BW2806:BW2812" si="1319">"14:46:12.530"</f>
        <v>14:46:12.530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6</v>
      </c>
      <c r="CP2806" t="s">
        <v>119</v>
      </c>
      <c r="CQ2806">
        <v>358</v>
      </c>
      <c r="CR2806">
        <v>0</v>
      </c>
      <c r="CW2806">
        <v>4893616</v>
      </c>
      <c r="CY2806">
        <v>1</v>
      </c>
      <c r="CZ2806">
        <v>0</v>
      </c>
      <c r="DA2806">
        <v>0</v>
      </c>
      <c r="DB2806">
        <v>0</v>
      </c>
      <c r="DC2806">
        <v>0</v>
      </c>
      <c r="DD2806">
        <v>1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 t="shared" si="1316"/>
        <v>05/12/2020 14:45:54.712</v>
      </c>
      <c r="C2807" t="str">
        <f t="shared" si="1307"/>
        <v>FFDFD3C0</v>
      </c>
      <c r="D2807" t="s">
        <v>131</v>
      </c>
      <c r="E2807">
        <v>18</v>
      </c>
      <c r="F2807">
        <v>2018</v>
      </c>
      <c r="G2807" t="s">
        <v>161</v>
      </c>
      <c r="J2807" t="s">
        <v>133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317"/>
        <v>14:46:12.523</v>
      </c>
      <c r="T2807" t="str">
        <f t="shared" si="1318"/>
        <v>14:46:12.423</v>
      </c>
      <c r="U2807" t="str">
        <f t="shared" si="1300"/>
        <v>A9808D</v>
      </c>
      <c r="V2807">
        <v>0</v>
      </c>
      <c r="W2807">
        <v>0</v>
      </c>
      <c r="X2807">
        <v>1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0</v>
      </c>
      <c r="AI2807" t="s">
        <v>692</v>
      </c>
      <c r="AJ2807">
        <v>28.248080999999999</v>
      </c>
      <c r="AK2807" t="s">
        <v>693</v>
      </c>
      <c r="AL2807">
        <v>-82.305149999999998</v>
      </c>
      <c r="AM2807">
        <v>100</v>
      </c>
      <c r="AN2807">
        <v>2500</v>
      </c>
      <c r="AO2807" t="s">
        <v>118</v>
      </c>
      <c r="AP2807">
        <v>106</v>
      </c>
      <c r="AQ2807">
        <v>-16</v>
      </c>
      <c r="AR2807">
        <v>192</v>
      </c>
      <c r="AZ2807">
        <v>1200</v>
      </c>
      <c r="BA2807">
        <v>1</v>
      </c>
      <c r="BB2807" t="str">
        <f t="shared" si="1308"/>
        <v xml:space="preserve">N711JA  </v>
      </c>
      <c r="BC2807">
        <v>1</v>
      </c>
      <c r="BE2807">
        <v>0</v>
      </c>
      <c r="BF2807">
        <v>0</v>
      </c>
      <c r="BG2807">
        <v>0</v>
      </c>
      <c r="BH2807">
        <v>2550</v>
      </c>
      <c r="BI2807">
        <v>1</v>
      </c>
      <c r="BJ2807">
        <v>1</v>
      </c>
      <c r="BK2807">
        <v>0</v>
      </c>
      <c r="BL2807">
        <v>0</v>
      </c>
      <c r="BO2807">
        <v>0</v>
      </c>
      <c r="BP2807">
        <v>0</v>
      </c>
      <c r="BW2807" t="str">
        <f t="shared" si="1319"/>
        <v>14:46:12.530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5</v>
      </c>
      <c r="CP2807" t="s">
        <v>119</v>
      </c>
      <c r="CQ2807">
        <v>62</v>
      </c>
      <c r="CR2807">
        <v>1</v>
      </c>
      <c r="CW2807">
        <v>12840027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1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 t="shared" si="1316"/>
        <v>05/12/2020 14:45:54.712</v>
      </c>
      <c r="C2808" t="str">
        <f t="shared" si="1307"/>
        <v>FFDFD3C0</v>
      </c>
      <c r="D2808" t="s">
        <v>138</v>
      </c>
      <c r="E2808">
        <v>3</v>
      </c>
      <c r="H2808">
        <v>9</v>
      </c>
      <c r="I2808" t="s">
        <v>140</v>
      </c>
      <c r="J2808" t="s">
        <v>136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si="1317"/>
        <v>14:46:12.523</v>
      </c>
      <c r="T2808" t="str">
        <f t="shared" si="1318"/>
        <v>14:46:12.423</v>
      </c>
      <c r="U2808" t="str">
        <f t="shared" si="1300"/>
        <v>A9808D</v>
      </c>
      <c r="V2808">
        <v>0</v>
      </c>
      <c r="W2808">
        <v>0</v>
      </c>
      <c r="X2808">
        <v>1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0</v>
      </c>
      <c r="AI2808" t="s">
        <v>692</v>
      </c>
      <c r="AJ2808">
        <v>28.248080999999999</v>
      </c>
      <c r="AK2808" t="s">
        <v>693</v>
      </c>
      <c r="AL2808">
        <v>-82.305149999999998</v>
      </c>
      <c r="AM2808">
        <v>100</v>
      </c>
      <c r="AN2808">
        <v>2500</v>
      </c>
      <c r="AO2808" t="s">
        <v>118</v>
      </c>
      <c r="AP2808">
        <v>106</v>
      </c>
      <c r="AQ2808">
        <v>-16</v>
      </c>
      <c r="AR2808">
        <v>192</v>
      </c>
      <c r="AZ2808">
        <v>1200</v>
      </c>
      <c r="BA2808">
        <v>1</v>
      </c>
      <c r="BB2808" t="str">
        <f t="shared" si="1308"/>
        <v xml:space="preserve">N711JA  </v>
      </c>
      <c r="BC2808">
        <v>1</v>
      </c>
      <c r="BE2808">
        <v>0</v>
      </c>
      <c r="BF2808">
        <v>0</v>
      </c>
      <c r="BG2808">
        <v>0</v>
      </c>
      <c r="BH2808">
        <v>2550</v>
      </c>
      <c r="BI2808">
        <v>1</v>
      </c>
      <c r="BJ2808">
        <v>1</v>
      </c>
      <c r="BK2808">
        <v>0</v>
      </c>
      <c r="BL2808">
        <v>0</v>
      </c>
      <c r="BO2808">
        <v>0</v>
      </c>
      <c r="BP2808">
        <v>0</v>
      </c>
      <c r="BW2808" t="str">
        <f t="shared" si="1319"/>
        <v>14:46:12.530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6</v>
      </c>
      <c r="CP2808" t="s">
        <v>119</v>
      </c>
      <c r="CQ2808">
        <v>358</v>
      </c>
      <c r="CR2808">
        <v>0</v>
      </c>
      <c r="CW2808">
        <v>4893616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1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 t="shared" si="1316"/>
        <v>05/12/2020 14:45:54.712</v>
      </c>
      <c r="C2809" t="str">
        <f t="shared" si="1307"/>
        <v>FFDFD3C0</v>
      </c>
      <c r="D2809" t="s">
        <v>126</v>
      </c>
      <c r="E2809">
        <v>6</v>
      </c>
      <c r="F2809">
        <v>1006</v>
      </c>
      <c r="G2809" t="s">
        <v>114</v>
      </c>
      <c r="J2809" t="s">
        <v>128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317"/>
        <v>14:46:12.523</v>
      </c>
      <c r="T2809" t="str">
        <f t="shared" si="1318"/>
        <v>14:46:12.423</v>
      </c>
      <c r="U2809" t="str">
        <f t="shared" si="1300"/>
        <v>A9808D</v>
      </c>
      <c r="V2809">
        <v>0</v>
      </c>
      <c r="W2809">
        <v>0</v>
      </c>
      <c r="X2809">
        <v>1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0</v>
      </c>
      <c r="AI2809" t="s">
        <v>692</v>
      </c>
      <c r="AJ2809">
        <v>28.248080999999999</v>
      </c>
      <c r="AK2809" t="s">
        <v>693</v>
      </c>
      <c r="AL2809">
        <v>-82.305149999999998</v>
      </c>
      <c r="AM2809">
        <v>100</v>
      </c>
      <c r="AN2809">
        <v>2500</v>
      </c>
      <c r="AO2809" t="s">
        <v>118</v>
      </c>
      <c r="AP2809">
        <v>106</v>
      </c>
      <c r="AQ2809">
        <v>-16</v>
      </c>
      <c r="AR2809">
        <v>192</v>
      </c>
      <c r="AZ2809">
        <v>1200</v>
      </c>
      <c r="BA2809">
        <v>1</v>
      </c>
      <c r="BB2809" t="str">
        <f t="shared" si="1308"/>
        <v xml:space="preserve">N711JA  </v>
      </c>
      <c r="BC2809">
        <v>1</v>
      </c>
      <c r="BE2809">
        <v>0</v>
      </c>
      <c r="BF2809">
        <v>0</v>
      </c>
      <c r="BG2809">
        <v>0</v>
      </c>
      <c r="BH2809">
        <v>2550</v>
      </c>
      <c r="BI2809">
        <v>1</v>
      </c>
      <c r="BJ2809">
        <v>1</v>
      </c>
      <c r="BK2809">
        <v>0</v>
      </c>
      <c r="BL2809">
        <v>0</v>
      </c>
      <c r="BO2809">
        <v>0</v>
      </c>
      <c r="BP2809">
        <v>0</v>
      </c>
      <c r="BW2809" t="str">
        <f t="shared" si="1319"/>
        <v>14:46:12.530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6</v>
      </c>
      <c r="CP2809" t="s">
        <v>119</v>
      </c>
      <c r="CQ2809">
        <v>358</v>
      </c>
      <c r="CR2809">
        <v>0</v>
      </c>
      <c r="CW2809">
        <v>4893616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1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 t="shared" si="1316"/>
        <v>05/12/2020 14:45:54.712</v>
      </c>
      <c r="C2810" t="str">
        <f t="shared" si="1307"/>
        <v>FFDFD3C0</v>
      </c>
      <c r="D2810" t="s">
        <v>113</v>
      </c>
      <c r="E2810">
        <v>3</v>
      </c>
      <c r="H2810">
        <v>164</v>
      </c>
      <c r="I2810" t="s">
        <v>114</v>
      </c>
      <c r="J2810" t="s">
        <v>115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317"/>
        <v>14:46:12.523</v>
      </c>
      <c r="T2810" t="str">
        <f t="shared" si="1318"/>
        <v>14:46:12.423</v>
      </c>
      <c r="U2810" t="str">
        <f t="shared" si="1300"/>
        <v>A9808D</v>
      </c>
      <c r="V2810">
        <v>0</v>
      </c>
      <c r="W2810">
        <v>0</v>
      </c>
      <c r="X2810">
        <v>1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0</v>
      </c>
      <c r="AI2810" t="s">
        <v>692</v>
      </c>
      <c r="AJ2810">
        <v>28.248080999999999</v>
      </c>
      <c r="AK2810" t="s">
        <v>693</v>
      </c>
      <c r="AL2810">
        <v>-82.305149999999998</v>
      </c>
      <c r="AM2810">
        <v>100</v>
      </c>
      <c r="AN2810">
        <v>2500</v>
      </c>
      <c r="AO2810" t="s">
        <v>118</v>
      </c>
      <c r="AP2810">
        <v>106</v>
      </c>
      <c r="AQ2810">
        <v>-16</v>
      </c>
      <c r="AR2810">
        <v>192</v>
      </c>
      <c r="AZ2810">
        <v>1200</v>
      </c>
      <c r="BA2810">
        <v>1</v>
      </c>
      <c r="BB2810" t="str">
        <f t="shared" si="1308"/>
        <v xml:space="preserve">N711JA  </v>
      </c>
      <c r="BC2810">
        <v>1</v>
      </c>
      <c r="BE2810">
        <v>0</v>
      </c>
      <c r="BF2810">
        <v>0</v>
      </c>
      <c r="BG2810">
        <v>0</v>
      </c>
      <c r="BH2810">
        <v>2550</v>
      </c>
      <c r="BI2810">
        <v>1</v>
      </c>
      <c r="BJ2810">
        <v>1</v>
      </c>
      <c r="BK2810">
        <v>0</v>
      </c>
      <c r="BL2810">
        <v>0</v>
      </c>
      <c r="BO2810">
        <v>0</v>
      </c>
      <c r="BP2810">
        <v>0</v>
      </c>
      <c r="BW2810" t="str">
        <f t="shared" si="1319"/>
        <v>14:46:12.530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5</v>
      </c>
      <c r="CP2810" t="s">
        <v>119</v>
      </c>
      <c r="CQ2810">
        <v>62</v>
      </c>
      <c r="CR2810">
        <v>1</v>
      </c>
      <c r="CW2810">
        <v>12840027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1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 t="shared" si="1316"/>
        <v>05/12/2020 14:45:54.712</v>
      </c>
      <c r="C2811" t="str">
        <f t="shared" si="1307"/>
        <v>FFDFD3C0</v>
      </c>
      <c r="D2811" t="s">
        <v>126</v>
      </c>
      <c r="E2811">
        <v>7</v>
      </c>
      <c r="F2811">
        <v>1007</v>
      </c>
      <c r="G2811" t="s">
        <v>127</v>
      </c>
      <c r="J2811" t="s">
        <v>128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317"/>
        <v>14:46:12.523</v>
      </c>
      <c r="T2811" t="str">
        <f t="shared" si="1318"/>
        <v>14:46:12.423</v>
      </c>
      <c r="U2811" t="str">
        <f t="shared" si="1300"/>
        <v>A9808D</v>
      </c>
      <c r="V2811">
        <v>0</v>
      </c>
      <c r="W2811">
        <v>0</v>
      </c>
      <c r="X2811">
        <v>1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0</v>
      </c>
      <c r="AI2811" t="s">
        <v>692</v>
      </c>
      <c r="AJ2811">
        <v>28.248080999999999</v>
      </c>
      <c r="AK2811" t="s">
        <v>693</v>
      </c>
      <c r="AL2811">
        <v>-82.305149999999998</v>
      </c>
      <c r="AM2811">
        <v>100</v>
      </c>
      <c r="AN2811">
        <v>2500</v>
      </c>
      <c r="AO2811" t="s">
        <v>118</v>
      </c>
      <c r="AP2811">
        <v>106</v>
      </c>
      <c r="AQ2811">
        <v>-16</v>
      </c>
      <c r="AR2811">
        <v>192</v>
      </c>
      <c r="AZ2811">
        <v>1200</v>
      </c>
      <c r="BA2811">
        <v>1</v>
      </c>
      <c r="BB2811" t="str">
        <f t="shared" si="1308"/>
        <v xml:space="preserve">N711JA  </v>
      </c>
      <c r="BC2811">
        <v>1</v>
      </c>
      <c r="BE2811">
        <v>0</v>
      </c>
      <c r="BF2811">
        <v>0</v>
      </c>
      <c r="BG2811">
        <v>0</v>
      </c>
      <c r="BH2811">
        <v>2550</v>
      </c>
      <c r="BI2811">
        <v>1</v>
      </c>
      <c r="BJ2811">
        <v>1</v>
      </c>
      <c r="BK2811">
        <v>0</v>
      </c>
      <c r="BL2811">
        <v>0</v>
      </c>
      <c r="BO2811">
        <v>0</v>
      </c>
      <c r="BP2811">
        <v>0</v>
      </c>
      <c r="BW2811" t="str">
        <f t="shared" si="1319"/>
        <v>14:46:12.530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6</v>
      </c>
      <c r="CP2811" t="s">
        <v>119</v>
      </c>
      <c r="CQ2811">
        <v>358</v>
      </c>
      <c r="CR2811">
        <v>0</v>
      </c>
      <c r="CW2811">
        <v>4893616</v>
      </c>
      <c r="CY2811">
        <v>1</v>
      </c>
      <c r="CZ2811">
        <v>0</v>
      </c>
      <c r="DA2811">
        <v>1</v>
      </c>
      <c r="DB2811">
        <v>0</v>
      </c>
      <c r="DC2811">
        <v>0</v>
      </c>
      <c r="DD2811">
        <v>1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 t="shared" si="1316"/>
        <v>05/12/2020 14:45:54.712</v>
      </c>
      <c r="C2812" t="str">
        <f t="shared" si="1307"/>
        <v>FFDFD3C0</v>
      </c>
      <c r="D2812" t="s">
        <v>131</v>
      </c>
      <c r="E2812">
        <v>10</v>
      </c>
      <c r="F2812">
        <v>2010</v>
      </c>
      <c r="G2812" t="s">
        <v>132</v>
      </c>
      <c r="J2812" t="s">
        <v>133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317"/>
        <v>14:46:12.523</v>
      </c>
      <c r="T2812" t="str">
        <f t="shared" si="1318"/>
        <v>14:46:12.423</v>
      </c>
      <c r="U2812" t="str">
        <f t="shared" si="1300"/>
        <v>A9808D</v>
      </c>
      <c r="V2812">
        <v>0</v>
      </c>
      <c r="W2812">
        <v>0</v>
      </c>
      <c r="X2812">
        <v>1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0</v>
      </c>
      <c r="AI2812" t="s">
        <v>692</v>
      </c>
      <c r="AJ2812">
        <v>28.248080999999999</v>
      </c>
      <c r="AK2812" t="s">
        <v>693</v>
      </c>
      <c r="AL2812">
        <v>-82.305149999999998</v>
      </c>
      <c r="AM2812">
        <v>100</v>
      </c>
      <c r="AN2812">
        <v>2500</v>
      </c>
      <c r="AO2812" t="s">
        <v>118</v>
      </c>
      <c r="AP2812">
        <v>106</v>
      </c>
      <c r="AQ2812">
        <v>-16</v>
      </c>
      <c r="AR2812">
        <v>192</v>
      </c>
      <c r="AZ2812">
        <v>1200</v>
      </c>
      <c r="BA2812">
        <v>1</v>
      </c>
      <c r="BB2812" t="str">
        <f t="shared" si="1308"/>
        <v xml:space="preserve">N711JA  </v>
      </c>
      <c r="BC2812">
        <v>1</v>
      </c>
      <c r="BE2812">
        <v>0</v>
      </c>
      <c r="BF2812">
        <v>0</v>
      </c>
      <c r="BG2812">
        <v>0</v>
      </c>
      <c r="BH2812">
        <v>2550</v>
      </c>
      <c r="BI2812">
        <v>1</v>
      </c>
      <c r="BJ2812">
        <v>1</v>
      </c>
      <c r="BK2812">
        <v>0</v>
      </c>
      <c r="BL2812">
        <v>0</v>
      </c>
      <c r="BO2812">
        <v>0</v>
      </c>
      <c r="BP2812">
        <v>0</v>
      </c>
      <c r="BW2812" t="str">
        <f t="shared" si="1319"/>
        <v>14:46:12.530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6</v>
      </c>
      <c r="CP2812" t="s">
        <v>119</v>
      </c>
      <c r="CQ2812">
        <v>358</v>
      </c>
      <c r="CR2812">
        <v>0</v>
      </c>
      <c r="CW2812">
        <v>4893616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1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 t="shared" ref="A2813:A2821" si="1320">"05/12/2020 14:45:55.672"</f>
        <v>05/12/2020 14:45:55.672</v>
      </c>
      <c r="C2813" t="str">
        <f t="shared" si="1307"/>
        <v>FFDFD3C0</v>
      </c>
      <c r="D2813" t="s">
        <v>134</v>
      </c>
      <c r="E2813">
        <v>12</v>
      </c>
      <c r="H2813">
        <v>64</v>
      </c>
      <c r="I2813" t="s">
        <v>135</v>
      </c>
      <c r="J2813" t="s">
        <v>136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"14:46:13.477"</f>
        <v>14:46:13.477</v>
      </c>
      <c r="T2813" t="str">
        <f>"14:46:13.477"</f>
        <v>14:46:13.477</v>
      </c>
      <c r="U2813" t="str">
        <f t="shared" si="1300"/>
        <v>A9808D</v>
      </c>
      <c r="V2813">
        <v>0</v>
      </c>
      <c r="W2813">
        <v>0</v>
      </c>
      <c r="X2813">
        <v>1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0</v>
      </c>
      <c r="AI2813" t="s">
        <v>694</v>
      </c>
      <c r="AJ2813">
        <v>28.248038000000001</v>
      </c>
      <c r="AK2813" t="s">
        <v>695</v>
      </c>
      <c r="AL2813">
        <v>-82.304657000000006</v>
      </c>
      <c r="AM2813">
        <v>100</v>
      </c>
      <c r="AN2813">
        <v>2500</v>
      </c>
      <c r="AO2813" t="s">
        <v>118</v>
      </c>
      <c r="AP2813">
        <v>106</v>
      </c>
      <c r="AQ2813">
        <v>-15</v>
      </c>
      <c r="AR2813">
        <v>256</v>
      </c>
      <c r="AZ2813">
        <v>1200</v>
      </c>
      <c r="BA2813">
        <v>1</v>
      </c>
      <c r="BB2813" t="str">
        <f t="shared" si="1308"/>
        <v xml:space="preserve">N711JA  </v>
      </c>
      <c r="BC2813">
        <v>1</v>
      </c>
      <c r="BE2813">
        <v>0</v>
      </c>
      <c r="BF2813">
        <v>0</v>
      </c>
      <c r="BG2813">
        <v>0</v>
      </c>
      <c r="BH2813">
        <v>2550</v>
      </c>
      <c r="BI2813">
        <v>1</v>
      </c>
      <c r="BJ2813">
        <v>1</v>
      </c>
      <c r="BK2813">
        <v>0</v>
      </c>
      <c r="BL2813">
        <v>0</v>
      </c>
      <c r="BO2813">
        <v>0</v>
      </c>
      <c r="BP2813">
        <v>0</v>
      </c>
      <c r="BW2813" t="str">
        <f t="shared" ref="BW2813:BW2821" si="1321">"14:46:13.478"</f>
        <v>14:46:13.478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6</v>
      </c>
      <c r="CP2813" t="s">
        <v>119</v>
      </c>
      <c r="CQ2813">
        <v>358</v>
      </c>
      <c r="CR2813">
        <v>0</v>
      </c>
      <c r="CW2813">
        <v>4894711</v>
      </c>
      <c r="CY2813">
        <v>1</v>
      </c>
      <c r="CZ2813">
        <v>0</v>
      </c>
      <c r="DA2813">
        <v>0</v>
      </c>
      <c r="DB2813">
        <v>0</v>
      </c>
      <c r="DC2813">
        <v>0</v>
      </c>
      <c r="DD2813">
        <v>1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 t="shared" si="1320"/>
        <v>05/12/2020 14:45:55.672</v>
      </c>
      <c r="C2814" t="str">
        <f t="shared" si="1307"/>
        <v>FFDFD3C0</v>
      </c>
      <c r="D2814" t="s">
        <v>131</v>
      </c>
      <c r="E2814">
        <v>12</v>
      </c>
      <c r="F2814">
        <v>2012</v>
      </c>
      <c r="G2814" t="s">
        <v>137</v>
      </c>
      <c r="J2814" t="s">
        <v>133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ref="S2814:S2821" si="1322">"14:46:13.477"</f>
        <v>14:46:13.477</v>
      </c>
      <c r="T2814" t="str">
        <f>"14:46:11.277"</f>
        <v>14:46:11.277</v>
      </c>
      <c r="U2814" t="str">
        <f t="shared" si="1300"/>
        <v>A9808D</v>
      </c>
      <c r="V2814">
        <v>0</v>
      </c>
      <c r="W2814">
        <v>0</v>
      </c>
      <c r="X2814">
        <v>1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0</v>
      </c>
      <c r="AI2814" t="s">
        <v>694</v>
      </c>
      <c r="AJ2814">
        <v>28.248038000000001</v>
      </c>
      <c r="AK2814" t="s">
        <v>695</v>
      </c>
      <c r="AL2814">
        <v>-82.304657000000006</v>
      </c>
      <c r="AM2814">
        <v>100</v>
      </c>
      <c r="AN2814">
        <v>2500</v>
      </c>
      <c r="AO2814" t="s">
        <v>118</v>
      </c>
      <c r="AP2814">
        <v>106</v>
      </c>
      <c r="AQ2814">
        <v>-16</v>
      </c>
      <c r="AR2814">
        <v>192</v>
      </c>
      <c r="AZ2814">
        <v>1200</v>
      </c>
      <c r="BA2814">
        <v>1</v>
      </c>
      <c r="BB2814" t="str">
        <f t="shared" si="1308"/>
        <v xml:space="preserve">N711JA  </v>
      </c>
      <c r="BC2814">
        <v>1</v>
      </c>
      <c r="BE2814">
        <v>0</v>
      </c>
      <c r="BF2814">
        <v>0</v>
      </c>
      <c r="BG2814">
        <v>0</v>
      </c>
      <c r="BH2814">
        <v>2550</v>
      </c>
      <c r="BI2814">
        <v>1</v>
      </c>
      <c r="BJ2814">
        <v>1</v>
      </c>
      <c r="BK2814">
        <v>0</v>
      </c>
      <c r="BL2814">
        <v>0</v>
      </c>
      <c r="BO2814">
        <v>0</v>
      </c>
      <c r="BP2814">
        <v>0</v>
      </c>
      <c r="BW2814" t="str">
        <f t="shared" si="1321"/>
        <v>14:46:13.478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2</v>
      </c>
      <c r="CP2814" t="s">
        <v>675</v>
      </c>
      <c r="CQ2814">
        <v>363</v>
      </c>
      <c r="CR2814">
        <v>0</v>
      </c>
      <c r="CW2814">
        <v>6415079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1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 t="shared" si="1320"/>
        <v>05/12/2020 14:45:55.672</v>
      </c>
      <c r="C2815" t="str">
        <f t="shared" si="1307"/>
        <v>FFDFD3C0</v>
      </c>
      <c r="D2815" t="s">
        <v>138</v>
      </c>
      <c r="E2815">
        <v>2</v>
      </c>
      <c r="H2815">
        <v>8</v>
      </c>
      <c r="I2815" t="s">
        <v>139</v>
      </c>
      <c r="J2815" t="s">
        <v>136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1322"/>
        <v>14:46:13.477</v>
      </c>
      <c r="T2815" t="str">
        <f>"14:46:11.277"</f>
        <v>14:46:11.277</v>
      </c>
      <c r="U2815" t="str">
        <f t="shared" si="1300"/>
        <v>A9808D</v>
      </c>
      <c r="V2815">
        <v>0</v>
      </c>
      <c r="W2815">
        <v>0</v>
      </c>
      <c r="X2815">
        <v>1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0</v>
      </c>
      <c r="AI2815" t="s">
        <v>694</v>
      </c>
      <c r="AJ2815">
        <v>28.248038000000001</v>
      </c>
      <c r="AK2815" t="s">
        <v>695</v>
      </c>
      <c r="AL2815">
        <v>-82.304657000000006</v>
      </c>
      <c r="AM2815">
        <v>100</v>
      </c>
      <c r="AN2815">
        <v>2500</v>
      </c>
      <c r="AO2815" t="s">
        <v>118</v>
      </c>
      <c r="AP2815">
        <v>106</v>
      </c>
      <c r="AQ2815">
        <v>-16</v>
      </c>
      <c r="AR2815">
        <v>192</v>
      </c>
      <c r="AZ2815">
        <v>1200</v>
      </c>
      <c r="BA2815">
        <v>1</v>
      </c>
      <c r="BB2815" t="str">
        <f t="shared" si="1308"/>
        <v xml:space="preserve">N711JA  </v>
      </c>
      <c r="BC2815">
        <v>1</v>
      </c>
      <c r="BE2815">
        <v>0</v>
      </c>
      <c r="BF2815">
        <v>0</v>
      </c>
      <c r="BG2815">
        <v>0</v>
      </c>
      <c r="BH2815">
        <v>2550</v>
      </c>
      <c r="BI2815">
        <v>1</v>
      </c>
      <c r="BJ2815">
        <v>1</v>
      </c>
      <c r="BK2815">
        <v>0</v>
      </c>
      <c r="BL2815">
        <v>0</v>
      </c>
      <c r="BO2815">
        <v>0</v>
      </c>
      <c r="BP2815">
        <v>0</v>
      </c>
      <c r="BW2815" t="str">
        <f t="shared" si="1321"/>
        <v>14:46:13.478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2</v>
      </c>
      <c r="CP2815" t="s">
        <v>675</v>
      </c>
      <c r="CQ2815">
        <v>363</v>
      </c>
      <c r="CR2815">
        <v>0</v>
      </c>
      <c r="CW2815">
        <v>6415079</v>
      </c>
      <c r="CY2815">
        <v>1</v>
      </c>
      <c r="CZ2815">
        <v>0</v>
      </c>
      <c r="DA2815">
        <v>1</v>
      </c>
      <c r="DB2815">
        <v>0</v>
      </c>
      <c r="DC2815">
        <v>0</v>
      </c>
      <c r="DD2815">
        <v>1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 t="shared" si="1320"/>
        <v>05/12/2020 14:45:55.672</v>
      </c>
      <c r="C2816" t="str">
        <f t="shared" si="1307"/>
        <v>FFDFD3C0</v>
      </c>
      <c r="D2816" t="s">
        <v>131</v>
      </c>
      <c r="E2816">
        <v>18</v>
      </c>
      <c r="F2816">
        <v>2018</v>
      </c>
      <c r="G2816" t="s">
        <v>161</v>
      </c>
      <c r="J2816" t="s">
        <v>133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322"/>
        <v>14:46:13.477</v>
      </c>
      <c r="T2816" t="str">
        <f t="shared" ref="T2816:T2821" si="1323">"14:46:13.477"</f>
        <v>14:46:13.477</v>
      </c>
      <c r="U2816" t="str">
        <f t="shared" si="1300"/>
        <v>A9808D</v>
      </c>
      <c r="V2816">
        <v>0</v>
      </c>
      <c r="W2816">
        <v>0</v>
      </c>
      <c r="X2816">
        <v>1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0</v>
      </c>
      <c r="AI2816" t="s">
        <v>694</v>
      </c>
      <c r="AJ2816">
        <v>28.248038000000001</v>
      </c>
      <c r="AK2816" t="s">
        <v>695</v>
      </c>
      <c r="AL2816">
        <v>-82.304657000000006</v>
      </c>
      <c r="AM2816">
        <v>100</v>
      </c>
      <c r="AN2816">
        <v>2500</v>
      </c>
      <c r="AO2816" t="s">
        <v>118</v>
      </c>
      <c r="AP2816">
        <v>106</v>
      </c>
      <c r="AQ2816">
        <v>-15</v>
      </c>
      <c r="AR2816">
        <v>256</v>
      </c>
      <c r="AZ2816">
        <v>1200</v>
      </c>
      <c r="BA2816">
        <v>1</v>
      </c>
      <c r="BB2816" t="str">
        <f t="shared" si="1308"/>
        <v xml:space="preserve">N711JA  </v>
      </c>
      <c r="BC2816">
        <v>1</v>
      </c>
      <c r="BE2816">
        <v>0</v>
      </c>
      <c r="BF2816">
        <v>0</v>
      </c>
      <c r="BG2816">
        <v>0</v>
      </c>
      <c r="BH2816">
        <v>2550</v>
      </c>
      <c r="BI2816">
        <v>1</v>
      </c>
      <c r="BJ2816">
        <v>1</v>
      </c>
      <c r="BK2816">
        <v>0</v>
      </c>
      <c r="BL2816">
        <v>0</v>
      </c>
      <c r="BO2816">
        <v>0</v>
      </c>
      <c r="BP2816">
        <v>0</v>
      </c>
      <c r="BW2816" t="str">
        <f t="shared" si="1321"/>
        <v>14:46:13.478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5</v>
      </c>
      <c r="CP2816" t="s">
        <v>119</v>
      </c>
      <c r="CQ2816">
        <v>62</v>
      </c>
      <c r="CR2816">
        <v>1</v>
      </c>
      <c r="CW2816">
        <v>12841050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1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 t="shared" si="1320"/>
        <v>05/12/2020 14:45:55.672</v>
      </c>
      <c r="C2817" t="str">
        <f t="shared" si="1307"/>
        <v>FFDFD3C0</v>
      </c>
      <c r="D2817" t="s">
        <v>126</v>
      </c>
      <c r="E2817">
        <v>6</v>
      </c>
      <c r="F2817">
        <v>1006</v>
      </c>
      <c r="G2817" t="s">
        <v>114</v>
      </c>
      <c r="J2817" t="s">
        <v>128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si="1322"/>
        <v>14:46:13.477</v>
      </c>
      <c r="T2817" t="str">
        <f t="shared" si="1323"/>
        <v>14:46:13.477</v>
      </c>
      <c r="U2817" t="str">
        <f t="shared" si="1300"/>
        <v>A9808D</v>
      </c>
      <c r="V2817">
        <v>0</v>
      </c>
      <c r="W2817">
        <v>0</v>
      </c>
      <c r="X2817">
        <v>1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0</v>
      </c>
      <c r="AI2817" t="s">
        <v>694</v>
      </c>
      <c r="AJ2817">
        <v>28.248038000000001</v>
      </c>
      <c r="AK2817" t="s">
        <v>695</v>
      </c>
      <c r="AL2817">
        <v>-82.304657000000006</v>
      </c>
      <c r="AM2817">
        <v>100</v>
      </c>
      <c r="AN2817">
        <v>2500</v>
      </c>
      <c r="AO2817" t="s">
        <v>118</v>
      </c>
      <c r="AP2817">
        <v>106</v>
      </c>
      <c r="AQ2817">
        <v>-15</v>
      </c>
      <c r="AR2817">
        <v>256</v>
      </c>
      <c r="AZ2817">
        <v>1200</v>
      </c>
      <c r="BA2817">
        <v>1</v>
      </c>
      <c r="BB2817" t="str">
        <f t="shared" si="1308"/>
        <v xml:space="preserve">N711JA  </v>
      </c>
      <c r="BC2817">
        <v>1</v>
      </c>
      <c r="BE2817">
        <v>0</v>
      </c>
      <c r="BF2817">
        <v>0</v>
      </c>
      <c r="BG2817">
        <v>0</v>
      </c>
      <c r="BH2817">
        <v>2550</v>
      </c>
      <c r="BI2817">
        <v>1</v>
      </c>
      <c r="BJ2817">
        <v>1</v>
      </c>
      <c r="BK2817">
        <v>0</v>
      </c>
      <c r="BL2817">
        <v>0</v>
      </c>
      <c r="BO2817">
        <v>0</v>
      </c>
      <c r="BP2817">
        <v>0</v>
      </c>
      <c r="BW2817" t="str">
        <f t="shared" si="1321"/>
        <v>14:46:13.478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6</v>
      </c>
      <c r="CP2817" t="s">
        <v>119</v>
      </c>
      <c r="CQ2817">
        <v>358</v>
      </c>
      <c r="CR2817">
        <v>0</v>
      </c>
      <c r="CW2817">
        <v>4894711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1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 t="shared" si="1320"/>
        <v>05/12/2020 14:45:55.672</v>
      </c>
      <c r="C2818" t="str">
        <f t="shared" si="1307"/>
        <v>FFDFD3C0</v>
      </c>
      <c r="D2818" t="s">
        <v>138</v>
      </c>
      <c r="E2818">
        <v>3</v>
      </c>
      <c r="H2818">
        <v>9</v>
      </c>
      <c r="I2818" t="s">
        <v>140</v>
      </c>
      <c r="J2818" t="s">
        <v>136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322"/>
        <v>14:46:13.477</v>
      </c>
      <c r="T2818" t="str">
        <f t="shared" si="1323"/>
        <v>14:46:13.477</v>
      </c>
      <c r="U2818" t="str">
        <f t="shared" ref="U2818:U2881" si="1324">"A9808D"</f>
        <v>A9808D</v>
      </c>
      <c r="V2818">
        <v>0</v>
      </c>
      <c r="W2818">
        <v>0</v>
      </c>
      <c r="X2818">
        <v>1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0</v>
      </c>
      <c r="AI2818" t="s">
        <v>694</v>
      </c>
      <c r="AJ2818">
        <v>28.248038000000001</v>
      </c>
      <c r="AK2818" t="s">
        <v>695</v>
      </c>
      <c r="AL2818">
        <v>-82.304657000000006</v>
      </c>
      <c r="AM2818">
        <v>100</v>
      </c>
      <c r="AN2818">
        <v>2500</v>
      </c>
      <c r="AO2818" t="s">
        <v>118</v>
      </c>
      <c r="AP2818">
        <v>106</v>
      </c>
      <c r="AQ2818">
        <v>-15</v>
      </c>
      <c r="AR2818">
        <v>256</v>
      </c>
      <c r="AZ2818">
        <v>1200</v>
      </c>
      <c r="BA2818">
        <v>1</v>
      </c>
      <c r="BB2818" t="str">
        <f t="shared" si="1308"/>
        <v xml:space="preserve">N711JA  </v>
      </c>
      <c r="BC2818">
        <v>1</v>
      </c>
      <c r="BE2818">
        <v>0</v>
      </c>
      <c r="BF2818">
        <v>0</v>
      </c>
      <c r="BG2818">
        <v>0</v>
      </c>
      <c r="BH2818">
        <v>2550</v>
      </c>
      <c r="BI2818">
        <v>1</v>
      </c>
      <c r="BJ2818">
        <v>1</v>
      </c>
      <c r="BK2818">
        <v>0</v>
      </c>
      <c r="BL2818">
        <v>0</v>
      </c>
      <c r="BO2818">
        <v>0</v>
      </c>
      <c r="BP2818">
        <v>0</v>
      </c>
      <c r="BW2818" t="str">
        <f t="shared" si="1321"/>
        <v>14:46:13.478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6</v>
      </c>
      <c r="CP2818" t="s">
        <v>119</v>
      </c>
      <c r="CQ2818">
        <v>358</v>
      </c>
      <c r="CR2818">
        <v>0</v>
      </c>
      <c r="CW2818">
        <v>4894711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1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 t="shared" si="1320"/>
        <v>05/12/2020 14:45:55.672</v>
      </c>
      <c r="C2819" t="str">
        <f t="shared" si="1307"/>
        <v>FFDFD3C0</v>
      </c>
      <c r="D2819" t="s">
        <v>113</v>
      </c>
      <c r="E2819">
        <v>3</v>
      </c>
      <c r="H2819">
        <v>164</v>
      </c>
      <c r="I2819" t="s">
        <v>114</v>
      </c>
      <c r="J2819" t="s">
        <v>115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322"/>
        <v>14:46:13.477</v>
      </c>
      <c r="T2819" t="str">
        <f t="shared" si="1323"/>
        <v>14:46:13.477</v>
      </c>
      <c r="U2819" t="str">
        <f t="shared" si="1324"/>
        <v>A9808D</v>
      </c>
      <c r="V2819">
        <v>0</v>
      </c>
      <c r="W2819">
        <v>0</v>
      </c>
      <c r="X2819">
        <v>1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0</v>
      </c>
      <c r="AI2819" t="s">
        <v>694</v>
      </c>
      <c r="AJ2819">
        <v>28.248038000000001</v>
      </c>
      <c r="AK2819" t="s">
        <v>695</v>
      </c>
      <c r="AL2819">
        <v>-82.304657000000006</v>
      </c>
      <c r="AM2819">
        <v>100</v>
      </c>
      <c r="AN2819">
        <v>2500</v>
      </c>
      <c r="AO2819" t="s">
        <v>118</v>
      </c>
      <c r="AP2819">
        <v>106</v>
      </c>
      <c r="AQ2819">
        <v>-15</v>
      </c>
      <c r="AR2819">
        <v>256</v>
      </c>
      <c r="AZ2819">
        <v>1200</v>
      </c>
      <c r="BA2819">
        <v>1</v>
      </c>
      <c r="BB2819" t="str">
        <f t="shared" si="1308"/>
        <v xml:space="preserve">N711JA  </v>
      </c>
      <c r="BC2819">
        <v>1</v>
      </c>
      <c r="BE2819">
        <v>0</v>
      </c>
      <c r="BF2819">
        <v>0</v>
      </c>
      <c r="BG2819">
        <v>0</v>
      </c>
      <c r="BH2819">
        <v>2550</v>
      </c>
      <c r="BI2819">
        <v>1</v>
      </c>
      <c r="BJ2819">
        <v>1</v>
      </c>
      <c r="BK2819">
        <v>0</v>
      </c>
      <c r="BL2819">
        <v>0</v>
      </c>
      <c r="BO2819">
        <v>0</v>
      </c>
      <c r="BP2819">
        <v>0</v>
      </c>
      <c r="BW2819" t="str">
        <f t="shared" si="1321"/>
        <v>14:46:13.478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5</v>
      </c>
      <c r="CP2819" t="s">
        <v>119</v>
      </c>
      <c r="CQ2819">
        <v>62</v>
      </c>
      <c r="CR2819">
        <v>1</v>
      </c>
      <c r="CW2819">
        <v>12841050</v>
      </c>
      <c r="CY2819">
        <v>1</v>
      </c>
      <c r="CZ2819">
        <v>0</v>
      </c>
      <c r="DA2819">
        <v>1</v>
      </c>
      <c r="DB2819">
        <v>0</v>
      </c>
      <c r="DC2819">
        <v>0</v>
      </c>
      <c r="DD2819">
        <v>1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 t="shared" si="1320"/>
        <v>05/12/2020 14:45:55.672</v>
      </c>
      <c r="C2820" t="str">
        <f t="shared" si="1307"/>
        <v>FFDFD3C0</v>
      </c>
      <c r="D2820" t="s">
        <v>126</v>
      </c>
      <c r="E2820">
        <v>7</v>
      </c>
      <c r="F2820">
        <v>1007</v>
      </c>
      <c r="G2820" t="s">
        <v>127</v>
      </c>
      <c r="J2820" t="s">
        <v>128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322"/>
        <v>14:46:13.477</v>
      </c>
      <c r="T2820" t="str">
        <f t="shared" si="1323"/>
        <v>14:46:13.477</v>
      </c>
      <c r="U2820" t="str">
        <f t="shared" si="1324"/>
        <v>A9808D</v>
      </c>
      <c r="V2820">
        <v>0</v>
      </c>
      <c r="W2820">
        <v>0</v>
      </c>
      <c r="X2820">
        <v>1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0</v>
      </c>
      <c r="AI2820" t="s">
        <v>694</v>
      </c>
      <c r="AJ2820">
        <v>28.248038000000001</v>
      </c>
      <c r="AK2820" t="s">
        <v>695</v>
      </c>
      <c r="AL2820">
        <v>-82.304657000000006</v>
      </c>
      <c r="AM2820">
        <v>100</v>
      </c>
      <c r="AN2820">
        <v>2500</v>
      </c>
      <c r="AO2820" t="s">
        <v>118</v>
      </c>
      <c r="AP2820">
        <v>106</v>
      </c>
      <c r="AQ2820">
        <v>-15</v>
      </c>
      <c r="AR2820">
        <v>256</v>
      </c>
      <c r="AZ2820">
        <v>1200</v>
      </c>
      <c r="BA2820">
        <v>1</v>
      </c>
      <c r="BB2820" t="str">
        <f t="shared" si="1308"/>
        <v xml:space="preserve">N711JA  </v>
      </c>
      <c r="BC2820">
        <v>1</v>
      </c>
      <c r="BE2820">
        <v>0</v>
      </c>
      <c r="BF2820">
        <v>0</v>
      </c>
      <c r="BG2820">
        <v>0</v>
      </c>
      <c r="BH2820">
        <v>2550</v>
      </c>
      <c r="BI2820">
        <v>1</v>
      </c>
      <c r="BJ2820">
        <v>1</v>
      </c>
      <c r="BK2820">
        <v>0</v>
      </c>
      <c r="BL2820">
        <v>0</v>
      </c>
      <c r="BO2820">
        <v>0</v>
      </c>
      <c r="BP2820">
        <v>0</v>
      </c>
      <c r="BW2820" t="str">
        <f t="shared" si="1321"/>
        <v>14:46:13.478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6</v>
      </c>
      <c r="CP2820" t="s">
        <v>119</v>
      </c>
      <c r="CQ2820">
        <v>358</v>
      </c>
      <c r="CR2820">
        <v>0</v>
      </c>
      <c r="CW2820">
        <v>4894711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1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 t="shared" si="1320"/>
        <v>05/12/2020 14:45:55.672</v>
      </c>
      <c r="C2821" t="str">
        <f t="shared" si="1307"/>
        <v>FFDFD3C0</v>
      </c>
      <c r="D2821" t="s">
        <v>131</v>
      </c>
      <c r="E2821">
        <v>10</v>
      </c>
      <c r="F2821">
        <v>2010</v>
      </c>
      <c r="G2821" t="s">
        <v>132</v>
      </c>
      <c r="J2821" t="s">
        <v>133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322"/>
        <v>14:46:13.477</v>
      </c>
      <c r="T2821" t="str">
        <f t="shared" si="1323"/>
        <v>14:46:13.477</v>
      </c>
      <c r="U2821" t="str">
        <f t="shared" si="1324"/>
        <v>A9808D</v>
      </c>
      <c r="V2821">
        <v>0</v>
      </c>
      <c r="W2821">
        <v>0</v>
      </c>
      <c r="X2821">
        <v>1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0</v>
      </c>
      <c r="AI2821" t="s">
        <v>694</v>
      </c>
      <c r="AJ2821">
        <v>28.248038000000001</v>
      </c>
      <c r="AK2821" t="s">
        <v>695</v>
      </c>
      <c r="AL2821">
        <v>-82.304657000000006</v>
      </c>
      <c r="AM2821">
        <v>100</v>
      </c>
      <c r="AN2821">
        <v>2500</v>
      </c>
      <c r="AO2821" t="s">
        <v>118</v>
      </c>
      <c r="AP2821">
        <v>106</v>
      </c>
      <c r="AQ2821">
        <v>-15</v>
      </c>
      <c r="AR2821">
        <v>256</v>
      </c>
      <c r="AZ2821">
        <v>1200</v>
      </c>
      <c r="BA2821">
        <v>1</v>
      </c>
      <c r="BB2821" t="str">
        <f t="shared" si="1308"/>
        <v xml:space="preserve">N711JA  </v>
      </c>
      <c r="BC2821">
        <v>1</v>
      </c>
      <c r="BE2821">
        <v>0</v>
      </c>
      <c r="BF2821">
        <v>0</v>
      </c>
      <c r="BG2821">
        <v>0</v>
      </c>
      <c r="BH2821">
        <v>2550</v>
      </c>
      <c r="BI2821">
        <v>1</v>
      </c>
      <c r="BJ2821">
        <v>1</v>
      </c>
      <c r="BK2821">
        <v>0</v>
      </c>
      <c r="BL2821">
        <v>0</v>
      </c>
      <c r="BO2821">
        <v>0</v>
      </c>
      <c r="BP2821">
        <v>0</v>
      </c>
      <c r="BW2821" t="str">
        <f t="shared" si="1321"/>
        <v>14:46:13.478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6</v>
      </c>
      <c r="CP2821" t="s">
        <v>119</v>
      </c>
      <c r="CQ2821">
        <v>358</v>
      </c>
      <c r="CR2821">
        <v>0</v>
      </c>
      <c r="CW2821">
        <v>4894711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1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 t="shared" ref="A2822:A2828" si="1325">"05/12/2020 14:45:56.786"</f>
        <v>05/12/2020 14:45:56.786</v>
      </c>
      <c r="C2822" t="str">
        <f t="shared" si="1307"/>
        <v>FFDFD3C0</v>
      </c>
      <c r="D2822" t="s">
        <v>134</v>
      </c>
      <c r="E2822">
        <v>12</v>
      </c>
      <c r="H2822">
        <v>64</v>
      </c>
      <c r="I2822" t="s">
        <v>135</v>
      </c>
      <c r="J2822" t="s">
        <v>136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ref="S2822:S2828" si="1326">"14:46:14.602"</f>
        <v>14:46:14.602</v>
      </c>
      <c r="T2822" t="str">
        <f t="shared" ref="T2822:T2828" si="1327">"14:46:14.402"</f>
        <v>14:46:14.402</v>
      </c>
      <c r="U2822" t="str">
        <f t="shared" si="1324"/>
        <v>A9808D</v>
      </c>
      <c r="V2822">
        <v>0</v>
      </c>
      <c r="W2822">
        <v>0</v>
      </c>
      <c r="X2822">
        <v>1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0</v>
      </c>
      <c r="AI2822" t="s">
        <v>696</v>
      </c>
      <c r="AJ2822">
        <v>28.247952000000002</v>
      </c>
      <c r="AK2822" t="s">
        <v>697</v>
      </c>
      <c r="AL2822">
        <v>-82.303970000000007</v>
      </c>
      <c r="AM2822">
        <v>100</v>
      </c>
      <c r="AN2822">
        <v>2500</v>
      </c>
      <c r="AO2822" t="s">
        <v>118</v>
      </c>
      <c r="AP2822">
        <v>106</v>
      </c>
      <c r="AQ2822">
        <v>-14</v>
      </c>
      <c r="AR2822">
        <v>256</v>
      </c>
      <c r="AZ2822">
        <v>1200</v>
      </c>
      <c r="BA2822">
        <v>1</v>
      </c>
      <c r="BB2822" t="str">
        <f t="shared" si="1308"/>
        <v xml:space="preserve">N711JA  </v>
      </c>
      <c r="BC2822">
        <v>1</v>
      </c>
      <c r="BE2822">
        <v>0</v>
      </c>
      <c r="BF2822">
        <v>0</v>
      </c>
      <c r="BG2822">
        <v>0</v>
      </c>
      <c r="BH2822">
        <v>2550</v>
      </c>
      <c r="BI2822">
        <v>1</v>
      </c>
      <c r="BJ2822">
        <v>1</v>
      </c>
      <c r="BK2822">
        <v>0</v>
      </c>
      <c r="BL2822">
        <v>0</v>
      </c>
      <c r="BO2822">
        <v>0</v>
      </c>
      <c r="BP2822">
        <v>0</v>
      </c>
      <c r="BW2822" t="str">
        <f>"14:46:14.607"</f>
        <v>14:46:14.607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6</v>
      </c>
      <c r="CP2822" t="s">
        <v>119</v>
      </c>
      <c r="CQ2822">
        <v>358</v>
      </c>
      <c r="CR2822">
        <v>0</v>
      </c>
      <c r="CW2822">
        <v>4896127</v>
      </c>
      <c r="CY2822">
        <v>1</v>
      </c>
      <c r="CZ2822">
        <v>0</v>
      </c>
      <c r="DA2822">
        <v>0</v>
      </c>
      <c r="DB2822">
        <v>0</v>
      </c>
      <c r="DC2822">
        <v>0</v>
      </c>
      <c r="DD2822">
        <v>1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 t="shared" si="1325"/>
        <v>05/12/2020 14:45:56.786</v>
      </c>
      <c r="C2823" t="str">
        <f t="shared" si="1307"/>
        <v>FFDFD3C0</v>
      </c>
      <c r="D2823" t="s">
        <v>138</v>
      </c>
      <c r="E2823">
        <v>3</v>
      </c>
      <c r="H2823">
        <v>9</v>
      </c>
      <c r="I2823" t="s">
        <v>140</v>
      </c>
      <c r="J2823" t="s">
        <v>136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326"/>
        <v>14:46:14.602</v>
      </c>
      <c r="T2823" t="str">
        <f t="shared" si="1327"/>
        <v>14:46:14.402</v>
      </c>
      <c r="U2823" t="str">
        <f t="shared" si="1324"/>
        <v>A9808D</v>
      </c>
      <c r="V2823">
        <v>0</v>
      </c>
      <c r="W2823">
        <v>0</v>
      </c>
      <c r="X2823">
        <v>1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0</v>
      </c>
      <c r="AI2823" t="s">
        <v>696</v>
      </c>
      <c r="AJ2823">
        <v>28.247952000000002</v>
      </c>
      <c r="AK2823" t="s">
        <v>697</v>
      </c>
      <c r="AL2823">
        <v>-82.303970000000007</v>
      </c>
      <c r="AM2823">
        <v>100</v>
      </c>
      <c r="AN2823">
        <v>2500</v>
      </c>
      <c r="AO2823" t="s">
        <v>118</v>
      </c>
      <c r="AP2823">
        <v>106</v>
      </c>
      <c r="AQ2823">
        <v>-14</v>
      </c>
      <c r="AR2823">
        <v>256</v>
      </c>
      <c r="AZ2823">
        <v>1200</v>
      </c>
      <c r="BA2823">
        <v>1</v>
      </c>
      <c r="BB2823" t="str">
        <f t="shared" si="1308"/>
        <v xml:space="preserve">N711JA  </v>
      </c>
      <c r="BC2823">
        <v>1</v>
      </c>
      <c r="BE2823">
        <v>0</v>
      </c>
      <c r="BF2823">
        <v>0</v>
      </c>
      <c r="BG2823">
        <v>0</v>
      </c>
      <c r="BH2823">
        <v>2550</v>
      </c>
      <c r="BI2823">
        <v>1</v>
      </c>
      <c r="BJ2823">
        <v>1</v>
      </c>
      <c r="BK2823">
        <v>0</v>
      </c>
      <c r="BL2823">
        <v>0</v>
      </c>
      <c r="BO2823">
        <v>0</v>
      </c>
      <c r="BP2823">
        <v>0</v>
      </c>
      <c r="BW2823" t="str">
        <f>"14:46:14.607"</f>
        <v>14:46:14.607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6</v>
      </c>
      <c r="CP2823" t="s">
        <v>119</v>
      </c>
      <c r="CQ2823">
        <v>358</v>
      </c>
      <c r="CR2823">
        <v>0</v>
      </c>
      <c r="CW2823">
        <v>4896127</v>
      </c>
      <c r="CY2823">
        <v>1</v>
      </c>
      <c r="CZ2823">
        <v>0</v>
      </c>
      <c r="DA2823">
        <v>1</v>
      </c>
      <c r="DB2823">
        <v>0</v>
      </c>
      <c r="DC2823">
        <v>0</v>
      </c>
      <c r="DD2823">
        <v>1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 t="shared" si="1325"/>
        <v>05/12/2020 14:45:56.786</v>
      </c>
      <c r="C2824" t="str">
        <f t="shared" si="1307"/>
        <v>FFDFD3C0</v>
      </c>
      <c r="D2824" t="s">
        <v>126</v>
      </c>
      <c r="E2824">
        <v>7</v>
      </c>
      <c r="F2824">
        <v>1007</v>
      </c>
      <c r="G2824" t="s">
        <v>127</v>
      </c>
      <c r="J2824" t="s">
        <v>128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326"/>
        <v>14:46:14.602</v>
      </c>
      <c r="T2824" t="str">
        <f t="shared" si="1327"/>
        <v>14:46:14.402</v>
      </c>
      <c r="U2824" t="str">
        <f t="shared" si="1324"/>
        <v>A9808D</v>
      </c>
      <c r="V2824">
        <v>0</v>
      </c>
      <c r="W2824">
        <v>0</v>
      </c>
      <c r="X2824">
        <v>1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0</v>
      </c>
      <c r="AI2824" t="s">
        <v>696</v>
      </c>
      <c r="AJ2824">
        <v>28.247952000000002</v>
      </c>
      <c r="AK2824" t="s">
        <v>697</v>
      </c>
      <c r="AL2824">
        <v>-82.303970000000007</v>
      </c>
      <c r="AM2824">
        <v>100</v>
      </c>
      <c r="AN2824">
        <v>2500</v>
      </c>
      <c r="AO2824" t="s">
        <v>118</v>
      </c>
      <c r="AP2824">
        <v>106</v>
      </c>
      <c r="AQ2824">
        <v>-14</v>
      </c>
      <c r="AR2824">
        <v>256</v>
      </c>
      <c r="AZ2824">
        <v>1200</v>
      </c>
      <c r="BA2824">
        <v>1</v>
      </c>
      <c r="BB2824" t="str">
        <f t="shared" si="1308"/>
        <v xml:space="preserve">N711JA  </v>
      </c>
      <c r="BC2824">
        <v>1</v>
      </c>
      <c r="BE2824">
        <v>0</v>
      </c>
      <c r="BF2824">
        <v>0</v>
      </c>
      <c r="BG2824">
        <v>0</v>
      </c>
      <c r="BH2824">
        <v>2550</v>
      </c>
      <c r="BI2824">
        <v>1</v>
      </c>
      <c r="BJ2824">
        <v>1</v>
      </c>
      <c r="BK2824">
        <v>0</v>
      </c>
      <c r="BL2824">
        <v>0</v>
      </c>
      <c r="BO2824">
        <v>0</v>
      </c>
      <c r="BP2824">
        <v>0</v>
      </c>
      <c r="BW2824" t="str">
        <f>"14:46:14.607"</f>
        <v>14:46:14.607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6</v>
      </c>
      <c r="CP2824" t="s">
        <v>119</v>
      </c>
      <c r="CQ2824">
        <v>358</v>
      </c>
      <c r="CR2824">
        <v>0</v>
      </c>
      <c r="CW2824">
        <v>4896127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1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 t="shared" si="1325"/>
        <v>05/12/2020 14:45:56.786</v>
      </c>
      <c r="C2825" t="str">
        <f t="shared" si="1307"/>
        <v>FFDFD3C0</v>
      </c>
      <c r="D2825" t="s">
        <v>131</v>
      </c>
      <c r="E2825">
        <v>10</v>
      </c>
      <c r="F2825">
        <v>2010</v>
      </c>
      <c r="G2825" t="s">
        <v>132</v>
      </c>
      <c r="J2825" t="s">
        <v>133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326"/>
        <v>14:46:14.602</v>
      </c>
      <c r="T2825" t="str">
        <f t="shared" si="1327"/>
        <v>14:46:14.402</v>
      </c>
      <c r="U2825" t="str">
        <f t="shared" si="1324"/>
        <v>A9808D</v>
      </c>
      <c r="V2825">
        <v>0</v>
      </c>
      <c r="W2825">
        <v>0</v>
      </c>
      <c r="X2825">
        <v>1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0</v>
      </c>
      <c r="AI2825" t="s">
        <v>696</v>
      </c>
      <c r="AJ2825">
        <v>28.247952000000002</v>
      </c>
      <c r="AK2825" t="s">
        <v>697</v>
      </c>
      <c r="AL2825">
        <v>-82.303970000000007</v>
      </c>
      <c r="AM2825">
        <v>100</v>
      </c>
      <c r="AN2825">
        <v>2500</v>
      </c>
      <c r="AO2825" t="s">
        <v>118</v>
      </c>
      <c r="AP2825">
        <v>106</v>
      </c>
      <c r="AQ2825">
        <v>-14</v>
      </c>
      <c r="AR2825">
        <v>256</v>
      </c>
      <c r="AZ2825">
        <v>1200</v>
      </c>
      <c r="BA2825">
        <v>1</v>
      </c>
      <c r="BB2825" t="str">
        <f t="shared" si="1308"/>
        <v xml:space="preserve">N711JA  </v>
      </c>
      <c r="BC2825">
        <v>1</v>
      </c>
      <c r="BE2825">
        <v>0</v>
      </c>
      <c r="BF2825">
        <v>0</v>
      </c>
      <c r="BG2825">
        <v>0</v>
      </c>
      <c r="BH2825">
        <v>2550</v>
      </c>
      <c r="BI2825">
        <v>1</v>
      </c>
      <c r="BJ2825">
        <v>1</v>
      </c>
      <c r="BK2825">
        <v>0</v>
      </c>
      <c r="BL2825">
        <v>0</v>
      </c>
      <c r="BO2825">
        <v>0</v>
      </c>
      <c r="BP2825">
        <v>0</v>
      </c>
      <c r="BW2825" t="str">
        <f>"14:46:14.607"</f>
        <v>14:46:14.607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6</v>
      </c>
      <c r="CP2825" t="s">
        <v>119</v>
      </c>
      <c r="CQ2825">
        <v>358</v>
      </c>
      <c r="CR2825">
        <v>0</v>
      </c>
      <c r="CW2825">
        <v>4896127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1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 t="shared" si="1325"/>
        <v>05/12/2020 14:45:56.786</v>
      </c>
      <c r="C2826" t="str">
        <f t="shared" si="1307"/>
        <v>FFDFD3C0</v>
      </c>
      <c r="D2826" t="s">
        <v>113</v>
      </c>
      <c r="E2826">
        <v>3</v>
      </c>
      <c r="H2826">
        <v>164</v>
      </c>
      <c r="I2826" t="s">
        <v>114</v>
      </c>
      <c r="J2826" t="s">
        <v>115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326"/>
        <v>14:46:14.602</v>
      </c>
      <c r="T2826" t="str">
        <f t="shared" si="1327"/>
        <v>14:46:14.402</v>
      </c>
      <c r="U2826" t="str">
        <f t="shared" si="1324"/>
        <v>A9808D</v>
      </c>
      <c r="V2826">
        <v>0</v>
      </c>
      <c r="W2826">
        <v>0</v>
      </c>
      <c r="X2826">
        <v>1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0</v>
      </c>
      <c r="AI2826" t="s">
        <v>696</v>
      </c>
      <c r="AJ2826">
        <v>28.247952000000002</v>
      </c>
      <c r="AK2826" t="s">
        <v>697</v>
      </c>
      <c r="AL2826">
        <v>-82.303970000000007</v>
      </c>
      <c r="AM2826">
        <v>100</v>
      </c>
      <c r="AN2826">
        <v>2500</v>
      </c>
      <c r="AO2826" t="s">
        <v>118</v>
      </c>
      <c r="AP2826">
        <v>106</v>
      </c>
      <c r="AQ2826">
        <v>-14</v>
      </c>
      <c r="AR2826">
        <v>256</v>
      </c>
      <c r="AZ2826">
        <v>1200</v>
      </c>
      <c r="BA2826">
        <v>1</v>
      </c>
      <c r="BB2826" t="str">
        <f t="shared" si="1308"/>
        <v xml:space="preserve">N711JA  </v>
      </c>
      <c r="BC2826">
        <v>1</v>
      </c>
      <c r="BE2826">
        <v>0</v>
      </c>
      <c r="BF2826">
        <v>0</v>
      </c>
      <c r="BG2826">
        <v>0</v>
      </c>
      <c r="BH2826">
        <v>2550</v>
      </c>
      <c r="BI2826">
        <v>1</v>
      </c>
      <c r="BJ2826">
        <v>1</v>
      </c>
      <c r="BK2826">
        <v>0</v>
      </c>
      <c r="BL2826">
        <v>0</v>
      </c>
      <c r="BO2826">
        <v>0</v>
      </c>
      <c r="BP2826">
        <v>0</v>
      </c>
      <c r="BW2826" t="str">
        <f>"14:46:14.608"</f>
        <v>14:46:14.608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5</v>
      </c>
      <c r="CP2826" t="s">
        <v>119</v>
      </c>
      <c r="CQ2826">
        <v>62</v>
      </c>
      <c r="CR2826">
        <v>1</v>
      </c>
      <c r="CW2826">
        <v>12842343</v>
      </c>
      <c r="CY2826">
        <v>1</v>
      </c>
      <c r="CZ2826">
        <v>0</v>
      </c>
      <c r="DA2826">
        <v>1</v>
      </c>
      <c r="DB2826">
        <v>0</v>
      </c>
      <c r="DC2826">
        <v>0</v>
      </c>
      <c r="DD2826">
        <v>1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 t="shared" si="1325"/>
        <v>05/12/2020 14:45:56.786</v>
      </c>
      <c r="C2827" t="str">
        <f t="shared" si="1307"/>
        <v>FFDFD3C0</v>
      </c>
      <c r="D2827" t="s">
        <v>131</v>
      </c>
      <c r="E2827">
        <v>18</v>
      </c>
      <c r="F2827">
        <v>2018</v>
      </c>
      <c r="G2827" t="s">
        <v>161</v>
      </c>
      <c r="J2827" t="s">
        <v>133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326"/>
        <v>14:46:14.602</v>
      </c>
      <c r="T2827" t="str">
        <f t="shared" si="1327"/>
        <v>14:46:14.402</v>
      </c>
      <c r="U2827" t="str">
        <f t="shared" si="1324"/>
        <v>A9808D</v>
      </c>
      <c r="V2827">
        <v>0</v>
      </c>
      <c r="W2827">
        <v>0</v>
      </c>
      <c r="X2827">
        <v>1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0</v>
      </c>
      <c r="AI2827" t="s">
        <v>696</v>
      </c>
      <c r="AJ2827">
        <v>28.247952000000002</v>
      </c>
      <c r="AK2827" t="s">
        <v>697</v>
      </c>
      <c r="AL2827">
        <v>-82.303970000000007</v>
      </c>
      <c r="AM2827">
        <v>100</v>
      </c>
      <c r="AN2827">
        <v>2500</v>
      </c>
      <c r="AO2827" t="s">
        <v>118</v>
      </c>
      <c r="AP2827">
        <v>106</v>
      </c>
      <c r="AQ2827">
        <v>-14</v>
      </c>
      <c r="AR2827">
        <v>256</v>
      </c>
      <c r="AZ2827">
        <v>1200</v>
      </c>
      <c r="BA2827">
        <v>1</v>
      </c>
      <c r="BB2827" t="str">
        <f t="shared" si="1308"/>
        <v xml:space="preserve">N711JA  </v>
      </c>
      <c r="BC2827">
        <v>1</v>
      </c>
      <c r="BE2827">
        <v>0</v>
      </c>
      <c r="BF2827">
        <v>0</v>
      </c>
      <c r="BG2827">
        <v>0</v>
      </c>
      <c r="BH2827">
        <v>2550</v>
      </c>
      <c r="BI2827">
        <v>1</v>
      </c>
      <c r="BJ2827">
        <v>1</v>
      </c>
      <c r="BK2827">
        <v>0</v>
      </c>
      <c r="BL2827">
        <v>0</v>
      </c>
      <c r="BO2827">
        <v>0</v>
      </c>
      <c r="BP2827">
        <v>0</v>
      </c>
      <c r="BW2827" t="str">
        <f>"14:46:14.608"</f>
        <v>14:46:14.608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5</v>
      </c>
      <c r="CP2827" t="s">
        <v>119</v>
      </c>
      <c r="CQ2827">
        <v>62</v>
      </c>
      <c r="CR2827">
        <v>1</v>
      </c>
      <c r="CW2827">
        <v>12842343</v>
      </c>
      <c r="CY2827">
        <v>1</v>
      </c>
      <c r="CZ2827">
        <v>0</v>
      </c>
      <c r="DA2827">
        <v>1</v>
      </c>
      <c r="DB2827">
        <v>0</v>
      </c>
      <c r="DC2827">
        <v>0</v>
      </c>
      <c r="DD2827">
        <v>1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 t="shared" si="1325"/>
        <v>05/12/2020 14:45:56.786</v>
      </c>
      <c r="C2828" t="str">
        <f t="shared" si="1307"/>
        <v>FFDFD3C0</v>
      </c>
      <c r="D2828" t="s">
        <v>126</v>
      </c>
      <c r="E2828">
        <v>6</v>
      </c>
      <c r="F2828">
        <v>1006</v>
      </c>
      <c r="G2828" t="s">
        <v>114</v>
      </c>
      <c r="J2828" t="s">
        <v>128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326"/>
        <v>14:46:14.602</v>
      </c>
      <c r="T2828" t="str">
        <f t="shared" si="1327"/>
        <v>14:46:14.402</v>
      </c>
      <c r="U2828" t="str">
        <f t="shared" si="1324"/>
        <v>A9808D</v>
      </c>
      <c r="V2828">
        <v>0</v>
      </c>
      <c r="W2828">
        <v>0</v>
      </c>
      <c r="X2828">
        <v>1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3</v>
      </c>
      <c r="AG2828">
        <v>2</v>
      </c>
      <c r="AH2828">
        <v>0</v>
      </c>
      <c r="AI2828" t="s">
        <v>696</v>
      </c>
      <c r="AJ2828">
        <v>28.247952000000002</v>
      </c>
      <c r="AK2828" t="s">
        <v>697</v>
      </c>
      <c r="AL2828">
        <v>-82.303970000000007</v>
      </c>
      <c r="AM2828">
        <v>100</v>
      </c>
      <c r="AN2828">
        <v>2500</v>
      </c>
      <c r="AO2828" t="s">
        <v>118</v>
      </c>
      <c r="AP2828">
        <v>106</v>
      </c>
      <c r="AQ2828">
        <v>-14</v>
      </c>
      <c r="AR2828">
        <v>256</v>
      </c>
      <c r="AZ2828">
        <v>1200</v>
      </c>
      <c r="BA2828">
        <v>1</v>
      </c>
      <c r="BB2828" t="str">
        <f t="shared" si="1308"/>
        <v xml:space="preserve">N711JA  </v>
      </c>
      <c r="BC2828">
        <v>1</v>
      </c>
      <c r="BE2828">
        <v>0</v>
      </c>
      <c r="BF2828">
        <v>0</v>
      </c>
      <c r="BG2828">
        <v>0</v>
      </c>
      <c r="BH2828">
        <v>2550</v>
      </c>
      <c r="BI2828">
        <v>1</v>
      </c>
      <c r="BJ2828">
        <v>1</v>
      </c>
      <c r="BK2828">
        <v>0</v>
      </c>
      <c r="BL2828">
        <v>0</v>
      </c>
      <c r="BO2828">
        <v>0</v>
      </c>
      <c r="BP2828">
        <v>0</v>
      </c>
      <c r="BW2828" t="str">
        <f>"14:46:14.607"</f>
        <v>14:46:14.607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6</v>
      </c>
      <c r="CP2828" t="s">
        <v>119</v>
      </c>
      <c r="CQ2828">
        <v>358</v>
      </c>
      <c r="CR2828">
        <v>0</v>
      </c>
      <c r="CW2828">
        <v>4896127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1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 t="shared" ref="A2829:A2837" si="1328">"05/12/2020 14:45:57.733"</f>
        <v>05/12/2020 14:45:57.733</v>
      </c>
      <c r="C2829" t="str">
        <f t="shared" si="1307"/>
        <v>FFDFD3C0</v>
      </c>
      <c r="D2829" t="s">
        <v>126</v>
      </c>
      <c r="E2829">
        <v>6</v>
      </c>
      <c r="F2829">
        <v>1006</v>
      </c>
      <c r="G2829" t="s">
        <v>114</v>
      </c>
      <c r="J2829" t="s">
        <v>128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ref="S2829:S2837" si="1329">"14:46:15.563"</f>
        <v>14:46:15.563</v>
      </c>
      <c r="T2829" t="str">
        <f t="shared" ref="T2829:T2837" si="1330">"14:46:15.463"</f>
        <v>14:46:15.463</v>
      </c>
      <c r="U2829" t="str">
        <f t="shared" si="1324"/>
        <v>A9808D</v>
      </c>
      <c r="V2829">
        <v>0</v>
      </c>
      <c r="W2829">
        <v>0</v>
      </c>
      <c r="X2829">
        <v>1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0</v>
      </c>
      <c r="AI2829" t="s">
        <v>698</v>
      </c>
      <c r="AJ2829">
        <v>28.247888</v>
      </c>
      <c r="AK2829" t="s">
        <v>699</v>
      </c>
      <c r="AL2829">
        <v>-82.303476000000003</v>
      </c>
      <c r="AM2829">
        <v>100</v>
      </c>
      <c r="AN2829">
        <v>2500</v>
      </c>
      <c r="AO2829" t="s">
        <v>118</v>
      </c>
      <c r="AP2829">
        <v>107</v>
      </c>
      <c r="AQ2829">
        <v>-13</v>
      </c>
      <c r="AR2829">
        <v>256</v>
      </c>
      <c r="AZ2829">
        <v>1200</v>
      </c>
      <c r="BA2829">
        <v>1</v>
      </c>
      <c r="BB2829" t="str">
        <f t="shared" si="1308"/>
        <v xml:space="preserve">N711JA  </v>
      </c>
      <c r="BC2829">
        <v>1</v>
      </c>
      <c r="BE2829">
        <v>0</v>
      </c>
      <c r="BF2829">
        <v>0</v>
      </c>
      <c r="BG2829">
        <v>0</v>
      </c>
      <c r="BH2829">
        <v>2575</v>
      </c>
      <c r="BI2829">
        <v>1</v>
      </c>
      <c r="BJ2829">
        <v>1</v>
      </c>
      <c r="BK2829">
        <v>0</v>
      </c>
      <c r="BL2829">
        <v>0</v>
      </c>
      <c r="BO2829">
        <v>0</v>
      </c>
      <c r="BP2829">
        <v>0</v>
      </c>
      <c r="BW2829" t="str">
        <f>"14:46:15.567"</f>
        <v>14:46:15.567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6</v>
      </c>
      <c r="CP2829" t="s">
        <v>119</v>
      </c>
      <c r="CQ2829">
        <v>358</v>
      </c>
      <c r="CR2829">
        <v>0</v>
      </c>
      <c r="CW2829">
        <v>4897297</v>
      </c>
      <c r="CY2829">
        <v>1</v>
      </c>
      <c r="CZ2829">
        <v>0</v>
      </c>
      <c r="DA2829">
        <v>0</v>
      </c>
      <c r="DB2829">
        <v>0</v>
      </c>
      <c r="DC2829">
        <v>0</v>
      </c>
      <c r="DD2829">
        <v>1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 t="shared" si="1328"/>
        <v>05/12/2020 14:45:57.733</v>
      </c>
      <c r="C2830" t="str">
        <f t="shared" si="1307"/>
        <v>FFDFD3C0</v>
      </c>
      <c r="D2830" t="s">
        <v>131</v>
      </c>
      <c r="E2830">
        <v>12</v>
      </c>
      <c r="F2830">
        <v>2012</v>
      </c>
      <c r="G2830" t="s">
        <v>137</v>
      </c>
      <c r="J2830" t="s">
        <v>133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329"/>
        <v>14:46:15.563</v>
      </c>
      <c r="T2830" t="str">
        <f t="shared" si="1330"/>
        <v>14:46:15.463</v>
      </c>
      <c r="U2830" t="str">
        <f t="shared" si="1324"/>
        <v>A9808D</v>
      </c>
      <c r="V2830">
        <v>0</v>
      </c>
      <c r="W2830">
        <v>0</v>
      </c>
      <c r="X2830">
        <v>1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0</v>
      </c>
      <c r="AI2830" t="s">
        <v>698</v>
      </c>
      <c r="AJ2830">
        <v>28.247888</v>
      </c>
      <c r="AK2830" t="s">
        <v>699</v>
      </c>
      <c r="AL2830">
        <v>-82.303476000000003</v>
      </c>
      <c r="AM2830">
        <v>100</v>
      </c>
      <c r="AN2830">
        <v>2500</v>
      </c>
      <c r="AO2830" t="s">
        <v>118</v>
      </c>
      <c r="AP2830">
        <v>107</v>
      </c>
      <c r="AQ2830">
        <v>-13</v>
      </c>
      <c r="AR2830">
        <v>256</v>
      </c>
      <c r="AZ2830">
        <v>1200</v>
      </c>
      <c r="BA2830">
        <v>1</v>
      </c>
      <c r="BB2830" t="str">
        <f t="shared" si="1308"/>
        <v xml:space="preserve">N711JA  </v>
      </c>
      <c r="BC2830">
        <v>1</v>
      </c>
      <c r="BE2830">
        <v>0</v>
      </c>
      <c r="BF2830">
        <v>0</v>
      </c>
      <c r="BG2830">
        <v>0</v>
      </c>
      <c r="BH2830">
        <v>2575</v>
      </c>
      <c r="BI2830">
        <v>1</v>
      </c>
      <c r="BJ2830">
        <v>1</v>
      </c>
      <c r="BK2830">
        <v>0</v>
      </c>
      <c r="BL2830">
        <v>0</v>
      </c>
      <c r="BO2830">
        <v>0</v>
      </c>
      <c r="BP2830">
        <v>0</v>
      </c>
      <c r="BW2830" t="str">
        <f>"14:46:15.568"</f>
        <v>14:46:15.568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2</v>
      </c>
      <c r="CP2830" t="s">
        <v>119</v>
      </c>
      <c r="CQ2830">
        <v>11</v>
      </c>
      <c r="CR2830">
        <v>2</v>
      </c>
      <c r="CW2830">
        <v>15974666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1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 t="shared" si="1328"/>
        <v>05/12/2020 14:45:57.733</v>
      </c>
      <c r="C2831" t="str">
        <f t="shared" si="1307"/>
        <v>FFDFD3C0</v>
      </c>
      <c r="D2831" t="s">
        <v>131</v>
      </c>
      <c r="E2831">
        <v>18</v>
      </c>
      <c r="F2831">
        <v>2018</v>
      </c>
      <c r="G2831" t="s">
        <v>161</v>
      </c>
      <c r="J2831" t="s">
        <v>133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329"/>
        <v>14:46:15.563</v>
      </c>
      <c r="T2831" t="str">
        <f t="shared" si="1330"/>
        <v>14:46:15.463</v>
      </c>
      <c r="U2831" t="str">
        <f t="shared" si="1324"/>
        <v>A9808D</v>
      </c>
      <c r="V2831">
        <v>0</v>
      </c>
      <c r="W2831">
        <v>0</v>
      </c>
      <c r="X2831">
        <v>1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0</v>
      </c>
      <c r="AI2831" t="s">
        <v>698</v>
      </c>
      <c r="AJ2831">
        <v>28.247888</v>
      </c>
      <c r="AK2831" t="s">
        <v>699</v>
      </c>
      <c r="AL2831">
        <v>-82.303476000000003</v>
      </c>
      <c r="AM2831">
        <v>100</v>
      </c>
      <c r="AN2831">
        <v>2500</v>
      </c>
      <c r="AO2831" t="s">
        <v>118</v>
      </c>
      <c r="AP2831">
        <v>107</v>
      </c>
      <c r="AQ2831">
        <v>-13</v>
      </c>
      <c r="AR2831">
        <v>256</v>
      </c>
      <c r="AZ2831">
        <v>1200</v>
      </c>
      <c r="BA2831">
        <v>1</v>
      </c>
      <c r="BB2831" t="str">
        <f t="shared" si="1308"/>
        <v xml:space="preserve">N711JA  </v>
      </c>
      <c r="BC2831">
        <v>1</v>
      </c>
      <c r="BE2831">
        <v>0</v>
      </c>
      <c r="BF2831">
        <v>0</v>
      </c>
      <c r="BG2831">
        <v>0</v>
      </c>
      <c r="BH2831">
        <v>2575</v>
      </c>
      <c r="BI2831">
        <v>1</v>
      </c>
      <c r="BJ2831">
        <v>1</v>
      </c>
      <c r="BK2831">
        <v>0</v>
      </c>
      <c r="BL2831">
        <v>0</v>
      </c>
      <c r="BO2831">
        <v>0</v>
      </c>
      <c r="BP2831">
        <v>0</v>
      </c>
      <c r="BW2831" t="str">
        <f>"14:46:15.567"</f>
        <v>14:46:15.567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5</v>
      </c>
      <c r="CP2831" t="s">
        <v>119</v>
      </c>
      <c r="CQ2831">
        <v>62</v>
      </c>
      <c r="CR2831">
        <v>1</v>
      </c>
      <c r="CW2831">
        <v>12843402</v>
      </c>
      <c r="CY2831">
        <v>1</v>
      </c>
      <c r="CZ2831">
        <v>0</v>
      </c>
      <c r="DA2831">
        <v>1</v>
      </c>
      <c r="DB2831">
        <v>0</v>
      </c>
      <c r="DC2831">
        <v>0</v>
      </c>
      <c r="DD2831">
        <v>1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 t="shared" si="1328"/>
        <v>05/12/2020 14:45:57.733</v>
      </c>
      <c r="C2832" t="str">
        <f t="shared" si="1307"/>
        <v>FFDFD3C0</v>
      </c>
      <c r="D2832" t="s">
        <v>138</v>
      </c>
      <c r="E2832">
        <v>2</v>
      </c>
      <c r="H2832">
        <v>8</v>
      </c>
      <c r="I2832" t="s">
        <v>139</v>
      </c>
      <c r="J2832" t="s">
        <v>136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329"/>
        <v>14:46:15.563</v>
      </c>
      <c r="T2832" t="str">
        <f t="shared" si="1330"/>
        <v>14:46:15.463</v>
      </c>
      <c r="U2832" t="str">
        <f t="shared" si="1324"/>
        <v>A9808D</v>
      </c>
      <c r="V2832">
        <v>0</v>
      </c>
      <c r="W2832">
        <v>0</v>
      </c>
      <c r="X2832">
        <v>1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0</v>
      </c>
      <c r="AI2832" t="s">
        <v>698</v>
      </c>
      <c r="AJ2832">
        <v>28.247888</v>
      </c>
      <c r="AK2832" t="s">
        <v>699</v>
      </c>
      <c r="AL2832">
        <v>-82.303476000000003</v>
      </c>
      <c r="AM2832">
        <v>100</v>
      </c>
      <c r="AN2832">
        <v>2500</v>
      </c>
      <c r="AO2832" t="s">
        <v>118</v>
      </c>
      <c r="AP2832">
        <v>107</v>
      </c>
      <c r="AQ2832">
        <v>-13</v>
      </c>
      <c r="AR2832">
        <v>256</v>
      </c>
      <c r="AZ2832">
        <v>1200</v>
      </c>
      <c r="BA2832">
        <v>1</v>
      </c>
      <c r="BB2832" t="str">
        <f t="shared" si="1308"/>
        <v xml:space="preserve">N711JA  </v>
      </c>
      <c r="BC2832">
        <v>1</v>
      </c>
      <c r="BE2832">
        <v>0</v>
      </c>
      <c r="BF2832">
        <v>0</v>
      </c>
      <c r="BG2832">
        <v>0</v>
      </c>
      <c r="BH2832">
        <v>2575</v>
      </c>
      <c r="BI2832">
        <v>1</v>
      </c>
      <c r="BJ2832">
        <v>1</v>
      </c>
      <c r="BK2832">
        <v>0</v>
      </c>
      <c r="BL2832">
        <v>0</v>
      </c>
      <c r="BO2832">
        <v>0</v>
      </c>
      <c r="BP2832">
        <v>0</v>
      </c>
      <c r="BW2832" t="str">
        <f>"14:46:15.568"</f>
        <v>14:46:15.568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2</v>
      </c>
      <c r="CP2832" t="s">
        <v>119</v>
      </c>
      <c r="CQ2832">
        <v>11</v>
      </c>
      <c r="CR2832">
        <v>2</v>
      </c>
      <c r="CW2832">
        <v>15974666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1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 t="shared" si="1328"/>
        <v>05/12/2020 14:45:57.733</v>
      </c>
      <c r="C2833" t="str">
        <f t="shared" si="1307"/>
        <v>FFDFD3C0</v>
      </c>
      <c r="D2833" t="s">
        <v>113</v>
      </c>
      <c r="E2833">
        <v>3</v>
      </c>
      <c r="H2833">
        <v>164</v>
      </c>
      <c r="I2833" t="s">
        <v>114</v>
      </c>
      <c r="J2833" t="s">
        <v>115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329"/>
        <v>14:46:15.563</v>
      </c>
      <c r="T2833" t="str">
        <f t="shared" si="1330"/>
        <v>14:46:15.463</v>
      </c>
      <c r="U2833" t="str">
        <f t="shared" si="1324"/>
        <v>A9808D</v>
      </c>
      <c r="V2833">
        <v>0</v>
      </c>
      <c r="W2833">
        <v>0</v>
      </c>
      <c r="X2833">
        <v>1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0</v>
      </c>
      <c r="AI2833" t="s">
        <v>698</v>
      </c>
      <c r="AJ2833">
        <v>28.247888</v>
      </c>
      <c r="AK2833" t="s">
        <v>699</v>
      </c>
      <c r="AL2833">
        <v>-82.303476000000003</v>
      </c>
      <c r="AM2833">
        <v>100</v>
      </c>
      <c r="AN2833">
        <v>2500</v>
      </c>
      <c r="AO2833" t="s">
        <v>118</v>
      </c>
      <c r="AP2833">
        <v>107</v>
      </c>
      <c r="AQ2833">
        <v>-13</v>
      </c>
      <c r="AR2833">
        <v>256</v>
      </c>
      <c r="AZ2833">
        <v>1200</v>
      </c>
      <c r="BA2833">
        <v>1</v>
      </c>
      <c r="BB2833" t="str">
        <f t="shared" si="1308"/>
        <v xml:space="preserve">N711JA  </v>
      </c>
      <c r="BC2833">
        <v>1</v>
      </c>
      <c r="BE2833">
        <v>0</v>
      </c>
      <c r="BF2833">
        <v>0</v>
      </c>
      <c r="BG2833">
        <v>0</v>
      </c>
      <c r="BH2833">
        <v>2575</v>
      </c>
      <c r="BI2833">
        <v>1</v>
      </c>
      <c r="BJ2833">
        <v>1</v>
      </c>
      <c r="BK2833">
        <v>0</v>
      </c>
      <c r="BL2833">
        <v>0</v>
      </c>
      <c r="BO2833">
        <v>0</v>
      </c>
      <c r="BP2833">
        <v>0</v>
      </c>
      <c r="BW2833" t="str">
        <f>"14:46:15.567"</f>
        <v>14:46:15.567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5</v>
      </c>
      <c r="CP2833" t="s">
        <v>119</v>
      </c>
      <c r="CQ2833">
        <v>62</v>
      </c>
      <c r="CR2833">
        <v>1</v>
      </c>
      <c r="CW2833">
        <v>12843402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1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 t="shared" si="1328"/>
        <v>05/12/2020 14:45:57.733</v>
      </c>
      <c r="C2834" t="str">
        <f t="shared" si="1307"/>
        <v>FFDFD3C0</v>
      </c>
      <c r="D2834" t="s">
        <v>134</v>
      </c>
      <c r="E2834">
        <v>12</v>
      </c>
      <c r="H2834">
        <v>64</v>
      </c>
      <c r="I2834" t="s">
        <v>135</v>
      </c>
      <c r="J2834" t="s">
        <v>136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329"/>
        <v>14:46:15.563</v>
      </c>
      <c r="T2834" t="str">
        <f t="shared" si="1330"/>
        <v>14:46:15.463</v>
      </c>
      <c r="U2834" t="str">
        <f t="shared" si="1324"/>
        <v>A9808D</v>
      </c>
      <c r="V2834">
        <v>0</v>
      </c>
      <c r="W2834">
        <v>0</v>
      </c>
      <c r="X2834">
        <v>1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0</v>
      </c>
      <c r="AI2834" t="s">
        <v>698</v>
      </c>
      <c r="AJ2834">
        <v>28.247888</v>
      </c>
      <c r="AK2834" t="s">
        <v>699</v>
      </c>
      <c r="AL2834">
        <v>-82.303476000000003</v>
      </c>
      <c r="AM2834">
        <v>100</v>
      </c>
      <c r="AN2834">
        <v>2500</v>
      </c>
      <c r="AO2834" t="s">
        <v>118</v>
      </c>
      <c r="AP2834">
        <v>107</v>
      </c>
      <c r="AQ2834">
        <v>-13</v>
      </c>
      <c r="AR2834">
        <v>256</v>
      </c>
      <c r="AZ2834">
        <v>1200</v>
      </c>
      <c r="BA2834">
        <v>1</v>
      </c>
      <c r="BB2834" t="str">
        <f t="shared" si="1308"/>
        <v xml:space="preserve">N711JA  </v>
      </c>
      <c r="BC2834">
        <v>1</v>
      </c>
      <c r="BE2834">
        <v>0</v>
      </c>
      <c r="BF2834">
        <v>0</v>
      </c>
      <c r="BG2834">
        <v>0</v>
      </c>
      <c r="BH2834">
        <v>2575</v>
      </c>
      <c r="BI2834">
        <v>1</v>
      </c>
      <c r="BJ2834">
        <v>1</v>
      </c>
      <c r="BK2834">
        <v>0</v>
      </c>
      <c r="BL2834">
        <v>0</v>
      </c>
      <c r="BO2834">
        <v>0</v>
      </c>
      <c r="BP2834">
        <v>0</v>
      </c>
      <c r="BW2834" t="str">
        <f>"14:46:15.567"</f>
        <v>14:46:15.567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6</v>
      </c>
      <c r="CP2834" t="s">
        <v>119</v>
      </c>
      <c r="CQ2834">
        <v>358</v>
      </c>
      <c r="CR2834">
        <v>0</v>
      </c>
      <c r="CW2834">
        <v>4897297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1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 t="shared" si="1328"/>
        <v>05/12/2020 14:45:57.733</v>
      </c>
      <c r="C2835" t="str">
        <f t="shared" si="1307"/>
        <v>FFDFD3C0</v>
      </c>
      <c r="D2835" t="s">
        <v>138</v>
      </c>
      <c r="E2835">
        <v>3</v>
      </c>
      <c r="H2835">
        <v>9</v>
      </c>
      <c r="I2835" t="s">
        <v>140</v>
      </c>
      <c r="J2835" t="s">
        <v>136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329"/>
        <v>14:46:15.563</v>
      </c>
      <c r="T2835" t="str">
        <f t="shared" si="1330"/>
        <v>14:46:15.463</v>
      </c>
      <c r="U2835" t="str">
        <f t="shared" si="1324"/>
        <v>A9808D</v>
      </c>
      <c r="V2835">
        <v>0</v>
      </c>
      <c r="W2835">
        <v>0</v>
      </c>
      <c r="X2835">
        <v>1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0</v>
      </c>
      <c r="AI2835" t="s">
        <v>698</v>
      </c>
      <c r="AJ2835">
        <v>28.247888</v>
      </c>
      <c r="AK2835" t="s">
        <v>699</v>
      </c>
      <c r="AL2835">
        <v>-82.303476000000003</v>
      </c>
      <c r="AM2835">
        <v>100</v>
      </c>
      <c r="AN2835">
        <v>2500</v>
      </c>
      <c r="AO2835" t="s">
        <v>118</v>
      </c>
      <c r="AP2835">
        <v>107</v>
      </c>
      <c r="AQ2835">
        <v>-13</v>
      </c>
      <c r="AR2835">
        <v>256</v>
      </c>
      <c r="AZ2835">
        <v>1200</v>
      </c>
      <c r="BA2835">
        <v>1</v>
      </c>
      <c r="BB2835" t="str">
        <f t="shared" si="1308"/>
        <v xml:space="preserve">N711JA  </v>
      </c>
      <c r="BC2835">
        <v>1</v>
      </c>
      <c r="BE2835">
        <v>0</v>
      </c>
      <c r="BF2835">
        <v>0</v>
      </c>
      <c r="BG2835">
        <v>0</v>
      </c>
      <c r="BH2835">
        <v>2575</v>
      </c>
      <c r="BI2835">
        <v>1</v>
      </c>
      <c r="BJ2835">
        <v>1</v>
      </c>
      <c r="BK2835">
        <v>0</v>
      </c>
      <c r="BL2835">
        <v>0</v>
      </c>
      <c r="BO2835">
        <v>0</v>
      </c>
      <c r="BP2835">
        <v>0</v>
      </c>
      <c r="BW2835" t="str">
        <f>"14:46:15.567"</f>
        <v>14:46:15.567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6</v>
      </c>
      <c r="CP2835" t="s">
        <v>119</v>
      </c>
      <c r="CQ2835">
        <v>358</v>
      </c>
      <c r="CR2835">
        <v>0</v>
      </c>
      <c r="CW2835">
        <v>4897297</v>
      </c>
      <c r="CY2835">
        <v>1</v>
      </c>
      <c r="CZ2835">
        <v>0</v>
      </c>
      <c r="DA2835">
        <v>1</v>
      </c>
      <c r="DB2835">
        <v>0</v>
      </c>
      <c r="DC2835">
        <v>0</v>
      </c>
      <c r="DD2835">
        <v>1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 t="shared" si="1328"/>
        <v>05/12/2020 14:45:57.733</v>
      </c>
      <c r="C2836" t="str">
        <f t="shared" si="1307"/>
        <v>FFDFD3C0</v>
      </c>
      <c r="D2836" t="s">
        <v>126</v>
      </c>
      <c r="E2836">
        <v>7</v>
      </c>
      <c r="F2836">
        <v>1007</v>
      </c>
      <c r="G2836" t="s">
        <v>127</v>
      </c>
      <c r="J2836" t="s">
        <v>128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329"/>
        <v>14:46:15.563</v>
      </c>
      <c r="T2836" t="str">
        <f t="shared" si="1330"/>
        <v>14:46:15.463</v>
      </c>
      <c r="U2836" t="str">
        <f t="shared" si="1324"/>
        <v>A9808D</v>
      </c>
      <c r="V2836">
        <v>0</v>
      </c>
      <c r="W2836">
        <v>0</v>
      </c>
      <c r="X2836">
        <v>1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0</v>
      </c>
      <c r="AI2836" t="s">
        <v>698</v>
      </c>
      <c r="AJ2836">
        <v>28.247888</v>
      </c>
      <c r="AK2836" t="s">
        <v>699</v>
      </c>
      <c r="AL2836">
        <v>-82.303476000000003</v>
      </c>
      <c r="AM2836">
        <v>100</v>
      </c>
      <c r="AN2836">
        <v>2500</v>
      </c>
      <c r="AO2836" t="s">
        <v>118</v>
      </c>
      <c r="AP2836">
        <v>107</v>
      </c>
      <c r="AQ2836">
        <v>-13</v>
      </c>
      <c r="AR2836">
        <v>256</v>
      </c>
      <c r="AZ2836">
        <v>1200</v>
      </c>
      <c r="BA2836">
        <v>1</v>
      </c>
      <c r="BB2836" t="str">
        <f t="shared" si="1308"/>
        <v xml:space="preserve">N711JA  </v>
      </c>
      <c r="BC2836">
        <v>1</v>
      </c>
      <c r="BE2836">
        <v>0</v>
      </c>
      <c r="BF2836">
        <v>0</v>
      </c>
      <c r="BG2836">
        <v>0</v>
      </c>
      <c r="BH2836">
        <v>2575</v>
      </c>
      <c r="BI2836">
        <v>1</v>
      </c>
      <c r="BJ2836">
        <v>1</v>
      </c>
      <c r="BK2836">
        <v>0</v>
      </c>
      <c r="BL2836">
        <v>0</v>
      </c>
      <c r="BO2836">
        <v>0</v>
      </c>
      <c r="BP2836">
        <v>0</v>
      </c>
      <c r="BW2836" t="str">
        <f>"14:46:15.567"</f>
        <v>14:46:15.567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6</v>
      </c>
      <c r="CP2836" t="s">
        <v>119</v>
      </c>
      <c r="CQ2836">
        <v>358</v>
      </c>
      <c r="CR2836">
        <v>0</v>
      </c>
      <c r="CW2836">
        <v>4897297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1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 t="shared" si="1328"/>
        <v>05/12/2020 14:45:57.733</v>
      </c>
      <c r="C2837" t="str">
        <f t="shared" si="1307"/>
        <v>FFDFD3C0</v>
      </c>
      <c r="D2837" t="s">
        <v>131</v>
      </c>
      <c r="E2837">
        <v>10</v>
      </c>
      <c r="F2837">
        <v>2010</v>
      </c>
      <c r="G2837" t="s">
        <v>132</v>
      </c>
      <c r="J2837" t="s">
        <v>133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329"/>
        <v>14:46:15.563</v>
      </c>
      <c r="T2837" t="str">
        <f t="shared" si="1330"/>
        <v>14:46:15.463</v>
      </c>
      <c r="U2837" t="str">
        <f t="shared" si="1324"/>
        <v>A9808D</v>
      </c>
      <c r="V2837">
        <v>0</v>
      </c>
      <c r="W2837">
        <v>0</v>
      </c>
      <c r="X2837">
        <v>1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0</v>
      </c>
      <c r="AI2837" t="s">
        <v>698</v>
      </c>
      <c r="AJ2837">
        <v>28.247888</v>
      </c>
      <c r="AK2837" t="s">
        <v>699</v>
      </c>
      <c r="AL2837">
        <v>-82.303476000000003</v>
      </c>
      <c r="AM2837">
        <v>100</v>
      </c>
      <c r="AN2837">
        <v>2500</v>
      </c>
      <c r="AO2837" t="s">
        <v>118</v>
      </c>
      <c r="AP2837">
        <v>107</v>
      </c>
      <c r="AQ2837">
        <v>-13</v>
      </c>
      <c r="AR2837">
        <v>256</v>
      </c>
      <c r="AZ2837">
        <v>1200</v>
      </c>
      <c r="BA2837">
        <v>1</v>
      </c>
      <c r="BB2837" t="str">
        <f t="shared" si="1308"/>
        <v xml:space="preserve">N711JA  </v>
      </c>
      <c r="BC2837">
        <v>1</v>
      </c>
      <c r="BE2837">
        <v>0</v>
      </c>
      <c r="BF2837">
        <v>0</v>
      </c>
      <c r="BG2837">
        <v>0</v>
      </c>
      <c r="BH2837">
        <v>2575</v>
      </c>
      <c r="BI2837">
        <v>1</v>
      </c>
      <c r="BJ2837">
        <v>1</v>
      </c>
      <c r="BK2837">
        <v>0</v>
      </c>
      <c r="BL2837">
        <v>0</v>
      </c>
      <c r="BO2837">
        <v>0</v>
      </c>
      <c r="BP2837">
        <v>0</v>
      </c>
      <c r="BW2837" t="str">
        <f>"14:46:15.567"</f>
        <v>14:46:15.567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6</v>
      </c>
      <c r="CP2837" t="s">
        <v>119</v>
      </c>
      <c r="CQ2837">
        <v>358</v>
      </c>
      <c r="CR2837">
        <v>0</v>
      </c>
      <c r="CW2837">
        <v>4897297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1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 t="shared" ref="A2838:A2844" si="1331">"05/12/2020 14:45:58.813"</f>
        <v>05/12/2020 14:45:58.813</v>
      </c>
      <c r="C2838" t="str">
        <f t="shared" ref="C2838:C2901" si="1332">"FFDFD3C0"</f>
        <v>FFDFD3C0</v>
      </c>
      <c r="D2838" t="s">
        <v>134</v>
      </c>
      <c r="E2838">
        <v>12</v>
      </c>
      <c r="H2838">
        <v>64</v>
      </c>
      <c r="I2838" t="s">
        <v>135</v>
      </c>
      <c r="J2838" t="s">
        <v>136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ref="S2838:S2844" si="1333">"14:46:16.602"</f>
        <v>14:46:16.602</v>
      </c>
      <c r="T2838" t="str">
        <f t="shared" ref="T2838:T2844" si="1334">"14:46:16.502"</f>
        <v>14:46:16.502</v>
      </c>
      <c r="U2838" t="str">
        <f t="shared" si="1324"/>
        <v>A9808D</v>
      </c>
      <c r="V2838">
        <v>0</v>
      </c>
      <c r="W2838">
        <v>0</v>
      </c>
      <c r="X2838">
        <v>1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0</v>
      </c>
      <c r="AI2838" t="s">
        <v>700</v>
      </c>
      <c r="AJ2838">
        <v>28.247845000000002</v>
      </c>
      <c r="AK2838" t="s">
        <v>701</v>
      </c>
      <c r="AL2838">
        <v>-82.302897000000002</v>
      </c>
      <c r="AM2838">
        <v>100</v>
      </c>
      <c r="AN2838">
        <v>2500</v>
      </c>
      <c r="AO2838" t="s">
        <v>118</v>
      </c>
      <c r="AP2838">
        <v>107</v>
      </c>
      <c r="AQ2838">
        <v>-12</v>
      </c>
      <c r="AR2838">
        <v>256</v>
      </c>
      <c r="AZ2838">
        <v>1200</v>
      </c>
      <c r="BA2838">
        <v>1</v>
      </c>
      <c r="BB2838" t="str">
        <f t="shared" ref="BB2838:BB2901" si="1335">"N711JA  "</f>
        <v xml:space="preserve">N711JA  </v>
      </c>
      <c r="BC2838">
        <v>1</v>
      </c>
      <c r="BE2838">
        <v>0</v>
      </c>
      <c r="BF2838">
        <v>0</v>
      </c>
      <c r="BG2838">
        <v>0</v>
      </c>
      <c r="BH2838">
        <v>2575</v>
      </c>
      <c r="BI2838">
        <v>1</v>
      </c>
      <c r="BJ2838">
        <v>1</v>
      </c>
      <c r="BK2838">
        <v>0</v>
      </c>
      <c r="BL2838">
        <v>0</v>
      </c>
      <c r="BO2838">
        <v>0</v>
      </c>
      <c r="BP2838">
        <v>0</v>
      </c>
      <c r="BW2838" t="str">
        <f t="shared" ref="BW2838:BW2844" si="1336">"14:46:16.605"</f>
        <v>14:46:16.605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6</v>
      </c>
      <c r="CP2838" t="s">
        <v>119</v>
      </c>
      <c r="CQ2838">
        <v>358</v>
      </c>
      <c r="CR2838">
        <v>0</v>
      </c>
      <c r="CW2838">
        <v>4898583</v>
      </c>
      <c r="CY2838">
        <v>1</v>
      </c>
      <c r="CZ2838">
        <v>0</v>
      </c>
      <c r="DA2838">
        <v>0</v>
      </c>
      <c r="DB2838">
        <v>0</v>
      </c>
      <c r="DC2838">
        <v>0</v>
      </c>
      <c r="DD2838">
        <v>1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 t="shared" si="1331"/>
        <v>05/12/2020 14:45:58.813</v>
      </c>
      <c r="C2839" t="str">
        <f t="shared" si="1332"/>
        <v>FFDFD3C0</v>
      </c>
      <c r="D2839" t="s">
        <v>138</v>
      </c>
      <c r="E2839">
        <v>3</v>
      </c>
      <c r="H2839">
        <v>9</v>
      </c>
      <c r="I2839" t="s">
        <v>140</v>
      </c>
      <c r="J2839" t="s">
        <v>136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333"/>
        <v>14:46:16.602</v>
      </c>
      <c r="T2839" t="str">
        <f t="shared" si="1334"/>
        <v>14:46:16.502</v>
      </c>
      <c r="U2839" t="str">
        <f t="shared" si="1324"/>
        <v>A9808D</v>
      </c>
      <c r="V2839">
        <v>0</v>
      </c>
      <c r="W2839">
        <v>0</v>
      </c>
      <c r="X2839">
        <v>1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3</v>
      </c>
      <c r="AG2839">
        <v>2</v>
      </c>
      <c r="AH2839">
        <v>0</v>
      </c>
      <c r="AI2839" t="s">
        <v>700</v>
      </c>
      <c r="AJ2839">
        <v>28.247845000000002</v>
      </c>
      <c r="AK2839" t="s">
        <v>701</v>
      </c>
      <c r="AL2839">
        <v>-82.302897000000002</v>
      </c>
      <c r="AM2839">
        <v>100</v>
      </c>
      <c r="AN2839">
        <v>2500</v>
      </c>
      <c r="AO2839" t="s">
        <v>118</v>
      </c>
      <c r="AP2839">
        <v>107</v>
      </c>
      <c r="AQ2839">
        <v>-12</v>
      </c>
      <c r="AR2839">
        <v>256</v>
      </c>
      <c r="AZ2839">
        <v>1200</v>
      </c>
      <c r="BA2839">
        <v>1</v>
      </c>
      <c r="BB2839" t="str">
        <f t="shared" si="1335"/>
        <v xml:space="preserve">N711JA  </v>
      </c>
      <c r="BC2839">
        <v>1</v>
      </c>
      <c r="BE2839">
        <v>0</v>
      </c>
      <c r="BF2839">
        <v>0</v>
      </c>
      <c r="BG2839">
        <v>0</v>
      </c>
      <c r="BH2839">
        <v>2575</v>
      </c>
      <c r="BI2839">
        <v>1</v>
      </c>
      <c r="BJ2839">
        <v>1</v>
      </c>
      <c r="BK2839">
        <v>0</v>
      </c>
      <c r="BL2839">
        <v>0</v>
      </c>
      <c r="BO2839">
        <v>0</v>
      </c>
      <c r="BP2839">
        <v>0</v>
      </c>
      <c r="BW2839" t="str">
        <f t="shared" si="1336"/>
        <v>14:46:16.605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6</v>
      </c>
      <c r="CP2839" t="s">
        <v>119</v>
      </c>
      <c r="CQ2839">
        <v>358</v>
      </c>
      <c r="CR2839">
        <v>0</v>
      </c>
      <c r="CW2839">
        <v>4898583</v>
      </c>
      <c r="CY2839">
        <v>1</v>
      </c>
      <c r="CZ2839">
        <v>0</v>
      </c>
      <c r="DA2839">
        <v>1</v>
      </c>
      <c r="DB2839">
        <v>0</v>
      </c>
      <c r="DC2839">
        <v>0</v>
      </c>
      <c r="DD2839">
        <v>1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 t="shared" si="1331"/>
        <v>05/12/2020 14:45:58.813</v>
      </c>
      <c r="C2840" t="str">
        <f t="shared" si="1332"/>
        <v>FFDFD3C0</v>
      </c>
      <c r="D2840" t="s">
        <v>126</v>
      </c>
      <c r="E2840">
        <v>7</v>
      </c>
      <c r="F2840">
        <v>1007</v>
      </c>
      <c r="G2840" t="s">
        <v>127</v>
      </c>
      <c r="J2840" t="s">
        <v>128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333"/>
        <v>14:46:16.602</v>
      </c>
      <c r="T2840" t="str">
        <f t="shared" si="1334"/>
        <v>14:46:16.502</v>
      </c>
      <c r="U2840" t="str">
        <f t="shared" si="1324"/>
        <v>A9808D</v>
      </c>
      <c r="V2840">
        <v>0</v>
      </c>
      <c r="W2840">
        <v>0</v>
      </c>
      <c r="X2840">
        <v>1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0</v>
      </c>
      <c r="AI2840" t="s">
        <v>700</v>
      </c>
      <c r="AJ2840">
        <v>28.247845000000002</v>
      </c>
      <c r="AK2840" t="s">
        <v>701</v>
      </c>
      <c r="AL2840">
        <v>-82.302897000000002</v>
      </c>
      <c r="AM2840">
        <v>100</v>
      </c>
      <c r="AN2840">
        <v>2500</v>
      </c>
      <c r="AO2840" t="s">
        <v>118</v>
      </c>
      <c r="AP2840">
        <v>107</v>
      </c>
      <c r="AQ2840">
        <v>-12</v>
      </c>
      <c r="AR2840">
        <v>256</v>
      </c>
      <c r="AZ2840">
        <v>1200</v>
      </c>
      <c r="BA2840">
        <v>1</v>
      </c>
      <c r="BB2840" t="str">
        <f t="shared" si="1335"/>
        <v xml:space="preserve">N711JA  </v>
      </c>
      <c r="BC2840">
        <v>1</v>
      </c>
      <c r="BE2840">
        <v>0</v>
      </c>
      <c r="BF2840">
        <v>0</v>
      </c>
      <c r="BG2840">
        <v>0</v>
      </c>
      <c r="BH2840">
        <v>2575</v>
      </c>
      <c r="BI2840">
        <v>1</v>
      </c>
      <c r="BJ2840">
        <v>1</v>
      </c>
      <c r="BK2840">
        <v>0</v>
      </c>
      <c r="BL2840">
        <v>0</v>
      </c>
      <c r="BO2840">
        <v>0</v>
      </c>
      <c r="BP2840">
        <v>0</v>
      </c>
      <c r="BW2840" t="str">
        <f t="shared" si="1336"/>
        <v>14:46:16.605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6</v>
      </c>
      <c r="CP2840" t="s">
        <v>119</v>
      </c>
      <c r="CQ2840">
        <v>358</v>
      </c>
      <c r="CR2840">
        <v>0</v>
      </c>
      <c r="CW2840">
        <v>4898583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1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 t="shared" si="1331"/>
        <v>05/12/2020 14:45:58.813</v>
      </c>
      <c r="C2841" t="str">
        <f t="shared" si="1332"/>
        <v>FFDFD3C0</v>
      </c>
      <c r="D2841" t="s">
        <v>131</v>
      </c>
      <c r="E2841">
        <v>10</v>
      </c>
      <c r="F2841">
        <v>2010</v>
      </c>
      <c r="G2841" t="s">
        <v>132</v>
      </c>
      <c r="J2841" t="s">
        <v>133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si="1333"/>
        <v>14:46:16.602</v>
      </c>
      <c r="T2841" t="str">
        <f t="shared" si="1334"/>
        <v>14:46:16.502</v>
      </c>
      <c r="U2841" t="str">
        <f t="shared" si="1324"/>
        <v>A9808D</v>
      </c>
      <c r="V2841">
        <v>0</v>
      </c>
      <c r="W2841">
        <v>0</v>
      </c>
      <c r="X2841">
        <v>1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0</v>
      </c>
      <c r="AI2841" t="s">
        <v>700</v>
      </c>
      <c r="AJ2841">
        <v>28.247845000000002</v>
      </c>
      <c r="AK2841" t="s">
        <v>701</v>
      </c>
      <c r="AL2841">
        <v>-82.302897000000002</v>
      </c>
      <c r="AM2841">
        <v>100</v>
      </c>
      <c r="AN2841">
        <v>2500</v>
      </c>
      <c r="AO2841" t="s">
        <v>118</v>
      </c>
      <c r="AP2841">
        <v>107</v>
      </c>
      <c r="AQ2841">
        <v>-12</v>
      </c>
      <c r="AR2841">
        <v>256</v>
      </c>
      <c r="AZ2841">
        <v>1200</v>
      </c>
      <c r="BA2841">
        <v>1</v>
      </c>
      <c r="BB2841" t="str">
        <f t="shared" si="1335"/>
        <v xml:space="preserve">N711JA  </v>
      </c>
      <c r="BC2841">
        <v>1</v>
      </c>
      <c r="BE2841">
        <v>0</v>
      </c>
      <c r="BF2841">
        <v>0</v>
      </c>
      <c r="BG2841">
        <v>0</v>
      </c>
      <c r="BH2841">
        <v>2575</v>
      </c>
      <c r="BI2841">
        <v>1</v>
      </c>
      <c r="BJ2841">
        <v>1</v>
      </c>
      <c r="BK2841">
        <v>0</v>
      </c>
      <c r="BL2841">
        <v>0</v>
      </c>
      <c r="BO2841">
        <v>0</v>
      </c>
      <c r="BP2841">
        <v>0</v>
      </c>
      <c r="BW2841" t="str">
        <f t="shared" si="1336"/>
        <v>14:46:16.605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6</v>
      </c>
      <c r="CP2841" t="s">
        <v>119</v>
      </c>
      <c r="CQ2841">
        <v>358</v>
      </c>
      <c r="CR2841">
        <v>0</v>
      </c>
      <c r="CW2841">
        <v>4898583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1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 t="shared" si="1331"/>
        <v>05/12/2020 14:45:58.813</v>
      </c>
      <c r="C2842" t="str">
        <f t="shared" si="1332"/>
        <v>FFDFD3C0</v>
      </c>
      <c r="D2842" t="s">
        <v>131</v>
      </c>
      <c r="E2842">
        <v>18</v>
      </c>
      <c r="F2842">
        <v>2018</v>
      </c>
      <c r="G2842" t="s">
        <v>161</v>
      </c>
      <c r="J2842" t="s">
        <v>133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333"/>
        <v>14:46:16.602</v>
      </c>
      <c r="T2842" t="str">
        <f t="shared" si="1334"/>
        <v>14:46:16.502</v>
      </c>
      <c r="U2842" t="str">
        <f t="shared" si="1324"/>
        <v>A9808D</v>
      </c>
      <c r="V2842">
        <v>0</v>
      </c>
      <c r="W2842">
        <v>0</v>
      </c>
      <c r="X2842">
        <v>1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0</v>
      </c>
      <c r="AI2842" t="s">
        <v>700</v>
      </c>
      <c r="AJ2842">
        <v>28.247845000000002</v>
      </c>
      <c r="AK2842" t="s">
        <v>701</v>
      </c>
      <c r="AL2842">
        <v>-82.302897000000002</v>
      </c>
      <c r="AM2842">
        <v>100</v>
      </c>
      <c r="AN2842">
        <v>2500</v>
      </c>
      <c r="AO2842" t="s">
        <v>118</v>
      </c>
      <c r="AP2842">
        <v>107</v>
      </c>
      <c r="AQ2842">
        <v>-12</v>
      </c>
      <c r="AR2842">
        <v>256</v>
      </c>
      <c r="AZ2842">
        <v>1200</v>
      </c>
      <c r="BA2842">
        <v>1</v>
      </c>
      <c r="BB2842" t="str">
        <f t="shared" si="1335"/>
        <v xml:space="preserve">N711JA  </v>
      </c>
      <c r="BC2842">
        <v>1</v>
      </c>
      <c r="BE2842">
        <v>0</v>
      </c>
      <c r="BF2842">
        <v>0</v>
      </c>
      <c r="BG2842">
        <v>0</v>
      </c>
      <c r="BH2842">
        <v>2575</v>
      </c>
      <c r="BI2842">
        <v>1</v>
      </c>
      <c r="BJ2842">
        <v>1</v>
      </c>
      <c r="BK2842">
        <v>0</v>
      </c>
      <c r="BL2842">
        <v>0</v>
      </c>
      <c r="BO2842">
        <v>0</v>
      </c>
      <c r="BP2842">
        <v>0</v>
      </c>
      <c r="BW2842" t="str">
        <f t="shared" si="1336"/>
        <v>14:46:16.605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5</v>
      </c>
      <c r="CP2842" t="s">
        <v>119</v>
      </c>
      <c r="CQ2842">
        <v>62</v>
      </c>
      <c r="CR2842">
        <v>1</v>
      </c>
      <c r="CW2842">
        <v>12844517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1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 t="shared" si="1331"/>
        <v>05/12/2020 14:45:58.813</v>
      </c>
      <c r="C2843" t="str">
        <f t="shared" si="1332"/>
        <v>FFDFD3C0</v>
      </c>
      <c r="D2843" t="s">
        <v>113</v>
      </c>
      <c r="E2843">
        <v>3</v>
      </c>
      <c r="H2843">
        <v>164</v>
      </c>
      <c r="I2843" t="s">
        <v>114</v>
      </c>
      <c r="J2843" t="s">
        <v>115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333"/>
        <v>14:46:16.602</v>
      </c>
      <c r="T2843" t="str">
        <f t="shared" si="1334"/>
        <v>14:46:16.502</v>
      </c>
      <c r="U2843" t="str">
        <f t="shared" si="1324"/>
        <v>A9808D</v>
      </c>
      <c r="V2843">
        <v>0</v>
      </c>
      <c r="W2843">
        <v>0</v>
      </c>
      <c r="X2843">
        <v>1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0</v>
      </c>
      <c r="AI2843" t="s">
        <v>700</v>
      </c>
      <c r="AJ2843">
        <v>28.247845000000002</v>
      </c>
      <c r="AK2843" t="s">
        <v>701</v>
      </c>
      <c r="AL2843">
        <v>-82.302897000000002</v>
      </c>
      <c r="AM2843">
        <v>100</v>
      </c>
      <c r="AN2843">
        <v>2500</v>
      </c>
      <c r="AO2843" t="s">
        <v>118</v>
      </c>
      <c r="AP2843">
        <v>107</v>
      </c>
      <c r="AQ2843">
        <v>-12</v>
      </c>
      <c r="AR2843">
        <v>256</v>
      </c>
      <c r="AZ2843">
        <v>1200</v>
      </c>
      <c r="BA2843">
        <v>1</v>
      </c>
      <c r="BB2843" t="str">
        <f t="shared" si="1335"/>
        <v xml:space="preserve">N711JA  </v>
      </c>
      <c r="BC2843">
        <v>1</v>
      </c>
      <c r="BE2843">
        <v>0</v>
      </c>
      <c r="BF2843">
        <v>0</v>
      </c>
      <c r="BG2843">
        <v>0</v>
      </c>
      <c r="BH2843">
        <v>2575</v>
      </c>
      <c r="BI2843">
        <v>1</v>
      </c>
      <c r="BJ2843">
        <v>1</v>
      </c>
      <c r="BK2843">
        <v>0</v>
      </c>
      <c r="BL2843">
        <v>0</v>
      </c>
      <c r="BO2843">
        <v>0</v>
      </c>
      <c r="BP2843">
        <v>0</v>
      </c>
      <c r="BW2843" t="str">
        <f t="shared" si="1336"/>
        <v>14:46:16.605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5</v>
      </c>
      <c r="CP2843" t="s">
        <v>119</v>
      </c>
      <c r="CQ2843">
        <v>62</v>
      </c>
      <c r="CR2843">
        <v>1</v>
      </c>
      <c r="CW2843">
        <v>12844517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1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 t="shared" si="1331"/>
        <v>05/12/2020 14:45:58.813</v>
      </c>
      <c r="C2844" t="str">
        <f t="shared" si="1332"/>
        <v>FFDFD3C0</v>
      </c>
      <c r="D2844" t="s">
        <v>126</v>
      </c>
      <c r="E2844">
        <v>6</v>
      </c>
      <c r="F2844">
        <v>1006</v>
      </c>
      <c r="G2844" t="s">
        <v>114</v>
      </c>
      <c r="J2844" t="s">
        <v>128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333"/>
        <v>14:46:16.602</v>
      </c>
      <c r="T2844" t="str">
        <f t="shared" si="1334"/>
        <v>14:46:16.502</v>
      </c>
      <c r="U2844" t="str">
        <f t="shared" si="1324"/>
        <v>A9808D</v>
      </c>
      <c r="V2844">
        <v>0</v>
      </c>
      <c r="W2844">
        <v>0</v>
      </c>
      <c r="X2844">
        <v>1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0</v>
      </c>
      <c r="AI2844" t="s">
        <v>700</v>
      </c>
      <c r="AJ2844">
        <v>28.247845000000002</v>
      </c>
      <c r="AK2844" t="s">
        <v>701</v>
      </c>
      <c r="AL2844">
        <v>-82.302897000000002</v>
      </c>
      <c r="AM2844">
        <v>100</v>
      </c>
      <c r="AN2844">
        <v>2500</v>
      </c>
      <c r="AO2844" t="s">
        <v>118</v>
      </c>
      <c r="AP2844">
        <v>107</v>
      </c>
      <c r="AQ2844">
        <v>-12</v>
      </c>
      <c r="AR2844">
        <v>256</v>
      </c>
      <c r="AZ2844">
        <v>1200</v>
      </c>
      <c r="BA2844">
        <v>1</v>
      </c>
      <c r="BB2844" t="str">
        <f t="shared" si="1335"/>
        <v xml:space="preserve">N711JA  </v>
      </c>
      <c r="BC2844">
        <v>1</v>
      </c>
      <c r="BE2844">
        <v>0</v>
      </c>
      <c r="BF2844">
        <v>0</v>
      </c>
      <c r="BG2844">
        <v>0</v>
      </c>
      <c r="BH2844">
        <v>2575</v>
      </c>
      <c r="BI2844">
        <v>1</v>
      </c>
      <c r="BJ2844">
        <v>1</v>
      </c>
      <c r="BK2844">
        <v>0</v>
      </c>
      <c r="BL2844">
        <v>0</v>
      </c>
      <c r="BO2844">
        <v>0</v>
      </c>
      <c r="BP2844">
        <v>0</v>
      </c>
      <c r="BW2844" t="str">
        <f t="shared" si="1336"/>
        <v>14:46:16.605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6</v>
      </c>
      <c r="CP2844" t="s">
        <v>119</v>
      </c>
      <c r="CQ2844">
        <v>358</v>
      </c>
      <c r="CR2844">
        <v>0</v>
      </c>
      <c r="CW2844">
        <v>4898583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1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 t="shared" ref="A2845:A2853" si="1337">"05/12/2020 14:45:59.846"</f>
        <v>05/12/2020 14:45:59.846</v>
      </c>
      <c r="C2845" t="str">
        <f t="shared" si="1332"/>
        <v>FFDFD3C0</v>
      </c>
      <c r="D2845" t="s">
        <v>126</v>
      </c>
      <c r="E2845">
        <v>6</v>
      </c>
      <c r="F2845">
        <v>1006</v>
      </c>
      <c r="G2845" t="s">
        <v>114</v>
      </c>
      <c r="J2845" t="s">
        <v>128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ref="S2845:S2853" si="1338">"14:46:17.680"</f>
        <v>14:46:17.680</v>
      </c>
      <c r="T2845" t="str">
        <f t="shared" ref="T2845:T2853" si="1339">"14:46:17.580"</f>
        <v>14:46:17.580</v>
      </c>
      <c r="U2845" t="str">
        <f t="shared" si="1324"/>
        <v>A9808D</v>
      </c>
      <c r="V2845">
        <v>0</v>
      </c>
      <c r="W2845">
        <v>0</v>
      </c>
      <c r="X2845">
        <v>1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0</v>
      </c>
      <c r="AI2845" t="s">
        <v>233</v>
      </c>
      <c r="AJ2845">
        <v>28.247824000000001</v>
      </c>
      <c r="AK2845" t="s">
        <v>702</v>
      </c>
      <c r="AL2845">
        <v>-82.302339000000003</v>
      </c>
      <c r="AM2845">
        <v>100</v>
      </c>
      <c r="AN2845">
        <v>2500</v>
      </c>
      <c r="AO2845" t="s">
        <v>118</v>
      </c>
      <c r="AP2845">
        <v>107</v>
      </c>
      <c r="AQ2845">
        <v>-12</v>
      </c>
      <c r="AR2845">
        <v>256</v>
      </c>
      <c r="AZ2845">
        <v>1200</v>
      </c>
      <c r="BA2845">
        <v>1</v>
      </c>
      <c r="BB2845" t="str">
        <f t="shared" si="1335"/>
        <v xml:space="preserve">N711JA  </v>
      </c>
      <c r="BC2845">
        <v>1</v>
      </c>
      <c r="BE2845">
        <v>0</v>
      </c>
      <c r="BF2845">
        <v>0</v>
      </c>
      <c r="BG2845">
        <v>0</v>
      </c>
      <c r="BH2845">
        <v>2575</v>
      </c>
      <c r="BI2845">
        <v>1</v>
      </c>
      <c r="BJ2845">
        <v>1</v>
      </c>
      <c r="BK2845">
        <v>0</v>
      </c>
      <c r="BL2845">
        <v>0</v>
      </c>
      <c r="BO2845">
        <v>0</v>
      </c>
      <c r="BP2845">
        <v>0</v>
      </c>
      <c r="BW2845" t="str">
        <f t="shared" ref="BW2845:BW2853" si="1340">"14:46:17.685"</f>
        <v>14:46:17.685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6</v>
      </c>
      <c r="CP2845" t="s">
        <v>119</v>
      </c>
      <c r="CQ2845">
        <v>358</v>
      </c>
      <c r="CR2845">
        <v>0</v>
      </c>
      <c r="CW2845">
        <v>4899826</v>
      </c>
      <c r="CY2845">
        <v>1</v>
      </c>
      <c r="CZ2845">
        <v>0</v>
      </c>
      <c r="DA2845">
        <v>0</v>
      </c>
      <c r="DB2845">
        <v>0</v>
      </c>
      <c r="DC2845">
        <v>0</v>
      </c>
      <c r="DD2845">
        <v>1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 t="shared" si="1337"/>
        <v>05/12/2020 14:45:59.846</v>
      </c>
      <c r="C2846" t="str">
        <f t="shared" si="1332"/>
        <v>FFDFD3C0</v>
      </c>
      <c r="D2846" t="s">
        <v>113</v>
      </c>
      <c r="E2846">
        <v>3</v>
      </c>
      <c r="H2846">
        <v>164</v>
      </c>
      <c r="I2846" t="s">
        <v>114</v>
      </c>
      <c r="J2846" t="s">
        <v>115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338"/>
        <v>14:46:17.680</v>
      </c>
      <c r="T2846" t="str">
        <f t="shared" si="1339"/>
        <v>14:46:17.580</v>
      </c>
      <c r="U2846" t="str">
        <f t="shared" si="1324"/>
        <v>A9808D</v>
      </c>
      <c r="V2846">
        <v>0</v>
      </c>
      <c r="W2846">
        <v>0</v>
      </c>
      <c r="X2846">
        <v>1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0</v>
      </c>
      <c r="AI2846" t="s">
        <v>233</v>
      </c>
      <c r="AJ2846">
        <v>28.247824000000001</v>
      </c>
      <c r="AK2846" t="s">
        <v>702</v>
      </c>
      <c r="AL2846">
        <v>-82.302339000000003</v>
      </c>
      <c r="AM2846">
        <v>100</v>
      </c>
      <c r="AN2846">
        <v>2500</v>
      </c>
      <c r="AO2846" t="s">
        <v>118</v>
      </c>
      <c r="AP2846">
        <v>107</v>
      </c>
      <c r="AQ2846">
        <v>-12</v>
      </c>
      <c r="AR2846">
        <v>256</v>
      </c>
      <c r="AZ2846">
        <v>1200</v>
      </c>
      <c r="BA2846">
        <v>1</v>
      </c>
      <c r="BB2846" t="str">
        <f t="shared" si="1335"/>
        <v xml:space="preserve">N711JA  </v>
      </c>
      <c r="BC2846">
        <v>1</v>
      </c>
      <c r="BE2846">
        <v>0</v>
      </c>
      <c r="BF2846">
        <v>0</v>
      </c>
      <c r="BG2846">
        <v>0</v>
      </c>
      <c r="BH2846">
        <v>2575</v>
      </c>
      <c r="BI2846">
        <v>1</v>
      </c>
      <c r="BJ2846">
        <v>1</v>
      </c>
      <c r="BK2846">
        <v>0</v>
      </c>
      <c r="BL2846">
        <v>0</v>
      </c>
      <c r="BO2846">
        <v>0</v>
      </c>
      <c r="BP2846">
        <v>0</v>
      </c>
      <c r="BW2846" t="str">
        <f t="shared" si="1340"/>
        <v>14:46:17.685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5</v>
      </c>
      <c r="CP2846" t="s">
        <v>119</v>
      </c>
      <c r="CQ2846">
        <v>62</v>
      </c>
      <c r="CR2846">
        <v>1</v>
      </c>
      <c r="CW2846">
        <v>12845699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1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 t="shared" si="1337"/>
        <v>05/12/2020 14:45:59.846</v>
      </c>
      <c r="C2847" t="str">
        <f t="shared" si="1332"/>
        <v>FFDFD3C0</v>
      </c>
      <c r="D2847" t="s">
        <v>138</v>
      </c>
      <c r="E2847">
        <v>2</v>
      </c>
      <c r="H2847">
        <v>8</v>
      </c>
      <c r="I2847" t="s">
        <v>139</v>
      </c>
      <c r="J2847" t="s">
        <v>136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338"/>
        <v>14:46:17.680</v>
      </c>
      <c r="T2847" t="str">
        <f t="shared" si="1339"/>
        <v>14:46:17.580</v>
      </c>
      <c r="U2847" t="str">
        <f t="shared" si="1324"/>
        <v>A9808D</v>
      </c>
      <c r="V2847">
        <v>0</v>
      </c>
      <c r="W2847">
        <v>0</v>
      </c>
      <c r="X2847">
        <v>1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0</v>
      </c>
      <c r="AI2847" t="s">
        <v>233</v>
      </c>
      <c r="AJ2847">
        <v>28.247824000000001</v>
      </c>
      <c r="AK2847" t="s">
        <v>702</v>
      </c>
      <c r="AL2847">
        <v>-82.302339000000003</v>
      </c>
      <c r="AM2847">
        <v>100</v>
      </c>
      <c r="AN2847">
        <v>2500</v>
      </c>
      <c r="AO2847" t="s">
        <v>118</v>
      </c>
      <c r="AP2847">
        <v>107</v>
      </c>
      <c r="AQ2847">
        <v>-12</v>
      </c>
      <c r="AR2847">
        <v>256</v>
      </c>
      <c r="AZ2847">
        <v>1200</v>
      </c>
      <c r="BA2847">
        <v>1</v>
      </c>
      <c r="BB2847" t="str">
        <f t="shared" si="1335"/>
        <v xml:space="preserve">N711JA  </v>
      </c>
      <c r="BC2847">
        <v>1</v>
      </c>
      <c r="BE2847">
        <v>0</v>
      </c>
      <c r="BF2847">
        <v>0</v>
      </c>
      <c r="BG2847">
        <v>0</v>
      </c>
      <c r="BH2847">
        <v>2575</v>
      </c>
      <c r="BI2847">
        <v>1</v>
      </c>
      <c r="BJ2847">
        <v>1</v>
      </c>
      <c r="BK2847">
        <v>0</v>
      </c>
      <c r="BL2847">
        <v>0</v>
      </c>
      <c r="BO2847">
        <v>0</v>
      </c>
      <c r="BP2847">
        <v>0</v>
      </c>
      <c r="BW2847" t="str">
        <f t="shared" si="1340"/>
        <v>14:46:17.685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3</v>
      </c>
      <c r="CP2847" t="s">
        <v>675</v>
      </c>
      <c r="CQ2847">
        <v>363</v>
      </c>
      <c r="CR2847">
        <v>0</v>
      </c>
      <c r="CW2847">
        <v>6420752</v>
      </c>
      <c r="CY2847">
        <v>1</v>
      </c>
      <c r="CZ2847">
        <v>0</v>
      </c>
      <c r="DA2847">
        <v>1</v>
      </c>
      <c r="DB2847">
        <v>0</v>
      </c>
      <c r="DC2847">
        <v>0</v>
      </c>
      <c r="DD2847">
        <v>1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 t="shared" si="1337"/>
        <v>05/12/2020 14:45:59.846</v>
      </c>
      <c r="C2848" t="str">
        <f t="shared" si="1332"/>
        <v>FFDFD3C0</v>
      </c>
      <c r="D2848" t="s">
        <v>126</v>
      </c>
      <c r="E2848">
        <v>7</v>
      </c>
      <c r="F2848">
        <v>1007</v>
      </c>
      <c r="G2848" t="s">
        <v>127</v>
      </c>
      <c r="J2848" t="s">
        <v>128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338"/>
        <v>14:46:17.680</v>
      </c>
      <c r="T2848" t="str">
        <f t="shared" si="1339"/>
        <v>14:46:17.580</v>
      </c>
      <c r="U2848" t="str">
        <f t="shared" si="1324"/>
        <v>A9808D</v>
      </c>
      <c r="V2848">
        <v>0</v>
      </c>
      <c r="W2848">
        <v>0</v>
      </c>
      <c r="X2848">
        <v>1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0</v>
      </c>
      <c r="AI2848" t="s">
        <v>233</v>
      </c>
      <c r="AJ2848">
        <v>28.247824000000001</v>
      </c>
      <c r="AK2848" t="s">
        <v>702</v>
      </c>
      <c r="AL2848">
        <v>-82.302339000000003</v>
      </c>
      <c r="AM2848">
        <v>100</v>
      </c>
      <c r="AN2848">
        <v>2500</v>
      </c>
      <c r="AO2848" t="s">
        <v>118</v>
      </c>
      <c r="AP2848">
        <v>107</v>
      </c>
      <c r="AQ2848">
        <v>-12</v>
      </c>
      <c r="AR2848">
        <v>256</v>
      </c>
      <c r="AZ2848">
        <v>1200</v>
      </c>
      <c r="BA2848">
        <v>1</v>
      </c>
      <c r="BB2848" t="str">
        <f t="shared" si="1335"/>
        <v xml:space="preserve">N711JA  </v>
      </c>
      <c r="BC2848">
        <v>1</v>
      </c>
      <c r="BE2848">
        <v>0</v>
      </c>
      <c r="BF2848">
        <v>0</v>
      </c>
      <c r="BG2848">
        <v>0</v>
      </c>
      <c r="BH2848">
        <v>2575</v>
      </c>
      <c r="BI2848">
        <v>1</v>
      </c>
      <c r="BJ2848">
        <v>1</v>
      </c>
      <c r="BK2848">
        <v>0</v>
      </c>
      <c r="BL2848">
        <v>0</v>
      </c>
      <c r="BO2848">
        <v>0</v>
      </c>
      <c r="BP2848">
        <v>0</v>
      </c>
      <c r="BW2848" t="str">
        <f t="shared" si="1340"/>
        <v>14:46:17.685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6</v>
      </c>
      <c r="CP2848" t="s">
        <v>119</v>
      </c>
      <c r="CQ2848">
        <v>358</v>
      </c>
      <c r="CR2848">
        <v>0</v>
      </c>
      <c r="CW2848">
        <v>4899826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1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 t="shared" si="1337"/>
        <v>05/12/2020 14:45:59.846</v>
      </c>
      <c r="C2849" t="str">
        <f t="shared" si="1332"/>
        <v>FFDFD3C0</v>
      </c>
      <c r="D2849" t="s">
        <v>131</v>
      </c>
      <c r="E2849">
        <v>10</v>
      </c>
      <c r="F2849">
        <v>2010</v>
      </c>
      <c r="G2849" t="s">
        <v>132</v>
      </c>
      <c r="J2849" t="s">
        <v>133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338"/>
        <v>14:46:17.680</v>
      </c>
      <c r="T2849" t="str">
        <f t="shared" si="1339"/>
        <v>14:46:17.580</v>
      </c>
      <c r="U2849" t="str">
        <f t="shared" si="1324"/>
        <v>A9808D</v>
      </c>
      <c r="V2849">
        <v>0</v>
      </c>
      <c r="W2849">
        <v>0</v>
      </c>
      <c r="X2849">
        <v>1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0</v>
      </c>
      <c r="AI2849" t="s">
        <v>233</v>
      </c>
      <c r="AJ2849">
        <v>28.247824000000001</v>
      </c>
      <c r="AK2849" t="s">
        <v>702</v>
      </c>
      <c r="AL2849">
        <v>-82.302339000000003</v>
      </c>
      <c r="AM2849">
        <v>100</v>
      </c>
      <c r="AN2849">
        <v>2500</v>
      </c>
      <c r="AO2849" t="s">
        <v>118</v>
      </c>
      <c r="AP2849">
        <v>107</v>
      </c>
      <c r="AQ2849">
        <v>-12</v>
      </c>
      <c r="AR2849">
        <v>256</v>
      </c>
      <c r="AZ2849">
        <v>1200</v>
      </c>
      <c r="BA2849">
        <v>1</v>
      </c>
      <c r="BB2849" t="str">
        <f t="shared" si="1335"/>
        <v xml:space="preserve">N711JA  </v>
      </c>
      <c r="BC2849">
        <v>1</v>
      </c>
      <c r="BE2849">
        <v>0</v>
      </c>
      <c r="BF2849">
        <v>0</v>
      </c>
      <c r="BG2849">
        <v>0</v>
      </c>
      <c r="BH2849">
        <v>2575</v>
      </c>
      <c r="BI2849">
        <v>1</v>
      </c>
      <c r="BJ2849">
        <v>1</v>
      </c>
      <c r="BK2849">
        <v>0</v>
      </c>
      <c r="BL2849">
        <v>0</v>
      </c>
      <c r="BO2849">
        <v>0</v>
      </c>
      <c r="BP2849">
        <v>0</v>
      </c>
      <c r="BW2849" t="str">
        <f t="shared" si="1340"/>
        <v>14:46:17.685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6</v>
      </c>
      <c r="CP2849" t="s">
        <v>119</v>
      </c>
      <c r="CQ2849">
        <v>358</v>
      </c>
      <c r="CR2849">
        <v>0</v>
      </c>
      <c r="CW2849">
        <v>4899826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1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 t="shared" si="1337"/>
        <v>05/12/2020 14:45:59.846</v>
      </c>
      <c r="C2850" t="str">
        <f t="shared" si="1332"/>
        <v>FFDFD3C0</v>
      </c>
      <c r="D2850" t="s">
        <v>134</v>
      </c>
      <c r="E2850">
        <v>12</v>
      </c>
      <c r="H2850">
        <v>64</v>
      </c>
      <c r="I2850" t="s">
        <v>135</v>
      </c>
      <c r="J2850" t="s">
        <v>136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338"/>
        <v>14:46:17.680</v>
      </c>
      <c r="T2850" t="str">
        <f t="shared" si="1339"/>
        <v>14:46:17.580</v>
      </c>
      <c r="U2850" t="str">
        <f t="shared" si="1324"/>
        <v>A9808D</v>
      </c>
      <c r="V2850">
        <v>0</v>
      </c>
      <c r="W2850">
        <v>0</v>
      </c>
      <c r="X2850">
        <v>1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0</v>
      </c>
      <c r="AI2850" t="s">
        <v>233</v>
      </c>
      <c r="AJ2850">
        <v>28.247824000000001</v>
      </c>
      <c r="AK2850" t="s">
        <v>702</v>
      </c>
      <c r="AL2850">
        <v>-82.302339000000003</v>
      </c>
      <c r="AM2850">
        <v>100</v>
      </c>
      <c r="AN2850">
        <v>2500</v>
      </c>
      <c r="AO2850" t="s">
        <v>118</v>
      </c>
      <c r="AP2850">
        <v>107</v>
      </c>
      <c r="AQ2850">
        <v>-12</v>
      </c>
      <c r="AR2850">
        <v>256</v>
      </c>
      <c r="AZ2850">
        <v>1200</v>
      </c>
      <c r="BA2850">
        <v>1</v>
      </c>
      <c r="BB2850" t="str">
        <f t="shared" si="1335"/>
        <v xml:space="preserve">N711JA  </v>
      </c>
      <c r="BC2850">
        <v>1</v>
      </c>
      <c r="BE2850">
        <v>0</v>
      </c>
      <c r="BF2850">
        <v>0</v>
      </c>
      <c r="BG2850">
        <v>0</v>
      </c>
      <c r="BH2850">
        <v>2575</v>
      </c>
      <c r="BI2850">
        <v>1</v>
      </c>
      <c r="BJ2850">
        <v>1</v>
      </c>
      <c r="BK2850">
        <v>0</v>
      </c>
      <c r="BL2850">
        <v>0</v>
      </c>
      <c r="BO2850">
        <v>0</v>
      </c>
      <c r="BP2850">
        <v>0</v>
      </c>
      <c r="BW2850" t="str">
        <f t="shared" si="1340"/>
        <v>14:46:17.685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6</v>
      </c>
      <c r="CP2850" t="s">
        <v>119</v>
      </c>
      <c r="CQ2850">
        <v>358</v>
      </c>
      <c r="CR2850">
        <v>0</v>
      </c>
      <c r="CW2850">
        <v>4899826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1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 t="shared" si="1337"/>
        <v>05/12/2020 14:45:59.846</v>
      </c>
      <c r="C2851" t="str">
        <f t="shared" si="1332"/>
        <v>FFDFD3C0</v>
      </c>
      <c r="D2851" t="s">
        <v>138</v>
      </c>
      <c r="E2851">
        <v>3</v>
      </c>
      <c r="H2851">
        <v>9</v>
      </c>
      <c r="I2851" t="s">
        <v>140</v>
      </c>
      <c r="J2851" t="s">
        <v>136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338"/>
        <v>14:46:17.680</v>
      </c>
      <c r="T2851" t="str">
        <f t="shared" si="1339"/>
        <v>14:46:17.580</v>
      </c>
      <c r="U2851" t="str">
        <f t="shared" si="1324"/>
        <v>A9808D</v>
      </c>
      <c r="V2851">
        <v>0</v>
      </c>
      <c r="W2851">
        <v>0</v>
      </c>
      <c r="X2851">
        <v>1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0</v>
      </c>
      <c r="AI2851" t="s">
        <v>233</v>
      </c>
      <c r="AJ2851">
        <v>28.247824000000001</v>
      </c>
      <c r="AK2851" t="s">
        <v>702</v>
      </c>
      <c r="AL2851">
        <v>-82.302339000000003</v>
      </c>
      <c r="AM2851">
        <v>100</v>
      </c>
      <c r="AN2851">
        <v>2500</v>
      </c>
      <c r="AO2851" t="s">
        <v>118</v>
      </c>
      <c r="AP2851">
        <v>107</v>
      </c>
      <c r="AQ2851">
        <v>-12</v>
      </c>
      <c r="AR2851">
        <v>256</v>
      </c>
      <c r="AZ2851">
        <v>1200</v>
      </c>
      <c r="BA2851">
        <v>1</v>
      </c>
      <c r="BB2851" t="str">
        <f t="shared" si="1335"/>
        <v xml:space="preserve">N711JA  </v>
      </c>
      <c r="BC2851">
        <v>1</v>
      </c>
      <c r="BE2851">
        <v>0</v>
      </c>
      <c r="BF2851">
        <v>0</v>
      </c>
      <c r="BG2851">
        <v>0</v>
      </c>
      <c r="BH2851">
        <v>2575</v>
      </c>
      <c r="BI2851">
        <v>1</v>
      </c>
      <c r="BJ2851">
        <v>1</v>
      </c>
      <c r="BK2851">
        <v>0</v>
      </c>
      <c r="BL2851">
        <v>0</v>
      </c>
      <c r="BO2851">
        <v>0</v>
      </c>
      <c r="BP2851">
        <v>0</v>
      </c>
      <c r="BW2851" t="str">
        <f t="shared" si="1340"/>
        <v>14:46:17.685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6</v>
      </c>
      <c r="CP2851" t="s">
        <v>119</v>
      </c>
      <c r="CQ2851">
        <v>358</v>
      </c>
      <c r="CR2851">
        <v>0</v>
      </c>
      <c r="CW2851">
        <v>4899826</v>
      </c>
      <c r="CY2851">
        <v>1</v>
      </c>
      <c r="CZ2851">
        <v>0</v>
      </c>
      <c r="DA2851">
        <v>1</v>
      </c>
      <c r="DB2851">
        <v>0</v>
      </c>
      <c r="DC2851">
        <v>0</v>
      </c>
      <c r="DD2851">
        <v>1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 t="shared" si="1337"/>
        <v>05/12/2020 14:45:59.846</v>
      </c>
      <c r="C2852" t="str">
        <f t="shared" si="1332"/>
        <v>FFDFD3C0</v>
      </c>
      <c r="D2852" t="s">
        <v>131</v>
      </c>
      <c r="E2852">
        <v>12</v>
      </c>
      <c r="F2852">
        <v>2012</v>
      </c>
      <c r="G2852" t="s">
        <v>137</v>
      </c>
      <c r="J2852" t="s">
        <v>133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338"/>
        <v>14:46:17.680</v>
      </c>
      <c r="T2852" t="str">
        <f t="shared" si="1339"/>
        <v>14:46:17.580</v>
      </c>
      <c r="U2852" t="str">
        <f t="shared" si="1324"/>
        <v>A9808D</v>
      </c>
      <c r="V2852">
        <v>0</v>
      </c>
      <c r="W2852">
        <v>0</v>
      </c>
      <c r="X2852">
        <v>1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0</v>
      </c>
      <c r="AI2852" t="s">
        <v>233</v>
      </c>
      <c r="AJ2852">
        <v>28.247824000000001</v>
      </c>
      <c r="AK2852" t="s">
        <v>702</v>
      </c>
      <c r="AL2852">
        <v>-82.302339000000003</v>
      </c>
      <c r="AM2852">
        <v>100</v>
      </c>
      <c r="AN2852">
        <v>2500</v>
      </c>
      <c r="AO2852" t="s">
        <v>118</v>
      </c>
      <c r="AP2852">
        <v>107</v>
      </c>
      <c r="AQ2852">
        <v>-12</v>
      </c>
      <c r="AR2852">
        <v>256</v>
      </c>
      <c r="AZ2852">
        <v>1200</v>
      </c>
      <c r="BA2852">
        <v>1</v>
      </c>
      <c r="BB2852" t="str">
        <f t="shared" si="1335"/>
        <v xml:space="preserve">N711JA  </v>
      </c>
      <c r="BC2852">
        <v>1</v>
      </c>
      <c r="BE2852">
        <v>0</v>
      </c>
      <c r="BF2852">
        <v>0</v>
      </c>
      <c r="BG2852">
        <v>0</v>
      </c>
      <c r="BH2852">
        <v>2575</v>
      </c>
      <c r="BI2852">
        <v>1</v>
      </c>
      <c r="BJ2852">
        <v>1</v>
      </c>
      <c r="BK2852">
        <v>0</v>
      </c>
      <c r="BL2852">
        <v>0</v>
      </c>
      <c r="BO2852">
        <v>0</v>
      </c>
      <c r="BP2852">
        <v>0</v>
      </c>
      <c r="BW2852" t="str">
        <f t="shared" si="1340"/>
        <v>14:46:17.685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3</v>
      </c>
      <c r="CP2852" t="s">
        <v>675</v>
      </c>
      <c r="CQ2852">
        <v>363</v>
      </c>
      <c r="CR2852">
        <v>0</v>
      </c>
      <c r="CW2852">
        <v>6420752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1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 t="shared" si="1337"/>
        <v>05/12/2020 14:45:59.846</v>
      </c>
      <c r="C2853" t="str">
        <f t="shared" si="1332"/>
        <v>FFDFD3C0</v>
      </c>
      <c r="D2853" t="s">
        <v>131</v>
      </c>
      <c r="E2853">
        <v>18</v>
      </c>
      <c r="F2853">
        <v>2018</v>
      </c>
      <c r="G2853" t="s">
        <v>161</v>
      </c>
      <c r="J2853" t="s">
        <v>133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338"/>
        <v>14:46:17.680</v>
      </c>
      <c r="T2853" t="str">
        <f t="shared" si="1339"/>
        <v>14:46:17.580</v>
      </c>
      <c r="U2853" t="str">
        <f t="shared" si="1324"/>
        <v>A9808D</v>
      </c>
      <c r="V2853">
        <v>0</v>
      </c>
      <c r="W2853">
        <v>0</v>
      </c>
      <c r="X2853">
        <v>1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0</v>
      </c>
      <c r="AI2853" t="s">
        <v>233</v>
      </c>
      <c r="AJ2853">
        <v>28.247824000000001</v>
      </c>
      <c r="AK2853" t="s">
        <v>702</v>
      </c>
      <c r="AL2853">
        <v>-82.302339000000003</v>
      </c>
      <c r="AM2853">
        <v>100</v>
      </c>
      <c r="AN2853">
        <v>2500</v>
      </c>
      <c r="AO2853" t="s">
        <v>118</v>
      </c>
      <c r="AP2853">
        <v>107</v>
      </c>
      <c r="AQ2853">
        <v>-12</v>
      </c>
      <c r="AR2853">
        <v>256</v>
      </c>
      <c r="AZ2853">
        <v>1200</v>
      </c>
      <c r="BA2853">
        <v>1</v>
      </c>
      <c r="BB2853" t="str">
        <f t="shared" si="1335"/>
        <v xml:space="preserve">N711JA  </v>
      </c>
      <c r="BC2853">
        <v>1</v>
      </c>
      <c r="BE2853">
        <v>0</v>
      </c>
      <c r="BF2853">
        <v>0</v>
      </c>
      <c r="BG2853">
        <v>0</v>
      </c>
      <c r="BH2853">
        <v>2575</v>
      </c>
      <c r="BI2853">
        <v>1</v>
      </c>
      <c r="BJ2853">
        <v>1</v>
      </c>
      <c r="BK2853">
        <v>0</v>
      </c>
      <c r="BL2853">
        <v>0</v>
      </c>
      <c r="BO2853">
        <v>0</v>
      </c>
      <c r="BP2853">
        <v>0</v>
      </c>
      <c r="BW2853" t="str">
        <f t="shared" si="1340"/>
        <v>14:46:17.685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5</v>
      </c>
      <c r="CP2853" t="s">
        <v>119</v>
      </c>
      <c r="CQ2853">
        <v>62</v>
      </c>
      <c r="CR2853">
        <v>1</v>
      </c>
      <c r="CW2853">
        <v>12845699</v>
      </c>
      <c r="CY2853">
        <v>1</v>
      </c>
      <c r="CZ2853">
        <v>0</v>
      </c>
      <c r="DA2853">
        <v>1</v>
      </c>
      <c r="DB2853">
        <v>0</v>
      </c>
      <c r="DC2853">
        <v>0</v>
      </c>
      <c r="DD2853">
        <v>1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 t="shared" ref="A2854:A2862" si="1341">"05/12/2020 14:46:00.768"</f>
        <v>05/12/2020 14:46:00.768</v>
      </c>
      <c r="C2854" t="str">
        <f t="shared" si="1332"/>
        <v>FFDFD3C0</v>
      </c>
      <c r="D2854" t="s">
        <v>138</v>
      </c>
      <c r="E2854">
        <v>2</v>
      </c>
      <c r="H2854">
        <v>8</v>
      </c>
      <c r="I2854" t="s">
        <v>139</v>
      </c>
      <c r="J2854" t="s">
        <v>136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ref="S2854:S2862" si="1342">"14:46:18.602"</f>
        <v>14:46:18.602</v>
      </c>
      <c r="T2854" t="str">
        <f t="shared" ref="T2854:T2862" si="1343">"14:46:18.502"</f>
        <v>14:46:18.502</v>
      </c>
      <c r="U2854" t="str">
        <f t="shared" si="1324"/>
        <v>A9808D</v>
      </c>
      <c r="V2854">
        <v>0</v>
      </c>
      <c r="W2854">
        <v>0</v>
      </c>
      <c r="X2854">
        <v>1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0</v>
      </c>
      <c r="AI2854" t="s">
        <v>703</v>
      </c>
      <c r="AJ2854">
        <v>28.247758999999999</v>
      </c>
      <c r="AK2854" t="s">
        <v>704</v>
      </c>
      <c r="AL2854">
        <v>-82.301760000000002</v>
      </c>
      <c r="AM2854">
        <v>100</v>
      </c>
      <c r="AN2854">
        <v>2500</v>
      </c>
      <c r="AO2854" t="s">
        <v>118</v>
      </c>
      <c r="AP2854">
        <v>107</v>
      </c>
      <c r="AQ2854">
        <v>-11</v>
      </c>
      <c r="AR2854">
        <v>192</v>
      </c>
      <c r="AZ2854">
        <v>1200</v>
      </c>
      <c r="BA2854">
        <v>1</v>
      </c>
      <c r="BB2854" t="str">
        <f t="shared" si="1335"/>
        <v xml:space="preserve">N711JA  </v>
      </c>
      <c r="BC2854">
        <v>1</v>
      </c>
      <c r="BE2854">
        <v>0</v>
      </c>
      <c r="BF2854">
        <v>0</v>
      </c>
      <c r="BG2854">
        <v>0</v>
      </c>
      <c r="BH2854">
        <v>2575</v>
      </c>
      <c r="BI2854">
        <v>1</v>
      </c>
      <c r="BJ2854">
        <v>1</v>
      </c>
      <c r="BK2854">
        <v>0</v>
      </c>
      <c r="BL2854">
        <v>0</v>
      </c>
      <c r="BO2854">
        <v>0</v>
      </c>
      <c r="BP2854">
        <v>0</v>
      </c>
      <c r="BW2854" t="str">
        <f>"14:46:18.608"</f>
        <v>14:46:18.608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7</v>
      </c>
      <c r="CP2854" t="s">
        <v>119</v>
      </c>
      <c r="CQ2854">
        <v>8</v>
      </c>
      <c r="CR2854">
        <v>3</v>
      </c>
      <c r="CW2854">
        <v>8965408</v>
      </c>
      <c r="CY2854">
        <v>1</v>
      </c>
      <c r="CZ2854">
        <v>0</v>
      </c>
      <c r="DA2854">
        <v>0</v>
      </c>
      <c r="DB2854">
        <v>0</v>
      </c>
      <c r="DC2854">
        <v>0</v>
      </c>
      <c r="DD2854">
        <v>1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 t="shared" si="1341"/>
        <v>05/12/2020 14:46:00.768</v>
      </c>
      <c r="C2855" t="str">
        <f t="shared" si="1332"/>
        <v>FFDFD3C0</v>
      </c>
      <c r="D2855" t="s">
        <v>126</v>
      </c>
      <c r="E2855">
        <v>7</v>
      </c>
      <c r="F2855">
        <v>1007</v>
      </c>
      <c r="G2855" t="s">
        <v>127</v>
      </c>
      <c r="J2855" t="s">
        <v>128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342"/>
        <v>14:46:18.602</v>
      </c>
      <c r="T2855" t="str">
        <f t="shared" si="1343"/>
        <v>14:46:18.502</v>
      </c>
      <c r="U2855" t="str">
        <f t="shared" si="1324"/>
        <v>A9808D</v>
      </c>
      <c r="V2855">
        <v>0</v>
      </c>
      <c r="W2855">
        <v>0</v>
      </c>
      <c r="X2855">
        <v>1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0</v>
      </c>
      <c r="AI2855" t="s">
        <v>703</v>
      </c>
      <c r="AJ2855">
        <v>28.247758999999999</v>
      </c>
      <c r="AK2855" t="s">
        <v>704</v>
      </c>
      <c r="AL2855">
        <v>-82.301760000000002</v>
      </c>
      <c r="AM2855">
        <v>100</v>
      </c>
      <c r="AN2855">
        <v>2500</v>
      </c>
      <c r="AO2855" t="s">
        <v>118</v>
      </c>
      <c r="AP2855">
        <v>107</v>
      </c>
      <c r="AQ2855">
        <v>-11</v>
      </c>
      <c r="AR2855">
        <v>192</v>
      </c>
      <c r="AZ2855">
        <v>1200</v>
      </c>
      <c r="BA2855">
        <v>1</v>
      </c>
      <c r="BB2855" t="str">
        <f t="shared" si="1335"/>
        <v xml:space="preserve">N711JA  </v>
      </c>
      <c r="BC2855">
        <v>1</v>
      </c>
      <c r="BE2855">
        <v>0</v>
      </c>
      <c r="BF2855">
        <v>0</v>
      </c>
      <c r="BG2855">
        <v>0</v>
      </c>
      <c r="BH2855">
        <v>2575</v>
      </c>
      <c r="BI2855">
        <v>1</v>
      </c>
      <c r="BJ2855">
        <v>1</v>
      </c>
      <c r="BK2855">
        <v>0</v>
      </c>
      <c r="BL2855">
        <v>0</v>
      </c>
      <c r="BO2855">
        <v>0</v>
      </c>
      <c r="BP2855">
        <v>0</v>
      </c>
      <c r="BW2855" t="str">
        <f>"14:46:18.608"</f>
        <v>14:46:18.608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7</v>
      </c>
      <c r="CP2855" t="s">
        <v>119</v>
      </c>
      <c r="CQ2855">
        <v>8</v>
      </c>
      <c r="CR2855">
        <v>3</v>
      </c>
      <c r="CW2855">
        <v>8965408</v>
      </c>
      <c r="CY2855">
        <v>1</v>
      </c>
      <c r="CZ2855">
        <v>0</v>
      </c>
      <c r="DA2855">
        <v>1</v>
      </c>
      <c r="DB2855">
        <v>0</v>
      </c>
      <c r="DC2855">
        <v>0</v>
      </c>
      <c r="DD2855">
        <v>1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 t="shared" si="1341"/>
        <v>05/12/2020 14:46:00.768</v>
      </c>
      <c r="C2856" t="str">
        <f t="shared" si="1332"/>
        <v>FFDFD3C0</v>
      </c>
      <c r="D2856" t="s">
        <v>131</v>
      </c>
      <c r="E2856">
        <v>10</v>
      </c>
      <c r="F2856">
        <v>2010</v>
      </c>
      <c r="G2856" t="s">
        <v>132</v>
      </c>
      <c r="J2856" t="s">
        <v>133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342"/>
        <v>14:46:18.602</v>
      </c>
      <c r="T2856" t="str">
        <f t="shared" si="1343"/>
        <v>14:46:18.502</v>
      </c>
      <c r="U2856" t="str">
        <f t="shared" si="1324"/>
        <v>A9808D</v>
      </c>
      <c r="V2856">
        <v>0</v>
      </c>
      <c r="W2856">
        <v>0</v>
      </c>
      <c r="X2856">
        <v>1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0</v>
      </c>
      <c r="AI2856" t="s">
        <v>703</v>
      </c>
      <c r="AJ2856">
        <v>28.247758999999999</v>
      </c>
      <c r="AK2856" t="s">
        <v>704</v>
      </c>
      <c r="AL2856">
        <v>-82.301760000000002</v>
      </c>
      <c r="AM2856">
        <v>100</v>
      </c>
      <c r="AN2856">
        <v>2500</v>
      </c>
      <c r="AO2856" t="s">
        <v>118</v>
      </c>
      <c r="AP2856">
        <v>107</v>
      </c>
      <c r="AQ2856">
        <v>-11</v>
      </c>
      <c r="AR2856">
        <v>192</v>
      </c>
      <c r="AZ2856">
        <v>1200</v>
      </c>
      <c r="BA2856">
        <v>1</v>
      </c>
      <c r="BB2856" t="str">
        <f t="shared" si="1335"/>
        <v xml:space="preserve">N711JA  </v>
      </c>
      <c r="BC2856">
        <v>1</v>
      </c>
      <c r="BE2856">
        <v>0</v>
      </c>
      <c r="BF2856">
        <v>0</v>
      </c>
      <c r="BG2856">
        <v>0</v>
      </c>
      <c r="BH2856">
        <v>2575</v>
      </c>
      <c r="BI2856">
        <v>1</v>
      </c>
      <c r="BJ2856">
        <v>1</v>
      </c>
      <c r="BK2856">
        <v>0</v>
      </c>
      <c r="BL2856">
        <v>0</v>
      </c>
      <c r="BO2856">
        <v>0</v>
      </c>
      <c r="BP2856">
        <v>0</v>
      </c>
      <c r="BW2856" t="str">
        <f>"14:46:18.608"</f>
        <v>14:46:18.608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8</v>
      </c>
      <c r="CR2856">
        <v>3</v>
      </c>
      <c r="CW2856">
        <v>8965408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1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 t="shared" si="1341"/>
        <v>05/12/2020 14:46:00.768</v>
      </c>
      <c r="C2857" t="str">
        <f t="shared" si="1332"/>
        <v>FFDFD3C0</v>
      </c>
      <c r="D2857" t="s">
        <v>134</v>
      </c>
      <c r="E2857">
        <v>12</v>
      </c>
      <c r="H2857">
        <v>64</v>
      </c>
      <c r="I2857" t="s">
        <v>135</v>
      </c>
      <c r="J2857" t="s">
        <v>136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342"/>
        <v>14:46:18.602</v>
      </c>
      <c r="T2857" t="str">
        <f t="shared" si="1343"/>
        <v>14:46:18.502</v>
      </c>
      <c r="U2857" t="str">
        <f t="shared" si="1324"/>
        <v>A9808D</v>
      </c>
      <c r="V2857">
        <v>0</v>
      </c>
      <c r="W2857">
        <v>0</v>
      </c>
      <c r="X2857">
        <v>1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0</v>
      </c>
      <c r="AI2857" t="s">
        <v>703</v>
      </c>
      <c r="AJ2857">
        <v>28.247758999999999</v>
      </c>
      <c r="AK2857" t="s">
        <v>704</v>
      </c>
      <c r="AL2857">
        <v>-82.301760000000002</v>
      </c>
      <c r="AM2857">
        <v>100</v>
      </c>
      <c r="AN2857">
        <v>2500</v>
      </c>
      <c r="AO2857" t="s">
        <v>118</v>
      </c>
      <c r="AP2857">
        <v>107</v>
      </c>
      <c r="AQ2857">
        <v>-11</v>
      </c>
      <c r="AR2857">
        <v>192</v>
      </c>
      <c r="AZ2857">
        <v>1200</v>
      </c>
      <c r="BA2857">
        <v>1</v>
      </c>
      <c r="BB2857" t="str">
        <f t="shared" si="1335"/>
        <v xml:space="preserve">N711JA  </v>
      </c>
      <c r="BC2857">
        <v>1</v>
      </c>
      <c r="BE2857">
        <v>0</v>
      </c>
      <c r="BF2857">
        <v>0</v>
      </c>
      <c r="BG2857">
        <v>0</v>
      </c>
      <c r="BH2857">
        <v>2575</v>
      </c>
      <c r="BI2857">
        <v>1</v>
      </c>
      <c r="BJ2857">
        <v>1</v>
      </c>
      <c r="BK2857">
        <v>0</v>
      </c>
      <c r="BL2857">
        <v>0</v>
      </c>
      <c r="BO2857">
        <v>0</v>
      </c>
      <c r="BP2857">
        <v>0</v>
      </c>
      <c r="BW2857" t="str">
        <f>"14:46:18.608"</f>
        <v>14:46:18.608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119</v>
      </c>
      <c r="CQ2857">
        <v>8</v>
      </c>
      <c r="CR2857">
        <v>3</v>
      </c>
      <c r="CW2857">
        <v>8965408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1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 t="shared" si="1341"/>
        <v>05/12/2020 14:46:00.768</v>
      </c>
      <c r="C2858" t="str">
        <f t="shared" si="1332"/>
        <v>FFDFD3C0</v>
      </c>
      <c r="D2858" t="s">
        <v>131</v>
      </c>
      <c r="E2858">
        <v>12</v>
      </c>
      <c r="F2858">
        <v>2012</v>
      </c>
      <c r="G2858" t="s">
        <v>137</v>
      </c>
      <c r="J2858" t="s">
        <v>133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342"/>
        <v>14:46:18.602</v>
      </c>
      <c r="T2858" t="str">
        <f t="shared" si="1343"/>
        <v>14:46:18.502</v>
      </c>
      <c r="U2858" t="str">
        <f t="shared" si="1324"/>
        <v>A9808D</v>
      </c>
      <c r="V2858">
        <v>0</v>
      </c>
      <c r="W2858">
        <v>0</v>
      </c>
      <c r="X2858">
        <v>1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0</v>
      </c>
      <c r="AI2858" t="s">
        <v>703</v>
      </c>
      <c r="AJ2858">
        <v>28.247758999999999</v>
      </c>
      <c r="AK2858" t="s">
        <v>704</v>
      </c>
      <c r="AL2858">
        <v>-82.301760000000002</v>
      </c>
      <c r="AM2858">
        <v>100</v>
      </c>
      <c r="AN2858">
        <v>2500</v>
      </c>
      <c r="AO2858" t="s">
        <v>118</v>
      </c>
      <c r="AP2858">
        <v>107</v>
      </c>
      <c r="AQ2858">
        <v>-11</v>
      </c>
      <c r="AR2858">
        <v>192</v>
      </c>
      <c r="AZ2858">
        <v>1200</v>
      </c>
      <c r="BA2858">
        <v>1</v>
      </c>
      <c r="BB2858" t="str">
        <f t="shared" si="1335"/>
        <v xml:space="preserve">N711JA  </v>
      </c>
      <c r="BC2858">
        <v>1</v>
      </c>
      <c r="BE2858">
        <v>0</v>
      </c>
      <c r="BF2858">
        <v>0</v>
      </c>
      <c r="BG2858">
        <v>0</v>
      </c>
      <c r="BH2858">
        <v>2575</v>
      </c>
      <c r="BI2858">
        <v>1</v>
      </c>
      <c r="BJ2858">
        <v>1</v>
      </c>
      <c r="BK2858">
        <v>0</v>
      </c>
      <c r="BL2858">
        <v>0</v>
      </c>
      <c r="BO2858">
        <v>0</v>
      </c>
      <c r="BP2858">
        <v>0</v>
      </c>
      <c r="BW2858" t="str">
        <f>"14:46:18.608"</f>
        <v>14:46:18.608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119</v>
      </c>
      <c r="CQ2858">
        <v>8</v>
      </c>
      <c r="CR2858">
        <v>3</v>
      </c>
      <c r="CW2858">
        <v>8965408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1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 t="shared" si="1341"/>
        <v>05/12/2020 14:46:00.768</v>
      </c>
      <c r="C2859" t="str">
        <f t="shared" si="1332"/>
        <v>FFDFD3C0</v>
      </c>
      <c r="D2859" t="s">
        <v>131</v>
      </c>
      <c r="E2859">
        <v>18</v>
      </c>
      <c r="F2859">
        <v>2018</v>
      </c>
      <c r="G2859" t="s">
        <v>161</v>
      </c>
      <c r="J2859" t="s">
        <v>133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342"/>
        <v>14:46:18.602</v>
      </c>
      <c r="T2859" t="str">
        <f t="shared" si="1343"/>
        <v>14:46:18.502</v>
      </c>
      <c r="U2859" t="str">
        <f t="shared" si="1324"/>
        <v>A9808D</v>
      </c>
      <c r="V2859">
        <v>0</v>
      </c>
      <c r="W2859">
        <v>0</v>
      </c>
      <c r="X2859">
        <v>1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0</v>
      </c>
      <c r="AI2859" t="s">
        <v>703</v>
      </c>
      <c r="AJ2859">
        <v>28.247758999999999</v>
      </c>
      <c r="AK2859" t="s">
        <v>704</v>
      </c>
      <c r="AL2859">
        <v>-82.301760000000002</v>
      </c>
      <c r="AM2859">
        <v>100</v>
      </c>
      <c r="AN2859">
        <v>2500</v>
      </c>
      <c r="AO2859" t="s">
        <v>118</v>
      </c>
      <c r="AP2859">
        <v>107</v>
      </c>
      <c r="AQ2859">
        <v>-11</v>
      </c>
      <c r="AR2859">
        <v>192</v>
      </c>
      <c r="AZ2859">
        <v>1200</v>
      </c>
      <c r="BA2859">
        <v>1</v>
      </c>
      <c r="BB2859" t="str">
        <f t="shared" si="1335"/>
        <v xml:space="preserve">N711JA  </v>
      </c>
      <c r="BC2859">
        <v>1</v>
      </c>
      <c r="BE2859">
        <v>0</v>
      </c>
      <c r="BF2859">
        <v>0</v>
      </c>
      <c r="BG2859">
        <v>0</v>
      </c>
      <c r="BH2859">
        <v>2575</v>
      </c>
      <c r="BI2859">
        <v>1</v>
      </c>
      <c r="BJ2859">
        <v>1</v>
      </c>
      <c r="BK2859">
        <v>0</v>
      </c>
      <c r="BL2859">
        <v>0</v>
      </c>
      <c r="BO2859">
        <v>0</v>
      </c>
      <c r="BP2859">
        <v>0</v>
      </c>
      <c r="BW2859" t="str">
        <f>"14:46:18.609"</f>
        <v>14:46:18.609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4</v>
      </c>
      <c r="CP2859" t="s">
        <v>119</v>
      </c>
      <c r="CQ2859">
        <v>62</v>
      </c>
      <c r="CR2859">
        <v>2</v>
      </c>
      <c r="CW2859">
        <v>13710950</v>
      </c>
      <c r="CY2859">
        <v>1</v>
      </c>
      <c r="CZ2859">
        <v>0</v>
      </c>
      <c r="DA2859">
        <v>1</v>
      </c>
      <c r="DB2859">
        <v>0</v>
      </c>
      <c r="DC2859">
        <v>0</v>
      </c>
      <c r="DD2859">
        <v>1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 t="shared" si="1341"/>
        <v>05/12/2020 14:46:00.768</v>
      </c>
      <c r="C2860" t="str">
        <f t="shared" si="1332"/>
        <v>FFDFD3C0</v>
      </c>
      <c r="D2860" t="s">
        <v>138</v>
      </c>
      <c r="E2860">
        <v>3</v>
      </c>
      <c r="H2860">
        <v>9</v>
      </c>
      <c r="I2860" t="s">
        <v>140</v>
      </c>
      <c r="J2860" t="s">
        <v>136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342"/>
        <v>14:46:18.602</v>
      </c>
      <c r="T2860" t="str">
        <f t="shared" si="1343"/>
        <v>14:46:18.502</v>
      </c>
      <c r="U2860" t="str">
        <f t="shared" si="1324"/>
        <v>A9808D</v>
      </c>
      <c r="V2860">
        <v>0</v>
      </c>
      <c r="W2860">
        <v>0</v>
      </c>
      <c r="X2860">
        <v>1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0</v>
      </c>
      <c r="AI2860" t="s">
        <v>703</v>
      </c>
      <c r="AJ2860">
        <v>28.247758999999999</v>
      </c>
      <c r="AK2860" t="s">
        <v>704</v>
      </c>
      <c r="AL2860">
        <v>-82.301760000000002</v>
      </c>
      <c r="AM2860">
        <v>100</v>
      </c>
      <c r="AN2860">
        <v>2500</v>
      </c>
      <c r="AO2860" t="s">
        <v>118</v>
      </c>
      <c r="AP2860">
        <v>107</v>
      </c>
      <c r="AQ2860">
        <v>-11</v>
      </c>
      <c r="AR2860">
        <v>192</v>
      </c>
      <c r="AZ2860">
        <v>1200</v>
      </c>
      <c r="BA2860">
        <v>1</v>
      </c>
      <c r="BB2860" t="str">
        <f t="shared" si="1335"/>
        <v xml:space="preserve">N711JA  </v>
      </c>
      <c r="BC2860">
        <v>1</v>
      </c>
      <c r="BE2860">
        <v>0</v>
      </c>
      <c r="BF2860">
        <v>0</v>
      </c>
      <c r="BG2860">
        <v>0</v>
      </c>
      <c r="BH2860">
        <v>2575</v>
      </c>
      <c r="BI2860">
        <v>1</v>
      </c>
      <c r="BJ2860">
        <v>1</v>
      </c>
      <c r="BK2860">
        <v>0</v>
      </c>
      <c r="BL2860">
        <v>0</v>
      </c>
      <c r="BO2860">
        <v>0</v>
      </c>
      <c r="BP2860">
        <v>0</v>
      </c>
      <c r="BW2860" t="str">
        <f>"14:46:18.608"</f>
        <v>14:46:18.608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119</v>
      </c>
      <c r="CQ2860">
        <v>8</v>
      </c>
      <c r="CR2860">
        <v>3</v>
      </c>
      <c r="CW2860">
        <v>8965408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1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 t="shared" si="1341"/>
        <v>05/12/2020 14:46:00.768</v>
      </c>
      <c r="C2861" t="str">
        <f t="shared" si="1332"/>
        <v>FFDFD3C0</v>
      </c>
      <c r="D2861" t="s">
        <v>126</v>
      </c>
      <c r="E2861">
        <v>6</v>
      </c>
      <c r="F2861">
        <v>1006</v>
      </c>
      <c r="G2861" t="s">
        <v>114</v>
      </c>
      <c r="J2861" t="s">
        <v>128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342"/>
        <v>14:46:18.602</v>
      </c>
      <c r="T2861" t="str">
        <f t="shared" si="1343"/>
        <v>14:46:18.502</v>
      </c>
      <c r="U2861" t="str">
        <f t="shared" si="1324"/>
        <v>A9808D</v>
      </c>
      <c r="V2861">
        <v>0</v>
      </c>
      <c r="W2861">
        <v>0</v>
      </c>
      <c r="X2861">
        <v>1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0</v>
      </c>
      <c r="AI2861" t="s">
        <v>703</v>
      </c>
      <c r="AJ2861">
        <v>28.247758999999999</v>
      </c>
      <c r="AK2861" t="s">
        <v>704</v>
      </c>
      <c r="AL2861">
        <v>-82.301760000000002</v>
      </c>
      <c r="AM2861">
        <v>100</v>
      </c>
      <c r="AN2861">
        <v>2500</v>
      </c>
      <c r="AO2861" t="s">
        <v>118</v>
      </c>
      <c r="AP2861">
        <v>107</v>
      </c>
      <c r="AQ2861">
        <v>-11</v>
      </c>
      <c r="AR2861">
        <v>192</v>
      </c>
      <c r="AZ2861">
        <v>1200</v>
      </c>
      <c r="BA2861">
        <v>1</v>
      </c>
      <c r="BB2861" t="str">
        <f t="shared" si="1335"/>
        <v xml:space="preserve">N711JA  </v>
      </c>
      <c r="BC2861">
        <v>1</v>
      </c>
      <c r="BE2861">
        <v>0</v>
      </c>
      <c r="BF2861">
        <v>0</v>
      </c>
      <c r="BG2861">
        <v>0</v>
      </c>
      <c r="BH2861">
        <v>2575</v>
      </c>
      <c r="BI2861">
        <v>1</v>
      </c>
      <c r="BJ2861">
        <v>1</v>
      </c>
      <c r="BK2861">
        <v>0</v>
      </c>
      <c r="BL2861">
        <v>0</v>
      </c>
      <c r="BO2861">
        <v>0</v>
      </c>
      <c r="BP2861">
        <v>0</v>
      </c>
      <c r="BW2861" t="str">
        <f>"14:46:18.608"</f>
        <v>14:46:18.608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8</v>
      </c>
      <c r="CR2861">
        <v>3</v>
      </c>
      <c r="CW2861">
        <v>8965408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1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 t="shared" si="1341"/>
        <v>05/12/2020 14:46:00.768</v>
      </c>
      <c r="C2862" t="str">
        <f t="shared" si="1332"/>
        <v>FFDFD3C0</v>
      </c>
      <c r="D2862" t="s">
        <v>113</v>
      </c>
      <c r="E2862">
        <v>3</v>
      </c>
      <c r="H2862">
        <v>164</v>
      </c>
      <c r="I2862" t="s">
        <v>114</v>
      </c>
      <c r="J2862" t="s">
        <v>115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342"/>
        <v>14:46:18.602</v>
      </c>
      <c r="T2862" t="str">
        <f t="shared" si="1343"/>
        <v>14:46:18.502</v>
      </c>
      <c r="U2862" t="str">
        <f t="shared" si="1324"/>
        <v>A9808D</v>
      </c>
      <c r="V2862">
        <v>0</v>
      </c>
      <c r="W2862">
        <v>0</v>
      </c>
      <c r="X2862">
        <v>1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0</v>
      </c>
      <c r="AI2862" t="s">
        <v>703</v>
      </c>
      <c r="AJ2862">
        <v>28.247758999999999</v>
      </c>
      <c r="AK2862" t="s">
        <v>704</v>
      </c>
      <c r="AL2862">
        <v>-82.301760000000002</v>
      </c>
      <c r="AM2862">
        <v>100</v>
      </c>
      <c r="AN2862">
        <v>2500</v>
      </c>
      <c r="AO2862" t="s">
        <v>118</v>
      </c>
      <c r="AP2862">
        <v>107</v>
      </c>
      <c r="AQ2862">
        <v>-11</v>
      </c>
      <c r="AR2862">
        <v>192</v>
      </c>
      <c r="AZ2862">
        <v>1200</v>
      </c>
      <c r="BA2862">
        <v>1</v>
      </c>
      <c r="BB2862" t="str">
        <f t="shared" si="1335"/>
        <v xml:space="preserve">N711JA  </v>
      </c>
      <c r="BC2862">
        <v>1</v>
      </c>
      <c r="BE2862">
        <v>0</v>
      </c>
      <c r="BF2862">
        <v>0</v>
      </c>
      <c r="BG2862">
        <v>0</v>
      </c>
      <c r="BH2862">
        <v>2575</v>
      </c>
      <c r="BI2862">
        <v>1</v>
      </c>
      <c r="BJ2862">
        <v>1</v>
      </c>
      <c r="BK2862">
        <v>0</v>
      </c>
      <c r="BL2862">
        <v>0</v>
      </c>
      <c r="BO2862">
        <v>0</v>
      </c>
      <c r="BP2862">
        <v>0</v>
      </c>
      <c r="BW2862" t="str">
        <f>"14:46:18.608"</f>
        <v>14:46:18.608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7</v>
      </c>
      <c r="CP2862" t="s">
        <v>119</v>
      </c>
      <c r="CQ2862">
        <v>8</v>
      </c>
      <c r="CR2862">
        <v>3</v>
      </c>
      <c r="CW2862">
        <v>8965408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1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 t="shared" ref="A2863:A2871" si="1344">"05/12/2020 14:46:01.793"</f>
        <v>05/12/2020 14:46:01.793</v>
      </c>
      <c r="C2863" t="str">
        <f t="shared" si="1332"/>
        <v>FFDFD3C0</v>
      </c>
      <c r="D2863" t="s">
        <v>131</v>
      </c>
      <c r="E2863">
        <v>12</v>
      </c>
      <c r="F2863">
        <v>2012</v>
      </c>
      <c r="G2863" t="s">
        <v>137</v>
      </c>
      <c r="J2863" t="s">
        <v>133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ref="S2863:S2871" si="1345">"14:46:19.633"</f>
        <v>14:46:19.633</v>
      </c>
      <c r="T2863" t="str">
        <f>"14:46:19.533"</f>
        <v>14:46:19.533</v>
      </c>
      <c r="U2863" t="str">
        <f t="shared" si="1324"/>
        <v>A9808D</v>
      </c>
      <c r="V2863">
        <v>0</v>
      </c>
      <c r="W2863">
        <v>0</v>
      </c>
      <c r="X2863">
        <v>1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0</v>
      </c>
      <c r="AI2863" t="s">
        <v>705</v>
      </c>
      <c r="AJ2863">
        <v>28.247674</v>
      </c>
      <c r="AK2863" t="s">
        <v>706</v>
      </c>
      <c r="AL2863">
        <v>-82.301180000000002</v>
      </c>
      <c r="AM2863">
        <v>100</v>
      </c>
      <c r="AN2863">
        <v>2500</v>
      </c>
      <c r="AO2863" t="s">
        <v>118</v>
      </c>
      <c r="AP2863">
        <v>107</v>
      </c>
      <c r="AQ2863">
        <v>-10</v>
      </c>
      <c r="AR2863">
        <v>192</v>
      </c>
      <c r="AZ2863">
        <v>1200</v>
      </c>
      <c r="BA2863">
        <v>1</v>
      </c>
      <c r="BB2863" t="str">
        <f t="shared" si="1335"/>
        <v xml:space="preserve">N711JA  </v>
      </c>
      <c r="BC2863">
        <v>1</v>
      </c>
      <c r="BE2863">
        <v>0</v>
      </c>
      <c r="BF2863">
        <v>0</v>
      </c>
      <c r="BG2863">
        <v>0</v>
      </c>
      <c r="BH2863">
        <v>2575</v>
      </c>
      <c r="BI2863">
        <v>1</v>
      </c>
      <c r="BJ2863">
        <v>1</v>
      </c>
      <c r="BK2863">
        <v>0</v>
      </c>
      <c r="BL2863">
        <v>0</v>
      </c>
      <c r="BO2863">
        <v>0</v>
      </c>
      <c r="BP2863">
        <v>0</v>
      </c>
      <c r="BW2863" t="str">
        <f>"14:46:19.636"</f>
        <v>14:46:19.636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7</v>
      </c>
      <c r="CP2863" t="s">
        <v>119</v>
      </c>
      <c r="CQ2863">
        <v>8</v>
      </c>
      <c r="CR2863">
        <v>3</v>
      </c>
      <c r="CW2863">
        <v>8966486</v>
      </c>
      <c r="CY2863">
        <v>1</v>
      </c>
      <c r="CZ2863">
        <v>0</v>
      </c>
      <c r="DA2863">
        <v>0</v>
      </c>
      <c r="DB2863">
        <v>0</v>
      </c>
      <c r="DC2863">
        <v>0</v>
      </c>
      <c r="DD2863">
        <v>1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 t="shared" si="1344"/>
        <v>05/12/2020 14:46:01.793</v>
      </c>
      <c r="C2864" t="str">
        <f t="shared" si="1332"/>
        <v>FFDFD3C0</v>
      </c>
      <c r="D2864" t="s">
        <v>131</v>
      </c>
      <c r="E2864">
        <v>18</v>
      </c>
      <c r="F2864">
        <v>2018</v>
      </c>
      <c r="G2864" t="s">
        <v>161</v>
      </c>
      <c r="J2864" t="s">
        <v>133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345"/>
        <v>14:46:19.633</v>
      </c>
      <c r="T2864" t="str">
        <f>"14:46:19.033"</f>
        <v>14:46:19.033</v>
      </c>
      <c r="U2864" t="str">
        <f t="shared" si="1324"/>
        <v>A9808D</v>
      </c>
      <c r="V2864">
        <v>0</v>
      </c>
      <c r="W2864">
        <v>0</v>
      </c>
      <c r="X2864">
        <v>1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0</v>
      </c>
      <c r="AI2864" t="s">
        <v>705</v>
      </c>
      <c r="AJ2864">
        <v>28.247674</v>
      </c>
      <c r="AK2864" t="s">
        <v>706</v>
      </c>
      <c r="AL2864">
        <v>-82.301180000000002</v>
      </c>
      <c r="AM2864">
        <v>100</v>
      </c>
      <c r="AN2864">
        <v>2500</v>
      </c>
      <c r="AO2864" t="s">
        <v>118</v>
      </c>
      <c r="AP2864">
        <v>107</v>
      </c>
      <c r="AQ2864">
        <v>-11</v>
      </c>
      <c r="AR2864">
        <v>192</v>
      </c>
      <c r="AZ2864">
        <v>1200</v>
      </c>
      <c r="BA2864">
        <v>1</v>
      </c>
      <c r="BB2864" t="str">
        <f t="shared" si="1335"/>
        <v xml:space="preserve">N711JA  </v>
      </c>
      <c r="BC2864">
        <v>1</v>
      </c>
      <c r="BE2864">
        <v>0</v>
      </c>
      <c r="BF2864">
        <v>0</v>
      </c>
      <c r="BG2864">
        <v>0</v>
      </c>
      <c r="BH2864">
        <v>2575</v>
      </c>
      <c r="BI2864">
        <v>1</v>
      </c>
      <c r="BJ2864">
        <v>1</v>
      </c>
      <c r="BK2864">
        <v>0</v>
      </c>
      <c r="BL2864">
        <v>0</v>
      </c>
      <c r="BO2864">
        <v>0</v>
      </c>
      <c r="BP2864">
        <v>0</v>
      </c>
      <c r="BW2864" t="str">
        <f>"14:46:19.637"</f>
        <v>14:46:19.637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4</v>
      </c>
      <c r="CP2864" t="s">
        <v>119</v>
      </c>
      <c r="CQ2864">
        <v>62</v>
      </c>
      <c r="CR2864">
        <v>1</v>
      </c>
      <c r="CW2864">
        <v>12847843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1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 t="shared" si="1344"/>
        <v>05/12/2020 14:46:01.793</v>
      </c>
      <c r="C2865" t="str">
        <f t="shared" si="1332"/>
        <v>FFDFD3C0</v>
      </c>
      <c r="D2865" t="s">
        <v>138</v>
      </c>
      <c r="E2865">
        <v>3</v>
      </c>
      <c r="H2865">
        <v>9</v>
      </c>
      <c r="I2865" t="s">
        <v>140</v>
      </c>
      <c r="J2865" t="s">
        <v>136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345"/>
        <v>14:46:19.633</v>
      </c>
      <c r="T2865" t="str">
        <f t="shared" ref="T2865:T2871" si="1346">"14:46:19.533"</f>
        <v>14:46:19.533</v>
      </c>
      <c r="U2865" t="str">
        <f t="shared" si="1324"/>
        <v>A9808D</v>
      </c>
      <c r="V2865">
        <v>0</v>
      </c>
      <c r="W2865">
        <v>0</v>
      </c>
      <c r="X2865">
        <v>1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0</v>
      </c>
      <c r="AI2865" t="s">
        <v>705</v>
      </c>
      <c r="AJ2865">
        <v>28.247674</v>
      </c>
      <c r="AK2865" t="s">
        <v>706</v>
      </c>
      <c r="AL2865">
        <v>-82.301180000000002</v>
      </c>
      <c r="AM2865">
        <v>100</v>
      </c>
      <c r="AN2865">
        <v>2500</v>
      </c>
      <c r="AO2865" t="s">
        <v>118</v>
      </c>
      <c r="AP2865">
        <v>107</v>
      </c>
      <c r="AQ2865">
        <v>-10</v>
      </c>
      <c r="AR2865">
        <v>192</v>
      </c>
      <c r="AZ2865">
        <v>1200</v>
      </c>
      <c r="BA2865">
        <v>1</v>
      </c>
      <c r="BB2865" t="str">
        <f t="shared" si="1335"/>
        <v xml:space="preserve">N711JA  </v>
      </c>
      <c r="BC2865">
        <v>1</v>
      </c>
      <c r="BE2865">
        <v>0</v>
      </c>
      <c r="BF2865">
        <v>0</v>
      </c>
      <c r="BG2865">
        <v>0</v>
      </c>
      <c r="BH2865">
        <v>2575</v>
      </c>
      <c r="BI2865">
        <v>1</v>
      </c>
      <c r="BJ2865">
        <v>1</v>
      </c>
      <c r="BK2865">
        <v>0</v>
      </c>
      <c r="BL2865">
        <v>0</v>
      </c>
      <c r="BO2865">
        <v>0</v>
      </c>
      <c r="BP2865">
        <v>0</v>
      </c>
      <c r="BW2865" t="str">
        <f t="shared" ref="BW2865:BW2871" si="1347">"14:46:19.636"</f>
        <v>14:46:19.636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7</v>
      </c>
      <c r="CP2865" t="s">
        <v>119</v>
      </c>
      <c r="CQ2865">
        <v>8</v>
      </c>
      <c r="CR2865">
        <v>3</v>
      </c>
      <c r="CW2865">
        <v>8966486</v>
      </c>
      <c r="CY2865">
        <v>1</v>
      </c>
      <c r="CZ2865">
        <v>0</v>
      </c>
      <c r="DA2865">
        <v>1</v>
      </c>
      <c r="DB2865">
        <v>0</v>
      </c>
      <c r="DC2865">
        <v>0</v>
      </c>
      <c r="DD2865">
        <v>1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 t="shared" si="1344"/>
        <v>05/12/2020 14:46:01.793</v>
      </c>
      <c r="C2866" t="str">
        <f t="shared" si="1332"/>
        <v>FFDFD3C0</v>
      </c>
      <c r="D2866" t="s">
        <v>134</v>
      </c>
      <c r="E2866">
        <v>12</v>
      </c>
      <c r="H2866">
        <v>64</v>
      </c>
      <c r="I2866" t="s">
        <v>135</v>
      </c>
      <c r="J2866" t="s">
        <v>136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345"/>
        <v>14:46:19.633</v>
      </c>
      <c r="T2866" t="str">
        <f t="shared" si="1346"/>
        <v>14:46:19.533</v>
      </c>
      <c r="U2866" t="str">
        <f t="shared" si="1324"/>
        <v>A9808D</v>
      </c>
      <c r="V2866">
        <v>0</v>
      </c>
      <c r="W2866">
        <v>0</v>
      </c>
      <c r="X2866">
        <v>1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0</v>
      </c>
      <c r="AI2866" t="s">
        <v>705</v>
      </c>
      <c r="AJ2866">
        <v>28.247674</v>
      </c>
      <c r="AK2866" t="s">
        <v>706</v>
      </c>
      <c r="AL2866">
        <v>-82.301180000000002</v>
      </c>
      <c r="AM2866">
        <v>100</v>
      </c>
      <c r="AN2866">
        <v>2500</v>
      </c>
      <c r="AO2866" t="s">
        <v>118</v>
      </c>
      <c r="AP2866">
        <v>107</v>
      </c>
      <c r="AQ2866">
        <v>-10</v>
      </c>
      <c r="AR2866">
        <v>192</v>
      </c>
      <c r="AZ2866">
        <v>1200</v>
      </c>
      <c r="BA2866">
        <v>1</v>
      </c>
      <c r="BB2866" t="str">
        <f t="shared" si="1335"/>
        <v xml:space="preserve">N711JA  </v>
      </c>
      <c r="BC2866">
        <v>1</v>
      </c>
      <c r="BE2866">
        <v>0</v>
      </c>
      <c r="BF2866">
        <v>0</v>
      </c>
      <c r="BG2866">
        <v>0</v>
      </c>
      <c r="BH2866">
        <v>2575</v>
      </c>
      <c r="BI2866">
        <v>1</v>
      </c>
      <c r="BJ2866">
        <v>1</v>
      </c>
      <c r="BK2866">
        <v>0</v>
      </c>
      <c r="BL2866">
        <v>0</v>
      </c>
      <c r="BO2866">
        <v>0</v>
      </c>
      <c r="BP2866">
        <v>0</v>
      </c>
      <c r="BW2866" t="str">
        <f t="shared" si="1347"/>
        <v>14:46:19.636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7</v>
      </c>
      <c r="CP2866" t="s">
        <v>119</v>
      </c>
      <c r="CQ2866">
        <v>8</v>
      </c>
      <c r="CR2866">
        <v>3</v>
      </c>
      <c r="CW2866">
        <v>8966486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1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 t="shared" si="1344"/>
        <v>05/12/2020 14:46:01.793</v>
      </c>
      <c r="C2867" t="str">
        <f t="shared" si="1332"/>
        <v>FFDFD3C0</v>
      </c>
      <c r="D2867" t="s">
        <v>126</v>
      </c>
      <c r="E2867">
        <v>6</v>
      </c>
      <c r="F2867">
        <v>1006</v>
      </c>
      <c r="G2867" t="s">
        <v>114</v>
      </c>
      <c r="J2867" t="s">
        <v>128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345"/>
        <v>14:46:19.633</v>
      </c>
      <c r="T2867" t="str">
        <f t="shared" si="1346"/>
        <v>14:46:19.533</v>
      </c>
      <c r="U2867" t="str">
        <f t="shared" si="1324"/>
        <v>A9808D</v>
      </c>
      <c r="V2867">
        <v>0</v>
      </c>
      <c r="W2867">
        <v>0</v>
      </c>
      <c r="X2867">
        <v>1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0</v>
      </c>
      <c r="AI2867" t="s">
        <v>705</v>
      </c>
      <c r="AJ2867">
        <v>28.247674</v>
      </c>
      <c r="AK2867" t="s">
        <v>706</v>
      </c>
      <c r="AL2867">
        <v>-82.301180000000002</v>
      </c>
      <c r="AM2867">
        <v>100</v>
      </c>
      <c r="AN2867">
        <v>2500</v>
      </c>
      <c r="AO2867" t="s">
        <v>118</v>
      </c>
      <c r="AP2867">
        <v>107</v>
      </c>
      <c r="AQ2867">
        <v>-10</v>
      </c>
      <c r="AR2867">
        <v>192</v>
      </c>
      <c r="AZ2867">
        <v>1200</v>
      </c>
      <c r="BA2867">
        <v>1</v>
      </c>
      <c r="BB2867" t="str">
        <f t="shared" si="1335"/>
        <v xml:space="preserve">N711JA  </v>
      </c>
      <c r="BC2867">
        <v>1</v>
      </c>
      <c r="BE2867">
        <v>0</v>
      </c>
      <c r="BF2867">
        <v>0</v>
      </c>
      <c r="BG2867">
        <v>0</v>
      </c>
      <c r="BH2867">
        <v>2575</v>
      </c>
      <c r="BI2867">
        <v>1</v>
      </c>
      <c r="BJ2867">
        <v>1</v>
      </c>
      <c r="BK2867">
        <v>0</v>
      </c>
      <c r="BL2867">
        <v>0</v>
      </c>
      <c r="BO2867">
        <v>0</v>
      </c>
      <c r="BP2867">
        <v>0</v>
      </c>
      <c r="BW2867" t="str">
        <f t="shared" si="1347"/>
        <v>14:46:19.636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7</v>
      </c>
      <c r="CP2867" t="s">
        <v>119</v>
      </c>
      <c r="CQ2867">
        <v>8</v>
      </c>
      <c r="CR2867">
        <v>3</v>
      </c>
      <c r="CW2867">
        <v>8966486</v>
      </c>
      <c r="CY2867">
        <v>1</v>
      </c>
      <c r="CZ2867">
        <v>0</v>
      </c>
      <c r="DA2867">
        <v>1</v>
      </c>
      <c r="DB2867">
        <v>0</v>
      </c>
      <c r="DC2867">
        <v>0</v>
      </c>
      <c r="DD2867">
        <v>1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 t="shared" si="1344"/>
        <v>05/12/2020 14:46:01.793</v>
      </c>
      <c r="C2868" t="str">
        <f t="shared" si="1332"/>
        <v>FFDFD3C0</v>
      </c>
      <c r="D2868" t="s">
        <v>113</v>
      </c>
      <c r="E2868">
        <v>3</v>
      </c>
      <c r="H2868">
        <v>164</v>
      </c>
      <c r="I2868" t="s">
        <v>114</v>
      </c>
      <c r="J2868" t="s">
        <v>115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345"/>
        <v>14:46:19.633</v>
      </c>
      <c r="T2868" t="str">
        <f t="shared" si="1346"/>
        <v>14:46:19.533</v>
      </c>
      <c r="U2868" t="str">
        <f t="shared" si="1324"/>
        <v>A9808D</v>
      </c>
      <c r="V2868">
        <v>0</v>
      </c>
      <c r="W2868">
        <v>0</v>
      </c>
      <c r="X2868">
        <v>1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0</v>
      </c>
      <c r="AI2868" t="s">
        <v>705</v>
      </c>
      <c r="AJ2868">
        <v>28.247674</v>
      </c>
      <c r="AK2868" t="s">
        <v>706</v>
      </c>
      <c r="AL2868">
        <v>-82.301180000000002</v>
      </c>
      <c r="AM2868">
        <v>100</v>
      </c>
      <c r="AN2868">
        <v>2500</v>
      </c>
      <c r="AO2868" t="s">
        <v>118</v>
      </c>
      <c r="AP2868">
        <v>107</v>
      </c>
      <c r="AQ2868">
        <v>-10</v>
      </c>
      <c r="AR2868">
        <v>192</v>
      </c>
      <c r="AZ2868">
        <v>1200</v>
      </c>
      <c r="BA2868">
        <v>1</v>
      </c>
      <c r="BB2868" t="str">
        <f t="shared" si="1335"/>
        <v xml:space="preserve">N711JA  </v>
      </c>
      <c r="BC2868">
        <v>1</v>
      </c>
      <c r="BE2868">
        <v>0</v>
      </c>
      <c r="BF2868">
        <v>0</v>
      </c>
      <c r="BG2868">
        <v>0</v>
      </c>
      <c r="BH2868">
        <v>2575</v>
      </c>
      <c r="BI2868">
        <v>1</v>
      </c>
      <c r="BJ2868">
        <v>1</v>
      </c>
      <c r="BK2868">
        <v>0</v>
      </c>
      <c r="BL2868">
        <v>0</v>
      </c>
      <c r="BO2868">
        <v>0</v>
      </c>
      <c r="BP2868">
        <v>0</v>
      </c>
      <c r="BW2868" t="str">
        <f t="shared" si="1347"/>
        <v>14:46:19.636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119</v>
      </c>
      <c r="CQ2868">
        <v>8</v>
      </c>
      <c r="CR2868">
        <v>3</v>
      </c>
      <c r="CW2868">
        <v>8966486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1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 t="shared" si="1344"/>
        <v>05/12/2020 14:46:01.793</v>
      </c>
      <c r="C2869" t="str">
        <f t="shared" si="1332"/>
        <v>FFDFD3C0</v>
      </c>
      <c r="D2869" t="s">
        <v>138</v>
      </c>
      <c r="E2869">
        <v>2</v>
      </c>
      <c r="H2869">
        <v>8</v>
      </c>
      <c r="I2869" t="s">
        <v>139</v>
      </c>
      <c r="J2869" t="s">
        <v>136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345"/>
        <v>14:46:19.633</v>
      </c>
      <c r="T2869" t="str">
        <f t="shared" si="1346"/>
        <v>14:46:19.533</v>
      </c>
      <c r="U2869" t="str">
        <f t="shared" si="1324"/>
        <v>A9808D</v>
      </c>
      <c r="V2869">
        <v>0</v>
      </c>
      <c r="W2869">
        <v>0</v>
      </c>
      <c r="X2869">
        <v>1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0</v>
      </c>
      <c r="AI2869" t="s">
        <v>705</v>
      </c>
      <c r="AJ2869">
        <v>28.247674</v>
      </c>
      <c r="AK2869" t="s">
        <v>706</v>
      </c>
      <c r="AL2869">
        <v>-82.301180000000002</v>
      </c>
      <c r="AM2869">
        <v>100</v>
      </c>
      <c r="AN2869">
        <v>2500</v>
      </c>
      <c r="AO2869" t="s">
        <v>118</v>
      </c>
      <c r="AP2869">
        <v>107</v>
      </c>
      <c r="AQ2869">
        <v>-10</v>
      </c>
      <c r="AR2869">
        <v>192</v>
      </c>
      <c r="AZ2869">
        <v>1200</v>
      </c>
      <c r="BA2869">
        <v>1</v>
      </c>
      <c r="BB2869" t="str">
        <f t="shared" si="1335"/>
        <v xml:space="preserve">N711JA  </v>
      </c>
      <c r="BC2869">
        <v>1</v>
      </c>
      <c r="BE2869">
        <v>0</v>
      </c>
      <c r="BF2869">
        <v>0</v>
      </c>
      <c r="BG2869">
        <v>0</v>
      </c>
      <c r="BH2869">
        <v>2575</v>
      </c>
      <c r="BI2869">
        <v>1</v>
      </c>
      <c r="BJ2869">
        <v>1</v>
      </c>
      <c r="BK2869">
        <v>0</v>
      </c>
      <c r="BL2869">
        <v>0</v>
      </c>
      <c r="BO2869">
        <v>0</v>
      </c>
      <c r="BP2869">
        <v>0</v>
      </c>
      <c r="BW2869" t="str">
        <f t="shared" si="1347"/>
        <v>14:46:19.636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7</v>
      </c>
      <c r="CP2869" t="s">
        <v>119</v>
      </c>
      <c r="CQ2869">
        <v>8</v>
      </c>
      <c r="CR2869">
        <v>3</v>
      </c>
      <c r="CW2869">
        <v>8966486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1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 t="shared" si="1344"/>
        <v>05/12/2020 14:46:01.793</v>
      </c>
      <c r="C2870" t="str">
        <f t="shared" si="1332"/>
        <v>FFDFD3C0</v>
      </c>
      <c r="D2870" t="s">
        <v>126</v>
      </c>
      <c r="E2870">
        <v>7</v>
      </c>
      <c r="F2870">
        <v>1007</v>
      </c>
      <c r="G2870" t="s">
        <v>127</v>
      </c>
      <c r="J2870" t="s">
        <v>128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si="1345"/>
        <v>14:46:19.633</v>
      </c>
      <c r="T2870" t="str">
        <f t="shared" si="1346"/>
        <v>14:46:19.533</v>
      </c>
      <c r="U2870" t="str">
        <f t="shared" si="1324"/>
        <v>A9808D</v>
      </c>
      <c r="V2870">
        <v>0</v>
      </c>
      <c r="W2870">
        <v>0</v>
      </c>
      <c r="X2870">
        <v>1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0</v>
      </c>
      <c r="AI2870" t="s">
        <v>705</v>
      </c>
      <c r="AJ2870">
        <v>28.247674</v>
      </c>
      <c r="AK2870" t="s">
        <v>706</v>
      </c>
      <c r="AL2870">
        <v>-82.301180000000002</v>
      </c>
      <c r="AM2870">
        <v>100</v>
      </c>
      <c r="AN2870">
        <v>2500</v>
      </c>
      <c r="AO2870" t="s">
        <v>118</v>
      </c>
      <c r="AP2870">
        <v>107</v>
      </c>
      <c r="AQ2870">
        <v>-10</v>
      </c>
      <c r="AR2870">
        <v>192</v>
      </c>
      <c r="AZ2870">
        <v>1200</v>
      </c>
      <c r="BA2870">
        <v>1</v>
      </c>
      <c r="BB2870" t="str">
        <f t="shared" si="1335"/>
        <v xml:space="preserve">N711JA  </v>
      </c>
      <c r="BC2870">
        <v>1</v>
      </c>
      <c r="BE2870">
        <v>0</v>
      </c>
      <c r="BF2870">
        <v>0</v>
      </c>
      <c r="BG2870">
        <v>0</v>
      </c>
      <c r="BH2870">
        <v>2575</v>
      </c>
      <c r="BI2870">
        <v>1</v>
      </c>
      <c r="BJ2870">
        <v>1</v>
      </c>
      <c r="BK2870">
        <v>0</v>
      </c>
      <c r="BL2870">
        <v>0</v>
      </c>
      <c r="BO2870">
        <v>0</v>
      </c>
      <c r="BP2870">
        <v>0</v>
      </c>
      <c r="BW2870" t="str">
        <f t="shared" si="1347"/>
        <v>14:46:19.636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119</v>
      </c>
      <c r="CQ2870">
        <v>8</v>
      </c>
      <c r="CR2870">
        <v>3</v>
      </c>
      <c r="CW2870">
        <v>8966486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1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 t="shared" si="1344"/>
        <v>05/12/2020 14:46:01.793</v>
      </c>
      <c r="C2871" t="str">
        <f t="shared" si="1332"/>
        <v>FFDFD3C0</v>
      </c>
      <c r="D2871" t="s">
        <v>131</v>
      </c>
      <c r="E2871">
        <v>10</v>
      </c>
      <c r="F2871">
        <v>2010</v>
      </c>
      <c r="G2871" t="s">
        <v>132</v>
      </c>
      <c r="J2871" t="s">
        <v>133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1345"/>
        <v>14:46:19.633</v>
      </c>
      <c r="T2871" t="str">
        <f t="shared" si="1346"/>
        <v>14:46:19.533</v>
      </c>
      <c r="U2871" t="str">
        <f t="shared" si="1324"/>
        <v>A9808D</v>
      </c>
      <c r="V2871">
        <v>0</v>
      </c>
      <c r="W2871">
        <v>0</v>
      </c>
      <c r="X2871">
        <v>1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0</v>
      </c>
      <c r="AI2871" t="s">
        <v>705</v>
      </c>
      <c r="AJ2871">
        <v>28.247674</v>
      </c>
      <c r="AK2871" t="s">
        <v>706</v>
      </c>
      <c r="AL2871">
        <v>-82.301180000000002</v>
      </c>
      <c r="AM2871">
        <v>100</v>
      </c>
      <c r="AN2871">
        <v>2500</v>
      </c>
      <c r="AO2871" t="s">
        <v>118</v>
      </c>
      <c r="AP2871">
        <v>107</v>
      </c>
      <c r="AQ2871">
        <v>-10</v>
      </c>
      <c r="AR2871">
        <v>192</v>
      </c>
      <c r="AZ2871">
        <v>1200</v>
      </c>
      <c r="BA2871">
        <v>1</v>
      </c>
      <c r="BB2871" t="str">
        <f t="shared" si="1335"/>
        <v xml:space="preserve">N711JA  </v>
      </c>
      <c r="BC2871">
        <v>1</v>
      </c>
      <c r="BE2871">
        <v>0</v>
      </c>
      <c r="BF2871">
        <v>0</v>
      </c>
      <c r="BG2871">
        <v>0</v>
      </c>
      <c r="BH2871">
        <v>2575</v>
      </c>
      <c r="BI2871">
        <v>1</v>
      </c>
      <c r="BJ2871">
        <v>1</v>
      </c>
      <c r="BK2871">
        <v>0</v>
      </c>
      <c r="BL2871">
        <v>0</v>
      </c>
      <c r="BO2871">
        <v>0</v>
      </c>
      <c r="BP2871">
        <v>0</v>
      </c>
      <c r="BW2871" t="str">
        <f t="shared" si="1347"/>
        <v>14:46:19.636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8</v>
      </c>
      <c r="CR2871">
        <v>3</v>
      </c>
      <c r="CW2871">
        <v>8966486</v>
      </c>
      <c r="CY2871">
        <v>1</v>
      </c>
      <c r="CZ2871">
        <v>0</v>
      </c>
      <c r="DA2871">
        <v>1</v>
      </c>
      <c r="DB2871">
        <v>0</v>
      </c>
      <c r="DC2871">
        <v>0</v>
      </c>
      <c r="DD2871">
        <v>1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 t="shared" ref="A2872:A2880" si="1348">"05/12/2020 14:46:02.915"</f>
        <v>05/12/2020 14:46:02.915</v>
      </c>
      <c r="C2872" t="str">
        <f t="shared" si="1332"/>
        <v>FFDFD3C0</v>
      </c>
      <c r="D2872" t="s">
        <v>134</v>
      </c>
      <c r="E2872">
        <v>12</v>
      </c>
      <c r="H2872">
        <v>64</v>
      </c>
      <c r="I2872" t="s">
        <v>135</v>
      </c>
      <c r="J2872" t="s">
        <v>136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"14:46:20.711"</f>
        <v>14:46:20.711</v>
      </c>
      <c r="T2872" t="str">
        <f>"14:46:20.711"</f>
        <v>14:46:20.711</v>
      </c>
      <c r="U2872" t="str">
        <f t="shared" si="1324"/>
        <v>A9808D</v>
      </c>
      <c r="V2872">
        <v>0</v>
      </c>
      <c r="W2872">
        <v>0</v>
      </c>
      <c r="X2872">
        <v>1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0</v>
      </c>
      <c r="AI2872" t="s">
        <v>705</v>
      </c>
      <c r="AJ2872">
        <v>28.247674</v>
      </c>
      <c r="AK2872" t="s">
        <v>707</v>
      </c>
      <c r="AL2872">
        <v>-82.300579999999997</v>
      </c>
      <c r="AM2872">
        <v>100</v>
      </c>
      <c r="AN2872">
        <v>2500</v>
      </c>
      <c r="AO2872" t="s">
        <v>118</v>
      </c>
      <c r="AP2872">
        <v>107</v>
      </c>
      <c r="AQ2872">
        <v>-9</v>
      </c>
      <c r="AR2872">
        <v>192</v>
      </c>
      <c r="AZ2872">
        <v>1200</v>
      </c>
      <c r="BA2872">
        <v>1</v>
      </c>
      <c r="BB2872" t="str">
        <f t="shared" si="1335"/>
        <v xml:space="preserve">N711JA  </v>
      </c>
      <c r="BC2872">
        <v>1</v>
      </c>
      <c r="BE2872">
        <v>0</v>
      </c>
      <c r="BF2872">
        <v>0</v>
      </c>
      <c r="BG2872">
        <v>0</v>
      </c>
      <c r="BH2872">
        <v>2575</v>
      </c>
      <c r="BI2872">
        <v>1</v>
      </c>
      <c r="BJ2872">
        <v>1</v>
      </c>
      <c r="BK2872">
        <v>0</v>
      </c>
      <c r="BL2872">
        <v>0</v>
      </c>
      <c r="BO2872">
        <v>0</v>
      </c>
      <c r="BP2872">
        <v>0</v>
      </c>
      <c r="BW2872" t="str">
        <f t="shared" ref="BW2872:BW2880" si="1349">"14:46:20.716"</f>
        <v>14:46:20.716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6</v>
      </c>
      <c r="CP2872" t="s">
        <v>119</v>
      </c>
      <c r="CQ2872">
        <v>358</v>
      </c>
      <c r="CR2872">
        <v>0</v>
      </c>
      <c r="CW2872">
        <v>4903521</v>
      </c>
      <c r="CY2872">
        <v>1</v>
      </c>
      <c r="CZ2872">
        <v>0</v>
      </c>
      <c r="DA2872">
        <v>0</v>
      </c>
      <c r="DB2872">
        <v>0</v>
      </c>
      <c r="DC2872">
        <v>0</v>
      </c>
      <c r="DD2872">
        <v>1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 t="shared" si="1348"/>
        <v>05/12/2020 14:46:02.915</v>
      </c>
      <c r="C2873" t="str">
        <f t="shared" si="1332"/>
        <v>FFDFD3C0</v>
      </c>
      <c r="D2873" t="s">
        <v>131</v>
      </c>
      <c r="E2873">
        <v>12</v>
      </c>
      <c r="F2873">
        <v>2012</v>
      </c>
      <c r="G2873" t="s">
        <v>137</v>
      </c>
      <c r="J2873" t="s">
        <v>133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ref="S2873:S2880" si="1350">"14:46:20.711"</f>
        <v>14:46:20.711</v>
      </c>
      <c r="T2873" t="str">
        <f>"14:46:19.511"</f>
        <v>14:46:19.511</v>
      </c>
      <c r="U2873" t="str">
        <f t="shared" si="1324"/>
        <v>A9808D</v>
      </c>
      <c r="V2873">
        <v>0</v>
      </c>
      <c r="W2873">
        <v>0</v>
      </c>
      <c r="X2873">
        <v>1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0</v>
      </c>
      <c r="AI2873" t="s">
        <v>705</v>
      </c>
      <c r="AJ2873">
        <v>28.247674</v>
      </c>
      <c r="AK2873" t="s">
        <v>707</v>
      </c>
      <c r="AL2873">
        <v>-82.300579999999997</v>
      </c>
      <c r="AM2873">
        <v>100</v>
      </c>
      <c r="AN2873">
        <v>2500</v>
      </c>
      <c r="AO2873" t="s">
        <v>118</v>
      </c>
      <c r="AP2873">
        <v>107</v>
      </c>
      <c r="AQ2873">
        <v>-10</v>
      </c>
      <c r="AR2873">
        <v>192</v>
      </c>
      <c r="AZ2873">
        <v>1200</v>
      </c>
      <c r="BA2873">
        <v>1</v>
      </c>
      <c r="BB2873" t="str">
        <f t="shared" si="1335"/>
        <v xml:space="preserve">N711JA  </v>
      </c>
      <c r="BC2873">
        <v>1</v>
      </c>
      <c r="BE2873">
        <v>0</v>
      </c>
      <c r="BF2873">
        <v>0</v>
      </c>
      <c r="BG2873">
        <v>0</v>
      </c>
      <c r="BH2873">
        <v>2575</v>
      </c>
      <c r="BI2873">
        <v>1</v>
      </c>
      <c r="BJ2873">
        <v>1</v>
      </c>
      <c r="BK2873">
        <v>0</v>
      </c>
      <c r="BL2873">
        <v>0</v>
      </c>
      <c r="BO2873">
        <v>0</v>
      </c>
      <c r="BP2873">
        <v>0</v>
      </c>
      <c r="BW2873" t="str">
        <f t="shared" si="1349"/>
        <v>14:46:20.716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3</v>
      </c>
      <c r="CP2873" t="s">
        <v>119</v>
      </c>
      <c r="CQ2873">
        <v>11</v>
      </c>
      <c r="CR2873">
        <v>2</v>
      </c>
      <c r="CW2873">
        <v>15982543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1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 t="shared" si="1348"/>
        <v>05/12/2020 14:46:02.915</v>
      </c>
      <c r="C2874" t="str">
        <f t="shared" si="1332"/>
        <v>FFDFD3C0</v>
      </c>
      <c r="D2874" t="s">
        <v>131</v>
      </c>
      <c r="E2874">
        <v>18</v>
      </c>
      <c r="F2874">
        <v>2018</v>
      </c>
      <c r="G2874" t="s">
        <v>161</v>
      </c>
      <c r="J2874" t="s">
        <v>133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350"/>
        <v>14:46:20.711</v>
      </c>
      <c r="T2874" t="str">
        <f t="shared" ref="T2874:T2879" si="1351">"14:46:20.711"</f>
        <v>14:46:20.711</v>
      </c>
      <c r="U2874" t="str">
        <f t="shared" si="1324"/>
        <v>A9808D</v>
      </c>
      <c r="V2874">
        <v>0</v>
      </c>
      <c r="W2874">
        <v>0</v>
      </c>
      <c r="X2874">
        <v>1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0</v>
      </c>
      <c r="AI2874" t="s">
        <v>705</v>
      </c>
      <c r="AJ2874">
        <v>28.247674</v>
      </c>
      <c r="AK2874" t="s">
        <v>707</v>
      </c>
      <c r="AL2874">
        <v>-82.300579999999997</v>
      </c>
      <c r="AM2874">
        <v>100</v>
      </c>
      <c r="AN2874">
        <v>2500</v>
      </c>
      <c r="AO2874" t="s">
        <v>118</v>
      </c>
      <c r="AP2874">
        <v>107</v>
      </c>
      <c r="AQ2874">
        <v>-9</v>
      </c>
      <c r="AR2874">
        <v>192</v>
      </c>
      <c r="AZ2874">
        <v>1200</v>
      </c>
      <c r="BA2874">
        <v>1</v>
      </c>
      <c r="BB2874" t="str">
        <f t="shared" si="1335"/>
        <v xml:space="preserve">N711JA  </v>
      </c>
      <c r="BC2874">
        <v>1</v>
      </c>
      <c r="BE2874">
        <v>0</v>
      </c>
      <c r="BF2874">
        <v>0</v>
      </c>
      <c r="BG2874">
        <v>0</v>
      </c>
      <c r="BH2874">
        <v>2575</v>
      </c>
      <c r="BI2874">
        <v>1</v>
      </c>
      <c r="BJ2874">
        <v>1</v>
      </c>
      <c r="BK2874">
        <v>0</v>
      </c>
      <c r="BL2874">
        <v>0</v>
      </c>
      <c r="BO2874">
        <v>0</v>
      </c>
      <c r="BP2874">
        <v>0</v>
      </c>
      <c r="BW2874" t="str">
        <f t="shared" si="1349"/>
        <v>14:46:20.716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4</v>
      </c>
      <c r="CP2874" t="s">
        <v>119</v>
      </c>
      <c r="CQ2874">
        <v>62</v>
      </c>
      <c r="CR2874">
        <v>1</v>
      </c>
      <c r="CW2874">
        <v>12848965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1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 t="shared" si="1348"/>
        <v>05/12/2020 14:46:02.915</v>
      </c>
      <c r="C2875" t="str">
        <f t="shared" si="1332"/>
        <v>FFDFD3C0</v>
      </c>
      <c r="D2875" t="s">
        <v>138</v>
      </c>
      <c r="E2875">
        <v>3</v>
      </c>
      <c r="H2875">
        <v>9</v>
      </c>
      <c r="I2875" t="s">
        <v>140</v>
      </c>
      <c r="J2875" t="s">
        <v>136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350"/>
        <v>14:46:20.711</v>
      </c>
      <c r="T2875" t="str">
        <f t="shared" si="1351"/>
        <v>14:46:20.711</v>
      </c>
      <c r="U2875" t="str">
        <f t="shared" si="1324"/>
        <v>A9808D</v>
      </c>
      <c r="V2875">
        <v>0</v>
      </c>
      <c r="W2875">
        <v>0</v>
      </c>
      <c r="X2875">
        <v>1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0</v>
      </c>
      <c r="AI2875" t="s">
        <v>705</v>
      </c>
      <c r="AJ2875">
        <v>28.247674</v>
      </c>
      <c r="AK2875" t="s">
        <v>707</v>
      </c>
      <c r="AL2875">
        <v>-82.300579999999997</v>
      </c>
      <c r="AM2875">
        <v>100</v>
      </c>
      <c r="AN2875">
        <v>2500</v>
      </c>
      <c r="AO2875" t="s">
        <v>118</v>
      </c>
      <c r="AP2875">
        <v>107</v>
      </c>
      <c r="AQ2875">
        <v>-9</v>
      </c>
      <c r="AR2875">
        <v>192</v>
      </c>
      <c r="AZ2875">
        <v>1200</v>
      </c>
      <c r="BA2875">
        <v>1</v>
      </c>
      <c r="BB2875" t="str">
        <f t="shared" si="1335"/>
        <v xml:space="preserve">N711JA  </v>
      </c>
      <c r="BC2875">
        <v>1</v>
      </c>
      <c r="BE2875">
        <v>0</v>
      </c>
      <c r="BF2875">
        <v>0</v>
      </c>
      <c r="BG2875">
        <v>0</v>
      </c>
      <c r="BH2875">
        <v>2575</v>
      </c>
      <c r="BI2875">
        <v>1</v>
      </c>
      <c r="BJ2875">
        <v>1</v>
      </c>
      <c r="BK2875">
        <v>0</v>
      </c>
      <c r="BL2875">
        <v>0</v>
      </c>
      <c r="BO2875">
        <v>0</v>
      </c>
      <c r="BP2875">
        <v>0</v>
      </c>
      <c r="BW2875" t="str">
        <f t="shared" si="1349"/>
        <v>14:46:20.716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6</v>
      </c>
      <c r="CP2875" t="s">
        <v>119</v>
      </c>
      <c r="CQ2875">
        <v>358</v>
      </c>
      <c r="CR2875">
        <v>0</v>
      </c>
      <c r="CW2875">
        <v>4903521</v>
      </c>
      <c r="CY2875">
        <v>1</v>
      </c>
      <c r="CZ2875">
        <v>0</v>
      </c>
      <c r="DA2875">
        <v>1</v>
      </c>
      <c r="DB2875">
        <v>0</v>
      </c>
      <c r="DC2875">
        <v>0</v>
      </c>
      <c r="DD2875">
        <v>1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 t="shared" si="1348"/>
        <v>05/12/2020 14:46:02.915</v>
      </c>
      <c r="C2876" t="str">
        <f t="shared" si="1332"/>
        <v>FFDFD3C0</v>
      </c>
      <c r="D2876" t="s">
        <v>126</v>
      </c>
      <c r="E2876">
        <v>6</v>
      </c>
      <c r="F2876">
        <v>1006</v>
      </c>
      <c r="G2876" t="s">
        <v>114</v>
      </c>
      <c r="J2876" t="s">
        <v>128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350"/>
        <v>14:46:20.711</v>
      </c>
      <c r="T2876" t="str">
        <f t="shared" si="1351"/>
        <v>14:46:20.711</v>
      </c>
      <c r="U2876" t="str">
        <f t="shared" si="1324"/>
        <v>A9808D</v>
      </c>
      <c r="V2876">
        <v>0</v>
      </c>
      <c r="W2876">
        <v>0</v>
      </c>
      <c r="X2876">
        <v>1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0</v>
      </c>
      <c r="AI2876" t="s">
        <v>705</v>
      </c>
      <c r="AJ2876">
        <v>28.247674</v>
      </c>
      <c r="AK2876" t="s">
        <v>707</v>
      </c>
      <c r="AL2876">
        <v>-82.300579999999997</v>
      </c>
      <c r="AM2876">
        <v>100</v>
      </c>
      <c r="AN2876">
        <v>2500</v>
      </c>
      <c r="AO2876" t="s">
        <v>118</v>
      </c>
      <c r="AP2876">
        <v>107</v>
      </c>
      <c r="AQ2876">
        <v>-9</v>
      </c>
      <c r="AR2876">
        <v>192</v>
      </c>
      <c r="AZ2876">
        <v>1200</v>
      </c>
      <c r="BA2876">
        <v>1</v>
      </c>
      <c r="BB2876" t="str">
        <f t="shared" si="1335"/>
        <v xml:space="preserve">N711JA  </v>
      </c>
      <c r="BC2876">
        <v>1</v>
      </c>
      <c r="BE2876">
        <v>0</v>
      </c>
      <c r="BF2876">
        <v>0</v>
      </c>
      <c r="BG2876">
        <v>0</v>
      </c>
      <c r="BH2876">
        <v>2575</v>
      </c>
      <c r="BI2876">
        <v>1</v>
      </c>
      <c r="BJ2876">
        <v>1</v>
      </c>
      <c r="BK2876">
        <v>0</v>
      </c>
      <c r="BL2876">
        <v>0</v>
      </c>
      <c r="BO2876">
        <v>0</v>
      </c>
      <c r="BP2876">
        <v>0</v>
      </c>
      <c r="BW2876" t="str">
        <f t="shared" si="1349"/>
        <v>14:46:20.716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6</v>
      </c>
      <c r="CP2876" t="s">
        <v>119</v>
      </c>
      <c r="CQ2876">
        <v>358</v>
      </c>
      <c r="CR2876">
        <v>0</v>
      </c>
      <c r="CW2876">
        <v>4903521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1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 t="shared" si="1348"/>
        <v>05/12/2020 14:46:02.915</v>
      </c>
      <c r="C2877" t="str">
        <f t="shared" si="1332"/>
        <v>FFDFD3C0</v>
      </c>
      <c r="D2877" t="s">
        <v>113</v>
      </c>
      <c r="E2877">
        <v>3</v>
      </c>
      <c r="H2877">
        <v>164</v>
      </c>
      <c r="I2877" t="s">
        <v>114</v>
      </c>
      <c r="J2877" t="s">
        <v>115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350"/>
        <v>14:46:20.711</v>
      </c>
      <c r="T2877" t="str">
        <f t="shared" si="1351"/>
        <v>14:46:20.711</v>
      </c>
      <c r="U2877" t="str">
        <f t="shared" si="1324"/>
        <v>A9808D</v>
      </c>
      <c r="V2877">
        <v>0</v>
      </c>
      <c r="W2877">
        <v>0</v>
      </c>
      <c r="X2877">
        <v>1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0</v>
      </c>
      <c r="AI2877" t="s">
        <v>705</v>
      </c>
      <c r="AJ2877">
        <v>28.247674</v>
      </c>
      <c r="AK2877" t="s">
        <v>707</v>
      </c>
      <c r="AL2877">
        <v>-82.300579999999997</v>
      </c>
      <c r="AM2877">
        <v>100</v>
      </c>
      <c r="AN2877">
        <v>2500</v>
      </c>
      <c r="AO2877" t="s">
        <v>118</v>
      </c>
      <c r="AP2877">
        <v>107</v>
      </c>
      <c r="AQ2877">
        <v>-9</v>
      </c>
      <c r="AR2877">
        <v>192</v>
      </c>
      <c r="AZ2877">
        <v>1200</v>
      </c>
      <c r="BA2877">
        <v>1</v>
      </c>
      <c r="BB2877" t="str">
        <f t="shared" si="1335"/>
        <v xml:space="preserve">N711JA  </v>
      </c>
      <c r="BC2877">
        <v>1</v>
      </c>
      <c r="BE2877">
        <v>0</v>
      </c>
      <c r="BF2877">
        <v>0</v>
      </c>
      <c r="BG2877">
        <v>0</v>
      </c>
      <c r="BH2877">
        <v>2575</v>
      </c>
      <c r="BI2877">
        <v>1</v>
      </c>
      <c r="BJ2877">
        <v>1</v>
      </c>
      <c r="BK2877">
        <v>0</v>
      </c>
      <c r="BL2877">
        <v>0</v>
      </c>
      <c r="BO2877">
        <v>0</v>
      </c>
      <c r="BP2877">
        <v>0</v>
      </c>
      <c r="BW2877" t="str">
        <f t="shared" si="1349"/>
        <v>14:46:20.716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5</v>
      </c>
      <c r="CP2877" t="s">
        <v>119</v>
      </c>
      <c r="CQ2877">
        <v>9</v>
      </c>
      <c r="CR2877">
        <v>0</v>
      </c>
      <c r="CW2877">
        <v>12744764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1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 t="shared" si="1348"/>
        <v>05/12/2020 14:46:02.915</v>
      </c>
      <c r="C2878" t="str">
        <f t="shared" si="1332"/>
        <v>FFDFD3C0</v>
      </c>
      <c r="D2878" t="s">
        <v>126</v>
      </c>
      <c r="E2878">
        <v>7</v>
      </c>
      <c r="F2878">
        <v>1007</v>
      </c>
      <c r="G2878" t="s">
        <v>127</v>
      </c>
      <c r="J2878" t="s">
        <v>128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350"/>
        <v>14:46:20.711</v>
      </c>
      <c r="T2878" t="str">
        <f t="shared" si="1351"/>
        <v>14:46:20.711</v>
      </c>
      <c r="U2878" t="str">
        <f t="shared" si="1324"/>
        <v>A9808D</v>
      </c>
      <c r="V2878">
        <v>0</v>
      </c>
      <c r="W2878">
        <v>0</v>
      </c>
      <c r="X2878">
        <v>1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0</v>
      </c>
      <c r="AI2878" t="s">
        <v>705</v>
      </c>
      <c r="AJ2878">
        <v>28.247674</v>
      </c>
      <c r="AK2878" t="s">
        <v>707</v>
      </c>
      <c r="AL2878">
        <v>-82.300579999999997</v>
      </c>
      <c r="AM2878">
        <v>100</v>
      </c>
      <c r="AN2878">
        <v>2500</v>
      </c>
      <c r="AO2878" t="s">
        <v>118</v>
      </c>
      <c r="AP2878">
        <v>107</v>
      </c>
      <c r="AQ2878">
        <v>-9</v>
      </c>
      <c r="AR2878">
        <v>192</v>
      </c>
      <c r="AZ2878">
        <v>1200</v>
      </c>
      <c r="BA2878">
        <v>1</v>
      </c>
      <c r="BB2878" t="str">
        <f t="shared" si="1335"/>
        <v xml:space="preserve">N711JA  </v>
      </c>
      <c r="BC2878">
        <v>1</v>
      </c>
      <c r="BE2878">
        <v>0</v>
      </c>
      <c r="BF2878">
        <v>0</v>
      </c>
      <c r="BG2878">
        <v>0</v>
      </c>
      <c r="BH2878">
        <v>2575</v>
      </c>
      <c r="BI2878">
        <v>1</v>
      </c>
      <c r="BJ2878">
        <v>1</v>
      </c>
      <c r="BK2878">
        <v>0</v>
      </c>
      <c r="BL2878">
        <v>0</v>
      </c>
      <c r="BO2878">
        <v>0</v>
      </c>
      <c r="BP2878">
        <v>0</v>
      </c>
      <c r="BW2878" t="str">
        <f t="shared" si="1349"/>
        <v>14:46:20.716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6</v>
      </c>
      <c r="CP2878" t="s">
        <v>119</v>
      </c>
      <c r="CQ2878">
        <v>358</v>
      </c>
      <c r="CR2878">
        <v>0</v>
      </c>
      <c r="CW2878">
        <v>4903521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1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 t="shared" si="1348"/>
        <v>05/12/2020 14:46:02.915</v>
      </c>
      <c r="C2879" t="str">
        <f t="shared" si="1332"/>
        <v>FFDFD3C0</v>
      </c>
      <c r="D2879" t="s">
        <v>131</v>
      </c>
      <c r="E2879">
        <v>10</v>
      </c>
      <c r="F2879">
        <v>2010</v>
      </c>
      <c r="G2879" t="s">
        <v>132</v>
      </c>
      <c r="J2879" t="s">
        <v>133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350"/>
        <v>14:46:20.711</v>
      </c>
      <c r="T2879" t="str">
        <f t="shared" si="1351"/>
        <v>14:46:20.711</v>
      </c>
      <c r="U2879" t="str">
        <f t="shared" si="1324"/>
        <v>A9808D</v>
      </c>
      <c r="V2879">
        <v>0</v>
      </c>
      <c r="W2879">
        <v>0</v>
      </c>
      <c r="X2879">
        <v>1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0</v>
      </c>
      <c r="AI2879" t="s">
        <v>705</v>
      </c>
      <c r="AJ2879">
        <v>28.247674</v>
      </c>
      <c r="AK2879" t="s">
        <v>707</v>
      </c>
      <c r="AL2879">
        <v>-82.300579999999997</v>
      </c>
      <c r="AM2879">
        <v>100</v>
      </c>
      <c r="AN2879">
        <v>2500</v>
      </c>
      <c r="AO2879" t="s">
        <v>118</v>
      </c>
      <c r="AP2879">
        <v>107</v>
      </c>
      <c r="AQ2879">
        <v>-9</v>
      </c>
      <c r="AR2879">
        <v>192</v>
      </c>
      <c r="AZ2879">
        <v>1200</v>
      </c>
      <c r="BA2879">
        <v>1</v>
      </c>
      <c r="BB2879" t="str">
        <f t="shared" si="1335"/>
        <v xml:space="preserve">N711JA  </v>
      </c>
      <c r="BC2879">
        <v>1</v>
      </c>
      <c r="BE2879">
        <v>0</v>
      </c>
      <c r="BF2879">
        <v>0</v>
      </c>
      <c r="BG2879">
        <v>0</v>
      </c>
      <c r="BH2879">
        <v>2575</v>
      </c>
      <c r="BI2879">
        <v>1</v>
      </c>
      <c r="BJ2879">
        <v>1</v>
      </c>
      <c r="BK2879">
        <v>0</v>
      </c>
      <c r="BL2879">
        <v>0</v>
      </c>
      <c r="BO2879">
        <v>0</v>
      </c>
      <c r="BP2879">
        <v>0</v>
      </c>
      <c r="BW2879" t="str">
        <f t="shared" si="1349"/>
        <v>14:46:20.716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6</v>
      </c>
      <c r="CP2879" t="s">
        <v>119</v>
      </c>
      <c r="CQ2879">
        <v>358</v>
      </c>
      <c r="CR2879">
        <v>0</v>
      </c>
      <c r="CW2879">
        <v>4903521</v>
      </c>
      <c r="CY2879">
        <v>1</v>
      </c>
      <c r="CZ2879">
        <v>0</v>
      </c>
      <c r="DA2879">
        <v>1</v>
      </c>
      <c r="DB2879">
        <v>0</v>
      </c>
      <c r="DC2879">
        <v>0</v>
      </c>
      <c r="DD2879">
        <v>1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 t="shared" si="1348"/>
        <v>05/12/2020 14:46:02.915</v>
      </c>
      <c r="C2880" t="str">
        <f t="shared" si="1332"/>
        <v>FFDFD3C0</v>
      </c>
      <c r="D2880" t="s">
        <v>138</v>
      </c>
      <c r="E2880">
        <v>2</v>
      </c>
      <c r="H2880">
        <v>8</v>
      </c>
      <c r="I2880" t="s">
        <v>139</v>
      </c>
      <c r="J2880" t="s">
        <v>136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350"/>
        <v>14:46:20.711</v>
      </c>
      <c r="T2880" t="str">
        <f>"14:46:19.511"</f>
        <v>14:46:19.511</v>
      </c>
      <c r="U2880" t="str">
        <f t="shared" si="1324"/>
        <v>A9808D</v>
      </c>
      <c r="V2880">
        <v>0</v>
      </c>
      <c r="W2880">
        <v>0</v>
      </c>
      <c r="X2880">
        <v>1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0</v>
      </c>
      <c r="AI2880" t="s">
        <v>705</v>
      </c>
      <c r="AJ2880">
        <v>28.247674</v>
      </c>
      <c r="AK2880" t="s">
        <v>707</v>
      </c>
      <c r="AL2880">
        <v>-82.300579999999997</v>
      </c>
      <c r="AM2880">
        <v>100</v>
      </c>
      <c r="AN2880">
        <v>2500</v>
      </c>
      <c r="AO2880" t="s">
        <v>118</v>
      </c>
      <c r="AP2880">
        <v>107</v>
      </c>
      <c r="AQ2880">
        <v>-10</v>
      </c>
      <c r="AR2880">
        <v>192</v>
      </c>
      <c r="AZ2880">
        <v>1200</v>
      </c>
      <c r="BA2880">
        <v>1</v>
      </c>
      <c r="BB2880" t="str">
        <f t="shared" si="1335"/>
        <v xml:space="preserve">N711JA  </v>
      </c>
      <c r="BC2880">
        <v>1</v>
      </c>
      <c r="BE2880">
        <v>0</v>
      </c>
      <c r="BF2880">
        <v>0</v>
      </c>
      <c r="BG2880">
        <v>0</v>
      </c>
      <c r="BH2880">
        <v>2575</v>
      </c>
      <c r="BI2880">
        <v>1</v>
      </c>
      <c r="BJ2880">
        <v>1</v>
      </c>
      <c r="BK2880">
        <v>0</v>
      </c>
      <c r="BL2880">
        <v>0</v>
      </c>
      <c r="BO2880">
        <v>0</v>
      </c>
      <c r="BP2880">
        <v>0</v>
      </c>
      <c r="BW2880" t="str">
        <f t="shared" si="1349"/>
        <v>14:46:20.716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3</v>
      </c>
      <c r="CP2880" t="s">
        <v>119</v>
      </c>
      <c r="CQ2880">
        <v>11</v>
      </c>
      <c r="CR2880">
        <v>2</v>
      </c>
      <c r="CW2880">
        <v>15982543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1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 t="shared" ref="A2881:A2889" si="1352">"05/12/2020 14:46:03.896"</f>
        <v>05/12/2020 14:46:03.896</v>
      </c>
      <c r="C2881" t="str">
        <f t="shared" si="1332"/>
        <v>FFDFD3C0</v>
      </c>
      <c r="D2881" t="s">
        <v>126</v>
      </c>
      <c r="E2881">
        <v>7</v>
      </c>
      <c r="F2881">
        <v>1007</v>
      </c>
      <c r="G2881" t="s">
        <v>127</v>
      </c>
      <c r="J2881" t="s">
        <v>128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ref="S2881:T2889" si="1353">"14:46:21.727"</f>
        <v>14:46:21.727</v>
      </c>
      <c r="T2881" t="str">
        <f t="shared" si="1353"/>
        <v>14:46:21.727</v>
      </c>
      <c r="U2881" t="str">
        <f t="shared" si="1324"/>
        <v>A9808D</v>
      </c>
      <c r="V2881">
        <v>0</v>
      </c>
      <c r="W2881">
        <v>0</v>
      </c>
      <c r="X2881">
        <v>1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0</v>
      </c>
      <c r="AI2881" t="s">
        <v>708</v>
      </c>
      <c r="AJ2881">
        <v>28.247609000000001</v>
      </c>
      <c r="AK2881" t="s">
        <v>709</v>
      </c>
      <c r="AL2881">
        <v>-82.300043000000002</v>
      </c>
      <c r="AM2881">
        <v>100</v>
      </c>
      <c r="AN2881">
        <v>2500</v>
      </c>
      <c r="AO2881" t="s">
        <v>118</v>
      </c>
      <c r="AP2881">
        <v>107</v>
      </c>
      <c r="AQ2881">
        <v>-9</v>
      </c>
      <c r="AR2881">
        <v>192</v>
      </c>
      <c r="AZ2881">
        <v>1200</v>
      </c>
      <c r="BA2881">
        <v>1</v>
      </c>
      <c r="BB2881" t="str">
        <f t="shared" si="1335"/>
        <v xml:space="preserve">N711JA  </v>
      </c>
      <c r="BC2881">
        <v>1</v>
      </c>
      <c r="BE2881">
        <v>0</v>
      </c>
      <c r="BF2881">
        <v>0</v>
      </c>
      <c r="BG2881">
        <v>0</v>
      </c>
      <c r="BH2881">
        <v>2600</v>
      </c>
      <c r="BI2881">
        <v>1</v>
      </c>
      <c r="BJ2881">
        <v>1</v>
      </c>
      <c r="BK2881">
        <v>0</v>
      </c>
      <c r="BL2881">
        <v>0</v>
      </c>
      <c r="BO2881">
        <v>0</v>
      </c>
      <c r="BP2881">
        <v>0</v>
      </c>
      <c r="BW2881" t="str">
        <f t="shared" ref="BW2881:BW2889" si="1354">"14:46:21.728"</f>
        <v>14:46:21.728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6</v>
      </c>
      <c r="CP2881" t="s">
        <v>119</v>
      </c>
      <c r="CQ2881">
        <v>358</v>
      </c>
      <c r="CR2881">
        <v>0</v>
      </c>
      <c r="CW2881">
        <v>4904800</v>
      </c>
      <c r="CY2881">
        <v>1</v>
      </c>
      <c r="CZ2881">
        <v>0</v>
      </c>
      <c r="DA2881">
        <v>0</v>
      </c>
      <c r="DB2881">
        <v>0</v>
      </c>
      <c r="DC2881">
        <v>0</v>
      </c>
      <c r="DD2881">
        <v>1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 t="shared" si="1352"/>
        <v>05/12/2020 14:46:03.896</v>
      </c>
      <c r="C2882" t="str">
        <f t="shared" si="1332"/>
        <v>FFDFD3C0</v>
      </c>
      <c r="D2882" t="s">
        <v>131</v>
      </c>
      <c r="E2882">
        <v>10</v>
      </c>
      <c r="F2882">
        <v>2010</v>
      </c>
      <c r="G2882" t="s">
        <v>132</v>
      </c>
      <c r="J2882" t="s">
        <v>133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353"/>
        <v>14:46:21.727</v>
      </c>
      <c r="T2882" t="str">
        <f t="shared" si="1353"/>
        <v>14:46:21.727</v>
      </c>
      <c r="U2882" t="str">
        <f t="shared" ref="U2882:U2945" si="1355">"A9808D"</f>
        <v>A9808D</v>
      </c>
      <c r="V2882">
        <v>0</v>
      </c>
      <c r="W2882">
        <v>0</v>
      </c>
      <c r="X2882">
        <v>1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0</v>
      </c>
      <c r="AI2882" t="s">
        <v>708</v>
      </c>
      <c r="AJ2882">
        <v>28.247609000000001</v>
      </c>
      <c r="AK2882" t="s">
        <v>709</v>
      </c>
      <c r="AL2882">
        <v>-82.300043000000002</v>
      </c>
      <c r="AM2882">
        <v>100</v>
      </c>
      <c r="AN2882">
        <v>2500</v>
      </c>
      <c r="AO2882" t="s">
        <v>118</v>
      </c>
      <c r="AP2882">
        <v>107</v>
      </c>
      <c r="AQ2882">
        <v>-9</v>
      </c>
      <c r="AR2882">
        <v>192</v>
      </c>
      <c r="AZ2882">
        <v>1200</v>
      </c>
      <c r="BA2882">
        <v>1</v>
      </c>
      <c r="BB2882" t="str">
        <f t="shared" si="1335"/>
        <v xml:space="preserve">N711JA  </v>
      </c>
      <c r="BC2882">
        <v>1</v>
      </c>
      <c r="BE2882">
        <v>0</v>
      </c>
      <c r="BF2882">
        <v>0</v>
      </c>
      <c r="BG2882">
        <v>0</v>
      </c>
      <c r="BH2882">
        <v>2600</v>
      </c>
      <c r="BI2882">
        <v>1</v>
      </c>
      <c r="BJ2882">
        <v>1</v>
      </c>
      <c r="BK2882">
        <v>0</v>
      </c>
      <c r="BL2882">
        <v>0</v>
      </c>
      <c r="BO2882">
        <v>0</v>
      </c>
      <c r="BP2882">
        <v>0</v>
      </c>
      <c r="BW2882" t="str">
        <f t="shared" si="1354"/>
        <v>14:46:21.728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6</v>
      </c>
      <c r="CP2882" t="s">
        <v>119</v>
      </c>
      <c r="CQ2882">
        <v>358</v>
      </c>
      <c r="CR2882">
        <v>0</v>
      </c>
      <c r="CW2882">
        <v>4904800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1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 t="shared" si="1352"/>
        <v>05/12/2020 14:46:03.896</v>
      </c>
      <c r="C2883" t="str">
        <f t="shared" si="1332"/>
        <v>FFDFD3C0</v>
      </c>
      <c r="D2883" t="s">
        <v>113</v>
      </c>
      <c r="E2883">
        <v>3</v>
      </c>
      <c r="H2883">
        <v>164</v>
      </c>
      <c r="I2883" t="s">
        <v>114</v>
      </c>
      <c r="J2883" t="s">
        <v>115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353"/>
        <v>14:46:21.727</v>
      </c>
      <c r="T2883" t="str">
        <f t="shared" si="1353"/>
        <v>14:46:21.727</v>
      </c>
      <c r="U2883" t="str">
        <f t="shared" si="1355"/>
        <v>A9808D</v>
      </c>
      <c r="V2883">
        <v>0</v>
      </c>
      <c r="W2883">
        <v>0</v>
      </c>
      <c r="X2883">
        <v>1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0</v>
      </c>
      <c r="AI2883" t="s">
        <v>708</v>
      </c>
      <c r="AJ2883">
        <v>28.247609000000001</v>
      </c>
      <c r="AK2883" t="s">
        <v>709</v>
      </c>
      <c r="AL2883">
        <v>-82.300043000000002</v>
      </c>
      <c r="AM2883">
        <v>100</v>
      </c>
      <c r="AN2883">
        <v>2500</v>
      </c>
      <c r="AO2883" t="s">
        <v>118</v>
      </c>
      <c r="AP2883">
        <v>107</v>
      </c>
      <c r="AQ2883">
        <v>-9</v>
      </c>
      <c r="AR2883">
        <v>192</v>
      </c>
      <c r="AZ2883">
        <v>1200</v>
      </c>
      <c r="BA2883">
        <v>1</v>
      </c>
      <c r="BB2883" t="str">
        <f t="shared" si="1335"/>
        <v xml:space="preserve">N711JA  </v>
      </c>
      <c r="BC2883">
        <v>1</v>
      </c>
      <c r="BE2883">
        <v>0</v>
      </c>
      <c r="BF2883">
        <v>0</v>
      </c>
      <c r="BG2883">
        <v>0</v>
      </c>
      <c r="BH2883">
        <v>2600</v>
      </c>
      <c r="BI2883">
        <v>1</v>
      </c>
      <c r="BJ2883">
        <v>1</v>
      </c>
      <c r="BK2883">
        <v>0</v>
      </c>
      <c r="BL2883">
        <v>0</v>
      </c>
      <c r="BO2883">
        <v>0</v>
      </c>
      <c r="BP2883">
        <v>0</v>
      </c>
      <c r="BW2883" t="str">
        <f t="shared" si="1354"/>
        <v>14:46:21.728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5</v>
      </c>
      <c r="CP2883" t="s">
        <v>119</v>
      </c>
      <c r="CQ2883">
        <v>9</v>
      </c>
      <c r="CR2883">
        <v>0</v>
      </c>
      <c r="CW2883">
        <v>12746155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1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 t="shared" si="1352"/>
        <v>05/12/2020 14:46:03.896</v>
      </c>
      <c r="C2884" t="str">
        <f t="shared" si="1332"/>
        <v>FFDFD3C0</v>
      </c>
      <c r="D2884" t="s">
        <v>131</v>
      </c>
      <c r="E2884">
        <v>12</v>
      </c>
      <c r="F2884">
        <v>2012</v>
      </c>
      <c r="G2884" t="s">
        <v>137</v>
      </c>
      <c r="J2884" t="s">
        <v>133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353"/>
        <v>14:46:21.727</v>
      </c>
      <c r="T2884" t="str">
        <f t="shared" si="1353"/>
        <v>14:46:21.727</v>
      </c>
      <c r="U2884" t="str">
        <f t="shared" si="1355"/>
        <v>A9808D</v>
      </c>
      <c r="V2884">
        <v>0</v>
      </c>
      <c r="W2884">
        <v>0</v>
      </c>
      <c r="X2884">
        <v>1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0</v>
      </c>
      <c r="AI2884" t="s">
        <v>708</v>
      </c>
      <c r="AJ2884">
        <v>28.247609000000001</v>
      </c>
      <c r="AK2884" t="s">
        <v>709</v>
      </c>
      <c r="AL2884">
        <v>-82.300043000000002</v>
      </c>
      <c r="AM2884">
        <v>100</v>
      </c>
      <c r="AN2884">
        <v>2500</v>
      </c>
      <c r="AO2884" t="s">
        <v>118</v>
      </c>
      <c r="AP2884">
        <v>107</v>
      </c>
      <c r="AQ2884">
        <v>-9</v>
      </c>
      <c r="AR2884">
        <v>192</v>
      </c>
      <c r="AZ2884">
        <v>1200</v>
      </c>
      <c r="BA2884">
        <v>1</v>
      </c>
      <c r="BB2884" t="str">
        <f t="shared" si="1335"/>
        <v xml:space="preserve">N711JA  </v>
      </c>
      <c r="BC2884">
        <v>1</v>
      </c>
      <c r="BE2884">
        <v>0</v>
      </c>
      <c r="BF2884">
        <v>0</v>
      </c>
      <c r="BG2884">
        <v>0</v>
      </c>
      <c r="BH2884">
        <v>2600</v>
      </c>
      <c r="BI2884">
        <v>1</v>
      </c>
      <c r="BJ2884">
        <v>1</v>
      </c>
      <c r="BK2884">
        <v>0</v>
      </c>
      <c r="BL2884">
        <v>0</v>
      </c>
      <c r="BO2884">
        <v>0</v>
      </c>
      <c r="BP2884">
        <v>0</v>
      </c>
      <c r="BW2884" t="str">
        <f t="shared" si="1354"/>
        <v>14:46:21.728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2</v>
      </c>
      <c r="CP2884" t="s">
        <v>675</v>
      </c>
      <c r="CQ2884">
        <v>363</v>
      </c>
      <c r="CR2884">
        <v>0</v>
      </c>
      <c r="CW2884">
        <v>6426040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1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 t="shared" si="1352"/>
        <v>05/12/2020 14:46:03.896</v>
      </c>
      <c r="C2885" t="str">
        <f t="shared" si="1332"/>
        <v>FFDFD3C0</v>
      </c>
      <c r="D2885" t="s">
        <v>138</v>
      </c>
      <c r="E2885">
        <v>2</v>
      </c>
      <c r="H2885">
        <v>8</v>
      </c>
      <c r="I2885" t="s">
        <v>139</v>
      </c>
      <c r="J2885" t="s">
        <v>136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353"/>
        <v>14:46:21.727</v>
      </c>
      <c r="T2885" t="str">
        <f t="shared" si="1353"/>
        <v>14:46:21.727</v>
      </c>
      <c r="U2885" t="str">
        <f t="shared" si="1355"/>
        <v>A9808D</v>
      </c>
      <c r="V2885">
        <v>0</v>
      </c>
      <c r="W2885">
        <v>0</v>
      </c>
      <c r="X2885">
        <v>1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0</v>
      </c>
      <c r="AI2885" t="s">
        <v>708</v>
      </c>
      <c r="AJ2885">
        <v>28.247609000000001</v>
      </c>
      <c r="AK2885" t="s">
        <v>709</v>
      </c>
      <c r="AL2885">
        <v>-82.300043000000002</v>
      </c>
      <c r="AM2885">
        <v>100</v>
      </c>
      <c r="AN2885">
        <v>2500</v>
      </c>
      <c r="AO2885" t="s">
        <v>118</v>
      </c>
      <c r="AP2885">
        <v>107</v>
      </c>
      <c r="AQ2885">
        <v>-9</v>
      </c>
      <c r="AR2885">
        <v>192</v>
      </c>
      <c r="AZ2885">
        <v>1200</v>
      </c>
      <c r="BA2885">
        <v>1</v>
      </c>
      <c r="BB2885" t="str">
        <f t="shared" si="1335"/>
        <v xml:space="preserve">N711JA  </v>
      </c>
      <c r="BC2885">
        <v>1</v>
      </c>
      <c r="BE2885">
        <v>0</v>
      </c>
      <c r="BF2885">
        <v>0</v>
      </c>
      <c r="BG2885">
        <v>0</v>
      </c>
      <c r="BH2885">
        <v>2600</v>
      </c>
      <c r="BI2885">
        <v>1</v>
      </c>
      <c r="BJ2885">
        <v>1</v>
      </c>
      <c r="BK2885">
        <v>0</v>
      </c>
      <c r="BL2885">
        <v>0</v>
      </c>
      <c r="BO2885">
        <v>0</v>
      </c>
      <c r="BP2885">
        <v>0</v>
      </c>
      <c r="BW2885" t="str">
        <f t="shared" si="1354"/>
        <v>14:46:21.728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2</v>
      </c>
      <c r="CP2885" t="s">
        <v>675</v>
      </c>
      <c r="CQ2885">
        <v>363</v>
      </c>
      <c r="CR2885">
        <v>0</v>
      </c>
      <c r="CW2885">
        <v>6426040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1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 t="shared" si="1352"/>
        <v>05/12/2020 14:46:03.896</v>
      </c>
      <c r="C2886" t="str">
        <f t="shared" si="1332"/>
        <v>FFDFD3C0</v>
      </c>
      <c r="D2886" t="s">
        <v>131</v>
      </c>
      <c r="E2886">
        <v>18</v>
      </c>
      <c r="F2886">
        <v>2018</v>
      </c>
      <c r="G2886" t="s">
        <v>161</v>
      </c>
      <c r="J2886" t="s">
        <v>133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353"/>
        <v>14:46:21.727</v>
      </c>
      <c r="T2886" t="str">
        <f t="shared" si="1353"/>
        <v>14:46:21.727</v>
      </c>
      <c r="U2886" t="str">
        <f t="shared" si="1355"/>
        <v>A9808D</v>
      </c>
      <c r="V2886">
        <v>0</v>
      </c>
      <c r="W2886">
        <v>0</v>
      </c>
      <c r="X2886">
        <v>1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0</v>
      </c>
      <c r="AI2886" t="s">
        <v>708</v>
      </c>
      <c r="AJ2886">
        <v>28.247609000000001</v>
      </c>
      <c r="AK2886" t="s">
        <v>709</v>
      </c>
      <c r="AL2886">
        <v>-82.300043000000002</v>
      </c>
      <c r="AM2886">
        <v>100</v>
      </c>
      <c r="AN2886">
        <v>2500</v>
      </c>
      <c r="AO2886" t="s">
        <v>118</v>
      </c>
      <c r="AP2886">
        <v>107</v>
      </c>
      <c r="AQ2886">
        <v>-9</v>
      </c>
      <c r="AR2886">
        <v>192</v>
      </c>
      <c r="AZ2886">
        <v>1200</v>
      </c>
      <c r="BA2886">
        <v>1</v>
      </c>
      <c r="BB2886" t="str">
        <f t="shared" si="1335"/>
        <v xml:space="preserve">N711JA  </v>
      </c>
      <c r="BC2886">
        <v>1</v>
      </c>
      <c r="BE2886">
        <v>0</v>
      </c>
      <c r="BF2886">
        <v>0</v>
      </c>
      <c r="BG2886">
        <v>0</v>
      </c>
      <c r="BH2886">
        <v>2600</v>
      </c>
      <c r="BI2886">
        <v>1</v>
      </c>
      <c r="BJ2886">
        <v>1</v>
      </c>
      <c r="BK2886">
        <v>0</v>
      </c>
      <c r="BL2886">
        <v>0</v>
      </c>
      <c r="BO2886">
        <v>0</v>
      </c>
      <c r="BP2886">
        <v>0</v>
      </c>
      <c r="BW2886" t="str">
        <f t="shared" si="1354"/>
        <v>14:46:21.728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5</v>
      </c>
      <c r="CP2886" t="s">
        <v>119</v>
      </c>
      <c r="CQ2886">
        <v>62</v>
      </c>
      <c r="CR2886">
        <v>1</v>
      </c>
      <c r="CW2886">
        <v>12850109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1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 t="shared" si="1352"/>
        <v>05/12/2020 14:46:03.896</v>
      </c>
      <c r="C2887" t="str">
        <f t="shared" si="1332"/>
        <v>FFDFD3C0</v>
      </c>
      <c r="D2887" t="s">
        <v>126</v>
      </c>
      <c r="E2887">
        <v>6</v>
      </c>
      <c r="F2887">
        <v>1006</v>
      </c>
      <c r="G2887" t="s">
        <v>114</v>
      </c>
      <c r="J2887" t="s">
        <v>128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353"/>
        <v>14:46:21.727</v>
      </c>
      <c r="T2887" t="str">
        <f t="shared" si="1353"/>
        <v>14:46:21.727</v>
      </c>
      <c r="U2887" t="str">
        <f t="shared" si="1355"/>
        <v>A9808D</v>
      </c>
      <c r="V2887">
        <v>0</v>
      </c>
      <c r="W2887">
        <v>0</v>
      </c>
      <c r="X2887">
        <v>1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0</v>
      </c>
      <c r="AI2887" t="s">
        <v>708</v>
      </c>
      <c r="AJ2887">
        <v>28.247609000000001</v>
      </c>
      <c r="AK2887" t="s">
        <v>709</v>
      </c>
      <c r="AL2887">
        <v>-82.300043000000002</v>
      </c>
      <c r="AM2887">
        <v>100</v>
      </c>
      <c r="AN2887">
        <v>2500</v>
      </c>
      <c r="AO2887" t="s">
        <v>118</v>
      </c>
      <c r="AP2887">
        <v>107</v>
      </c>
      <c r="AQ2887">
        <v>-9</v>
      </c>
      <c r="AR2887">
        <v>192</v>
      </c>
      <c r="AZ2887">
        <v>1200</v>
      </c>
      <c r="BA2887">
        <v>1</v>
      </c>
      <c r="BB2887" t="str">
        <f t="shared" si="1335"/>
        <v xml:space="preserve">N711JA  </v>
      </c>
      <c r="BC2887">
        <v>1</v>
      </c>
      <c r="BE2887">
        <v>0</v>
      </c>
      <c r="BF2887">
        <v>0</v>
      </c>
      <c r="BG2887">
        <v>0</v>
      </c>
      <c r="BH2887">
        <v>2600</v>
      </c>
      <c r="BI2887">
        <v>1</v>
      </c>
      <c r="BJ2887">
        <v>1</v>
      </c>
      <c r="BK2887">
        <v>0</v>
      </c>
      <c r="BL2887">
        <v>0</v>
      </c>
      <c r="BO2887">
        <v>0</v>
      </c>
      <c r="BP2887">
        <v>0</v>
      </c>
      <c r="BW2887" t="str">
        <f t="shared" si="1354"/>
        <v>14:46:21.728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6</v>
      </c>
      <c r="CP2887" t="s">
        <v>119</v>
      </c>
      <c r="CQ2887">
        <v>358</v>
      </c>
      <c r="CR2887">
        <v>0</v>
      </c>
      <c r="CW2887">
        <v>4904800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1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 t="shared" si="1352"/>
        <v>05/12/2020 14:46:03.896</v>
      </c>
      <c r="C2888" t="str">
        <f t="shared" si="1332"/>
        <v>FFDFD3C0</v>
      </c>
      <c r="D2888" t="s">
        <v>134</v>
      </c>
      <c r="E2888">
        <v>12</v>
      </c>
      <c r="H2888">
        <v>64</v>
      </c>
      <c r="I2888" t="s">
        <v>135</v>
      </c>
      <c r="J2888" t="s">
        <v>136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353"/>
        <v>14:46:21.727</v>
      </c>
      <c r="T2888" t="str">
        <f t="shared" si="1353"/>
        <v>14:46:21.727</v>
      </c>
      <c r="U2888" t="str">
        <f t="shared" si="1355"/>
        <v>A9808D</v>
      </c>
      <c r="V2888">
        <v>0</v>
      </c>
      <c r="W2888">
        <v>0</v>
      </c>
      <c r="X2888">
        <v>1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0</v>
      </c>
      <c r="AI2888" t="s">
        <v>708</v>
      </c>
      <c r="AJ2888">
        <v>28.247609000000001</v>
      </c>
      <c r="AK2888" t="s">
        <v>709</v>
      </c>
      <c r="AL2888">
        <v>-82.300043000000002</v>
      </c>
      <c r="AM2888">
        <v>100</v>
      </c>
      <c r="AN2888">
        <v>2500</v>
      </c>
      <c r="AO2888" t="s">
        <v>118</v>
      </c>
      <c r="AP2888">
        <v>107</v>
      </c>
      <c r="AQ2888">
        <v>-9</v>
      </c>
      <c r="AR2888">
        <v>192</v>
      </c>
      <c r="AZ2888">
        <v>1200</v>
      </c>
      <c r="BA2888">
        <v>1</v>
      </c>
      <c r="BB2888" t="str">
        <f t="shared" si="1335"/>
        <v xml:space="preserve">N711JA  </v>
      </c>
      <c r="BC2888">
        <v>1</v>
      </c>
      <c r="BE2888">
        <v>0</v>
      </c>
      <c r="BF2888">
        <v>0</v>
      </c>
      <c r="BG2888">
        <v>0</v>
      </c>
      <c r="BH2888">
        <v>2600</v>
      </c>
      <c r="BI2888">
        <v>1</v>
      </c>
      <c r="BJ2888">
        <v>1</v>
      </c>
      <c r="BK2888">
        <v>0</v>
      </c>
      <c r="BL2888">
        <v>0</v>
      </c>
      <c r="BO2888">
        <v>0</v>
      </c>
      <c r="BP2888">
        <v>0</v>
      </c>
      <c r="BW2888" t="str">
        <f t="shared" si="1354"/>
        <v>14:46:21.728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6</v>
      </c>
      <c r="CP2888" t="s">
        <v>119</v>
      </c>
      <c r="CQ2888">
        <v>358</v>
      </c>
      <c r="CR2888">
        <v>0</v>
      </c>
      <c r="CW2888">
        <v>4904800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1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 t="shared" si="1352"/>
        <v>05/12/2020 14:46:03.896</v>
      </c>
      <c r="C2889" t="str">
        <f t="shared" si="1332"/>
        <v>FFDFD3C0</v>
      </c>
      <c r="D2889" t="s">
        <v>138</v>
      </c>
      <c r="E2889">
        <v>3</v>
      </c>
      <c r="H2889">
        <v>9</v>
      </c>
      <c r="I2889" t="s">
        <v>140</v>
      </c>
      <c r="J2889" t="s">
        <v>136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353"/>
        <v>14:46:21.727</v>
      </c>
      <c r="T2889" t="str">
        <f t="shared" si="1353"/>
        <v>14:46:21.727</v>
      </c>
      <c r="U2889" t="str">
        <f t="shared" si="1355"/>
        <v>A9808D</v>
      </c>
      <c r="V2889">
        <v>0</v>
      </c>
      <c r="W2889">
        <v>0</v>
      </c>
      <c r="X2889">
        <v>1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0</v>
      </c>
      <c r="AI2889" t="s">
        <v>708</v>
      </c>
      <c r="AJ2889">
        <v>28.247609000000001</v>
      </c>
      <c r="AK2889" t="s">
        <v>709</v>
      </c>
      <c r="AL2889">
        <v>-82.300043000000002</v>
      </c>
      <c r="AM2889">
        <v>100</v>
      </c>
      <c r="AN2889">
        <v>2500</v>
      </c>
      <c r="AO2889" t="s">
        <v>118</v>
      </c>
      <c r="AP2889">
        <v>107</v>
      </c>
      <c r="AQ2889">
        <v>-9</v>
      </c>
      <c r="AR2889">
        <v>192</v>
      </c>
      <c r="AZ2889">
        <v>1200</v>
      </c>
      <c r="BA2889">
        <v>1</v>
      </c>
      <c r="BB2889" t="str">
        <f t="shared" si="1335"/>
        <v xml:space="preserve">N711JA  </v>
      </c>
      <c r="BC2889">
        <v>1</v>
      </c>
      <c r="BE2889">
        <v>0</v>
      </c>
      <c r="BF2889">
        <v>0</v>
      </c>
      <c r="BG2889">
        <v>0</v>
      </c>
      <c r="BH2889">
        <v>2600</v>
      </c>
      <c r="BI2889">
        <v>1</v>
      </c>
      <c r="BJ2889">
        <v>1</v>
      </c>
      <c r="BK2889">
        <v>0</v>
      </c>
      <c r="BL2889">
        <v>0</v>
      </c>
      <c r="BO2889">
        <v>0</v>
      </c>
      <c r="BP2889">
        <v>0</v>
      </c>
      <c r="BW2889" t="str">
        <f t="shared" si="1354"/>
        <v>14:46:21.728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6</v>
      </c>
      <c r="CP2889" t="s">
        <v>119</v>
      </c>
      <c r="CQ2889">
        <v>358</v>
      </c>
      <c r="CR2889">
        <v>0</v>
      </c>
      <c r="CW2889">
        <v>4904800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1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 t="shared" ref="A2890:A2898" si="1356">"05/12/2020 14:46:04.965"</f>
        <v>05/12/2020 14:46:04.965</v>
      </c>
      <c r="C2890" t="str">
        <f t="shared" si="1332"/>
        <v>FFDFD3C0</v>
      </c>
      <c r="D2890" t="s">
        <v>131</v>
      </c>
      <c r="E2890">
        <v>18</v>
      </c>
      <c r="F2890">
        <v>2018</v>
      </c>
      <c r="G2890" t="s">
        <v>161</v>
      </c>
      <c r="J2890" t="s">
        <v>133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ref="S2890:T2898" si="1357">"14:46:22.797"</f>
        <v>14:46:22.797</v>
      </c>
      <c r="T2890" t="str">
        <f t="shared" si="1357"/>
        <v>14:46:22.797</v>
      </c>
      <c r="U2890" t="str">
        <f t="shared" si="1355"/>
        <v>A9808D</v>
      </c>
      <c r="V2890">
        <v>0</v>
      </c>
      <c r="W2890">
        <v>0</v>
      </c>
      <c r="X2890">
        <v>1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0</v>
      </c>
      <c r="AI2890" t="s">
        <v>710</v>
      </c>
      <c r="AJ2890">
        <v>28.247565999999999</v>
      </c>
      <c r="AK2890" t="s">
        <v>711</v>
      </c>
      <c r="AL2890">
        <v>-82.299398999999994</v>
      </c>
      <c r="AM2890">
        <v>100</v>
      </c>
      <c r="AN2890">
        <v>2500</v>
      </c>
      <c r="AO2890" t="s">
        <v>118</v>
      </c>
      <c r="AP2890">
        <v>107</v>
      </c>
      <c r="AQ2890">
        <v>-8</v>
      </c>
      <c r="AR2890">
        <v>192</v>
      </c>
      <c r="AZ2890">
        <v>1200</v>
      </c>
      <c r="BA2890">
        <v>1</v>
      </c>
      <c r="BB2890" t="str">
        <f t="shared" si="1335"/>
        <v xml:space="preserve">N711JA  </v>
      </c>
      <c r="BC2890">
        <v>1</v>
      </c>
      <c r="BE2890">
        <v>0</v>
      </c>
      <c r="BF2890">
        <v>0</v>
      </c>
      <c r="BG2890">
        <v>0</v>
      </c>
      <c r="BH2890">
        <v>2600</v>
      </c>
      <c r="BI2890">
        <v>1</v>
      </c>
      <c r="BJ2890">
        <v>1</v>
      </c>
      <c r="BK2890">
        <v>0</v>
      </c>
      <c r="BL2890">
        <v>0</v>
      </c>
      <c r="BO2890">
        <v>0</v>
      </c>
      <c r="BP2890">
        <v>0</v>
      </c>
      <c r="BW2890" t="str">
        <f t="shared" ref="BW2890:BW2898" si="1358">"14:46:22.800"</f>
        <v>14:46:22.800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5</v>
      </c>
      <c r="CP2890" t="s">
        <v>119</v>
      </c>
      <c r="CQ2890">
        <v>62</v>
      </c>
      <c r="CR2890">
        <v>1</v>
      </c>
      <c r="CW2890">
        <v>12851225</v>
      </c>
      <c r="CY2890">
        <v>1</v>
      </c>
      <c r="CZ2890">
        <v>0</v>
      </c>
      <c r="DA2890">
        <v>0</v>
      </c>
      <c r="DB2890">
        <v>0</v>
      </c>
      <c r="DC2890">
        <v>0</v>
      </c>
      <c r="DD2890">
        <v>1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 t="shared" si="1356"/>
        <v>05/12/2020 14:46:04.965</v>
      </c>
      <c r="C2891" t="str">
        <f t="shared" si="1332"/>
        <v>FFDFD3C0</v>
      </c>
      <c r="D2891" t="s">
        <v>131</v>
      </c>
      <c r="E2891">
        <v>12</v>
      </c>
      <c r="F2891">
        <v>2012</v>
      </c>
      <c r="G2891" t="s">
        <v>137</v>
      </c>
      <c r="J2891" t="s">
        <v>133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357"/>
        <v>14:46:22.797</v>
      </c>
      <c r="T2891" t="str">
        <f t="shared" si="1357"/>
        <v>14:46:22.797</v>
      </c>
      <c r="U2891" t="str">
        <f t="shared" si="1355"/>
        <v>A9808D</v>
      </c>
      <c r="V2891">
        <v>0</v>
      </c>
      <c r="W2891">
        <v>0</v>
      </c>
      <c r="X2891">
        <v>1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0</v>
      </c>
      <c r="AI2891" t="s">
        <v>710</v>
      </c>
      <c r="AJ2891">
        <v>28.247565999999999</v>
      </c>
      <c r="AK2891" t="s">
        <v>711</v>
      </c>
      <c r="AL2891">
        <v>-82.299398999999994</v>
      </c>
      <c r="AM2891">
        <v>100</v>
      </c>
      <c r="AN2891">
        <v>2500</v>
      </c>
      <c r="AO2891" t="s">
        <v>118</v>
      </c>
      <c r="AP2891">
        <v>107</v>
      </c>
      <c r="AQ2891">
        <v>-8</v>
      </c>
      <c r="AR2891">
        <v>192</v>
      </c>
      <c r="AZ2891">
        <v>1200</v>
      </c>
      <c r="BA2891">
        <v>1</v>
      </c>
      <c r="BB2891" t="str">
        <f t="shared" si="1335"/>
        <v xml:space="preserve">N711JA  </v>
      </c>
      <c r="BC2891">
        <v>1</v>
      </c>
      <c r="BE2891">
        <v>0</v>
      </c>
      <c r="BF2891">
        <v>0</v>
      </c>
      <c r="BG2891">
        <v>0</v>
      </c>
      <c r="BH2891">
        <v>2600</v>
      </c>
      <c r="BI2891">
        <v>1</v>
      </c>
      <c r="BJ2891">
        <v>1</v>
      </c>
      <c r="BK2891">
        <v>0</v>
      </c>
      <c r="BL2891">
        <v>0</v>
      </c>
      <c r="BO2891">
        <v>0</v>
      </c>
      <c r="BP2891">
        <v>0</v>
      </c>
      <c r="BW2891" t="str">
        <f t="shared" si="1358"/>
        <v>14:46:22.800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2</v>
      </c>
      <c r="CP2891" t="s">
        <v>119</v>
      </c>
      <c r="CQ2891">
        <v>11</v>
      </c>
      <c r="CR2891">
        <v>2</v>
      </c>
      <c r="CW2891">
        <v>15985697</v>
      </c>
      <c r="CY2891">
        <v>1</v>
      </c>
      <c r="CZ2891">
        <v>0</v>
      </c>
      <c r="DA2891">
        <v>1</v>
      </c>
      <c r="DB2891">
        <v>0</v>
      </c>
      <c r="DC2891">
        <v>0</v>
      </c>
      <c r="DD2891">
        <v>1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 t="shared" si="1356"/>
        <v>05/12/2020 14:46:04.965</v>
      </c>
      <c r="C2892" t="str">
        <f t="shared" si="1332"/>
        <v>FFDFD3C0</v>
      </c>
      <c r="D2892" t="s">
        <v>113</v>
      </c>
      <c r="E2892">
        <v>3</v>
      </c>
      <c r="H2892">
        <v>164</v>
      </c>
      <c r="I2892" t="s">
        <v>114</v>
      </c>
      <c r="J2892" t="s">
        <v>115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357"/>
        <v>14:46:22.797</v>
      </c>
      <c r="T2892" t="str">
        <f t="shared" si="1357"/>
        <v>14:46:22.797</v>
      </c>
      <c r="U2892" t="str">
        <f t="shared" si="1355"/>
        <v>A9808D</v>
      </c>
      <c r="V2892">
        <v>0</v>
      </c>
      <c r="W2892">
        <v>0</v>
      </c>
      <c r="X2892">
        <v>1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0</v>
      </c>
      <c r="AI2892" t="s">
        <v>710</v>
      </c>
      <c r="AJ2892">
        <v>28.247565999999999</v>
      </c>
      <c r="AK2892" t="s">
        <v>711</v>
      </c>
      <c r="AL2892">
        <v>-82.299398999999994</v>
      </c>
      <c r="AM2892">
        <v>100</v>
      </c>
      <c r="AN2892">
        <v>2500</v>
      </c>
      <c r="AO2892" t="s">
        <v>118</v>
      </c>
      <c r="AP2892">
        <v>107</v>
      </c>
      <c r="AQ2892">
        <v>-8</v>
      </c>
      <c r="AR2892">
        <v>192</v>
      </c>
      <c r="AZ2892">
        <v>1200</v>
      </c>
      <c r="BA2892">
        <v>1</v>
      </c>
      <c r="BB2892" t="str">
        <f t="shared" si="1335"/>
        <v xml:space="preserve">N711JA  </v>
      </c>
      <c r="BC2892">
        <v>1</v>
      </c>
      <c r="BE2892">
        <v>0</v>
      </c>
      <c r="BF2892">
        <v>0</v>
      </c>
      <c r="BG2892">
        <v>0</v>
      </c>
      <c r="BH2892">
        <v>2600</v>
      </c>
      <c r="BI2892">
        <v>1</v>
      </c>
      <c r="BJ2892">
        <v>1</v>
      </c>
      <c r="BK2892">
        <v>0</v>
      </c>
      <c r="BL2892">
        <v>0</v>
      </c>
      <c r="BO2892">
        <v>0</v>
      </c>
      <c r="BP2892">
        <v>0</v>
      </c>
      <c r="BW2892" t="str">
        <f t="shared" si="1358"/>
        <v>14:46:22.800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5</v>
      </c>
      <c r="CP2892" t="s">
        <v>119</v>
      </c>
      <c r="CQ2892">
        <v>62</v>
      </c>
      <c r="CR2892">
        <v>1</v>
      </c>
      <c r="CW2892">
        <v>12851225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1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 t="shared" si="1356"/>
        <v>05/12/2020 14:46:04.965</v>
      </c>
      <c r="C2893" t="str">
        <f t="shared" si="1332"/>
        <v>FFDFD3C0</v>
      </c>
      <c r="D2893" t="s">
        <v>138</v>
      </c>
      <c r="E2893">
        <v>2</v>
      </c>
      <c r="H2893">
        <v>8</v>
      </c>
      <c r="I2893" t="s">
        <v>139</v>
      </c>
      <c r="J2893" t="s">
        <v>136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357"/>
        <v>14:46:22.797</v>
      </c>
      <c r="T2893" t="str">
        <f t="shared" si="1357"/>
        <v>14:46:22.797</v>
      </c>
      <c r="U2893" t="str">
        <f t="shared" si="1355"/>
        <v>A9808D</v>
      </c>
      <c r="V2893">
        <v>0</v>
      </c>
      <c r="W2893">
        <v>0</v>
      </c>
      <c r="X2893">
        <v>1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0</v>
      </c>
      <c r="AI2893" t="s">
        <v>710</v>
      </c>
      <c r="AJ2893">
        <v>28.247565999999999</v>
      </c>
      <c r="AK2893" t="s">
        <v>711</v>
      </c>
      <c r="AL2893">
        <v>-82.299398999999994</v>
      </c>
      <c r="AM2893">
        <v>100</v>
      </c>
      <c r="AN2893">
        <v>2500</v>
      </c>
      <c r="AO2893" t="s">
        <v>118</v>
      </c>
      <c r="AP2893">
        <v>107</v>
      </c>
      <c r="AQ2893">
        <v>-8</v>
      </c>
      <c r="AR2893">
        <v>192</v>
      </c>
      <c r="AZ2893">
        <v>1200</v>
      </c>
      <c r="BA2893">
        <v>1</v>
      </c>
      <c r="BB2893" t="str">
        <f t="shared" si="1335"/>
        <v xml:space="preserve">N711JA  </v>
      </c>
      <c r="BC2893">
        <v>1</v>
      </c>
      <c r="BE2893">
        <v>0</v>
      </c>
      <c r="BF2893">
        <v>0</v>
      </c>
      <c r="BG2893">
        <v>0</v>
      </c>
      <c r="BH2893">
        <v>2600</v>
      </c>
      <c r="BI2893">
        <v>1</v>
      </c>
      <c r="BJ2893">
        <v>1</v>
      </c>
      <c r="BK2893">
        <v>0</v>
      </c>
      <c r="BL2893">
        <v>0</v>
      </c>
      <c r="BO2893">
        <v>0</v>
      </c>
      <c r="BP2893">
        <v>0</v>
      </c>
      <c r="BW2893" t="str">
        <f t="shared" si="1358"/>
        <v>14:46:22.800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2</v>
      </c>
      <c r="CP2893" t="s">
        <v>119</v>
      </c>
      <c r="CQ2893">
        <v>11</v>
      </c>
      <c r="CR2893">
        <v>2</v>
      </c>
      <c r="CW2893">
        <v>15985697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1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 t="shared" si="1356"/>
        <v>05/12/2020 14:46:04.965</v>
      </c>
      <c r="C2894" t="str">
        <f t="shared" si="1332"/>
        <v>FFDFD3C0</v>
      </c>
      <c r="D2894" t="s">
        <v>126</v>
      </c>
      <c r="E2894">
        <v>6</v>
      </c>
      <c r="F2894">
        <v>1006</v>
      </c>
      <c r="G2894" t="s">
        <v>114</v>
      </c>
      <c r="J2894" t="s">
        <v>128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357"/>
        <v>14:46:22.797</v>
      </c>
      <c r="T2894" t="str">
        <f t="shared" si="1357"/>
        <v>14:46:22.797</v>
      </c>
      <c r="U2894" t="str">
        <f t="shared" si="1355"/>
        <v>A9808D</v>
      </c>
      <c r="V2894">
        <v>0</v>
      </c>
      <c r="W2894">
        <v>0</v>
      </c>
      <c r="X2894">
        <v>1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0</v>
      </c>
      <c r="AI2894" t="s">
        <v>710</v>
      </c>
      <c r="AJ2894">
        <v>28.247565999999999</v>
      </c>
      <c r="AK2894" t="s">
        <v>711</v>
      </c>
      <c r="AL2894">
        <v>-82.299398999999994</v>
      </c>
      <c r="AM2894">
        <v>100</v>
      </c>
      <c r="AN2894">
        <v>2500</v>
      </c>
      <c r="AO2894" t="s">
        <v>118</v>
      </c>
      <c r="AP2894">
        <v>107</v>
      </c>
      <c r="AQ2894">
        <v>-8</v>
      </c>
      <c r="AR2894">
        <v>192</v>
      </c>
      <c r="AZ2894">
        <v>1200</v>
      </c>
      <c r="BA2894">
        <v>1</v>
      </c>
      <c r="BB2894" t="str">
        <f t="shared" si="1335"/>
        <v xml:space="preserve">N711JA  </v>
      </c>
      <c r="BC2894">
        <v>1</v>
      </c>
      <c r="BE2894">
        <v>0</v>
      </c>
      <c r="BF2894">
        <v>0</v>
      </c>
      <c r="BG2894">
        <v>0</v>
      </c>
      <c r="BH2894">
        <v>2600</v>
      </c>
      <c r="BI2894">
        <v>1</v>
      </c>
      <c r="BJ2894">
        <v>1</v>
      </c>
      <c r="BK2894">
        <v>0</v>
      </c>
      <c r="BL2894">
        <v>0</v>
      </c>
      <c r="BO2894">
        <v>0</v>
      </c>
      <c r="BP2894">
        <v>0</v>
      </c>
      <c r="BW2894" t="str">
        <f t="shared" si="1358"/>
        <v>14:46:22.800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5</v>
      </c>
      <c r="CP2894" t="s">
        <v>119</v>
      </c>
      <c r="CQ2894">
        <v>62</v>
      </c>
      <c r="CR2894">
        <v>1</v>
      </c>
      <c r="CW2894">
        <v>12851225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1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 t="shared" si="1356"/>
        <v>05/12/2020 14:46:04.965</v>
      </c>
      <c r="C2895" t="str">
        <f t="shared" si="1332"/>
        <v>FFDFD3C0</v>
      </c>
      <c r="D2895" t="s">
        <v>134</v>
      </c>
      <c r="E2895">
        <v>12</v>
      </c>
      <c r="H2895">
        <v>64</v>
      </c>
      <c r="I2895" t="s">
        <v>135</v>
      </c>
      <c r="J2895" t="s">
        <v>136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357"/>
        <v>14:46:22.797</v>
      </c>
      <c r="T2895" t="str">
        <f t="shared" si="1357"/>
        <v>14:46:22.797</v>
      </c>
      <c r="U2895" t="str">
        <f t="shared" si="1355"/>
        <v>A9808D</v>
      </c>
      <c r="V2895">
        <v>0</v>
      </c>
      <c r="W2895">
        <v>0</v>
      </c>
      <c r="X2895">
        <v>1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0</v>
      </c>
      <c r="AI2895" t="s">
        <v>710</v>
      </c>
      <c r="AJ2895">
        <v>28.247565999999999</v>
      </c>
      <c r="AK2895" t="s">
        <v>711</v>
      </c>
      <c r="AL2895">
        <v>-82.299398999999994</v>
      </c>
      <c r="AM2895">
        <v>100</v>
      </c>
      <c r="AN2895">
        <v>2500</v>
      </c>
      <c r="AO2895" t="s">
        <v>118</v>
      </c>
      <c r="AP2895">
        <v>107</v>
      </c>
      <c r="AQ2895">
        <v>-8</v>
      </c>
      <c r="AR2895">
        <v>192</v>
      </c>
      <c r="AZ2895">
        <v>1200</v>
      </c>
      <c r="BA2895">
        <v>1</v>
      </c>
      <c r="BB2895" t="str">
        <f t="shared" si="1335"/>
        <v xml:space="preserve">N711JA  </v>
      </c>
      <c r="BC2895">
        <v>1</v>
      </c>
      <c r="BE2895">
        <v>0</v>
      </c>
      <c r="BF2895">
        <v>0</v>
      </c>
      <c r="BG2895">
        <v>0</v>
      </c>
      <c r="BH2895">
        <v>2600</v>
      </c>
      <c r="BI2895">
        <v>1</v>
      </c>
      <c r="BJ2895">
        <v>1</v>
      </c>
      <c r="BK2895">
        <v>0</v>
      </c>
      <c r="BL2895">
        <v>0</v>
      </c>
      <c r="BO2895">
        <v>0</v>
      </c>
      <c r="BP2895">
        <v>0</v>
      </c>
      <c r="BW2895" t="str">
        <f t="shared" si="1358"/>
        <v>14:46:22.800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5</v>
      </c>
      <c r="CP2895" t="s">
        <v>119</v>
      </c>
      <c r="CQ2895">
        <v>9</v>
      </c>
      <c r="CR2895">
        <v>0</v>
      </c>
      <c r="CW2895">
        <v>12747549</v>
      </c>
      <c r="CY2895">
        <v>1</v>
      </c>
      <c r="CZ2895">
        <v>0</v>
      </c>
      <c r="DA2895">
        <v>1</v>
      </c>
      <c r="DB2895">
        <v>0</v>
      </c>
      <c r="DC2895">
        <v>0</v>
      </c>
      <c r="DD2895">
        <v>1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 t="shared" si="1356"/>
        <v>05/12/2020 14:46:04.965</v>
      </c>
      <c r="C2896" t="str">
        <f t="shared" si="1332"/>
        <v>FFDFD3C0</v>
      </c>
      <c r="D2896" t="s">
        <v>138</v>
      </c>
      <c r="E2896">
        <v>3</v>
      </c>
      <c r="H2896">
        <v>9</v>
      </c>
      <c r="I2896" t="s">
        <v>140</v>
      </c>
      <c r="J2896" t="s">
        <v>136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357"/>
        <v>14:46:22.797</v>
      </c>
      <c r="T2896" t="str">
        <f t="shared" si="1357"/>
        <v>14:46:22.797</v>
      </c>
      <c r="U2896" t="str">
        <f t="shared" si="1355"/>
        <v>A9808D</v>
      </c>
      <c r="V2896">
        <v>0</v>
      </c>
      <c r="W2896">
        <v>0</v>
      </c>
      <c r="X2896">
        <v>1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0</v>
      </c>
      <c r="AI2896" t="s">
        <v>710</v>
      </c>
      <c r="AJ2896">
        <v>28.247565999999999</v>
      </c>
      <c r="AK2896" t="s">
        <v>711</v>
      </c>
      <c r="AL2896">
        <v>-82.299398999999994</v>
      </c>
      <c r="AM2896">
        <v>100</v>
      </c>
      <c r="AN2896">
        <v>2500</v>
      </c>
      <c r="AO2896" t="s">
        <v>118</v>
      </c>
      <c r="AP2896">
        <v>107</v>
      </c>
      <c r="AQ2896">
        <v>-8</v>
      </c>
      <c r="AR2896">
        <v>192</v>
      </c>
      <c r="AZ2896">
        <v>1200</v>
      </c>
      <c r="BA2896">
        <v>1</v>
      </c>
      <c r="BB2896" t="str">
        <f t="shared" si="1335"/>
        <v xml:space="preserve">N711JA  </v>
      </c>
      <c r="BC2896">
        <v>1</v>
      </c>
      <c r="BE2896">
        <v>0</v>
      </c>
      <c r="BF2896">
        <v>0</v>
      </c>
      <c r="BG2896">
        <v>0</v>
      </c>
      <c r="BH2896">
        <v>2600</v>
      </c>
      <c r="BI2896">
        <v>1</v>
      </c>
      <c r="BJ2896">
        <v>1</v>
      </c>
      <c r="BK2896">
        <v>0</v>
      </c>
      <c r="BL2896">
        <v>0</v>
      </c>
      <c r="BO2896">
        <v>0</v>
      </c>
      <c r="BP2896">
        <v>0</v>
      </c>
      <c r="BW2896" t="str">
        <f t="shared" si="1358"/>
        <v>14:46:22.800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5</v>
      </c>
      <c r="CP2896" t="s">
        <v>119</v>
      </c>
      <c r="CQ2896">
        <v>9</v>
      </c>
      <c r="CR2896">
        <v>0</v>
      </c>
      <c r="CW2896">
        <v>12747549</v>
      </c>
      <c r="CY2896">
        <v>1</v>
      </c>
      <c r="CZ2896">
        <v>0</v>
      </c>
      <c r="DA2896">
        <v>1</v>
      </c>
      <c r="DB2896">
        <v>0</v>
      </c>
      <c r="DC2896">
        <v>0</v>
      </c>
      <c r="DD2896">
        <v>1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 t="shared" si="1356"/>
        <v>05/12/2020 14:46:04.965</v>
      </c>
      <c r="C2897" t="str">
        <f t="shared" si="1332"/>
        <v>FFDFD3C0</v>
      </c>
      <c r="D2897" t="s">
        <v>126</v>
      </c>
      <c r="E2897">
        <v>7</v>
      </c>
      <c r="F2897">
        <v>1007</v>
      </c>
      <c r="G2897" t="s">
        <v>127</v>
      </c>
      <c r="J2897" t="s">
        <v>128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357"/>
        <v>14:46:22.797</v>
      </c>
      <c r="T2897" t="str">
        <f t="shared" si="1357"/>
        <v>14:46:22.797</v>
      </c>
      <c r="U2897" t="str">
        <f t="shared" si="1355"/>
        <v>A9808D</v>
      </c>
      <c r="V2897">
        <v>0</v>
      </c>
      <c r="W2897">
        <v>0</v>
      </c>
      <c r="X2897">
        <v>1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0</v>
      </c>
      <c r="AI2897" t="s">
        <v>710</v>
      </c>
      <c r="AJ2897">
        <v>28.247565999999999</v>
      </c>
      <c r="AK2897" t="s">
        <v>711</v>
      </c>
      <c r="AL2897">
        <v>-82.299398999999994</v>
      </c>
      <c r="AM2897">
        <v>100</v>
      </c>
      <c r="AN2897">
        <v>2500</v>
      </c>
      <c r="AO2897" t="s">
        <v>118</v>
      </c>
      <c r="AP2897">
        <v>107</v>
      </c>
      <c r="AQ2897">
        <v>-8</v>
      </c>
      <c r="AR2897">
        <v>192</v>
      </c>
      <c r="AZ2897">
        <v>1200</v>
      </c>
      <c r="BA2897">
        <v>1</v>
      </c>
      <c r="BB2897" t="str">
        <f t="shared" si="1335"/>
        <v xml:space="preserve">N711JA  </v>
      </c>
      <c r="BC2897">
        <v>1</v>
      </c>
      <c r="BE2897">
        <v>0</v>
      </c>
      <c r="BF2897">
        <v>0</v>
      </c>
      <c r="BG2897">
        <v>0</v>
      </c>
      <c r="BH2897">
        <v>2600</v>
      </c>
      <c r="BI2897">
        <v>1</v>
      </c>
      <c r="BJ2897">
        <v>1</v>
      </c>
      <c r="BK2897">
        <v>0</v>
      </c>
      <c r="BL2897">
        <v>0</v>
      </c>
      <c r="BO2897">
        <v>0</v>
      </c>
      <c r="BP2897">
        <v>0</v>
      </c>
      <c r="BW2897" t="str">
        <f t="shared" si="1358"/>
        <v>14:46:22.800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5</v>
      </c>
      <c r="CP2897" t="s">
        <v>119</v>
      </c>
      <c r="CQ2897">
        <v>62</v>
      </c>
      <c r="CR2897">
        <v>1</v>
      </c>
      <c r="CW2897">
        <v>12851225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1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 t="shared" si="1356"/>
        <v>05/12/2020 14:46:04.965</v>
      </c>
      <c r="C2898" t="str">
        <f t="shared" si="1332"/>
        <v>FFDFD3C0</v>
      </c>
      <c r="D2898" t="s">
        <v>131</v>
      </c>
      <c r="E2898">
        <v>10</v>
      </c>
      <c r="F2898">
        <v>2010</v>
      </c>
      <c r="G2898" t="s">
        <v>132</v>
      </c>
      <c r="J2898" t="s">
        <v>133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357"/>
        <v>14:46:22.797</v>
      </c>
      <c r="T2898" t="str">
        <f t="shared" si="1357"/>
        <v>14:46:22.797</v>
      </c>
      <c r="U2898" t="str">
        <f t="shared" si="1355"/>
        <v>A9808D</v>
      </c>
      <c r="V2898">
        <v>0</v>
      </c>
      <c r="W2898">
        <v>0</v>
      </c>
      <c r="X2898">
        <v>1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0</v>
      </c>
      <c r="AI2898" t="s">
        <v>710</v>
      </c>
      <c r="AJ2898">
        <v>28.247565999999999</v>
      </c>
      <c r="AK2898" t="s">
        <v>711</v>
      </c>
      <c r="AL2898">
        <v>-82.299398999999994</v>
      </c>
      <c r="AM2898">
        <v>100</v>
      </c>
      <c r="AN2898">
        <v>2500</v>
      </c>
      <c r="AO2898" t="s">
        <v>118</v>
      </c>
      <c r="AP2898">
        <v>107</v>
      </c>
      <c r="AQ2898">
        <v>-8</v>
      </c>
      <c r="AR2898">
        <v>192</v>
      </c>
      <c r="AZ2898">
        <v>1200</v>
      </c>
      <c r="BA2898">
        <v>1</v>
      </c>
      <c r="BB2898" t="str">
        <f t="shared" si="1335"/>
        <v xml:space="preserve">N711JA  </v>
      </c>
      <c r="BC2898">
        <v>1</v>
      </c>
      <c r="BE2898">
        <v>0</v>
      </c>
      <c r="BF2898">
        <v>0</v>
      </c>
      <c r="BG2898">
        <v>0</v>
      </c>
      <c r="BH2898">
        <v>2600</v>
      </c>
      <c r="BI2898">
        <v>1</v>
      </c>
      <c r="BJ2898">
        <v>1</v>
      </c>
      <c r="BK2898">
        <v>0</v>
      </c>
      <c r="BL2898">
        <v>0</v>
      </c>
      <c r="BO2898">
        <v>0</v>
      </c>
      <c r="BP2898">
        <v>0</v>
      </c>
      <c r="BW2898" t="str">
        <f t="shared" si="1358"/>
        <v>14:46:22.800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5</v>
      </c>
      <c r="CP2898" t="s">
        <v>119</v>
      </c>
      <c r="CQ2898">
        <v>9</v>
      </c>
      <c r="CR2898">
        <v>0</v>
      </c>
      <c r="CW2898">
        <v>12747549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1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 t="shared" ref="A2899:A2907" si="1359">"05/12/2020 14:46:06.088"</f>
        <v>05/12/2020 14:46:06.088</v>
      </c>
      <c r="C2899" t="str">
        <f t="shared" si="1332"/>
        <v>FFDFD3C0</v>
      </c>
      <c r="D2899" t="s">
        <v>126</v>
      </c>
      <c r="E2899">
        <v>6</v>
      </c>
      <c r="F2899">
        <v>1006</v>
      </c>
      <c r="G2899" t="s">
        <v>114</v>
      </c>
      <c r="J2899" t="s">
        <v>128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"14:46:23.914"</f>
        <v>14:46:23.914</v>
      </c>
      <c r="T2899" t="str">
        <f>"14:46:23.914"</f>
        <v>14:46:23.914</v>
      </c>
      <c r="U2899" t="str">
        <f t="shared" si="1355"/>
        <v>A9808D</v>
      </c>
      <c r="V2899">
        <v>0</v>
      </c>
      <c r="W2899">
        <v>0</v>
      </c>
      <c r="X2899">
        <v>1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0</v>
      </c>
      <c r="AI2899" t="s">
        <v>712</v>
      </c>
      <c r="AJ2899">
        <v>28.247523000000001</v>
      </c>
      <c r="AK2899" t="s">
        <v>713</v>
      </c>
      <c r="AL2899">
        <v>-82.298799000000002</v>
      </c>
      <c r="AM2899">
        <v>100</v>
      </c>
      <c r="AN2899">
        <v>2500</v>
      </c>
      <c r="AO2899" t="s">
        <v>118</v>
      </c>
      <c r="AP2899">
        <v>107</v>
      </c>
      <c r="AQ2899">
        <v>-7</v>
      </c>
      <c r="AR2899">
        <v>320</v>
      </c>
      <c r="AZ2899">
        <v>1200</v>
      </c>
      <c r="BA2899">
        <v>1</v>
      </c>
      <c r="BB2899" t="str">
        <f t="shared" si="1335"/>
        <v xml:space="preserve">N711JA  </v>
      </c>
      <c r="BC2899">
        <v>1</v>
      </c>
      <c r="BE2899">
        <v>0</v>
      </c>
      <c r="BF2899">
        <v>0</v>
      </c>
      <c r="BG2899">
        <v>0</v>
      </c>
      <c r="BH2899">
        <v>2600</v>
      </c>
      <c r="BI2899">
        <v>1</v>
      </c>
      <c r="BJ2899">
        <v>1</v>
      </c>
      <c r="BK2899">
        <v>0</v>
      </c>
      <c r="BL2899">
        <v>0</v>
      </c>
      <c r="BO2899">
        <v>0</v>
      </c>
      <c r="BP2899">
        <v>0</v>
      </c>
      <c r="BW2899" t="str">
        <f>"14:46:23.916"</f>
        <v>14:46:23.916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5</v>
      </c>
      <c r="CP2899" t="s">
        <v>119</v>
      </c>
      <c r="CQ2899">
        <v>62</v>
      </c>
      <c r="CR2899">
        <v>1</v>
      </c>
      <c r="CW2899">
        <v>12852481</v>
      </c>
      <c r="CY2899">
        <v>1</v>
      </c>
      <c r="CZ2899">
        <v>0</v>
      </c>
      <c r="DA2899">
        <v>0</v>
      </c>
      <c r="DB2899">
        <v>0</v>
      </c>
      <c r="DC2899">
        <v>0</v>
      </c>
      <c r="DD2899">
        <v>1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 t="shared" si="1359"/>
        <v>05/12/2020 14:46:06.088</v>
      </c>
      <c r="C2900" t="str">
        <f t="shared" si="1332"/>
        <v>FFDFD3C0</v>
      </c>
      <c r="D2900" t="s">
        <v>138</v>
      </c>
      <c r="E2900">
        <v>2</v>
      </c>
      <c r="H2900">
        <v>8</v>
      </c>
      <c r="I2900" t="s">
        <v>139</v>
      </c>
      <c r="J2900" t="s">
        <v>136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ref="S2900:S2907" si="1360">"14:46:23.914"</f>
        <v>14:46:23.914</v>
      </c>
      <c r="T2900" t="str">
        <f>"14:46:23.314"</f>
        <v>14:46:23.314</v>
      </c>
      <c r="U2900" t="str">
        <f t="shared" si="1355"/>
        <v>A9808D</v>
      </c>
      <c r="V2900">
        <v>0</v>
      </c>
      <c r="W2900">
        <v>0</v>
      </c>
      <c r="X2900">
        <v>1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0</v>
      </c>
      <c r="AI2900" t="s">
        <v>712</v>
      </c>
      <c r="AJ2900">
        <v>28.247523000000001</v>
      </c>
      <c r="AK2900" t="s">
        <v>713</v>
      </c>
      <c r="AL2900">
        <v>-82.298799000000002</v>
      </c>
      <c r="AM2900">
        <v>100</v>
      </c>
      <c r="AN2900">
        <v>2500</v>
      </c>
      <c r="AO2900" t="s">
        <v>118</v>
      </c>
      <c r="AP2900">
        <v>107</v>
      </c>
      <c r="AQ2900">
        <v>-7</v>
      </c>
      <c r="AR2900">
        <v>192</v>
      </c>
      <c r="AZ2900">
        <v>1200</v>
      </c>
      <c r="BA2900">
        <v>1</v>
      </c>
      <c r="BB2900" t="str">
        <f t="shared" si="1335"/>
        <v xml:space="preserve">N711JA  </v>
      </c>
      <c r="BC2900">
        <v>1</v>
      </c>
      <c r="BE2900">
        <v>0</v>
      </c>
      <c r="BF2900">
        <v>0</v>
      </c>
      <c r="BG2900">
        <v>0</v>
      </c>
      <c r="BH2900">
        <v>2600</v>
      </c>
      <c r="BI2900">
        <v>1</v>
      </c>
      <c r="BJ2900">
        <v>1</v>
      </c>
      <c r="BK2900">
        <v>0</v>
      </c>
      <c r="BL2900">
        <v>0</v>
      </c>
      <c r="BO2900">
        <v>0</v>
      </c>
      <c r="BP2900">
        <v>0</v>
      </c>
      <c r="BW2900" t="str">
        <f>"14:46:23.915"</f>
        <v>14:46:23.915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2</v>
      </c>
      <c r="CP2900" t="s">
        <v>675</v>
      </c>
      <c r="CQ2900">
        <v>363</v>
      </c>
      <c r="CR2900">
        <v>0</v>
      </c>
      <c r="CW2900">
        <v>6428873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1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 t="shared" si="1359"/>
        <v>05/12/2020 14:46:06.088</v>
      </c>
      <c r="C2901" t="str">
        <f t="shared" si="1332"/>
        <v>FFDFD3C0</v>
      </c>
      <c r="D2901" t="s">
        <v>134</v>
      </c>
      <c r="E2901">
        <v>12</v>
      </c>
      <c r="H2901">
        <v>64</v>
      </c>
      <c r="I2901" t="s">
        <v>135</v>
      </c>
      <c r="J2901" t="s">
        <v>136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360"/>
        <v>14:46:23.914</v>
      </c>
      <c r="T2901" t="str">
        <f>"14:46:23.914"</f>
        <v>14:46:23.914</v>
      </c>
      <c r="U2901" t="str">
        <f t="shared" si="1355"/>
        <v>A9808D</v>
      </c>
      <c r="V2901">
        <v>0</v>
      </c>
      <c r="W2901">
        <v>0</v>
      </c>
      <c r="X2901">
        <v>1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0</v>
      </c>
      <c r="AI2901" t="s">
        <v>712</v>
      </c>
      <c r="AJ2901">
        <v>28.247523000000001</v>
      </c>
      <c r="AK2901" t="s">
        <v>713</v>
      </c>
      <c r="AL2901">
        <v>-82.298799000000002</v>
      </c>
      <c r="AM2901">
        <v>100</v>
      </c>
      <c r="AN2901">
        <v>2500</v>
      </c>
      <c r="AO2901" t="s">
        <v>118</v>
      </c>
      <c r="AP2901">
        <v>107</v>
      </c>
      <c r="AQ2901">
        <v>-7</v>
      </c>
      <c r="AR2901">
        <v>320</v>
      </c>
      <c r="AZ2901">
        <v>1200</v>
      </c>
      <c r="BA2901">
        <v>1</v>
      </c>
      <c r="BB2901" t="str">
        <f t="shared" si="1335"/>
        <v xml:space="preserve">N711JA  </v>
      </c>
      <c r="BC2901">
        <v>1</v>
      </c>
      <c r="BE2901">
        <v>0</v>
      </c>
      <c r="BF2901">
        <v>0</v>
      </c>
      <c r="BG2901">
        <v>0</v>
      </c>
      <c r="BH2901">
        <v>2600</v>
      </c>
      <c r="BI2901">
        <v>1</v>
      </c>
      <c r="BJ2901">
        <v>1</v>
      </c>
      <c r="BK2901">
        <v>0</v>
      </c>
      <c r="BL2901">
        <v>0</v>
      </c>
      <c r="BO2901">
        <v>0</v>
      </c>
      <c r="BP2901">
        <v>0</v>
      </c>
      <c r="BW2901" t="str">
        <f>"14:46:23.915"</f>
        <v>14:46:23.915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5</v>
      </c>
      <c r="CP2901" t="s">
        <v>119</v>
      </c>
      <c r="CQ2901">
        <v>9</v>
      </c>
      <c r="CR2901">
        <v>0</v>
      </c>
      <c r="CW2901">
        <v>12749005</v>
      </c>
      <c r="CY2901">
        <v>1</v>
      </c>
      <c r="CZ2901">
        <v>0</v>
      </c>
      <c r="DA2901">
        <v>1</v>
      </c>
      <c r="DB2901">
        <v>0</v>
      </c>
      <c r="DC2901">
        <v>0</v>
      </c>
      <c r="DD2901">
        <v>1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 t="shared" si="1359"/>
        <v>05/12/2020 14:46:06.088</v>
      </c>
      <c r="C2902" t="str">
        <f t="shared" ref="C2902:C2965" si="1361">"FFDFD3C0"</f>
        <v>FFDFD3C0</v>
      </c>
      <c r="D2902" t="s">
        <v>138</v>
      </c>
      <c r="E2902">
        <v>3</v>
      </c>
      <c r="H2902">
        <v>9</v>
      </c>
      <c r="I2902" t="s">
        <v>140</v>
      </c>
      <c r="J2902" t="s">
        <v>136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360"/>
        <v>14:46:23.914</v>
      </c>
      <c r="T2902" t="str">
        <f>"14:46:23.914"</f>
        <v>14:46:23.914</v>
      </c>
      <c r="U2902" t="str">
        <f t="shared" si="1355"/>
        <v>A9808D</v>
      </c>
      <c r="V2902">
        <v>0</v>
      </c>
      <c r="W2902">
        <v>0</v>
      </c>
      <c r="X2902">
        <v>1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0</v>
      </c>
      <c r="AI2902" t="s">
        <v>712</v>
      </c>
      <c r="AJ2902">
        <v>28.247523000000001</v>
      </c>
      <c r="AK2902" t="s">
        <v>713</v>
      </c>
      <c r="AL2902">
        <v>-82.298799000000002</v>
      </c>
      <c r="AM2902">
        <v>100</v>
      </c>
      <c r="AN2902">
        <v>2500</v>
      </c>
      <c r="AO2902" t="s">
        <v>118</v>
      </c>
      <c r="AP2902">
        <v>107</v>
      </c>
      <c r="AQ2902">
        <v>-7</v>
      </c>
      <c r="AR2902">
        <v>320</v>
      </c>
      <c r="AZ2902">
        <v>1200</v>
      </c>
      <c r="BA2902">
        <v>1</v>
      </c>
      <c r="BB2902" t="str">
        <f t="shared" ref="BB2902:BB2965" si="1362">"N711JA  "</f>
        <v xml:space="preserve">N711JA  </v>
      </c>
      <c r="BC2902">
        <v>1</v>
      </c>
      <c r="BE2902">
        <v>0</v>
      </c>
      <c r="BF2902">
        <v>0</v>
      </c>
      <c r="BG2902">
        <v>0</v>
      </c>
      <c r="BH2902">
        <v>2600</v>
      </c>
      <c r="BI2902">
        <v>1</v>
      </c>
      <c r="BJ2902">
        <v>1</v>
      </c>
      <c r="BK2902">
        <v>0</v>
      </c>
      <c r="BL2902">
        <v>0</v>
      </c>
      <c r="BO2902">
        <v>0</v>
      </c>
      <c r="BP2902">
        <v>0</v>
      </c>
      <c r="BW2902" t="str">
        <f>"14:46:23.915"</f>
        <v>14:46:23.915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5</v>
      </c>
      <c r="CP2902" t="s">
        <v>119</v>
      </c>
      <c r="CQ2902">
        <v>9</v>
      </c>
      <c r="CR2902">
        <v>0</v>
      </c>
      <c r="CW2902">
        <v>12749005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1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 t="shared" si="1359"/>
        <v>05/12/2020 14:46:06.088</v>
      </c>
      <c r="C2903" t="str">
        <f t="shared" si="1361"/>
        <v>FFDFD3C0</v>
      </c>
      <c r="D2903" t="s">
        <v>126</v>
      </c>
      <c r="E2903">
        <v>7</v>
      </c>
      <c r="F2903">
        <v>1007</v>
      </c>
      <c r="G2903" t="s">
        <v>127</v>
      </c>
      <c r="J2903" t="s">
        <v>128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360"/>
        <v>14:46:23.914</v>
      </c>
      <c r="T2903" t="str">
        <f>"14:46:23.914"</f>
        <v>14:46:23.914</v>
      </c>
      <c r="U2903" t="str">
        <f t="shared" si="1355"/>
        <v>A9808D</v>
      </c>
      <c r="V2903">
        <v>0</v>
      </c>
      <c r="W2903">
        <v>0</v>
      </c>
      <c r="X2903">
        <v>1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0</v>
      </c>
      <c r="AI2903" t="s">
        <v>712</v>
      </c>
      <c r="AJ2903">
        <v>28.247523000000001</v>
      </c>
      <c r="AK2903" t="s">
        <v>713</v>
      </c>
      <c r="AL2903">
        <v>-82.298799000000002</v>
      </c>
      <c r="AM2903">
        <v>100</v>
      </c>
      <c r="AN2903">
        <v>2500</v>
      </c>
      <c r="AO2903" t="s">
        <v>118</v>
      </c>
      <c r="AP2903">
        <v>107</v>
      </c>
      <c r="AQ2903">
        <v>-7</v>
      </c>
      <c r="AR2903">
        <v>320</v>
      </c>
      <c r="AZ2903">
        <v>1200</v>
      </c>
      <c r="BA2903">
        <v>1</v>
      </c>
      <c r="BB2903" t="str">
        <f t="shared" si="1362"/>
        <v xml:space="preserve">N711JA  </v>
      </c>
      <c r="BC2903">
        <v>1</v>
      </c>
      <c r="BE2903">
        <v>0</v>
      </c>
      <c r="BF2903">
        <v>0</v>
      </c>
      <c r="BG2903">
        <v>0</v>
      </c>
      <c r="BH2903">
        <v>2600</v>
      </c>
      <c r="BI2903">
        <v>1</v>
      </c>
      <c r="BJ2903">
        <v>1</v>
      </c>
      <c r="BK2903">
        <v>0</v>
      </c>
      <c r="BL2903">
        <v>0</v>
      </c>
      <c r="BO2903">
        <v>0</v>
      </c>
      <c r="BP2903">
        <v>0</v>
      </c>
      <c r="BW2903" t="str">
        <f>"14:46:23.916"</f>
        <v>14:46:23.916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5</v>
      </c>
      <c r="CP2903" t="s">
        <v>119</v>
      </c>
      <c r="CQ2903">
        <v>62</v>
      </c>
      <c r="CR2903">
        <v>1</v>
      </c>
      <c r="CW2903">
        <v>12852481</v>
      </c>
      <c r="CY2903">
        <v>1</v>
      </c>
      <c r="CZ2903">
        <v>0</v>
      </c>
      <c r="DA2903">
        <v>1</v>
      </c>
      <c r="DB2903">
        <v>0</v>
      </c>
      <c r="DC2903">
        <v>0</v>
      </c>
      <c r="DD2903">
        <v>1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 t="shared" si="1359"/>
        <v>05/12/2020 14:46:06.088</v>
      </c>
      <c r="C2904" t="str">
        <f t="shared" si="1361"/>
        <v>FFDFD3C0</v>
      </c>
      <c r="D2904" t="s">
        <v>131</v>
      </c>
      <c r="E2904">
        <v>10</v>
      </c>
      <c r="F2904">
        <v>2010</v>
      </c>
      <c r="G2904" t="s">
        <v>132</v>
      </c>
      <c r="J2904" t="s">
        <v>133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360"/>
        <v>14:46:23.914</v>
      </c>
      <c r="T2904" t="str">
        <f>"14:46:23.914"</f>
        <v>14:46:23.914</v>
      </c>
      <c r="U2904" t="str">
        <f t="shared" si="1355"/>
        <v>A9808D</v>
      </c>
      <c r="V2904">
        <v>0</v>
      </c>
      <c r="W2904">
        <v>0</v>
      </c>
      <c r="X2904">
        <v>1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0</v>
      </c>
      <c r="AI2904" t="s">
        <v>712</v>
      </c>
      <c r="AJ2904">
        <v>28.247523000000001</v>
      </c>
      <c r="AK2904" t="s">
        <v>713</v>
      </c>
      <c r="AL2904">
        <v>-82.298799000000002</v>
      </c>
      <c r="AM2904">
        <v>100</v>
      </c>
      <c r="AN2904">
        <v>2500</v>
      </c>
      <c r="AO2904" t="s">
        <v>118</v>
      </c>
      <c r="AP2904">
        <v>107</v>
      </c>
      <c r="AQ2904">
        <v>-7</v>
      </c>
      <c r="AR2904">
        <v>320</v>
      </c>
      <c r="AZ2904">
        <v>1200</v>
      </c>
      <c r="BA2904">
        <v>1</v>
      </c>
      <c r="BB2904" t="str">
        <f t="shared" si="1362"/>
        <v xml:space="preserve">N711JA  </v>
      </c>
      <c r="BC2904">
        <v>1</v>
      </c>
      <c r="BE2904">
        <v>0</v>
      </c>
      <c r="BF2904">
        <v>0</v>
      </c>
      <c r="BG2904">
        <v>0</v>
      </c>
      <c r="BH2904">
        <v>2600</v>
      </c>
      <c r="BI2904">
        <v>1</v>
      </c>
      <c r="BJ2904">
        <v>1</v>
      </c>
      <c r="BK2904">
        <v>0</v>
      </c>
      <c r="BL2904">
        <v>0</v>
      </c>
      <c r="BO2904">
        <v>0</v>
      </c>
      <c r="BP2904">
        <v>0</v>
      </c>
      <c r="BW2904" t="str">
        <f>"14:46:23.915"</f>
        <v>14:46:23.915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5</v>
      </c>
      <c r="CP2904" t="s">
        <v>119</v>
      </c>
      <c r="CQ2904">
        <v>9</v>
      </c>
      <c r="CR2904">
        <v>0</v>
      </c>
      <c r="CW2904">
        <v>12749005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1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 t="shared" si="1359"/>
        <v>05/12/2020 14:46:06.088</v>
      </c>
      <c r="C2905" t="str">
        <f t="shared" si="1361"/>
        <v>FFDFD3C0</v>
      </c>
      <c r="D2905" t="s">
        <v>131</v>
      </c>
      <c r="E2905">
        <v>12</v>
      </c>
      <c r="F2905">
        <v>2012</v>
      </c>
      <c r="G2905" t="s">
        <v>137</v>
      </c>
      <c r="J2905" t="s">
        <v>133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360"/>
        <v>14:46:23.914</v>
      </c>
      <c r="T2905" t="str">
        <f>"14:46:23.314"</f>
        <v>14:46:23.314</v>
      </c>
      <c r="U2905" t="str">
        <f t="shared" si="1355"/>
        <v>A9808D</v>
      </c>
      <c r="V2905">
        <v>0</v>
      </c>
      <c r="W2905">
        <v>0</v>
      </c>
      <c r="X2905">
        <v>1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0</v>
      </c>
      <c r="AI2905" t="s">
        <v>712</v>
      </c>
      <c r="AJ2905">
        <v>28.247523000000001</v>
      </c>
      <c r="AK2905" t="s">
        <v>713</v>
      </c>
      <c r="AL2905">
        <v>-82.298799000000002</v>
      </c>
      <c r="AM2905">
        <v>100</v>
      </c>
      <c r="AN2905">
        <v>2500</v>
      </c>
      <c r="AO2905" t="s">
        <v>118</v>
      </c>
      <c r="AP2905">
        <v>107</v>
      </c>
      <c r="AQ2905">
        <v>-7</v>
      </c>
      <c r="AR2905">
        <v>192</v>
      </c>
      <c r="AZ2905">
        <v>1200</v>
      </c>
      <c r="BA2905">
        <v>1</v>
      </c>
      <c r="BB2905" t="str">
        <f t="shared" si="1362"/>
        <v xml:space="preserve">N711JA  </v>
      </c>
      <c r="BC2905">
        <v>1</v>
      </c>
      <c r="BE2905">
        <v>0</v>
      </c>
      <c r="BF2905">
        <v>0</v>
      </c>
      <c r="BG2905">
        <v>0</v>
      </c>
      <c r="BH2905">
        <v>2600</v>
      </c>
      <c r="BI2905">
        <v>1</v>
      </c>
      <c r="BJ2905">
        <v>1</v>
      </c>
      <c r="BK2905">
        <v>0</v>
      </c>
      <c r="BL2905">
        <v>0</v>
      </c>
      <c r="BO2905">
        <v>0</v>
      </c>
      <c r="BP2905">
        <v>0</v>
      </c>
      <c r="BW2905" t="str">
        <f>"14:46:23.915"</f>
        <v>14:46:23.915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2</v>
      </c>
      <c r="CP2905" t="s">
        <v>675</v>
      </c>
      <c r="CQ2905">
        <v>363</v>
      </c>
      <c r="CR2905">
        <v>0</v>
      </c>
      <c r="CW2905">
        <v>6428873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1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 t="shared" si="1359"/>
        <v>05/12/2020 14:46:06.088</v>
      </c>
      <c r="C2906" t="str">
        <f t="shared" si="1361"/>
        <v>FFDFD3C0</v>
      </c>
      <c r="D2906" t="s">
        <v>131</v>
      </c>
      <c r="E2906">
        <v>18</v>
      </c>
      <c r="F2906">
        <v>2018</v>
      </c>
      <c r="G2906" t="s">
        <v>161</v>
      </c>
      <c r="J2906" t="s">
        <v>133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360"/>
        <v>14:46:23.914</v>
      </c>
      <c r="T2906" t="str">
        <f>"14:46:23.914"</f>
        <v>14:46:23.914</v>
      </c>
      <c r="U2906" t="str">
        <f t="shared" si="1355"/>
        <v>A9808D</v>
      </c>
      <c r="V2906">
        <v>0</v>
      </c>
      <c r="W2906">
        <v>0</v>
      </c>
      <c r="X2906">
        <v>1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0</v>
      </c>
      <c r="AI2906" t="s">
        <v>712</v>
      </c>
      <c r="AJ2906">
        <v>28.247523000000001</v>
      </c>
      <c r="AK2906" t="s">
        <v>713</v>
      </c>
      <c r="AL2906">
        <v>-82.298799000000002</v>
      </c>
      <c r="AM2906">
        <v>100</v>
      </c>
      <c r="AN2906">
        <v>2500</v>
      </c>
      <c r="AO2906" t="s">
        <v>118</v>
      </c>
      <c r="AP2906">
        <v>107</v>
      </c>
      <c r="AQ2906">
        <v>-7</v>
      </c>
      <c r="AR2906">
        <v>320</v>
      </c>
      <c r="AZ2906">
        <v>1200</v>
      </c>
      <c r="BA2906">
        <v>1</v>
      </c>
      <c r="BB2906" t="str">
        <f t="shared" si="1362"/>
        <v xml:space="preserve">N711JA  </v>
      </c>
      <c r="BC2906">
        <v>1</v>
      </c>
      <c r="BE2906">
        <v>0</v>
      </c>
      <c r="BF2906">
        <v>0</v>
      </c>
      <c r="BG2906">
        <v>0</v>
      </c>
      <c r="BH2906">
        <v>2600</v>
      </c>
      <c r="BI2906">
        <v>1</v>
      </c>
      <c r="BJ2906">
        <v>1</v>
      </c>
      <c r="BK2906">
        <v>0</v>
      </c>
      <c r="BL2906">
        <v>0</v>
      </c>
      <c r="BO2906">
        <v>0</v>
      </c>
      <c r="BP2906">
        <v>0</v>
      </c>
      <c r="BW2906" t="str">
        <f>"14:46:23.916"</f>
        <v>14:46:23.916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5</v>
      </c>
      <c r="CP2906" t="s">
        <v>119</v>
      </c>
      <c r="CQ2906">
        <v>62</v>
      </c>
      <c r="CR2906">
        <v>1</v>
      </c>
      <c r="CW2906">
        <v>12852481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1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 t="shared" si="1359"/>
        <v>05/12/2020 14:46:06.088</v>
      </c>
      <c r="C2907" t="str">
        <f t="shared" si="1361"/>
        <v>FFDFD3C0</v>
      </c>
      <c r="D2907" t="s">
        <v>113</v>
      </c>
      <c r="E2907">
        <v>3</v>
      </c>
      <c r="H2907">
        <v>164</v>
      </c>
      <c r="I2907" t="s">
        <v>114</v>
      </c>
      <c r="J2907" t="s">
        <v>115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360"/>
        <v>14:46:23.914</v>
      </c>
      <c r="T2907" t="str">
        <f>"14:46:23.914"</f>
        <v>14:46:23.914</v>
      </c>
      <c r="U2907" t="str">
        <f t="shared" si="1355"/>
        <v>A9808D</v>
      </c>
      <c r="V2907">
        <v>0</v>
      </c>
      <c r="W2907">
        <v>0</v>
      </c>
      <c r="X2907">
        <v>1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0</v>
      </c>
      <c r="AI2907" t="s">
        <v>712</v>
      </c>
      <c r="AJ2907">
        <v>28.247523000000001</v>
      </c>
      <c r="AK2907" t="s">
        <v>713</v>
      </c>
      <c r="AL2907">
        <v>-82.298799000000002</v>
      </c>
      <c r="AM2907">
        <v>100</v>
      </c>
      <c r="AN2907">
        <v>2500</v>
      </c>
      <c r="AO2907" t="s">
        <v>118</v>
      </c>
      <c r="AP2907">
        <v>107</v>
      </c>
      <c r="AQ2907">
        <v>-7</v>
      </c>
      <c r="AR2907">
        <v>320</v>
      </c>
      <c r="AZ2907">
        <v>1200</v>
      </c>
      <c r="BA2907">
        <v>1</v>
      </c>
      <c r="BB2907" t="str">
        <f t="shared" si="1362"/>
        <v xml:space="preserve">N711JA  </v>
      </c>
      <c r="BC2907">
        <v>1</v>
      </c>
      <c r="BE2907">
        <v>0</v>
      </c>
      <c r="BF2907">
        <v>0</v>
      </c>
      <c r="BG2907">
        <v>0</v>
      </c>
      <c r="BH2907">
        <v>2600</v>
      </c>
      <c r="BI2907">
        <v>1</v>
      </c>
      <c r="BJ2907">
        <v>1</v>
      </c>
      <c r="BK2907">
        <v>0</v>
      </c>
      <c r="BL2907">
        <v>0</v>
      </c>
      <c r="BO2907">
        <v>0</v>
      </c>
      <c r="BP2907">
        <v>0</v>
      </c>
      <c r="BW2907" t="str">
        <f>"14:46:23.916"</f>
        <v>14:46:23.916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5</v>
      </c>
      <c r="CP2907" t="s">
        <v>119</v>
      </c>
      <c r="CQ2907">
        <v>62</v>
      </c>
      <c r="CR2907">
        <v>1</v>
      </c>
      <c r="CW2907">
        <v>12852481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1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 t="shared" ref="A2908:A2915" si="1363">"05/12/2020 14:46:07.145"</f>
        <v>05/12/2020 14:46:07.145</v>
      </c>
      <c r="C2908" t="str">
        <f t="shared" si="1361"/>
        <v>FFDFD3C0</v>
      </c>
      <c r="D2908" t="s">
        <v>126</v>
      </c>
      <c r="E2908">
        <v>6</v>
      </c>
      <c r="F2908">
        <v>1006</v>
      </c>
      <c r="G2908" t="s">
        <v>114</v>
      </c>
      <c r="J2908" t="s">
        <v>128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ref="S2908:S2915" si="1364">"14:46:24.969"</f>
        <v>14:46:24.969</v>
      </c>
      <c r="T2908" t="str">
        <f>"14:46:24.869"</f>
        <v>14:46:24.869</v>
      </c>
      <c r="U2908" t="str">
        <f t="shared" si="1355"/>
        <v>A9808D</v>
      </c>
      <c r="V2908">
        <v>0</v>
      </c>
      <c r="W2908">
        <v>0</v>
      </c>
      <c r="X2908">
        <v>1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0</v>
      </c>
      <c r="AI2908" t="s">
        <v>714</v>
      </c>
      <c r="AJ2908">
        <v>28.247479999999999</v>
      </c>
      <c r="AK2908" t="s">
        <v>715</v>
      </c>
      <c r="AL2908">
        <v>-82.298197999999999</v>
      </c>
      <c r="AM2908">
        <v>100</v>
      </c>
      <c r="AN2908">
        <v>2500</v>
      </c>
      <c r="AO2908" t="s">
        <v>118</v>
      </c>
      <c r="AP2908">
        <v>107</v>
      </c>
      <c r="AQ2908">
        <v>-7</v>
      </c>
      <c r="AR2908">
        <v>512</v>
      </c>
      <c r="AZ2908">
        <v>1200</v>
      </c>
      <c r="BA2908">
        <v>1</v>
      </c>
      <c r="BB2908" t="str">
        <f t="shared" si="1362"/>
        <v xml:space="preserve">N711JA  </v>
      </c>
      <c r="BC2908">
        <v>1</v>
      </c>
      <c r="BE2908">
        <v>0</v>
      </c>
      <c r="BF2908">
        <v>0</v>
      </c>
      <c r="BG2908">
        <v>0</v>
      </c>
      <c r="BH2908">
        <v>2600</v>
      </c>
      <c r="BI2908">
        <v>1</v>
      </c>
      <c r="BJ2908">
        <v>1</v>
      </c>
      <c r="BK2908">
        <v>0</v>
      </c>
      <c r="BL2908">
        <v>0</v>
      </c>
      <c r="BO2908">
        <v>0</v>
      </c>
      <c r="BP2908">
        <v>0</v>
      </c>
      <c r="BW2908" t="str">
        <f t="shared" ref="BW2908:BW2915" si="1365">"14:46:24.973"</f>
        <v>14:46:24.973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5</v>
      </c>
      <c r="CP2908" t="s">
        <v>119</v>
      </c>
      <c r="CQ2908">
        <v>358</v>
      </c>
      <c r="CR2908">
        <v>0</v>
      </c>
      <c r="CW2908">
        <v>4908772</v>
      </c>
      <c r="CY2908">
        <v>1</v>
      </c>
      <c r="CZ2908">
        <v>0</v>
      </c>
      <c r="DA2908">
        <v>0</v>
      </c>
      <c r="DB2908">
        <v>0</v>
      </c>
      <c r="DC2908">
        <v>0</v>
      </c>
      <c r="DD2908">
        <v>1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 t="shared" si="1363"/>
        <v>05/12/2020 14:46:07.145</v>
      </c>
      <c r="C2909" t="str">
        <f t="shared" si="1361"/>
        <v>FFDFD3C0</v>
      </c>
      <c r="D2909" t="s">
        <v>131</v>
      </c>
      <c r="E2909">
        <v>12</v>
      </c>
      <c r="F2909">
        <v>2012</v>
      </c>
      <c r="G2909" t="s">
        <v>137</v>
      </c>
      <c r="J2909" t="s">
        <v>133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364"/>
        <v>14:46:24.969</v>
      </c>
      <c r="T2909" t="str">
        <f>"14:46:24.369"</f>
        <v>14:46:24.369</v>
      </c>
      <c r="U2909" t="str">
        <f t="shared" si="1355"/>
        <v>A9808D</v>
      </c>
      <c r="V2909">
        <v>0</v>
      </c>
      <c r="W2909">
        <v>0</v>
      </c>
      <c r="X2909">
        <v>1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0</v>
      </c>
      <c r="AI2909" t="s">
        <v>714</v>
      </c>
      <c r="AJ2909">
        <v>28.247479999999999</v>
      </c>
      <c r="AK2909" t="s">
        <v>715</v>
      </c>
      <c r="AL2909">
        <v>-82.298197999999999</v>
      </c>
      <c r="AM2909">
        <v>100</v>
      </c>
      <c r="AN2909">
        <v>2500</v>
      </c>
      <c r="AO2909" t="s">
        <v>118</v>
      </c>
      <c r="AP2909">
        <v>107</v>
      </c>
      <c r="AQ2909">
        <v>-7</v>
      </c>
      <c r="AR2909">
        <v>512</v>
      </c>
      <c r="AZ2909">
        <v>1200</v>
      </c>
      <c r="BA2909">
        <v>1</v>
      </c>
      <c r="BB2909" t="str">
        <f t="shared" si="1362"/>
        <v xml:space="preserve">N711JA  </v>
      </c>
      <c r="BC2909">
        <v>1</v>
      </c>
      <c r="BE2909">
        <v>0</v>
      </c>
      <c r="BF2909">
        <v>0</v>
      </c>
      <c r="BG2909">
        <v>0</v>
      </c>
      <c r="BH2909">
        <v>2600</v>
      </c>
      <c r="BI2909">
        <v>1</v>
      </c>
      <c r="BJ2909">
        <v>1</v>
      </c>
      <c r="BK2909">
        <v>0</v>
      </c>
      <c r="BL2909">
        <v>0</v>
      </c>
      <c r="BO2909">
        <v>0</v>
      </c>
      <c r="BP2909">
        <v>0</v>
      </c>
      <c r="BW2909" t="str">
        <f t="shared" si="1365"/>
        <v>14:46:24.973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1</v>
      </c>
      <c r="CP2909" t="s">
        <v>675</v>
      </c>
      <c r="CQ2909">
        <v>362</v>
      </c>
      <c r="CR2909">
        <v>0</v>
      </c>
      <c r="CW2909">
        <v>2364385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1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 t="shared" si="1363"/>
        <v>05/12/2020 14:46:07.145</v>
      </c>
      <c r="C2910" t="str">
        <f t="shared" si="1361"/>
        <v>FFDFD3C0</v>
      </c>
      <c r="D2910" t="s">
        <v>113</v>
      </c>
      <c r="E2910">
        <v>3</v>
      </c>
      <c r="H2910">
        <v>164</v>
      </c>
      <c r="I2910" t="s">
        <v>114</v>
      </c>
      <c r="J2910" t="s">
        <v>115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364"/>
        <v>14:46:24.969</v>
      </c>
      <c r="T2910" t="str">
        <f>"14:46:24.869"</f>
        <v>14:46:24.869</v>
      </c>
      <c r="U2910" t="str">
        <f t="shared" si="1355"/>
        <v>A9808D</v>
      </c>
      <c r="V2910">
        <v>0</v>
      </c>
      <c r="W2910">
        <v>0</v>
      </c>
      <c r="X2910">
        <v>1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0</v>
      </c>
      <c r="AI2910" t="s">
        <v>714</v>
      </c>
      <c r="AJ2910">
        <v>28.247479999999999</v>
      </c>
      <c r="AK2910" t="s">
        <v>715</v>
      </c>
      <c r="AL2910">
        <v>-82.298197999999999</v>
      </c>
      <c r="AM2910">
        <v>100</v>
      </c>
      <c r="AN2910">
        <v>2500</v>
      </c>
      <c r="AO2910" t="s">
        <v>118</v>
      </c>
      <c r="AP2910">
        <v>107</v>
      </c>
      <c r="AQ2910">
        <v>-7</v>
      </c>
      <c r="AR2910">
        <v>512</v>
      </c>
      <c r="AZ2910">
        <v>1200</v>
      </c>
      <c r="BA2910">
        <v>1</v>
      </c>
      <c r="BB2910" t="str">
        <f t="shared" si="1362"/>
        <v xml:space="preserve">N711JA  </v>
      </c>
      <c r="BC2910">
        <v>1</v>
      </c>
      <c r="BE2910">
        <v>0</v>
      </c>
      <c r="BF2910">
        <v>0</v>
      </c>
      <c r="BG2910">
        <v>0</v>
      </c>
      <c r="BH2910">
        <v>2600</v>
      </c>
      <c r="BI2910">
        <v>1</v>
      </c>
      <c r="BJ2910">
        <v>1</v>
      </c>
      <c r="BK2910">
        <v>0</v>
      </c>
      <c r="BL2910">
        <v>0</v>
      </c>
      <c r="BO2910">
        <v>0</v>
      </c>
      <c r="BP2910">
        <v>0</v>
      </c>
      <c r="BW2910" t="str">
        <f t="shared" si="1365"/>
        <v>14:46:24.973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2</v>
      </c>
      <c r="CP2910" t="s">
        <v>119</v>
      </c>
      <c r="CQ2910">
        <v>9</v>
      </c>
      <c r="CR2910">
        <v>2</v>
      </c>
      <c r="CW2910">
        <v>4294592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1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 t="shared" si="1363"/>
        <v>05/12/2020 14:46:07.145</v>
      </c>
      <c r="C2911" t="str">
        <f t="shared" si="1361"/>
        <v>FFDFD3C0</v>
      </c>
      <c r="D2911" t="s">
        <v>138</v>
      </c>
      <c r="E2911">
        <v>2</v>
      </c>
      <c r="H2911">
        <v>8</v>
      </c>
      <c r="I2911" t="s">
        <v>139</v>
      </c>
      <c r="J2911" t="s">
        <v>136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364"/>
        <v>14:46:24.969</v>
      </c>
      <c r="T2911" t="str">
        <f>"14:46:24.369"</f>
        <v>14:46:24.369</v>
      </c>
      <c r="U2911" t="str">
        <f t="shared" si="1355"/>
        <v>A9808D</v>
      </c>
      <c r="V2911">
        <v>0</v>
      </c>
      <c r="W2911">
        <v>0</v>
      </c>
      <c r="X2911">
        <v>1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0</v>
      </c>
      <c r="AI2911" t="s">
        <v>714</v>
      </c>
      <c r="AJ2911">
        <v>28.247479999999999</v>
      </c>
      <c r="AK2911" t="s">
        <v>715</v>
      </c>
      <c r="AL2911">
        <v>-82.298197999999999</v>
      </c>
      <c r="AM2911">
        <v>100</v>
      </c>
      <c r="AN2911">
        <v>2500</v>
      </c>
      <c r="AO2911" t="s">
        <v>118</v>
      </c>
      <c r="AP2911">
        <v>107</v>
      </c>
      <c r="AQ2911">
        <v>-7</v>
      </c>
      <c r="AR2911">
        <v>512</v>
      </c>
      <c r="AZ2911">
        <v>1200</v>
      </c>
      <c r="BA2911">
        <v>1</v>
      </c>
      <c r="BB2911" t="str">
        <f t="shared" si="1362"/>
        <v xml:space="preserve">N711JA  </v>
      </c>
      <c r="BC2911">
        <v>1</v>
      </c>
      <c r="BE2911">
        <v>0</v>
      </c>
      <c r="BF2911">
        <v>0</v>
      </c>
      <c r="BG2911">
        <v>0</v>
      </c>
      <c r="BH2911">
        <v>2600</v>
      </c>
      <c r="BI2911">
        <v>1</v>
      </c>
      <c r="BJ2911">
        <v>1</v>
      </c>
      <c r="BK2911">
        <v>0</v>
      </c>
      <c r="BL2911">
        <v>0</v>
      </c>
      <c r="BO2911">
        <v>0</v>
      </c>
      <c r="BP2911">
        <v>0</v>
      </c>
      <c r="BW2911" t="str">
        <f t="shared" si="1365"/>
        <v>14:46:24.973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1</v>
      </c>
      <c r="CP2911" t="s">
        <v>675</v>
      </c>
      <c r="CQ2911">
        <v>362</v>
      </c>
      <c r="CR2911">
        <v>0</v>
      </c>
      <c r="CW2911">
        <v>2364385</v>
      </c>
      <c r="CY2911">
        <v>1</v>
      </c>
      <c r="CZ2911">
        <v>0</v>
      </c>
      <c r="DA2911">
        <v>1</v>
      </c>
      <c r="DB2911">
        <v>0</v>
      </c>
      <c r="DC2911">
        <v>0</v>
      </c>
      <c r="DD2911">
        <v>1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 t="shared" si="1363"/>
        <v>05/12/2020 14:46:07.145</v>
      </c>
      <c r="C2912" t="str">
        <f t="shared" si="1361"/>
        <v>FFDFD3C0</v>
      </c>
      <c r="D2912" t="s">
        <v>134</v>
      </c>
      <c r="E2912">
        <v>12</v>
      </c>
      <c r="H2912">
        <v>64</v>
      </c>
      <c r="I2912" t="s">
        <v>135</v>
      </c>
      <c r="J2912" t="s">
        <v>136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364"/>
        <v>14:46:24.969</v>
      </c>
      <c r="T2912" t="str">
        <f>"14:46:24.869"</f>
        <v>14:46:24.869</v>
      </c>
      <c r="U2912" t="str">
        <f t="shared" si="1355"/>
        <v>A9808D</v>
      </c>
      <c r="V2912">
        <v>0</v>
      </c>
      <c r="W2912">
        <v>0</v>
      </c>
      <c r="X2912">
        <v>1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0</v>
      </c>
      <c r="AI2912" t="s">
        <v>714</v>
      </c>
      <c r="AJ2912">
        <v>28.247479999999999</v>
      </c>
      <c r="AK2912" t="s">
        <v>715</v>
      </c>
      <c r="AL2912">
        <v>-82.298197999999999</v>
      </c>
      <c r="AM2912">
        <v>100</v>
      </c>
      <c r="AN2912">
        <v>2500</v>
      </c>
      <c r="AO2912" t="s">
        <v>118</v>
      </c>
      <c r="AP2912">
        <v>107</v>
      </c>
      <c r="AQ2912">
        <v>-7</v>
      </c>
      <c r="AR2912">
        <v>512</v>
      </c>
      <c r="AZ2912">
        <v>1200</v>
      </c>
      <c r="BA2912">
        <v>1</v>
      </c>
      <c r="BB2912" t="str">
        <f t="shared" si="1362"/>
        <v xml:space="preserve">N711JA  </v>
      </c>
      <c r="BC2912">
        <v>1</v>
      </c>
      <c r="BE2912">
        <v>0</v>
      </c>
      <c r="BF2912">
        <v>0</v>
      </c>
      <c r="BG2912">
        <v>0</v>
      </c>
      <c r="BH2912">
        <v>2600</v>
      </c>
      <c r="BI2912">
        <v>1</v>
      </c>
      <c r="BJ2912">
        <v>1</v>
      </c>
      <c r="BK2912">
        <v>0</v>
      </c>
      <c r="BL2912">
        <v>0</v>
      </c>
      <c r="BO2912">
        <v>0</v>
      </c>
      <c r="BP2912">
        <v>0</v>
      </c>
      <c r="BW2912" t="str">
        <f t="shared" si="1365"/>
        <v>14:46:24.973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5</v>
      </c>
      <c r="CP2912" t="s">
        <v>119</v>
      </c>
      <c r="CQ2912">
        <v>358</v>
      </c>
      <c r="CR2912">
        <v>0</v>
      </c>
      <c r="CW2912">
        <v>4908772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1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 t="shared" si="1363"/>
        <v>05/12/2020 14:46:07.145</v>
      </c>
      <c r="C2913" t="str">
        <f t="shared" si="1361"/>
        <v>FFDFD3C0</v>
      </c>
      <c r="D2913" t="s">
        <v>126</v>
      </c>
      <c r="E2913">
        <v>7</v>
      </c>
      <c r="F2913">
        <v>1007</v>
      </c>
      <c r="G2913" t="s">
        <v>127</v>
      </c>
      <c r="J2913" t="s">
        <v>128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364"/>
        <v>14:46:24.969</v>
      </c>
      <c r="T2913" t="str">
        <f>"14:46:24.869"</f>
        <v>14:46:24.869</v>
      </c>
      <c r="U2913" t="str">
        <f t="shared" si="1355"/>
        <v>A9808D</v>
      </c>
      <c r="V2913">
        <v>0</v>
      </c>
      <c r="W2913">
        <v>0</v>
      </c>
      <c r="X2913">
        <v>1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0</v>
      </c>
      <c r="AI2913" t="s">
        <v>714</v>
      </c>
      <c r="AJ2913">
        <v>28.247479999999999</v>
      </c>
      <c r="AK2913" t="s">
        <v>715</v>
      </c>
      <c r="AL2913">
        <v>-82.298197999999999</v>
      </c>
      <c r="AM2913">
        <v>100</v>
      </c>
      <c r="AN2913">
        <v>2500</v>
      </c>
      <c r="AO2913" t="s">
        <v>118</v>
      </c>
      <c r="AP2913">
        <v>107</v>
      </c>
      <c r="AQ2913">
        <v>-7</v>
      </c>
      <c r="AR2913">
        <v>512</v>
      </c>
      <c r="AZ2913">
        <v>1200</v>
      </c>
      <c r="BA2913">
        <v>1</v>
      </c>
      <c r="BB2913" t="str">
        <f t="shared" si="1362"/>
        <v xml:space="preserve">N711JA  </v>
      </c>
      <c r="BC2913">
        <v>1</v>
      </c>
      <c r="BE2913">
        <v>0</v>
      </c>
      <c r="BF2913">
        <v>0</v>
      </c>
      <c r="BG2913">
        <v>0</v>
      </c>
      <c r="BH2913">
        <v>2600</v>
      </c>
      <c r="BI2913">
        <v>1</v>
      </c>
      <c r="BJ2913">
        <v>1</v>
      </c>
      <c r="BK2913">
        <v>0</v>
      </c>
      <c r="BL2913">
        <v>0</v>
      </c>
      <c r="BO2913">
        <v>0</v>
      </c>
      <c r="BP2913">
        <v>0</v>
      </c>
      <c r="BW2913" t="str">
        <f t="shared" si="1365"/>
        <v>14:46:24.973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5</v>
      </c>
      <c r="CP2913" t="s">
        <v>119</v>
      </c>
      <c r="CQ2913">
        <v>358</v>
      </c>
      <c r="CR2913">
        <v>0</v>
      </c>
      <c r="CW2913">
        <v>4908772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1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 t="shared" si="1363"/>
        <v>05/12/2020 14:46:07.145</v>
      </c>
      <c r="C2914" t="str">
        <f t="shared" si="1361"/>
        <v>FFDFD3C0</v>
      </c>
      <c r="D2914" t="s">
        <v>131</v>
      </c>
      <c r="E2914">
        <v>10</v>
      </c>
      <c r="F2914">
        <v>2010</v>
      </c>
      <c r="G2914" t="s">
        <v>132</v>
      </c>
      <c r="J2914" t="s">
        <v>133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364"/>
        <v>14:46:24.969</v>
      </c>
      <c r="T2914" t="str">
        <f>"14:46:24.869"</f>
        <v>14:46:24.869</v>
      </c>
      <c r="U2914" t="str">
        <f t="shared" si="1355"/>
        <v>A9808D</v>
      </c>
      <c r="V2914">
        <v>0</v>
      </c>
      <c r="W2914">
        <v>0</v>
      </c>
      <c r="X2914">
        <v>1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0</v>
      </c>
      <c r="AI2914" t="s">
        <v>714</v>
      </c>
      <c r="AJ2914">
        <v>28.247479999999999</v>
      </c>
      <c r="AK2914" t="s">
        <v>715</v>
      </c>
      <c r="AL2914">
        <v>-82.298197999999999</v>
      </c>
      <c r="AM2914">
        <v>100</v>
      </c>
      <c r="AN2914">
        <v>2500</v>
      </c>
      <c r="AO2914" t="s">
        <v>118</v>
      </c>
      <c r="AP2914">
        <v>107</v>
      </c>
      <c r="AQ2914">
        <v>-7</v>
      </c>
      <c r="AR2914">
        <v>512</v>
      </c>
      <c r="AZ2914">
        <v>1200</v>
      </c>
      <c r="BA2914">
        <v>1</v>
      </c>
      <c r="BB2914" t="str">
        <f t="shared" si="1362"/>
        <v xml:space="preserve">N711JA  </v>
      </c>
      <c r="BC2914">
        <v>1</v>
      </c>
      <c r="BE2914">
        <v>0</v>
      </c>
      <c r="BF2914">
        <v>0</v>
      </c>
      <c r="BG2914">
        <v>0</v>
      </c>
      <c r="BH2914">
        <v>2600</v>
      </c>
      <c r="BI2914">
        <v>1</v>
      </c>
      <c r="BJ2914">
        <v>1</v>
      </c>
      <c r="BK2914">
        <v>0</v>
      </c>
      <c r="BL2914">
        <v>0</v>
      </c>
      <c r="BO2914">
        <v>0</v>
      </c>
      <c r="BP2914">
        <v>0</v>
      </c>
      <c r="BW2914" t="str">
        <f t="shared" si="1365"/>
        <v>14:46:24.973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5</v>
      </c>
      <c r="CP2914" t="s">
        <v>119</v>
      </c>
      <c r="CQ2914">
        <v>358</v>
      </c>
      <c r="CR2914">
        <v>0</v>
      </c>
      <c r="CW2914">
        <v>4908772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1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 t="shared" si="1363"/>
        <v>05/12/2020 14:46:07.145</v>
      </c>
      <c r="C2915" t="str">
        <f t="shared" si="1361"/>
        <v>FFDFD3C0</v>
      </c>
      <c r="D2915" t="s">
        <v>138</v>
      </c>
      <c r="E2915">
        <v>3</v>
      </c>
      <c r="H2915">
        <v>9</v>
      </c>
      <c r="I2915" t="s">
        <v>140</v>
      </c>
      <c r="J2915" t="s">
        <v>136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364"/>
        <v>14:46:24.969</v>
      </c>
      <c r="T2915" t="str">
        <f>"14:46:24.869"</f>
        <v>14:46:24.869</v>
      </c>
      <c r="U2915" t="str">
        <f t="shared" si="1355"/>
        <v>A9808D</v>
      </c>
      <c r="V2915">
        <v>0</v>
      </c>
      <c r="W2915">
        <v>0</v>
      </c>
      <c r="X2915">
        <v>1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0</v>
      </c>
      <c r="AI2915" t="s">
        <v>714</v>
      </c>
      <c r="AJ2915">
        <v>28.247479999999999</v>
      </c>
      <c r="AK2915" t="s">
        <v>715</v>
      </c>
      <c r="AL2915">
        <v>-82.298197999999999</v>
      </c>
      <c r="AM2915">
        <v>100</v>
      </c>
      <c r="AN2915">
        <v>2500</v>
      </c>
      <c r="AO2915" t="s">
        <v>118</v>
      </c>
      <c r="AP2915">
        <v>107</v>
      </c>
      <c r="AQ2915">
        <v>-7</v>
      </c>
      <c r="AR2915">
        <v>512</v>
      </c>
      <c r="AZ2915">
        <v>1200</v>
      </c>
      <c r="BA2915">
        <v>1</v>
      </c>
      <c r="BB2915" t="str">
        <f t="shared" si="1362"/>
        <v xml:space="preserve">N711JA  </v>
      </c>
      <c r="BC2915">
        <v>1</v>
      </c>
      <c r="BE2915">
        <v>0</v>
      </c>
      <c r="BF2915">
        <v>0</v>
      </c>
      <c r="BG2915">
        <v>0</v>
      </c>
      <c r="BH2915">
        <v>2600</v>
      </c>
      <c r="BI2915">
        <v>1</v>
      </c>
      <c r="BJ2915">
        <v>1</v>
      </c>
      <c r="BK2915">
        <v>0</v>
      </c>
      <c r="BL2915">
        <v>0</v>
      </c>
      <c r="BO2915">
        <v>0</v>
      </c>
      <c r="BP2915">
        <v>0</v>
      </c>
      <c r="BW2915" t="str">
        <f t="shared" si="1365"/>
        <v>14:46:24.973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5</v>
      </c>
      <c r="CP2915" t="s">
        <v>119</v>
      </c>
      <c r="CQ2915">
        <v>358</v>
      </c>
      <c r="CR2915">
        <v>0</v>
      </c>
      <c r="CW2915">
        <v>4908772</v>
      </c>
      <c r="CY2915">
        <v>1</v>
      </c>
      <c r="CZ2915">
        <v>0</v>
      </c>
      <c r="DA2915">
        <v>1</v>
      </c>
      <c r="DB2915">
        <v>0</v>
      </c>
      <c r="DC2915">
        <v>0</v>
      </c>
      <c r="DD2915">
        <v>1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 t="shared" ref="A2916:A2924" si="1366">"05/12/2020 14:46:08.100"</f>
        <v>05/12/2020 14:46:08.100</v>
      </c>
      <c r="C2916" t="str">
        <f t="shared" si="1361"/>
        <v>FFDFD3C0</v>
      </c>
      <c r="D2916" t="s">
        <v>113</v>
      </c>
      <c r="E2916">
        <v>3</v>
      </c>
      <c r="H2916">
        <v>164</v>
      </c>
      <c r="I2916" t="s">
        <v>114</v>
      </c>
      <c r="J2916" t="s">
        <v>115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"14:46:25.922"</f>
        <v>14:46:25.922</v>
      </c>
      <c r="T2916" t="str">
        <f>"14:46:25.922"</f>
        <v>14:46:25.922</v>
      </c>
      <c r="U2916" t="str">
        <f t="shared" si="1355"/>
        <v>A9808D</v>
      </c>
      <c r="V2916">
        <v>0</v>
      </c>
      <c r="W2916">
        <v>0</v>
      </c>
      <c r="X2916">
        <v>1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0</v>
      </c>
      <c r="AI2916" t="s">
        <v>714</v>
      </c>
      <c r="AJ2916">
        <v>28.247479999999999</v>
      </c>
      <c r="AK2916" t="s">
        <v>716</v>
      </c>
      <c r="AL2916">
        <v>-82.297661000000005</v>
      </c>
      <c r="AM2916">
        <v>100</v>
      </c>
      <c r="AN2916">
        <v>2500</v>
      </c>
      <c r="AO2916" t="s">
        <v>118</v>
      </c>
      <c r="AP2916">
        <v>107</v>
      </c>
      <c r="AQ2916">
        <v>-6</v>
      </c>
      <c r="AR2916">
        <v>320</v>
      </c>
      <c r="AZ2916">
        <v>1200</v>
      </c>
      <c r="BA2916">
        <v>1</v>
      </c>
      <c r="BB2916" t="str">
        <f t="shared" si="1362"/>
        <v xml:space="preserve">N711JA  </v>
      </c>
      <c r="BC2916">
        <v>1</v>
      </c>
      <c r="BE2916">
        <v>0</v>
      </c>
      <c r="BF2916">
        <v>0</v>
      </c>
      <c r="BG2916">
        <v>0</v>
      </c>
      <c r="BH2916">
        <v>2625</v>
      </c>
      <c r="BI2916">
        <v>1</v>
      </c>
      <c r="BJ2916">
        <v>1</v>
      </c>
      <c r="BK2916">
        <v>0</v>
      </c>
      <c r="BL2916">
        <v>0</v>
      </c>
      <c r="BO2916">
        <v>0</v>
      </c>
      <c r="BP2916">
        <v>0</v>
      </c>
      <c r="BW2916" t="str">
        <f t="shared" ref="BW2916:BW2924" si="1367">"14:46:25.925"</f>
        <v>14:46:25.925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5</v>
      </c>
      <c r="CP2916" t="s">
        <v>119</v>
      </c>
      <c r="CQ2916">
        <v>62</v>
      </c>
      <c r="CR2916">
        <v>1</v>
      </c>
      <c r="CW2916">
        <v>12854638</v>
      </c>
      <c r="CY2916">
        <v>1</v>
      </c>
      <c r="CZ2916">
        <v>0</v>
      </c>
      <c r="DA2916">
        <v>0</v>
      </c>
      <c r="DB2916">
        <v>0</v>
      </c>
      <c r="DC2916">
        <v>0</v>
      </c>
      <c r="DD2916">
        <v>1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 t="shared" si="1366"/>
        <v>05/12/2020 14:46:08.100</v>
      </c>
      <c r="C2917" t="str">
        <f t="shared" si="1361"/>
        <v>FFDFD3C0</v>
      </c>
      <c r="D2917" t="s">
        <v>126</v>
      </c>
      <c r="E2917">
        <v>6</v>
      </c>
      <c r="F2917">
        <v>1006</v>
      </c>
      <c r="G2917" t="s">
        <v>114</v>
      </c>
      <c r="J2917" t="s">
        <v>128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"14:46:25.922"</f>
        <v>14:46:25.922</v>
      </c>
      <c r="T2917" t="str">
        <f>"14:46:25.922"</f>
        <v>14:46:25.922</v>
      </c>
      <c r="U2917" t="str">
        <f t="shared" si="1355"/>
        <v>A9808D</v>
      </c>
      <c r="V2917">
        <v>0</v>
      </c>
      <c r="W2917">
        <v>0</v>
      </c>
      <c r="X2917">
        <v>1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0</v>
      </c>
      <c r="AI2917" t="s">
        <v>714</v>
      </c>
      <c r="AJ2917">
        <v>28.247479999999999</v>
      </c>
      <c r="AK2917" t="s">
        <v>716</v>
      </c>
      <c r="AL2917">
        <v>-82.297661000000005</v>
      </c>
      <c r="AM2917">
        <v>100</v>
      </c>
      <c r="AN2917">
        <v>2500</v>
      </c>
      <c r="AO2917" t="s">
        <v>118</v>
      </c>
      <c r="AP2917">
        <v>107</v>
      </c>
      <c r="AQ2917">
        <v>-6</v>
      </c>
      <c r="AR2917">
        <v>320</v>
      </c>
      <c r="AZ2917">
        <v>1200</v>
      </c>
      <c r="BA2917">
        <v>1</v>
      </c>
      <c r="BB2917" t="str">
        <f t="shared" si="1362"/>
        <v xml:space="preserve">N711JA  </v>
      </c>
      <c r="BC2917">
        <v>1</v>
      </c>
      <c r="BE2917">
        <v>0</v>
      </c>
      <c r="BF2917">
        <v>0</v>
      </c>
      <c r="BG2917">
        <v>0</v>
      </c>
      <c r="BH2917">
        <v>2625</v>
      </c>
      <c r="BI2917">
        <v>1</v>
      </c>
      <c r="BJ2917">
        <v>1</v>
      </c>
      <c r="BK2917">
        <v>0</v>
      </c>
      <c r="BL2917">
        <v>0</v>
      </c>
      <c r="BO2917">
        <v>0</v>
      </c>
      <c r="BP2917">
        <v>0</v>
      </c>
      <c r="BW2917" t="str">
        <f t="shared" si="1367"/>
        <v>14:46:25.925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62</v>
      </c>
      <c r="CR2917">
        <v>1</v>
      </c>
      <c r="CW2917">
        <v>12854638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1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 t="shared" si="1366"/>
        <v>05/12/2020 14:46:08.100</v>
      </c>
      <c r="C2918" t="str">
        <f t="shared" si="1361"/>
        <v>FFDFD3C0</v>
      </c>
      <c r="D2918" t="s">
        <v>138</v>
      </c>
      <c r="E2918">
        <v>2</v>
      </c>
      <c r="H2918">
        <v>8</v>
      </c>
      <c r="I2918" t="s">
        <v>139</v>
      </c>
      <c r="J2918" t="s">
        <v>136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ref="S2918:S2924" si="1368">"14:46:25.922"</f>
        <v>14:46:25.922</v>
      </c>
      <c r="T2918" t="str">
        <f>"14:46:24.322"</f>
        <v>14:46:24.322</v>
      </c>
      <c r="U2918" t="str">
        <f t="shared" si="1355"/>
        <v>A9808D</v>
      </c>
      <c r="V2918">
        <v>0</v>
      </c>
      <c r="W2918">
        <v>0</v>
      </c>
      <c r="X2918">
        <v>1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0</v>
      </c>
      <c r="AI2918" t="s">
        <v>714</v>
      </c>
      <c r="AJ2918">
        <v>28.247479999999999</v>
      </c>
      <c r="AK2918" t="s">
        <v>716</v>
      </c>
      <c r="AL2918">
        <v>-82.297661000000005</v>
      </c>
      <c r="AM2918">
        <v>100</v>
      </c>
      <c r="AN2918">
        <v>2500</v>
      </c>
      <c r="AO2918" t="s">
        <v>118</v>
      </c>
      <c r="AP2918">
        <v>107</v>
      </c>
      <c r="AQ2918">
        <v>-7</v>
      </c>
      <c r="AR2918">
        <v>512</v>
      </c>
      <c r="AZ2918">
        <v>1200</v>
      </c>
      <c r="BA2918">
        <v>1</v>
      </c>
      <c r="BB2918" t="str">
        <f t="shared" si="1362"/>
        <v xml:space="preserve">N711JA  </v>
      </c>
      <c r="BC2918">
        <v>1</v>
      </c>
      <c r="BE2918">
        <v>0</v>
      </c>
      <c r="BF2918">
        <v>0</v>
      </c>
      <c r="BG2918">
        <v>0</v>
      </c>
      <c r="BH2918">
        <v>2600</v>
      </c>
      <c r="BI2918">
        <v>1</v>
      </c>
      <c r="BJ2918">
        <v>1</v>
      </c>
      <c r="BK2918">
        <v>0</v>
      </c>
      <c r="BL2918">
        <v>0</v>
      </c>
      <c r="BO2918">
        <v>0</v>
      </c>
      <c r="BP2918">
        <v>0</v>
      </c>
      <c r="BW2918" t="str">
        <f t="shared" si="1367"/>
        <v>14:46:25.925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2</v>
      </c>
      <c r="CP2918" t="s">
        <v>675</v>
      </c>
      <c r="CQ2918">
        <v>363</v>
      </c>
      <c r="CR2918">
        <v>0</v>
      </c>
      <c r="CW2918">
        <v>6431529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1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 t="shared" si="1366"/>
        <v>05/12/2020 14:46:08.100</v>
      </c>
      <c r="C2919" t="str">
        <f t="shared" si="1361"/>
        <v>FFDFD3C0</v>
      </c>
      <c r="D2919" t="s">
        <v>134</v>
      </c>
      <c r="E2919">
        <v>12</v>
      </c>
      <c r="H2919">
        <v>64</v>
      </c>
      <c r="I2919" t="s">
        <v>135</v>
      </c>
      <c r="J2919" t="s">
        <v>136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368"/>
        <v>14:46:25.922</v>
      </c>
      <c r="T2919" t="str">
        <f>"14:46:25.422"</f>
        <v>14:46:25.422</v>
      </c>
      <c r="U2919" t="str">
        <f t="shared" si="1355"/>
        <v>A9808D</v>
      </c>
      <c r="V2919">
        <v>0</v>
      </c>
      <c r="W2919">
        <v>0</v>
      </c>
      <c r="X2919">
        <v>1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0</v>
      </c>
      <c r="AI2919" t="s">
        <v>714</v>
      </c>
      <c r="AJ2919">
        <v>28.247479999999999</v>
      </c>
      <c r="AK2919" t="s">
        <v>716</v>
      </c>
      <c r="AL2919">
        <v>-82.297661000000005</v>
      </c>
      <c r="AM2919">
        <v>100</v>
      </c>
      <c r="AN2919">
        <v>2500</v>
      </c>
      <c r="AO2919" t="s">
        <v>118</v>
      </c>
      <c r="AP2919">
        <v>107</v>
      </c>
      <c r="AQ2919">
        <v>-6</v>
      </c>
      <c r="AR2919">
        <v>448</v>
      </c>
      <c r="AZ2919">
        <v>1200</v>
      </c>
      <c r="BA2919">
        <v>1</v>
      </c>
      <c r="BB2919" t="str">
        <f t="shared" si="1362"/>
        <v xml:space="preserve">N711JA  </v>
      </c>
      <c r="BC2919">
        <v>1</v>
      </c>
      <c r="BE2919">
        <v>0</v>
      </c>
      <c r="BF2919">
        <v>0</v>
      </c>
      <c r="BG2919">
        <v>0</v>
      </c>
      <c r="BH2919">
        <v>2600</v>
      </c>
      <c r="BI2919">
        <v>1</v>
      </c>
      <c r="BJ2919">
        <v>1</v>
      </c>
      <c r="BK2919">
        <v>0</v>
      </c>
      <c r="BL2919">
        <v>0</v>
      </c>
      <c r="BO2919">
        <v>0</v>
      </c>
      <c r="BP2919">
        <v>0</v>
      </c>
      <c r="BW2919" t="str">
        <f t="shared" si="1367"/>
        <v>14:46:25.925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5</v>
      </c>
      <c r="CP2919" t="s">
        <v>119</v>
      </c>
      <c r="CQ2919">
        <v>9</v>
      </c>
      <c r="CR2919">
        <v>0</v>
      </c>
      <c r="CW2919">
        <v>12751671</v>
      </c>
      <c r="CY2919">
        <v>1</v>
      </c>
      <c r="CZ2919">
        <v>0</v>
      </c>
      <c r="DA2919">
        <v>1</v>
      </c>
      <c r="DB2919">
        <v>0</v>
      </c>
      <c r="DC2919">
        <v>0</v>
      </c>
      <c r="DD2919">
        <v>1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 t="shared" si="1366"/>
        <v>05/12/2020 14:46:08.100</v>
      </c>
      <c r="C2920" t="str">
        <f t="shared" si="1361"/>
        <v>FFDFD3C0</v>
      </c>
      <c r="D2920" t="s">
        <v>126</v>
      </c>
      <c r="E2920">
        <v>7</v>
      </c>
      <c r="F2920">
        <v>1007</v>
      </c>
      <c r="G2920" t="s">
        <v>127</v>
      </c>
      <c r="J2920" t="s">
        <v>128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368"/>
        <v>14:46:25.922</v>
      </c>
      <c r="T2920" t="str">
        <f>"14:46:25.922"</f>
        <v>14:46:25.922</v>
      </c>
      <c r="U2920" t="str">
        <f t="shared" si="1355"/>
        <v>A9808D</v>
      </c>
      <c r="V2920">
        <v>0</v>
      </c>
      <c r="W2920">
        <v>0</v>
      </c>
      <c r="X2920">
        <v>1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0</v>
      </c>
      <c r="AI2920" t="s">
        <v>714</v>
      </c>
      <c r="AJ2920">
        <v>28.247479999999999</v>
      </c>
      <c r="AK2920" t="s">
        <v>716</v>
      </c>
      <c r="AL2920">
        <v>-82.297661000000005</v>
      </c>
      <c r="AM2920">
        <v>100</v>
      </c>
      <c r="AN2920">
        <v>2500</v>
      </c>
      <c r="AO2920" t="s">
        <v>118</v>
      </c>
      <c r="AP2920">
        <v>107</v>
      </c>
      <c r="AQ2920">
        <v>-6</v>
      </c>
      <c r="AR2920">
        <v>320</v>
      </c>
      <c r="AZ2920">
        <v>1200</v>
      </c>
      <c r="BA2920">
        <v>1</v>
      </c>
      <c r="BB2920" t="str">
        <f t="shared" si="1362"/>
        <v xml:space="preserve">N711JA  </v>
      </c>
      <c r="BC2920">
        <v>1</v>
      </c>
      <c r="BE2920">
        <v>0</v>
      </c>
      <c r="BF2920">
        <v>0</v>
      </c>
      <c r="BG2920">
        <v>0</v>
      </c>
      <c r="BH2920">
        <v>2625</v>
      </c>
      <c r="BI2920">
        <v>1</v>
      </c>
      <c r="BJ2920">
        <v>1</v>
      </c>
      <c r="BK2920">
        <v>0</v>
      </c>
      <c r="BL2920">
        <v>0</v>
      </c>
      <c r="BO2920">
        <v>0</v>
      </c>
      <c r="BP2920">
        <v>0</v>
      </c>
      <c r="BW2920" t="str">
        <f t="shared" si="1367"/>
        <v>14:46:25.925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5</v>
      </c>
      <c r="CP2920" t="s">
        <v>119</v>
      </c>
      <c r="CQ2920">
        <v>62</v>
      </c>
      <c r="CR2920">
        <v>1</v>
      </c>
      <c r="CW2920">
        <v>12854638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1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 t="shared" si="1366"/>
        <v>05/12/2020 14:46:08.100</v>
      </c>
      <c r="C2921" t="str">
        <f t="shared" si="1361"/>
        <v>FFDFD3C0</v>
      </c>
      <c r="D2921" t="s">
        <v>131</v>
      </c>
      <c r="E2921">
        <v>10</v>
      </c>
      <c r="F2921">
        <v>2010</v>
      </c>
      <c r="G2921" t="s">
        <v>132</v>
      </c>
      <c r="J2921" t="s">
        <v>133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si="1368"/>
        <v>14:46:25.922</v>
      </c>
      <c r="T2921" t="str">
        <f>"14:46:25.422"</f>
        <v>14:46:25.422</v>
      </c>
      <c r="U2921" t="str">
        <f t="shared" si="1355"/>
        <v>A9808D</v>
      </c>
      <c r="V2921">
        <v>0</v>
      </c>
      <c r="W2921">
        <v>0</v>
      </c>
      <c r="X2921">
        <v>1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0</v>
      </c>
      <c r="AI2921" t="s">
        <v>714</v>
      </c>
      <c r="AJ2921">
        <v>28.247479999999999</v>
      </c>
      <c r="AK2921" t="s">
        <v>716</v>
      </c>
      <c r="AL2921">
        <v>-82.297661000000005</v>
      </c>
      <c r="AM2921">
        <v>100</v>
      </c>
      <c r="AN2921">
        <v>2500</v>
      </c>
      <c r="AO2921" t="s">
        <v>118</v>
      </c>
      <c r="AP2921">
        <v>107</v>
      </c>
      <c r="AQ2921">
        <v>-6</v>
      </c>
      <c r="AR2921">
        <v>448</v>
      </c>
      <c r="AZ2921">
        <v>1200</v>
      </c>
      <c r="BA2921">
        <v>1</v>
      </c>
      <c r="BB2921" t="str">
        <f t="shared" si="1362"/>
        <v xml:space="preserve">N711JA  </v>
      </c>
      <c r="BC2921">
        <v>1</v>
      </c>
      <c r="BE2921">
        <v>0</v>
      </c>
      <c r="BF2921">
        <v>0</v>
      </c>
      <c r="BG2921">
        <v>0</v>
      </c>
      <c r="BH2921">
        <v>2600</v>
      </c>
      <c r="BI2921">
        <v>1</v>
      </c>
      <c r="BJ2921">
        <v>1</v>
      </c>
      <c r="BK2921">
        <v>0</v>
      </c>
      <c r="BL2921">
        <v>0</v>
      </c>
      <c r="BO2921">
        <v>0</v>
      </c>
      <c r="BP2921">
        <v>0</v>
      </c>
      <c r="BW2921" t="str">
        <f t="shared" si="1367"/>
        <v>14:46:25.925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5</v>
      </c>
      <c r="CP2921" t="s">
        <v>119</v>
      </c>
      <c r="CQ2921">
        <v>9</v>
      </c>
      <c r="CR2921">
        <v>0</v>
      </c>
      <c r="CW2921">
        <v>12751671</v>
      </c>
      <c r="CY2921">
        <v>1</v>
      </c>
      <c r="CZ2921">
        <v>0</v>
      </c>
      <c r="DA2921">
        <v>1</v>
      </c>
      <c r="DB2921">
        <v>0</v>
      </c>
      <c r="DC2921">
        <v>0</v>
      </c>
      <c r="DD2921">
        <v>1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 t="shared" si="1366"/>
        <v>05/12/2020 14:46:08.100</v>
      </c>
      <c r="C2922" t="str">
        <f t="shared" si="1361"/>
        <v>FFDFD3C0</v>
      </c>
      <c r="D2922" t="s">
        <v>138</v>
      </c>
      <c r="E2922">
        <v>3</v>
      </c>
      <c r="H2922">
        <v>9</v>
      </c>
      <c r="I2922" t="s">
        <v>140</v>
      </c>
      <c r="J2922" t="s">
        <v>136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368"/>
        <v>14:46:25.922</v>
      </c>
      <c r="T2922" t="str">
        <f>"14:46:25.422"</f>
        <v>14:46:25.422</v>
      </c>
      <c r="U2922" t="str">
        <f t="shared" si="1355"/>
        <v>A9808D</v>
      </c>
      <c r="V2922">
        <v>0</v>
      </c>
      <c r="W2922">
        <v>0</v>
      </c>
      <c r="X2922">
        <v>1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0</v>
      </c>
      <c r="AI2922" t="s">
        <v>714</v>
      </c>
      <c r="AJ2922">
        <v>28.247479999999999</v>
      </c>
      <c r="AK2922" t="s">
        <v>716</v>
      </c>
      <c r="AL2922">
        <v>-82.297661000000005</v>
      </c>
      <c r="AM2922">
        <v>100</v>
      </c>
      <c r="AN2922">
        <v>2500</v>
      </c>
      <c r="AO2922" t="s">
        <v>118</v>
      </c>
      <c r="AP2922">
        <v>107</v>
      </c>
      <c r="AQ2922">
        <v>-6</v>
      </c>
      <c r="AR2922">
        <v>448</v>
      </c>
      <c r="AZ2922">
        <v>1200</v>
      </c>
      <c r="BA2922">
        <v>1</v>
      </c>
      <c r="BB2922" t="str">
        <f t="shared" si="1362"/>
        <v xml:space="preserve">N711JA  </v>
      </c>
      <c r="BC2922">
        <v>1</v>
      </c>
      <c r="BE2922">
        <v>0</v>
      </c>
      <c r="BF2922">
        <v>0</v>
      </c>
      <c r="BG2922">
        <v>0</v>
      </c>
      <c r="BH2922">
        <v>2600</v>
      </c>
      <c r="BI2922">
        <v>1</v>
      </c>
      <c r="BJ2922">
        <v>1</v>
      </c>
      <c r="BK2922">
        <v>0</v>
      </c>
      <c r="BL2922">
        <v>0</v>
      </c>
      <c r="BO2922">
        <v>0</v>
      </c>
      <c r="BP2922">
        <v>0</v>
      </c>
      <c r="BW2922" t="str">
        <f t="shared" si="1367"/>
        <v>14:46:25.925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5</v>
      </c>
      <c r="CP2922" t="s">
        <v>119</v>
      </c>
      <c r="CQ2922">
        <v>9</v>
      </c>
      <c r="CR2922">
        <v>0</v>
      </c>
      <c r="CW2922">
        <v>12751671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1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 t="shared" si="1366"/>
        <v>05/12/2020 14:46:08.100</v>
      </c>
      <c r="C2923" t="str">
        <f t="shared" si="1361"/>
        <v>FFDFD3C0</v>
      </c>
      <c r="D2923" t="s">
        <v>131</v>
      </c>
      <c r="E2923">
        <v>12</v>
      </c>
      <c r="F2923">
        <v>2012</v>
      </c>
      <c r="G2923" t="s">
        <v>137</v>
      </c>
      <c r="J2923" t="s">
        <v>133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368"/>
        <v>14:46:25.922</v>
      </c>
      <c r="T2923" t="str">
        <f>"14:46:24.322"</f>
        <v>14:46:24.322</v>
      </c>
      <c r="U2923" t="str">
        <f t="shared" si="1355"/>
        <v>A9808D</v>
      </c>
      <c r="V2923">
        <v>0</v>
      </c>
      <c r="W2923">
        <v>0</v>
      </c>
      <c r="X2923">
        <v>1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0</v>
      </c>
      <c r="AI2923" t="s">
        <v>714</v>
      </c>
      <c r="AJ2923">
        <v>28.247479999999999</v>
      </c>
      <c r="AK2923" t="s">
        <v>716</v>
      </c>
      <c r="AL2923">
        <v>-82.297661000000005</v>
      </c>
      <c r="AM2923">
        <v>100</v>
      </c>
      <c r="AN2923">
        <v>2500</v>
      </c>
      <c r="AO2923" t="s">
        <v>118</v>
      </c>
      <c r="AP2923">
        <v>107</v>
      </c>
      <c r="AQ2923">
        <v>-7</v>
      </c>
      <c r="AR2923">
        <v>512</v>
      </c>
      <c r="AZ2923">
        <v>1200</v>
      </c>
      <c r="BA2923">
        <v>1</v>
      </c>
      <c r="BB2923" t="str">
        <f t="shared" si="1362"/>
        <v xml:space="preserve">N711JA  </v>
      </c>
      <c r="BC2923">
        <v>1</v>
      </c>
      <c r="BE2923">
        <v>0</v>
      </c>
      <c r="BF2923">
        <v>0</v>
      </c>
      <c r="BG2923">
        <v>0</v>
      </c>
      <c r="BH2923">
        <v>2600</v>
      </c>
      <c r="BI2923">
        <v>1</v>
      </c>
      <c r="BJ2923">
        <v>1</v>
      </c>
      <c r="BK2923">
        <v>0</v>
      </c>
      <c r="BL2923">
        <v>0</v>
      </c>
      <c r="BO2923">
        <v>0</v>
      </c>
      <c r="BP2923">
        <v>0</v>
      </c>
      <c r="BW2923" t="str">
        <f t="shared" si="1367"/>
        <v>14:46:25.925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2</v>
      </c>
      <c r="CP2923" t="s">
        <v>675</v>
      </c>
      <c r="CQ2923">
        <v>363</v>
      </c>
      <c r="CR2923">
        <v>0</v>
      </c>
      <c r="CW2923">
        <v>6431529</v>
      </c>
      <c r="CY2923">
        <v>1</v>
      </c>
      <c r="CZ2923">
        <v>0</v>
      </c>
      <c r="DA2923">
        <v>1</v>
      </c>
      <c r="DB2923">
        <v>0</v>
      </c>
      <c r="DC2923">
        <v>0</v>
      </c>
      <c r="DD2923">
        <v>1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 t="shared" si="1366"/>
        <v>05/12/2020 14:46:08.100</v>
      </c>
      <c r="C2924" t="str">
        <f t="shared" si="1361"/>
        <v>FFDFD3C0</v>
      </c>
      <c r="D2924" t="s">
        <v>131</v>
      </c>
      <c r="E2924">
        <v>18</v>
      </c>
      <c r="F2924">
        <v>2018</v>
      </c>
      <c r="G2924" t="s">
        <v>161</v>
      </c>
      <c r="J2924" t="s">
        <v>133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si="1368"/>
        <v>14:46:25.922</v>
      </c>
      <c r="T2924" t="str">
        <f>"14:46:25.922"</f>
        <v>14:46:25.922</v>
      </c>
      <c r="U2924" t="str">
        <f t="shared" si="1355"/>
        <v>A9808D</v>
      </c>
      <c r="V2924">
        <v>0</v>
      </c>
      <c r="W2924">
        <v>0</v>
      </c>
      <c r="X2924">
        <v>1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0</v>
      </c>
      <c r="AI2924" t="s">
        <v>714</v>
      </c>
      <c r="AJ2924">
        <v>28.247479999999999</v>
      </c>
      <c r="AK2924" t="s">
        <v>716</v>
      </c>
      <c r="AL2924">
        <v>-82.297661000000005</v>
      </c>
      <c r="AM2924">
        <v>100</v>
      </c>
      <c r="AN2924">
        <v>2500</v>
      </c>
      <c r="AO2924" t="s">
        <v>118</v>
      </c>
      <c r="AP2924">
        <v>107</v>
      </c>
      <c r="AQ2924">
        <v>-6</v>
      </c>
      <c r="AR2924">
        <v>320</v>
      </c>
      <c r="AZ2924">
        <v>1200</v>
      </c>
      <c r="BA2924">
        <v>1</v>
      </c>
      <c r="BB2924" t="str">
        <f t="shared" si="1362"/>
        <v xml:space="preserve">N711JA  </v>
      </c>
      <c r="BC2924">
        <v>1</v>
      </c>
      <c r="BE2924">
        <v>0</v>
      </c>
      <c r="BF2924">
        <v>0</v>
      </c>
      <c r="BG2924">
        <v>0</v>
      </c>
      <c r="BH2924">
        <v>2625</v>
      </c>
      <c r="BI2924">
        <v>1</v>
      </c>
      <c r="BJ2924">
        <v>1</v>
      </c>
      <c r="BK2924">
        <v>0</v>
      </c>
      <c r="BL2924">
        <v>0</v>
      </c>
      <c r="BO2924">
        <v>0</v>
      </c>
      <c r="BP2924">
        <v>0</v>
      </c>
      <c r="BW2924" t="str">
        <f t="shared" si="1367"/>
        <v>14:46:25.925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5</v>
      </c>
      <c r="CP2924" t="s">
        <v>119</v>
      </c>
      <c r="CQ2924">
        <v>62</v>
      </c>
      <c r="CR2924">
        <v>1</v>
      </c>
      <c r="CW2924">
        <v>12854638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1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 t="shared" ref="A2925:A2932" si="1369">"05/12/2020 14:46:09.058"</f>
        <v>05/12/2020 14:46:09.058</v>
      </c>
      <c r="C2925" t="str">
        <f t="shared" si="1361"/>
        <v>FFDFD3C0</v>
      </c>
      <c r="D2925" t="s">
        <v>126</v>
      </c>
      <c r="E2925">
        <v>6</v>
      </c>
      <c r="F2925">
        <v>1006</v>
      </c>
      <c r="G2925" t="s">
        <v>114</v>
      </c>
      <c r="J2925" t="s">
        <v>128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ref="S2925:T2932" si="1370">"14:46:26.883"</f>
        <v>14:46:26.883</v>
      </c>
      <c r="T2925" t="str">
        <f t="shared" si="1370"/>
        <v>14:46:26.883</v>
      </c>
      <c r="U2925" t="str">
        <f t="shared" si="1355"/>
        <v>A9808D</v>
      </c>
      <c r="V2925">
        <v>0</v>
      </c>
      <c r="W2925">
        <v>0</v>
      </c>
      <c r="X2925">
        <v>1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0</v>
      </c>
      <c r="AI2925" t="s">
        <v>717</v>
      </c>
      <c r="AJ2925">
        <v>28.247458999999999</v>
      </c>
      <c r="AK2925" t="s">
        <v>718</v>
      </c>
      <c r="AL2925">
        <v>-82.297167999999999</v>
      </c>
      <c r="AM2925">
        <v>100</v>
      </c>
      <c r="AN2925">
        <v>2500</v>
      </c>
      <c r="AO2925" t="s">
        <v>118</v>
      </c>
      <c r="AP2925">
        <v>107</v>
      </c>
      <c r="AQ2925">
        <v>-6</v>
      </c>
      <c r="AR2925">
        <v>0</v>
      </c>
      <c r="AZ2925">
        <v>1200</v>
      </c>
      <c r="BA2925">
        <v>1</v>
      </c>
      <c r="BB2925" t="str">
        <f t="shared" si="1362"/>
        <v xml:space="preserve">N711JA  </v>
      </c>
      <c r="BC2925">
        <v>1</v>
      </c>
      <c r="BE2925">
        <v>0</v>
      </c>
      <c r="BF2925">
        <v>0</v>
      </c>
      <c r="BG2925">
        <v>0</v>
      </c>
      <c r="BH2925">
        <v>2625</v>
      </c>
      <c r="BI2925">
        <v>1</v>
      </c>
      <c r="BJ2925">
        <v>1</v>
      </c>
      <c r="BK2925">
        <v>0</v>
      </c>
      <c r="BL2925">
        <v>0</v>
      </c>
      <c r="BO2925">
        <v>0</v>
      </c>
      <c r="BP2925">
        <v>0</v>
      </c>
      <c r="BW2925" t="str">
        <f t="shared" ref="BW2925:BW2932" si="1371">"14:46:26.885"</f>
        <v>14:46:26.885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5</v>
      </c>
      <c r="CP2925" t="s">
        <v>119</v>
      </c>
      <c r="CQ2925">
        <v>9</v>
      </c>
      <c r="CR2925">
        <v>0</v>
      </c>
      <c r="CW2925">
        <v>12752959</v>
      </c>
      <c r="CY2925">
        <v>1</v>
      </c>
      <c r="CZ2925">
        <v>0</v>
      </c>
      <c r="DA2925">
        <v>0</v>
      </c>
      <c r="DB2925">
        <v>0</v>
      </c>
      <c r="DC2925">
        <v>0</v>
      </c>
      <c r="DD2925">
        <v>1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 t="shared" si="1369"/>
        <v>05/12/2020 14:46:09.058</v>
      </c>
      <c r="C2926" t="str">
        <f t="shared" si="1361"/>
        <v>FFDFD3C0</v>
      </c>
      <c r="D2926" t="s">
        <v>113</v>
      </c>
      <c r="E2926">
        <v>3</v>
      </c>
      <c r="H2926">
        <v>164</v>
      </c>
      <c r="I2926" t="s">
        <v>114</v>
      </c>
      <c r="J2926" t="s">
        <v>115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370"/>
        <v>14:46:26.883</v>
      </c>
      <c r="T2926" t="str">
        <f t="shared" si="1370"/>
        <v>14:46:26.883</v>
      </c>
      <c r="U2926" t="str">
        <f t="shared" si="1355"/>
        <v>A9808D</v>
      </c>
      <c r="V2926">
        <v>0</v>
      </c>
      <c r="W2926">
        <v>0</v>
      </c>
      <c r="X2926">
        <v>1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0</v>
      </c>
      <c r="AI2926" t="s">
        <v>717</v>
      </c>
      <c r="AJ2926">
        <v>28.247458999999999</v>
      </c>
      <c r="AK2926" t="s">
        <v>718</v>
      </c>
      <c r="AL2926">
        <v>-82.297167999999999</v>
      </c>
      <c r="AM2926">
        <v>100</v>
      </c>
      <c r="AN2926">
        <v>2500</v>
      </c>
      <c r="AO2926" t="s">
        <v>118</v>
      </c>
      <c r="AP2926">
        <v>107</v>
      </c>
      <c r="AQ2926">
        <v>-6</v>
      </c>
      <c r="AR2926">
        <v>0</v>
      </c>
      <c r="AZ2926">
        <v>1200</v>
      </c>
      <c r="BA2926">
        <v>1</v>
      </c>
      <c r="BB2926" t="str">
        <f t="shared" si="1362"/>
        <v xml:space="preserve">N711JA  </v>
      </c>
      <c r="BC2926">
        <v>1</v>
      </c>
      <c r="BE2926">
        <v>0</v>
      </c>
      <c r="BF2926">
        <v>0</v>
      </c>
      <c r="BG2926">
        <v>0</v>
      </c>
      <c r="BH2926">
        <v>2625</v>
      </c>
      <c r="BI2926">
        <v>1</v>
      </c>
      <c r="BJ2926">
        <v>1</v>
      </c>
      <c r="BK2926">
        <v>0</v>
      </c>
      <c r="BL2926">
        <v>0</v>
      </c>
      <c r="BO2926">
        <v>0</v>
      </c>
      <c r="BP2926">
        <v>0</v>
      </c>
      <c r="BW2926" t="str">
        <f t="shared" si="1371"/>
        <v>14:46:26.885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5</v>
      </c>
      <c r="CP2926" t="s">
        <v>119</v>
      </c>
      <c r="CQ2926">
        <v>9</v>
      </c>
      <c r="CR2926">
        <v>0</v>
      </c>
      <c r="CW2926">
        <v>12752959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1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 t="shared" si="1369"/>
        <v>05/12/2020 14:46:09.058</v>
      </c>
      <c r="C2927" t="str">
        <f t="shared" si="1361"/>
        <v>FFDFD3C0</v>
      </c>
      <c r="D2927" t="s">
        <v>138</v>
      </c>
      <c r="E2927">
        <v>2</v>
      </c>
      <c r="H2927">
        <v>8</v>
      </c>
      <c r="I2927" t="s">
        <v>139</v>
      </c>
      <c r="J2927" t="s">
        <v>136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370"/>
        <v>14:46:26.883</v>
      </c>
      <c r="T2927" t="str">
        <f t="shared" si="1370"/>
        <v>14:46:26.883</v>
      </c>
      <c r="U2927" t="str">
        <f t="shared" si="1355"/>
        <v>A9808D</v>
      </c>
      <c r="V2927">
        <v>0</v>
      </c>
      <c r="W2927">
        <v>0</v>
      </c>
      <c r="X2927">
        <v>1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0</v>
      </c>
      <c r="AI2927" t="s">
        <v>717</v>
      </c>
      <c r="AJ2927">
        <v>28.247458999999999</v>
      </c>
      <c r="AK2927" t="s">
        <v>718</v>
      </c>
      <c r="AL2927">
        <v>-82.297167999999999</v>
      </c>
      <c r="AM2927">
        <v>100</v>
      </c>
      <c r="AN2927">
        <v>2500</v>
      </c>
      <c r="AO2927" t="s">
        <v>118</v>
      </c>
      <c r="AP2927">
        <v>107</v>
      </c>
      <c r="AQ2927">
        <v>-6</v>
      </c>
      <c r="AR2927">
        <v>0</v>
      </c>
      <c r="AZ2927">
        <v>1200</v>
      </c>
      <c r="BA2927">
        <v>1</v>
      </c>
      <c r="BB2927" t="str">
        <f t="shared" si="1362"/>
        <v xml:space="preserve">N711JA  </v>
      </c>
      <c r="BC2927">
        <v>1</v>
      </c>
      <c r="BE2927">
        <v>0</v>
      </c>
      <c r="BF2927">
        <v>0</v>
      </c>
      <c r="BG2927">
        <v>0</v>
      </c>
      <c r="BH2927">
        <v>2625</v>
      </c>
      <c r="BI2927">
        <v>1</v>
      </c>
      <c r="BJ2927">
        <v>1</v>
      </c>
      <c r="BK2927">
        <v>0</v>
      </c>
      <c r="BL2927">
        <v>0</v>
      </c>
      <c r="BO2927">
        <v>0</v>
      </c>
      <c r="BP2927">
        <v>0</v>
      </c>
      <c r="BW2927" t="str">
        <f t="shared" si="1371"/>
        <v>14:46:26.885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2</v>
      </c>
      <c r="CP2927" t="s">
        <v>675</v>
      </c>
      <c r="CQ2927">
        <v>363</v>
      </c>
      <c r="CR2927">
        <v>0</v>
      </c>
      <c r="CW2927">
        <v>6432849</v>
      </c>
      <c r="CY2927">
        <v>1</v>
      </c>
      <c r="CZ2927">
        <v>0</v>
      </c>
      <c r="DA2927">
        <v>1</v>
      </c>
      <c r="DB2927">
        <v>0</v>
      </c>
      <c r="DC2927">
        <v>0</v>
      </c>
      <c r="DD2927">
        <v>1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 t="shared" si="1369"/>
        <v>05/12/2020 14:46:09.058</v>
      </c>
      <c r="C2928" t="str">
        <f t="shared" si="1361"/>
        <v>FFDFD3C0</v>
      </c>
      <c r="D2928" t="s">
        <v>126</v>
      </c>
      <c r="E2928">
        <v>7</v>
      </c>
      <c r="F2928">
        <v>1007</v>
      </c>
      <c r="G2928" t="s">
        <v>127</v>
      </c>
      <c r="J2928" t="s">
        <v>128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370"/>
        <v>14:46:26.883</v>
      </c>
      <c r="T2928" t="str">
        <f t="shared" si="1370"/>
        <v>14:46:26.883</v>
      </c>
      <c r="U2928" t="str">
        <f t="shared" si="1355"/>
        <v>A9808D</v>
      </c>
      <c r="V2928">
        <v>0</v>
      </c>
      <c r="W2928">
        <v>0</v>
      </c>
      <c r="X2928">
        <v>1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0</v>
      </c>
      <c r="AI2928" t="s">
        <v>717</v>
      </c>
      <c r="AJ2928">
        <v>28.247458999999999</v>
      </c>
      <c r="AK2928" t="s">
        <v>718</v>
      </c>
      <c r="AL2928">
        <v>-82.297167999999999</v>
      </c>
      <c r="AM2928">
        <v>100</v>
      </c>
      <c r="AN2928">
        <v>2500</v>
      </c>
      <c r="AO2928" t="s">
        <v>118</v>
      </c>
      <c r="AP2928">
        <v>107</v>
      </c>
      <c r="AQ2928">
        <v>-6</v>
      </c>
      <c r="AR2928">
        <v>0</v>
      </c>
      <c r="AZ2928">
        <v>1200</v>
      </c>
      <c r="BA2928">
        <v>1</v>
      </c>
      <c r="BB2928" t="str">
        <f t="shared" si="1362"/>
        <v xml:space="preserve">N711JA  </v>
      </c>
      <c r="BC2928">
        <v>1</v>
      </c>
      <c r="BE2928">
        <v>0</v>
      </c>
      <c r="BF2928">
        <v>0</v>
      </c>
      <c r="BG2928">
        <v>0</v>
      </c>
      <c r="BH2928">
        <v>2625</v>
      </c>
      <c r="BI2928">
        <v>1</v>
      </c>
      <c r="BJ2928">
        <v>1</v>
      </c>
      <c r="BK2928">
        <v>0</v>
      </c>
      <c r="BL2928">
        <v>0</v>
      </c>
      <c r="BO2928">
        <v>0</v>
      </c>
      <c r="BP2928">
        <v>0</v>
      </c>
      <c r="BW2928" t="str">
        <f t="shared" si="1371"/>
        <v>14:46:26.885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5</v>
      </c>
      <c r="CP2928" t="s">
        <v>119</v>
      </c>
      <c r="CQ2928">
        <v>9</v>
      </c>
      <c r="CR2928">
        <v>0</v>
      </c>
      <c r="CW2928">
        <v>12752959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1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 t="shared" si="1369"/>
        <v>05/12/2020 14:46:09.058</v>
      </c>
      <c r="C2929" t="str">
        <f t="shared" si="1361"/>
        <v>FFDFD3C0</v>
      </c>
      <c r="D2929" t="s">
        <v>131</v>
      </c>
      <c r="E2929">
        <v>10</v>
      </c>
      <c r="F2929">
        <v>2010</v>
      </c>
      <c r="G2929" t="s">
        <v>132</v>
      </c>
      <c r="J2929" t="s">
        <v>133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370"/>
        <v>14:46:26.883</v>
      </c>
      <c r="T2929" t="str">
        <f t="shared" si="1370"/>
        <v>14:46:26.883</v>
      </c>
      <c r="U2929" t="str">
        <f t="shared" si="1355"/>
        <v>A9808D</v>
      </c>
      <c r="V2929">
        <v>0</v>
      </c>
      <c r="W2929">
        <v>0</v>
      </c>
      <c r="X2929">
        <v>1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0</v>
      </c>
      <c r="AI2929" t="s">
        <v>717</v>
      </c>
      <c r="AJ2929">
        <v>28.247458999999999</v>
      </c>
      <c r="AK2929" t="s">
        <v>718</v>
      </c>
      <c r="AL2929">
        <v>-82.297167999999999</v>
      </c>
      <c r="AM2929">
        <v>100</v>
      </c>
      <c r="AN2929">
        <v>2500</v>
      </c>
      <c r="AO2929" t="s">
        <v>118</v>
      </c>
      <c r="AP2929">
        <v>107</v>
      </c>
      <c r="AQ2929">
        <v>-6</v>
      </c>
      <c r="AR2929">
        <v>0</v>
      </c>
      <c r="AZ2929">
        <v>1200</v>
      </c>
      <c r="BA2929">
        <v>1</v>
      </c>
      <c r="BB2929" t="str">
        <f t="shared" si="1362"/>
        <v xml:space="preserve">N711JA  </v>
      </c>
      <c r="BC2929">
        <v>1</v>
      </c>
      <c r="BE2929">
        <v>0</v>
      </c>
      <c r="BF2929">
        <v>0</v>
      </c>
      <c r="BG2929">
        <v>0</v>
      </c>
      <c r="BH2929">
        <v>2625</v>
      </c>
      <c r="BI2929">
        <v>1</v>
      </c>
      <c r="BJ2929">
        <v>1</v>
      </c>
      <c r="BK2929">
        <v>0</v>
      </c>
      <c r="BL2929">
        <v>0</v>
      </c>
      <c r="BO2929">
        <v>0</v>
      </c>
      <c r="BP2929">
        <v>0</v>
      </c>
      <c r="BW2929" t="str">
        <f t="shared" si="1371"/>
        <v>14:46:26.885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5</v>
      </c>
      <c r="CP2929" t="s">
        <v>119</v>
      </c>
      <c r="CQ2929">
        <v>9</v>
      </c>
      <c r="CR2929">
        <v>0</v>
      </c>
      <c r="CW2929">
        <v>12752959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1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 t="shared" si="1369"/>
        <v>05/12/2020 14:46:09.058</v>
      </c>
      <c r="C2930" t="str">
        <f t="shared" si="1361"/>
        <v>FFDFD3C0</v>
      </c>
      <c r="D2930" t="s">
        <v>134</v>
      </c>
      <c r="E2930">
        <v>12</v>
      </c>
      <c r="H2930">
        <v>64</v>
      </c>
      <c r="I2930" t="s">
        <v>135</v>
      </c>
      <c r="J2930" t="s">
        <v>136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370"/>
        <v>14:46:26.883</v>
      </c>
      <c r="T2930" t="str">
        <f t="shared" si="1370"/>
        <v>14:46:26.883</v>
      </c>
      <c r="U2930" t="str">
        <f t="shared" si="1355"/>
        <v>A9808D</v>
      </c>
      <c r="V2930">
        <v>0</v>
      </c>
      <c r="W2930">
        <v>0</v>
      </c>
      <c r="X2930">
        <v>1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0</v>
      </c>
      <c r="AI2930" t="s">
        <v>717</v>
      </c>
      <c r="AJ2930">
        <v>28.247458999999999</v>
      </c>
      <c r="AK2930" t="s">
        <v>718</v>
      </c>
      <c r="AL2930">
        <v>-82.297167999999999</v>
      </c>
      <c r="AM2930">
        <v>100</v>
      </c>
      <c r="AN2930">
        <v>2500</v>
      </c>
      <c r="AO2930" t="s">
        <v>118</v>
      </c>
      <c r="AP2930">
        <v>107</v>
      </c>
      <c r="AQ2930">
        <v>-6</v>
      </c>
      <c r="AR2930">
        <v>0</v>
      </c>
      <c r="AZ2930">
        <v>1200</v>
      </c>
      <c r="BA2930">
        <v>1</v>
      </c>
      <c r="BB2930" t="str">
        <f t="shared" si="1362"/>
        <v xml:space="preserve">N711JA  </v>
      </c>
      <c r="BC2930">
        <v>1</v>
      </c>
      <c r="BE2930">
        <v>0</v>
      </c>
      <c r="BF2930">
        <v>0</v>
      </c>
      <c r="BG2930">
        <v>0</v>
      </c>
      <c r="BH2930">
        <v>2625</v>
      </c>
      <c r="BI2930">
        <v>1</v>
      </c>
      <c r="BJ2930">
        <v>1</v>
      </c>
      <c r="BK2930">
        <v>0</v>
      </c>
      <c r="BL2930">
        <v>0</v>
      </c>
      <c r="BO2930">
        <v>0</v>
      </c>
      <c r="BP2930">
        <v>0</v>
      </c>
      <c r="BW2930" t="str">
        <f t="shared" si="1371"/>
        <v>14:46:26.885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5</v>
      </c>
      <c r="CP2930" t="s">
        <v>119</v>
      </c>
      <c r="CQ2930">
        <v>9</v>
      </c>
      <c r="CR2930">
        <v>0</v>
      </c>
      <c r="CW2930">
        <v>12752959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1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 t="shared" si="1369"/>
        <v>05/12/2020 14:46:09.058</v>
      </c>
      <c r="C2931" t="str">
        <f t="shared" si="1361"/>
        <v>FFDFD3C0</v>
      </c>
      <c r="D2931" t="s">
        <v>131</v>
      </c>
      <c r="E2931">
        <v>12</v>
      </c>
      <c r="F2931">
        <v>2012</v>
      </c>
      <c r="G2931" t="s">
        <v>137</v>
      </c>
      <c r="J2931" t="s">
        <v>133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si="1370"/>
        <v>14:46:26.883</v>
      </c>
      <c r="T2931" t="str">
        <f t="shared" si="1370"/>
        <v>14:46:26.883</v>
      </c>
      <c r="U2931" t="str">
        <f t="shared" si="1355"/>
        <v>A9808D</v>
      </c>
      <c r="V2931">
        <v>0</v>
      </c>
      <c r="W2931">
        <v>0</v>
      </c>
      <c r="X2931">
        <v>1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0</v>
      </c>
      <c r="AI2931" t="s">
        <v>717</v>
      </c>
      <c r="AJ2931">
        <v>28.247458999999999</v>
      </c>
      <c r="AK2931" t="s">
        <v>718</v>
      </c>
      <c r="AL2931">
        <v>-82.297167999999999</v>
      </c>
      <c r="AM2931">
        <v>100</v>
      </c>
      <c r="AN2931">
        <v>2500</v>
      </c>
      <c r="AO2931" t="s">
        <v>118</v>
      </c>
      <c r="AP2931">
        <v>107</v>
      </c>
      <c r="AQ2931">
        <v>-6</v>
      </c>
      <c r="AR2931">
        <v>0</v>
      </c>
      <c r="AZ2931">
        <v>1200</v>
      </c>
      <c r="BA2931">
        <v>1</v>
      </c>
      <c r="BB2931" t="str">
        <f t="shared" si="1362"/>
        <v xml:space="preserve">N711JA  </v>
      </c>
      <c r="BC2931">
        <v>1</v>
      </c>
      <c r="BE2931">
        <v>0</v>
      </c>
      <c r="BF2931">
        <v>0</v>
      </c>
      <c r="BG2931">
        <v>0</v>
      </c>
      <c r="BH2931">
        <v>2625</v>
      </c>
      <c r="BI2931">
        <v>1</v>
      </c>
      <c r="BJ2931">
        <v>1</v>
      </c>
      <c r="BK2931">
        <v>0</v>
      </c>
      <c r="BL2931">
        <v>0</v>
      </c>
      <c r="BO2931">
        <v>0</v>
      </c>
      <c r="BP2931">
        <v>0</v>
      </c>
      <c r="BW2931" t="str">
        <f t="shared" si="1371"/>
        <v>14:46:26.885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2</v>
      </c>
      <c r="CP2931" t="s">
        <v>675</v>
      </c>
      <c r="CQ2931">
        <v>363</v>
      </c>
      <c r="CR2931">
        <v>0</v>
      </c>
      <c r="CW2931">
        <v>6432849</v>
      </c>
      <c r="CY2931">
        <v>1</v>
      </c>
      <c r="CZ2931">
        <v>0</v>
      </c>
      <c r="DA2931">
        <v>1</v>
      </c>
      <c r="DB2931">
        <v>0</v>
      </c>
      <c r="DC2931">
        <v>0</v>
      </c>
      <c r="DD2931">
        <v>1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 t="shared" si="1369"/>
        <v>05/12/2020 14:46:09.058</v>
      </c>
      <c r="C2932" t="str">
        <f t="shared" si="1361"/>
        <v>FFDFD3C0</v>
      </c>
      <c r="D2932" t="s">
        <v>138</v>
      </c>
      <c r="E2932">
        <v>3</v>
      </c>
      <c r="H2932">
        <v>9</v>
      </c>
      <c r="I2932" t="s">
        <v>140</v>
      </c>
      <c r="J2932" t="s">
        <v>136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370"/>
        <v>14:46:26.883</v>
      </c>
      <c r="T2932" t="str">
        <f t="shared" si="1370"/>
        <v>14:46:26.883</v>
      </c>
      <c r="U2932" t="str">
        <f t="shared" si="1355"/>
        <v>A9808D</v>
      </c>
      <c r="V2932">
        <v>0</v>
      </c>
      <c r="W2932">
        <v>0</v>
      </c>
      <c r="X2932">
        <v>1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0</v>
      </c>
      <c r="AI2932" t="s">
        <v>717</v>
      </c>
      <c r="AJ2932">
        <v>28.247458999999999</v>
      </c>
      <c r="AK2932" t="s">
        <v>718</v>
      </c>
      <c r="AL2932">
        <v>-82.297167999999999</v>
      </c>
      <c r="AM2932">
        <v>100</v>
      </c>
      <c r="AN2932">
        <v>2500</v>
      </c>
      <c r="AO2932" t="s">
        <v>118</v>
      </c>
      <c r="AP2932">
        <v>107</v>
      </c>
      <c r="AQ2932">
        <v>-6</v>
      </c>
      <c r="AR2932">
        <v>0</v>
      </c>
      <c r="AZ2932">
        <v>1200</v>
      </c>
      <c r="BA2932">
        <v>1</v>
      </c>
      <c r="BB2932" t="str">
        <f t="shared" si="1362"/>
        <v xml:space="preserve">N711JA  </v>
      </c>
      <c r="BC2932">
        <v>1</v>
      </c>
      <c r="BE2932">
        <v>0</v>
      </c>
      <c r="BF2932">
        <v>0</v>
      </c>
      <c r="BG2932">
        <v>0</v>
      </c>
      <c r="BH2932">
        <v>2625</v>
      </c>
      <c r="BI2932">
        <v>1</v>
      </c>
      <c r="BJ2932">
        <v>1</v>
      </c>
      <c r="BK2932">
        <v>0</v>
      </c>
      <c r="BL2932">
        <v>0</v>
      </c>
      <c r="BO2932">
        <v>0</v>
      </c>
      <c r="BP2932">
        <v>0</v>
      </c>
      <c r="BW2932" t="str">
        <f t="shared" si="1371"/>
        <v>14:46:26.885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5</v>
      </c>
      <c r="CP2932" t="s">
        <v>119</v>
      </c>
      <c r="CQ2932">
        <v>9</v>
      </c>
      <c r="CR2932">
        <v>0</v>
      </c>
      <c r="CW2932">
        <v>12752959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1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 t="shared" ref="A2933:A2941" si="1372">"05/12/2020 14:46:10.219"</f>
        <v>05/12/2020 14:46:10.219</v>
      </c>
      <c r="C2933" t="str">
        <f t="shared" si="1361"/>
        <v>FFDFD3C0</v>
      </c>
      <c r="D2933" t="s">
        <v>126</v>
      </c>
      <c r="E2933">
        <v>6</v>
      </c>
      <c r="F2933">
        <v>1006</v>
      </c>
      <c r="G2933" t="s">
        <v>114</v>
      </c>
      <c r="J2933" t="s">
        <v>128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ref="S2933:S2941" si="1373">"14:46:28.039"</f>
        <v>14:46:28.039</v>
      </c>
      <c r="T2933" t="str">
        <f t="shared" ref="T2933:T2939" si="1374">"14:46:27.939"</f>
        <v>14:46:27.939</v>
      </c>
      <c r="U2933" t="str">
        <f t="shared" si="1355"/>
        <v>A9808D</v>
      </c>
      <c r="V2933">
        <v>0</v>
      </c>
      <c r="W2933">
        <v>0</v>
      </c>
      <c r="X2933">
        <v>1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0</v>
      </c>
      <c r="AI2933" t="s">
        <v>231</v>
      </c>
      <c r="AJ2933">
        <v>28.247416000000001</v>
      </c>
      <c r="AK2933" t="s">
        <v>719</v>
      </c>
      <c r="AL2933">
        <v>-82.296481</v>
      </c>
      <c r="AM2933">
        <v>100</v>
      </c>
      <c r="AN2933">
        <v>2500</v>
      </c>
      <c r="AO2933" t="s">
        <v>118</v>
      </c>
      <c r="AP2933">
        <v>108</v>
      </c>
      <c r="AQ2933">
        <v>-6</v>
      </c>
      <c r="AR2933">
        <v>-384</v>
      </c>
      <c r="AZ2933">
        <v>1200</v>
      </c>
      <c r="BA2933">
        <v>1</v>
      </c>
      <c r="BB2933" t="str">
        <f t="shared" si="1362"/>
        <v xml:space="preserve">N711JA  </v>
      </c>
      <c r="BC2933">
        <v>1</v>
      </c>
      <c r="BE2933">
        <v>0</v>
      </c>
      <c r="BF2933">
        <v>0</v>
      </c>
      <c r="BG2933">
        <v>0</v>
      </c>
      <c r="BH2933">
        <v>2600</v>
      </c>
      <c r="BI2933">
        <v>1</v>
      </c>
      <c r="BJ2933">
        <v>1</v>
      </c>
      <c r="BK2933">
        <v>0</v>
      </c>
      <c r="BL2933">
        <v>0</v>
      </c>
      <c r="BO2933">
        <v>0</v>
      </c>
      <c r="BP2933">
        <v>0</v>
      </c>
      <c r="BW2933" t="str">
        <f t="shared" ref="BW2933:BW2939" si="1375">"14:46:28.042"</f>
        <v>14:46:28.042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7</v>
      </c>
      <c r="CP2933" t="s">
        <v>119</v>
      </c>
      <c r="CQ2933">
        <v>8</v>
      </c>
      <c r="CR2933">
        <v>3</v>
      </c>
      <c r="CW2933">
        <v>8975035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1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 t="shared" si="1372"/>
        <v>05/12/2020 14:46:10.219</v>
      </c>
      <c r="C2934" t="str">
        <f t="shared" si="1361"/>
        <v>FFDFD3C0</v>
      </c>
      <c r="D2934" t="s">
        <v>113</v>
      </c>
      <c r="E2934">
        <v>3</v>
      </c>
      <c r="H2934">
        <v>164</v>
      </c>
      <c r="I2934" t="s">
        <v>114</v>
      </c>
      <c r="J2934" t="s">
        <v>115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373"/>
        <v>14:46:28.039</v>
      </c>
      <c r="T2934" t="str">
        <f t="shared" si="1374"/>
        <v>14:46:27.939</v>
      </c>
      <c r="U2934" t="str">
        <f t="shared" si="1355"/>
        <v>A9808D</v>
      </c>
      <c r="V2934">
        <v>0</v>
      </c>
      <c r="W2934">
        <v>0</v>
      </c>
      <c r="X2934">
        <v>1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0</v>
      </c>
      <c r="AI2934" t="s">
        <v>231</v>
      </c>
      <c r="AJ2934">
        <v>28.247416000000001</v>
      </c>
      <c r="AK2934" t="s">
        <v>719</v>
      </c>
      <c r="AL2934">
        <v>-82.296481</v>
      </c>
      <c r="AM2934">
        <v>100</v>
      </c>
      <c r="AN2934">
        <v>2500</v>
      </c>
      <c r="AO2934" t="s">
        <v>118</v>
      </c>
      <c r="AP2934">
        <v>108</v>
      </c>
      <c r="AQ2934">
        <v>-6</v>
      </c>
      <c r="AR2934">
        <v>-384</v>
      </c>
      <c r="AZ2934">
        <v>1200</v>
      </c>
      <c r="BA2934">
        <v>1</v>
      </c>
      <c r="BB2934" t="str">
        <f t="shared" si="1362"/>
        <v xml:space="preserve">N711JA  </v>
      </c>
      <c r="BC2934">
        <v>1</v>
      </c>
      <c r="BE2934">
        <v>0</v>
      </c>
      <c r="BF2934">
        <v>0</v>
      </c>
      <c r="BG2934">
        <v>0</v>
      </c>
      <c r="BH2934">
        <v>2600</v>
      </c>
      <c r="BI2934">
        <v>1</v>
      </c>
      <c r="BJ2934">
        <v>1</v>
      </c>
      <c r="BK2934">
        <v>0</v>
      </c>
      <c r="BL2934">
        <v>0</v>
      </c>
      <c r="BO2934">
        <v>0</v>
      </c>
      <c r="BP2934">
        <v>0</v>
      </c>
      <c r="BW2934" t="str">
        <f t="shared" si="1375"/>
        <v>14:46:28.042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7</v>
      </c>
      <c r="CP2934" t="s">
        <v>119</v>
      </c>
      <c r="CQ2934">
        <v>8</v>
      </c>
      <c r="CR2934">
        <v>3</v>
      </c>
      <c r="CW2934">
        <v>8975035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1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 t="shared" si="1372"/>
        <v>05/12/2020 14:46:10.219</v>
      </c>
      <c r="C2935" t="str">
        <f t="shared" si="1361"/>
        <v>FFDFD3C0</v>
      </c>
      <c r="D2935" t="s">
        <v>138</v>
      </c>
      <c r="E2935">
        <v>2</v>
      </c>
      <c r="H2935">
        <v>8</v>
      </c>
      <c r="I2935" t="s">
        <v>139</v>
      </c>
      <c r="J2935" t="s">
        <v>136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373"/>
        <v>14:46:28.039</v>
      </c>
      <c r="T2935" t="str">
        <f t="shared" si="1374"/>
        <v>14:46:27.939</v>
      </c>
      <c r="U2935" t="str">
        <f t="shared" si="1355"/>
        <v>A9808D</v>
      </c>
      <c r="V2935">
        <v>0</v>
      </c>
      <c r="W2935">
        <v>0</v>
      </c>
      <c r="X2935">
        <v>1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0</v>
      </c>
      <c r="AI2935" t="s">
        <v>231</v>
      </c>
      <c r="AJ2935">
        <v>28.247416000000001</v>
      </c>
      <c r="AK2935" t="s">
        <v>719</v>
      </c>
      <c r="AL2935">
        <v>-82.296481</v>
      </c>
      <c r="AM2935">
        <v>100</v>
      </c>
      <c r="AN2935">
        <v>2500</v>
      </c>
      <c r="AO2935" t="s">
        <v>118</v>
      </c>
      <c r="AP2935">
        <v>108</v>
      </c>
      <c r="AQ2935">
        <v>-6</v>
      </c>
      <c r="AR2935">
        <v>-384</v>
      </c>
      <c r="AZ2935">
        <v>1200</v>
      </c>
      <c r="BA2935">
        <v>1</v>
      </c>
      <c r="BB2935" t="str">
        <f t="shared" si="1362"/>
        <v xml:space="preserve">N711JA  </v>
      </c>
      <c r="BC2935">
        <v>1</v>
      </c>
      <c r="BE2935">
        <v>0</v>
      </c>
      <c r="BF2935">
        <v>0</v>
      </c>
      <c r="BG2935">
        <v>0</v>
      </c>
      <c r="BH2935">
        <v>2600</v>
      </c>
      <c r="BI2935">
        <v>1</v>
      </c>
      <c r="BJ2935">
        <v>1</v>
      </c>
      <c r="BK2935">
        <v>0</v>
      </c>
      <c r="BL2935">
        <v>0</v>
      </c>
      <c r="BO2935">
        <v>0</v>
      </c>
      <c r="BP2935">
        <v>0</v>
      </c>
      <c r="BW2935" t="str">
        <f t="shared" si="1375"/>
        <v>14:46:28.042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8</v>
      </c>
      <c r="CR2935">
        <v>3</v>
      </c>
      <c r="CW2935">
        <v>8975035</v>
      </c>
      <c r="CY2935">
        <v>1</v>
      </c>
      <c r="CZ2935">
        <v>0</v>
      </c>
      <c r="DA2935">
        <v>1</v>
      </c>
      <c r="DB2935">
        <v>0</v>
      </c>
      <c r="DC2935">
        <v>0</v>
      </c>
      <c r="DD2935">
        <v>1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 t="shared" si="1372"/>
        <v>05/12/2020 14:46:10.219</v>
      </c>
      <c r="C2936" t="str">
        <f t="shared" si="1361"/>
        <v>FFDFD3C0</v>
      </c>
      <c r="D2936" t="s">
        <v>126</v>
      </c>
      <c r="E2936">
        <v>7</v>
      </c>
      <c r="F2936">
        <v>1007</v>
      </c>
      <c r="G2936" t="s">
        <v>127</v>
      </c>
      <c r="J2936" t="s">
        <v>128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373"/>
        <v>14:46:28.039</v>
      </c>
      <c r="T2936" t="str">
        <f t="shared" si="1374"/>
        <v>14:46:27.939</v>
      </c>
      <c r="U2936" t="str">
        <f t="shared" si="1355"/>
        <v>A9808D</v>
      </c>
      <c r="V2936">
        <v>0</v>
      </c>
      <c r="W2936">
        <v>0</v>
      </c>
      <c r="X2936">
        <v>1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0</v>
      </c>
      <c r="AI2936" t="s">
        <v>231</v>
      </c>
      <c r="AJ2936">
        <v>28.247416000000001</v>
      </c>
      <c r="AK2936" t="s">
        <v>719</v>
      </c>
      <c r="AL2936">
        <v>-82.296481</v>
      </c>
      <c r="AM2936">
        <v>100</v>
      </c>
      <c r="AN2936">
        <v>2500</v>
      </c>
      <c r="AO2936" t="s">
        <v>118</v>
      </c>
      <c r="AP2936">
        <v>108</v>
      </c>
      <c r="AQ2936">
        <v>-6</v>
      </c>
      <c r="AR2936">
        <v>-384</v>
      </c>
      <c r="AZ2936">
        <v>1200</v>
      </c>
      <c r="BA2936">
        <v>1</v>
      </c>
      <c r="BB2936" t="str">
        <f t="shared" si="1362"/>
        <v xml:space="preserve">N711JA  </v>
      </c>
      <c r="BC2936">
        <v>1</v>
      </c>
      <c r="BE2936">
        <v>0</v>
      </c>
      <c r="BF2936">
        <v>0</v>
      </c>
      <c r="BG2936">
        <v>0</v>
      </c>
      <c r="BH2936">
        <v>2600</v>
      </c>
      <c r="BI2936">
        <v>1</v>
      </c>
      <c r="BJ2936">
        <v>1</v>
      </c>
      <c r="BK2936">
        <v>0</v>
      </c>
      <c r="BL2936">
        <v>0</v>
      </c>
      <c r="BO2936">
        <v>0</v>
      </c>
      <c r="BP2936">
        <v>0</v>
      </c>
      <c r="BW2936" t="str">
        <f t="shared" si="1375"/>
        <v>14:46:28.042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8</v>
      </c>
      <c r="CR2936">
        <v>3</v>
      </c>
      <c r="CW2936">
        <v>8975035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1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 t="shared" si="1372"/>
        <v>05/12/2020 14:46:10.219</v>
      </c>
      <c r="C2937" t="str">
        <f t="shared" si="1361"/>
        <v>FFDFD3C0</v>
      </c>
      <c r="D2937" t="s">
        <v>131</v>
      </c>
      <c r="E2937">
        <v>10</v>
      </c>
      <c r="F2937">
        <v>2010</v>
      </c>
      <c r="G2937" t="s">
        <v>132</v>
      </c>
      <c r="J2937" t="s">
        <v>133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373"/>
        <v>14:46:28.039</v>
      </c>
      <c r="T2937" t="str">
        <f t="shared" si="1374"/>
        <v>14:46:27.939</v>
      </c>
      <c r="U2937" t="str">
        <f t="shared" si="1355"/>
        <v>A9808D</v>
      </c>
      <c r="V2937">
        <v>0</v>
      </c>
      <c r="W2937">
        <v>0</v>
      </c>
      <c r="X2937">
        <v>1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0</v>
      </c>
      <c r="AI2937" t="s">
        <v>231</v>
      </c>
      <c r="AJ2937">
        <v>28.247416000000001</v>
      </c>
      <c r="AK2937" t="s">
        <v>719</v>
      </c>
      <c r="AL2937">
        <v>-82.296481</v>
      </c>
      <c r="AM2937">
        <v>100</v>
      </c>
      <c r="AN2937">
        <v>2500</v>
      </c>
      <c r="AO2937" t="s">
        <v>118</v>
      </c>
      <c r="AP2937">
        <v>108</v>
      </c>
      <c r="AQ2937">
        <v>-6</v>
      </c>
      <c r="AR2937">
        <v>-384</v>
      </c>
      <c r="AZ2937">
        <v>1200</v>
      </c>
      <c r="BA2937">
        <v>1</v>
      </c>
      <c r="BB2937" t="str">
        <f t="shared" si="1362"/>
        <v xml:space="preserve">N711JA  </v>
      </c>
      <c r="BC2937">
        <v>1</v>
      </c>
      <c r="BE2937">
        <v>0</v>
      </c>
      <c r="BF2937">
        <v>0</v>
      </c>
      <c r="BG2937">
        <v>0</v>
      </c>
      <c r="BH2937">
        <v>2600</v>
      </c>
      <c r="BI2937">
        <v>1</v>
      </c>
      <c r="BJ2937">
        <v>1</v>
      </c>
      <c r="BK2937">
        <v>0</v>
      </c>
      <c r="BL2937">
        <v>0</v>
      </c>
      <c r="BO2937">
        <v>0</v>
      </c>
      <c r="BP2937">
        <v>0</v>
      </c>
      <c r="BW2937" t="str">
        <f t="shared" si="1375"/>
        <v>14:46:28.042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8</v>
      </c>
      <c r="CR2937">
        <v>3</v>
      </c>
      <c r="CW2937">
        <v>8975035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1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 t="shared" si="1372"/>
        <v>05/12/2020 14:46:10.219</v>
      </c>
      <c r="C2938" t="str">
        <f t="shared" si="1361"/>
        <v>FFDFD3C0</v>
      </c>
      <c r="D2938" t="s">
        <v>131</v>
      </c>
      <c r="E2938">
        <v>12</v>
      </c>
      <c r="F2938">
        <v>2012</v>
      </c>
      <c r="G2938" t="s">
        <v>137</v>
      </c>
      <c r="J2938" t="s">
        <v>133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si="1373"/>
        <v>14:46:28.039</v>
      </c>
      <c r="T2938" t="str">
        <f t="shared" si="1374"/>
        <v>14:46:27.939</v>
      </c>
      <c r="U2938" t="str">
        <f t="shared" si="1355"/>
        <v>A9808D</v>
      </c>
      <c r="V2938">
        <v>0</v>
      </c>
      <c r="W2938">
        <v>0</v>
      </c>
      <c r="X2938">
        <v>1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0</v>
      </c>
      <c r="AI2938" t="s">
        <v>231</v>
      </c>
      <c r="AJ2938">
        <v>28.247416000000001</v>
      </c>
      <c r="AK2938" t="s">
        <v>719</v>
      </c>
      <c r="AL2938">
        <v>-82.296481</v>
      </c>
      <c r="AM2938">
        <v>100</v>
      </c>
      <c r="AN2938">
        <v>2500</v>
      </c>
      <c r="AO2938" t="s">
        <v>118</v>
      </c>
      <c r="AP2938">
        <v>108</v>
      </c>
      <c r="AQ2938">
        <v>-6</v>
      </c>
      <c r="AR2938">
        <v>-384</v>
      </c>
      <c r="AZ2938">
        <v>1200</v>
      </c>
      <c r="BA2938">
        <v>1</v>
      </c>
      <c r="BB2938" t="str">
        <f t="shared" si="1362"/>
        <v xml:space="preserve">N711JA  </v>
      </c>
      <c r="BC2938">
        <v>1</v>
      </c>
      <c r="BE2938">
        <v>0</v>
      </c>
      <c r="BF2938">
        <v>0</v>
      </c>
      <c r="BG2938">
        <v>0</v>
      </c>
      <c r="BH2938">
        <v>2600</v>
      </c>
      <c r="BI2938">
        <v>1</v>
      </c>
      <c r="BJ2938">
        <v>1</v>
      </c>
      <c r="BK2938">
        <v>0</v>
      </c>
      <c r="BL2938">
        <v>0</v>
      </c>
      <c r="BO2938">
        <v>0</v>
      </c>
      <c r="BP2938">
        <v>0</v>
      </c>
      <c r="BW2938" t="str">
        <f t="shared" si="1375"/>
        <v>14:46:28.042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119</v>
      </c>
      <c r="CQ2938">
        <v>8</v>
      </c>
      <c r="CR2938">
        <v>3</v>
      </c>
      <c r="CW2938">
        <v>8975035</v>
      </c>
      <c r="CY2938">
        <v>1</v>
      </c>
      <c r="CZ2938">
        <v>0</v>
      </c>
      <c r="DA2938">
        <v>1</v>
      </c>
      <c r="DB2938">
        <v>0</v>
      </c>
      <c r="DC2938">
        <v>0</v>
      </c>
      <c r="DD2938">
        <v>1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 t="shared" si="1372"/>
        <v>05/12/2020 14:46:10.219</v>
      </c>
      <c r="C2939" t="str">
        <f t="shared" si="1361"/>
        <v>FFDFD3C0</v>
      </c>
      <c r="D2939" t="s">
        <v>134</v>
      </c>
      <c r="E2939">
        <v>12</v>
      </c>
      <c r="H2939">
        <v>64</v>
      </c>
      <c r="I2939" t="s">
        <v>135</v>
      </c>
      <c r="J2939" t="s">
        <v>136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373"/>
        <v>14:46:28.039</v>
      </c>
      <c r="T2939" t="str">
        <f t="shared" si="1374"/>
        <v>14:46:27.939</v>
      </c>
      <c r="U2939" t="str">
        <f t="shared" si="1355"/>
        <v>A9808D</v>
      </c>
      <c r="V2939">
        <v>0</v>
      </c>
      <c r="W2939">
        <v>0</v>
      </c>
      <c r="X2939">
        <v>1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0</v>
      </c>
      <c r="AI2939" t="s">
        <v>231</v>
      </c>
      <c r="AJ2939">
        <v>28.247416000000001</v>
      </c>
      <c r="AK2939" t="s">
        <v>719</v>
      </c>
      <c r="AL2939">
        <v>-82.296481</v>
      </c>
      <c r="AM2939">
        <v>100</v>
      </c>
      <c r="AN2939">
        <v>2500</v>
      </c>
      <c r="AO2939" t="s">
        <v>118</v>
      </c>
      <c r="AP2939">
        <v>108</v>
      </c>
      <c r="AQ2939">
        <v>-6</v>
      </c>
      <c r="AR2939">
        <v>-384</v>
      </c>
      <c r="AZ2939">
        <v>1200</v>
      </c>
      <c r="BA2939">
        <v>1</v>
      </c>
      <c r="BB2939" t="str">
        <f t="shared" si="1362"/>
        <v xml:space="preserve">N711JA  </v>
      </c>
      <c r="BC2939">
        <v>1</v>
      </c>
      <c r="BE2939">
        <v>0</v>
      </c>
      <c r="BF2939">
        <v>0</v>
      </c>
      <c r="BG2939">
        <v>0</v>
      </c>
      <c r="BH2939">
        <v>2600</v>
      </c>
      <c r="BI2939">
        <v>1</v>
      </c>
      <c r="BJ2939">
        <v>1</v>
      </c>
      <c r="BK2939">
        <v>0</v>
      </c>
      <c r="BL2939">
        <v>0</v>
      </c>
      <c r="BO2939">
        <v>0</v>
      </c>
      <c r="BP2939">
        <v>0</v>
      </c>
      <c r="BW2939" t="str">
        <f t="shared" si="1375"/>
        <v>14:46:28.042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7</v>
      </c>
      <c r="CP2939" t="s">
        <v>119</v>
      </c>
      <c r="CQ2939">
        <v>8</v>
      </c>
      <c r="CR2939">
        <v>3</v>
      </c>
      <c r="CW2939">
        <v>8975035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1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 t="shared" si="1372"/>
        <v>05/12/2020 14:46:10.219</v>
      </c>
      <c r="C2940" t="str">
        <f t="shared" si="1361"/>
        <v>FFDFD3C0</v>
      </c>
      <c r="D2940" t="s">
        <v>131</v>
      </c>
      <c r="E2940">
        <v>18</v>
      </c>
      <c r="F2940">
        <v>2018</v>
      </c>
      <c r="G2940" t="s">
        <v>161</v>
      </c>
      <c r="J2940" t="s">
        <v>133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373"/>
        <v>14:46:28.039</v>
      </c>
      <c r="T2940" t="str">
        <f>"14:46:27.339"</f>
        <v>14:46:27.339</v>
      </c>
      <c r="U2940" t="str">
        <f t="shared" si="1355"/>
        <v>A9808D</v>
      </c>
      <c r="V2940">
        <v>0</v>
      </c>
      <c r="W2940">
        <v>0</v>
      </c>
      <c r="X2940">
        <v>1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0</v>
      </c>
      <c r="AI2940" t="s">
        <v>231</v>
      </c>
      <c r="AJ2940">
        <v>28.247416000000001</v>
      </c>
      <c r="AK2940" t="s">
        <v>719</v>
      </c>
      <c r="AL2940">
        <v>-82.296481</v>
      </c>
      <c r="AM2940">
        <v>100</v>
      </c>
      <c r="AN2940">
        <v>2500</v>
      </c>
      <c r="AO2940" t="s">
        <v>118</v>
      </c>
      <c r="AP2940">
        <v>107</v>
      </c>
      <c r="AQ2940">
        <v>-6</v>
      </c>
      <c r="AR2940">
        <v>-128</v>
      </c>
      <c r="AZ2940">
        <v>1200</v>
      </c>
      <c r="BA2940">
        <v>1</v>
      </c>
      <c r="BB2940" t="str">
        <f t="shared" si="1362"/>
        <v xml:space="preserve">N711JA  </v>
      </c>
      <c r="BC2940">
        <v>1</v>
      </c>
      <c r="BE2940">
        <v>0</v>
      </c>
      <c r="BF2940">
        <v>0</v>
      </c>
      <c r="BG2940">
        <v>0</v>
      </c>
      <c r="BH2940">
        <v>2625</v>
      </c>
      <c r="BI2940">
        <v>1</v>
      </c>
      <c r="BJ2940">
        <v>1</v>
      </c>
      <c r="BK2940">
        <v>0</v>
      </c>
      <c r="BL2940">
        <v>0</v>
      </c>
      <c r="BO2940">
        <v>0</v>
      </c>
      <c r="BP2940">
        <v>0</v>
      </c>
      <c r="BW2940" t="str">
        <f>"14:46:28.043"</f>
        <v>14:46:28.043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5</v>
      </c>
      <c r="CP2940" t="s">
        <v>119</v>
      </c>
      <c r="CQ2940">
        <v>62</v>
      </c>
      <c r="CR2940">
        <v>1</v>
      </c>
      <c r="CW2940">
        <v>12857049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1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 t="shared" si="1372"/>
        <v>05/12/2020 14:46:10.219</v>
      </c>
      <c r="C2941" t="str">
        <f t="shared" si="1361"/>
        <v>FFDFD3C0</v>
      </c>
      <c r="D2941" t="s">
        <v>138</v>
      </c>
      <c r="E2941">
        <v>3</v>
      </c>
      <c r="H2941">
        <v>9</v>
      </c>
      <c r="I2941" t="s">
        <v>140</v>
      </c>
      <c r="J2941" t="s">
        <v>136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373"/>
        <v>14:46:28.039</v>
      </c>
      <c r="T2941" t="str">
        <f>"14:46:27.939"</f>
        <v>14:46:27.939</v>
      </c>
      <c r="U2941" t="str">
        <f t="shared" si="1355"/>
        <v>A9808D</v>
      </c>
      <c r="V2941">
        <v>0</v>
      </c>
      <c r="W2941">
        <v>0</v>
      </c>
      <c r="X2941">
        <v>1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0</v>
      </c>
      <c r="AI2941" t="s">
        <v>231</v>
      </c>
      <c r="AJ2941">
        <v>28.247416000000001</v>
      </c>
      <c r="AK2941" t="s">
        <v>719</v>
      </c>
      <c r="AL2941">
        <v>-82.296481</v>
      </c>
      <c r="AM2941">
        <v>100</v>
      </c>
      <c r="AN2941">
        <v>2500</v>
      </c>
      <c r="AO2941" t="s">
        <v>118</v>
      </c>
      <c r="AP2941">
        <v>108</v>
      </c>
      <c r="AQ2941">
        <v>-6</v>
      </c>
      <c r="AR2941">
        <v>-384</v>
      </c>
      <c r="AZ2941">
        <v>1200</v>
      </c>
      <c r="BA2941">
        <v>1</v>
      </c>
      <c r="BB2941" t="str">
        <f t="shared" si="1362"/>
        <v xml:space="preserve">N711JA  </v>
      </c>
      <c r="BC2941">
        <v>1</v>
      </c>
      <c r="BE2941">
        <v>0</v>
      </c>
      <c r="BF2941">
        <v>0</v>
      </c>
      <c r="BG2941">
        <v>0</v>
      </c>
      <c r="BH2941">
        <v>2600</v>
      </c>
      <c r="BI2941">
        <v>1</v>
      </c>
      <c r="BJ2941">
        <v>1</v>
      </c>
      <c r="BK2941">
        <v>0</v>
      </c>
      <c r="BL2941">
        <v>0</v>
      </c>
      <c r="BO2941">
        <v>0</v>
      </c>
      <c r="BP2941">
        <v>0</v>
      </c>
      <c r="BW2941" t="str">
        <f>"14:46:28.042"</f>
        <v>14:46:28.042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7</v>
      </c>
      <c r="CP2941" t="s">
        <v>119</v>
      </c>
      <c r="CQ2941">
        <v>8</v>
      </c>
      <c r="CR2941">
        <v>3</v>
      </c>
      <c r="CW2941">
        <v>8975035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1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 t="shared" ref="A2942:A2950" si="1376">"05/12/2020 14:46:11.301"</f>
        <v>05/12/2020 14:46:11.301</v>
      </c>
      <c r="C2942" t="str">
        <f t="shared" si="1361"/>
        <v>FFDFD3C0</v>
      </c>
      <c r="D2942" t="s">
        <v>138</v>
      </c>
      <c r="E2942">
        <v>2</v>
      </c>
      <c r="H2942">
        <v>8</v>
      </c>
      <c r="I2942" t="s">
        <v>139</v>
      </c>
      <c r="J2942" t="s">
        <v>136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ref="S2942:S2950" si="1377">"14:46:29.117"</f>
        <v>14:46:29.117</v>
      </c>
      <c r="T2942" t="str">
        <f>"14:46:28.917"</f>
        <v>14:46:28.917</v>
      </c>
      <c r="U2942" t="str">
        <f t="shared" si="1355"/>
        <v>A9808D</v>
      </c>
      <c r="V2942">
        <v>0</v>
      </c>
      <c r="W2942">
        <v>0</v>
      </c>
      <c r="X2942">
        <v>1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0</v>
      </c>
      <c r="AI2942" t="s">
        <v>720</v>
      </c>
      <c r="AJ2942">
        <v>28.247395000000001</v>
      </c>
      <c r="AK2942" t="s">
        <v>721</v>
      </c>
      <c r="AL2942">
        <v>-82.295837000000006</v>
      </c>
      <c r="AM2942">
        <v>100</v>
      </c>
      <c r="AN2942">
        <v>2500</v>
      </c>
      <c r="AO2942" t="s">
        <v>118</v>
      </c>
      <c r="AP2942">
        <v>109</v>
      </c>
      <c r="AQ2942">
        <v>-6</v>
      </c>
      <c r="AR2942">
        <v>-704</v>
      </c>
      <c r="AZ2942">
        <v>1200</v>
      </c>
      <c r="BA2942">
        <v>1</v>
      </c>
      <c r="BB2942" t="str">
        <f t="shared" si="1362"/>
        <v xml:space="preserve">N711JA  </v>
      </c>
      <c r="BC2942">
        <v>1</v>
      </c>
      <c r="BE2942">
        <v>0</v>
      </c>
      <c r="BF2942">
        <v>0</v>
      </c>
      <c r="BG2942">
        <v>0</v>
      </c>
      <c r="BH2942">
        <v>2600</v>
      </c>
      <c r="BI2942">
        <v>1</v>
      </c>
      <c r="BJ2942">
        <v>1</v>
      </c>
      <c r="BK2942">
        <v>0</v>
      </c>
      <c r="BL2942">
        <v>0</v>
      </c>
      <c r="BO2942">
        <v>0</v>
      </c>
      <c r="BP2942">
        <v>0</v>
      </c>
      <c r="BW2942" t="str">
        <f t="shared" ref="BW2942:BW2950" si="1378">"14:46:29.122"</f>
        <v>14:46:29.122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5</v>
      </c>
      <c r="CP2942" t="s">
        <v>119</v>
      </c>
      <c r="CQ2942">
        <v>8</v>
      </c>
      <c r="CR2942">
        <v>2</v>
      </c>
      <c r="CW2942">
        <v>10296706</v>
      </c>
      <c r="CY2942">
        <v>1</v>
      </c>
      <c r="CZ2942">
        <v>0</v>
      </c>
      <c r="DA2942">
        <v>0</v>
      </c>
      <c r="DB2942">
        <v>0</v>
      </c>
      <c r="DC2942">
        <v>0</v>
      </c>
      <c r="DD2942">
        <v>1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 t="shared" si="1376"/>
        <v>05/12/2020 14:46:11.301</v>
      </c>
      <c r="C2943" t="str">
        <f t="shared" si="1361"/>
        <v>FFDFD3C0</v>
      </c>
      <c r="D2943" t="s">
        <v>131</v>
      </c>
      <c r="E2943">
        <v>12</v>
      </c>
      <c r="F2943">
        <v>2012</v>
      </c>
      <c r="G2943" t="s">
        <v>137</v>
      </c>
      <c r="J2943" t="s">
        <v>133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377"/>
        <v>14:46:29.117</v>
      </c>
      <c r="T2943" t="str">
        <f>"14:46:28.917"</f>
        <v>14:46:28.917</v>
      </c>
      <c r="U2943" t="str">
        <f t="shared" si="1355"/>
        <v>A9808D</v>
      </c>
      <c r="V2943">
        <v>0</v>
      </c>
      <c r="W2943">
        <v>0</v>
      </c>
      <c r="X2943">
        <v>1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0</v>
      </c>
      <c r="AI2943" t="s">
        <v>720</v>
      </c>
      <c r="AJ2943">
        <v>28.247395000000001</v>
      </c>
      <c r="AK2943" t="s">
        <v>721</v>
      </c>
      <c r="AL2943">
        <v>-82.295837000000006</v>
      </c>
      <c r="AM2943">
        <v>100</v>
      </c>
      <c r="AN2943">
        <v>2500</v>
      </c>
      <c r="AO2943" t="s">
        <v>118</v>
      </c>
      <c r="AP2943">
        <v>109</v>
      </c>
      <c r="AQ2943">
        <v>-6</v>
      </c>
      <c r="AR2943">
        <v>-704</v>
      </c>
      <c r="AZ2943">
        <v>1200</v>
      </c>
      <c r="BA2943">
        <v>1</v>
      </c>
      <c r="BB2943" t="str">
        <f t="shared" si="1362"/>
        <v xml:space="preserve">N711JA  </v>
      </c>
      <c r="BC2943">
        <v>1</v>
      </c>
      <c r="BE2943">
        <v>0</v>
      </c>
      <c r="BF2943">
        <v>0</v>
      </c>
      <c r="BG2943">
        <v>0</v>
      </c>
      <c r="BH2943">
        <v>2600</v>
      </c>
      <c r="BI2943">
        <v>1</v>
      </c>
      <c r="BJ2943">
        <v>1</v>
      </c>
      <c r="BK2943">
        <v>0</v>
      </c>
      <c r="BL2943">
        <v>0</v>
      </c>
      <c r="BO2943">
        <v>0</v>
      </c>
      <c r="BP2943">
        <v>0</v>
      </c>
      <c r="BW2943" t="str">
        <f t="shared" si="1378"/>
        <v>14:46:29.122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5</v>
      </c>
      <c r="CP2943" t="s">
        <v>119</v>
      </c>
      <c r="CQ2943">
        <v>8</v>
      </c>
      <c r="CR2943">
        <v>2</v>
      </c>
      <c r="CW2943">
        <v>10296706</v>
      </c>
      <c r="CY2943">
        <v>1</v>
      </c>
      <c r="CZ2943">
        <v>0</v>
      </c>
      <c r="DA2943">
        <v>1</v>
      </c>
      <c r="DB2943">
        <v>0</v>
      </c>
      <c r="DC2943">
        <v>0</v>
      </c>
      <c r="DD2943">
        <v>1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 t="shared" si="1376"/>
        <v>05/12/2020 14:46:11.301</v>
      </c>
      <c r="C2944" t="str">
        <f t="shared" si="1361"/>
        <v>FFDFD3C0</v>
      </c>
      <c r="D2944" t="s">
        <v>131</v>
      </c>
      <c r="E2944">
        <v>18</v>
      </c>
      <c r="F2944">
        <v>2018</v>
      </c>
      <c r="G2944" t="s">
        <v>161</v>
      </c>
      <c r="J2944" t="s">
        <v>133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377"/>
        <v>14:46:29.117</v>
      </c>
      <c r="T2944" t="str">
        <f>"14:46:27.417"</f>
        <v>14:46:27.417</v>
      </c>
      <c r="U2944" t="str">
        <f t="shared" si="1355"/>
        <v>A9808D</v>
      </c>
      <c r="V2944">
        <v>0</v>
      </c>
      <c r="W2944">
        <v>0</v>
      </c>
      <c r="X2944">
        <v>1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0</v>
      </c>
      <c r="AI2944" t="s">
        <v>720</v>
      </c>
      <c r="AJ2944">
        <v>28.247395000000001</v>
      </c>
      <c r="AK2944" t="s">
        <v>721</v>
      </c>
      <c r="AL2944">
        <v>-82.295837000000006</v>
      </c>
      <c r="AM2944">
        <v>100</v>
      </c>
      <c r="AN2944">
        <v>2500</v>
      </c>
      <c r="AO2944" t="s">
        <v>118</v>
      </c>
      <c r="AP2944">
        <v>107</v>
      </c>
      <c r="AQ2944">
        <v>-6</v>
      </c>
      <c r="AR2944">
        <v>-128</v>
      </c>
      <c r="AZ2944">
        <v>1200</v>
      </c>
      <c r="BA2944">
        <v>1</v>
      </c>
      <c r="BB2944" t="str">
        <f t="shared" si="1362"/>
        <v xml:space="preserve">N711JA  </v>
      </c>
      <c r="BC2944">
        <v>1</v>
      </c>
      <c r="BE2944">
        <v>0</v>
      </c>
      <c r="BF2944">
        <v>0</v>
      </c>
      <c r="BG2944">
        <v>0</v>
      </c>
      <c r="BH2944">
        <v>2625</v>
      </c>
      <c r="BI2944">
        <v>1</v>
      </c>
      <c r="BJ2944">
        <v>1</v>
      </c>
      <c r="BK2944">
        <v>0</v>
      </c>
      <c r="BL2944">
        <v>0</v>
      </c>
      <c r="BO2944">
        <v>0</v>
      </c>
      <c r="BP2944">
        <v>0</v>
      </c>
      <c r="BW2944" t="str">
        <f t="shared" si="1378"/>
        <v>14:46:29.122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5</v>
      </c>
      <c r="CP2944" t="s">
        <v>119</v>
      </c>
      <c r="CQ2944">
        <v>62</v>
      </c>
      <c r="CR2944">
        <v>1</v>
      </c>
      <c r="CW2944">
        <v>12858207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1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 t="shared" si="1376"/>
        <v>05/12/2020 14:46:11.301</v>
      </c>
      <c r="C2945" t="str">
        <f t="shared" si="1361"/>
        <v>FFDFD3C0</v>
      </c>
      <c r="D2945" t="s">
        <v>134</v>
      </c>
      <c r="E2945">
        <v>12</v>
      </c>
      <c r="H2945">
        <v>64</v>
      </c>
      <c r="I2945" t="s">
        <v>135</v>
      </c>
      <c r="J2945" t="s">
        <v>136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si="1377"/>
        <v>14:46:29.117</v>
      </c>
      <c r="T2945" t="str">
        <f t="shared" ref="T2945:T2950" si="1379">"14:46:28.917"</f>
        <v>14:46:28.917</v>
      </c>
      <c r="U2945" t="str">
        <f t="shared" si="1355"/>
        <v>A9808D</v>
      </c>
      <c r="V2945">
        <v>0</v>
      </c>
      <c r="W2945">
        <v>0</v>
      </c>
      <c r="X2945">
        <v>1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0</v>
      </c>
      <c r="AI2945" t="s">
        <v>720</v>
      </c>
      <c r="AJ2945">
        <v>28.247395000000001</v>
      </c>
      <c r="AK2945" t="s">
        <v>721</v>
      </c>
      <c r="AL2945">
        <v>-82.295837000000006</v>
      </c>
      <c r="AM2945">
        <v>100</v>
      </c>
      <c r="AN2945">
        <v>2500</v>
      </c>
      <c r="AO2945" t="s">
        <v>118</v>
      </c>
      <c r="AP2945">
        <v>109</v>
      </c>
      <c r="AQ2945">
        <v>-6</v>
      </c>
      <c r="AR2945">
        <v>-704</v>
      </c>
      <c r="AZ2945">
        <v>1200</v>
      </c>
      <c r="BA2945">
        <v>1</v>
      </c>
      <c r="BB2945" t="str">
        <f t="shared" si="1362"/>
        <v xml:space="preserve">N711JA  </v>
      </c>
      <c r="BC2945">
        <v>1</v>
      </c>
      <c r="BE2945">
        <v>0</v>
      </c>
      <c r="BF2945">
        <v>0</v>
      </c>
      <c r="BG2945">
        <v>0</v>
      </c>
      <c r="BH2945">
        <v>2600</v>
      </c>
      <c r="BI2945">
        <v>1</v>
      </c>
      <c r="BJ2945">
        <v>1</v>
      </c>
      <c r="BK2945">
        <v>0</v>
      </c>
      <c r="BL2945">
        <v>0</v>
      </c>
      <c r="BO2945">
        <v>0</v>
      </c>
      <c r="BP2945">
        <v>0</v>
      </c>
      <c r="BW2945" t="str">
        <f t="shared" si="1378"/>
        <v>14:46:29.122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5</v>
      </c>
      <c r="CP2945" t="s">
        <v>119</v>
      </c>
      <c r="CQ2945">
        <v>8</v>
      </c>
      <c r="CR2945">
        <v>2</v>
      </c>
      <c r="CW2945">
        <v>10296706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1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 t="shared" si="1376"/>
        <v>05/12/2020 14:46:11.301</v>
      </c>
      <c r="C2946" t="str">
        <f t="shared" si="1361"/>
        <v>FFDFD3C0</v>
      </c>
      <c r="D2946" t="s">
        <v>138</v>
      </c>
      <c r="E2946">
        <v>3</v>
      </c>
      <c r="H2946">
        <v>9</v>
      </c>
      <c r="I2946" t="s">
        <v>140</v>
      </c>
      <c r="J2946" t="s">
        <v>136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377"/>
        <v>14:46:29.117</v>
      </c>
      <c r="T2946" t="str">
        <f t="shared" si="1379"/>
        <v>14:46:28.917</v>
      </c>
      <c r="U2946" t="str">
        <f t="shared" ref="U2946:U3009" si="1380">"A9808D"</f>
        <v>A9808D</v>
      </c>
      <c r="V2946">
        <v>0</v>
      </c>
      <c r="W2946">
        <v>0</v>
      </c>
      <c r="X2946">
        <v>1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0</v>
      </c>
      <c r="AI2946" t="s">
        <v>720</v>
      </c>
      <c r="AJ2946">
        <v>28.247395000000001</v>
      </c>
      <c r="AK2946" t="s">
        <v>721</v>
      </c>
      <c r="AL2946">
        <v>-82.295837000000006</v>
      </c>
      <c r="AM2946">
        <v>100</v>
      </c>
      <c r="AN2946">
        <v>2500</v>
      </c>
      <c r="AO2946" t="s">
        <v>118</v>
      </c>
      <c r="AP2946">
        <v>109</v>
      </c>
      <c r="AQ2946">
        <v>-6</v>
      </c>
      <c r="AR2946">
        <v>-704</v>
      </c>
      <c r="AZ2946">
        <v>1200</v>
      </c>
      <c r="BA2946">
        <v>1</v>
      </c>
      <c r="BB2946" t="str">
        <f t="shared" si="1362"/>
        <v xml:space="preserve">N711JA  </v>
      </c>
      <c r="BC2946">
        <v>1</v>
      </c>
      <c r="BE2946">
        <v>0</v>
      </c>
      <c r="BF2946">
        <v>0</v>
      </c>
      <c r="BG2946">
        <v>0</v>
      </c>
      <c r="BH2946">
        <v>2600</v>
      </c>
      <c r="BI2946">
        <v>1</v>
      </c>
      <c r="BJ2946">
        <v>1</v>
      </c>
      <c r="BK2946">
        <v>0</v>
      </c>
      <c r="BL2946">
        <v>0</v>
      </c>
      <c r="BO2946">
        <v>0</v>
      </c>
      <c r="BP2946">
        <v>0</v>
      </c>
      <c r="BW2946" t="str">
        <f t="shared" si="1378"/>
        <v>14:46:29.122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5</v>
      </c>
      <c r="CP2946" t="s">
        <v>119</v>
      </c>
      <c r="CQ2946">
        <v>8</v>
      </c>
      <c r="CR2946">
        <v>2</v>
      </c>
      <c r="CW2946">
        <v>10296706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1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 t="shared" si="1376"/>
        <v>05/12/2020 14:46:11.301</v>
      </c>
      <c r="C2947" t="str">
        <f t="shared" si="1361"/>
        <v>FFDFD3C0</v>
      </c>
      <c r="D2947" t="s">
        <v>126</v>
      </c>
      <c r="E2947">
        <v>6</v>
      </c>
      <c r="F2947">
        <v>1006</v>
      </c>
      <c r="G2947" t="s">
        <v>114</v>
      </c>
      <c r="J2947" t="s">
        <v>128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377"/>
        <v>14:46:29.117</v>
      </c>
      <c r="T2947" t="str">
        <f t="shared" si="1379"/>
        <v>14:46:28.917</v>
      </c>
      <c r="U2947" t="str">
        <f t="shared" si="1380"/>
        <v>A9808D</v>
      </c>
      <c r="V2947">
        <v>0</v>
      </c>
      <c r="W2947">
        <v>0</v>
      </c>
      <c r="X2947">
        <v>1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0</v>
      </c>
      <c r="AI2947" t="s">
        <v>720</v>
      </c>
      <c r="AJ2947">
        <v>28.247395000000001</v>
      </c>
      <c r="AK2947" t="s">
        <v>721</v>
      </c>
      <c r="AL2947">
        <v>-82.295837000000006</v>
      </c>
      <c r="AM2947">
        <v>100</v>
      </c>
      <c r="AN2947">
        <v>2500</v>
      </c>
      <c r="AO2947" t="s">
        <v>118</v>
      </c>
      <c r="AP2947">
        <v>109</v>
      </c>
      <c r="AQ2947">
        <v>-6</v>
      </c>
      <c r="AR2947">
        <v>-704</v>
      </c>
      <c r="AZ2947">
        <v>1200</v>
      </c>
      <c r="BA2947">
        <v>1</v>
      </c>
      <c r="BB2947" t="str">
        <f t="shared" si="1362"/>
        <v xml:space="preserve">N711JA  </v>
      </c>
      <c r="BC2947">
        <v>1</v>
      </c>
      <c r="BE2947">
        <v>0</v>
      </c>
      <c r="BF2947">
        <v>0</v>
      </c>
      <c r="BG2947">
        <v>0</v>
      </c>
      <c r="BH2947">
        <v>2600</v>
      </c>
      <c r="BI2947">
        <v>1</v>
      </c>
      <c r="BJ2947">
        <v>1</v>
      </c>
      <c r="BK2947">
        <v>0</v>
      </c>
      <c r="BL2947">
        <v>0</v>
      </c>
      <c r="BO2947">
        <v>0</v>
      </c>
      <c r="BP2947">
        <v>0</v>
      </c>
      <c r="BW2947" t="str">
        <f t="shared" si="1378"/>
        <v>14:46:29.122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5</v>
      </c>
      <c r="CP2947" t="s">
        <v>119</v>
      </c>
      <c r="CQ2947">
        <v>8</v>
      </c>
      <c r="CR2947">
        <v>2</v>
      </c>
      <c r="CW2947">
        <v>10296706</v>
      </c>
      <c r="CY2947">
        <v>1</v>
      </c>
      <c r="CZ2947">
        <v>0</v>
      </c>
      <c r="DA2947">
        <v>1</v>
      </c>
      <c r="DB2947">
        <v>0</v>
      </c>
      <c r="DC2947">
        <v>0</v>
      </c>
      <c r="DD2947">
        <v>1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 t="shared" si="1376"/>
        <v>05/12/2020 14:46:11.301</v>
      </c>
      <c r="C2948" t="str">
        <f t="shared" si="1361"/>
        <v>FFDFD3C0</v>
      </c>
      <c r="D2948" t="s">
        <v>126</v>
      </c>
      <c r="E2948">
        <v>7</v>
      </c>
      <c r="F2948">
        <v>1007</v>
      </c>
      <c r="G2948" t="s">
        <v>127</v>
      </c>
      <c r="J2948" t="s">
        <v>128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377"/>
        <v>14:46:29.117</v>
      </c>
      <c r="T2948" t="str">
        <f t="shared" si="1379"/>
        <v>14:46:28.917</v>
      </c>
      <c r="U2948" t="str">
        <f t="shared" si="1380"/>
        <v>A9808D</v>
      </c>
      <c r="V2948">
        <v>0</v>
      </c>
      <c r="W2948">
        <v>0</v>
      </c>
      <c r="X2948">
        <v>1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0</v>
      </c>
      <c r="AI2948" t="s">
        <v>720</v>
      </c>
      <c r="AJ2948">
        <v>28.247395000000001</v>
      </c>
      <c r="AK2948" t="s">
        <v>721</v>
      </c>
      <c r="AL2948">
        <v>-82.295837000000006</v>
      </c>
      <c r="AM2948">
        <v>100</v>
      </c>
      <c r="AN2948">
        <v>2500</v>
      </c>
      <c r="AO2948" t="s">
        <v>118</v>
      </c>
      <c r="AP2948">
        <v>109</v>
      </c>
      <c r="AQ2948">
        <v>-6</v>
      </c>
      <c r="AR2948">
        <v>-704</v>
      </c>
      <c r="AZ2948">
        <v>1200</v>
      </c>
      <c r="BA2948">
        <v>1</v>
      </c>
      <c r="BB2948" t="str">
        <f t="shared" si="1362"/>
        <v xml:space="preserve">N711JA  </v>
      </c>
      <c r="BC2948">
        <v>1</v>
      </c>
      <c r="BE2948">
        <v>0</v>
      </c>
      <c r="BF2948">
        <v>0</v>
      </c>
      <c r="BG2948">
        <v>0</v>
      </c>
      <c r="BH2948">
        <v>2600</v>
      </c>
      <c r="BI2948">
        <v>1</v>
      </c>
      <c r="BJ2948">
        <v>1</v>
      </c>
      <c r="BK2948">
        <v>0</v>
      </c>
      <c r="BL2948">
        <v>0</v>
      </c>
      <c r="BO2948">
        <v>0</v>
      </c>
      <c r="BP2948">
        <v>0</v>
      </c>
      <c r="BW2948" t="str">
        <f t="shared" si="1378"/>
        <v>14:46:29.122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5</v>
      </c>
      <c r="CP2948" t="s">
        <v>119</v>
      </c>
      <c r="CQ2948">
        <v>8</v>
      </c>
      <c r="CR2948">
        <v>2</v>
      </c>
      <c r="CW2948">
        <v>10296706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1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 t="shared" si="1376"/>
        <v>05/12/2020 14:46:11.301</v>
      </c>
      <c r="C2949" t="str">
        <f t="shared" si="1361"/>
        <v>FFDFD3C0</v>
      </c>
      <c r="D2949" t="s">
        <v>113</v>
      </c>
      <c r="E2949">
        <v>3</v>
      </c>
      <c r="H2949">
        <v>164</v>
      </c>
      <c r="I2949" t="s">
        <v>114</v>
      </c>
      <c r="J2949" t="s">
        <v>115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377"/>
        <v>14:46:29.117</v>
      </c>
      <c r="T2949" t="str">
        <f t="shared" si="1379"/>
        <v>14:46:28.917</v>
      </c>
      <c r="U2949" t="str">
        <f t="shared" si="1380"/>
        <v>A9808D</v>
      </c>
      <c r="V2949">
        <v>0</v>
      </c>
      <c r="W2949">
        <v>0</v>
      </c>
      <c r="X2949">
        <v>1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0</v>
      </c>
      <c r="AI2949" t="s">
        <v>720</v>
      </c>
      <c r="AJ2949">
        <v>28.247395000000001</v>
      </c>
      <c r="AK2949" t="s">
        <v>721</v>
      </c>
      <c r="AL2949">
        <v>-82.295837000000006</v>
      </c>
      <c r="AM2949">
        <v>100</v>
      </c>
      <c r="AN2949">
        <v>2500</v>
      </c>
      <c r="AO2949" t="s">
        <v>118</v>
      </c>
      <c r="AP2949">
        <v>109</v>
      </c>
      <c r="AQ2949">
        <v>-6</v>
      </c>
      <c r="AR2949">
        <v>-704</v>
      </c>
      <c r="AZ2949">
        <v>1200</v>
      </c>
      <c r="BA2949">
        <v>1</v>
      </c>
      <c r="BB2949" t="str">
        <f t="shared" si="1362"/>
        <v xml:space="preserve">N711JA  </v>
      </c>
      <c r="BC2949">
        <v>1</v>
      </c>
      <c r="BE2949">
        <v>0</v>
      </c>
      <c r="BF2949">
        <v>0</v>
      </c>
      <c r="BG2949">
        <v>0</v>
      </c>
      <c r="BH2949">
        <v>2600</v>
      </c>
      <c r="BI2949">
        <v>1</v>
      </c>
      <c r="BJ2949">
        <v>1</v>
      </c>
      <c r="BK2949">
        <v>0</v>
      </c>
      <c r="BL2949">
        <v>0</v>
      </c>
      <c r="BO2949">
        <v>0</v>
      </c>
      <c r="BP2949">
        <v>0</v>
      </c>
      <c r="BW2949" t="str">
        <f t="shared" si="1378"/>
        <v>14:46:29.122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5</v>
      </c>
      <c r="CP2949" t="s">
        <v>119</v>
      </c>
      <c r="CQ2949">
        <v>8</v>
      </c>
      <c r="CR2949">
        <v>2</v>
      </c>
      <c r="CW2949">
        <v>10296706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1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 t="shared" si="1376"/>
        <v>05/12/2020 14:46:11.301</v>
      </c>
      <c r="C2950" t="str">
        <f t="shared" si="1361"/>
        <v>FFDFD3C0</v>
      </c>
      <c r="D2950" t="s">
        <v>131</v>
      </c>
      <c r="E2950">
        <v>10</v>
      </c>
      <c r="F2950">
        <v>2010</v>
      </c>
      <c r="G2950" t="s">
        <v>132</v>
      </c>
      <c r="J2950" t="s">
        <v>133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377"/>
        <v>14:46:29.117</v>
      </c>
      <c r="T2950" t="str">
        <f t="shared" si="1379"/>
        <v>14:46:28.917</v>
      </c>
      <c r="U2950" t="str">
        <f t="shared" si="1380"/>
        <v>A9808D</v>
      </c>
      <c r="V2950">
        <v>0</v>
      </c>
      <c r="W2950">
        <v>0</v>
      </c>
      <c r="X2950">
        <v>1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0</v>
      </c>
      <c r="AI2950" t="s">
        <v>720</v>
      </c>
      <c r="AJ2950">
        <v>28.247395000000001</v>
      </c>
      <c r="AK2950" t="s">
        <v>721</v>
      </c>
      <c r="AL2950">
        <v>-82.295837000000006</v>
      </c>
      <c r="AM2950">
        <v>100</v>
      </c>
      <c r="AN2950">
        <v>2500</v>
      </c>
      <c r="AO2950" t="s">
        <v>118</v>
      </c>
      <c r="AP2950">
        <v>109</v>
      </c>
      <c r="AQ2950">
        <v>-6</v>
      </c>
      <c r="AR2950">
        <v>-704</v>
      </c>
      <c r="AZ2950">
        <v>1200</v>
      </c>
      <c r="BA2950">
        <v>1</v>
      </c>
      <c r="BB2950" t="str">
        <f t="shared" si="1362"/>
        <v xml:space="preserve">N711JA  </v>
      </c>
      <c r="BC2950">
        <v>1</v>
      </c>
      <c r="BE2950">
        <v>0</v>
      </c>
      <c r="BF2950">
        <v>0</v>
      </c>
      <c r="BG2950">
        <v>0</v>
      </c>
      <c r="BH2950">
        <v>2600</v>
      </c>
      <c r="BI2950">
        <v>1</v>
      </c>
      <c r="BJ2950">
        <v>1</v>
      </c>
      <c r="BK2950">
        <v>0</v>
      </c>
      <c r="BL2950">
        <v>0</v>
      </c>
      <c r="BO2950">
        <v>0</v>
      </c>
      <c r="BP2950">
        <v>0</v>
      </c>
      <c r="BW2950" t="str">
        <f t="shared" si="1378"/>
        <v>14:46:29.122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5</v>
      </c>
      <c r="CP2950" t="s">
        <v>119</v>
      </c>
      <c r="CQ2950">
        <v>8</v>
      </c>
      <c r="CR2950">
        <v>2</v>
      </c>
      <c r="CW2950">
        <v>10296706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1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 t="shared" ref="A2951:A2959" si="1381">"05/12/2020 14:46:12.174"</f>
        <v>05/12/2020 14:46:12.174</v>
      </c>
      <c r="C2951" t="str">
        <f t="shared" si="1361"/>
        <v>FFDFD3C0</v>
      </c>
      <c r="D2951" t="s">
        <v>134</v>
      </c>
      <c r="E2951">
        <v>12</v>
      </c>
      <c r="H2951">
        <v>64</v>
      </c>
      <c r="I2951" t="s">
        <v>135</v>
      </c>
      <c r="J2951" t="s">
        <v>136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ref="S2951:S2958" si="1382">"14:46:30.000"</f>
        <v>14:46:30.000</v>
      </c>
      <c r="T2951" t="str">
        <f t="shared" ref="T2951:T2958" si="1383">"14:46:29.800"</f>
        <v>14:46:29.800</v>
      </c>
      <c r="U2951" t="str">
        <f t="shared" si="1380"/>
        <v>A9808D</v>
      </c>
      <c r="V2951">
        <v>0</v>
      </c>
      <c r="W2951">
        <v>0</v>
      </c>
      <c r="X2951">
        <v>1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0</v>
      </c>
      <c r="AI2951" t="s">
        <v>722</v>
      </c>
      <c r="AJ2951">
        <v>28.247330000000002</v>
      </c>
      <c r="AK2951" t="s">
        <v>723</v>
      </c>
      <c r="AL2951">
        <v>-82.295300999999995</v>
      </c>
      <c r="AM2951">
        <v>100</v>
      </c>
      <c r="AN2951">
        <v>2500</v>
      </c>
      <c r="AO2951" t="s">
        <v>118</v>
      </c>
      <c r="AP2951">
        <v>110</v>
      </c>
      <c r="AQ2951">
        <v>-7</v>
      </c>
      <c r="AR2951">
        <v>-960</v>
      </c>
      <c r="AZ2951">
        <v>1200</v>
      </c>
      <c r="BA2951">
        <v>1</v>
      </c>
      <c r="BB2951" t="str">
        <f t="shared" si="1362"/>
        <v xml:space="preserve">N711JA  </v>
      </c>
      <c r="BC2951">
        <v>1</v>
      </c>
      <c r="BE2951">
        <v>0</v>
      </c>
      <c r="BF2951">
        <v>0</v>
      </c>
      <c r="BG2951">
        <v>0</v>
      </c>
      <c r="BH2951">
        <v>2600</v>
      </c>
      <c r="BI2951">
        <v>1</v>
      </c>
      <c r="BJ2951">
        <v>1</v>
      </c>
      <c r="BK2951">
        <v>0</v>
      </c>
      <c r="BL2951">
        <v>0</v>
      </c>
      <c r="BO2951">
        <v>0</v>
      </c>
      <c r="BP2951">
        <v>0</v>
      </c>
      <c r="BW2951" t="str">
        <f t="shared" ref="BW2951:BW2959" si="1384">"14:46:30.008"</f>
        <v>14:46:30.008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8</v>
      </c>
      <c r="CR2951">
        <v>3</v>
      </c>
      <c r="CW2951">
        <v>8977144</v>
      </c>
      <c r="CY2951">
        <v>1</v>
      </c>
      <c r="CZ2951">
        <v>0</v>
      </c>
      <c r="DA2951">
        <v>0</v>
      </c>
      <c r="DB2951">
        <v>0</v>
      </c>
      <c r="DC2951">
        <v>0</v>
      </c>
      <c r="DD2951">
        <v>1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 t="shared" si="1381"/>
        <v>05/12/2020 14:46:12.174</v>
      </c>
      <c r="C2952" t="str">
        <f t="shared" si="1361"/>
        <v>FFDFD3C0</v>
      </c>
      <c r="D2952" t="s">
        <v>138</v>
      </c>
      <c r="E2952">
        <v>3</v>
      </c>
      <c r="H2952">
        <v>9</v>
      </c>
      <c r="I2952" t="s">
        <v>140</v>
      </c>
      <c r="J2952" t="s">
        <v>136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1382"/>
        <v>14:46:30.000</v>
      </c>
      <c r="T2952" t="str">
        <f t="shared" si="1383"/>
        <v>14:46:29.800</v>
      </c>
      <c r="U2952" t="str">
        <f t="shared" si="1380"/>
        <v>A9808D</v>
      </c>
      <c r="V2952">
        <v>0</v>
      </c>
      <c r="W2952">
        <v>0</v>
      </c>
      <c r="X2952">
        <v>1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0</v>
      </c>
      <c r="AI2952" t="s">
        <v>722</v>
      </c>
      <c r="AJ2952">
        <v>28.247330000000002</v>
      </c>
      <c r="AK2952" t="s">
        <v>723</v>
      </c>
      <c r="AL2952">
        <v>-82.295300999999995</v>
      </c>
      <c r="AM2952">
        <v>100</v>
      </c>
      <c r="AN2952">
        <v>2500</v>
      </c>
      <c r="AO2952" t="s">
        <v>118</v>
      </c>
      <c r="AP2952">
        <v>110</v>
      </c>
      <c r="AQ2952">
        <v>-7</v>
      </c>
      <c r="AR2952">
        <v>-960</v>
      </c>
      <c r="AZ2952">
        <v>1200</v>
      </c>
      <c r="BA2952">
        <v>1</v>
      </c>
      <c r="BB2952" t="str">
        <f t="shared" si="1362"/>
        <v xml:space="preserve">N711JA  </v>
      </c>
      <c r="BC2952">
        <v>1</v>
      </c>
      <c r="BE2952">
        <v>0</v>
      </c>
      <c r="BF2952">
        <v>0</v>
      </c>
      <c r="BG2952">
        <v>0</v>
      </c>
      <c r="BH2952">
        <v>2600</v>
      </c>
      <c r="BI2952">
        <v>1</v>
      </c>
      <c r="BJ2952">
        <v>1</v>
      </c>
      <c r="BK2952">
        <v>0</v>
      </c>
      <c r="BL2952">
        <v>0</v>
      </c>
      <c r="BO2952">
        <v>0</v>
      </c>
      <c r="BP2952">
        <v>0</v>
      </c>
      <c r="BW2952" t="str">
        <f t="shared" si="1384"/>
        <v>14:46:30.008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7</v>
      </c>
      <c r="CP2952" t="s">
        <v>119</v>
      </c>
      <c r="CQ2952">
        <v>8</v>
      </c>
      <c r="CR2952">
        <v>3</v>
      </c>
      <c r="CW2952">
        <v>8977144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1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 t="shared" si="1381"/>
        <v>05/12/2020 14:46:12.174</v>
      </c>
      <c r="C2953" t="str">
        <f t="shared" si="1361"/>
        <v>FFDFD3C0</v>
      </c>
      <c r="D2953" t="s">
        <v>126</v>
      </c>
      <c r="E2953">
        <v>6</v>
      </c>
      <c r="F2953">
        <v>1006</v>
      </c>
      <c r="G2953" t="s">
        <v>114</v>
      </c>
      <c r="J2953" t="s">
        <v>128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382"/>
        <v>14:46:30.000</v>
      </c>
      <c r="T2953" t="str">
        <f t="shared" si="1383"/>
        <v>14:46:29.800</v>
      </c>
      <c r="U2953" t="str">
        <f t="shared" si="1380"/>
        <v>A9808D</v>
      </c>
      <c r="V2953">
        <v>0</v>
      </c>
      <c r="W2953">
        <v>0</v>
      </c>
      <c r="X2953">
        <v>1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0</v>
      </c>
      <c r="AI2953" t="s">
        <v>722</v>
      </c>
      <c r="AJ2953">
        <v>28.247330000000002</v>
      </c>
      <c r="AK2953" t="s">
        <v>723</v>
      </c>
      <c r="AL2953">
        <v>-82.295300999999995</v>
      </c>
      <c r="AM2953">
        <v>100</v>
      </c>
      <c r="AN2953">
        <v>2500</v>
      </c>
      <c r="AO2953" t="s">
        <v>118</v>
      </c>
      <c r="AP2953">
        <v>110</v>
      </c>
      <c r="AQ2953">
        <v>-7</v>
      </c>
      <c r="AR2953">
        <v>-960</v>
      </c>
      <c r="AZ2953">
        <v>1200</v>
      </c>
      <c r="BA2953">
        <v>1</v>
      </c>
      <c r="BB2953" t="str">
        <f t="shared" si="1362"/>
        <v xml:space="preserve">N711JA  </v>
      </c>
      <c r="BC2953">
        <v>1</v>
      </c>
      <c r="BE2953">
        <v>0</v>
      </c>
      <c r="BF2953">
        <v>0</v>
      </c>
      <c r="BG2953">
        <v>0</v>
      </c>
      <c r="BH2953">
        <v>2600</v>
      </c>
      <c r="BI2953">
        <v>1</v>
      </c>
      <c r="BJ2953">
        <v>1</v>
      </c>
      <c r="BK2953">
        <v>0</v>
      </c>
      <c r="BL2953">
        <v>0</v>
      </c>
      <c r="BO2953">
        <v>0</v>
      </c>
      <c r="BP2953">
        <v>0</v>
      </c>
      <c r="BW2953" t="str">
        <f t="shared" si="1384"/>
        <v>14:46:30.008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7</v>
      </c>
      <c r="CP2953" t="s">
        <v>119</v>
      </c>
      <c r="CQ2953">
        <v>8</v>
      </c>
      <c r="CR2953">
        <v>3</v>
      </c>
      <c r="CW2953">
        <v>8977144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1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 t="shared" si="1381"/>
        <v>05/12/2020 14:46:12.174</v>
      </c>
      <c r="C2954" t="str">
        <f t="shared" si="1361"/>
        <v>FFDFD3C0</v>
      </c>
      <c r="D2954" t="s">
        <v>126</v>
      </c>
      <c r="E2954">
        <v>7</v>
      </c>
      <c r="F2954">
        <v>1007</v>
      </c>
      <c r="G2954" t="s">
        <v>127</v>
      </c>
      <c r="J2954" t="s">
        <v>128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382"/>
        <v>14:46:30.000</v>
      </c>
      <c r="T2954" t="str">
        <f t="shared" si="1383"/>
        <v>14:46:29.800</v>
      </c>
      <c r="U2954" t="str">
        <f t="shared" si="1380"/>
        <v>A9808D</v>
      </c>
      <c r="V2954">
        <v>0</v>
      </c>
      <c r="W2954">
        <v>0</v>
      </c>
      <c r="X2954">
        <v>1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0</v>
      </c>
      <c r="AI2954" t="s">
        <v>722</v>
      </c>
      <c r="AJ2954">
        <v>28.247330000000002</v>
      </c>
      <c r="AK2954" t="s">
        <v>723</v>
      </c>
      <c r="AL2954">
        <v>-82.295300999999995</v>
      </c>
      <c r="AM2954">
        <v>100</v>
      </c>
      <c r="AN2954">
        <v>2500</v>
      </c>
      <c r="AO2954" t="s">
        <v>118</v>
      </c>
      <c r="AP2954">
        <v>110</v>
      </c>
      <c r="AQ2954">
        <v>-7</v>
      </c>
      <c r="AR2954">
        <v>-960</v>
      </c>
      <c r="AZ2954">
        <v>1200</v>
      </c>
      <c r="BA2954">
        <v>1</v>
      </c>
      <c r="BB2954" t="str">
        <f t="shared" si="1362"/>
        <v xml:space="preserve">N711JA  </v>
      </c>
      <c r="BC2954">
        <v>1</v>
      </c>
      <c r="BE2954">
        <v>0</v>
      </c>
      <c r="BF2954">
        <v>0</v>
      </c>
      <c r="BG2954">
        <v>0</v>
      </c>
      <c r="BH2954">
        <v>2600</v>
      </c>
      <c r="BI2954">
        <v>1</v>
      </c>
      <c r="BJ2954">
        <v>1</v>
      </c>
      <c r="BK2954">
        <v>0</v>
      </c>
      <c r="BL2954">
        <v>0</v>
      </c>
      <c r="BO2954">
        <v>0</v>
      </c>
      <c r="BP2954">
        <v>0</v>
      </c>
      <c r="BW2954" t="str">
        <f t="shared" si="1384"/>
        <v>14:46:30.008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7</v>
      </c>
      <c r="CP2954" t="s">
        <v>119</v>
      </c>
      <c r="CQ2954">
        <v>8</v>
      </c>
      <c r="CR2954">
        <v>3</v>
      </c>
      <c r="CW2954">
        <v>8977144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1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 t="shared" si="1381"/>
        <v>05/12/2020 14:46:12.174</v>
      </c>
      <c r="C2955" t="str">
        <f t="shared" si="1361"/>
        <v>FFDFD3C0</v>
      </c>
      <c r="D2955" t="s">
        <v>131</v>
      </c>
      <c r="E2955">
        <v>10</v>
      </c>
      <c r="F2955">
        <v>2010</v>
      </c>
      <c r="G2955" t="s">
        <v>132</v>
      </c>
      <c r="J2955" t="s">
        <v>133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1382"/>
        <v>14:46:30.000</v>
      </c>
      <c r="T2955" t="str">
        <f t="shared" si="1383"/>
        <v>14:46:29.800</v>
      </c>
      <c r="U2955" t="str">
        <f t="shared" si="1380"/>
        <v>A9808D</v>
      </c>
      <c r="V2955">
        <v>0</v>
      </c>
      <c r="W2955">
        <v>0</v>
      </c>
      <c r="X2955">
        <v>1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0</v>
      </c>
      <c r="AI2955" t="s">
        <v>722</v>
      </c>
      <c r="AJ2955">
        <v>28.247330000000002</v>
      </c>
      <c r="AK2955" t="s">
        <v>723</v>
      </c>
      <c r="AL2955">
        <v>-82.295300999999995</v>
      </c>
      <c r="AM2955">
        <v>100</v>
      </c>
      <c r="AN2955">
        <v>2500</v>
      </c>
      <c r="AO2955" t="s">
        <v>118</v>
      </c>
      <c r="AP2955">
        <v>110</v>
      </c>
      <c r="AQ2955">
        <v>-7</v>
      </c>
      <c r="AR2955">
        <v>-960</v>
      </c>
      <c r="AZ2955">
        <v>1200</v>
      </c>
      <c r="BA2955">
        <v>1</v>
      </c>
      <c r="BB2955" t="str">
        <f t="shared" si="1362"/>
        <v xml:space="preserve">N711JA  </v>
      </c>
      <c r="BC2955">
        <v>1</v>
      </c>
      <c r="BE2955">
        <v>0</v>
      </c>
      <c r="BF2955">
        <v>0</v>
      </c>
      <c r="BG2955">
        <v>0</v>
      </c>
      <c r="BH2955">
        <v>2600</v>
      </c>
      <c r="BI2955">
        <v>1</v>
      </c>
      <c r="BJ2955">
        <v>1</v>
      </c>
      <c r="BK2955">
        <v>0</v>
      </c>
      <c r="BL2955">
        <v>0</v>
      </c>
      <c r="BO2955">
        <v>0</v>
      </c>
      <c r="BP2955">
        <v>0</v>
      </c>
      <c r="BW2955" t="str">
        <f t="shared" si="1384"/>
        <v>14:46:30.008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7</v>
      </c>
      <c r="CP2955" t="s">
        <v>119</v>
      </c>
      <c r="CQ2955">
        <v>8</v>
      </c>
      <c r="CR2955">
        <v>3</v>
      </c>
      <c r="CW2955">
        <v>8977144</v>
      </c>
      <c r="CY2955">
        <v>1</v>
      </c>
      <c r="CZ2955">
        <v>0</v>
      </c>
      <c r="DA2955">
        <v>1</v>
      </c>
      <c r="DB2955">
        <v>0</v>
      </c>
      <c r="DC2955">
        <v>0</v>
      </c>
      <c r="DD2955">
        <v>1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 t="shared" si="1381"/>
        <v>05/12/2020 14:46:12.174</v>
      </c>
      <c r="C2956" t="str">
        <f t="shared" si="1361"/>
        <v>FFDFD3C0</v>
      </c>
      <c r="D2956" t="s">
        <v>113</v>
      </c>
      <c r="E2956">
        <v>3</v>
      </c>
      <c r="H2956">
        <v>164</v>
      </c>
      <c r="I2956" t="s">
        <v>114</v>
      </c>
      <c r="J2956" t="s">
        <v>115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382"/>
        <v>14:46:30.000</v>
      </c>
      <c r="T2956" t="str">
        <f t="shared" si="1383"/>
        <v>14:46:29.800</v>
      </c>
      <c r="U2956" t="str">
        <f t="shared" si="1380"/>
        <v>A9808D</v>
      </c>
      <c r="V2956">
        <v>0</v>
      </c>
      <c r="W2956">
        <v>0</v>
      </c>
      <c r="X2956">
        <v>1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0</v>
      </c>
      <c r="AI2956" t="s">
        <v>722</v>
      </c>
      <c r="AJ2956">
        <v>28.247330000000002</v>
      </c>
      <c r="AK2956" t="s">
        <v>723</v>
      </c>
      <c r="AL2956">
        <v>-82.295300999999995</v>
      </c>
      <c r="AM2956">
        <v>100</v>
      </c>
      <c r="AN2956">
        <v>2500</v>
      </c>
      <c r="AO2956" t="s">
        <v>118</v>
      </c>
      <c r="AP2956">
        <v>110</v>
      </c>
      <c r="AQ2956">
        <v>-7</v>
      </c>
      <c r="AR2956">
        <v>-960</v>
      </c>
      <c r="AZ2956">
        <v>1200</v>
      </c>
      <c r="BA2956">
        <v>1</v>
      </c>
      <c r="BB2956" t="str">
        <f t="shared" si="1362"/>
        <v xml:space="preserve">N711JA  </v>
      </c>
      <c r="BC2956">
        <v>1</v>
      </c>
      <c r="BE2956">
        <v>0</v>
      </c>
      <c r="BF2956">
        <v>0</v>
      </c>
      <c r="BG2956">
        <v>0</v>
      </c>
      <c r="BH2956">
        <v>2600</v>
      </c>
      <c r="BI2956">
        <v>1</v>
      </c>
      <c r="BJ2956">
        <v>1</v>
      </c>
      <c r="BK2956">
        <v>0</v>
      </c>
      <c r="BL2956">
        <v>0</v>
      </c>
      <c r="BO2956">
        <v>0</v>
      </c>
      <c r="BP2956">
        <v>0</v>
      </c>
      <c r="BW2956" t="str">
        <f t="shared" si="1384"/>
        <v>14:46:30.008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7</v>
      </c>
      <c r="CP2956" t="s">
        <v>119</v>
      </c>
      <c r="CQ2956">
        <v>8</v>
      </c>
      <c r="CR2956">
        <v>3</v>
      </c>
      <c r="CW2956">
        <v>8977144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1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 t="shared" si="1381"/>
        <v>05/12/2020 14:46:12.174</v>
      </c>
      <c r="C2957" t="str">
        <f t="shared" si="1361"/>
        <v>FFDFD3C0</v>
      </c>
      <c r="D2957" t="s">
        <v>131</v>
      </c>
      <c r="E2957">
        <v>12</v>
      </c>
      <c r="F2957">
        <v>2012</v>
      </c>
      <c r="G2957" t="s">
        <v>137</v>
      </c>
      <c r="J2957" t="s">
        <v>133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382"/>
        <v>14:46:30.000</v>
      </c>
      <c r="T2957" t="str">
        <f t="shared" si="1383"/>
        <v>14:46:29.800</v>
      </c>
      <c r="U2957" t="str">
        <f t="shared" si="1380"/>
        <v>A9808D</v>
      </c>
      <c r="V2957">
        <v>0</v>
      </c>
      <c r="W2957">
        <v>0</v>
      </c>
      <c r="X2957">
        <v>1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0</v>
      </c>
      <c r="AI2957" t="s">
        <v>722</v>
      </c>
      <c r="AJ2957">
        <v>28.247330000000002</v>
      </c>
      <c r="AK2957" t="s">
        <v>723</v>
      </c>
      <c r="AL2957">
        <v>-82.295300999999995</v>
      </c>
      <c r="AM2957">
        <v>100</v>
      </c>
      <c r="AN2957">
        <v>2500</v>
      </c>
      <c r="AO2957" t="s">
        <v>118</v>
      </c>
      <c r="AP2957">
        <v>110</v>
      </c>
      <c r="AQ2957">
        <v>-7</v>
      </c>
      <c r="AR2957">
        <v>-960</v>
      </c>
      <c r="AZ2957">
        <v>1200</v>
      </c>
      <c r="BA2957">
        <v>1</v>
      </c>
      <c r="BB2957" t="str">
        <f t="shared" si="1362"/>
        <v xml:space="preserve">N711JA  </v>
      </c>
      <c r="BC2957">
        <v>1</v>
      </c>
      <c r="BE2957">
        <v>0</v>
      </c>
      <c r="BF2957">
        <v>0</v>
      </c>
      <c r="BG2957">
        <v>0</v>
      </c>
      <c r="BH2957">
        <v>2600</v>
      </c>
      <c r="BI2957">
        <v>1</v>
      </c>
      <c r="BJ2957">
        <v>1</v>
      </c>
      <c r="BK2957">
        <v>0</v>
      </c>
      <c r="BL2957">
        <v>0</v>
      </c>
      <c r="BO2957">
        <v>0</v>
      </c>
      <c r="BP2957">
        <v>0</v>
      </c>
      <c r="BW2957" t="str">
        <f t="shared" si="1384"/>
        <v>14:46:30.008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7</v>
      </c>
      <c r="CP2957" t="s">
        <v>119</v>
      </c>
      <c r="CQ2957">
        <v>8</v>
      </c>
      <c r="CR2957">
        <v>3</v>
      </c>
      <c r="CW2957">
        <v>8977144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1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 t="shared" si="1381"/>
        <v>05/12/2020 14:46:12.174</v>
      </c>
      <c r="C2958" t="str">
        <f t="shared" si="1361"/>
        <v>FFDFD3C0</v>
      </c>
      <c r="D2958" t="s">
        <v>138</v>
      </c>
      <c r="E2958">
        <v>2</v>
      </c>
      <c r="H2958">
        <v>8</v>
      </c>
      <c r="I2958" t="s">
        <v>139</v>
      </c>
      <c r="J2958" t="s">
        <v>136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382"/>
        <v>14:46:30.000</v>
      </c>
      <c r="T2958" t="str">
        <f t="shared" si="1383"/>
        <v>14:46:29.800</v>
      </c>
      <c r="U2958" t="str">
        <f t="shared" si="1380"/>
        <v>A9808D</v>
      </c>
      <c r="V2958">
        <v>0</v>
      </c>
      <c r="W2958">
        <v>0</v>
      </c>
      <c r="X2958">
        <v>1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0</v>
      </c>
      <c r="AI2958" t="s">
        <v>722</v>
      </c>
      <c r="AJ2958">
        <v>28.247330000000002</v>
      </c>
      <c r="AK2958" t="s">
        <v>723</v>
      </c>
      <c r="AL2958">
        <v>-82.295300999999995</v>
      </c>
      <c r="AM2958">
        <v>100</v>
      </c>
      <c r="AN2958">
        <v>2500</v>
      </c>
      <c r="AO2958" t="s">
        <v>118</v>
      </c>
      <c r="AP2958">
        <v>110</v>
      </c>
      <c r="AQ2958">
        <v>-7</v>
      </c>
      <c r="AR2958">
        <v>-960</v>
      </c>
      <c r="AZ2958">
        <v>1200</v>
      </c>
      <c r="BA2958">
        <v>1</v>
      </c>
      <c r="BB2958" t="str">
        <f t="shared" si="1362"/>
        <v xml:space="preserve">N711JA  </v>
      </c>
      <c r="BC2958">
        <v>1</v>
      </c>
      <c r="BE2958">
        <v>0</v>
      </c>
      <c r="BF2958">
        <v>0</v>
      </c>
      <c r="BG2958">
        <v>0</v>
      </c>
      <c r="BH2958">
        <v>2600</v>
      </c>
      <c r="BI2958">
        <v>1</v>
      </c>
      <c r="BJ2958">
        <v>1</v>
      </c>
      <c r="BK2958">
        <v>0</v>
      </c>
      <c r="BL2958">
        <v>0</v>
      </c>
      <c r="BO2958">
        <v>0</v>
      </c>
      <c r="BP2958">
        <v>0</v>
      </c>
      <c r="BW2958" t="str">
        <f t="shared" si="1384"/>
        <v>14:46:30.008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7</v>
      </c>
      <c r="CP2958" t="s">
        <v>119</v>
      </c>
      <c r="CQ2958">
        <v>8</v>
      </c>
      <c r="CR2958">
        <v>3</v>
      </c>
      <c r="CW2958">
        <v>8977144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1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 t="shared" si="1381"/>
        <v>05/12/2020 14:46:12.174</v>
      </c>
      <c r="C2959" t="str">
        <f t="shared" si="1361"/>
        <v>FFDFD3C0</v>
      </c>
      <c r="D2959" t="s">
        <v>131</v>
      </c>
      <c r="E2959">
        <v>18</v>
      </c>
      <c r="F2959">
        <v>2018</v>
      </c>
      <c r="G2959" t="s">
        <v>161</v>
      </c>
      <c r="J2959" t="s">
        <v>133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"14:46:30.008"</f>
        <v>14:46:30.008</v>
      </c>
      <c r="T2959" t="str">
        <f>"14:46:29.808"</f>
        <v>14:46:29.808</v>
      </c>
      <c r="U2959" t="str">
        <f t="shared" si="1380"/>
        <v>A9808D</v>
      </c>
      <c r="V2959">
        <v>0</v>
      </c>
      <c r="W2959">
        <v>0</v>
      </c>
      <c r="X2959">
        <v>1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0</v>
      </c>
      <c r="AI2959" t="s">
        <v>722</v>
      </c>
      <c r="AJ2959">
        <v>28.247330000000002</v>
      </c>
      <c r="AK2959" t="s">
        <v>723</v>
      </c>
      <c r="AL2959">
        <v>-82.295300999999995</v>
      </c>
      <c r="AM2959">
        <v>100</v>
      </c>
      <c r="AN2959">
        <v>2500</v>
      </c>
      <c r="AO2959" t="s">
        <v>118</v>
      </c>
      <c r="AP2959">
        <v>110</v>
      </c>
      <c r="AQ2959">
        <v>-7</v>
      </c>
      <c r="AR2959">
        <v>-960</v>
      </c>
      <c r="AZ2959">
        <v>1200</v>
      </c>
      <c r="BA2959">
        <v>1</v>
      </c>
      <c r="BB2959" t="str">
        <f t="shared" si="1362"/>
        <v xml:space="preserve">N711JA  </v>
      </c>
      <c r="BC2959">
        <v>1</v>
      </c>
      <c r="BE2959">
        <v>0</v>
      </c>
      <c r="BF2959">
        <v>0</v>
      </c>
      <c r="BG2959">
        <v>0</v>
      </c>
      <c r="BH2959">
        <v>2600</v>
      </c>
      <c r="BI2959">
        <v>1</v>
      </c>
      <c r="BJ2959">
        <v>1</v>
      </c>
      <c r="BK2959">
        <v>0</v>
      </c>
      <c r="BL2959">
        <v>0</v>
      </c>
      <c r="BO2959">
        <v>0</v>
      </c>
      <c r="BP2959">
        <v>0</v>
      </c>
      <c r="BW2959" t="str">
        <f t="shared" si="1384"/>
        <v>14:46:30.008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5</v>
      </c>
      <c r="CP2959" t="s">
        <v>119</v>
      </c>
      <c r="CQ2959">
        <v>62</v>
      </c>
      <c r="CR2959">
        <v>1</v>
      </c>
      <c r="CW2959">
        <v>12859165</v>
      </c>
      <c r="CY2959">
        <v>1</v>
      </c>
      <c r="CZ2959">
        <v>0</v>
      </c>
      <c r="DA2959">
        <v>1</v>
      </c>
      <c r="DB2959">
        <v>0</v>
      </c>
      <c r="DC2959">
        <v>0</v>
      </c>
      <c r="DD2959">
        <v>1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 t="shared" ref="A2960:A2968" si="1385">"05/12/2020 14:46:13.125"</f>
        <v>05/12/2020 14:46:13.125</v>
      </c>
      <c r="C2960" t="str">
        <f t="shared" si="1361"/>
        <v>FFDFD3C0</v>
      </c>
      <c r="D2960" t="s">
        <v>138</v>
      </c>
      <c r="E2960">
        <v>2</v>
      </c>
      <c r="H2960">
        <v>8</v>
      </c>
      <c r="I2960" t="s">
        <v>139</v>
      </c>
      <c r="J2960" t="s">
        <v>136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ref="S2960:S2968" si="1386">"14:46:30.953"</f>
        <v>14:46:30.953</v>
      </c>
      <c r="T2960" t="str">
        <f t="shared" ref="T2960:T2968" si="1387">"14:46:30.853"</f>
        <v>14:46:30.853</v>
      </c>
      <c r="U2960" t="str">
        <f t="shared" si="1380"/>
        <v>A9808D</v>
      </c>
      <c r="V2960">
        <v>0</v>
      </c>
      <c r="W2960">
        <v>0</v>
      </c>
      <c r="X2960">
        <v>1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0</v>
      </c>
      <c r="AI2960" t="s">
        <v>722</v>
      </c>
      <c r="AJ2960">
        <v>28.247330000000002</v>
      </c>
      <c r="AK2960" t="s">
        <v>724</v>
      </c>
      <c r="AL2960">
        <v>-82.294807000000006</v>
      </c>
      <c r="AM2960">
        <v>100</v>
      </c>
      <c r="AN2960">
        <v>2500</v>
      </c>
      <c r="AO2960" t="s">
        <v>118</v>
      </c>
      <c r="AP2960">
        <v>112</v>
      </c>
      <c r="AQ2960">
        <v>-7</v>
      </c>
      <c r="AR2960">
        <v>-960</v>
      </c>
      <c r="AZ2960">
        <v>1200</v>
      </c>
      <c r="BA2960">
        <v>1</v>
      </c>
      <c r="BB2960" t="str">
        <f t="shared" si="1362"/>
        <v xml:space="preserve">N711JA  </v>
      </c>
      <c r="BC2960">
        <v>1</v>
      </c>
      <c r="BE2960">
        <v>0</v>
      </c>
      <c r="BF2960">
        <v>0</v>
      </c>
      <c r="BG2960">
        <v>0</v>
      </c>
      <c r="BH2960">
        <v>2575</v>
      </c>
      <c r="BI2960">
        <v>1</v>
      </c>
      <c r="BJ2960">
        <v>1</v>
      </c>
      <c r="BK2960">
        <v>0</v>
      </c>
      <c r="BL2960">
        <v>0</v>
      </c>
      <c r="BO2960">
        <v>0</v>
      </c>
      <c r="BP2960">
        <v>0</v>
      </c>
      <c r="BW2960" t="str">
        <f t="shared" ref="BW2960:BW2968" si="1388">"14:46:30.960"</f>
        <v>14:46:30.960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7</v>
      </c>
      <c r="CP2960" t="s">
        <v>119</v>
      </c>
      <c r="CQ2960">
        <v>8</v>
      </c>
      <c r="CR2960">
        <v>3</v>
      </c>
      <c r="CW2960">
        <v>8978205</v>
      </c>
      <c r="CY2960">
        <v>1</v>
      </c>
      <c r="CZ2960">
        <v>0</v>
      </c>
      <c r="DA2960">
        <v>0</v>
      </c>
      <c r="DB2960">
        <v>0</v>
      </c>
      <c r="DC2960">
        <v>0</v>
      </c>
      <c r="DD2960">
        <v>1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 t="shared" si="1385"/>
        <v>05/12/2020 14:46:13.125</v>
      </c>
      <c r="C2961" t="str">
        <f t="shared" si="1361"/>
        <v>FFDFD3C0</v>
      </c>
      <c r="D2961" t="s">
        <v>134</v>
      </c>
      <c r="E2961">
        <v>12</v>
      </c>
      <c r="H2961">
        <v>64</v>
      </c>
      <c r="I2961" t="s">
        <v>135</v>
      </c>
      <c r="J2961" t="s">
        <v>136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386"/>
        <v>14:46:30.953</v>
      </c>
      <c r="T2961" t="str">
        <f t="shared" si="1387"/>
        <v>14:46:30.853</v>
      </c>
      <c r="U2961" t="str">
        <f t="shared" si="1380"/>
        <v>A9808D</v>
      </c>
      <c r="V2961">
        <v>0</v>
      </c>
      <c r="W2961">
        <v>0</v>
      </c>
      <c r="X2961">
        <v>1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0</v>
      </c>
      <c r="AI2961" t="s">
        <v>722</v>
      </c>
      <c r="AJ2961">
        <v>28.247330000000002</v>
      </c>
      <c r="AK2961" t="s">
        <v>724</v>
      </c>
      <c r="AL2961">
        <v>-82.294807000000006</v>
      </c>
      <c r="AM2961">
        <v>100</v>
      </c>
      <c r="AN2961">
        <v>2500</v>
      </c>
      <c r="AO2961" t="s">
        <v>118</v>
      </c>
      <c r="AP2961">
        <v>112</v>
      </c>
      <c r="AQ2961">
        <v>-7</v>
      </c>
      <c r="AR2961">
        <v>-960</v>
      </c>
      <c r="AZ2961">
        <v>1200</v>
      </c>
      <c r="BA2961">
        <v>1</v>
      </c>
      <c r="BB2961" t="str">
        <f t="shared" si="1362"/>
        <v xml:space="preserve">N711JA  </v>
      </c>
      <c r="BC2961">
        <v>1</v>
      </c>
      <c r="BE2961">
        <v>0</v>
      </c>
      <c r="BF2961">
        <v>0</v>
      </c>
      <c r="BG2961">
        <v>0</v>
      </c>
      <c r="BH2961">
        <v>2575</v>
      </c>
      <c r="BI2961">
        <v>1</v>
      </c>
      <c r="BJ2961">
        <v>1</v>
      </c>
      <c r="BK2961">
        <v>0</v>
      </c>
      <c r="BL2961">
        <v>0</v>
      </c>
      <c r="BO2961">
        <v>0</v>
      </c>
      <c r="BP2961">
        <v>0</v>
      </c>
      <c r="BW2961" t="str">
        <f t="shared" si="1388"/>
        <v>14:46:30.960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8</v>
      </c>
      <c r="CR2961">
        <v>3</v>
      </c>
      <c r="CW2961">
        <v>8978205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1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 t="shared" si="1385"/>
        <v>05/12/2020 14:46:13.125</v>
      </c>
      <c r="C2962" t="str">
        <f t="shared" si="1361"/>
        <v>FFDFD3C0</v>
      </c>
      <c r="D2962" t="s">
        <v>126</v>
      </c>
      <c r="E2962">
        <v>6</v>
      </c>
      <c r="F2962">
        <v>1006</v>
      </c>
      <c r="G2962" t="s">
        <v>114</v>
      </c>
      <c r="J2962" t="s">
        <v>128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386"/>
        <v>14:46:30.953</v>
      </c>
      <c r="T2962" t="str">
        <f t="shared" si="1387"/>
        <v>14:46:30.853</v>
      </c>
      <c r="U2962" t="str">
        <f t="shared" si="1380"/>
        <v>A9808D</v>
      </c>
      <c r="V2962">
        <v>0</v>
      </c>
      <c r="W2962">
        <v>0</v>
      </c>
      <c r="X2962">
        <v>1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0</v>
      </c>
      <c r="AI2962" t="s">
        <v>722</v>
      </c>
      <c r="AJ2962">
        <v>28.247330000000002</v>
      </c>
      <c r="AK2962" t="s">
        <v>724</v>
      </c>
      <c r="AL2962">
        <v>-82.294807000000006</v>
      </c>
      <c r="AM2962">
        <v>100</v>
      </c>
      <c r="AN2962">
        <v>2500</v>
      </c>
      <c r="AO2962" t="s">
        <v>118</v>
      </c>
      <c r="AP2962">
        <v>112</v>
      </c>
      <c r="AQ2962">
        <v>-7</v>
      </c>
      <c r="AR2962">
        <v>-960</v>
      </c>
      <c r="AZ2962">
        <v>1200</v>
      </c>
      <c r="BA2962">
        <v>1</v>
      </c>
      <c r="BB2962" t="str">
        <f t="shared" si="1362"/>
        <v xml:space="preserve">N711JA  </v>
      </c>
      <c r="BC2962">
        <v>1</v>
      </c>
      <c r="BE2962">
        <v>0</v>
      </c>
      <c r="BF2962">
        <v>0</v>
      </c>
      <c r="BG2962">
        <v>0</v>
      </c>
      <c r="BH2962">
        <v>2575</v>
      </c>
      <c r="BI2962">
        <v>1</v>
      </c>
      <c r="BJ2962">
        <v>1</v>
      </c>
      <c r="BK2962">
        <v>0</v>
      </c>
      <c r="BL2962">
        <v>0</v>
      </c>
      <c r="BO2962">
        <v>0</v>
      </c>
      <c r="BP2962">
        <v>0</v>
      </c>
      <c r="BW2962" t="str">
        <f t="shared" si="1388"/>
        <v>14:46:30.960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8</v>
      </c>
      <c r="CR2962">
        <v>3</v>
      </c>
      <c r="CW2962">
        <v>8978205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1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 t="shared" si="1385"/>
        <v>05/12/2020 14:46:13.125</v>
      </c>
      <c r="C2963" t="str">
        <f t="shared" si="1361"/>
        <v>FFDFD3C0</v>
      </c>
      <c r="D2963" t="s">
        <v>138</v>
      </c>
      <c r="E2963">
        <v>3</v>
      </c>
      <c r="H2963">
        <v>9</v>
      </c>
      <c r="I2963" t="s">
        <v>140</v>
      </c>
      <c r="J2963" t="s">
        <v>136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386"/>
        <v>14:46:30.953</v>
      </c>
      <c r="T2963" t="str">
        <f t="shared" si="1387"/>
        <v>14:46:30.853</v>
      </c>
      <c r="U2963" t="str">
        <f t="shared" si="1380"/>
        <v>A9808D</v>
      </c>
      <c r="V2963">
        <v>0</v>
      </c>
      <c r="W2963">
        <v>0</v>
      </c>
      <c r="X2963">
        <v>1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0</v>
      </c>
      <c r="AI2963" t="s">
        <v>722</v>
      </c>
      <c r="AJ2963">
        <v>28.247330000000002</v>
      </c>
      <c r="AK2963" t="s">
        <v>724</v>
      </c>
      <c r="AL2963">
        <v>-82.294807000000006</v>
      </c>
      <c r="AM2963">
        <v>100</v>
      </c>
      <c r="AN2963">
        <v>2500</v>
      </c>
      <c r="AO2963" t="s">
        <v>118</v>
      </c>
      <c r="AP2963">
        <v>112</v>
      </c>
      <c r="AQ2963">
        <v>-7</v>
      </c>
      <c r="AR2963">
        <v>-960</v>
      </c>
      <c r="AZ2963">
        <v>1200</v>
      </c>
      <c r="BA2963">
        <v>1</v>
      </c>
      <c r="BB2963" t="str">
        <f t="shared" si="1362"/>
        <v xml:space="preserve">N711JA  </v>
      </c>
      <c r="BC2963">
        <v>1</v>
      </c>
      <c r="BE2963">
        <v>0</v>
      </c>
      <c r="BF2963">
        <v>0</v>
      </c>
      <c r="BG2963">
        <v>0</v>
      </c>
      <c r="BH2963">
        <v>2575</v>
      </c>
      <c r="BI2963">
        <v>1</v>
      </c>
      <c r="BJ2963">
        <v>1</v>
      </c>
      <c r="BK2963">
        <v>0</v>
      </c>
      <c r="BL2963">
        <v>0</v>
      </c>
      <c r="BO2963">
        <v>0</v>
      </c>
      <c r="BP2963">
        <v>0</v>
      </c>
      <c r="BW2963" t="str">
        <f t="shared" si="1388"/>
        <v>14:46:30.960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119</v>
      </c>
      <c r="CQ2963">
        <v>8</v>
      </c>
      <c r="CR2963">
        <v>3</v>
      </c>
      <c r="CW2963">
        <v>8978205</v>
      </c>
      <c r="CY2963">
        <v>1</v>
      </c>
      <c r="CZ2963">
        <v>0</v>
      </c>
      <c r="DA2963">
        <v>1</v>
      </c>
      <c r="DB2963">
        <v>0</v>
      </c>
      <c r="DC2963">
        <v>0</v>
      </c>
      <c r="DD2963">
        <v>1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 t="shared" si="1385"/>
        <v>05/12/2020 14:46:13.125</v>
      </c>
      <c r="C2964" t="str">
        <f t="shared" si="1361"/>
        <v>FFDFD3C0</v>
      </c>
      <c r="D2964" t="s">
        <v>126</v>
      </c>
      <c r="E2964">
        <v>7</v>
      </c>
      <c r="F2964">
        <v>1007</v>
      </c>
      <c r="G2964" t="s">
        <v>127</v>
      </c>
      <c r="J2964" t="s">
        <v>128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386"/>
        <v>14:46:30.953</v>
      </c>
      <c r="T2964" t="str">
        <f t="shared" si="1387"/>
        <v>14:46:30.853</v>
      </c>
      <c r="U2964" t="str">
        <f t="shared" si="1380"/>
        <v>A9808D</v>
      </c>
      <c r="V2964">
        <v>0</v>
      </c>
      <c r="W2964">
        <v>0</v>
      </c>
      <c r="X2964">
        <v>1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0</v>
      </c>
      <c r="AI2964" t="s">
        <v>722</v>
      </c>
      <c r="AJ2964">
        <v>28.247330000000002</v>
      </c>
      <c r="AK2964" t="s">
        <v>724</v>
      </c>
      <c r="AL2964">
        <v>-82.294807000000006</v>
      </c>
      <c r="AM2964">
        <v>100</v>
      </c>
      <c r="AN2964">
        <v>2500</v>
      </c>
      <c r="AO2964" t="s">
        <v>118</v>
      </c>
      <c r="AP2964">
        <v>112</v>
      </c>
      <c r="AQ2964">
        <v>-7</v>
      </c>
      <c r="AR2964">
        <v>-960</v>
      </c>
      <c r="AZ2964">
        <v>1200</v>
      </c>
      <c r="BA2964">
        <v>1</v>
      </c>
      <c r="BB2964" t="str">
        <f t="shared" si="1362"/>
        <v xml:space="preserve">N711JA  </v>
      </c>
      <c r="BC2964">
        <v>1</v>
      </c>
      <c r="BE2964">
        <v>0</v>
      </c>
      <c r="BF2964">
        <v>0</v>
      </c>
      <c r="BG2964">
        <v>0</v>
      </c>
      <c r="BH2964">
        <v>2575</v>
      </c>
      <c r="BI2964">
        <v>1</v>
      </c>
      <c r="BJ2964">
        <v>1</v>
      </c>
      <c r="BK2964">
        <v>0</v>
      </c>
      <c r="BL2964">
        <v>0</v>
      </c>
      <c r="BO2964">
        <v>0</v>
      </c>
      <c r="BP2964">
        <v>0</v>
      </c>
      <c r="BW2964" t="str">
        <f t="shared" si="1388"/>
        <v>14:46:30.960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119</v>
      </c>
      <c r="CQ2964">
        <v>8</v>
      </c>
      <c r="CR2964">
        <v>3</v>
      </c>
      <c r="CW2964">
        <v>8978205</v>
      </c>
      <c r="CY2964">
        <v>1</v>
      </c>
      <c r="CZ2964">
        <v>0</v>
      </c>
      <c r="DA2964">
        <v>1</v>
      </c>
      <c r="DB2964">
        <v>0</v>
      </c>
      <c r="DC2964">
        <v>0</v>
      </c>
      <c r="DD2964">
        <v>1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 t="shared" si="1385"/>
        <v>05/12/2020 14:46:13.125</v>
      </c>
      <c r="C2965" t="str">
        <f t="shared" si="1361"/>
        <v>FFDFD3C0</v>
      </c>
      <c r="D2965" t="s">
        <v>131</v>
      </c>
      <c r="E2965">
        <v>10</v>
      </c>
      <c r="F2965">
        <v>2010</v>
      </c>
      <c r="G2965" t="s">
        <v>132</v>
      </c>
      <c r="J2965" t="s">
        <v>133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386"/>
        <v>14:46:30.953</v>
      </c>
      <c r="T2965" t="str">
        <f t="shared" si="1387"/>
        <v>14:46:30.853</v>
      </c>
      <c r="U2965" t="str">
        <f t="shared" si="1380"/>
        <v>A9808D</v>
      </c>
      <c r="V2965">
        <v>0</v>
      </c>
      <c r="W2965">
        <v>0</v>
      </c>
      <c r="X2965">
        <v>1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0</v>
      </c>
      <c r="AI2965" t="s">
        <v>722</v>
      </c>
      <c r="AJ2965">
        <v>28.247330000000002</v>
      </c>
      <c r="AK2965" t="s">
        <v>724</v>
      </c>
      <c r="AL2965">
        <v>-82.294807000000006</v>
      </c>
      <c r="AM2965">
        <v>100</v>
      </c>
      <c r="AN2965">
        <v>2500</v>
      </c>
      <c r="AO2965" t="s">
        <v>118</v>
      </c>
      <c r="AP2965">
        <v>112</v>
      </c>
      <c r="AQ2965">
        <v>-7</v>
      </c>
      <c r="AR2965">
        <v>-960</v>
      </c>
      <c r="AZ2965">
        <v>1200</v>
      </c>
      <c r="BA2965">
        <v>1</v>
      </c>
      <c r="BB2965" t="str">
        <f t="shared" si="1362"/>
        <v xml:space="preserve">N711JA  </v>
      </c>
      <c r="BC2965">
        <v>1</v>
      </c>
      <c r="BE2965">
        <v>0</v>
      </c>
      <c r="BF2965">
        <v>0</v>
      </c>
      <c r="BG2965">
        <v>0</v>
      </c>
      <c r="BH2965">
        <v>2575</v>
      </c>
      <c r="BI2965">
        <v>1</v>
      </c>
      <c r="BJ2965">
        <v>1</v>
      </c>
      <c r="BK2965">
        <v>0</v>
      </c>
      <c r="BL2965">
        <v>0</v>
      </c>
      <c r="BO2965">
        <v>0</v>
      </c>
      <c r="BP2965">
        <v>0</v>
      </c>
      <c r="BW2965" t="str">
        <f t="shared" si="1388"/>
        <v>14:46:30.960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119</v>
      </c>
      <c r="CQ2965">
        <v>8</v>
      </c>
      <c r="CR2965">
        <v>3</v>
      </c>
      <c r="CW2965">
        <v>8978205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1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 t="shared" si="1385"/>
        <v>05/12/2020 14:46:13.125</v>
      </c>
      <c r="C2966" t="str">
        <f t="shared" ref="C2966:C3029" si="1389">"FFDFD3C0"</f>
        <v>FFDFD3C0</v>
      </c>
      <c r="D2966" t="s">
        <v>131</v>
      </c>
      <c r="E2966">
        <v>12</v>
      </c>
      <c r="F2966">
        <v>2012</v>
      </c>
      <c r="G2966" t="s">
        <v>137</v>
      </c>
      <c r="J2966" t="s">
        <v>133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si="1386"/>
        <v>14:46:30.953</v>
      </c>
      <c r="T2966" t="str">
        <f t="shared" si="1387"/>
        <v>14:46:30.853</v>
      </c>
      <c r="U2966" t="str">
        <f t="shared" si="1380"/>
        <v>A9808D</v>
      </c>
      <c r="V2966">
        <v>0</v>
      </c>
      <c r="W2966">
        <v>0</v>
      </c>
      <c r="X2966">
        <v>1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0</v>
      </c>
      <c r="AI2966" t="s">
        <v>722</v>
      </c>
      <c r="AJ2966">
        <v>28.247330000000002</v>
      </c>
      <c r="AK2966" t="s">
        <v>724</v>
      </c>
      <c r="AL2966">
        <v>-82.294807000000006</v>
      </c>
      <c r="AM2966">
        <v>100</v>
      </c>
      <c r="AN2966">
        <v>2500</v>
      </c>
      <c r="AO2966" t="s">
        <v>118</v>
      </c>
      <c r="AP2966">
        <v>112</v>
      </c>
      <c r="AQ2966">
        <v>-7</v>
      </c>
      <c r="AR2966">
        <v>-960</v>
      </c>
      <c r="AZ2966">
        <v>1200</v>
      </c>
      <c r="BA2966">
        <v>1</v>
      </c>
      <c r="BB2966" t="str">
        <f t="shared" ref="BB2966:BB3029" si="1390">"N711JA  "</f>
        <v xml:space="preserve">N711JA  </v>
      </c>
      <c r="BC2966">
        <v>1</v>
      </c>
      <c r="BE2966">
        <v>0</v>
      </c>
      <c r="BF2966">
        <v>0</v>
      </c>
      <c r="BG2966">
        <v>0</v>
      </c>
      <c r="BH2966">
        <v>2575</v>
      </c>
      <c r="BI2966">
        <v>1</v>
      </c>
      <c r="BJ2966">
        <v>1</v>
      </c>
      <c r="BK2966">
        <v>0</v>
      </c>
      <c r="BL2966">
        <v>0</v>
      </c>
      <c r="BO2966">
        <v>0</v>
      </c>
      <c r="BP2966">
        <v>0</v>
      </c>
      <c r="BW2966" t="str">
        <f t="shared" si="1388"/>
        <v>14:46:30.960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7</v>
      </c>
      <c r="CP2966" t="s">
        <v>119</v>
      </c>
      <c r="CQ2966">
        <v>8</v>
      </c>
      <c r="CR2966">
        <v>3</v>
      </c>
      <c r="CW2966">
        <v>8978205</v>
      </c>
      <c r="CY2966">
        <v>1</v>
      </c>
      <c r="CZ2966">
        <v>0</v>
      </c>
      <c r="DA2966">
        <v>1</v>
      </c>
      <c r="DB2966">
        <v>0</v>
      </c>
      <c r="DC2966">
        <v>0</v>
      </c>
      <c r="DD2966">
        <v>1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 t="shared" si="1385"/>
        <v>05/12/2020 14:46:13.125</v>
      </c>
      <c r="C2967" t="str">
        <f t="shared" si="1389"/>
        <v>FFDFD3C0</v>
      </c>
      <c r="D2967" t="s">
        <v>113</v>
      </c>
      <c r="E2967">
        <v>3</v>
      </c>
      <c r="H2967">
        <v>164</v>
      </c>
      <c r="I2967" t="s">
        <v>114</v>
      </c>
      <c r="J2967" t="s">
        <v>115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386"/>
        <v>14:46:30.953</v>
      </c>
      <c r="T2967" t="str">
        <f t="shared" si="1387"/>
        <v>14:46:30.853</v>
      </c>
      <c r="U2967" t="str">
        <f t="shared" si="1380"/>
        <v>A9808D</v>
      </c>
      <c r="V2967">
        <v>0</v>
      </c>
      <c r="W2967">
        <v>0</v>
      </c>
      <c r="X2967">
        <v>1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0</v>
      </c>
      <c r="AI2967" t="s">
        <v>722</v>
      </c>
      <c r="AJ2967">
        <v>28.247330000000002</v>
      </c>
      <c r="AK2967" t="s">
        <v>724</v>
      </c>
      <c r="AL2967">
        <v>-82.294807000000006</v>
      </c>
      <c r="AM2967">
        <v>100</v>
      </c>
      <c r="AN2967">
        <v>2500</v>
      </c>
      <c r="AO2967" t="s">
        <v>118</v>
      </c>
      <c r="AP2967">
        <v>112</v>
      </c>
      <c r="AQ2967">
        <v>-7</v>
      </c>
      <c r="AR2967">
        <v>-960</v>
      </c>
      <c r="AZ2967">
        <v>1200</v>
      </c>
      <c r="BA2967">
        <v>1</v>
      </c>
      <c r="BB2967" t="str">
        <f t="shared" si="1390"/>
        <v xml:space="preserve">N711JA  </v>
      </c>
      <c r="BC2967">
        <v>1</v>
      </c>
      <c r="BE2967">
        <v>0</v>
      </c>
      <c r="BF2967">
        <v>0</v>
      </c>
      <c r="BG2967">
        <v>0</v>
      </c>
      <c r="BH2967">
        <v>2575</v>
      </c>
      <c r="BI2967">
        <v>1</v>
      </c>
      <c r="BJ2967">
        <v>1</v>
      </c>
      <c r="BK2967">
        <v>0</v>
      </c>
      <c r="BL2967">
        <v>0</v>
      </c>
      <c r="BO2967">
        <v>0</v>
      </c>
      <c r="BP2967">
        <v>0</v>
      </c>
      <c r="BW2967" t="str">
        <f t="shared" si="1388"/>
        <v>14:46:30.960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8</v>
      </c>
      <c r="CR2967">
        <v>3</v>
      </c>
      <c r="CW2967">
        <v>8978205</v>
      </c>
      <c r="CY2967">
        <v>1</v>
      </c>
      <c r="CZ2967">
        <v>0</v>
      </c>
      <c r="DA2967">
        <v>1</v>
      </c>
      <c r="DB2967">
        <v>0</v>
      </c>
      <c r="DC2967">
        <v>0</v>
      </c>
      <c r="DD2967">
        <v>1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 t="shared" si="1385"/>
        <v>05/12/2020 14:46:13.125</v>
      </c>
      <c r="C2968" t="str">
        <f t="shared" si="1389"/>
        <v>FFDFD3C0</v>
      </c>
      <c r="D2968" t="s">
        <v>131</v>
      </c>
      <c r="E2968">
        <v>18</v>
      </c>
      <c r="F2968">
        <v>2018</v>
      </c>
      <c r="G2968" t="s">
        <v>161</v>
      </c>
      <c r="J2968" t="s">
        <v>133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386"/>
        <v>14:46:30.953</v>
      </c>
      <c r="T2968" t="str">
        <f t="shared" si="1387"/>
        <v>14:46:30.853</v>
      </c>
      <c r="U2968" t="str">
        <f t="shared" si="1380"/>
        <v>A9808D</v>
      </c>
      <c r="V2968">
        <v>0</v>
      </c>
      <c r="W2968">
        <v>0</v>
      </c>
      <c r="X2968">
        <v>1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0</v>
      </c>
      <c r="AI2968" t="s">
        <v>722</v>
      </c>
      <c r="AJ2968">
        <v>28.247330000000002</v>
      </c>
      <c r="AK2968" t="s">
        <v>724</v>
      </c>
      <c r="AL2968">
        <v>-82.294807000000006</v>
      </c>
      <c r="AM2968">
        <v>100</v>
      </c>
      <c r="AN2968">
        <v>2500</v>
      </c>
      <c r="AO2968" t="s">
        <v>118</v>
      </c>
      <c r="AP2968">
        <v>112</v>
      </c>
      <c r="AQ2968">
        <v>-7</v>
      </c>
      <c r="AR2968">
        <v>-960</v>
      </c>
      <c r="AZ2968">
        <v>1200</v>
      </c>
      <c r="BA2968">
        <v>1</v>
      </c>
      <c r="BB2968" t="str">
        <f t="shared" si="1390"/>
        <v xml:space="preserve">N711JA  </v>
      </c>
      <c r="BC2968">
        <v>1</v>
      </c>
      <c r="BE2968">
        <v>0</v>
      </c>
      <c r="BF2968">
        <v>0</v>
      </c>
      <c r="BG2968">
        <v>0</v>
      </c>
      <c r="BH2968">
        <v>2575</v>
      </c>
      <c r="BI2968">
        <v>1</v>
      </c>
      <c r="BJ2968">
        <v>1</v>
      </c>
      <c r="BK2968">
        <v>0</v>
      </c>
      <c r="BL2968">
        <v>0</v>
      </c>
      <c r="BO2968">
        <v>0</v>
      </c>
      <c r="BP2968">
        <v>0</v>
      </c>
      <c r="BW2968" t="str">
        <f t="shared" si="1388"/>
        <v>14:46:30.960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5</v>
      </c>
      <c r="CP2968" t="s">
        <v>119</v>
      </c>
      <c r="CQ2968">
        <v>62</v>
      </c>
      <c r="CR2968">
        <v>1</v>
      </c>
      <c r="CW2968">
        <v>12860251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1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 t="shared" ref="A2969:A2977" si="1391">"05/12/2020 14:46:14.019"</f>
        <v>05/12/2020 14:46:14.019</v>
      </c>
      <c r="C2969" t="str">
        <f t="shared" si="1389"/>
        <v>FFDFD3C0</v>
      </c>
      <c r="D2969" t="s">
        <v>131</v>
      </c>
      <c r="E2969">
        <v>12</v>
      </c>
      <c r="F2969">
        <v>2012</v>
      </c>
      <c r="G2969" t="s">
        <v>137</v>
      </c>
      <c r="J2969" t="s">
        <v>133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ref="S2969:T2977" si="1392">"14:46:31.859"</f>
        <v>14:46:31.859</v>
      </c>
      <c r="T2969" t="str">
        <f t="shared" si="1392"/>
        <v>14:46:31.859</v>
      </c>
      <c r="U2969" t="str">
        <f t="shared" si="1380"/>
        <v>A9808D</v>
      </c>
      <c r="V2969">
        <v>0</v>
      </c>
      <c r="W2969">
        <v>0</v>
      </c>
      <c r="X2969">
        <v>1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0</v>
      </c>
      <c r="AI2969" t="s">
        <v>725</v>
      </c>
      <c r="AJ2969">
        <v>28.247266</v>
      </c>
      <c r="AK2969" t="s">
        <v>726</v>
      </c>
      <c r="AL2969">
        <v>-82.294250000000005</v>
      </c>
      <c r="AM2969">
        <v>100</v>
      </c>
      <c r="AN2969">
        <v>2500</v>
      </c>
      <c r="AO2969" t="s">
        <v>118</v>
      </c>
      <c r="AP2969">
        <v>114</v>
      </c>
      <c r="AQ2969">
        <v>-7</v>
      </c>
      <c r="AR2969">
        <v>-896</v>
      </c>
      <c r="AZ2969">
        <v>1200</v>
      </c>
      <c r="BA2969">
        <v>1</v>
      </c>
      <c r="BB2969" t="str">
        <f t="shared" si="1390"/>
        <v xml:space="preserve">N711JA  </v>
      </c>
      <c r="BC2969">
        <v>1</v>
      </c>
      <c r="BE2969">
        <v>0</v>
      </c>
      <c r="BF2969">
        <v>0</v>
      </c>
      <c r="BG2969">
        <v>0</v>
      </c>
      <c r="BH2969">
        <v>2550</v>
      </c>
      <c r="BI2969">
        <v>1</v>
      </c>
      <c r="BJ2969">
        <v>1</v>
      </c>
      <c r="BK2969">
        <v>0</v>
      </c>
      <c r="BL2969">
        <v>0</v>
      </c>
      <c r="BO2969">
        <v>0</v>
      </c>
      <c r="BP2969">
        <v>0</v>
      </c>
      <c r="BW2969" t="str">
        <f>"14:46:31.861"</f>
        <v>14:46:31.861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8</v>
      </c>
      <c r="CR2969">
        <v>3</v>
      </c>
      <c r="CW2969">
        <v>8979093</v>
      </c>
      <c r="CY2969">
        <v>1</v>
      </c>
      <c r="CZ2969">
        <v>0</v>
      </c>
      <c r="DA2969">
        <v>0</v>
      </c>
      <c r="DB2969">
        <v>0</v>
      </c>
      <c r="DC2969">
        <v>0</v>
      </c>
      <c r="DD2969">
        <v>1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 t="shared" si="1391"/>
        <v>05/12/2020 14:46:14.019</v>
      </c>
      <c r="C2970" t="str">
        <f t="shared" si="1389"/>
        <v>FFDFD3C0</v>
      </c>
      <c r="D2970" t="s">
        <v>131</v>
      </c>
      <c r="E2970">
        <v>18</v>
      </c>
      <c r="F2970">
        <v>2018</v>
      </c>
      <c r="G2970" t="s">
        <v>161</v>
      </c>
      <c r="J2970" t="s">
        <v>133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392"/>
        <v>14:46:31.859</v>
      </c>
      <c r="T2970" t="str">
        <f t="shared" si="1392"/>
        <v>14:46:31.859</v>
      </c>
      <c r="U2970" t="str">
        <f t="shared" si="1380"/>
        <v>A9808D</v>
      </c>
      <c r="V2970">
        <v>0</v>
      </c>
      <c r="W2970">
        <v>0</v>
      </c>
      <c r="X2970">
        <v>1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0</v>
      </c>
      <c r="AI2970" t="s">
        <v>725</v>
      </c>
      <c r="AJ2970">
        <v>28.247266</v>
      </c>
      <c r="AK2970" t="s">
        <v>726</v>
      </c>
      <c r="AL2970">
        <v>-82.294250000000005</v>
      </c>
      <c r="AM2970">
        <v>100</v>
      </c>
      <c r="AN2970">
        <v>2500</v>
      </c>
      <c r="AO2970" t="s">
        <v>118</v>
      </c>
      <c r="AP2970">
        <v>114</v>
      </c>
      <c r="AQ2970">
        <v>-7</v>
      </c>
      <c r="AR2970">
        <v>-896</v>
      </c>
      <c r="AZ2970">
        <v>1200</v>
      </c>
      <c r="BA2970">
        <v>1</v>
      </c>
      <c r="BB2970" t="str">
        <f t="shared" si="1390"/>
        <v xml:space="preserve">N711JA  </v>
      </c>
      <c r="BC2970">
        <v>1</v>
      </c>
      <c r="BE2970">
        <v>0</v>
      </c>
      <c r="BF2970">
        <v>0</v>
      </c>
      <c r="BG2970">
        <v>0</v>
      </c>
      <c r="BH2970">
        <v>2550</v>
      </c>
      <c r="BI2970">
        <v>1</v>
      </c>
      <c r="BJ2970">
        <v>1</v>
      </c>
      <c r="BK2970">
        <v>0</v>
      </c>
      <c r="BL2970">
        <v>0</v>
      </c>
      <c r="BO2970">
        <v>0</v>
      </c>
      <c r="BP2970">
        <v>0</v>
      </c>
      <c r="BW2970" t="str">
        <f>"14:46:31.862"</f>
        <v>14:46:31.862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5</v>
      </c>
      <c r="CP2970" t="s">
        <v>119</v>
      </c>
      <c r="CQ2970">
        <v>62</v>
      </c>
      <c r="CR2970">
        <v>1</v>
      </c>
      <c r="CW2970">
        <v>12861202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1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 t="shared" si="1391"/>
        <v>05/12/2020 14:46:14.019</v>
      </c>
      <c r="C2971" t="str">
        <f t="shared" si="1389"/>
        <v>FFDFD3C0</v>
      </c>
      <c r="D2971" t="s">
        <v>113</v>
      </c>
      <c r="E2971">
        <v>3</v>
      </c>
      <c r="H2971">
        <v>164</v>
      </c>
      <c r="I2971" t="s">
        <v>114</v>
      </c>
      <c r="J2971" t="s">
        <v>115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392"/>
        <v>14:46:31.859</v>
      </c>
      <c r="T2971" t="str">
        <f t="shared" si="1392"/>
        <v>14:46:31.859</v>
      </c>
      <c r="U2971" t="str">
        <f t="shared" si="1380"/>
        <v>A9808D</v>
      </c>
      <c r="V2971">
        <v>0</v>
      </c>
      <c r="W2971">
        <v>0</v>
      </c>
      <c r="X2971">
        <v>1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0</v>
      </c>
      <c r="AI2971" t="s">
        <v>725</v>
      </c>
      <c r="AJ2971">
        <v>28.247266</v>
      </c>
      <c r="AK2971" t="s">
        <v>726</v>
      </c>
      <c r="AL2971">
        <v>-82.294250000000005</v>
      </c>
      <c r="AM2971">
        <v>100</v>
      </c>
      <c r="AN2971">
        <v>2500</v>
      </c>
      <c r="AO2971" t="s">
        <v>118</v>
      </c>
      <c r="AP2971">
        <v>114</v>
      </c>
      <c r="AQ2971">
        <v>-7</v>
      </c>
      <c r="AR2971">
        <v>-896</v>
      </c>
      <c r="AZ2971">
        <v>1200</v>
      </c>
      <c r="BA2971">
        <v>1</v>
      </c>
      <c r="BB2971" t="str">
        <f t="shared" si="1390"/>
        <v xml:space="preserve">N711JA  </v>
      </c>
      <c r="BC2971">
        <v>1</v>
      </c>
      <c r="BE2971">
        <v>0</v>
      </c>
      <c r="BF2971">
        <v>0</v>
      </c>
      <c r="BG2971">
        <v>0</v>
      </c>
      <c r="BH2971">
        <v>2550</v>
      </c>
      <c r="BI2971">
        <v>1</v>
      </c>
      <c r="BJ2971">
        <v>1</v>
      </c>
      <c r="BK2971">
        <v>0</v>
      </c>
      <c r="BL2971">
        <v>0</v>
      </c>
      <c r="BO2971">
        <v>0</v>
      </c>
      <c r="BP2971">
        <v>0</v>
      </c>
      <c r="BW2971" t="str">
        <f t="shared" ref="BW2971:BW2977" si="1393">"14:46:31.861"</f>
        <v>14:46:31.861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119</v>
      </c>
      <c r="CQ2971">
        <v>8</v>
      </c>
      <c r="CR2971">
        <v>3</v>
      </c>
      <c r="CW2971">
        <v>8979093</v>
      </c>
      <c r="CY2971">
        <v>1</v>
      </c>
      <c r="CZ2971">
        <v>0</v>
      </c>
      <c r="DA2971">
        <v>1</v>
      </c>
      <c r="DB2971">
        <v>0</v>
      </c>
      <c r="DC2971">
        <v>0</v>
      </c>
      <c r="DD2971">
        <v>1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 t="shared" si="1391"/>
        <v>05/12/2020 14:46:14.019</v>
      </c>
      <c r="C2972" t="str">
        <f t="shared" si="1389"/>
        <v>FFDFD3C0</v>
      </c>
      <c r="D2972" t="s">
        <v>138</v>
      </c>
      <c r="E2972">
        <v>2</v>
      </c>
      <c r="H2972">
        <v>8</v>
      </c>
      <c r="I2972" t="s">
        <v>139</v>
      </c>
      <c r="J2972" t="s">
        <v>136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392"/>
        <v>14:46:31.859</v>
      </c>
      <c r="T2972" t="str">
        <f t="shared" si="1392"/>
        <v>14:46:31.859</v>
      </c>
      <c r="U2972" t="str">
        <f t="shared" si="1380"/>
        <v>A9808D</v>
      </c>
      <c r="V2972">
        <v>0</v>
      </c>
      <c r="W2972">
        <v>0</v>
      </c>
      <c r="X2972">
        <v>1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0</v>
      </c>
      <c r="AI2972" t="s">
        <v>725</v>
      </c>
      <c r="AJ2972">
        <v>28.247266</v>
      </c>
      <c r="AK2972" t="s">
        <v>726</v>
      </c>
      <c r="AL2972">
        <v>-82.294250000000005</v>
      </c>
      <c r="AM2972">
        <v>100</v>
      </c>
      <c r="AN2972">
        <v>2500</v>
      </c>
      <c r="AO2972" t="s">
        <v>118</v>
      </c>
      <c r="AP2972">
        <v>114</v>
      </c>
      <c r="AQ2972">
        <v>-7</v>
      </c>
      <c r="AR2972">
        <v>-896</v>
      </c>
      <c r="AZ2972">
        <v>1200</v>
      </c>
      <c r="BA2972">
        <v>1</v>
      </c>
      <c r="BB2972" t="str">
        <f t="shared" si="1390"/>
        <v xml:space="preserve">N711JA  </v>
      </c>
      <c r="BC2972">
        <v>1</v>
      </c>
      <c r="BE2972">
        <v>0</v>
      </c>
      <c r="BF2972">
        <v>0</v>
      </c>
      <c r="BG2972">
        <v>0</v>
      </c>
      <c r="BH2972">
        <v>2550</v>
      </c>
      <c r="BI2972">
        <v>1</v>
      </c>
      <c r="BJ2972">
        <v>1</v>
      </c>
      <c r="BK2972">
        <v>0</v>
      </c>
      <c r="BL2972">
        <v>0</v>
      </c>
      <c r="BO2972">
        <v>0</v>
      </c>
      <c r="BP2972">
        <v>0</v>
      </c>
      <c r="BW2972" t="str">
        <f t="shared" si="1393"/>
        <v>14:46:31.861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7</v>
      </c>
      <c r="CP2972" t="s">
        <v>119</v>
      </c>
      <c r="CQ2972">
        <v>8</v>
      </c>
      <c r="CR2972">
        <v>3</v>
      </c>
      <c r="CW2972">
        <v>8979093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1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 t="shared" si="1391"/>
        <v>05/12/2020 14:46:14.019</v>
      </c>
      <c r="C2973" t="str">
        <f t="shared" si="1389"/>
        <v>FFDFD3C0</v>
      </c>
      <c r="D2973" t="s">
        <v>126</v>
      </c>
      <c r="E2973">
        <v>6</v>
      </c>
      <c r="F2973">
        <v>1006</v>
      </c>
      <c r="G2973" t="s">
        <v>114</v>
      </c>
      <c r="J2973" t="s">
        <v>128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si="1392"/>
        <v>14:46:31.859</v>
      </c>
      <c r="T2973" t="str">
        <f t="shared" si="1392"/>
        <v>14:46:31.859</v>
      </c>
      <c r="U2973" t="str">
        <f t="shared" si="1380"/>
        <v>A9808D</v>
      </c>
      <c r="V2973">
        <v>0</v>
      </c>
      <c r="W2973">
        <v>0</v>
      </c>
      <c r="X2973">
        <v>1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0</v>
      </c>
      <c r="AI2973" t="s">
        <v>725</v>
      </c>
      <c r="AJ2973">
        <v>28.247266</v>
      </c>
      <c r="AK2973" t="s">
        <v>726</v>
      </c>
      <c r="AL2973">
        <v>-82.294250000000005</v>
      </c>
      <c r="AM2973">
        <v>100</v>
      </c>
      <c r="AN2973">
        <v>2500</v>
      </c>
      <c r="AO2973" t="s">
        <v>118</v>
      </c>
      <c r="AP2973">
        <v>114</v>
      </c>
      <c r="AQ2973">
        <v>-7</v>
      </c>
      <c r="AR2973">
        <v>-896</v>
      </c>
      <c r="AZ2973">
        <v>1200</v>
      </c>
      <c r="BA2973">
        <v>1</v>
      </c>
      <c r="BB2973" t="str">
        <f t="shared" si="1390"/>
        <v xml:space="preserve">N711JA  </v>
      </c>
      <c r="BC2973">
        <v>1</v>
      </c>
      <c r="BE2973">
        <v>0</v>
      </c>
      <c r="BF2973">
        <v>0</v>
      </c>
      <c r="BG2973">
        <v>0</v>
      </c>
      <c r="BH2973">
        <v>2550</v>
      </c>
      <c r="BI2973">
        <v>1</v>
      </c>
      <c r="BJ2973">
        <v>1</v>
      </c>
      <c r="BK2973">
        <v>0</v>
      </c>
      <c r="BL2973">
        <v>0</v>
      </c>
      <c r="BO2973">
        <v>0</v>
      </c>
      <c r="BP2973">
        <v>0</v>
      </c>
      <c r="BW2973" t="str">
        <f t="shared" si="1393"/>
        <v>14:46:31.861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7</v>
      </c>
      <c r="CP2973" t="s">
        <v>119</v>
      </c>
      <c r="CQ2973">
        <v>8</v>
      </c>
      <c r="CR2973">
        <v>3</v>
      </c>
      <c r="CW2973">
        <v>8979093</v>
      </c>
      <c r="CY2973">
        <v>1</v>
      </c>
      <c r="CZ2973">
        <v>0</v>
      </c>
      <c r="DA2973">
        <v>1</v>
      </c>
      <c r="DB2973">
        <v>0</v>
      </c>
      <c r="DC2973">
        <v>0</v>
      </c>
      <c r="DD2973">
        <v>1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 t="shared" si="1391"/>
        <v>05/12/2020 14:46:14.019</v>
      </c>
      <c r="C2974" t="str">
        <f t="shared" si="1389"/>
        <v>FFDFD3C0</v>
      </c>
      <c r="D2974" t="s">
        <v>134</v>
      </c>
      <c r="E2974">
        <v>12</v>
      </c>
      <c r="H2974">
        <v>64</v>
      </c>
      <c r="I2974" t="s">
        <v>135</v>
      </c>
      <c r="J2974" t="s">
        <v>136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392"/>
        <v>14:46:31.859</v>
      </c>
      <c r="T2974" t="str">
        <f t="shared" si="1392"/>
        <v>14:46:31.859</v>
      </c>
      <c r="U2974" t="str">
        <f t="shared" si="1380"/>
        <v>A9808D</v>
      </c>
      <c r="V2974">
        <v>0</v>
      </c>
      <c r="W2974">
        <v>0</v>
      </c>
      <c r="X2974">
        <v>1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0</v>
      </c>
      <c r="AI2974" t="s">
        <v>725</v>
      </c>
      <c r="AJ2974">
        <v>28.247266</v>
      </c>
      <c r="AK2974" t="s">
        <v>726</v>
      </c>
      <c r="AL2974">
        <v>-82.294250000000005</v>
      </c>
      <c r="AM2974">
        <v>100</v>
      </c>
      <c r="AN2974">
        <v>2500</v>
      </c>
      <c r="AO2974" t="s">
        <v>118</v>
      </c>
      <c r="AP2974">
        <v>114</v>
      </c>
      <c r="AQ2974">
        <v>-7</v>
      </c>
      <c r="AR2974">
        <v>-896</v>
      </c>
      <c r="AZ2974">
        <v>1200</v>
      </c>
      <c r="BA2974">
        <v>1</v>
      </c>
      <c r="BB2974" t="str">
        <f t="shared" si="1390"/>
        <v xml:space="preserve">N711JA  </v>
      </c>
      <c r="BC2974">
        <v>1</v>
      </c>
      <c r="BE2974">
        <v>0</v>
      </c>
      <c r="BF2974">
        <v>0</v>
      </c>
      <c r="BG2974">
        <v>0</v>
      </c>
      <c r="BH2974">
        <v>2550</v>
      </c>
      <c r="BI2974">
        <v>1</v>
      </c>
      <c r="BJ2974">
        <v>1</v>
      </c>
      <c r="BK2974">
        <v>0</v>
      </c>
      <c r="BL2974">
        <v>0</v>
      </c>
      <c r="BO2974">
        <v>0</v>
      </c>
      <c r="BP2974">
        <v>0</v>
      </c>
      <c r="BW2974" t="str">
        <f t="shared" si="1393"/>
        <v>14:46:31.861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7</v>
      </c>
      <c r="CP2974" t="s">
        <v>119</v>
      </c>
      <c r="CQ2974">
        <v>8</v>
      </c>
      <c r="CR2974">
        <v>3</v>
      </c>
      <c r="CW2974">
        <v>8979093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1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 t="shared" si="1391"/>
        <v>05/12/2020 14:46:14.019</v>
      </c>
      <c r="C2975" t="str">
        <f t="shared" si="1389"/>
        <v>FFDFD3C0</v>
      </c>
      <c r="D2975" t="s">
        <v>138</v>
      </c>
      <c r="E2975">
        <v>3</v>
      </c>
      <c r="H2975">
        <v>9</v>
      </c>
      <c r="I2975" t="s">
        <v>140</v>
      </c>
      <c r="J2975" t="s">
        <v>136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392"/>
        <v>14:46:31.859</v>
      </c>
      <c r="T2975" t="str">
        <f t="shared" si="1392"/>
        <v>14:46:31.859</v>
      </c>
      <c r="U2975" t="str">
        <f t="shared" si="1380"/>
        <v>A9808D</v>
      </c>
      <c r="V2975">
        <v>0</v>
      </c>
      <c r="W2975">
        <v>0</v>
      </c>
      <c r="X2975">
        <v>1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0</v>
      </c>
      <c r="AI2975" t="s">
        <v>725</v>
      </c>
      <c r="AJ2975">
        <v>28.247266</v>
      </c>
      <c r="AK2975" t="s">
        <v>726</v>
      </c>
      <c r="AL2975">
        <v>-82.294250000000005</v>
      </c>
      <c r="AM2975">
        <v>100</v>
      </c>
      <c r="AN2975">
        <v>2500</v>
      </c>
      <c r="AO2975" t="s">
        <v>118</v>
      </c>
      <c r="AP2975">
        <v>114</v>
      </c>
      <c r="AQ2975">
        <v>-7</v>
      </c>
      <c r="AR2975">
        <v>-896</v>
      </c>
      <c r="AZ2975">
        <v>1200</v>
      </c>
      <c r="BA2975">
        <v>1</v>
      </c>
      <c r="BB2975" t="str">
        <f t="shared" si="1390"/>
        <v xml:space="preserve">N711JA  </v>
      </c>
      <c r="BC2975">
        <v>1</v>
      </c>
      <c r="BE2975">
        <v>0</v>
      </c>
      <c r="BF2975">
        <v>0</v>
      </c>
      <c r="BG2975">
        <v>0</v>
      </c>
      <c r="BH2975">
        <v>2550</v>
      </c>
      <c r="BI2975">
        <v>1</v>
      </c>
      <c r="BJ2975">
        <v>1</v>
      </c>
      <c r="BK2975">
        <v>0</v>
      </c>
      <c r="BL2975">
        <v>0</v>
      </c>
      <c r="BO2975">
        <v>0</v>
      </c>
      <c r="BP2975">
        <v>0</v>
      </c>
      <c r="BW2975" t="str">
        <f t="shared" si="1393"/>
        <v>14:46:31.861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7</v>
      </c>
      <c r="CP2975" t="s">
        <v>119</v>
      </c>
      <c r="CQ2975">
        <v>8</v>
      </c>
      <c r="CR2975">
        <v>3</v>
      </c>
      <c r="CW2975">
        <v>8979093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1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 t="shared" si="1391"/>
        <v>05/12/2020 14:46:14.019</v>
      </c>
      <c r="C2976" t="str">
        <f t="shared" si="1389"/>
        <v>FFDFD3C0</v>
      </c>
      <c r="D2976" t="s">
        <v>126</v>
      </c>
      <c r="E2976">
        <v>7</v>
      </c>
      <c r="F2976">
        <v>1007</v>
      </c>
      <c r="G2976" t="s">
        <v>127</v>
      </c>
      <c r="J2976" t="s">
        <v>128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392"/>
        <v>14:46:31.859</v>
      </c>
      <c r="T2976" t="str">
        <f t="shared" si="1392"/>
        <v>14:46:31.859</v>
      </c>
      <c r="U2976" t="str">
        <f t="shared" si="1380"/>
        <v>A9808D</v>
      </c>
      <c r="V2976">
        <v>0</v>
      </c>
      <c r="W2976">
        <v>0</v>
      </c>
      <c r="X2976">
        <v>1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0</v>
      </c>
      <c r="AI2976" t="s">
        <v>725</v>
      </c>
      <c r="AJ2976">
        <v>28.247266</v>
      </c>
      <c r="AK2976" t="s">
        <v>726</v>
      </c>
      <c r="AL2976">
        <v>-82.294250000000005</v>
      </c>
      <c r="AM2976">
        <v>100</v>
      </c>
      <c r="AN2976">
        <v>2500</v>
      </c>
      <c r="AO2976" t="s">
        <v>118</v>
      </c>
      <c r="AP2976">
        <v>114</v>
      </c>
      <c r="AQ2976">
        <v>-7</v>
      </c>
      <c r="AR2976">
        <v>-896</v>
      </c>
      <c r="AZ2976">
        <v>1200</v>
      </c>
      <c r="BA2976">
        <v>1</v>
      </c>
      <c r="BB2976" t="str">
        <f t="shared" si="1390"/>
        <v xml:space="preserve">N711JA  </v>
      </c>
      <c r="BC2976">
        <v>1</v>
      </c>
      <c r="BE2976">
        <v>0</v>
      </c>
      <c r="BF2976">
        <v>0</v>
      </c>
      <c r="BG2976">
        <v>0</v>
      </c>
      <c r="BH2976">
        <v>2550</v>
      </c>
      <c r="BI2976">
        <v>1</v>
      </c>
      <c r="BJ2976">
        <v>1</v>
      </c>
      <c r="BK2976">
        <v>0</v>
      </c>
      <c r="BL2976">
        <v>0</v>
      </c>
      <c r="BO2976">
        <v>0</v>
      </c>
      <c r="BP2976">
        <v>0</v>
      </c>
      <c r="BW2976" t="str">
        <f t="shared" si="1393"/>
        <v>14:46:31.861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7</v>
      </c>
      <c r="CP2976" t="s">
        <v>119</v>
      </c>
      <c r="CQ2976">
        <v>8</v>
      </c>
      <c r="CR2976">
        <v>3</v>
      </c>
      <c r="CW2976">
        <v>8979093</v>
      </c>
      <c r="CY2976">
        <v>1</v>
      </c>
      <c r="CZ2976">
        <v>0</v>
      </c>
      <c r="DA2976">
        <v>1</v>
      </c>
      <c r="DB2976">
        <v>0</v>
      </c>
      <c r="DC2976">
        <v>0</v>
      </c>
      <c r="DD2976">
        <v>1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 t="shared" si="1391"/>
        <v>05/12/2020 14:46:14.019</v>
      </c>
      <c r="C2977" t="str">
        <f t="shared" si="1389"/>
        <v>FFDFD3C0</v>
      </c>
      <c r="D2977" t="s">
        <v>131</v>
      </c>
      <c r="E2977">
        <v>10</v>
      </c>
      <c r="F2977">
        <v>2010</v>
      </c>
      <c r="G2977" t="s">
        <v>132</v>
      </c>
      <c r="J2977" t="s">
        <v>133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392"/>
        <v>14:46:31.859</v>
      </c>
      <c r="T2977" t="str">
        <f t="shared" si="1392"/>
        <v>14:46:31.859</v>
      </c>
      <c r="U2977" t="str">
        <f t="shared" si="1380"/>
        <v>A9808D</v>
      </c>
      <c r="V2977">
        <v>0</v>
      </c>
      <c r="W2977">
        <v>0</v>
      </c>
      <c r="X2977">
        <v>1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0</v>
      </c>
      <c r="AI2977" t="s">
        <v>725</v>
      </c>
      <c r="AJ2977">
        <v>28.247266</v>
      </c>
      <c r="AK2977" t="s">
        <v>726</v>
      </c>
      <c r="AL2977">
        <v>-82.294250000000005</v>
      </c>
      <c r="AM2977">
        <v>100</v>
      </c>
      <c r="AN2977">
        <v>2500</v>
      </c>
      <c r="AO2977" t="s">
        <v>118</v>
      </c>
      <c r="AP2977">
        <v>114</v>
      </c>
      <c r="AQ2977">
        <v>-7</v>
      </c>
      <c r="AR2977">
        <v>-896</v>
      </c>
      <c r="AZ2977">
        <v>1200</v>
      </c>
      <c r="BA2977">
        <v>1</v>
      </c>
      <c r="BB2977" t="str">
        <f t="shared" si="1390"/>
        <v xml:space="preserve">N711JA  </v>
      </c>
      <c r="BC2977">
        <v>1</v>
      </c>
      <c r="BE2977">
        <v>0</v>
      </c>
      <c r="BF2977">
        <v>0</v>
      </c>
      <c r="BG2977">
        <v>0</v>
      </c>
      <c r="BH2977">
        <v>2550</v>
      </c>
      <c r="BI2977">
        <v>1</v>
      </c>
      <c r="BJ2977">
        <v>1</v>
      </c>
      <c r="BK2977">
        <v>0</v>
      </c>
      <c r="BL2977">
        <v>0</v>
      </c>
      <c r="BO2977">
        <v>0</v>
      </c>
      <c r="BP2977">
        <v>0</v>
      </c>
      <c r="BW2977" t="str">
        <f t="shared" si="1393"/>
        <v>14:46:31.861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7</v>
      </c>
      <c r="CP2977" t="s">
        <v>119</v>
      </c>
      <c r="CQ2977">
        <v>8</v>
      </c>
      <c r="CR2977">
        <v>3</v>
      </c>
      <c r="CW2977">
        <v>8979093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1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 t="shared" ref="A2978:A2986" si="1394">"05/12/2020 14:46:15.127"</f>
        <v>05/12/2020 14:46:15.127</v>
      </c>
      <c r="C2978" t="str">
        <f t="shared" si="1389"/>
        <v>FFDFD3C0</v>
      </c>
      <c r="D2978" t="s">
        <v>131</v>
      </c>
      <c r="E2978">
        <v>12</v>
      </c>
      <c r="F2978">
        <v>2012</v>
      </c>
      <c r="G2978" t="s">
        <v>137</v>
      </c>
      <c r="J2978" t="s">
        <v>133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ref="S2978:S2986" si="1395">"14:46:32.953"</f>
        <v>14:46:32.953</v>
      </c>
      <c r="T2978" t="str">
        <f>"14:46:32.853"</f>
        <v>14:46:32.853</v>
      </c>
      <c r="U2978" t="str">
        <f t="shared" si="1380"/>
        <v>A9808D</v>
      </c>
      <c r="V2978">
        <v>0</v>
      </c>
      <c r="W2978">
        <v>0</v>
      </c>
      <c r="X2978">
        <v>1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0</v>
      </c>
      <c r="AI2978" t="s">
        <v>727</v>
      </c>
      <c r="AJ2978">
        <v>28.247243999999998</v>
      </c>
      <c r="AK2978" t="s">
        <v>728</v>
      </c>
      <c r="AL2978">
        <v>-82.293583999999996</v>
      </c>
      <c r="AM2978">
        <v>100</v>
      </c>
      <c r="AN2978">
        <v>2500</v>
      </c>
      <c r="AO2978" t="s">
        <v>118</v>
      </c>
      <c r="AP2978">
        <v>116</v>
      </c>
      <c r="AQ2978">
        <v>-8</v>
      </c>
      <c r="AR2978">
        <v>-960</v>
      </c>
      <c r="AZ2978">
        <v>1200</v>
      </c>
      <c r="BA2978">
        <v>1</v>
      </c>
      <c r="BB2978" t="str">
        <f t="shared" si="1390"/>
        <v xml:space="preserve">N711JA  </v>
      </c>
      <c r="BC2978">
        <v>1</v>
      </c>
      <c r="BE2978">
        <v>0</v>
      </c>
      <c r="BF2978">
        <v>0</v>
      </c>
      <c r="BG2978">
        <v>0</v>
      </c>
      <c r="BH2978">
        <v>2550</v>
      </c>
      <c r="BI2978">
        <v>1</v>
      </c>
      <c r="BJ2978">
        <v>1</v>
      </c>
      <c r="BK2978">
        <v>0</v>
      </c>
      <c r="BL2978">
        <v>0</v>
      </c>
      <c r="BO2978">
        <v>0</v>
      </c>
      <c r="BP2978">
        <v>0</v>
      </c>
      <c r="BW2978" t="str">
        <f t="shared" ref="BW2978:BW2986" si="1396">"14:46:32.955"</f>
        <v>14:46:32.955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7</v>
      </c>
      <c r="CP2978" t="s">
        <v>119</v>
      </c>
      <c r="CQ2978">
        <v>8</v>
      </c>
      <c r="CR2978">
        <v>3</v>
      </c>
      <c r="CW2978">
        <v>8980227</v>
      </c>
      <c r="CY2978">
        <v>1</v>
      </c>
      <c r="CZ2978">
        <v>0</v>
      </c>
      <c r="DA2978">
        <v>0</v>
      </c>
      <c r="DB2978">
        <v>0</v>
      </c>
      <c r="DC2978">
        <v>0</v>
      </c>
      <c r="DD2978">
        <v>1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 t="shared" si="1394"/>
        <v>05/12/2020 14:46:15.127</v>
      </c>
      <c r="C2979" t="str">
        <f t="shared" si="1389"/>
        <v>FFDFD3C0</v>
      </c>
      <c r="D2979" t="s">
        <v>131</v>
      </c>
      <c r="E2979">
        <v>18</v>
      </c>
      <c r="F2979">
        <v>2018</v>
      </c>
      <c r="G2979" t="s">
        <v>161</v>
      </c>
      <c r="J2979" t="s">
        <v>133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395"/>
        <v>14:46:32.953</v>
      </c>
      <c r="T2979" t="str">
        <f>"14:46:32.353"</f>
        <v>14:46:32.353</v>
      </c>
      <c r="U2979" t="str">
        <f t="shared" si="1380"/>
        <v>A9808D</v>
      </c>
      <c r="V2979">
        <v>0</v>
      </c>
      <c r="W2979">
        <v>0</v>
      </c>
      <c r="X2979">
        <v>1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0</v>
      </c>
      <c r="AI2979" t="s">
        <v>727</v>
      </c>
      <c r="AJ2979">
        <v>28.247243999999998</v>
      </c>
      <c r="AK2979" t="s">
        <v>728</v>
      </c>
      <c r="AL2979">
        <v>-82.293583999999996</v>
      </c>
      <c r="AM2979">
        <v>100</v>
      </c>
      <c r="AN2979">
        <v>2500</v>
      </c>
      <c r="AO2979" t="s">
        <v>118</v>
      </c>
      <c r="AP2979">
        <v>115</v>
      </c>
      <c r="AQ2979">
        <v>-8</v>
      </c>
      <c r="AR2979">
        <v>-960</v>
      </c>
      <c r="AZ2979">
        <v>1200</v>
      </c>
      <c r="BA2979">
        <v>1</v>
      </c>
      <c r="BB2979" t="str">
        <f t="shared" si="1390"/>
        <v xml:space="preserve">N711JA  </v>
      </c>
      <c r="BC2979">
        <v>1</v>
      </c>
      <c r="BE2979">
        <v>0</v>
      </c>
      <c r="BF2979">
        <v>0</v>
      </c>
      <c r="BG2979">
        <v>0</v>
      </c>
      <c r="BH2979">
        <v>2550</v>
      </c>
      <c r="BI2979">
        <v>1</v>
      </c>
      <c r="BJ2979">
        <v>1</v>
      </c>
      <c r="BK2979">
        <v>0</v>
      </c>
      <c r="BL2979">
        <v>0</v>
      </c>
      <c r="BO2979">
        <v>0</v>
      </c>
      <c r="BP2979">
        <v>0</v>
      </c>
      <c r="BW2979" t="str">
        <f t="shared" si="1396"/>
        <v>14:46:32.955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5</v>
      </c>
      <c r="CP2979" t="s">
        <v>119</v>
      </c>
      <c r="CQ2979">
        <v>62</v>
      </c>
      <c r="CR2979">
        <v>1</v>
      </c>
      <c r="CW2979">
        <v>12862474</v>
      </c>
      <c r="CY2979">
        <v>1</v>
      </c>
      <c r="CZ2979">
        <v>0</v>
      </c>
      <c r="DA2979">
        <v>1</v>
      </c>
      <c r="DB2979">
        <v>0</v>
      </c>
      <c r="DC2979">
        <v>0</v>
      </c>
      <c r="DD2979">
        <v>1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 t="shared" si="1394"/>
        <v>05/12/2020 14:46:15.127</v>
      </c>
      <c r="C2980" t="str">
        <f t="shared" si="1389"/>
        <v>FFDFD3C0</v>
      </c>
      <c r="D2980" t="s">
        <v>113</v>
      </c>
      <c r="E2980">
        <v>3</v>
      </c>
      <c r="H2980">
        <v>164</v>
      </c>
      <c r="I2980" t="s">
        <v>114</v>
      </c>
      <c r="J2980" t="s">
        <v>115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si="1395"/>
        <v>14:46:32.953</v>
      </c>
      <c r="T2980" t="str">
        <f t="shared" ref="T2980:T2986" si="1397">"14:46:32.853"</f>
        <v>14:46:32.853</v>
      </c>
      <c r="U2980" t="str">
        <f t="shared" si="1380"/>
        <v>A9808D</v>
      </c>
      <c r="V2980">
        <v>0</v>
      </c>
      <c r="W2980">
        <v>0</v>
      </c>
      <c r="X2980">
        <v>1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0</v>
      </c>
      <c r="AI2980" t="s">
        <v>727</v>
      </c>
      <c r="AJ2980">
        <v>28.247243999999998</v>
      </c>
      <c r="AK2980" t="s">
        <v>728</v>
      </c>
      <c r="AL2980">
        <v>-82.293583999999996</v>
      </c>
      <c r="AM2980">
        <v>100</v>
      </c>
      <c r="AN2980">
        <v>2500</v>
      </c>
      <c r="AO2980" t="s">
        <v>118</v>
      </c>
      <c r="AP2980">
        <v>116</v>
      </c>
      <c r="AQ2980">
        <v>-8</v>
      </c>
      <c r="AR2980">
        <v>-960</v>
      </c>
      <c r="AZ2980">
        <v>1200</v>
      </c>
      <c r="BA2980">
        <v>1</v>
      </c>
      <c r="BB2980" t="str">
        <f t="shared" si="1390"/>
        <v xml:space="preserve">N711JA  </v>
      </c>
      <c r="BC2980">
        <v>1</v>
      </c>
      <c r="BE2980">
        <v>0</v>
      </c>
      <c r="BF2980">
        <v>0</v>
      </c>
      <c r="BG2980">
        <v>0</v>
      </c>
      <c r="BH2980">
        <v>2550</v>
      </c>
      <c r="BI2980">
        <v>1</v>
      </c>
      <c r="BJ2980">
        <v>1</v>
      </c>
      <c r="BK2980">
        <v>0</v>
      </c>
      <c r="BL2980">
        <v>0</v>
      </c>
      <c r="BO2980">
        <v>0</v>
      </c>
      <c r="BP2980">
        <v>0</v>
      </c>
      <c r="BW2980" t="str">
        <f t="shared" si="1396"/>
        <v>14:46:32.955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7</v>
      </c>
      <c r="CP2980" t="s">
        <v>119</v>
      </c>
      <c r="CQ2980">
        <v>8</v>
      </c>
      <c r="CR2980">
        <v>3</v>
      </c>
      <c r="CW2980">
        <v>8980227</v>
      </c>
      <c r="CY2980">
        <v>1</v>
      </c>
      <c r="CZ2980">
        <v>0</v>
      </c>
      <c r="DA2980">
        <v>1</v>
      </c>
      <c r="DB2980">
        <v>0</v>
      </c>
      <c r="DC2980">
        <v>0</v>
      </c>
      <c r="DD2980">
        <v>1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 t="shared" si="1394"/>
        <v>05/12/2020 14:46:15.127</v>
      </c>
      <c r="C2981" t="str">
        <f t="shared" si="1389"/>
        <v>FFDFD3C0</v>
      </c>
      <c r="D2981" t="s">
        <v>126</v>
      </c>
      <c r="E2981">
        <v>6</v>
      </c>
      <c r="F2981">
        <v>1006</v>
      </c>
      <c r="G2981" t="s">
        <v>114</v>
      </c>
      <c r="J2981" t="s">
        <v>128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395"/>
        <v>14:46:32.953</v>
      </c>
      <c r="T2981" t="str">
        <f t="shared" si="1397"/>
        <v>14:46:32.853</v>
      </c>
      <c r="U2981" t="str">
        <f t="shared" si="1380"/>
        <v>A9808D</v>
      </c>
      <c r="V2981">
        <v>0</v>
      </c>
      <c r="W2981">
        <v>0</v>
      </c>
      <c r="X2981">
        <v>1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0</v>
      </c>
      <c r="AI2981" t="s">
        <v>727</v>
      </c>
      <c r="AJ2981">
        <v>28.247243999999998</v>
      </c>
      <c r="AK2981" t="s">
        <v>728</v>
      </c>
      <c r="AL2981">
        <v>-82.293583999999996</v>
      </c>
      <c r="AM2981">
        <v>100</v>
      </c>
      <c r="AN2981">
        <v>2500</v>
      </c>
      <c r="AO2981" t="s">
        <v>118</v>
      </c>
      <c r="AP2981">
        <v>116</v>
      </c>
      <c r="AQ2981">
        <v>-8</v>
      </c>
      <c r="AR2981">
        <v>-960</v>
      </c>
      <c r="AZ2981">
        <v>1200</v>
      </c>
      <c r="BA2981">
        <v>1</v>
      </c>
      <c r="BB2981" t="str">
        <f t="shared" si="1390"/>
        <v xml:space="preserve">N711JA  </v>
      </c>
      <c r="BC2981">
        <v>1</v>
      </c>
      <c r="BE2981">
        <v>0</v>
      </c>
      <c r="BF2981">
        <v>0</v>
      </c>
      <c r="BG2981">
        <v>0</v>
      </c>
      <c r="BH2981">
        <v>2550</v>
      </c>
      <c r="BI2981">
        <v>1</v>
      </c>
      <c r="BJ2981">
        <v>1</v>
      </c>
      <c r="BK2981">
        <v>0</v>
      </c>
      <c r="BL2981">
        <v>0</v>
      </c>
      <c r="BO2981">
        <v>0</v>
      </c>
      <c r="BP2981">
        <v>0</v>
      </c>
      <c r="BW2981" t="str">
        <f t="shared" si="1396"/>
        <v>14:46:32.955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7</v>
      </c>
      <c r="CP2981" t="s">
        <v>119</v>
      </c>
      <c r="CQ2981">
        <v>8</v>
      </c>
      <c r="CR2981">
        <v>3</v>
      </c>
      <c r="CW2981">
        <v>8980227</v>
      </c>
      <c r="CY2981">
        <v>1</v>
      </c>
      <c r="CZ2981">
        <v>0</v>
      </c>
      <c r="DA2981">
        <v>1</v>
      </c>
      <c r="DB2981">
        <v>0</v>
      </c>
      <c r="DC2981">
        <v>0</v>
      </c>
      <c r="DD2981">
        <v>1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 t="shared" si="1394"/>
        <v>05/12/2020 14:46:15.127</v>
      </c>
      <c r="C2982" t="str">
        <f t="shared" si="1389"/>
        <v>FFDFD3C0</v>
      </c>
      <c r="D2982" t="s">
        <v>138</v>
      </c>
      <c r="E2982">
        <v>2</v>
      </c>
      <c r="H2982">
        <v>8</v>
      </c>
      <c r="I2982" t="s">
        <v>139</v>
      </c>
      <c r="J2982" t="s">
        <v>136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395"/>
        <v>14:46:32.953</v>
      </c>
      <c r="T2982" t="str">
        <f t="shared" si="1397"/>
        <v>14:46:32.853</v>
      </c>
      <c r="U2982" t="str">
        <f t="shared" si="1380"/>
        <v>A9808D</v>
      </c>
      <c r="V2982">
        <v>0</v>
      </c>
      <c r="W2982">
        <v>0</v>
      </c>
      <c r="X2982">
        <v>1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0</v>
      </c>
      <c r="AI2982" t="s">
        <v>727</v>
      </c>
      <c r="AJ2982">
        <v>28.247243999999998</v>
      </c>
      <c r="AK2982" t="s">
        <v>728</v>
      </c>
      <c r="AL2982">
        <v>-82.293583999999996</v>
      </c>
      <c r="AM2982">
        <v>100</v>
      </c>
      <c r="AN2982">
        <v>2500</v>
      </c>
      <c r="AO2982" t="s">
        <v>118</v>
      </c>
      <c r="AP2982">
        <v>116</v>
      </c>
      <c r="AQ2982">
        <v>-8</v>
      </c>
      <c r="AR2982">
        <v>-960</v>
      </c>
      <c r="AZ2982">
        <v>1200</v>
      </c>
      <c r="BA2982">
        <v>1</v>
      </c>
      <c r="BB2982" t="str">
        <f t="shared" si="1390"/>
        <v xml:space="preserve">N711JA  </v>
      </c>
      <c r="BC2982">
        <v>1</v>
      </c>
      <c r="BE2982">
        <v>0</v>
      </c>
      <c r="BF2982">
        <v>0</v>
      </c>
      <c r="BG2982">
        <v>0</v>
      </c>
      <c r="BH2982">
        <v>2550</v>
      </c>
      <c r="BI2982">
        <v>1</v>
      </c>
      <c r="BJ2982">
        <v>1</v>
      </c>
      <c r="BK2982">
        <v>0</v>
      </c>
      <c r="BL2982">
        <v>0</v>
      </c>
      <c r="BO2982">
        <v>0</v>
      </c>
      <c r="BP2982">
        <v>0</v>
      </c>
      <c r="BW2982" t="str">
        <f t="shared" si="1396"/>
        <v>14:46:32.955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7</v>
      </c>
      <c r="CP2982" t="s">
        <v>119</v>
      </c>
      <c r="CQ2982">
        <v>8</v>
      </c>
      <c r="CR2982">
        <v>3</v>
      </c>
      <c r="CW2982">
        <v>8980227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1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 t="shared" si="1394"/>
        <v>05/12/2020 14:46:15.127</v>
      </c>
      <c r="C2983" t="str">
        <f t="shared" si="1389"/>
        <v>FFDFD3C0</v>
      </c>
      <c r="D2983" t="s">
        <v>134</v>
      </c>
      <c r="E2983">
        <v>12</v>
      </c>
      <c r="H2983">
        <v>64</v>
      </c>
      <c r="I2983" t="s">
        <v>135</v>
      </c>
      <c r="J2983" t="s">
        <v>136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395"/>
        <v>14:46:32.953</v>
      </c>
      <c r="T2983" t="str">
        <f t="shared" si="1397"/>
        <v>14:46:32.853</v>
      </c>
      <c r="U2983" t="str">
        <f t="shared" si="1380"/>
        <v>A9808D</v>
      </c>
      <c r="V2983">
        <v>0</v>
      </c>
      <c r="W2983">
        <v>0</v>
      </c>
      <c r="X2983">
        <v>1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0</v>
      </c>
      <c r="AI2983" t="s">
        <v>727</v>
      </c>
      <c r="AJ2983">
        <v>28.247243999999998</v>
      </c>
      <c r="AK2983" t="s">
        <v>728</v>
      </c>
      <c r="AL2983">
        <v>-82.293583999999996</v>
      </c>
      <c r="AM2983">
        <v>100</v>
      </c>
      <c r="AN2983">
        <v>2500</v>
      </c>
      <c r="AO2983" t="s">
        <v>118</v>
      </c>
      <c r="AP2983">
        <v>116</v>
      </c>
      <c r="AQ2983">
        <v>-8</v>
      </c>
      <c r="AR2983">
        <v>-960</v>
      </c>
      <c r="AZ2983">
        <v>1200</v>
      </c>
      <c r="BA2983">
        <v>1</v>
      </c>
      <c r="BB2983" t="str">
        <f t="shared" si="1390"/>
        <v xml:space="preserve">N711JA  </v>
      </c>
      <c r="BC2983">
        <v>1</v>
      </c>
      <c r="BE2983">
        <v>0</v>
      </c>
      <c r="BF2983">
        <v>0</v>
      </c>
      <c r="BG2983">
        <v>0</v>
      </c>
      <c r="BH2983">
        <v>2550</v>
      </c>
      <c r="BI2983">
        <v>1</v>
      </c>
      <c r="BJ2983">
        <v>1</v>
      </c>
      <c r="BK2983">
        <v>0</v>
      </c>
      <c r="BL2983">
        <v>0</v>
      </c>
      <c r="BO2983">
        <v>0</v>
      </c>
      <c r="BP2983">
        <v>0</v>
      </c>
      <c r="BW2983" t="str">
        <f t="shared" si="1396"/>
        <v>14:46:32.955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119</v>
      </c>
      <c r="CQ2983">
        <v>8</v>
      </c>
      <c r="CR2983">
        <v>3</v>
      </c>
      <c r="CW2983">
        <v>8980227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1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 t="shared" si="1394"/>
        <v>05/12/2020 14:46:15.127</v>
      </c>
      <c r="C2984" t="str">
        <f t="shared" si="1389"/>
        <v>FFDFD3C0</v>
      </c>
      <c r="D2984" t="s">
        <v>138</v>
      </c>
      <c r="E2984">
        <v>3</v>
      </c>
      <c r="H2984">
        <v>9</v>
      </c>
      <c r="I2984" t="s">
        <v>140</v>
      </c>
      <c r="J2984" t="s">
        <v>136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395"/>
        <v>14:46:32.953</v>
      </c>
      <c r="T2984" t="str">
        <f t="shared" si="1397"/>
        <v>14:46:32.853</v>
      </c>
      <c r="U2984" t="str">
        <f t="shared" si="1380"/>
        <v>A9808D</v>
      </c>
      <c r="V2984">
        <v>0</v>
      </c>
      <c r="W2984">
        <v>0</v>
      </c>
      <c r="X2984">
        <v>1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0</v>
      </c>
      <c r="AI2984" t="s">
        <v>727</v>
      </c>
      <c r="AJ2984">
        <v>28.247243999999998</v>
      </c>
      <c r="AK2984" t="s">
        <v>728</v>
      </c>
      <c r="AL2984">
        <v>-82.293583999999996</v>
      </c>
      <c r="AM2984">
        <v>100</v>
      </c>
      <c r="AN2984">
        <v>2500</v>
      </c>
      <c r="AO2984" t="s">
        <v>118</v>
      </c>
      <c r="AP2984">
        <v>116</v>
      </c>
      <c r="AQ2984">
        <v>-8</v>
      </c>
      <c r="AR2984">
        <v>-960</v>
      </c>
      <c r="AZ2984">
        <v>1200</v>
      </c>
      <c r="BA2984">
        <v>1</v>
      </c>
      <c r="BB2984" t="str">
        <f t="shared" si="1390"/>
        <v xml:space="preserve">N711JA  </v>
      </c>
      <c r="BC2984">
        <v>1</v>
      </c>
      <c r="BE2984">
        <v>0</v>
      </c>
      <c r="BF2984">
        <v>0</v>
      </c>
      <c r="BG2984">
        <v>0</v>
      </c>
      <c r="BH2984">
        <v>2550</v>
      </c>
      <c r="BI2984">
        <v>1</v>
      </c>
      <c r="BJ2984">
        <v>1</v>
      </c>
      <c r="BK2984">
        <v>0</v>
      </c>
      <c r="BL2984">
        <v>0</v>
      </c>
      <c r="BO2984">
        <v>0</v>
      </c>
      <c r="BP2984">
        <v>0</v>
      </c>
      <c r="BW2984" t="str">
        <f t="shared" si="1396"/>
        <v>14:46:32.955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119</v>
      </c>
      <c r="CQ2984">
        <v>8</v>
      </c>
      <c r="CR2984">
        <v>3</v>
      </c>
      <c r="CW2984">
        <v>8980227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1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 t="shared" si="1394"/>
        <v>05/12/2020 14:46:15.127</v>
      </c>
      <c r="C2985" t="str">
        <f t="shared" si="1389"/>
        <v>FFDFD3C0</v>
      </c>
      <c r="D2985" t="s">
        <v>126</v>
      </c>
      <c r="E2985">
        <v>7</v>
      </c>
      <c r="F2985">
        <v>1007</v>
      </c>
      <c r="G2985" t="s">
        <v>127</v>
      </c>
      <c r="J2985" t="s">
        <v>128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395"/>
        <v>14:46:32.953</v>
      </c>
      <c r="T2985" t="str">
        <f t="shared" si="1397"/>
        <v>14:46:32.853</v>
      </c>
      <c r="U2985" t="str">
        <f t="shared" si="1380"/>
        <v>A9808D</v>
      </c>
      <c r="V2985">
        <v>0</v>
      </c>
      <c r="W2985">
        <v>0</v>
      </c>
      <c r="X2985">
        <v>1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0</v>
      </c>
      <c r="AI2985" t="s">
        <v>727</v>
      </c>
      <c r="AJ2985">
        <v>28.247243999999998</v>
      </c>
      <c r="AK2985" t="s">
        <v>728</v>
      </c>
      <c r="AL2985">
        <v>-82.293583999999996</v>
      </c>
      <c r="AM2985">
        <v>100</v>
      </c>
      <c r="AN2985">
        <v>2500</v>
      </c>
      <c r="AO2985" t="s">
        <v>118</v>
      </c>
      <c r="AP2985">
        <v>116</v>
      </c>
      <c r="AQ2985">
        <v>-8</v>
      </c>
      <c r="AR2985">
        <v>-960</v>
      </c>
      <c r="AZ2985">
        <v>1200</v>
      </c>
      <c r="BA2985">
        <v>1</v>
      </c>
      <c r="BB2985" t="str">
        <f t="shared" si="1390"/>
        <v xml:space="preserve">N711JA  </v>
      </c>
      <c r="BC2985">
        <v>1</v>
      </c>
      <c r="BE2985">
        <v>0</v>
      </c>
      <c r="BF2985">
        <v>0</v>
      </c>
      <c r="BG2985">
        <v>0</v>
      </c>
      <c r="BH2985">
        <v>2550</v>
      </c>
      <c r="BI2985">
        <v>1</v>
      </c>
      <c r="BJ2985">
        <v>1</v>
      </c>
      <c r="BK2985">
        <v>0</v>
      </c>
      <c r="BL2985">
        <v>0</v>
      </c>
      <c r="BO2985">
        <v>0</v>
      </c>
      <c r="BP2985">
        <v>0</v>
      </c>
      <c r="BW2985" t="str">
        <f t="shared" si="1396"/>
        <v>14:46:32.955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119</v>
      </c>
      <c r="CQ2985">
        <v>8</v>
      </c>
      <c r="CR2985">
        <v>3</v>
      </c>
      <c r="CW2985">
        <v>8980227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1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 t="shared" si="1394"/>
        <v>05/12/2020 14:46:15.127</v>
      </c>
      <c r="C2986" t="str">
        <f t="shared" si="1389"/>
        <v>FFDFD3C0</v>
      </c>
      <c r="D2986" t="s">
        <v>131</v>
      </c>
      <c r="E2986">
        <v>10</v>
      </c>
      <c r="F2986">
        <v>2010</v>
      </c>
      <c r="G2986" t="s">
        <v>132</v>
      </c>
      <c r="J2986" t="s">
        <v>133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395"/>
        <v>14:46:32.953</v>
      </c>
      <c r="T2986" t="str">
        <f t="shared" si="1397"/>
        <v>14:46:32.853</v>
      </c>
      <c r="U2986" t="str">
        <f t="shared" si="1380"/>
        <v>A9808D</v>
      </c>
      <c r="V2986">
        <v>0</v>
      </c>
      <c r="W2986">
        <v>0</v>
      </c>
      <c r="X2986">
        <v>1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0</v>
      </c>
      <c r="AI2986" t="s">
        <v>727</v>
      </c>
      <c r="AJ2986">
        <v>28.247243999999998</v>
      </c>
      <c r="AK2986" t="s">
        <v>728</v>
      </c>
      <c r="AL2986">
        <v>-82.293583999999996</v>
      </c>
      <c r="AM2986">
        <v>100</v>
      </c>
      <c r="AN2986">
        <v>2500</v>
      </c>
      <c r="AO2986" t="s">
        <v>118</v>
      </c>
      <c r="AP2986">
        <v>116</v>
      </c>
      <c r="AQ2986">
        <v>-8</v>
      </c>
      <c r="AR2986">
        <v>-960</v>
      </c>
      <c r="AZ2986">
        <v>1200</v>
      </c>
      <c r="BA2986">
        <v>1</v>
      </c>
      <c r="BB2986" t="str">
        <f t="shared" si="1390"/>
        <v xml:space="preserve">N711JA  </v>
      </c>
      <c r="BC2986">
        <v>1</v>
      </c>
      <c r="BE2986">
        <v>0</v>
      </c>
      <c r="BF2986">
        <v>0</v>
      </c>
      <c r="BG2986">
        <v>0</v>
      </c>
      <c r="BH2986">
        <v>2550</v>
      </c>
      <c r="BI2986">
        <v>1</v>
      </c>
      <c r="BJ2986">
        <v>1</v>
      </c>
      <c r="BK2986">
        <v>0</v>
      </c>
      <c r="BL2986">
        <v>0</v>
      </c>
      <c r="BO2986">
        <v>0</v>
      </c>
      <c r="BP2986">
        <v>0</v>
      </c>
      <c r="BW2986" t="str">
        <f t="shared" si="1396"/>
        <v>14:46:32.955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8</v>
      </c>
      <c r="CR2986">
        <v>3</v>
      </c>
      <c r="CW2986">
        <v>8980227</v>
      </c>
      <c r="CY2986">
        <v>1</v>
      </c>
      <c r="CZ2986">
        <v>0</v>
      </c>
      <c r="DA2986">
        <v>1</v>
      </c>
      <c r="DB2986">
        <v>0</v>
      </c>
      <c r="DC2986">
        <v>0</v>
      </c>
      <c r="DD2986">
        <v>1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 t="shared" ref="A2987:A2995" si="1398">"05/12/2020 14:46:15.974"</f>
        <v>05/12/2020 14:46:15.974</v>
      </c>
      <c r="C2987" t="str">
        <f t="shared" si="1389"/>
        <v>FFDFD3C0</v>
      </c>
      <c r="D2987" t="s">
        <v>138</v>
      </c>
      <c r="E2987">
        <v>3</v>
      </c>
      <c r="H2987">
        <v>9</v>
      </c>
      <c r="I2987" t="s">
        <v>140</v>
      </c>
      <c r="J2987" t="s">
        <v>136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ref="S2987:T2995" si="1399">"14:46:33.820"</f>
        <v>14:46:33.820</v>
      </c>
      <c r="T2987" t="str">
        <f t="shared" si="1399"/>
        <v>14:46:33.820</v>
      </c>
      <c r="U2987" t="str">
        <f t="shared" si="1380"/>
        <v>A9808D</v>
      </c>
      <c r="V2987">
        <v>0</v>
      </c>
      <c r="W2987">
        <v>0</v>
      </c>
      <c r="X2987">
        <v>1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0</v>
      </c>
      <c r="AI2987" t="s">
        <v>729</v>
      </c>
      <c r="AJ2987">
        <v>28.247223000000002</v>
      </c>
      <c r="AK2987" t="s">
        <v>730</v>
      </c>
      <c r="AL2987">
        <v>-82.293047999999999</v>
      </c>
      <c r="AM2987">
        <v>100</v>
      </c>
      <c r="AN2987">
        <v>2500</v>
      </c>
      <c r="AO2987" t="s">
        <v>118</v>
      </c>
      <c r="AP2987">
        <v>117</v>
      </c>
      <c r="AQ2987">
        <v>-8</v>
      </c>
      <c r="AR2987">
        <v>-960</v>
      </c>
      <c r="AZ2987">
        <v>1200</v>
      </c>
      <c r="BA2987">
        <v>1</v>
      </c>
      <c r="BB2987" t="str">
        <f t="shared" si="1390"/>
        <v xml:space="preserve">N711JA  </v>
      </c>
      <c r="BC2987">
        <v>1</v>
      </c>
      <c r="BE2987">
        <v>0</v>
      </c>
      <c r="BF2987">
        <v>0</v>
      </c>
      <c r="BG2987">
        <v>0</v>
      </c>
      <c r="BH2987">
        <v>2525</v>
      </c>
      <c r="BI2987">
        <v>1</v>
      </c>
      <c r="BJ2987">
        <v>1</v>
      </c>
      <c r="BK2987">
        <v>0</v>
      </c>
      <c r="BL2987">
        <v>0</v>
      </c>
      <c r="BO2987">
        <v>0</v>
      </c>
      <c r="BP2987">
        <v>0</v>
      </c>
      <c r="BW2987" t="str">
        <f t="shared" ref="BW2987:BW2995" si="1400">"14:46:33.821"</f>
        <v>14:46:33.821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7</v>
      </c>
      <c r="CP2987" t="s">
        <v>119</v>
      </c>
      <c r="CQ2987">
        <v>8</v>
      </c>
      <c r="CR2987">
        <v>3</v>
      </c>
      <c r="CW2987">
        <v>8981111</v>
      </c>
      <c r="CY2987">
        <v>1</v>
      </c>
      <c r="CZ2987">
        <v>0</v>
      </c>
      <c r="DA2987">
        <v>0</v>
      </c>
      <c r="DB2987">
        <v>0</v>
      </c>
      <c r="DC2987">
        <v>0</v>
      </c>
      <c r="DD2987">
        <v>1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 t="shared" si="1398"/>
        <v>05/12/2020 14:46:15.974</v>
      </c>
      <c r="C2988" t="str">
        <f t="shared" si="1389"/>
        <v>FFDFD3C0</v>
      </c>
      <c r="D2988" t="s">
        <v>126</v>
      </c>
      <c r="E2988">
        <v>7</v>
      </c>
      <c r="F2988">
        <v>1007</v>
      </c>
      <c r="G2988" t="s">
        <v>127</v>
      </c>
      <c r="J2988" t="s">
        <v>128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399"/>
        <v>14:46:33.820</v>
      </c>
      <c r="T2988" t="str">
        <f t="shared" si="1399"/>
        <v>14:46:33.820</v>
      </c>
      <c r="U2988" t="str">
        <f t="shared" si="1380"/>
        <v>A9808D</v>
      </c>
      <c r="V2988">
        <v>0</v>
      </c>
      <c r="W2988">
        <v>0</v>
      </c>
      <c r="X2988">
        <v>1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0</v>
      </c>
      <c r="AI2988" t="s">
        <v>729</v>
      </c>
      <c r="AJ2988">
        <v>28.247223000000002</v>
      </c>
      <c r="AK2988" t="s">
        <v>730</v>
      </c>
      <c r="AL2988">
        <v>-82.293047999999999</v>
      </c>
      <c r="AM2988">
        <v>100</v>
      </c>
      <c r="AN2988">
        <v>2500</v>
      </c>
      <c r="AO2988" t="s">
        <v>118</v>
      </c>
      <c r="AP2988">
        <v>117</v>
      </c>
      <c r="AQ2988">
        <v>-8</v>
      </c>
      <c r="AR2988">
        <v>-960</v>
      </c>
      <c r="AZ2988">
        <v>1200</v>
      </c>
      <c r="BA2988">
        <v>1</v>
      </c>
      <c r="BB2988" t="str">
        <f t="shared" si="1390"/>
        <v xml:space="preserve">N711JA  </v>
      </c>
      <c r="BC2988">
        <v>1</v>
      </c>
      <c r="BE2988">
        <v>0</v>
      </c>
      <c r="BF2988">
        <v>0</v>
      </c>
      <c r="BG2988">
        <v>0</v>
      </c>
      <c r="BH2988">
        <v>2525</v>
      </c>
      <c r="BI2988">
        <v>1</v>
      </c>
      <c r="BJ2988">
        <v>1</v>
      </c>
      <c r="BK2988">
        <v>0</v>
      </c>
      <c r="BL2988">
        <v>0</v>
      </c>
      <c r="BO2988">
        <v>0</v>
      </c>
      <c r="BP2988">
        <v>0</v>
      </c>
      <c r="BW2988" t="str">
        <f t="shared" si="1400"/>
        <v>14:46:33.821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7</v>
      </c>
      <c r="CP2988" t="s">
        <v>119</v>
      </c>
      <c r="CQ2988">
        <v>8</v>
      </c>
      <c r="CR2988">
        <v>3</v>
      </c>
      <c r="CW2988">
        <v>8981111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1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 t="shared" si="1398"/>
        <v>05/12/2020 14:46:15.974</v>
      </c>
      <c r="C2989" t="str">
        <f t="shared" si="1389"/>
        <v>FFDFD3C0</v>
      </c>
      <c r="D2989" t="s">
        <v>131</v>
      </c>
      <c r="E2989">
        <v>10</v>
      </c>
      <c r="F2989">
        <v>2010</v>
      </c>
      <c r="G2989" t="s">
        <v>132</v>
      </c>
      <c r="J2989" t="s">
        <v>133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399"/>
        <v>14:46:33.820</v>
      </c>
      <c r="T2989" t="str">
        <f t="shared" si="1399"/>
        <v>14:46:33.820</v>
      </c>
      <c r="U2989" t="str">
        <f t="shared" si="1380"/>
        <v>A9808D</v>
      </c>
      <c r="V2989">
        <v>0</v>
      </c>
      <c r="W2989">
        <v>0</v>
      </c>
      <c r="X2989">
        <v>1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0</v>
      </c>
      <c r="AI2989" t="s">
        <v>729</v>
      </c>
      <c r="AJ2989">
        <v>28.247223000000002</v>
      </c>
      <c r="AK2989" t="s">
        <v>730</v>
      </c>
      <c r="AL2989">
        <v>-82.293047999999999</v>
      </c>
      <c r="AM2989">
        <v>100</v>
      </c>
      <c r="AN2989">
        <v>2500</v>
      </c>
      <c r="AO2989" t="s">
        <v>118</v>
      </c>
      <c r="AP2989">
        <v>117</v>
      </c>
      <c r="AQ2989">
        <v>-8</v>
      </c>
      <c r="AR2989">
        <v>-960</v>
      </c>
      <c r="AZ2989">
        <v>1200</v>
      </c>
      <c r="BA2989">
        <v>1</v>
      </c>
      <c r="BB2989" t="str">
        <f t="shared" si="1390"/>
        <v xml:space="preserve">N711JA  </v>
      </c>
      <c r="BC2989">
        <v>1</v>
      </c>
      <c r="BE2989">
        <v>0</v>
      </c>
      <c r="BF2989">
        <v>0</v>
      </c>
      <c r="BG2989">
        <v>0</v>
      </c>
      <c r="BH2989">
        <v>2525</v>
      </c>
      <c r="BI2989">
        <v>1</v>
      </c>
      <c r="BJ2989">
        <v>1</v>
      </c>
      <c r="BK2989">
        <v>0</v>
      </c>
      <c r="BL2989">
        <v>0</v>
      </c>
      <c r="BO2989">
        <v>0</v>
      </c>
      <c r="BP2989">
        <v>0</v>
      </c>
      <c r="BW2989" t="str">
        <f t="shared" si="1400"/>
        <v>14:46:33.821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7</v>
      </c>
      <c r="CP2989" t="s">
        <v>119</v>
      </c>
      <c r="CQ2989">
        <v>8</v>
      </c>
      <c r="CR2989">
        <v>3</v>
      </c>
      <c r="CW2989">
        <v>8981111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1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 t="shared" si="1398"/>
        <v>05/12/2020 14:46:15.974</v>
      </c>
      <c r="C2990" t="str">
        <f t="shared" si="1389"/>
        <v>FFDFD3C0</v>
      </c>
      <c r="D2990" t="s">
        <v>131</v>
      </c>
      <c r="E2990">
        <v>12</v>
      </c>
      <c r="F2990">
        <v>2012</v>
      </c>
      <c r="G2990" t="s">
        <v>137</v>
      </c>
      <c r="J2990" t="s">
        <v>133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399"/>
        <v>14:46:33.820</v>
      </c>
      <c r="T2990" t="str">
        <f t="shared" si="1399"/>
        <v>14:46:33.820</v>
      </c>
      <c r="U2990" t="str">
        <f t="shared" si="1380"/>
        <v>A9808D</v>
      </c>
      <c r="V2990">
        <v>0</v>
      </c>
      <c r="W2990">
        <v>0</v>
      </c>
      <c r="X2990">
        <v>1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0</v>
      </c>
      <c r="AI2990" t="s">
        <v>729</v>
      </c>
      <c r="AJ2990">
        <v>28.247223000000002</v>
      </c>
      <c r="AK2990" t="s">
        <v>730</v>
      </c>
      <c r="AL2990">
        <v>-82.293047999999999</v>
      </c>
      <c r="AM2990">
        <v>100</v>
      </c>
      <c r="AN2990">
        <v>2500</v>
      </c>
      <c r="AO2990" t="s">
        <v>118</v>
      </c>
      <c r="AP2990">
        <v>117</v>
      </c>
      <c r="AQ2990">
        <v>-8</v>
      </c>
      <c r="AR2990">
        <v>-960</v>
      </c>
      <c r="AZ2990">
        <v>1200</v>
      </c>
      <c r="BA2990">
        <v>1</v>
      </c>
      <c r="BB2990" t="str">
        <f t="shared" si="1390"/>
        <v xml:space="preserve">N711JA  </v>
      </c>
      <c r="BC2990">
        <v>1</v>
      </c>
      <c r="BE2990">
        <v>0</v>
      </c>
      <c r="BF2990">
        <v>0</v>
      </c>
      <c r="BG2990">
        <v>0</v>
      </c>
      <c r="BH2990">
        <v>2525</v>
      </c>
      <c r="BI2990">
        <v>1</v>
      </c>
      <c r="BJ2990">
        <v>1</v>
      </c>
      <c r="BK2990">
        <v>0</v>
      </c>
      <c r="BL2990">
        <v>0</v>
      </c>
      <c r="BO2990">
        <v>0</v>
      </c>
      <c r="BP2990">
        <v>0</v>
      </c>
      <c r="BW2990" t="str">
        <f t="shared" si="1400"/>
        <v>14:46:33.821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7</v>
      </c>
      <c r="CP2990" t="s">
        <v>119</v>
      </c>
      <c r="CQ2990">
        <v>8</v>
      </c>
      <c r="CR2990">
        <v>3</v>
      </c>
      <c r="CW2990">
        <v>8981111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1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 t="shared" si="1398"/>
        <v>05/12/2020 14:46:15.974</v>
      </c>
      <c r="C2991" t="str">
        <f t="shared" si="1389"/>
        <v>FFDFD3C0</v>
      </c>
      <c r="D2991" t="s">
        <v>131</v>
      </c>
      <c r="E2991">
        <v>18</v>
      </c>
      <c r="F2991">
        <v>2018</v>
      </c>
      <c r="G2991" t="s">
        <v>161</v>
      </c>
      <c r="J2991" t="s">
        <v>133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399"/>
        <v>14:46:33.820</v>
      </c>
      <c r="T2991" t="str">
        <f t="shared" si="1399"/>
        <v>14:46:33.820</v>
      </c>
      <c r="U2991" t="str">
        <f t="shared" si="1380"/>
        <v>A9808D</v>
      </c>
      <c r="V2991">
        <v>0</v>
      </c>
      <c r="W2991">
        <v>0</v>
      </c>
      <c r="X2991">
        <v>1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0</v>
      </c>
      <c r="AI2991" t="s">
        <v>729</v>
      </c>
      <c r="AJ2991">
        <v>28.247223000000002</v>
      </c>
      <c r="AK2991" t="s">
        <v>730</v>
      </c>
      <c r="AL2991">
        <v>-82.293047999999999</v>
      </c>
      <c r="AM2991">
        <v>100</v>
      </c>
      <c r="AN2991">
        <v>2500</v>
      </c>
      <c r="AO2991" t="s">
        <v>118</v>
      </c>
      <c r="AP2991">
        <v>117</v>
      </c>
      <c r="AQ2991">
        <v>-8</v>
      </c>
      <c r="AR2991">
        <v>-960</v>
      </c>
      <c r="AZ2991">
        <v>1200</v>
      </c>
      <c r="BA2991">
        <v>1</v>
      </c>
      <c r="BB2991" t="str">
        <f t="shared" si="1390"/>
        <v xml:space="preserve">N711JA  </v>
      </c>
      <c r="BC2991">
        <v>1</v>
      </c>
      <c r="BE2991">
        <v>0</v>
      </c>
      <c r="BF2991">
        <v>0</v>
      </c>
      <c r="BG2991">
        <v>0</v>
      </c>
      <c r="BH2991">
        <v>2525</v>
      </c>
      <c r="BI2991">
        <v>1</v>
      </c>
      <c r="BJ2991">
        <v>1</v>
      </c>
      <c r="BK2991">
        <v>0</v>
      </c>
      <c r="BL2991">
        <v>0</v>
      </c>
      <c r="BO2991">
        <v>0</v>
      </c>
      <c r="BP2991">
        <v>0</v>
      </c>
      <c r="BW2991" t="str">
        <f t="shared" si="1400"/>
        <v>14:46:33.821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5</v>
      </c>
      <c r="CP2991" t="s">
        <v>119</v>
      </c>
      <c r="CQ2991">
        <v>62</v>
      </c>
      <c r="CR2991">
        <v>1</v>
      </c>
      <c r="CW2991">
        <v>12863411</v>
      </c>
      <c r="CY2991">
        <v>1</v>
      </c>
      <c r="CZ2991">
        <v>0</v>
      </c>
      <c r="DA2991">
        <v>1</v>
      </c>
      <c r="DB2991">
        <v>0</v>
      </c>
      <c r="DC2991">
        <v>0</v>
      </c>
      <c r="DD2991">
        <v>1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 t="shared" si="1398"/>
        <v>05/12/2020 14:46:15.974</v>
      </c>
      <c r="C2992" t="str">
        <f t="shared" si="1389"/>
        <v>FFDFD3C0</v>
      </c>
      <c r="D2992" t="s">
        <v>113</v>
      </c>
      <c r="E2992">
        <v>3</v>
      </c>
      <c r="H2992">
        <v>164</v>
      </c>
      <c r="I2992" t="s">
        <v>114</v>
      </c>
      <c r="J2992" t="s">
        <v>115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399"/>
        <v>14:46:33.820</v>
      </c>
      <c r="T2992" t="str">
        <f t="shared" si="1399"/>
        <v>14:46:33.820</v>
      </c>
      <c r="U2992" t="str">
        <f t="shared" si="1380"/>
        <v>A9808D</v>
      </c>
      <c r="V2992">
        <v>0</v>
      </c>
      <c r="W2992">
        <v>0</v>
      </c>
      <c r="X2992">
        <v>1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0</v>
      </c>
      <c r="AI2992" t="s">
        <v>729</v>
      </c>
      <c r="AJ2992">
        <v>28.247223000000002</v>
      </c>
      <c r="AK2992" t="s">
        <v>730</v>
      </c>
      <c r="AL2992">
        <v>-82.293047999999999</v>
      </c>
      <c r="AM2992">
        <v>100</v>
      </c>
      <c r="AN2992">
        <v>2500</v>
      </c>
      <c r="AO2992" t="s">
        <v>118</v>
      </c>
      <c r="AP2992">
        <v>117</v>
      </c>
      <c r="AQ2992">
        <v>-8</v>
      </c>
      <c r="AR2992">
        <v>-960</v>
      </c>
      <c r="AZ2992">
        <v>1200</v>
      </c>
      <c r="BA2992">
        <v>1</v>
      </c>
      <c r="BB2992" t="str">
        <f t="shared" si="1390"/>
        <v xml:space="preserve">N711JA  </v>
      </c>
      <c r="BC2992">
        <v>1</v>
      </c>
      <c r="BE2992">
        <v>0</v>
      </c>
      <c r="BF2992">
        <v>0</v>
      </c>
      <c r="BG2992">
        <v>0</v>
      </c>
      <c r="BH2992">
        <v>2525</v>
      </c>
      <c r="BI2992">
        <v>1</v>
      </c>
      <c r="BJ2992">
        <v>1</v>
      </c>
      <c r="BK2992">
        <v>0</v>
      </c>
      <c r="BL2992">
        <v>0</v>
      </c>
      <c r="BO2992">
        <v>0</v>
      </c>
      <c r="BP2992">
        <v>0</v>
      </c>
      <c r="BW2992" t="str">
        <f t="shared" si="1400"/>
        <v>14:46:33.821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7</v>
      </c>
      <c r="CP2992" t="s">
        <v>119</v>
      </c>
      <c r="CQ2992">
        <v>8</v>
      </c>
      <c r="CR2992">
        <v>3</v>
      </c>
      <c r="CW2992">
        <v>8981111</v>
      </c>
      <c r="CY2992">
        <v>1</v>
      </c>
      <c r="CZ2992">
        <v>0</v>
      </c>
      <c r="DA2992">
        <v>1</v>
      </c>
      <c r="DB2992">
        <v>0</v>
      </c>
      <c r="DC2992">
        <v>0</v>
      </c>
      <c r="DD2992">
        <v>1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 t="shared" si="1398"/>
        <v>05/12/2020 14:46:15.974</v>
      </c>
      <c r="C2993" t="str">
        <f t="shared" si="1389"/>
        <v>FFDFD3C0</v>
      </c>
      <c r="D2993" t="s">
        <v>126</v>
      </c>
      <c r="E2993">
        <v>6</v>
      </c>
      <c r="F2993">
        <v>1006</v>
      </c>
      <c r="G2993" t="s">
        <v>114</v>
      </c>
      <c r="J2993" t="s">
        <v>128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399"/>
        <v>14:46:33.820</v>
      </c>
      <c r="T2993" t="str">
        <f t="shared" si="1399"/>
        <v>14:46:33.820</v>
      </c>
      <c r="U2993" t="str">
        <f t="shared" si="1380"/>
        <v>A9808D</v>
      </c>
      <c r="V2993">
        <v>0</v>
      </c>
      <c r="W2993">
        <v>0</v>
      </c>
      <c r="X2993">
        <v>1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0</v>
      </c>
      <c r="AI2993" t="s">
        <v>729</v>
      </c>
      <c r="AJ2993">
        <v>28.247223000000002</v>
      </c>
      <c r="AK2993" t="s">
        <v>730</v>
      </c>
      <c r="AL2993">
        <v>-82.293047999999999</v>
      </c>
      <c r="AM2993">
        <v>100</v>
      </c>
      <c r="AN2993">
        <v>2500</v>
      </c>
      <c r="AO2993" t="s">
        <v>118</v>
      </c>
      <c r="AP2993">
        <v>117</v>
      </c>
      <c r="AQ2993">
        <v>-8</v>
      </c>
      <c r="AR2993">
        <v>-960</v>
      </c>
      <c r="AZ2993">
        <v>1200</v>
      </c>
      <c r="BA2993">
        <v>1</v>
      </c>
      <c r="BB2993" t="str">
        <f t="shared" si="1390"/>
        <v xml:space="preserve">N711JA  </v>
      </c>
      <c r="BC2993">
        <v>1</v>
      </c>
      <c r="BE2993">
        <v>0</v>
      </c>
      <c r="BF2993">
        <v>0</v>
      </c>
      <c r="BG2993">
        <v>0</v>
      </c>
      <c r="BH2993">
        <v>2525</v>
      </c>
      <c r="BI2993">
        <v>1</v>
      </c>
      <c r="BJ2993">
        <v>1</v>
      </c>
      <c r="BK2993">
        <v>0</v>
      </c>
      <c r="BL2993">
        <v>0</v>
      </c>
      <c r="BO2993">
        <v>0</v>
      </c>
      <c r="BP2993">
        <v>0</v>
      </c>
      <c r="BW2993" t="str">
        <f t="shared" si="1400"/>
        <v>14:46:33.821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7</v>
      </c>
      <c r="CP2993" t="s">
        <v>119</v>
      </c>
      <c r="CQ2993">
        <v>8</v>
      </c>
      <c r="CR2993">
        <v>3</v>
      </c>
      <c r="CW2993">
        <v>8981111</v>
      </c>
      <c r="CY2993">
        <v>1</v>
      </c>
      <c r="CZ2993">
        <v>0</v>
      </c>
      <c r="DA2993">
        <v>1</v>
      </c>
      <c r="DB2993">
        <v>0</v>
      </c>
      <c r="DC2993">
        <v>0</v>
      </c>
      <c r="DD2993">
        <v>1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 t="shared" si="1398"/>
        <v>05/12/2020 14:46:15.974</v>
      </c>
      <c r="C2994" t="str">
        <f t="shared" si="1389"/>
        <v>FFDFD3C0</v>
      </c>
      <c r="D2994" t="s">
        <v>138</v>
      </c>
      <c r="E2994">
        <v>2</v>
      </c>
      <c r="H2994">
        <v>8</v>
      </c>
      <c r="I2994" t="s">
        <v>139</v>
      </c>
      <c r="J2994" t="s">
        <v>136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399"/>
        <v>14:46:33.820</v>
      </c>
      <c r="T2994" t="str">
        <f t="shared" si="1399"/>
        <v>14:46:33.820</v>
      </c>
      <c r="U2994" t="str">
        <f t="shared" si="1380"/>
        <v>A9808D</v>
      </c>
      <c r="V2994">
        <v>0</v>
      </c>
      <c r="W2994">
        <v>0</v>
      </c>
      <c r="X2994">
        <v>1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0</v>
      </c>
      <c r="AI2994" t="s">
        <v>729</v>
      </c>
      <c r="AJ2994">
        <v>28.247223000000002</v>
      </c>
      <c r="AK2994" t="s">
        <v>730</v>
      </c>
      <c r="AL2994">
        <v>-82.293047999999999</v>
      </c>
      <c r="AM2994">
        <v>100</v>
      </c>
      <c r="AN2994">
        <v>2500</v>
      </c>
      <c r="AO2994" t="s">
        <v>118</v>
      </c>
      <c r="AP2994">
        <v>117</v>
      </c>
      <c r="AQ2994">
        <v>-8</v>
      </c>
      <c r="AR2994">
        <v>-960</v>
      </c>
      <c r="AZ2994">
        <v>1200</v>
      </c>
      <c r="BA2994">
        <v>1</v>
      </c>
      <c r="BB2994" t="str">
        <f t="shared" si="1390"/>
        <v xml:space="preserve">N711JA  </v>
      </c>
      <c r="BC2994">
        <v>1</v>
      </c>
      <c r="BE2994">
        <v>0</v>
      </c>
      <c r="BF2994">
        <v>0</v>
      </c>
      <c r="BG2994">
        <v>0</v>
      </c>
      <c r="BH2994">
        <v>2525</v>
      </c>
      <c r="BI2994">
        <v>1</v>
      </c>
      <c r="BJ2994">
        <v>1</v>
      </c>
      <c r="BK2994">
        <v>0</v>
      </c>
      <c r="BL2994">
        <v>0</v>
      </c>
      <c r="BO2994">
        <v>0</v>
      </c>
      <c r="BP2994">
        <v>0</v>
      </c>
      <c r="BW2994" t="str">
        <f t="shared" si="1400"/>
        <v>14:46:33.821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7</v>
      </c>
      <c r="CP2994" t="s">
        <v>119</v>
      </c>
      <c r="CQ2994">
        <v>8</v>
      </c>
      <c r="CR2994">
        <v>3</v>
      </c>
      <c r="CW2994">
        <v>8981111</v>
      </c>
      <c r="CY2994">
        <v>1</v>
      </c>
      <c r="CZ2994">
        <v>0</v>
      </c>
      <c r="DA2994">
        <v>1</v>
      </c>
      <c r="DB2994">
        <v>0</v>
      </c>
      <c r="DC2994">
        <v>0</v>
      </c>
      <c r="DD2994">
        <v>1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 t="shared" si="1398"/>
        <v>05/12/2020 14:46:15.974</v>
      </c>
      <c r="C2995" t="str">
        <f t="shared" si="1389"/>
        <v>FFDFD3C0</v>
      </c>
      <c r="D2995" t="s">
        <v>134</v>
      </c>
      <c r="E2995">
        <v>12</v>
      </c>
      <c r="H2995">
        <v>64</v>
      </c>
      <c r="I2995" t="s">
        <v>135</v>
      </c>
      <c r="J2995" t="s">
        <v>136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399"/>
        <v>14:46:33.820</v>
      </c>
      <c r="T2995" t="str">
        <f t="shared" si="1399"/>
        <v>14:46:33.820</v>
      </c>
      <c r="U2995" t="str">
        <f t="shared" si="1380"/>
        <v>A9808D</v>
      </c>
      <c r="V2995">
        <v>0</v>
      </c>
      <c r="W2995">
        <v>0</v>
      </c>
      <c r="X2995">
        <v>1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0</v>
      </c>
      <c r="AI2995" t="s">
        <v>729</v>
      </c>
      <c r="AJ2995">
        <v>28.247223000000002</v>
      </c>
      <c r="AK2995" t="s">
        <v>730</v>
      </c>
      <c r="AL2995">
        <v>-82.293047999999999</v>
      </c>
      <c r="AM2995">
        <v>100</v>
      </c>
      <c r="AN2995">
        <v>2500</v>
      </c>
      <c r="AO2995" t="s">
        <v>118</v>
      </c>
      <c r="AP2995">
        <v>117</v>
      </c>
      <c r="AQ2995">
        <v>-8</v>
      </c>
      <c r="AR2995">
        <v>-960</v>
      </c>
      <c r="AZ2995">
        <v>1200</v>
      </c>
      <c r="BA2995">
        <v>1</v>
      </c>
      <c r="BB2995" t="str">
        <f t="shared" si="1390"/>
        <v xml:space="preserve">N711JA  </v>
      </c>
      <c r="BC2995">
        <v>1</v>
      </c>
      <c r="BE2995">
        <v>0</v>
      </c>
      <c r="BF2995">
        <v>0</v>
      </c>
      <c r="BG2995">
        <v>0</v>
      </c>
      <c r="BH2995">
        <v>2525</v>
      </c>
      <c r="BI2995">
        <v>1</v>
      </c>
      <c r="BJ2995">
        <v>1</v>
      </c>
      <c r="BK2995">
        <v>0</v>
      </c>
      <c r="BL2995">
        <v>0</v>
      </c>
      <c r="BO2995">
        <v>0</v>
      </c>
      <c r="BP2995">
        <v>0</v>
      </c>
      <c r="BW2995" t="str">
        <f t="shared" si="1400"/>
        <v>14:46:33.821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7</v>
      </c>
      <c r="CP2995" t="s">
        <v>119</v>
      </c>
      <c r="CQ2995">
        <v>8</v>
      </c>
      <c r="CR2995">
        <v>3</v>
      </c>
      <c r="CW2995">
        <v>8981111</v>
      </c>
      <c r="CY2995">
        <v>1</v>
      </c>
      <c r="CZ2995">
        <v>0</v>
      </c>
      <c r="DA2995">
        <v>1</v>
      </c>
      <c r="DB2995">
        <v>0</v>
      </c>
      <c r="DC2995">
        <v>0</v>
      </c>
      <c r="DD2995">
        <v>1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 t="shared" ref="A2996:A3004" si="1401">"05/12/2020 14:46:16.959"</f>
        <v>05/12/2020 14:46:16.959</v>
      </c>
      <c r="C2996" t="str">
        <f t="shared" si="1389"/>
        <v>FFDFD3C0</v>
      </c>
      <c r="D2996" t="s">
        <v>126</v>
      </c>
      <c r="E2996">
        <v>6</v>
      </c>
      <c r="F2996">
        <v>1006</v>
      </c>
      <c r="G2996" t="s">
        <v>114</v>
      </c>
      <c r="J2996" t="s">
        <v>128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ref="S2996:S3004" si="1402">"14:46:34.781"</f>
        <v>14:46:34.781</v>
      </c>
      <c r="T2996" t="str">
        <f t="shared" ref="T2996:T3004" si="1403">"14:46:34.381"</f>
        <v>14:46:34.381</v>
      </c>
      <c r="U2996" t="str">
        <f t="shared" si="1380"/>
        <v>A9808D</v>
      </c>
      <c r="V2996">
        <v>0</v>
      </c>
      <c r="W2996">
        <v>0</v>
      </c>
      <c r="X2996">
        <v>1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0</v>
      </c>
      <c r="AI2996" t="s">
        <v>731</v>
      </c>
      <c r="AJ2996">
        <v>28.247201</v>
      </c>
      <c r="AK2996" t="s">
        <v>732</v>
      </c>
      <c r="AL2996">
        <v>-82.292446999999996</v>
      </c>
      <c r="AM2996">
        <v>100</v>
      </c>
      <c r="AN2996">
        <v>2400</v>
      </c>
      <c r="AO2996" t="s">
        <v>118</v>
      </c>
      <c r="AP2996">
        <v>118</v>
      </c>
      <c r="AQ2996">
        <v>-8</v>
      </c>
      <c r="AR2996">
        <v>-960</v>
      </c>
      <c r="AZ2996">
        <v>1200</v>
      </c>
      <c r="BA2996">
        <v>1</v>
      </c>
      <c r="BB2996" t="str">
        <f t="shared" si="1390"/>
        <v xml:space="preserve">N711JA  </v>
      </c>
      <c r="BC2996">
        <v>1</v>
      </c>
      <c r="BE2996">
        <v>0</v>
      </c>
      <c r="BF2996">
        <v>0</v>
      </c>
      <c r="BG2996">
        <v>0</v>
      </c>
      <c r="BH2996">
        <v>2625</v>
      </c>
      <c r="BI2996">
        <v>1</v>
      </c>
      <c r="BJ2996">
        <v>1</v>
      </c>
      <c r="BK2996">
        <v>0</v>
      </c>
      <c r="BL2996">
        <v>0</v>
      </c>
      <c r="BO2996">
        <v>0</v>
      </c>
      <c r="BP2996">
        <v>0</v>
      </c>
      <c r="BW2996" t="str">
        <f t="shared" ref="BW2996:BW3004" si="1404">"14:46:34.789"</f>
        <v>14:46:34.789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7</v>
      </c>
      <c r="CP2996" t="s">
        <v>119</v>
      </c>
      <c r="CQ2996">
        <v>8</v>
      </c>
      <c r="CR2996">
        <v>3</v>
      </c>
      <c r="CW2996">
        <v>8982109</v>
      </c>
      <c r="CY2996">
        <v>1</v>
      </c>
      <c r="CZ2996">
        <v>0</v>
      </c>
      <c r="DA2996">
        <v>0</v>
      </c>
      <c r="DB2996">
        <v>0</v>
      </c>
      <c r="DC2996">
        <v>0</v>
      </c>
      <c r="DD2996">
        <v>1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 t="shared" si="1401"/>
        <v>05/12/2020 14:46:16.959</v>
      </c>
      <c r="C2997" t="str">
        <f t="shared" si="1389"/>
        <v>FFDFD3C0</v>
      </c>
      <c r="D2997" t="s">
        <v>113</v>
      </c>
      <c r="E2997">
        <v>3</v>
      </c>
      <c r="H2997">
        <v>164</v>
      </c>
      <c r="I2997" t="s">
        <v>114</v>
      </c>
      <c r="J2997" t="s">
        <v>115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si="1402"/>
        <v>14:46:34.781</v>
      </c>
      <c r="T2997" t="str">
        <f t="shared" si="1403"/>
        <v>14:46:34.381</v>
      </c>
      <c r="U2997" t="str">
        <f t="shared" si="1380"/>
        <v>A9808D</v>
      </c>
      <c r="V2997">
        <v>0</v>
      </c>
      <c r="W2997">
        <v>0</v>
      </c>
      <c r="X2997">
        <v>1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0</v>
      </c>
      <c r="AI2997" t="s">
        <v>731</v>
      </c>
      <c r="AJ2997">
        <v>28.247201</v>
      </c>
      <c r="AK2997" t="s">
        <v>732</v>
      </c>
      <c r="AL2997">
        <v>-82.292446999999996</v>
      </c>
      <c r="AM2997">
        <v>100</v>
      </c>
      <c r="AN2997">
        <v>2400</v>
      </c>
      <c r="AO2997" t="s">
        <v>118</v>
      </c>
      <c r="AP2997">
        <v>118</v>
      </c>
      <c r="AQ2997">
        <v>-8</v>
      </c>
      <c r="AR2997">
        <v>-960</v>
      </c>
      <c r="AZ2997">
        <v>1200</v>
      </c>
      <c r="BA2997">
        <v>1</v>
      </c>
      <c r="BB2997" t="str">
        <f t="shared" si="1390"/>
        <v xml:space="preserve">N711JA  </v>
      </c>
      <c r="BC2997">
        <v>1</v>
      </c>
      <c r="BE2997">
        <v>0</v>
      </c>
      <c r="BF2997">
        <v>0</v>
      </c>
      <c r="BG2997">
        <v>0</v>
      </c>
      <c r="BH2997">
        <v>2625</v>
      </c>
      <c r="BI2997">
        <v>1</v>
      </c>
      <c r="BJ2997">
        <v>1</v>
      </c>
      <c r="BK2997">
        <v>0</v>
      </c>
      <c r="BL2997">
        <v>0</v>
      </c>
      <c r="BO2997">
        <v>0</v>
      </c>
      <c r="BP2997">
        <v>0</v>
      </c>
      <c r="BW2997" t="str">
        <f t="shared" si="1404"/>
        <v>14:46:34.789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7</v>
      </c>
      <c r="CP2997" t="s">
        <v>119</v>
      </c>
      <c r="CQ2997">
        <v>8</v>
      </c>
      <c r="CR2997">
        <v>3</v>
      </c>
      <c r="CW2997">
        <v>8982109</v>
      </c>
      <c r="CY2997">
        <v>1</v>
      </c>
      <c r="CZ2997">
        <v>0</v>
      </c>
      <c r="DA2997">
        <v>1</v>
      </c>
      <c r="DB2997">
        <v>0</v>
      </c>
      <c r="DC2997">
        <v>0</v>
      </c>
      <c r="DD2997">
        <v>1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 t="shared" si="1401"/>
        <v>05/12/2020 14:46:16.959</v>
      </c>
      <c r="C2998" t="str">
        <f t="shared" si="1389"/>
        <v>FFDFD3C0</v>
      </c>
      <c r="D2998" t="s">
        <v>138</v>
      </c>
      <c r="E2998">
        <v>2</v>
      </c>
      <c r="H2998">
        <v>8</v>
      </c>
      <c r="I2998" t="s">
        <v>139</v>
      </c>
      <c r="J2998" t="s">
        <v>136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402"/>
        <v>14:46:34.781</v>
      </c>
      <c r="T2998" t="str">
        <f t="shared" si="1403"/>
        <v>14:46:34.381</v>
      </c>
      <c r="U2998" t="str">
        <f t="shared" si="1380"/>
        <v>A9808D</v>
      </c>
      <c r="V2998">
        <v>0</v>
      </c>
      <c r="W2998">
        <v>0</v>
      </c>
      <c r="X2998">
        <v>1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0</v>
      </c>
      <c r="AI2998" t="s">
        <v>731</v>
      </c>
      <c r="AJ2998">
        <v>28.247201</v>
      </c>
      <c r="AK2998" t="s">
        <v>732</v>
      </c>
      <c r="AL2998">
        <v>-82.292446999999996</v>
      </c>
      <c r="AM2998">
        <v>100</v>
      </c>
      <c r="AN2998">
        <v>2400</v>
      </c>
      <c r="AO2998" t="s">
        <v>118</v>
      </c>
      <c r="AP2998">
        <v>118</v>
      </c>
      <c r="AQ2998">
        <v>-8</v>
      </c>
      <c r="AR2998">
        <v>-960</v>
      </c>
      <c r="AZ2998">
        <v>1200</v>
      </c>
      <c r="BA2998">
        <v>1</v>
      </c>
      <c r="BB2998" t="str">
        <f t="shared" si="1390"/>
        <v xml:space="preserve">N711JA  </v>
      </c>
      <c r="BC2998">
        <v>1</v>
      </c>
      <c r="BE2998">
        <v>0</v>
      </c>
      <c r="BF2998">
        <v>0</v>
      </c>
      <c r="BG2998">
        <v>0</v>
      </c>
      <c r="BH2998">
        <v>2625</v>
      </c>
      <c r="BI2998">
        <v>1</v>
      </c>
      <c r="BJ2998">
        <v>1</v>
      </c>
      <c r="BK2998">
        <v>0</v>
      </c>
      <c r="BL2998">
        <v>0</v>
      </c>
      <c r="BO2998">
        <v>0</v>
      </c>
      <c r="BP2998">
        <v>0</v>
      </c>
      <c r="BW2998" t="str">
        <f t="shared" si="1404"/>
        <v>14:46:34.789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119</v>
      </c>
      <c r="CQ2998">
        <v>8</v>
      </c>
      <c r="CR2998">
        <v>3</v>
      </c>
      <c r="CW2998">
        <v>8982109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1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 t="shared" si="1401"/>
        <v>05/12/2020 14:46:16.959</v>
      </c>
      <c r="C2999" t="str">
        <f t="shared" si="1389"/>
        <v>FFDFD3C0</v>
      </c>
      <c r="D2999" t="s">
        <v>126</v>
      </c>
      <c r="E2999">
        <v>7</v>
      </c>
      <c r="F2999">
        <v>1007</v>
      </c>
      <c r="G2999" t="s">
        <v>127</v>
      </c>
      <c r="J2999" t="s">
        <v>128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402"/>
        <v>14:46:34.781</v>
      </c>
      <c r="T2999" t="str">
        <f t="shared" si="1403"/>
        <v>14:46:34.381</v>
      </c>
      <c r="U2999" t="str">
        <f t="shared" si="1380"/>
        <v>A9808D</v>
      </c>
      <c r="V2999">
        <v>0</v>
      </c>
      <c r="W2999">
        <v>0</v>
      </c>
      <c r="X2999">
        <v>1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0</v>
      </c>
      <c r="AI2999" t="s">
        <v>731</v>
      </c>
      <c r="AJ2999">
        <v>28.247201</v>
      </c>
      <c r="AK2999" t="s">
        <v>732</v>
      </c>
      <c r="AL2999">
        <v>-82.292446999999996</v>
      </c>
      <c r="AM2999">
        <v>100</v>
      </c>
      <c r="AN2999">
        <v>2400</v>
      </c>
      <c r="AO2999" t="s">
        <v>118</v>
      </c>
      <c r="AP2999">
        <v>118</v>
      </c>
      <c r="AQ2999">
        <v>-8</v>
      </c>
      <c r="AR2999">
        <v>-960</v>
      </c>
      <c r="AZ2999">
        <v>1200</v>
      </c>
      <c r="BA2999">
        <v>1</v>
      </c>
      <c r="BB2999" t="str">
        <f t="shared" si="1390"/>
        <v xml:space="preserve">N711JA  </v>
      </c>
      <c r="BC2999">
        <v>1</v>
      </c>
      <c r="BE2999">
        <v>0</v>
      </c>
      <c r="BF2999">
        <v>0</v>
      </c>
      <c r="BG2999">
        <v>0</v>
      </c>
      <c r="BH2999">
        <v>2625</v>
      </c>
      <c r="BI2999">
        <v>1</v>
      </c>
      <c r="BJ2999">
        <v>1</v>
      </c>
      <c r="BK2999">
        <v>0</v>
      </c>
      <c r="BL2999">
        <v>0</v>
      </c>
      <c r="BO2999">
        <v>0</v>
      </c>
      <c r="BP2999">
        <v>0</v>
      </c>
      <c r="BW2999" t="str">
        <f t="shared" si="1404"/>
        <v>14:46:34.789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119</v>
      </c>
      <c r="CQ2999">
        <v>8</v>
      </c>
      <c r="CR2999">
        <v>3</v>
      </c>
      <c r="CW2999">
        <v>8982109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1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 t="shared" si="1401"/>
        <v>05/12/2020 14:46:16.959</v>
      </c>
      <c r="C3000" t="str">
        <f t="shared" si="1389"/>
        <v>FFDFD3C0</v>
      </c>
      <c r="D3000" t="s">
        <v>134</v>
      </c>
      <c r="E3000">
        <v>12</v>
      </c>
      <c r="H3000">
        <v>64</v>
      </c>
      <c r="I3000" t="s">
        <v>135</v>
      </c>
      <c r="J3000" t="s">
        <v>136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402"/>
        <v>14:46:34.781</v>
      </c>
      <c r="T3000" t="str">
        <f t="shared" si="1403"/>
        <v>14:46:34.381</v>
      </c>
      <c r="U3000" t="str">
        <f t="shared" si="1380"/>
        <v>A9808D</v>
      </c>
      <c r="V3000">
        <v>0</v>
      </c>
      <c r="W3000">
        <v>0</v>
      </c>
      <c r="X3000">
        <v>1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0</v>
      </c>
      <c r="AI3000" t="s">
        <v>731</v>
      </c>
      <c r="AJ3000">
        <v>28.247201</v>
      </c>
      <c r="AK3000" t="s">
        <v>732</v>
      </c>
      <c r="AL3000">
        <v>-82.292446999999996</v>
      </c>
      <c r="AM3000">
        <v>100</v>
      </c>
      <c r="AN3000">
        <v>2400</v>
      </c>
      <c r="AO3000" t="s">
        <v>118</v>
      </c>
      <c r="AP3000">
        <v>118</v>
      </c>
      <c r="AQ3000">
        <v>-8</v>
      </c>
      <c r="AR3000">
        <v>-960</v>
      </c>
      <c r="AZ3000">
        <v>1200</v>
      </c>
      <c r="BA3000">
        <v>1</v>
      </c>
      <c r="BB3000" t="str">
        <f t="shared" si="1390"/>
        <v xml:space="preserve">N711JA  </v>
      </c>
      <c r="BC3000">
        <v>1</v>
      </c>
      <c r="BE3000">
        <v>0</v>
      </c>
      <c r="BF3000">
        <v>0</v>
      </c>
      <c r="BG3000">
        <v>0</v>
      </c>
      <c r="BH3000">
        <v>2625</v>
      </c>
      <c r="BI3000">
        <v>1</v>
      </c>
      <c r="BJ3000">
        <v>1</v>
      </c>
      <c r="BK3000">
        <v>0</v>
      </c>
      <c r="BL3000">
        <v>0</v>
      </c>
      <c r="BO3000">
        <v>0</v>
      </c>
      <c r="BP3000">
        <v>0</v>
      </c>
      <c r="BW3000" t="str">
        <f t="shared" si="1404"/>
        <v>14:46:34.789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119</v>
      </c>
      <c r="CQ3000">
        <v>8</v>
      </c>
      <c r="CR3000">
        <v>3</v>
      </c>
      <c r="CW3000">
        <v>8982109</v>
      </c>
      <c r="CY3000">
        <v>1</v>
      </c>
      <c r="CZ3000">
        <v>0</v>
      </c>
      <c r="DA3000">
        <v>1</v>
      </c>
      <c r="DB3000">
        <v>0</v>
      </c>
      <c r="DC3000">
        <v>0</v>
      </c>
      <c r="DD3000">
        <v>1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 t="shared" si="1401"/>
        <v>05/12/2020 14:46:16.959</v>
      </c>
      <c r="C3001" t="str">
        <f t="shared" si="1389"/>
        <v>FFDFD3C0</v>
      </c>
      <c r="D3001" t="s">
        <v>131</v>
      </c>
      <c r="E3001">
        <v>10</v>
      </c>
      <c r="F3001">
        <v>2010</v>
      </c>
      <c r="G3001" t="s">
        <v>132</v>
      </c>
      <c r="J3001" t="s">
        <v>133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 t="shared" si="1402"/>
        <v>14:46:34.781</v>
      </c>
      <c r="T3001" t="str">
        <f t="shared" si="1403"/>
        <v>14:46:34.381</v>
      </c>
      <c r="U3001" t="str">
        <f t="shared" si="1380"/>
        <v>A9808D</v>
      </c>
      <c r="V3001">
        <v>0</v>
      </c>
      <c r="W3001">
        <v>0</v>
      </c>
      <c r="X3001">
        <v>1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0</v>
      </c>
      <c r="AI3001" t="s">
        <v>731</v>
      </c>
      <c r="AJ3001">
        <v>28.247201</v>
      </c>
      <c r="AK3001" t="s">
        <v>732</v>
      </c>
      <c r="AL3001">
        <v>-82.292446999999996</v>
      </c>
      <c r="AM3001">
        <v>100</v>
      </c>
      <c r="AN3001">
        <v>2400</v>
      </c>
      <c r="AO3001" t="s">
        <v>118</v>
      </c>
      <c r="AP3001">
        <v>118</v>
      </c>
      <c r="AQ3001">
        <v>-8</v>
      </c>
      <c r="AR3001">
        <v>-960</v>
      </c>
      <c r="AZ3001">
        <v>1200</v>
      </c>
      <c r="BA3001">
        <v>1</v>
      </c>
      <c r="BB3001" t="str">
        <f t="shared" si="1390"/>
        <v xml:space="preserve">N711JA  </v>
      </c>
      <c r="BC3001">
        <v>1</v>
      </c>
      <c r="BE3001">
        <v>0</v>
      </c>
      <c r="BF3001">
        <v>0</v>
      </c>
      <c r="BG3001">
        <v>0</v>
      </c>
      <c r="BH3001">
        <v>2625</v>
      </c>
      <c r="BI3001">
        <v>1</v>
      </c>
      <c r="BJ3001">
        <v>1</v>
      </c>
      <c r="BK3001">
        <v>0</v>
      </c>
      <c r="BL3001">
        <v>0</v>
      </c>
      <c r="BO3001">
        <v>0</v>
      </c>
      <c r="BP3001">
        <v>0</v>
      </c>
      <c r="BW3001" t="str">
        <f t="shared" si="1404"/>
        <v>14:46:34.789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7</v>
      </c>
      <c r="CP3001" t="s">
        <v>119</v>
      </c>
      <c r="CQ3001">
        <v>8</v>
      </c>
      <c r="CR3001">
        <v>3</v>
      </c>
      <c r="CW3001">
        <v>8982109</v>
      </c>
      <c r="CY3001">
        <v>1</v>
      </c>
      <c r="CZ3001">
        <v>0</v>
      </c>
      <c r="DA3001">
        <v>1</v>
      </c>
      <c r="DB3001">
        <v>0</v>
      </c>
      <c r="DC3001">
        <v>0</v>
      </c>
      <c r="DD3001">
        <v>1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 t="shared" si="1401"/>
        <v>05/12/2020 14:46:16.959</v>
      </c>
      <c r="C3002" t="str">
        <f t="shared" si="1389"/>
        <v>FFDFD3C0</v>
      </c>
      <c r="D3002" t="s">
        <v>138</v>
      </c>
      <c r="E3002">
        <v>3</v>
      </c>
      <c r="H3002">
        <v>9</v>
      </c>
      <c r="I3002" t="s">
        <v>140</v>
      </c>
      <c r="J3002" t="s">
        <v>136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si="1402"/>
        <v>14:46:34.781</v>
      </c>
      <c r="T3002" t="str">
        <f t="shared" si="1403"/>
        <v>14:46:34.381</v>
      </c>
      <c r="U3002" t="str">
        <f t="shared" si="1380"/>
        <v>A9808D</v>
      </c>
      <c r="V3002">
        <v>0</v>
      </c>
      <c r="W3002">
        <v>0</v>
      </c>
      <c r="X3002">
        <v>1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0</v>
      </c>
      <c r="AI3002" t="s">
        <v>731</v>
      </c>
      <c r="AJ3002">
        <v>28.247201</v>
      </c>
      <c r="AK3002" t="s">
        <v>732</v>
      </c>
      <c r="AL3002">
        <v>-82.292446999999996</v>
      </c>
      <c r="AM3002">
        <v>100</v>
      </c>
      <c r="AN3002">
        <v>2400</v>
      </c>
      <c r="AO3002" t="s">
        <v>118</v>
      </c>
      <c r="AP3002">
        <v>118</v>
      </c>
      <c r="AQ3002">
        <v>-8</v>
      </c>
      <c r="AR3002">
        <v>-960</v>
      </c>
      <c r="AZ3002">
        <v>1200</v>
      </c>
      <c r="BA3002">
        <v>1</v>
      </c>
      <c r="BB3002" t="str">
        <f t="shared" si="1390"/>
        <v xml:space="preserve">N711JA  </v>
      </c>
      <c r="BC3002">
        <v>1</v>
      </c>
      <c r="BE3002">
        <v>0</v>
      </c>
      <c r="BF3002">
        <v>0</v>
      </c>
      <c r="BG3002">
        <v>0</v>
      </c>
      <c r="BH3002">
        <v>2625</v>
      </c>
      <c r="BI3002">
        <v>1</v>
      </c>
      <c r="BJ3002">
        <v>1</v>
      </c>
      <c r="BK3002">
        <v>0</v>
      </c>
      <c r="BL3002">
        <v>0</v>
      </c>
      <c r="BO3002">
        <v>0</v>
      </c>
      <c r="BP3002">
        <v>0</v>
      </c>
      <c r="BW3002" t="str">
        <f t="shared" si="1404"/>
        <v>14:46:34.789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119</v>
      </c>
      <c r="CQ3002">
        <v>8</v>
      </c>
      <c r="CR3002">
        <v>3</v>
      </c>
      <c r="CW3002">
        <v>8982109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1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 t="shared" si="1401"/>
        <v>05/12/2020 14:46:16.959</v>
      </c>
      <c r="C3003" t="str">
        <f t="shared" si="1389"/>
        <v>FFDFD3C0</v>
      </c>
      <c r="D3003" t="s">
        <v>131</v>
      </c>
      <c r="E3003">
        <v>12</v>
      </c>
      <c r="F3003">
        <v>2012</v>
      </c>
      <c r="G3003" t="s">
        <v>137</v>
      </c>
      <c r="J3003" t="s">
        <v>133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si="1402"/>
        <v>14:46:34.781</v>
      </c>
      <c r="T3003" t="str">
        <f t="shared" si="1403"/>
        <v>14:46:34.381</v>
      </c>
      <c r="U3003" t="str">
        <f t="shared" si="1380"/>
        <v>A9808D</v>
      </c>
      <c r="V3003">
        <v>0</v>
      </c>
      <c r="W3003">
        <v>0</v>
      </c>
      <c r="X3003">
        <v>1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0</v>
      </c>
      <c r="AI3003" t="s">
        <v>731</v>
      </c>
      <c r="AJ3003">
        <v>28.247201</v>
      </c>
      <c r="AK3003" t="s">
        <v>732</v>
      </c>
      <c r="AL3003">
        <v>-82.292446999999996</v>
      </c>
      <c r="AM3003">
        <v>100</v>
      </c>
      <c r="AN3003">
        <v>2400</v>
      </c>
      <c r="AO3003" t="s">
        <v>118</v>
      </c>
      <c r="AP3003">
        <v>118</v>
      </c>
      <c r="AQ3003">
        <v>-8</v>
      </c>
      <c r="AR3003">
        <v>-960</v>
      </c>
      <c r="AZ3003">
        <v>1200</v>
      </c>
      <c r="BA3003">
        <v>1</v>
      </c>
      <c r="BB3003" t="str">
        <f t="shared" si="1390"/>
        <v xml:space="preserve">N711JA  </v>
      </c>
      <c r="BC3003">
        <v>1</v>
      </c>
      <c r="BE3003">
        <v>0</v>
      </c>
      <c r="BF3003">
        <v>0</v>
      </c>
      <c r="BG3003">
        <v>0</v>
      </c>
      <c r="BH3003">
        <v>2625</v>
      </c>
      <c r="BI3003">
        <v>1</v>
      </c>
      <c r="BJ3003">
        <v>1</v>
      </c>
      <c r="BK3003">
        <v>0</v>
      </c>
      <c r="BL3003">
        <v>0</v>
      </c>
      <c r="BO3003">
        <v>0</v>
      </c>
      <c r="BP3003">
        <v>0</v>
      </c>
      <c r="BW3003" t="str">
        <f t="shared" si="1404"/>
        <v>14:46:34.789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7</v>
      </c>
      <c r="CP3003" t="s">
        <v>119</v>
      </c>
      <c r="CQ3003">
        <v>8</v>
      </c>
      <c r="CR3003">
        <v>3</v>
      </c>
      <c r="CW3003">
        <v>8982109</v>
      </c>
      <c r="CY3003">
        <v>1</v>
      </c>
      <c r="CZ3003">
        <v>0</v>
      </c>
      <c r="DA3003">
        <v>1</v>
      </c>
      <c r="DB3003">
        <v>0</v>
      </c>
      <c r="DC3003">
        <v>0</v>
      </c>
      <c r="DD3003">
        <v>1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 t="shared" si="1401"/>
        <v>05/12/2020 14:46:16.959</v>
      </c>
      <c r="C3004" t="str">
        <f t="shared" si="1389"/>
        <v>FFDFD3C0</v>
      </c>
      <c r="D3004" t="s">
        <v>131</v>
      </c>
      <c r="E3004">
        <v>18</v>
      </c>
      <c r="F3004">
        <v>2018</v>
      </c>
      <c r="G3004" t="s">
        <v>161</v>
      </c>
      <c r="J3004" t="s">
        <v>133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si="1402"/>
        <v>14:46:34.781</v>
      </c>
      <c r="T3004" t="str">
        <f t="shared" si="1403"/>
        <v>14:46:34.381</v>
      </c>
      <c r="U3004" t="str">
        <f t="shared" si="1380"/>
        <v>A9808D</v>
      </c>
      <c r="V3004">
        <v>0</v>
      </c>
      <c r="W3004">
        <v>0</v>
      </c>
      <c r="X3004">
        <v>1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0</v>
      </c>
      <c r="AI3004" t="s">
        <v>731</v>
      </c>
      <c r="AJ3004">
        <v>28.247201</v>
      </c>
      <c r="AK3004" t="s">
        <v>732</v>
      </c>
      <c r="AL3004">
        <v>-82.292446999999996</v>
      </c>
      <c r="AM3004">
        <v>100</v>
      </c>
      <c r="AN3004">
        <v>2400</v>
      </c>
      <c r="AO3004" t="s">
        <v>118</v>
      </c>
      <c r="AP3004">
        <v>118</v>
      </c>
      <c r="AQ3004">
        <v>-8</v>
      </c>
      <c r="AR3004">
        <v>-960</v>
      </c>
      <c r="AZ3004">
        <v>1200</v>
      </c>
      <c r="BA3004">
        <v>1</v>
      </c>
      <c r="BB3004" t="str">
        <f t="shared" si="1390"/>
        <v xml:space="preserve">N711JA  </v>
      </c>
      <c r="BC3004">
        <v>1</v>
      </c>
      <c r="BE3004">
        <v>0</v>
      </c>
      <c r="BF3004">
        <v>0</v>
      </c>
      <c r="BG3004">
        <v>0</v>
      </c>
      <c r="BH3004">
        <v>2625</v>
      </c>
      <c r="BI3004">
        <v>1</v>
      </c>
      <c r="BJ3004">
        <v>1</v>
      </c>
      <c r="BK3004">
        <v>0</v>
      </c>
      <c r="BL3004">
        <v>0</v>
      </c>
      <c r="BO3004">
        <v>0</v>
      </c>
      <c r="BP3004">
        <v>0</v>
      </c>
      <c r="BW3004" t="str">
        <f t="shared" si="1404"/>
        <v>14:46:34.789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5</v>
      </c>
      <c r="CP3004" t="s">
        <v>119</v>
      </c>
      <c r="CQ3004">
        <v>62</v>
      </c>
      <c r="CR3004">
        <v>1</v>
      </c>
      <c r="CW3004">
        <v>12864412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1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 t="shared" ref="A3005:A3013" si="1405">"05/12/2020 14:46:18.027"</f>
        <v>05/12/2020 14:46:18.027</v>
      </c>
      <c r="C3005" t="str">
        <f t="shared" si="1389"/>
        <v>FFDFD3C0</v>
      </c>
      <c r="D3005" t="s">
        <v>113</v>
      </c>
      <c r="E3005">
        <v>3</v>
      </c>
      <c r="H3005">
        <v>164</v>
      </c>
      <c r="I3005" t="s">
        <v>114</v>
      </c>
      <c r="J3005" t="s">
        <v>115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ref="S3005:S3013" si="1406">"14:46:35.836"</f>
        <v>14:46:35.836</v>
      </c>
      <c r="T3005" t="str">
        <f t="shared" ref="T3005:T3013" si="1407">"14:46:35.536"</f>
        <v>14:46:35.536</v>
      </c>
      <c r="U3005" t="str">
        <f t="shared" si="1380"/>
        <v>A9808D</v>
      </c>
      <c r="V3005">
        <v>0</v>
      </c>
      <c r="W3005">
        <v>0</v>
      </c>
      <c r="X3005">
        <v>1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0</v>
      </c>
      <c r="AI3005" t="s">
        <v>733</v>
      </c>
      <c r="AJ3005">
        <v>28.247136999999999</v>
      </c>
      <c r="AK3005" t="s">
        <v>734</v>
      </c>
      <c r="AL3005">
        <v>-82.291759999999996</v>
      </c>
      <c r="AM3005">
        <v>100</v>
      </c>
      <c r="AN3005">
        <v>2400</v>
      </c>
      <c r="AO3005" t="s">
        <v>118</v>
      </c>
      <c r="AP3005">
        <v>120</v>
      </c>
      <c r="AQ3005">
        <v>-8</v>
      </c>
      <c r="AR3005">
        <v>-960</v>
      </c>
      <c r="AZ3005">
        <v>1200</v>
      </c>
      <c r="BA3005">
        <v>1</v>
      </c>
      <c r="BB3005" t="str">
        <f t="shared" si="1390"/>
        <v xml:space="preserve">N711JA  </v>
      </c>
      <c r="BC3005">
        <v>1</v>
      </c>
      <c r="BE3005">
        <v>0</v>
      </c>
      <c r="BF3005">
        <v>0</v>
      </c>
      <c r="BG3005">
        <v>0</v>
      </c>
      <c r="BH3005">
        <v>2500</v>
      </c>
      <c r="BI3005">
        <v>1</v>
      </c>
      <c r="BJ3005">
        <v>1</v>
      </c>
      <c r="BK3005">
        <v>0</v>
      </c>
      <c r="BL3005">
        <v>0</v>
      </c>
      <c r="BO3005">
        <v>0</v>
      </c>
      <c r="BP3005">
        <v>0</v>
      </c>
      <c r="BW3005" t="str">
        <f t="shared" ref="BW3005:BW3011" si="1408">"14:46:35.842"</f>
        <v>14:46:35.842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7</v>
      </c>
      <c r="CP3005" t="s">
        <v>119</v>
      </c>
      <c r="CQ3005">
        <v>8</v>
      </c>
      <c r="CR3005">
        <v>3</v>
      </c>
      <c r="CW3005">
        <v>8983180</v>
      </c>
      <c r="CY3005">
        <v>1</v>
      </c>
      <c r="CZ3005">
        <v>0</v>
      </c>
      <c r="DA3005">
        <v>0</v>
      </c>
      <c r="DB3005">
        <v>0</v>
      </c>
      <c r="DC3005">
        <v>0</v>
      </c>
      <c r="DD3005">
        <v>1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 t="shared" si="1405"/>
        <v>05/12/2020 14:46:18.027</v>
      </c>
      <c r="C3006" t="str">
        <f t="shared" si="1389"/>
        <v>FFDFD3C0</v>
      </c>
      <c r="D3006" t="s">
        <v>138</v>
      </c>
      <c r="E3006">
        <v>2</v>
      </c>
      <c r="H3006">
        <v>8</v>
      </c>
      <c r="I3006" t="s">
        <v>139</v>
      </c>
      <c r="J3006" t="s">
        <v>136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406"/>
        <v>14:46:35.836</v>
      </c>
      <c r="T3006" t="str">
        <f t="shared" si="1407"/>
        <v>14:46:35.536</v>
      </c>
      <c r="U3006" t="str">
        <f t="shared" si="1380"/>
        <v>A9808D</v>
      </c>
      <c r="V3006">
        <v>0</v>
      </c>
      <c r="W3006">
        <v>0</v>
      </c>
      <c r="X3006">
        <v>1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0</v>
      </c>
      <c r="AI3006" t="s">
        <v>733</v>
      </c>
      <c r="AJ3006">
        <v>28.247136999999999</v>
      </c>
      <c r="AK3006" t="s">
        <v>734</v>
      </c>
      <c r="AL3006">
        <v>-82.291759999999996</v>
      </c>
      <c r="AM3006">
        <v>100</v>
      </c>
      <c r="AN3006">
        <v>2400</v>
      </c>
      <c r="AO3006" t="s">
        <v>118</v>
      </c>
      <c r="AP3006">
        <v>120</v>
      </c>
      <c r="AQ3006">
        <v>-8</v>
      </c>
      <c r="AR3006">
        <v>-960</v>
      </c>
      <c r="AZ3006">
        <v>1200</v>
      </c>
      <c r="BA3006">
        <v>1</v>
      </c>
      <c r="BB3006" t="str">
        <f t="shared" si="1390"/>
        <v xml:space="preserve">N711JA  </v>
      </c>
      <c r="BC3006">
        <v>1</v>
      </c>
      <c r="BE3006">
        <v>0</v>
      </c>
      <c r="BF3006">
        <v>0</v>
      </c>
      <c r="BG3006">
        <v>0</v>
      </c>
      <c r="BH3006">
        <v>2500</v>
      </c>
      <c r="BI3006">
        <v>1</v>
      </c>
      <c r="BJ3006">
        <v>1</v>
      </c>
      <c r="BK3006">
        <v>0</v>
      </c>
      <c r="BL3006">
        <v>0</v>
      </c>
      <c r="BO3006">
        <v>0</v>
      </c>
      <c r="BP3006">
        <v>0</v>
      </c>
      <c r="BW3006" t="str">
        <f t="shared" si="1408"/>
        <v>14:46:35.842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7</v>
      </c>
      <c r="CP3006" t="s">
        <v>119</v>
      </c>
      <c r="CQ3006">
        <v>8</v>
      </c>
      <c r="CR3006">
        <v>3</v>
      </c>
      <c r="CW3006">
        <v>8983180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1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 t="shared" si="1405"/>
        <v>05/12/2020 14:46:18.027</v>
      </c>
      <c r="C3007" t="str">
        <f t="shared" si="1389"/>
        <v>FFDFD3C0</v>
      </c>
      <c r="D3007" t="s">
        <v>126</v>
      </c>
      <c r="E3007">
        <v>6</v>
      </c>
      <c r="F3007">
        <v>1006</v>
      </c>
      <c r="G3007" t="s">
        <v>114</v>
      </c>
      <c r="J3007" t="s">
        <v>128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406"/>
        <v>14:46:35.836</v>
      </c>
      <c r="T3007" t="str">
        <f t="shared" si="1407"/>
        <v>14:46:35.536</v>
      </c>
      <c r="U3007" t="str">
        <f t="shared" si="1380"/>
        <v>A9808D</v>
      </c>
      <c r="V3007">
        <v>0</v>
      </c>
      <c r="W3007">
        <v>0</v>
      </c>
      <c r="X3007">
        <v>1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0</v>
      </c>
      <c r="AI3007" t="s">
        <v>733</v>
      </c>
      <c r="AJ3007">
        <v>28.247136999999999</v>
      </c>
      <c r="AK3007" t="s">
        <v>734</v>
      </c>
      <c r="AL3007">
        <v>-82.291759999999996</v>
      </c>
      <c r="AM3007">
        <v>100</v>
      </c>
      <c r="AN3007">
        <v>2400</v>
      </c>
      <c r="AO3007" t="s">
        <v>118</v>
      </c>
      <c r="AP3007">
        <v>120</v>
      </c>
      <c r="AQ3007">
        <v>-8</v>
      </c>
      <c r="AR3007">
        <v>-960</v>
      </c>
      <c r="AZ3007">
        <v>1200</v>
      </c>
      <c r="BA3007">
        <v>1</v>
      </c>
      <c r="BB3007" t="str">
        <f t="shared" si="1390"/>
        <v xml:space="preserve">N711JA  </v>
      </c>
      <c r="BC3007">
        <v>1</v>
      </c>
      <c r="BE3007">
        <v>0</v>
      </c>
      <c r="BF3007">
        <v>0</v>
      </c>
      <c r="BG3007">
        <v>0</v>
      </c>
      <c r="BH3007">
        <v>2500</v>
      </c>
      <c r="BI3007">
        <v>1</v>
      </c>
      <c r="BJ3007">
        <v>1</v>
      </c>
      <c r="BK3007">
        <v>0</v>
      </c>
      <c r="BL3007">
        <v>0</v>
      </c>
      <c r="BO3007">
        <v>0</v>
      </c>
      <c r="BP3007">
        <v>0</v>
      </c>
      <c r="BW3007" t="str">
        <f t="shared" si="1408"/>
        <v>14:46:35.842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7</v>
      </c>
      <c r="CP3007" t="s">
        <v>119</v>
      </c>
      <c r="CQ3007">
        <v>8</v>
      </c>
      <c r="CR3007">
        <v>3</v>
      </c>
      <c r="CW3007">
        <v>8983180</v>
      </c>
      <c r="CY3007">
        <v>1</v>
      </c>
      <c r="CZ3007">
        <v>0</v>
      </c>
      <c r="DA3007">
        <v>1</v>
      </c>
      <c r="DB3007">
        <v>0</v>
      </c>
      <c r="DC3007">
        <v>0</v>
      </c>
      <c r="DD3007">
        <v>1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 t="shared" si="1405"/>
        <v>05/12/2020 14:46:18.027</v>
      </c>
      <c r="C3008" t="str">
        <f t="shared" si="1389"/>
        <v>FFDFD3C0</v>
      </c>
      <c r="D3008" t="s">
        <v>126</v>
      </c>
      <c r="E3008">
        <v>7</v>
      </c>
      <c r="F3008">
        <v>1007</v>
      </c>
      <c r="G3008" t="s">
        <v>127</v>
      </c>
      <c r="J3008" t="s">
        <v>128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406"/>
        <v>14:46:35.836</v>
      </c>
      <c r="T3008" t="str">
        <f t="shared" si="1407"/>
        <v>14:46:35.536</v>
      </c>
      <c r="U3008" t="str">
        <f t="shared" si="1380"/>
        <v>A9808D</v>
      </c>
      <c r="V3008">
        <v>0</v>
      </c>
      <c r="W3008">
        <v>0</v>
      </c>
      <c r="X3008">
        <v>1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0</v>
      </c>
      <c r="AI3008" t="s">
        <v>733</v>
      </c>
      <c r="AJ3008">
        <v>28.247136999999999</v>
      </c>
      <c r="AK3008" t="s">
        <v>734</v>
      </c>
      <c r="AL3008">
        <v>-82.291759999999996</v>
      </c>
      <c r="AM3008">
        <v>100</v>
      </c>
      <c r="AN3008">
        <v>2400</v>
      </c>
      <c r="AO3008" t="s">
        <v>118</v>
      </c>
      <c r="AP3008">
        <v>120</v>
      </c>
      <c r="AQ3008">
        <v>-8</v>
      </c>
      <c r="AR3008">
        <v>-960</v>
      </c>
      <c r="AZ3008">
        <v>1200</v>
      </c>
      <c r="BA3008">
        <v>1</v>
      </c>
      <c r="BB3008" t="str">
        <f t="shared" si="1390"/>
        <v xml:space="preserve">N711JA  </v>
      </c>
      <c r="BC3008">
        <v>1</v>
      </c>
      <c r="BE3008">
        <v>0</v>
      </c>
      <c r="BF3008">
        <v>0</v>
      </c>
      <c r="BG3008">
        <v>0</v>
      </c>
      <c r="BH3008">
        <v>2500</v>
      </c>
      <c r="BI3008">
        <v>1</v>
      </c>
      <c r="BJ3008">
        <v>1</v>
      </c>
      <c r="BK3008">
        <v>0</v>
      </c>
      <c r="BL3008">
        <v>0</v>
      </c>
      <c r="BO3008">
        <v>0</v>
      </c>
      <c r="BP3008">
        <v>0</v>
      </c>
      <c r="BW3008" t="str">
        <f t="shared" si="1408"/>
        <v>14:46:35.842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7</v>
      </c>
      <c r="CP3008" t="s">
        <v>119</v>
      </c>
      <c r="CQ3008">
        <v>8</v>
      </c>
      <c r="CR3008">
        <v>3</v>
      </c>
      <c r="CW3008">
        <v>8983180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1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 t="shared" si="1405"/>
        <v>05/12/2020 14:46:18.027</v>
      </c>
      <c r="C3009" t="str">
        <f t="shared" si="1389"/>
        <v>FFDFD3C0</v>
      </c>
      <c r="D3009" t="s">
        <v>131</v>
      </c>
      <c r="E3009">
        <v>10</v>
      </c>
      <c r="F3009">
        <v>2010</v>
      </c>
      <c r="G3009" t="s">
        <v>132</v>
      </c>
      <c r="J3009" t="s">
        <v>133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406"/>
        <v>14:46:35.836</v>
      </c>
      <c r="T3009" t="str">
        <f t="shared" si="1407"/>
        <v>14:46:35.536</v>
      </c>
      <c r="U3009" t="str">
        <f t="shared" si="1380"/>
        <v>A9808D</v>
      </c>
      <c r="V3009">
        <v>0</v>
      </c>
      <c r="W3009">
        <v>0</v>
      </c>
      <c r="X3009">
        <v>1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0</v>
      </c>
      <c r="AI3009" t="s">
        <v>733</v>
      </c>
      <c r="AJ3009">
        <v>28.247136999999999</v>
      </c>
      <c r="AK3009" t="s">
        <v>734</v>
      </c>
      <c r="AL3009">
        <v>-82.291759999999996</v>
      </c>
      <c r="AM3009">
        <v>100</v>
      </c>
      <c r="AN3009">
        <v>2400</v>
      </c>
      <c r="AO3009" t="s">
        <v>118</v>
      </c>
      <c r="AP3009">
        <v>120</v>
      </c>
      <c r="AQ3009">
        <v>-8</v>
      </c>
      <c r="AR3009">
        <v>-960</v>
      </c>
      <c r="AZ3009">
        <v>1200</v>
      </c>
      <c r="BA3009">
        <v>1</v>
      </c>
      <c r="BB3009" t="str">
        <f t="shared" si="1390"/>
        <v xml:space="preserve">N711JA  </v>
      </c>
      <c r="BC3009">
        <v>1</v>
      </c>
      <c r="BE3009">
        <v>0</v>
      </c>
      <c r="BF3009">
        <v>0</v>
      </c>
      <c r="BG3009">
        <v>0</v>
      </c>
      <c r="BH3009">
        <v>2500</v>
      </c>
      <c r="BI3009">
        <v>1</v>
      </c>
      <c r="BJ3009">
        <v>1</v>
      </c>
      <c r="BK3009">
        <v>0</v>
      </c>
      <c r="BL3009">
        <v>0</v>
      </c>
      <c r="BO3009">
        <v>0</v>
      </c>
      <c r="BP3009">
        <v>0</v>
      </c>
      <c r="BW3009" t="str">
        <f t="shared" si="1408"/>
        <v>14:46:35.842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7</v>
      </c>
      <c r="CP3009" t="s">
        <v>119</v>
      </c>
      <c r="CQ3009">
        <v>8</v>
      </c>
      <c r="CR3009">
        <v>3</v>
      </c>
      <c r="CW3009">
        <v>8983180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1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 t="shared" si="1405"/>
        <v>05/12/2020 14:46:18.027</v>
      </c>
      <c r="C3010" t="str">
        <f t="shared" si="1389"/>
        <v>FFDFD3C0</v>
      </c>
      <c r="D3010" t="s">
        <v>134</v>
      </c>
      <c r="E3010">
        <v>12</v>
      </c>
      <c r="H3010">
        <v>64</v>
      </c>
      <c r="I3010" t="s">
        <v>135</v>
      </c>
      <c r="J3010" t="s">
        <v>136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406"/>
        <v>14:46:35.836</v>
      </c>
      <c r="T3010" t="str">
        <f t="shared" si="1407"/>
        <v>14:46:35.536</v>
      </c>
      <c r="U3010" t="str">
        <f t="shared" ref="U3010:U3073" si="1409">"A9808D"</f>
        <v>A9808D</v>
      </c>
      <c r="V3010">
        <v>0</v>
      </c>
      <c r="W3010">
        <v>0</v>
      </c>
      <c r="X3010">
        <v>1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0</v>
      </c>
      <c r="AI3010" t="s">
        <v>733</v>
      </c>
      <c r="AJ3010">
        <v>28.247136999999999</v>
      </c>
      <c r="AK3010" t="s">
        <v>734</v>
      </c>
      <c r="AL3010">
        <v>-82.291759999999996</v>
      </c>
      <c r="AM3010">
        <v>100</v>
      </c>
      <c r="AN3010">
        <v>2400</v>
      </c>
      <c r="AO3010" t="s">
        <v>118</v>
      </c>
      <c r="AP3010">
        <v>120</v>
      </c>
      <c r="AQ3010">
        <v>-8</v>
      </c>
      <c r="AR3010">
        <v>-960</v>
      </c>
      <c r="AZ3010">
        <v>1200</v>
      </c>
      <c r="BA3010">
        <v>1</v>
      </c>
      <c r="BB3010" t="str">
        <f t="shared" si="1390"/>
        <v xml:space="preserve">N711JA  </v>
      </c>
      <c r="BC3010">
        <v>1</v>
      </c>
      <c r="BE3010">
        <v>0</v>
      </c>
      <c r="BF3010">
        <v>0</v>
      </c>
      <c r="BG3010">
        <v>0</v>
      </c>
      <c r="BH3010">
        <v>2500</v>
      </c>
      <c r="BI3010">
        <v>1</v>
      </c>
      <c r="BJ3010">
        <v>1</v>
      </c>
      <c r="BK3010">
        <v>0</v>
      </c>
      <c r="BL3010">
        <v>0</v>
      </c>
      <c r="BO3010">
        <v>0</v>
      </c>
      <c r="BP3010">
        <v>0</v>
      </c>
      <c r="BW3010" t="str">
        <f t="shared" si="1408"/>
        <v>14:46:35.842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7</v>
      </c>
      <c r="CP3010" t="s">
        <v>119</v>
      </c>
      <c r="CQ3010">
        <v>8</v>
      </c>
      <c r="CR3010">
        <v>3</v>
      </c>
      <c r="CW3010">
        <v>8983180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1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 t="shared" si="1405"/>
        <v>05/12/2020 14:46:18.027</v>
      </c>
      <c r="C3011" t="str">
        <f t="shared" si="1389"/>
        <v>FFDFD3C0</v>
      </c>
      <c r="D3011" t="s">
        <v>131</v>
      </c>
      <c r="E3011">
        <v>12</v>
      </c>
      <c r="F3011">
        <v>2012</v>
      </c>
      <c r="G3011" t="s">
        <v>137</v>
      </c>
      <c r="J3011" t="s">
        <v>133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406"/>
        <v>14:46:35.836</v>
      </c>
      <c r="T3011" t="str">
        <f t="shared" si="1407"/>
        <v>14:46:35.536</v>
      </c>
      <c r="U3011" t="str">
        <f t="shared" si="1409"/>
        <v>A9808D</v>
      </c>
      <c r="V3011">
        <v>0</v>
      </c>
      <c r="W3011">
        <v>0</v>
      </c>
      <c r="X3011">
        <v>1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0</v>
      </c>
      <c r="AI3011" t="s">
        <v>733</v>
      </c>
      <c r="AJ3011">
        <v>28.247136999999999</v>
      </c>
      <c r="AK3011" t="s">
        <v>734</v>
      </c>
      <c r="AL3011">
        <v>-82.291759999999996</v>
      </c>
      <c r="AM3011">
        <v>100</v>
      </c>
      <c r="AN3011">
        <v>2400</v>
      </c>
      <c r="AO3011" t="s">
        <v>118</v>
      </c>
      <c r="AP3011">
        <v>120</v>
      </c>
      <c r="AQ3011">
        <v>-8</v>
      </c>
      <c r="AR3011">
        <v>-960</v>
      </c>
      <c r="AZ3011">
        <v>1200</v>
      </c>
      <c r="BA3011">
        <v>1</v>
      </c>
      <c r="BB3011" t="str">
        <f t="shared" si="1390"/>
        <v xml:space="preserve">N711JA  </v>
      </c>
      <c r="BC3011">
        <v>1</v>
      </c>
      <c r="BE3011">
        <v>0</v>
      </c>
      <c r="BF3011">
        <v>0</v>
      </c>
      <c r="BG3011">
        <v>0</v>
      </c>
      <c r="BH3011">
        <v>2500</v>
      </c>
      <c r="BI3011">
        <v>1</v>
      </c>
      <c r="BJ3011">
        <v>1</v>
      </c>
      <c r="BK3011">
        <v>0</v>
      </c>
      <c r="BL3011">
        <v>0</v>
      </c>
      <c r="BO3011">
        <v>0</v>
      </c>
      <c r="BP3011">
        <v>0</v>
      </c>
      <c r="BW3011" t="str">
        <f t="shared" si="1408"/>
        <v>14:46:35.842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119</v>
      </c>
      <c r="CQ3011">
        <v>8</v>
      </c>
      <c r="CR3011">
        <v>3</v>
      </c>
      <c r="CW3011">
        <v>8983180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1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 t="shared" si="1405"/>
        <v>05/12/2020 14:46:18.027</v>
      </c>
      <c r="C3012" t="str">
        <f t="shared" si="1389"/>
        <v>FFDFD3C0</v>
      </c>
      <c r="D3012" t="s">
        <v>131</v>
      </c>
      <c r="E3012">
        <v>18</v>
      </c>
      <c r="F3012">
        <v>2018</v>
      </c>
      <c r="G3012" t="s">
        <v>161</v>
      </c>
      <c r="J3012" t="s">
        <v>133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406"/>
        <v>14:46:35.836</v>
      </c>
      <c r="T3012" t="str">
        <f t="shared" si="1407"/>
        <v>14:46:35.536</v>
      </c>
      <c r="U3012" t="str">
        <f t="shared" si="1409"/>
        <v>A9808D</v>
      </c>
      <c r="V3012">
        <v>0</v>
      </c>
      <c r="W3012">
        <v>0</v>
      </c>
      <c r="X3012">
        <v>1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0</v>
      </c>
      <c r="AI3012" t="s">
        <v>733</v>
      </c>
      <c r="AJ3012">
        <v>28.247136999999999</v>
      </c>
      <c r="AK3012" t="s">
        <v>734</v>
      </c>
      <c r="AL3012">
        <v>-82.291759999999996</v>
      </c>
      <c r="AM3012">
        <v>100</v>
      </c>
      <c r="AN3012">
        <v>2400</v>
      </c>
      <c r="AO3012" t="s">
        <v>118</v>
      </c>
      <c r="AP3012">
        <v>120</v>
      </c>
      <c r="AQ3012">
        <v>-8</v>
      </c>
      <c r="AR3012">
        <v>-960</v>
      </c>
      <c r="AZ3012">
        <v>1200</v>
      </c>
      <c r="BA3012">
        <v>1</v>
      </c>
      <c r="BB3012" t="str">
        <f t="shared" si="1390"/>
        <v xml:space="preserve">N711JA  </v>
      </c>
      <c r="BC3012">
        <v>1</v>
      </c>
      <c r="BE3012">
        <v>0</v>
      </c>
      <c r="BF3012">
        <v>0</v>
      </c>
      <c r="BG3012">
        <v>0</v>
      </c>
      <c r="BH3012">
        <v>2500</v>
      </c>
      <c r="BI3012">
        <v>1</v>
      </c>
      <c r="BJ3012">
        <v>1</v>
      </c>
      <c r="BK3012">
        <v>0</v>
      </c>
      <c r="BL3012">
        <v>0</v>
      </c>
      <c r="BO3012">
        <v>0</v>
      </c>
      <c r="BP3012">
        <v>0</v>
      </c>
      <c r="BW3012" t="str">
        <f>"14:46:35.843"</f>
        <v>14:46:35.843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6</v>
      </c>
      <c r="CP3012" t="s">
        <v>119</v>
      </c>
      <c r="CQ3012">
        <v>56</v>
      </c>
      <c r="CR3012">
        <v>2</v>
      </c>
      <c r="CW3012">
        <v>4946397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1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 t="shared" si="1405"/>
        <v>05/12/2020 14:46:18.027</v>
      </c>
      <c r="C3013" t="str">
        <f t="shared" si="1389"/>
        <v>FFDFD3C0</v>
      </c>
      <c r="D3013" t="s">
        <v>138</v>
      </c>
      <c r="E3013">
        <v>3</v>
      </c>
      <c r="H3013">
        <v>9</v>
      </c>
      <c r="I3013" t="s">
        <v>140</v>
      </c>
      <c r="J3013" t="s">
        <v>136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406"/>
        <v>14:46:35.836</v>
      </c>
      <c r="T3013" t="str">
        <f t="shared" si="1407"/>
        <v>14:46:35.536</v>
      </c>
      <c r="U3013" t="str">
        <f t="shared" si="1409"/>
        <v>A9808D</v>
      </c>
      <c r="V3013">
        <v>0</v>
      </c>
      <c r="W3013">
        <v>0</v>
      </c>
      <c r="X3013">
        <v>1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0</v>
      </c>
      <c r="AI3013" t="s">
        <v>733</v>
      </c>
      <c r="AJ3013">
        <v>28.247136999999999</v>
      </c>
      <c r="AK3013" t="s">
        <v>734</v>
      </c>
      <c r="AL3013">
        <v>-82.291759999999996</v>
      </c>
      <c r="AM3013">
        <v>100</v>
      </c>
      <c r="AN3013">
        <v>2400</v>
      </c>
      <c r="AO3013" t="s">
        <v>118</v>
      </c>
      <c r="AP3013">
        <v>120</v>
      </c>
      <c r="AQ3013">
        <v>-8</v>
      </c>
      <c r="AR3013">
        <v>-960</v>
      </c>
      <c r="AZ3013">
        <v>1200</v>
      </c>
      <c r="BA3013">
        <v>1</v>
      </c>
      <c r="BB3013" t="str">
        <f t="shared" si="1390"/>
        <v xml:space="preserve">N711JA  </v>
      </c>
      <c r="BC3013">
        <v>1</v>
      </c>
      <c r="BE3013">
        <v>0</v>
      </c>
      <c r="BF3013">
        <v>0</v>
      </c>
      <c r="BG3013">
        <v>0</v>
      </c>
      <c r="BH3013">
        <v>2500</v>
      </c>
      <c r="BI3013">
        <v>1</v>
      </c>
      <c r="BJ3013">
        <v>1</v>
      </c>
      <c r="BK3013">
        <v>0</v>
      </c>
      <c r="BL3013">
        <v>0</v>
      </c>
      <c r="BO3013">
        <v>0</v>
      </c>
      <c r="BP3013">
        <v>0</v>
      </c>
      <c r="BW3013" t="str">
        <f>"14:46:35.842"</f>
        <v>14:46:35.842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119</v>
      </c>
      <c r="CQ3013">
        <v>8</v>
      </c>
      <c r="CR3013">
        <v>3</v>
      </c>
      <c r="CW3013">
        <v>8983180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1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 t="shared" ref="A3014:A3022" si="1410">"05/12/2020 14:46:19.041"</f>
        <v>05/12/2020 14:46:19.041</v>
      </c>
      <c r="C3014" t="str">
        <f t="shared" si="1389"/>
        <v>FFDFD3C0</v>
      </c>
      <c r="D3014" t="s">
        <v>113</v>
      </c>
      <c r="E3014">
        <v>3</v>
      </c>
      <c r="H3014">
        <v>164</v>
      </c>
      <c r="I3014" t="s">
        <v>114</v>
      </c>
      <c r="J3014" t="s">
        <v>115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ref="S3014:S3022" si="1411">"14:46:36.875"</f>
        <v>14:46:36.875</v>
      </c>
      <c r="T3014" t="str">
        <f t="shared" ref="T3014:T3022" si="1412">"14:46:36.675"</f>
        <v>14:46:36.675</v>
      </c>
      <c r="U3014" t="str">
        <f t="shared" si="1409"/>
        <v>A9808D</v>
      </c>
      <c r="V3014">
        <v>0</v>
      </c>
      <c r="W3014">
        <v>0</v>
      </c>
      <c r="X3014">
        <v>1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0</v>
      </c>
      <c r="AI3014" t="s">
        <v>735</v>
      </c>
      <c r="AJ3014">
        <v>28.247094000000001</v>
      </c>
      <c r="AK3014" t="s">
        <v>736</v>
      </c>
      <c r="AL3014">
        <v>-82.291138000000004</v>
      </c>
      <c r="AM3014">
        <v>100</v>
      </c>
      <c r="AN3014">
        <v>2400</v>
      </c>
      <c r="AO3014" t="s">
        <v>118</v>
      </c>
      <c r="AP3014">
        <v>122</v>
      </c>
      <c r="AQ3014">
        <v>-8</v>
      </c>
      <c r="AR3014">
        <v>-832</v>
      </c>
      <c r="AZ3014">
        <v>1200</v>
      </c>
      <c r="BA3014">
        <v>1</v>
      </c>
      <c r="BB3014" t="str">
        <f t="shared" si="1390"/>
        <v xml:space="preserve">N711JA  </v>
      </c>
      <c r="BC3014">
        <v>1</v>
      </c>
      <c r="BE3014">
        <v>0</v>
      </c>
      <c r="BF3014">
        <v>0</v>
      </c>
      <c r="BG3014">
        <v>0</v>
      </c>
      <c r="BH3014">
        <v>2475</v>
      </c>
      <c r="BI3014">
        <v>1</v>
      </c>
      <c r="BJ3014">
        <v>1</v>
      </c>
      <c r="BK3014">
        <v>0</v>
      </c>
      <c r="BL3014">
        <v>0</v>
      </c>
      <c r="BO3014">
        <v>0</v>
      </c>
      <c r="BP3014">
        <v>0</v>
      </c>
      <c r="BW3014" t="str">
        <f t="shared" ref="BW3014:BW3022" si="1413">"14:46:36.878"</f>
        <v>14:46:36.878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8</v>
      </c>
      <c r="CR3014">
        <v>3</v>
      </c>
      <c r="CW3014">
        <v>8984207</v>
      </c>
      <c r="CY3014">
        <v>1</v>
      </c>
      <c r="CZ3014">
        <v>0</v>
      </c>
      <c r="DA3014">
        <v>0</v>
      </c>
      <c r="DB3014">
        <v>0</v>
      </c>
      <c r="DC3014">
        <v>0</v>
      </c>
      <c r="DD3014">
        <v>1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 t="shared" si="1410"/>
        <v>05/12/2020 14:46:19.041</v>
      </c>
      <c r="C3015" t="str">
        <f t="shared" si="1389"/>
        <v>FFDFD3C0</v>
      </c>
      <c r="D3015" t="s">
        <v>126</v>
      </c>
      <c r="E3015">
        <v>7</v>
      </c>
      <c r="F3015">
        <v>1007</v>
      </c>
      <c r="G3015" t="s">
        <v>127</v>
      </c>
      <c r="J3015" t="s">
        <v>128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411"/>
        <v>14:46:36.875</v>
      </c>
      <c r="T3015" t="str">
        <f t="shared" si="1412"/>
        <v>14:46:36.675</v>
      </c>
      <c r="U3015" t="str">
        <f t="shared" si="1409"/>
        <v>A9808D</v>
      </c>
      <c r="V3015">
        <v>0</v>
      </c>
      <c r="W3015">
        <v>0</v>
      </c>
      <c r="X3015">
        <v>1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0</v>
      </c>
      <c r="AI3015" t="s">
        <v>735</v>
      </c>
      <c r="AJ3015">
        <v>28.247094000000001</v>
      </c>
      <c r="AK3015" t="s">
        <v>736</v>
      </c>
      <c r="AL3015">
        <v>-82.291138000000004</v>
      </c>
      <c r="AM3015">
        <v>100</v>
      </c>
      <c r="AN3015">
        <v>2400</v>
      </c>
      <c r="AO3015" t="s">
        <v>118</v>
      </c>
      <c r="AP3015">
        <v>122</v>
      </c>
      <c r="AQ3015">
        <v>-8</v>
      </c>
      <c r="AR3015">
        <v>-832</v>
      </c>
      <c r="AZ3015">
        <v>1200</v>
      </c>
      <c r="BA3015">
        <v>1</v>
      </c>
      <c r="BB3015" t="str">
        <f t="shared" si="1390"/>
        <v xml:space="preserve">N711JA  </v>
      </c>
      <c r="BC3015">
        <v>1</v>
      </c>
      <c r="BE3015">
        <v>0</v>
      </c>
      <c r="BF3015">
        <v>0</v>
      </c>
      <c r="BG3015">
        <v>0</v>
      </c>
      <c r="BH3015">
        <v>2475</v>
      </c>
      <c r="BI3015">
        <v>1</v>
      </c>
      <c r="BJ3015">
        <v>1</v>
      </c>
      <c r="BK3015">
        <v>0</v>
      </c>
      <c r="BL3015">
        <v>0</v>
      </c>
      <c r="BO3015">
        <v>0</v>
      </c>
      <c r="BP3015">
        <v>0</v>
      </c>
      <c r="BW3015" t="str">
        <f t="shared" si="1413"/>
        <v>14:46:36.878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8</v>
      </c>
      <c r="CR3015">
        <v>3</v>
      </c>
      <c r="CW3015">
        <v>8984207</v>
      </c>
      <c r="CY3015">
        <v>1</v>
      </c>
      <c r="CZ3015">
        <v>0</v>
      </c>
      <c r="DA3015">
        <v>1</v>
      </c>
      <c r="DB3015">
        <v>0</v>
      </c>
      <c r="DC3015">
        <v>0</v>
      </c>
      <c r="DD3015">
        <v>1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 t="shared" si="1410"/>
        <v>05/12/2020 14:46:19.041</v>
      </c>
      <c r="C3016" t="str">
        <f t="shared" si="1389"/>
        <v>FFDFD3C0</v>
      </c>
      <c r="D3016" t="s">
        <v>131</v>
      </c>
      <c r="E3016">
        <v>10</v>
      </c>
      <c r="F3016">
        <v>2010</v>
      </c>
      <c r="G3016" t="s">
        <v>132</v>
      </c>
      <c r="J3016" t="s">
        <v>133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411"/>
        <v>14:46:36.875</v>
      </c>
      <c r="T3016" t="str">
        <f t="shared" si="1412"/>
        <v>14:46:36.675</v>
      </c>
      <c r="U3016" t="str">
        <f t="shared" si="1409"/>
        <v>A9808D</v>
      </c>
      <c r="V3016">
        <v>0</v>
      </c>
      <c r="W3016">
        <v>0</v>
      </c>
      <c r="X3016">
        <v>1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0</v>
      </c>
      <c r="AI3016" t="s">
        <v>735</v>
      </c>
      <c r="AJ3016">
        <v>28.247094000000001</v>
      </c>
      <c r="AK3016" t="s">
        <v>736</v>
      </c>
      <c r="AL3016">
        <v>-82.291138000000004</v>
      </c>
      <c r="AM3016">
        <v>100</v>
      </c>
      <c r="AN3016">
        <v>2400</v>
      </c>
      <c r="AO3016" t="s">
        <v>118</v>
      </c>
      <c r="AP3016">
        <v>122</v>
      </c>
      <c r="AQ3016">
        <v>-8</v>
      </c>
      <c r="AR3016">
        <v>-832</v>
      </c>
      <c r="AZ3016">
        <v>1200</v>
      </c>
      <c r="BA3016">
        <v>1</v>
      </c>
      <c r="BB3016" t="str">
        <f t="shared" si="1390"/>
        <v xml:space="preserve">N711JA  </v>
      </c>
      <c r="BC3016">
        <v>1</v>
      </c>
      <c r="BE3016">
        <v>0</v>
      </c>
      <c r="BF3016">
        <v>0</v>
      </c>
      <c r="BG3016">
        <v>0</v>
      </c>
      <c r="BH3016">
        <v>2475</v>
      </c>
      <c r="BI3016">
        <v>1</v>
      </c>
      <c r="BJ3016">
        <v>1</v>
      </c>
      <c r="BK3016">
        <v>0</v>
      </c>
      <c r="BL3016">
        <v>0</v>
      </c>
      <c r="BO3016">
        <v>0</v>
      </c>
      <c r="BP3016">
        <v>0</v>
      </c>
      <c r="BW3016" t="str">
        <f t="shared" si="1413"/>
        <v>14:46:36.878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119</v>
      </c>
      <c r="CQ3016">
        <v>8</v>
      </c>
      <c r="CR3016">
        <v>3</v>
      </c>
      <c r="CW3016">
        <v>8984207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1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 t="shared" si="1410"/>
        <v>05/12/2020 14:46:19.041</v>
      </c>
      <c r="C3017" t="str">
        <f t="shared" si="1389"/>
        <v>FFDFD3C0</v>
      </c>
      <c r="D3017" t="s">
        <v>138</v>
      </c>
      <c r="E3017">
        <v>2</v>
      </c>
      <c r="H3017">
        <v>8</v>
      </c>
      <c r="I3017" t="s">
        <v>139</v>
      </c>
      <c r="J3017" t="s">
        <v>136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411"/>
        <v>14:46:36.875</v>
      </c>
      <c r="T3017" t="str">
        <f t="shared" si="1412"/>
        <v>14:46:36.675</v>
      </c>
      <c r="U3017" t="str">
        <f t="shared" si="1409"/>
        <v>A9808D</v>
      </c>
      <c r="V3017">
        <v>0</v>
      </c>
      <c r="W3017">
        <v>0</v>
      </c>
      <c r="X3017">
        <v>1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0</v>
      </c>
      <c r="AI3017" t="s">
        <v>735</v>
      </c>
      <c r="AJ3017">
        <v>28.247094000000001</v>
      </c>
      <c r="AK3017" t="s">
        <v>736</v>
      </c>
      <c r="AL3017">
        <v>-82.291138000000004</v>
      </c>
      <c r="AM3017">
        <v>100</v>
      </c>
      <c r="AN3017">
        <v>2400</v>
      </c>
      <c r="AO3017" t="s">
        <v>118</v>
      </c>
      <c r="AP3017">
        <v>122</v>
      </c>
      <c r="AQ3017">
        <v>-8</v>
      </c>
      <c r="AR3017">
        <v>-832</v>
      </c>
      <c r="AZ3017">
        <v>1200</v>
      </c>
      <c r="BA3017">
        <v>1</v>
      </c>
      <c r="BB3017" t="str">
        <f t="shared" si="1390"/>
        <v xml:space="preserve">N711JA  </v>
      </c>
      <c r="BC3017">
        <v>1</v>
      </c>
      <c r="BE3017">
        <v>0</v>
      </c>
      <c r="BF3017">
        <v>0</v>
      </c>
      <c r="BG3017">
        <v>0</v>
      </c>
      <c r="BH3017">
        <v>2475</v>
      </c>
      <c r="BI3017">
        <v>1</v>
      </c>
      <c r="BJ3017">
        <v>1</v>
      </c>
      <c r="BK3017">
        <v>0</v>
      </c>
      <c r="BL3017">
        <v>0</v>
      </c>
      <c r="BO3017">
        <v>0</v>
      </c>
      <c r="BP3017">
        <v>0</v>
      </c>
      <c r="BW3017" t="str">
        <f t="shared" si="1413"/>
        <v>14:46:36.878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8</v>
      </c>
      <c r="CR3017">
        <v>3</v>
      </c>
      <c r="CW3017">
        <v>8984207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1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 t="shared" si="1410"/>
        <v>05/12/2020 14:46:19.041</v>
      </c>
      <c r="C3018" t="str">
        <f t="shared" si="1389"/>
        <v>FFDFD3C0</v>
      </c>
      <c r="D3018" t="s">
        <v>131</v>
      </c>
      <c r="E3018">
        <v>12</v>
      </c>
      <c r="F3018">
        <v>2012</v>
      </c>
      <c r="G3018" t="s">
        <v>137</v>
      </c>
      <c r="J3018" t="s">
        <v>133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411"/>
        <v>14:46:36.875</v>
      </c>
      <c r="T3018" t="str">
        <f t="shared" si="1412"/>
        <v>14:46:36.675</v>
      </c>
      <c r="U3018" t="str">
        <f t="shared" si="1409"/>
        <v>A9808D</v>
      </c>
      <c r="V3018">
        <v>0</v>
      </c>
      <c r="W3018">
        <v>0</v>
      </c>
      <c r="X3018">
        <v>1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0</v>
      </c>
      <c r="AI3018" t="s">
        <v>735</v>
      </c>
      <c r="AJ3018">
        <v>28.247094000000001</v>
      </c>
      <c r="AK3018" t="s">
        <v>736</v>
      </c>
      <c r="AL3018">
        <v>-82.291138000000004</v>
      </c>
      <c r="AM3018">
        <v>100</v>
      </c>
      <c r="AN3018">
        <v>2400</v>
      </c>
      <c r="AO3018" t="s">
        <v>118</v>
      </c>
      <c r="AP3018">
        <v>122</v>
      </c>
      <c r="AQ3018">
        <v>-8</v>
      </c>
      <c r="AR3018">
        <v>-832</v>
      </c>
      <c r="AZ3018">
        <v>1200</v>
      </c>
      <c r="BA3018">
        <v>1</v>
      </c>
      <c r="BB3018" t="str">
        <f t="shared" si="1390"/>
        <v xml:space="preserve">N711JA  </v>
      </c>
      <c r="BC3018">
        <v>1</v>
      </c>
      <c r="BE3018">
        <v>0</v>
      </c>
      <c r="BF3018">
        <v>0</v>
      </c>
      <c r="BG3018">
        <v>0</v>
      </c>
      <c r="BH3018">
        <v>2475</v>
      </c>
      <c r="BI3018">
        <v>1</v>
      </c>
      <c r="BJ3018">
        <v>1</v>
      </c>
      <c r="BK3018">
        <v>0</v>
      </c>
      <c r="BL3018">
        <v>0</v>
      </c>
      <c r="BO3018">
        <v>0</v>
      </c>
      <c r="BP3018">
        <v>0</v>
      </c>
      <c r="BW3018" t="str">
        <f t="shared" si="1413"/>
        <v>14:46:36.878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8</v>
      </c>
      <c r="CR3018">
        <v>3</v>
      </c>
      <c r="CW3018">
        <v>8984207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1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 t="shared" si="1410"/>
        <v>05/12/2020 14:46:19.041</v>
      </c>
      <c r="C3019" t="str">
        <f t="shared" si="1389"/>
        <v>FFDFD3C0</v>
      </c>
      <c r="D3019" t="s">
        <v>131</v>
      </c>
      <c r="E3019">
        <v>18</v>
      </c>
      <c r="F3019">
        <v>2018</v>
      </c>
      <c r="G3019" t="s">
        <v>161</v>
      </c>
      <c r="J3019" t="s">
        <v>133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411"/>
        <v>14:46:36.875</v>
      </c>
      <c r="T3019" t="str">
        <f t="shared" si="1412"/>
        <v>14:46:36.675</v>
      </c>
      <c r="U3019" t="str">
        <f t="shared" si="1409"/>
        <v>A9808D</v>
      </c>
      <c r="V3019">
        <v>0</v>
      </c>
      <c r="W3019">
        <v>0</v>
      </c>
      <c r="X3019">
        <v>1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0</v>
      </c>
      <c r="AI3019" t="s">
        <v>735</v>
      </c>
      <c r="AJ3019">
        <v>28.247094000000001</v>
      </c>
      <c r="AK3019" t="s">
        <v>736</v>
      </c>
      <c r="AL3019">
        <v>-82.291138000000004</v>
      </c>
      <c r="AM3019">
        <v>100</v>
      </c>
      <c r="AN3019">
        <v>2400</v>
      </c>
      <c r="AO3019" t="s">
        <v>118</v>
      </c>
      <c r="AP3019">
        <v>122</v>
      </c>
      <c r="AQ3019">
        <v>-8</v>
      </c>
      <c r="AR3019">
        <v>-832</v>
      </c>
      <c r="AZ3019">
        <v>1200</v>
      </c>
      <c r="BA3019">
        <v>1</v>
      </c>
      <c r="BB3019" t="str">
        <f t="shared" si="1390"/>
        <v xml:space="preserve">N711JA  </v>
      </c>
      <c r="BC3019">
        <v>1</v>
      </c>
      <c r="BE3019">
        <v>0</v>
      </c>
      <c r="BF3019">
        <v>0</v>
      </c>
      <c r="BG3019">
        <v>0</v>
      </c>
      <c r="BH3019">
        <v>2475</v>
      </c>
      <c r="BI3019">
        <v>1</v>
      </c>
      <c r="BJ3019">
        <v>1</v>
      </c>
      <c r="BK3019">
        <v>0</v>
      </c>
      <c r="BL3019">
        <v>0</v>
      </c>
      <c r="BO3019">
        <v>0</v>
      </c>
      <c r="BP3019">
        <v>0</v>
      </c>
      <c r="BW3019" t="str">
        <f t="shared" si="1413"/>
        <v>14:46:36.878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6</v>
      </c>
      <c r="CP3019" t="s">
        <v>119</v>
      </c>
      <c r="CQ3019">
        <v>56</v>
      </c>
      <c r="CR3019">
        <v>2</v>
      </c>
      <c r="CW3019">
        <v>4947669</v>
      </c>
      <c r="CY3019">
        <v>1</v>
      </c>
      <c r="CZ3019">
        <v>0</v>
      </c>
      <c r="DA3019">
        <v>1</v>
      </c>
      <c r="DB3019">
        <v>0</v>
      </c>
      <c r="DC3019">
        <v>0</v>
      </c>
      <c r="DD3019">
        <v>1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 t="shared" si="1410"/>
        <v>05/12/2020 14:46:19.041</v>
      </c>
      <c r="C3020" t="str">
        <f t="shared" si="1389"/>
        <v>FFDFD3C0</v>
      </c>
      <c r="D3020" t="s">
        <v>134</v>
      </c>
      <c r="E3020">
        <v>12</v>
      </c>
      <c r="H3020">
        <v>64</v>
      </c>
      <c r="I3020" t="s">
        <v>135</v>
      </c>
      <c r="J3020" t="s">
        <v>136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411"/>
        <v>14:46:36.875</v>
      </c>
      <c r="T3020" t="str">
        <f t="shared" si="1412"/>
        <v>14:46:36.675</v>
      </c>
      <c r="U3020" t="str">
        <f t="shared" si="1409"/>
        <v>A9808D</v>
      </c>
      <c r="V3020">
        <v>0</v>
      </c>
      <c r="W3020">
        <v>0</v>
      </c>
      <c r="X3020">
        <v>1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0</v>
      </c>
      <c r="AI3020" t="s">
        <v>735</v>
      </c>
      <c r="AJ3020">
        <v>28.247094000000001</v>
      </c>
      <c r="AK3020" t="s">
        <v>736</v>
      </c>
      <c r="AL3020">
        <v>-82.291138000000004</v>
      </c>
      <c r="AM3020">
        <v>100</v>
      </c>
      <c r="AN3020">
        <v>2400</v>
      </c>
      <c r="AO3020" t="s">
        <v>118</v>
      </c>
      <c r="AP3020">
        <v>122</v>
      </c>
      <c r="AQ3020">
        <v>-8</v>
      </c>
      <c r="AR3020">
        <v>-832</v>
      </c>
      <c r="AZ3020">
        <v>1200</v>
      </c>
      <c r="BA3020">
        <v>1</v>
      </c>
      <c r="BB3020" t="str">
        <f t="shared" si="1390"/>
        <v xml:space="preserve">N711JA  </v>
      </c>
      <c r="BC3020">
        <v>1</v>
      </c>
      <c r="BE3020">
        <v>0</v>
      </c>
      <c r="BF3020">
        <v>0</v>
      </c>
      <c r="BG3020">
        <v>0</v>
      </c>
      <c r="BH3020">
        <v>2475</v>
      </c>
      <c r="BI3020">
        <v>1</v>
      </c>
      <c r="BJ3020">
        <v>1</v>
      </c>
      <c r="BK3020">
        <v>0</v>
      </c>
      <c r="BL3020">
        <v>0</v>
      </c>
      <c r="BO3020">
        <v>0</v>
      </c>
      <c r="BP3020">
        <v>0</v>
      </c>
      <c r="BW3020" t="str">
        <f t="shared" si="1413"/>
        <v>14:46:36.878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8</v>
      </c>
      <c r="CR3020">
        <v>3</v>
      </c>
      <c r="CW3020">
        <v>8984207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1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 t="shared" si="1410"/>
        <v>05/12/2020 14:46:19.041</v>
      </c>
      <c r="C3021" t="str">
        <f t="shared" si="1389"/>
        <v>FFDFD3C0</v>
      </c>
      <c r="D3021" t="s">
        <v>138</v>
      </c>
      <c r="E3021">
        <v>3</v>
      </c>
      <c r="H3021">
        <v>9</v>
      </c>
      <c r="I3021" t="s">
        <v>140</v>
      </c>
      <c r="J3021" t="s">
        <v>136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411"/>
        <v>14:46:36.875</v>
      </c>
      <c r="T3021" t="str">
        <f t="shared" si="1412"/>
        <v>14:46:36.675</v>
      </c>
      <c r="U3021" t="str">
        <f t="shared" si="1409"/>
        <v>A9808D</v>
      </c>
      <c r="V3021">
        <v>0</v>
      </c>
      <c r="W3021">
        <v>0</v>
      </c>
      <c r="X3021">
        <v>1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0</v>
      </c>
      <c r="AI3021" t="s">
        <v>735</v>
      </c>
      <c r="AJ3021">
        <v>28.247094000000001</v>
      </c>
      <c r="AK3021" t="s">
        <v>736</v>
      </c>
      <c r="AL3021">
        <v>-82.291138000000004</v>
      </c>
      <c r="AM3021">
        <v>100</v>
      </c>
      <c r="AN3021">
        <v>2400</v>
      </c>
      <c r="AO3021" t="s">
        <v>118</v>
      </c>
      <c r="AP3021">
        <v>122</v>
      </c>
      <c r="AQ3021">
        <v>-8</v>
      </c>
      <c r="AR3021">
        <v>-832</v>
      </c>
      <c r="AZ3021">
        <v>1200</v>
      </c>
      <c r="BA3021">
        <v>1</v>
      </c>
      <c r="BB3021" t="str">
        <f t="shared" si="1390"/>
        <v xml:space="preserve">N711JA  </v>
      </c>
      <c r="BC3021">
        <v>1</v>
      </c>
      <c r="BE3021">
        <v>0</v>
      </c>
      <c r="BF3021">
        <v>0</v>
      </c>
      <c r="BG3021">
        <v>0</v>
      </c>
      <c r="BH3021">
        <v>2475</v>
      </c>
      <c r="BI3021">
        <v>1</v>
      </c>
      <c r="BJ3021">
        <v>1</v>
      </c>
      <c r="BK3021">
        <v>0</v>
      </c>
      <c r="BL3021">
        <v>0</v>
      </c>
      <c r="BO3021">
        <v>0</v>
      </c>
      <c r="BP3021">
        <v>0</v>
      </c>
      <c r="BW3021" t="str">
        <f t="shared" si="1413"/>
        <v>14:46:36.878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8</v>
      </c>
      <c r="CR3021">
        <v>3</v>
      </c>
      <c r="CW3021">
        <v>8984207</v>
      </c>
      <c r="CY3021">
        <v>1</v>
      </c>
      <c r="CZ3021">
        <v>0</v>
      </c>
      <c r="DA3021">
        <v>1</v>
      </c>
      <c r="DB3021">
        <v>0</v>
      </c>
      <c r="DC3021">
        <v>0</v>
      </c>
      <c r="DD3021">
        <v>1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 t="shared" si="1410"/>
        <v>05/12/2020 14:46:19.041</v>
      </c>
      <c r="C3022" t="str">
        <f t="shared" si="1389"/>
        <v>FFDFD3C0</v>
      </c>
      <c r="D3022" t="s">
        <v>126</v>
      </c>
      <c r="E3022">
        <v>6</v>
      </c>
      <c r="F3022">
        <v>1006</v>
      </c>
      <c r="G3022" t="s">
        <v>114</v>
      </c>
      <c r="J3022" t="s">
        <v>128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411"/>
        <v>14:46:36.875</v>
      </c>
      <c r="T3022" t="str">
        <f t="shared" si="1412"/>
        <v>14:46:36.675</v>
      </c>
      <c r="U3022" t="str">
        <f t="shared" si="1409"/>
        <v>A9808D</v>
      </c>
      <c r="V3022">
        <v>0</v>
      </c>
      <c r="W3022">
        <v>0</v>
      </c>
      <c r="X3022">
        <v>1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0</v>
      </c>
      <c r="AI3022" t="s">
        <v>735</v>
      </c>
      <c r="AJ3022">
        <v>28.247094000000001</v>
      </c>
      <c r="AK3022" t="s">
        <v>736</v>
      </c>
      <c r="AL3022">
        <v>-82.291138000000004</v>
      </c>
      <c r="AM3022">
        <v>100</v>
      </c>
      <c r="AN3022">
        <v>2400</v>
      </c>
      <c r="AO3022" t="s">
        <v>118</v>
      </c>
      <c r="AP3022">
        <v>122</v>
      </c>
      <c r="AQ3022">
        <v>-8</v>
      </c>
      <c r="AR3022">
        <v>-832</v>
      </c>
      <c r="AZ3022">
        <v>1200</v>
      </c>
      <c r="BA3022">
        <v>1</v>
      </c>
      <c r="BB3022" t="str">
        <f t="shared" si="1390"/>
        <v xml:space="preserve">N711JA  </v>
      </c>
      <c r="BC3022">
        <v>1</v>
      </c>
      <c r="BE3022">
        <v>0</v>
      </c>
      <c r="BF3022">
        <v>0</v>
      </c>
      <c r="BG3022">
        <v>0</v>
      </c>
      <c r="BH3022">
        <v>2475</v>
      </c>
      <c r="BI3022">
        <v>1</v>
      </c>
      <c r="BJ3022">
        <v>1</v>
      </c>
      <c r="BK3022">
        <v>0</v>
      </c>
      <c r="BL3022">
        <v>0</v>
      </c>
      <c r="BO3022">
        <v>0</v>
      </c>
      <c r="BP3022">
        <v>0</v>
      </c>
      <c r="BW3022" t="str">
        <f t="shared" si="1413"/>
        <v>14:46:36.878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8</v>
      </c>
      <c r="CR3022">
        <v>3</v>
      </c>
      <c r="CW3022">
        <v>8984207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1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 t="shared" ref="A3023:A3031" si="1414">"05/12/2020 14:46:19.906"</f>
        <v>05/12/2020 14:46:19.906</v>
      </c>
      <c r="C3023" t="str">
        <f t="shared" si="1389"/>
        <v>FFDFD3C0</v>
      </c>
      <c r="D3023" t="s">
        <v>138</v>
      </c>
      <c r="E3023">
        <v>2</v>
      </c>
      <c r="H3023">
        <v>8</v>
      </c>
      <c r="I3023" t="s">
        <v>139</v>
      </c>
      <c r="J3023" t="s">
        <v>136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ref="S3023:S3031" si="1415">"14:46:37.727"</f>
        <v>14:46:37.727</v>
      </c>
      <c r="T3023" t="str">
        <f t="shared" ref="T3023:T3031" si="1416">"14:46:37.527"</f>
        <v>14:46:37.527</v>
      </c>
      <c r="U3023" t="str">
        <f t="shared" si="1409"/>
        <v>A9808D</v>
      </c>
      <c r="V3023">
        <v>0</v>
      </c>
      <c r="W3023">
        <v>0</v>
      </c>
      <c r="X3023">
        <v>1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0</v>
      </c>
      <c r="AI3023" t="s">
        <v>229</v>
      </c>
      <c r="AJ3023">
        <v>28.247050999999999</v>
      </c>
      <c r="AK3023" t="s">
        <v>737</v>
      </c>
      <c r="AL3023">
        <v>-82.290559000000002</v>
      </c>
      <c r="AM3023">
        <v>100</v>
      </c>
      <c r="AN3023">
        <v>2400</v>
      </c>
      <c r="AO3023" t="s">
        <v>118</v>
      </c>
      <c r="AP3023">
        <v>123</v>
      </c>
      <c r="AQ3023">
        <v>-8</v>
      </c>
      <c r="AR3023">
        <v>-704</v>
      </c>
      <c r="AZ3023">
        <v>1200</v>
      </c>
      <c r="BA3023">
        <v>1</v>
      </c>
      <c r="BB3023" t="str">
        <f t="shared" si="1390"/>
        <v xml:space="preserve">N711JA  </v>
      </c>
      <c r="BC3023">
        <v>1</v>
      </c>
      <c r="BE3023">
        <v>0</v>
      </c>
      <c r="BF3023">
        <v>0</v>
      </c>
      <c r="BG3023">
        <v>0</v>
      </c>
      <c r="BH3023">
        <v>2475</v>
      </c>
      <c r="BI3023">
        <v>1</v>
      </c>
      <c r="BJ3023">
        <v>1</v>
      </c>
      <c r="BK3023">
        <v>0</v>
      </c>
      <c r="BL3023">
        <v>0</v>
      </c>
      <c r="BO3023">
        <v>0</v>
      </c>
      <c r="BP3023">
        <v>0</v>
      </c>
      <c r="BW3023" t="str">
        <f t="shared" ref="BW3023:BW3031" si="1417">"14:46:37.728"</f>
        <v>14:46:37.728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8</v>
      </c>
      <c r="CR3023">
        <v>3</v>
      </c>
      <c r="CW3023">
        <v>8985118</v>
      </c>
      <c r="CY3023">
        <v>1</v>
      </c>
      <c r="CZ3023">
        <v>0</v>
      </c>
      <c r="DA3023">
        <v>0</v>
      </c>
      <c r="DB3023">
        <v>0</v>
      </c>
      <c r="DC3023">
        <v>0</v>
      </c>
      <c r="DD3023">
        <v>1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 t="shared" si="1414"/>
        <v>05/12/2020 14:46:19.906</v>
      </c>
      <c r="C3024" t="str">
        <f t="shared" si="1389"/>
        <v>FFDFD3C0</v>
      </c>
      <c r="D3024" t="s">
        <v>131</v>
      </c>
      <c r="E3024">
        <v>12</v>
      </c>
      <c r="F3024">
        <v>2012</v>
      </c>
      <c r="G3024" t="s">
        <v>137</v>
      </c>
      <c r="J3024" t="s">
        <v>133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415"/>
        <v>14:46:37.727</v>
      </c>
      <c r="T3024" t="str">
        <f t="shared" si="1416"/>
        <v>14:46:37.527</v>
      </c>
      <c r="U3024" t="str">
        <f t="shared" si="1409"/>
        <v>A9808D</v>
      </c>
      <c r="V3024">
        <v>0</v>
      </c>
      <c r="W3024">
        <v>0</v>
      </c>
      <c r="X3024">
        <v>1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0</v>
      </c>
      <c r="AI3024" t="s">
        <v>229</v>
      </c>
      <c r="AJ3024">
        <v>28.247050999999999</v>
      </c>
      <c r="AK3024" t="s">
        <v>737</v>
      </c>
      <c r="AL3024">
        <v>-82.290559000000002</v>
      </c>
      <c r="AM3024">
        <v>100</v>
      </c>
      <c r="AN3024">
        <v>2400</v>
      </c>
      <c r="AO3024" t="s">
        <v>118</v>
      </c>
      <c r="AP3024">
        <v>123</v>
      </c>
      <c r="AQ3024">
        <v>-8</v>
      </c>
      <c r="AR3024">
        <v>-704</v>
      </c>
      <c r="AZ3024">
        <v>1200</v>
      </c>
      <c r="BA3024">
        <v>1</v>
      </c>
      <c r="BB3024" t="str">
        <f t="shared" si="1390"/>
        <v xml:space="preserve">N711JA  </v>
      </c>
      <c r="BC3024">
        <v>1</v>
      </c>
      <c r="BE3024">
        <v>0</v>
      </c>
      <c r="BF3024">
        <v>0</v>
      </c>
      <c r="BG3024">
        <v>0</v>
      </c>
      <c r="BH3024">
        <v>2475</v>
      </c>
      <c r="BI3024">
        <v>1</v>
      </c>
      <c r="BJ3024">
        <v>1</v>
      </c>
      <c r="BK3024">
        <v>0</v>
      </c>
      <c r="BL3024">
        <v>0</v>
      </c>
      <c r="BO3024">
        <v>0</v>
      </c>
      <c r="BP3024">
        <v>0</v>
      </c>
      <c r="BW3024" t="str">
        <f t="shared" si="1417"/>
        <v>14:46:37.728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8</v>
      </c>
      <c r="CR3024">
        <v>3</v>
      </c>
      <c r="CW3024">
        <v>8985118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1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 t="shared" si="1414"/>
        <v>05/12/2020 14:46:19.906</v>
      </c>
      <c r="C3025" t="str">
        <f t="shared" si="1389"/>
        <v>FFDFD3C0</v>
      </c>
      <c r="D3025" t="s">
        <v>131</v>
      </c>
      <c r="E3025">
        <v>18</v>
      </c>
      <c r="F3025">
        <v>2018</v>
      </c>
      <c r="G3025" t="s">
        <v>161</v>
      </c>
      <c r="J3025" t="s">
        <v>133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415"/>
        <v>14:46:37.727</v>
      </c>
      <c r="T3025" t="str">
        <f t="shared" si="1416"/>
        <v>14:46:37.527</v>
      </c>
      <c r="U3025" t="str">
        <f t="shared" si="1409"/>
        <v>A9808D</v>
      </c>
      <c r="V3025">
        <v>0</v>
      </c>
      <c r="W3025">
        <v>0</v>
      </c>
      <c r="X3025">
        <v>1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0</v>
      </c>
      <c r="AI3025" t="s">
        <v>229</v>
      </c>
      <c r="AJ3025">
        <v>28.247050999999999</v>
      </c>
      <c r="AK3025" t="s">
        <v>737</v>
      </c>
      <c r="AL3025">
        <v>-82.290559000000002</v>
      </c>
      <c r="AM3025">
        <v>100</v>
      </c>
      <c r="AN3025">
        <v>2400</v>
      </c>
      <c r="AO3025" t="s">
        <v>118</v>
      </c>
      <c r="AP3025">
        <v>123</v>
      </c>
      <c r="AQ3025">
        <v>-8</v>
      </c>
      <c r="AR3025">
        <v>-704</v>
      </c>
      <c r="AZ3025">
        <v>1200</v>
      </c>
      <c r="BA3025">
        <v>1</v>
      </c>
      <c r="BB3025" t="str">
        <f t="shared" si="1390"/>
        <v xml:space="preserve">N711JA  </v>
      </c>
      <c r="BC3025">
        <v>1</v>
      </c>
      <c r="BE3025">
        <v>0</v>
      </c>
      <c r="BF3025">
        <v>0</v>
      </c>
      <c r="BG3025">
        <v>0</v>
      </c>
      <c r="BH3025">
        <v>2475</v>
      </c>
      <c r="BI3025">
        <v>1</v>
      </c>
      <c r="BJ3025">
        <v>1</v>
      </c>
      <c r="BK3025">
        <v>0</v>
      </c>
      <c r="BL3025">
        <v>0</v>
      </c>
      <c r="BO3025">
        <v>0</v>
      </c>
      <c r="BP3025">
        <v>0</v>
      </c>
      <c r="BW3025" t="str">
        <f t="shared" si="1417"/>
        <v>14:46:37.728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6</v>
      </c>
      <c r="CP3025" t="s">
        <v>119</v>
      </c>
      <c r="CQ3025">
        <v>56</v>
      </c>
      <c r="CR3025">
        <v>2</v>
      </c>
      <c r="CW3025">
        <v>4948803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1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 t="shared" si="1414"/>
        <v>05/12/2020 14:46:19.906</v>
      </c>
      <c r="C3026" t="str">
        <f t="shared" si="1389"/>
        <v>FFDFD3C0</v>
      </c>
      <c r="D3026" t="s">
        <v>134</v>
      </c>
      <c r="E3026">
        <v>12</v>
      </c>
      <c r="H3026">
        <v>64</v>
      </c>
      <c r="I3026" t="s">
        <v>135</v>
      </c>
      <c r="J3026" t="s">
        <v>136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415"/>
        <v>14:46:37.727</v>
      </c>
      <c r="T3026" t="str">
        <f t="shared" si="1416"/>
        <v>14:46:37.527</v>
      </c>
      <c r="U3026" t="str">
        <f t="shared" si="1409"/>
        <v>A9808D</v>
      </c>
      <c r="V3026">
        <v>0</v>
      </c>
      <c r="W3026">
        <v>0</v>
      </c>
      <c r="X3026">
        <v>1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0</v>
      </c>
      <c r="AI3026" t="s">
        <v>229</v>
      </c>
      <c r="AJ3026">
        <v>28.247050999999999</v>
      </c>
      <c r="AK3026" t="s">
        <v>737</v>
      </c>
      <c r="AL3026">
        <v>-82.290559000000002</v>
      </c>
      <c r="AM3026">
        <v>100</v>
      </c>
      <c r="AN3026">
        <v>2400</v>
      </c>
      <c r="AO3026" t="s">
        <v>118</v>
      </c>
      <c r="AP3026">
        <v>123</v>
      </c>
      <c r="AQ3026">
        <v>-8</v>
      </c>
      <c r="AR3026">
        <v>-704</v>
      </c>
      <c r="AZ3026">
        <v>1200</v>
      </c>
      <c r="BA3026">
        <v>1</v>
      </c>
      <c r="BB3026" t="str">
        <f t="shared" si="1390"/>
        <v xml:space="preserve">N711JA  </v>
      </c>
      <c r="BC3026">
        <v>1</v>
      </c>
      <c r="BE3026">
        <v>0</v>
      </c>
      <c r="BF3026">
        <v>0</v>
      </c>
      <c r="BG3026">
        <v>0</v>
      </c>
      <c r="BH3026">
        <v>2475</v>
      </c>
      <c r="BI3026">
        <v>1</v>
      </c>
      <c r="BJ3026">
        <v>1</v>
      </c>
      <c r="BK3026">
        <v>0</v>
      </c>
      <c r="BL3026">
        <v>0</v>
      </c>
      <c r="BO3026">
        <v>0</v>
      </c>
      <c r="BP3026">
        <v>0</v>
      </c>
      <c r="BW3026" t="str">
        <f t="shared" si="1417"/>
        <v>14:46:37.728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8</v>
      </c>
      <c r="CR3026">
        <v>3</v>
      </c>
      <c r="CW3026">
        <v>8985118</v>
      </c>
      <c r="CY3026">
        <v>1</v>
      </c>
      <c r="CZ3026">
        <v>0</v>
      </c>
      <c r="DA3026">
        <v>1</v>
      </c>
      <c r="DB3026">
        <v>0</v>
      </c>
      <c r="DC3026">
        <v>0</v>
      </c>
      <c r="DD3026">
        <v>1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 t="shared" si="1414"/>
        <v>05/12/2020 14:46:19.906</v>
      </c>
      <c r="C3027" t="str">
        <f t="shared" si="1389"/>
        <v>FFDFD3C0</v>
      </c>
      <c r="D3027" t="s">
        <v>138</v>
      </c>
      <c r="E3027">
        <v>3</v>
      </c>
      <c r="H3027">
        <v>9</v>
      </c>
      <c r="I3027" t="s">
        <v>140</v>
      </c>
      <c r="J3027" t="s">
        <v>136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415"/>
        <v>14:46:37.727</v>
      </c>
      <c r="T3027" t="str">
        <f t="shared" si="1416"/>
        <v>14:46:37.527</v>
      </c>
      <c r="U3027" t="str">
        <f t="shared" si="1409"/>
        <v>A9808D</v>
      </c>
      <c r="V3027">
        <v>0</v>
      </c>
      <c r="W3027">
        <v>0</v>
      </c>
      <c r="X3027">
        <v>1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0</v>
      </c>
      <c r="AI3027" t="s">
        <v>229</v>
      </c>
      <c r="AJ3027">
        <v>28.247050999999999</v>
      </c>
      <c r="AK3027" t="s">
        <v>737</v>
      </c>
      <c r="AL3027">
        <v>-82.290559000000002</v>
      </c>
      <c r="AM3027">
        <v>100</v>
      </c>
      <c r="AN3027">
        <v>2400</v>
      </c>
      <c r="AO3027" t="s">
        <v>118</v>
      </c>
      <c r="AP3027">
        <v>123</v>
      </c>
      <c r="AQ3027">
        <v>-8</v>
      </c>
      <c r="AR3027">
        <v>-704</v>
      </c>
      <c r="AZ3027">
        <v>1200</v>
      </c>
      <c r="BA3027">
        <v>1</v>
      </c>
      <c r="BB3027" t="str">
        <f t="shared" si="1390"/>
        <v xml:space="preserve">N711JA  </v>
      </c>
      <c r="BC3027">
        <v>1</v>
      </c>
      <c r="BE3027">
        <v>0</v>
      </c>
      <c r="BF3027">
        <v>0</v>
      </c>
      <c r="BG3027">
        <v>0</v>
      </c>
      <c r="BH3027">
        <v>2475</v>
      </c>
      <c r="BI3027">
        <v>1</v>
      </c>
      <c r="BJ3027">
        <v>1</v>
      </c>
      <c r="BK3027">
        <v>0</v>
      </c>
      <c r="BL3027">
        <v>0</v>
      </c>
      <c r="BO3027">
        <v>0</v>
      </c>
      <c r="BP3027">
        <v>0</v>
      </c>
      <c r="BW3027" t="str">
        <f t="shared" si="1417"/>
        <v>14:46:37.728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8</v>
      </c>
      <c r="CR3027">
        <v>3</v>
      </c>
      <c r="CW3027">
        <v>8985118</v>
      </c>
      <c r="CY3027">
        <v>1</v>
      </c>
      <c r="CZ3027">
        <v>0</v>
      </c>
      <c r="DA3027">
        <v>1</v>
      </c>
      <c r="DB3027">
        <v>0</v>
      </c>
      <c r="DC3027">
        <v>0</v>
      </c>
      <c r="DD3027">
        <v>1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 t="shared" si="1414"/>
        <v>05/12/2020 14:46:19.906</v>
      </c>
      <c r="C3028" t="str">
        <f t="shared" si="1389"/>
        <v>FFDFD3C0</v>
      </c>
      <c r="D3028" t="s">
        <v>126</v>
      </c>
      <c r="E3028">
        <v>6</v>
      </c>
      <c r="F3028">
        <v>1006</v>
      </c>
      <c r="G3028" t="s">
        <v>114</v>
      </c>
      <c r="J3028" t="s">
        <v>128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415"/>
        <v>14:46:37.727</v>
      </c>
      <c r="T3028" t="str">
        <f t="shared" si="1416"/>
        <v>14:46:37.527</v>
      </c>
      <c r="U3028" t="str">
        <f t="shared" si="1409"/>
        <v>A9808D</v>
      </c>
      <c r="V3028">
        <v>0</v>
      </c>
      <c r="W3028">
        <v>0</v>
      </c>
      <c r="X3028">
        <v>1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0</v>
      </c>
      <c r="AI3028" t="s">
        <v>229</v>
      </c>
      <c r="AJ3028">
        <v>28.247050999999999</v>
      </c>
      <c r="AK3028" t="s">
        <v>737</v>
      </c>
      <c r="AL3028">
        <v>-82.290559000000002</v>
      </c>
      <c r="AM3028">
        <v>100</v>
      </c>
      <c r="AN3028">
        <v>2400</v>
      </c>
      <c r="AO3028" t="s">
        <v>118</v>
      </c>
      <c r="AP3028">
        <v>123</v>
      </c>
      <c r="AQ3028">
        <v>-8</v>
      </c>
      <c r="AR3028">
        <v>-704</v>
      </c>
      <c r="AZ3028">
        <v>1200</v>
      </c>
      <c r="BA3028">
        <v>1</v>
      </c>
      <c r="BB3028" t="str">
        <f t="shared" si="1390"/>
        <v xml:space="preserve">N711JA  </v>
      </c>
      <c r="BC3028">
        <v>1</v>
      </c>
      <c r="BE3028">
        <v>0</v>
      </c>
      <c r="BF3028">
        <v>0</v>
      </c>
      <c r="BG3028">
        <v>0</v>
      </c>
      <c r="BH3028">
        <v>2475</v>
      </c>
      <c r="BI3028">
        <v>1</v>
      </c>
      <c r="BJ3028">
        <v>1</v>
      </c>
      <c r="BK3028">
        <v>0</v>
      </c>
      <c r="BL3028">
        <v>0</v>
      </c>
      <c r="BO3028">
        <v>0</v>
      </c>
      <c r="BP3028">
        <v>0</v>
      </c>
      <c r="BW3028" t="str">
        <f t="shared" si="1417"/>
        <v>14:46:37.728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8</v>
      </c>
      <c r="CR3028">
        <v>3</v>
      </c>
      <c r="CW3028">
        <v>8985118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1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 t="shared" si="1414"/>
        <v>05/12/2020 14:46:19.906</v>
      </c>
      <c r="C3029" t="str">
        <f t="shared" si="1389"/>
        <v>FFDFD3C0</v>
      </c>
      <c r="D3029" t="s">
        <v>126</v>
      </c>
      <c r="E3029">
        <v>7</v>
      </c>
      <c r="F3029">
        <v>1007</v>
      </c>
      <c r="G3029" t="s">
        <v>127</v>
      </c>
      <c r="J3029" t="s">
        <v>128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415"/>
        <v>14:46:37.727</v>
      </c>
      <c r="T3029" t="str">
        <f t="shared" si="1416"/>
        <v>14:46:37.527</v>
      </c>
      <c r="U3029" t="str">
        <f t="shared" si="1409"/>
        <v>A9808D</v>
      </c>
      <c r="V3029">
        <v>0</v>
      </c>
      <c r="W3029">
        <v>0</v>
      </c>
      <c r="X3029">
        <v>1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0</v>
      </c>
      <c r="AI3029" t="s">
        <v>229</v>
      </c>
      <c r="AJ3029">
        <v>28.247050999999999</v>
      </c>
      <c r="AK3029" t="s">
        <v>737</v>
      </c>
      <c r="AL3029">
        <v>-82.290559000000002</v>
      </c>
      <c r="AM3029">
        <v>100</v>
      </c>
      <c r="AN3029">
        <v>2400</v>
      </c>
      <c r="AO3029" t="s">
        <v>118</v>
      </c>
      <c r="AP3029">
        <v>123</v>
      </c>
      <c r="AQ3029">
        <v>-8</v>
      </c>
      <c r="AR3029">
        <v>-704</v>
      </c>
      <c r="AZ3029">
        <v>1200</v>
      </c>
      <c r="BA3029">
        <v>1</v>
      </c>
      <c r="BB3029" t="str">
        <f t="shared" si="1390"/>
        <v xml:space="preserve">N711JA  </v>
      </c>
      <c r="BC3029">
        <v>1</v>
      </c>
      <c r="BE3029">
        <v>0</v>
      </c>
      <c r="BF3029">
        <v>0</v>
      </c>
      <c r="BG3029">
        <v>0</v>
      </c>
      <c r="BH3029">
        <v>2475</v>
      </c>
      <c r="BI3029">
        <v>1</v>
      </c>
      <c r="BJ3029">
        <v>1</v>
      </c>
      <c r="BK3029">
        <v>0</v>
      </c>
      <c r="BL3029">
        <v>0</v>
      </c>
      <c r="BO3029">
        <v>0</v>
      </c>
      <c r="BP3029">
        <v>0</v>
      </c>
      <c r="BW3029" t="str">
        <f t="shared" si="1417"/>
        <v>14:46:37.728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8</v>
      </c>
      <c r="CR3029">
        <v>3</v>
      </c>
      <c r="CW3029">
        <v>8985118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1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 t="shared" si="1414"/>
        <v>05/12/2020 14:46:19.906</v>
      </c>
      <c r="C3030" t="str">
        <f t="shared" ref="C3030:C3093" si="1418">"FFDFD3C0"</f>
        <v>FFDFD3C0</v>
      </c>
      <c r="D3030" t="s">
        <v>131</v>
      </c>
      <c r="E3030">
        <v>10</v>
      </c>
      <c r="F3030">
        <v>2010</v>
      </c>
      <c r="G3030" t="s">
        <v>132</v>
      </c>
      <c r="J3030" t="s">
        <v>133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415"/>
        <v>14:46:37.727</v>
      </c>
      <c r="T3030" t="str">
        <f t="shared" si="1416"/>
        <v>14:46:37.527</v>
      </c>
      <c r="U3030" t="str">
        <f t="shared" si="1409"/>
        <v>A9808D</v>
      </c>
      <c r="V3030">
        <v>0</v>
      </c>
      <c r="W3030">
        <v>0</v>
      </c>
      <c r="X3030">
        <v>1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0</v>
      </c>
      <c r="AI3030" t="s">
        <v>229</v>
      </c>
      <c r="AJ3030">
        <v>28.247050999999999</v>
      </c>
      <c r="AK3030" t="s">
        <v>737</v>
      </c>
      <c r="AL3030">
        <v>-82.290559000000002</v>
      </c>
      <c r="AM3030">
        <v>100</v>
      </c>
      <c r="AN3030">
        <v>2400</v>
      </c>
      <c r="AO3030" t="s">
        <v>118</v>
      </c>
      <c r="AP3030">
        <v>123</v>
      </c>
      <c r="AQ3030">
        <v>-8</v>
      </c>
      <c r="AR3030">
        <v>-704</v>
      </c>
      <c r="AZ3030">
        <v>1200</v>
      </c>
      <c r="BA3030">
        <v>1</v>
      </c>
      <c r="BB3030" t="str">
        <f t="shared" ref="BB3030:BB3093" si="1419">"N711JA  "</f>
        <v xml:space="preserve">N711JA  </v>
      </c>
      <c r="BC3030">
        <v>1</v>
      </c>
      <c r="BE3030">
        <v>0</v>
      </c>
      <c r="BF3030">
        <v>0</v>
      </c>
      <c r="BG3030">
        <v>0</v>
      </c>
      <c r="BH3030">
        <v>2475</v>
      </c>
      <c r="BI3030">
        <v>1</v>
      </c>
      <c r="BJ3030">
        <v>1</v>
      </c>
      <c r="BK3030">
        <v>0</v>
      </c>
      <c r="BL3030">
        <v>0</v>
      </c>
      <c r="BO3030">
        <v>0</v>
      </c>
      <c r="BP3030">
        <v>0</v>
      </c>
      <c r="BW3030" t="str">
        <f t="shared" si="1417"/>
        <v>14:46:37.728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8</v>
      </c>
      <c r="CR3030">
        <v>3</v>
      </c>
      <c r="CW3030">
        <v>8985118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1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 t="shared" si="1414"/>
        <v>05/12/2020 14:46:19.906</v>
      </c>
      <c r="C3031" t="str">
        <f t="shared" si="1418"/>
        <v>FFDFD3C0</v>
      </c>
      <c r="D3031" t="s">
        <v>113</v>
      </c>
      <c r="E3031">
        <v>3</v>
      </c>
      <c r="H3031">
        <v>164</v>
      </c>
      <c r="I3031" t="s">
        <v>114</v>
      </c>
      <c r="J3031" t="s">
        <v>115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415"/>
        <v>14:46:37.727</v>
      </c>
      <c r="T3031" t="str">
        <f t="shared" si="1416"/>
        <v>14:46:37.527</v>
      </c>
      <c r="U3031" t="str">
        <f t="shared" si="1409"/>
        <v>A9808D</v>
      </c>
      <c r="V3031">
        <v>0</v>
      </c>
      <c r="W3031">
        <v>0</v>
      </c>
      <c r="X3031">
        <v>1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0</v>
      </c>
      <c r="AI3031" t="s">
        <v>229</v>
      </c>
      <c r="AJ3031">
        <v>28.247050999999999</v>
      </c>
      <c r="AK3031" t="s">
        <v>737</v>
      </c>
      <c r="AL3031">
        <v>-82.290559000000002</v>
      </c>
      <c r="AM3031">
        <v>100</v>
      </c>
      <c r="AN3031">
        <v>2400</v>
      </c>
      <c r="AO3031" t="s">
        <v>118</v>
      </c>
      <c r="AP3031">
        <v>123</v>
      </c>
      <c r="AQ3031">
        <v>-8</v>
      </c>
      <c r="AR3031">
        <v>-704</v>
      </c>
      <c r="AZ3031">
        <v>1200</v>
      </c>
      <c r="BA3031">
        <v>1</v>
      </c>
      <c r="BB3031" t="str">
        <f t="shared" si="1419"/>
        <v xml:space="preserve">N711JA  </v>
      </c>
      <c r="BC3031">
        <v>1</v>
      </c>
      <c r="BE3031">
        <v>0</v>
      </c>
      <c r="BF3031">
        <v>0</v>
      </c>
      <c r="BG3031">
        <v>0</v>
      </c>
      <c r="BH3031">
        <v>2475</v>
      </c>
      <c r="BI3031">
        <v>1</v>
      </c>
      <c r="BJ3031">
        <v>1</v>
      </c>
      <c r="BK3031">
        <v>0</v>
      </c>
      <c r="BL3031">
        <v>0</v>
      </c>
      <c r="BO3031">
        <v>0</v>
      </c>
      <c r="BP3031">
        <v>0</v>
      </c>
      <c r="BW3031" t="str">
        <f t="shared" si="1417"/>
        <v>14:46:37.728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8</v>
      </c>
      <c r="CR3031">
        <v>3</v>
      </c>
      <c r="CW3031">
        <v>8985118</v>
      </c>
      <c r="CY3031">
        <v>1</v>
      </c>
      <c r="CZ3031">
        <v>0</v>
      </c>
      <c r="DA3031">
        <v>1</v>
      </c>
      <c r="DB3031">
        <v>0</v>
      </c>
      <c r="DC3031">
        <v>0</v>
      </c>
      <c r="DD3031">
        <v>1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 t="shared" ref="A3032:A3040" si="1420">"05/12/2020 14:46:20.965"</f>
        <v>05/12/2020 14:46:20.965</v>
      </c>
      <c r="C3032" t="str">
        <f t="shared" si="1418"/>
        <v>FFDFD3C0</v>
      </c>
      <c r="D3032" t="s">
        <v>131</v>
      </c>
      <c r="E3032">
        <v>12</v>
      </c>
      <c r="F3032">
        <v>2012</v>
      </c>
      <c r="G3032" t="s">
        <v>137</v>
      </c>
      <c r="J3032" t="s">
        <v>133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ref="S3032:S3040" si="1421">"14:46:38.781"</f>
        <v>14:46:38.781</v>
      </c>
      <c r="T3032" t="str">
        <f t="shared" ref="T3032:T3040" si="1422">"14:46:38.481"</f>
        <v>14:46:38.481</v>
      </c>
      <c r="U3032" t="str">
        <f t="shared" si="1409"/>
        <v>A9808D</v>
      </c>
      <c r="V3032">
        <v>0</v>
      </c>
      <c r="W3032">
        <v>0</v>
      </c>
      <c r="X3032">
        <v>1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0</v>
      </c>
      <c r="AI3032" t="s">
        <v>738</v>
      </c>
      <c r="AJ3032">
        <v>28.247008000000001</v>
      </c>
      <c r="AK3032" t="s">
        <v>739</v>
      </c>
      <c r="AL3032">
        <v>-82.289914999999993</v>
      </c>
      <c r="AM3032">
        <v>100</v>
      </c>
      <c r="AN3032">
        <v>2400</v>
      </c>
      <c r="AO3032" t="s">
        <v>118</v>
      </c>
      <c r="AP3032">
        <v>124</v>
      </c>
      <c r="AQ3032">
        <v>-8</v>
      </c>
      <c r="AR3032">
        <v>-576</v>
      </c>
      <c r="AZ3032">
        <v>1200</v>
      </c>
      <c r="BA3032">
        <v>1</v>
      </c>
      <c r="BB3032" t="str">
        <f t="shared" si="1419"/>
        <v xml:space="preserve">N711JA  </v>
      </c>
      <c r="BC3032">
        <v>1</v>
      </c>
      <c r="BE3032">
        <v>0</v>
      </c>
      <c r="BF3032">
        <v>0</v>
      </c>
      <c r="BG3032">
        <v>0</v>
      </c>
      <c r="BH3032">
        <v>2475</v>
      </c>
      <c r="BI3032">
        <v>1</v>
      </c>
      <c r="BJ3032">
        <v>1</v>
      </c>
      <c r="BK3032">
        <v>0</v>
      </c>
      <c r="BL3032">
        <v>0</v>
      </c>
      <c r="BO3032">
        <v>0</v>
      </c>
      <c r="BP3032">
        <v>0</v>
      </c>
      <c r="BW3032" t="str">
        <f t="shared" ref="BW3032:BW3040" si="1423">"14:46:38.786"</f>
        <v>14:46:38.786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8</v>
      </c>
      <c r="CR3032">
        <v>3</v>
      </c>
      <c r="CW3032">
        <v>8986228</v>
      </c>
      <c r="CY3032">
        <v>1</v>
      </c>
      <c r="CZ3032">
        <v>0</v>
      </c>
      <c r="DA3032">
        <v>0</v>
      </c>
      <c r="DB3032">
        <v>0</v>
      </c>
      <c r="DC3032">
        <v>0</v>
      </c>
      <c r="DD3032">
        <v>1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 t="shared" si="1420"/>
        <v>05/12/2020 14:46:20.965</v>
      </c>
      <c r="C3033" t="str">
        <f t="shared" si="1418"/>
        <v>FFDFD3C0</v>
      </c>
      <c r="D3033" t="s">
        <v>113</v>
      </c>
      <c r="E3033">
        <v>3</v>
      </c>
      <c r="H3033">
        <v>164</v>
      </c>
      <c r="I3033" t="s">
        <v>114</v>
      </c>
      <c r="J3033" t="s">
        <v>115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421"/>
        <v>14:46:38.781</v>
      </c>
      <c r="T3033" t="str">
        <f t="shared" si="1422"/>
        <v>14:46:38.481</v>
      </c>
      <c r="U3033" t="str">
        <f t="shared" si="1409"/>
        <v>A9808D</v>
      </c>
      <c r="V3033">
        <v>0</v>
      </c>
      <c r="W3033">
        <v>0</v>
      </c>
      <c r="X3033">
        <v>1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0</v>
      </c>
      <c r="AI3033" t="s">
        <v>738</v>
      </c>
      <c r="AJ3033">
        <v>28.247008000000001</v>
      </c>
      <c r="AK3033" t="s">
        <v>739</v>
      </c>
      <c r="AL3033">
        <v>-82.289914999999993</v>
      </c>
      <c r="AM3033">
        <v>100</v>
      </c>
      <c r="AN3033">
        <v>2400</v>
      </c>
      <c r="AO3033" t="s">
        <v>118</v>
      </c>
      <c r="AP3033">
        <v>124</v>
      </c>
      <c r="AQ3033">
        <v>-8</v>
      </c>
      <c r="AR3033">
        <v>-576</v>
      </c>
      <c r="AZ3033">
        <v>1200</v>
      </c>
      <c r="BA3033">
        <v>1</v>
      </c>
      <c r="BB3033" t="str">
        <f t="shared" si="1419"/>
        <v xml:space="preserve">N711JA  </v>
      </c>
      <c r="BC3033">
        <v>1</v>
      </c>
      <c r="BE3033">
        <v>0</v>
      </c>
      <c r="BF3033">
        <v>0</v>
      </c>
      <c r="BG3033">
        <v>0</v>
      </c>
      <c r="BH3033">
        <v>2475</v>
      </c>
      <c r="BI3033">
        <v>1</v>
      </c>
      <c r="BJ3033">
        <v>1</v>
      </c>
      <c r="BK3033">
        <v>0</v>
      </c>
      <c r="BL3033">
        <v>0</v>
      </c>
      <c r="BO3033">
        <v>0</v>
      </c>
      <c r="BP3033">
        <v>0</v>
      </c>
      <c r="BW3033" t="str">
        <f t="shared" si="1423"/>
        <v>14:46:38.786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8</v>
      </c>
      <c r="CR3033">
        <v>3</v>
      </c>
      <c r="CW3033">
        <v>8986228</v>
      </c>
      <c r="CY3033">
        <v>1</v>
      </c>
      <c r="CZ3033">
        <v>0</v>
      </c>
      <c r="DA3033">
        <v>1</v>
      </c>
      <c r="DB3033">
        <v>0</v>
      </c>
      <c r="DC3033">
        <v>0</v>
      </c>
      <c r="DD3033">
        <v>1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 t="shared" si="1420"/>
        <v>05/12/2020 14:46:20.965</v>
      </c>
      <c r="C3034" t="str">
        <f t="shared" si="1418"/>
        <v>FFDFD3C0</v>
      </c>
      <c r="D3034" t="s">
        <v>138</v>
      </c>
      <c r="E3034">
        <v>2</v>
      </c>
      <c r="H3034">
        <v>8</v>
      </c>
      <c r="I3034" t="s">
        <v>139</v>
      </c>
      <c r="J3034" t="s">
        <v>136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421"/>
        <v>14:46:38.781</v>
      </c>
      <c r="T3034" t="str">
        <f t="shared" si="1422"/>
        <v>14:46:38.481</v>
      </c>
      <c r="U3034" t="str">
        <f t="shared" si="1409"/>
        <v>A9808D</v>
      </c>
      <c r="V3034">
        <v>0</v>
      </c>
      <c r="W3034">
        <v>0</v>
      </c>
      <c r="X3034">
        <v>1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0</v>
      </c>
      <c r="AI3034" t="s">
        <v>738</v>
      </c>
      <c r="AJ3034">
        <v>28.247008000000001</v>
      </c>
      <c r="AK3034" t="s">
        <v>739</v>
      </c>
      <c r="AL3034">
        <v>-82.289914999999993</v>
      </c>
      <c r="AM3034">
        <v>100</v>
      </c>
      <c r="AN3034">
        <v>2400</v>
      </c>
      <c r="AO3034" t="s">
        <v>118</v>
      </c>
      <c r="AP3034">
        <v>124</v>
      </c>
      <c r="AQ3034">
        <v>-8</v>
      </c>
      <c r="AR3034">
        <v>-576</v>
      </c>
      <c r="AZ3034">
        <v>1200</v>
      </c>
      <c r="BA3034">
        <v>1</v>
      </c>
      <c r="BB3034" t="str">
        <f t="shared" si="1419"/>
        <v xml:space="preserve">N711JA  </v>
      </c>
      <c r="BC3034">
        <v>1</v>
      </c>
      <c r="BE3034">
        <v>0</v>
      </c>
      <c r="BF3034">
        <v>0</v>
      </c>
      <c r="BG3034">
        <v>0</v>
      </c>
      <c r="BH3034">
        <v>2475</v>
      </c>
      <c r="BI3034">
        <v>1</v>
      </c>
      <c r="BJ3034">
        <v>1</v>
      </c>
      <c r="BK3034">
        <v>0</v>
      </c>
      <c r="BL3034">
        <v>0</v>
      </c>
      <c r="BO3034">
        <v>0</v>
      </c>
      <c r="BP3034">
        <v>0</v>
      </c>
      <c r="BW3034" t="str">
        <f t="shared" si="1423"/>
        <v>14:46:38.786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8</v>
      </c>
      <c r="CR3034">
        <v>3</v>
      </c>
      <c r="CW3034">
        <v>8986228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1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 t="shared" si="1420"/>
        <v>05/12/2020 14:46:20.965</v>
      </c>
      <c r="C3035" t="str">
        <f t="shared" si="1418"/>
        <v>FFDFD3C0</v>
      </c>
      <c r="D3035" t="s">
        <v>131</v>
      </c>
      <c r="E3035">
        <v>18</v>
      </c>
      <c r="F3035">
        <v>2018</v>
      </c>
      <c r="G3035" t="s">
        <v>161</v>
      </c>
      <c r="J3035" t="s">
        <v>133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421"/>
        <v>14:46:38.781</v>
      </c>
      <c r="T3035" t="str">
        <f t="shared" si="1422"/>
        <v>14:46:38.481</v>
      </c>
      <c r="U3035" t="str">
        <f t="shared" si="1409"/>
        <v>A9808D</v>
      </c>
      <c r="V3035">
        <v>0</v>
      </c>
      <c r="W3035">
        <v>0</v>
      </c>
      <c r="X3035">
        <v>1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0</v>
      </c>
      <c r="AI3035" t="s">
        <v>738</v>
      </c>
      <c r="AJ3035">
        <v>28.247008000000001</v>
      </c>
      <c r="AK3035" t="s">
        <v>739</v>
      </c>
      <c r="AL3035">
        <v>-82.289914999999993</v>
      </c>
      <c r="AM3035">
        <v>100</v>
      </c>
      <c r="AN3035">
        <v>2400</v>
      </c>
      <c r="AO3035" t="s">
        <v>118</v>
      </c>
      <c r="AP3035">
        <v>124</v>
      </c>
      <c r="AQ3035">
        <v>-8</v>
      </c>
      <c r="AR3035">
        <v>-576</v>
      </c>
      <c r="AZ3035">
        <v>1200</v>
      </c>
      <c r="BA3035">
        <v>1</v>
      </c>
      <c r="BB3035" t="str">
        <f t="shared" si="1419"/>
        <v xml:space="preserve">N711JA  </v>
      </c>
      <c r="BC3035">
        <v>1</v>
      </c>
      <c r="BE3035">
        <v>0</v>
      </c>
      <c r="BF3035">
        <v>0</v>
      </c>
      <c r="BG3035">
        <v>0</v>
      </c>
      <c r="BH3035">
        <v>2475</v>
      </c>
      <c r="BI3035">
        <v>1</v>
      </c>
      <c r="BJ3035">
        <v>1</v>
      </c>
      <c r="BK3035">
        <v>0</v>
      </c>
      <c r="BL3035">
        <v>0</v>
      </c>
      <c r="BO3035">
        <v>0</v>
      </c>
      <c r="BP3035">
        <v>0</v>
      </c>
      <c r="BW3035" t="str">
        <f t="shared" si="1423"/>
        <v>14:46:38.786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6</v>
      </c>
      <c r="CP3035" t="s">
        <v>119</v>
      </c>
      <c r="CQ3035">
        <v>56</v>
      </c>
      <c r="CR3035">
        <v>2</v>
      </c>
      <c r="CW3035">
        <v>4950180</v>
      </c>
      <c r="CY3035">
        <v>1</v>
      </c>
      <c r="CZ3035">
        <v>0</v>
      </c>
      <c r="DA3035">
        <v>1</v>
      </c>
      <c r="DB3035">
        <v>0</v>
      </c>
      <c r="DC3035">
        <v>0</v>
      </c>
      <c r="DD3035">
        <v>1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 t="shared" si="1420"/>
        <v>05/12/2020 14:46:20.965</v>
      </c>
      <c r="C3036" t="str">
        <f t="shared" si="1418"/>
        <v>FFDFD3C0</v>
      </c>
      <c r="D3036" t="s">
        <v>134</v>
      </c>
      <c r="E3036">
        <v>12</v>
      </c>
      <c r="H3036">
        <v>64</v>
      </c>
      <c r="I3036" t="s">
        <v>135</v>
      </c>
      <c r="J3036" t="s">
        <v>136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421"/>
        <v>14:46:38.781</v>
      </c>
      <c r="T3036" t="str">
        <f t="shared" si="1422"/>
        <v>14:46:38.481</v>
      </c>
      <c r="U3036" t="str">
        <f t="shared" si="1409"/>
        <v>A9808D</v>
      </c>
      <c r="V3036">
        <v>0</v>
      </c>
      <c r="W3036">
        <v>0</v>
      </c>
      <c r="X3036">
        <v>1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0</v>
      </c>
      <c r="AI3036" t="s">
        <v>738</v>
      </c>
      <c r="AJ3036">
        <v>28.247008000000001</v>
      </c>
      <c r="AK3036" t="s">
        <v>739</v>
      </c>
      <c r="AL3036">
        <v>-82.289914999999993</v>
      </c>
      <c r="AM3036">
        <v>100</v>
      </c>
      <c r="AN3036">
        <v>2400</v>
      </c>
      <c r="AO3036" t="s">
        <v>118</v>
      </c>
      <c r="AP3036">
        <v>124</v>
      </c>
      <c r="AQ3036">
        <v>-8</v>
      </c>
      <c r="AR3036">
        <v>-576</v>
      </c>
      <c r="AZ3036">
        <v>1200</v>
      </c>
      <c r="BA3036">
        <v>1</v>
      </c>
      <c r="BB3036" t="str">
        <f t="shared" si="1419"/>
        <v xml:space="preserve">N711JA  </v>
      </c>
      <c r="BC3036">
        <v>1</v>
      </c>
      <c r="BE3036">
        <v>0</v>
      </c>
      <c r="BF3036">
        <v>0</v>
      </c>
      <c r="BG3036">
        <v>0</v>
      </c>
      <c r="BH3036">
        <v>2475</v>
      </c>
      <c r="BI3036">
        <v>1</v>
      </c>
      <c r="BJ3036">
        <v>1</v>
      </c>
      <c r="BK3036">
        <v>0</v>
      </c>
      <c r="BL3036">
        <v>0</v>
      </c>
      <c r="BO3036">
        <v>0</v>
      </c>
      <c r="BP3036">
        <v>0</v>
      </c>
      <c r="BW3036" t="str">
        <f t="shared" si="1423"/>
        <v>14:46:38.786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8</v>
      </c>
      <c r="CR3036">
        <v>3</v>
      </c>
      <c r="CW3036">
        <v>8986228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1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 t="shared" si="1420"/>
        <v>05/12/2020 14:46:20.965</v>
      </c>
      <c r="C3037" t="str">
        <f t="shared" si="1418"/>
        <v>FFDFD3C0</v>
      </c>
      <c r="D3037" t="s">
        <v>126</v>
      </c>
      <c r="E3037">
        <v>6</v>
      </c>
      <c r="F3037">
        <v>1006</v>
      </c>
      <c r="G3037" t="s">
        <v>114</v>
      </c>
      <c r="J3037" t="s">
        <v>128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421"/>
        <v>14:46:38.781</v>
      </c>
      <c r="T3037" t="str">
        <f t="shared" si="1422"/>
        <v>14:46:38.481</v>
      </c>
      <c r="U3037" t="str">
        <f t="shared" si="1409"/>
        <v>A9808D</v>
      </c>
      <c r="V3037">
        <v>0</v>
      </c>
      <c r="W3037">
        <v>0</v>
      </c>
      <c r="X3037">
        <v>1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0</v>
      </c>
      <c r="AI3037" t="s">
        <v>738</v>
      </c>
      <c r="AJ3037">
        <v>28.247008000000001</v>
      </c>
      <c r="AK3037" t="s">
        <v>739</v>
      </c>
      <c r="AL3037">
        <v>-82.289914999999993</v>
      </c>
      <c r="AM3037">
        <v>100</v>
      </c>
      <c r="AN3037">
        <v>2400</v>
      </c>
      <c r="AO3037" t="s">
        <v>118</v>
      </c>
      <c r="AP3037">
        <v>124</v>
      </c>
      <c r="AQ3037">
        <v>-8</v>
      </c>
      <c r="AR3037">
        <v>-576</v>
      </c>
      <c r="AZ3037">
        <v>1200</v>
      </c>
      <c r="BA3037">
        <v>1</v>
      </c>
      <c r="BB3037" t="str">
        <f t="shared" si="1419"/>
        <v xml:space="preserve">N711JA  </v>
      </c>
      <c r="BC3037">
        <v>1</v>
      </c>
      <c r="BE3037">
        <v>0</v>
      </c>
      <c r="BF3037">
        <v>0</v>
      </c>
      <c r="BG3037">
        <v>0</v>
      </c>
      <c r="BH3037">
        <v>2475</v>
      </c>
      <c r="BI3037">
        <v>1</v>
      </c>
      <c r="BJ3037">
        <v>1</v>
      </c>
      <c r="BK3037">
        <v>0</v>
      </c>
      <c r="BL3037">
        <v>0</v>
      </c>
      <c r="BO3037">
        <v>0</v>
      </c>
      <c r="BP3037">
        <v>0</v>
      </c>
      <c r="BW3037" t="str">
        <f t="shared" si="1423"/>
        <v>14:46:38.786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8</v>
      </c>
      <c r="CR3037">
        <v>3</v>
      </c>
      <c r="CW3037">
        <v>8986228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1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 t="shared" si="1420"/>
        <v>05/12/2020 14:46:20.965</v>
      </c>
      <c r="C3038" t="str">
        <f t="shared" si="1418"/>
        <v>FFDFD3C0</v>
      </c>
      <c r="D3038" t="s">
        <v>138</v>
      </c>
      <c r="E3038">
        <v>3</v>
      </c>
      <c r="H3038">
        <v>9</v>
      </c>
      <c r="I3038" t="s">
        <v>140</v>
      </c>
      <c r="J3038" t="s">
        <v>136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421"/>
        <v>14:46:38.781</v>
      </c>
      <c r="T3038" t="str">
        <f t="shared" si="1422"/>
        <v>14:46:38.481</v>
      </c>
      <c r="U3038" t="str">
        <f t="shared" si="1409"/>
        <v>A9808D</v>
      </c>
      <c r="V3038">
        <v>0</v>
      </c>
      <c r="W3038">
        <v>0</v>
      </c>
      <c r="X3038">
        <v>1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0</v>
      </c>
      <c r="AI3038" t="s">
        <v>738</v>
      </c>
      <c r="AJ3038">
        <v>28.247008000000001</v>
      </c>
      <c r="AK3038" t="s">
        <v>739</v>
      </c>
      <c r="AL3038">
        <v>-82.289914999999993</v>
      </c>
      <c r="AM3038">
        <v>100</v>
      </c>
      <c r="AN3038">
        <v>2400</v>
      </c>
      <c r="AO3038" t="s">
        <v>118</v>
      </c>
      <c r="AP3038">
        <v>124</v>
      </c>
      <c r="AQ3038">
        <v>-8</v>
      </c>
      <c r="AR3038">
        <v>-576</v>
      </c>
      <c r="AZ3038">
        <v>1200</v>
      </c>
      <c r="BA3038">
        <v>1</v>
      </c>
      <c r="BB3038" t="str">
        <f t="shared" si="1419"/>
        <v xml:space="preserve">N711JA  </v>
      </c>
      <c r="BC3038">
        <v>1</v>
      </c>
      <c r="BE3038">
        <v>0</v>
      </c>
      <c r="BF3038">
        <v>0</v>
      </c>
      <c r="BG3038">
        <v>0</v>
      </c>
      <c r="BH3038">
        <v>2475</v>
      </c>
      <c r="BI3038">
        <v>1</v>
      </c>
      <c r="BJ3038">
        <v>1</v>
      </c>
      <c r="BK3038">
        <v>0</v>
      </c>
      <c r="BL3038">
        <v>0</v>
      </c>
      <c r="BO3038">
        <v>0</v>
      </c>
      <c r="BP3038">
        <v>0</v>
      </c>
      <c r="BW3038" t="str">
        <f t="shared" si="1423"/>
        <v>14:46:38.786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8</v>
      </c>
      <c r="CR3038">
        <v>3</v>
      </c>
      <c r="CW3038">
        <v>8986228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1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 t="shared" si="1420"/>
        <v>05/12/2020 14:46:20.965</v>
      </c>
      <c r="C3039" t="str">
        <f t="shared" si="1418"/>
        <v>FFDFD3C0</v>
      </c>
      <c r="D3039" t="s">
        <v>131</v>
      </c>
      <c r="E3039">
        <v>10</v>
      </c>
      <c r="F3039">
        <v>2010</v>
      </c>
      <c r="G3039" t="s">
        <v>132</v>
      </c>
      <c r="J3039" t="s">
        <v>133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421"/>
        <v>14:46:38.781</v>
      </c>
      <c r="T3039" t="str">
        <f t="shared" si="1422"/>
        <v>14:46:38.481</v>
      </c>
      <c r="U3039" t="str">
        <f t="shared" si="1409"/>
        <v>A9808D</v>
      </c>
      <c r="V3039">
        <v>0</v>
      </c>
      <c r="W3039">
        <v>0</v>
      </c>
      <c r="X3039">
        <v>1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0</v>
      </c>
      <c r="AI3039" t="s">
        <v>738</v>
      </c>
      <c r="AJ3039">
        <v>28.247008000000001</v>
      </c>
      <c r="AK3039" t="s">
        <v>739</v>
      </c>
      <c r="AL3039">
        <v>-82.289914999999993</v>
      </c>
      <c r="AM3039">
        <v>100</v>
      </c>
      <c r="AN3039">
        <v>2400</v>
      </c>
      <c r="AO3039" t="s">
        <v>118</v>
      </c>
      <c r="AP3039">
        <v>124</v>
      </c>
      <c r="AQ3039">
        <v>-8</v>
      </c>
      <c r="AR3039">
        <v>-576</v>
      </c>
      <c r="AZ3039">
        <v>1200</v>
      </c>
      <c r="BA3039">
        <v>1</v>
      </c>
      <c r="BB3039" t="str">
        <f t="shared" si="1419"/>
        <v xml:space="preserve">N711JA  </v>
      </c>
      <c r="BC3039">
        <v>1</v>
      </c>
      <c r="BE3039">
        <v>0</v>
      </c>
      <c r="BF3039">
        <v>0</v>
      </c>
      <c r="BG3039">
        <v>0</v>
      </c>
      <c r="BH3039">
        <v>2475</v>
      </c>
      <c r="BI3039">
        <v>1</v>
      </c>
      <c r="BJ3039">
        <v>1</v>
      </c>
      <c r="BK3039">
        <v>0</v>
      </c>
      <c r="BL3039">
        <v>0</v>
      </c>
      <c r="BO3039">
        <v>0</v>
      </c>
      <c r="BP3039">
        <v>0</v>
      </c>
      <c r="BW3039" t="str">
        <f t="shared" si="1423"/>
        <v>14:46:38.786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8</v>
      </c>
      <c r="CR3039">
        <v>3</v>
      </c>
      <c r="CW3039">
        <v>8986228</v>
      </c>
      <c r="CY3039">
        <v>1</v>
      </c>
      <c r="CZ3039">
        <v>0</v>
      </c>
      <c r="DA3039">
        <v>1</v>
      </c>
      <c r="DB3039">
        <v>0</v>
      </c>
      <c r="DC3039">
        <v>0</v>
      </c>
      <c r="DD3039">
        <v>1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 t="shared" si="1420"/>
        <v>05/12/2020 14:46:20.965</v>
      </c>
      <c r="C3040" t="str">
        <f t="shared" si="1418"/>
        <v>FFDFD3C0</v>
      </c>
      <c r="D3040" t="s">
        <v>126</v>
      </c>
      <c r="E3040">
        <v>7</v>
      </c>
      <c r="F3040">
        <v>1007</v>
      </c>
      <c r="G3040" t="s">
        <v>127</v>
      </c>
      <c r="J3040" t="s">
        <v>128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421"/>
        <v>14:46:38.781</v>
      </c>
      <c r="T3040" t="str">
        <f t="shared" si="1422"/>
        <v>14:46:38.481</v>
      </c>
      <c r="U3040" t="str">
        <f t="shared" si="1409"/>
        <v>A9808D</v>
      </c>
      <c r="V3040">
        <v>0</v>
      </c>
      <c r="W3040">
        <v>0</v>
      </c>
      <c r="X3040">
        <v>1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0</v>
      </c>
      <c r="AI3040" t="s">
        <v>738</v>
      </c>
      <c r="AJ3040">
        <v>28.247008000000001</v>
      </c>
      <c r="AK3040" t="s">
        <v>739</v>
      </c>
      <c r="AL3040">
        <v>-82.289914999999993</v>
      </c>
      <c r="AM3040">
        <v>100</v>
      </c>
      <c r="AN3040">
        <v>2400</v>
      </c>
      <c r="AO3040" t="s">
        <v>118</v>
      </c>
      <c r="AP3040">
        <v>124</v>
      </c>
      <c r="AQ3040">
        <v>-8</v>
      </c>
      <c r="AR3040">
        <v>-576</v>
      </c>
      <c r="AZ3040">
        <v>1200</v>
      </c>
      <c r="BA3040">
        <v>1</v>
      </c>
      <c r="BB3040" t="str">
        <f t="shared" si="1419"/>
        <v xml:space="preserve">N711JA  </v>
      </c>
      <c r="BC3040">
        <v>1</v>
      </c>
      <c r="BE3040">
        <v>0</v>
      </c>
      <c r="BF3040">
        <v>0</v>
      </c>
      <c r="BG3040">
        <v>0</v>
      </c>
      <c r="BH3040">
        <v>2475</v>
      </c>
      <c r="BI3040">
        <v>1</v>
      </c>
      <c r="BJ3040">
        <v>1</v>
      </c>
      <c r="BK3040">
        <v>0</v>
      </c>
      <c r="BL3040">
        <v>0</v>
      </c>
      <c r="BO3040">
        <v>0</v>
      </c>
      <c r="BP3040">
        <v>0</v>
      </c>
      <c r="BW3040" t="str">
        <f t="shared" si="1423"/>
        <v>14:46:38.786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8</v>
      </c>
      <c r="CR3040">
        <v>3</v>
      </c>
      <c r="CW3040">
        <v>8986228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1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 t="shared" ref="A3041:A3049" si="1424">"05/12/2020 14:46:21.900"</f>
        <v>05/12/2020 14:46:21.900</v>
      </c>
      <c r="C3041" t="str">
        <f t="shared" si="1418"/>
        <v>FFDFD3C0</v>
      </c>
      <c r="D3041" t="s">
        <v>138</v>
      </c>
      <c r="E3041">
        <v>3</v>
      </c>
      <c r="H3041">
        <v>9</v>
      </c>
      <c r="I3041" t="s">
        <v>140</v>
      </c>
      <c r="J3041" t="s">
        <v>136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ref="S3041:S3049" si="1425">"14:46:39.727"</f>
        <v>14:46:39.727</v>
      </c>
      <c r="T3041" t="str">
        <f t="shared" ref="T3041:T3049" si="1426">"14:46:39.327"</f>
        <v>14:46:39.327</v>
      </c>
      <c r="U3041" t="str">
        <f t="shared" si="1409"/>
        <v>A9808D</v>
      </c>
      <c r="V3041">
        <v>0</v>
      </c>
      <c r="W3041">
        <v>0</v>
      </c>
      <c r="X3041">
        <v>1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0</v>
      </c>
      <c r="AI3041" t="s">
        <v>738</v>
      </c>
      <c r="AJ3041">
        <v>28.247008000000001</v>
      </c>
      <c r="AK3041" t="s">
        <v>740</v>
      </c>
      <c r="AL3041">
        <v>-82.289270999999999</v>
      </c>
      <c r="AM3041">
        <v>100</v>
      </c>
      <c r="AN3041">
        <v>2400</v>
      </c>
      <c r="AO3041" t="s">
        <v>118</v>
      </c>
      <c r="AP3041">
        <v>125</v>
      </c>
      <c r="AQ3041">
        <v>-9</v>
      </c>
      <c r="AR3041">
        <v>-448</v>
      </c>
      <c r="AZ3041">
        <v>1200</v>
      </c>
      <c r="BA3041">
        <v>1</v>
      </c>
      <c r="BB3041" t="str">
        <f t="shared" si="1419"/>
        <v xml:space="preserve">N711JA  </v>
      </c>
      <c r="BC3041">
        <v>1</v>
      </c>
      <c r="BE3041">
        <v>0</v>
      </c>
      <c r="BF3041">
        <v>0</v>
      </c>
      <c r="BG3041">
        <v>0</v>
      </c>
      <c r="BH3041">
        <v>2450</v>
      </c>
      <c r="BI3041">
        <v>1</v>
      </c>
      <c r="BJ3041">
        <v>1</v>
      </c>
      <c r="BK3041">
        <v>0</v>
      </c>
      <c r="BL3041">
        <v>0</v>
      </c>
      <c r="BO3041">
        <v>0</v>
      </c>
      <c r="BP3041">
        <v>0</v>
      </c>
      <c r="BW3041" t="str">
        <f>"14:46:39.731"</f>
        <v>14:46:39.731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8</v>
      </c>
      <c r="CR3041">
        <v>3</v>
      </c>
      <c r="CW3041">
        <v>8987229</v>
      </c>
      <c r="CY3041">
        <v>1</v>
      </c>
      <c r="CZ3041">
        <v>0</v>
      </c>
      <c r="DA3041">
        <v>0</v>
      </c>
      <c r="DB3041">
        <v>0</v>
      </c>
      <c r="DC3041">
        <v>0</v>
      </c>
      <c r="DD3041">
        <v>1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 t="shared" si="1424"/>
        <v>05/12/2020 14:46:21.900</v>
      </c>
      <c r="C3042" t="str">
        <f t="shared" si="1418"/>
        <v>FFDFD3C0</v>
      </c>
      <c r="D3042" t="s">
        <v>131</v>
      </c>
      <c r="E3042">
        <v>10</v>
      </c>
      <c r="F3042">
        <v>2010</v>
      </c>
      <c r="G3042" t="s">
        <v>132</v>
      </c>
      <c r="J3042" t="s">
        <v>133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425"/>
        <v>14:46:39.727</v>
      </c>
      <c r="T3042" t="str">
        <f t="shared" si="1426"/>
        <v>14:46:39.327</v>
      </c>
      <c r="U3042" t="str">
        <f t="shared" si="1409"/>
        <v>A9808D</v>
      </c>
      <c r="V3042">
        <v>0</v>
      </c>
      <c r="W3042">
        <v>0</v>
      </c>
      <c r="X3042">
        <v>1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0</v>
      </c>
      <c r="AI3042" t="s">
        <v>738</v>
      </c>
      <c r="AJ3042">
        <v>28.247008000000001</v>
      </c>
      <c r="AK3042" t="s">
        <v>740</v>
      </c>
      <c r="AL3042">
        <v>-82.289270999999999</v>
      </c>
      <c r="AM3042">
        <v>100</v>
      </c>
      <c r="AN3042">
        <v>2400</v>
      </c>
      <c r="AO3042" t="s">
        <v>118</v>
      </c>
      <c r="AP3042">
        <v>125</v>
      </c>
      <c r="AQ3042">
        <v>-9</v>
      </c>
      <c r="AR3042">
        <v>-448</v>
      </c>
      <c r="AZ3042">
        <v>1200</v>
      </c>
      <c r="BA3042">
        <v>1</v>
      </c>
      <c r="BB3042" t="str">
        <f t="shared" si="1419"/>
        <v xml:space="preserve">N711JA  </v>
      </c>
      <c r="BC3042">
        <v>1</v>
      </c>
      <c r="BE3042">
        <v>0</v>
      </c>
      <c r="BF3042">
        <v>0</v>
      </c>
      <c r="BG3042">
        <v>0</v>
      </c>
      <c r="BH3042">
        <v>2450</v>
      </c>
      <c r="BI3042">
        <v>1</v>
      </c>
      <c r="BJ3042">
        <v>1</v>
      </c>
      <c r="BK3042">
        <v>0</v>
      </c>
      <c r="BL3042">
        <v>0</v>
      </c>
      <c r="BO3042">
        <v>0</v>
      </c>
      <c r="BP3042">
        <v>0</v>
      </c>
      <c r="BW3042" t="str">
        <f>"14:46:39.731"</f>
        <v>14:46:39.731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8</v>
      </c>
      <c r="CR3042">
        <v>3</v>
      </c>
      <c r="CW3042">
        <v>8987229</v>
      </c>
      <c r="CY3042">
        <v>1</v>
      </c>
      <c r="CZ3042">
        <v>0</v>
      </c>
      <c r="DA3042">
        <v>1</v>
      </c>
      <c r="DB3042">
        <v>0</v>
      </c>
      <c r="DC3042">
        <v>0</v>
      </c>
      <c r="DD3042">
        <v>1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 t="shared" si="1424"/>
        <v>05/12/2020 14:46:21.900</v>
      </c>
      <c r="C3043" t="str">
        <f t="shared" si="1418"/>
        <v>FFDFD3C0</v>
      </c>
      <c r="D3043" t="s">
        <v>126</v>
      </c>
      <c r="E3043">
        <v>7</v>
      </c>
      <c r="F3043">
        <v>1007</v>
      </c>
      <c r="G3043" t="s">
        <v>127</v>
      </c>
      <c r="J3043" t="s">
        <v>128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425"/>
        <v>14:46:39.727</v>
      </c>
      <c r="T3043" t="str">
        <f t="shared" si="1426"/>
        <v>14:46:39.327</v>
      </c>
      <c r="U3043" t="str">
        <f t="shared" si="1409"/>
        <v>A9808D</v>
      </c>
      <c r="V3043">
        <v>0</v>
      </c>
      <c r="W3043">
        <v>0</v>
      </c>
      <c r="X3043">
        <v>1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0</v>
      </c>
      <c r="AI3043" t="s">
        <v>738</v>
      </c>
      <c r="AJ3043">
        <v>28.247008000000001</v>
      </c>
      <c r="AK3043" t="s">
        <v>740</v>
      </c>
      <c r="AL3043">
        <v>-82.289270999999999</v>
      </c>
      <c r="AM3043">
        <v>100</v>
      </c>
      <c r="AN3043">
        <v>2400</v>
      </c>
      <c r="AO3043" t="s">
        <v>118</v>
      </c>
      <c r="AP3043">
        <v>125</v>
      </c>
      <c r="AQ3043">
        <v>-9</v>
      </c>
      <c r="AR3043">
        <v>-448</v>
      </c>
      <c r="AZ3043">
        <v>1200</v>
      </c>
      <c r="BA3043">
        <v>1</v>
      </c>
      <c r="BB3043" t="str">
        <f t="shared" si="1419"/>
        <v xml:space="preserve">N711JA  </v>
      </c>
      <c r="BC3043">
        <v>1</v>
      </c>
      <c r="BE3043">
        <v>0</v>
      </c>
      <c r="BF3043">
        <v>0</v>
      </c>
      <c r="BG3043">
        <v>0</v>
      </c>
      <c r="BH3043">
        <v>2450</v>
      </c>
      <c r="BI3043">
        <v>1</v>
      </c>
      <c r="BJ3043">
        <v>1</v>
      </c>
      <c r="BK3043">
        <v>0</v>
      </c>
      <c r="BL3043">
        <v>0</v>
      </c>
      <c r="BO3043">
        <v>0</v>
      </c>
      <c r="BP3043">
        <v>0</v>
      </c>
      <c r="BW3043" t="str">
        <f>"14:46:39.731"</f>
        <v>14:46:39.731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8</v>
      </c>
      <c r="CR3043">
        <v>3</v>
      </c>
      <c r="CW3043">
        <v>8987229</v>
      </c>
      <c r="CY3043">
        <v>1</v>
      </c>
      <c r="CZ3043">
        <v>0</v>
      </c>
      <c r="DA3043">
        <v>1</v>
      </c>
      <c r="DB3043">
        <v>0</v>
      </c>
      <c r="DC3043">
        <v>0</v>
      </c>
      <c r="DD3043">
        <v>1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 t="shared" si="1424"/>
        <v>05/12/2020 14:46:21.900</v>
      </c>
      <c r="C3044" t="str">
        <f t="shared" si="1418"/>
        <v>FFDFD3C0</v>
      </c>
      <c r="D3044" t="s">
        <v>131</v>
      </c>
      <c r="E3044">
        <v>12</v>
      </c>
      <c r="F3044">
        <v>2012</v>
      </c>
      <c r="G3044" t="s">
        <v>137</v>
      </c>
      <c r="J3044" t="s">
        <v>133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425"/>
        <v>14:46:39.727</v>
      </c>
      <c r="T3044" t="str">
        <f t="shared" si="1426"/>
        <v>14:46:39.327</v>
      </c>
      <c r="U3044" t="str">
        <f t="shared" si="1409"/>
        <v>A9808D</v>
      </c>
      <c r="V3044">
        <v>0</v>
      </c>
      <c r="W3044">
        <v>0</v>
      </c>
      <c r="X3044">
        <v>1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0</v>
      </c>
      <c r="AI3044" t="s">
        <v>738</v>
      </c>
      <c r="AJ3044">
        <v>28.247008000000001</v>
      </c>
      <c r="AK3044" t="s">
        <v>740</v>
      </c>
      <c r="AL3044">
        <v>-82.289270999999999</v>
      </c>
      <c r="AM3044">
        <v>100</v>
      </c>
      <c r="AN3044">
        <v>2400</v>
      </c>
      <c r="AO3044" t="s">
        <v>118</v>
      </c>
      <c r="AP3044">
        <v>125</v>
      </c>
      <c r="AQ3044">
        <v>-9</v>
      </c>
      <c r="AR3044">
        <v>-448</v>
      </c>
      <c r="AZ3044">
        <v>1200</v>
      </c>
      <c r="BA3044">
        <v>1</v>
      </c>
      <c r="BB3044" t="str">
        <f t="shared" si="1419"/>
        <v xml:space="preserve">N711JA  </v>
      </c>
      <c r="BC3044">
        <v>1</v>
      </c>
      <c r="BE3044">
        <v>0</v>
      </c>
      <c r="BF3044">
        <v>0</v>
      </c>
      <c r="BG3044">
        <v>0</v>
      </c>
      <c r="BH3044">
        <v>2450</v>
      </c>
      <c r="BI3044">
        <v>1</v>
      </c>
      <c r="BJ3044">
        <v>1</v>
      </c>
      <c r="BK3044">
        <v>0</v>
      </c>
      <c r="BL3044">
        <v>0</v>
      </c>
      <c r="BO3044">
        <v>0</v>
      </c>
      <c r="BP3044">
        <v>0</v>
      </c>
      <c r="BW3044" t="str">
        <f>"14:46:39.731"</f>
        <v>14:46:39.731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8</v>
      </c>
      <c r="CR3044">
        <v>3</v>
      </c>
      <c r="CW3044">
        <v>8987229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1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 t="shared" si="1424"/>
        <v>05/12/2020 14:46:21.900</v>
      </c>
      <c r="C3045" t="str">
        <f t="shared" si="1418"/>
        <v>FFDFD3C0</v>
      </c>
      <c r="D3045" t="s">
        <v>113</v>
      </c>
      <c r="E3045">
        <v>3</v>
      </c>
      <c r="H3045">
        <v>164</v>
      </c>
      <c r="I3045" t="s">
        <v>114</v>
      </c>
      <c r="J3045" t="s">
        <v>115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425"/>
        <v>14:46:39.727</v>
      </c>
      <c r="T3045" t="str">
        <f t="shared" si="1426"/>
        <v>14:46:39.327</v>
      </c>
      <c r="U3045" t="str">
        <f t="shared" si="1409"/>
        <v>A9808D</v>
      </c>
      <c r="V3045">
        <v>0</v>
      </c>
      <c r="W3045">
        <v>0</v>
      </c>
      <c r="X3045">
        <v>1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0</v>
      </c>
      <c r="AI3045" t="s">
        <v>738</v>
      </c>
      <c r="AJ3045">
        <v>28.247008000000001</v>
      </c>
      <c r="AK3045" t="s">
        <v>740</v>
      </c>
      <c r="AL3045">
        <v>-82.289270999999999</v>
      </c>
      <c r="AM3045">
        <v>100</v>
      </c>
      <c r="AN3045">
        <v>2400</v>
      </c>
      <c r="AO3045" t="s">
        <v>118</v>
      </c>
      <c r="AP3045">
        <v>125</v>
      </c>
      <c r="AQ3045">
        <v>-9</v>
      </c>
      <c r="AR3045">
        <v>-448</v>
      </c>
      <c r="AZ3045">
        <v>1200</v>
      </c>
      <c r="BA3045">
        <v>1</v>
      </c>
      <c r="BB3045" t="str">
        <f t="shared" si="1419"/>
        <v xml:space="preserve">N711JA  </v>
      </c>
      <c r="BC3045">
        <v>1</v>
      </c>
      <c r="BE3045">
        <v>0</v>
      </c>
      <c r="BF3045">
        <v>0</v>
      </c>
      <c r="BG3045">
        <v>0</v>
      </c>
      <c r="BH3045">
        <v>2450</v>
      </c>
      <c r="BI3045">
        <v>1</v>
      </c>
      <c r="BJ3045">
        <v>1</v>
      </c>
      <c r="BK3045">
        <v>0</v>
      </c>
      <c r="BL3045">
        <v>0</v>
      </c>
      <c r="BO3045">
        <v>0</v>
      </c>
      <c r="BP3045">
        <v>0</v>
      </c>
      <c r="BW3045" t="str">
        <f>"14:46:39.731"</f>
        <v>14:46:39.731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8</v>
      </c>
      <c r="CR3045">
        <v>3</v>
      </c>
      <c r="CW3045">
        <v>8987229</v>
      </c>
      <c r="CY3045">
        <v>1</v>
      </c>
      <c r="CZ3045">
        <v>0</v>
      </c>
      <c r="DA3045">
        <v>1</v>
      </c>
      <c r="DB3045">
        <v>0</v>
      </c>
      <c r="DC3045">
        <v>0</v>
      </c>
      <c r="DD3045">
        <v>1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 t="shared" si="1424"/>
        <v>05/12/2020 14:46:21.900</v>
      </c>
      <c r="C3046" t="str">
        <f t="shared" si="1418"/>
        <v>FFDFD3C0</v>
      </c>
      <c r="D3046" t="s">
        <v>131</v>
      </c>
      <c r="E3046">
        <v>18</v>
      </c>
      <c r="F3046">
        <v>2018</v>
      </c>
      <c r="G3046" t="s">
        <v>161</v>
      </c>
      <c r="J3046" t="s">
        <v>133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425"/>
        <v>14:46:39.727</v>
      </c>
      <c r="T3046" t="str">
        <f t="shared" si="1426"/>
        <v>14:46:39.327</v>
      </c>
      <c r="U3046" t="str">
        <f t="shared" si="1409"/>
        <v>A9808D</v>
      </c>
      <c r="V3046">
        <v>0</v>
      </c>
      <c r="W3046">
        <v>0</v>
      </c>
      <c r="X3046">
        <v>1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0</v>
      </c>
      <c r="AI3046" t="s">
        <v>738</v>
      </c>
      <c r="AJ3046">
        <v>28.247008000000001</v>
      </c>
      <c r="AK3046" t="s">
        <v>740</v>
      </c>
      <c r="AL3046">
        <v>-82.289270999999999</v>
      </c>
      <c r="AM3046">
        <v>100</v>
      </c>
      <c r="AN3046">
        <v>2400</v>
      </c>
      <c r="AO3046" t="s">
        <v>118</v>
      </c>
      <c r="AP3046">
        <v>125</v>
      </c>
      <c r="AQ3046">
        <v>-9</v>
      </c>
      <c r="AR3046">
        <v>-448</v>
      </c>
      <c r="AZ3046">
        <v>1200</v>
      </c>
      <c r="BA3046">
        <v>1</v>
      </c>
      <c r="BB3046" t="str">
        <f t="shared" si="1419"/>
        <v xml:space="preserve">N711JA  </v>
      </c>
      <c r="BC3046">
        <v>1</v>
      </c>
      <c r="BE3046">
        <v>0</v>
      </c>
      <c r="BF3046">
        <v>0</v>
      </c>
      <c r="BG3046">
        <v>0</v>
      </c>
      <c r="BH3046">
        <v>2450</v>
      </c>
      <c r="BI3046">
        <v>1</v>
      </c>
      <c r="BJ3046">
        <v>1</v>
      </c>
      <c r="BK3046">
        <v>0</v>
      </c>
      <c r="BL3046">
        <v>0</v>
      </c>
      <c r="BO3046">
        <v>0</v>
      </c>
      <c r="BP3046">
        <v>0</v>
      </c>
      <c r="BW3046" t="str">
        <f>"14:46:39.732"</f>
        <v>14:46:39.732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6</v>
      </c>
      <c r="CP3046" t="s">
        <v>119</v>
      </c>
      <c r="CQ3046">
        <v>56</v>
      </c>
      <c r="CR3046">
        <v>2</v>
      </c>
      <c r="CW3046">
        <v>4951318</v>
      </c>
      <c r="CY3046">
        <v>1</v>
      </c>
      <c r="CZ3046">
        <v>0</v>
      </c>
      <c r="DA3046">
        <v>1</v>
      </c>
      <c r="DB3046">
        <v>0</v>
      </c>
      <c r="DC3046">
        <v>0</v>
      </c>
      <c r="DD3046">
        <v>1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 t="shared" si="1424"/>
        <v>05/12/2020 14:46:21.900</v>
      </c>
      <c r="C3047" t="str">
        <f t="shared" si="1418"/>
        <v>FFDFD3C0</v>
      </c>
      <c r="D3047" t="s">
        <v>138</v>
      </c>
      <c r="E3047">
        <v>2</v>
      </c>
      <c r="H3047">
        <v>8</v>
      </c>
      <c r="I3047" t="s">
        <v>139</v>
      </c>
      <c r="J3047" t="s">
        <v>136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1425"/>
        <v>14:46:39.727</v>
      </c>
      <c r="T3047" t="str">
        <f t="shared" si="1426"/>
        <v>14:46:39.327</v>
      </c>
      <c r="U3047" t="str">
        <f t="shared" si="1409"/>
        <v>A9808D</v>
      </c>
      <c r="V3047">
        <v>0</v>
      </c>
      <c r="W3047">
        <v>0</v>
      </c>
      <c r="X3047">
        <v>1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0</v>
      </c>
      <c r="AI3047" t="s">
        <v>738</v>
      </c>
      <c r="AJ3047">
        <v>28.247008000000001</v>
      </c>
      <c r="AK3047" t="s">
        <v>740</v>
      </c>
      <c r="AL3047">
        <v>-82.289270999999999</v>
      </c>
      <c r="AM3047">
        <v>100</v>
      </c>
      <c r="AN3047">
        <v>2400</v>
      </c>
      <c r="AO3047" t="s">
        <v>118</v>
      </c>
      <c r="AP3047">
        <v>125</v>
      </c>
      <c r="AQ3047">
        <v>-9</v>
      </c>
      <c r="AR3047">
        <v>-448</v>
      </c>
      <c r="AZ3047">
        <v>1200</v>
      </c>
      <c r="BA3047">
        <v>1</v>
      </c>
      <c r="BB3047" t="str">
        <f t="shared" si="1419"/>
        <v xml:space="preserve">N711JA  </v>
      </c>
      <c r="BC3047">
        <v>1</v>
      </c>
      <c r="BE3047">
        <v>0</v>
      </c>
      <c r="BF3047">
        <v>0</v>
      </c>
      <c r="BG3047">
        <v>0</v>
      </c>
      <c r="BH3047">
        <v>2450</v>
      </c>
      <c r="BI3047">
        <v>1</v>
      </c>
      <c r="BJ3047">
        <v>1</v>
      </c>
      <c r="BK3047">
        <v>0</v>
      </c>
      <c r="BL3047">
        <v>0</v>
      </c>
      <c r="BO3047">
        <v>0</v>
      </c>
      <c r="BP3047">
        <v>0</v>
      </c>
      <c r="BW3047" t="str">
        <f>"14:46:39.731"</f>
        <v>14:46:39.731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8</v>
      </c>
      <c r="CR3047">
        <v>3</v>
      </c>
      <c r="CW3047">
        <v>8987229</v>
      </c>
      <c r="CY3047">
        <v>1</v>
      </c>
      <c r="CZ3047">
        <v>0</v>
      </c>
      <c r="DA3047">
        <v>1</v>
      </c>
      <c r="DB3047">
        <v>0</v>
      </c>
      <c r="DC3047">
        <v>0</v>
      </c>
      <c r="DD3047">
        <v>1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 t="shared" si="1424"/>
        <v>05/12/2020 14:46:21.900</v>
      </c>
      <c r="C3048" t="str">
        <f t="shared" si="1418"/>
        <v>FFDFD3C0</v>
      </c>
      <c r="D3048" t="s">
        <v>126</v>
      </c>
      <c r="E3048">
        <v>6</v>
      </c>
      <c r="F3048">
        <v>1006</v>
      </c>
      <c r="G3048" t="s">
        <v>114</v>
      </c>
      <c r="J3048" t="s">
        <v>128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425"/>
        <v>14:46:39.727</v>
      </c>
      <c r="T3048" t="str">
        <f t="shared" si="1426"/>
        <v>14:46:39.327</v>
      </c>
      <c r="U3048" t="str">
        <f t="shared" si="1409"/>
        <v>A9808D</v>
      </c>
      <c r="V3048">
        <v>0</v>
      </c>
      <c r="W3048">
        <v>0</v>
      </c>
      <c r="X3048">
        <v>1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0</v>
      </c>
      <c r="AI3048" t="s">
        <v>738</v>
      </c>
      <c r="AJ3048">
        <v>28.247008000000001</v>
      </c>
      <c r="AK3048" t="s">
        <v>740</v>
      </c>
      <c r="AL3048">
        <v>-82.289270999999999</v>
      </c>
      <c r="AM3048">
        <v>100</v>
      </c>
      <c r="AN3048">
        <v>2400</v>
      </c>
      <c r="AO3048" t="s">
        <v>118</v>
      </c>
      <c r="AP3048">
        <v>125</v>
      </c>
      <c r="AQ3048">
        <v>-9</v>
      </c>
      <c r="AR3048">
        <v>-448</v>
      </c>
      <c r="AZ3048">
        <v>1200</v>
      </c>
      <c r="BA3048">
        <v>1</v>
      </c>
      <c r="BB3048" t="str">
        <f t="shared" si="1419"/>
        <v xml:space="preserve">N711JA  </v>
      </c>
      <c r="BC3048">
        <v>1</v>
      </c>
      <c r="BE3048">
        <v>0</v>
      </c>
      <c r="BF3048">
        <v>0</v>
      </c>
      <c r="BG3048">
        <v>0</v>
      </c>
      <c r="BH3048">
        <v>2450</v>
      </c>
      <c r="BI3048">
        <v>1</v>
      </c>
      <c r="BJ3048">
        <v>1</v>
      </c>
      <c r="BK3048">
        <v>0</v>
      </c>
      <c r="BL3048">
        <v>0</v>
      </c>
      <c r="BO3048">
        <v>0</v>
      </c>
      <c r="BP3048">
        <v>0</v>
      </c>
      <c r="BW3048" t="str">
        <f>"14:46:39.731"</f>
        <v>14:46:39.731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119</v>
      </c>
      <c r="CQ3048">
        <v>8</v>
      </c>
      <c r="CR3048">
        <v>3</v>
      </c>
      <c r="CW3048">
        <v>8987229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1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 t="shared" si="1424"/>
        <v>05/12/2020 14:46:21.900</v>
      </c>
      <c r="C3049" t="str">
        <f t="shared" si="1418"/>
        <v>FFDFD3C0</v>
      </c>
      <c r="D3049" t="s">
        <v>134</v>
      </c>
      <c r="E3049">
        <v>12</v>
      </c>
      <c r="H3049">
        <v>64</v>
      </c>
      <c r="I3049" t="s">
        <v>135</v>
      </c>
      <c r="J3049" t="s">
        <v>136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425"/>
        <v>14:46:39.727</v>
      </c>
      <c r="T3049" t="str">
        <f t="shared" si="1426"/>
        <v>14:46:39.327</v>
      </c>
      <c r="U3049" t="str">
        <f t="shared" si="1409"/>
        <v>A9808D</v>
      </c>
      <c r="V3049">
        <v>0</v>
      </c>
      <c r="W3049">
        <v>0</v>
      </c>
      <c r="X3049">
        <v>1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0</v>
      </c>
      <c r="AI3049" t="s">
        <v>738</v>
      </c>
      <c r="AJ3049">
        <v>28.247008000000001</v>
      </c>
      <c r="AK3049" t="s">
        <v>740</v>
      </c>
      <c r="AL3049">
        <v>-82.289270999999999</v>
      </c>
      <c r="AM3049">
        <v>100</v>
      </c>
      <c r="AN3049">
        <v>2400</v>
      </c>
      <c r="AO3049" t="s">
        <v>118</v>
      </c>
      <c r="AP3049">
        <v>125</v>
      </c>
      <c r="AQ3049">
        <v>-9</v>
      </c>
      <c r="AR3049">
        <v>-448</v>
      </c>
      <c r="AZ3049">
        <v>1200</v>
      </c>
      <c r="BA3049">
        <v>1</v>
      </c>
      <c r="BB3049" t="str">
        <f t="shared" si="1419"/>
        <v xml:space="preserve">N711JA  </v>
      </c>
      <c r="BC3049">
        <v>1</v>
      </c>
      <c r="BE3049">
        <v>0</v>
      </c>
      <c r="BF3049">
        <v>0</v>
      </c>
      <c r="BG3049">
        <v>0</v>
      </c>
      <c r="BH3049">
        <v>2450</v>
      </c>
      <c r="BI3049">
        <v>1</v>
      </c>
      <c r="BJ3049">
        <v>1</v>
      </c>
      <c r="BK3049">
        <v>0</v>
      </c>
      <c r="BL3049">
        <v>0</v>
      </c>
      <c r="BO3049">
        <v>0</v>
      </c>
      <c r="BP3049">
        <v>0</v>
      </c>
      <c r="BW3049" t="str">
        <f>"14:46:39.731"</f>
        <v>14:46:39.731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119</v>
      </c>
      <c r="CQ3049">
        <v>8</v>
      </c>
      <c r="CR3049">
        <v>3</v>
      </c>
      <c r="CW3049">
        <v>8987229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1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 t="shared" ref="A3050:A3058" si="1427">"05/12/2020 14:46:22.973"</f>
        <v>05/12/2020 14:46:22.973</v>
      </c>
      <c r="C3050" t="str">
        <f t="shared" si="1418"/>
        <v>FFDFD3C0</v>
      </c>
      <c r="D3050" t="s">
        <v>126</v>
      </c>
      <c r="E3050">
        <v>7</v>
      </c>
      <c r="F3050">
        <v>1007</v>
      </c>
      <c r="G3050" t="s">
        <v>127</v>
      </c>
      <c r="J3050" t="s">
        <v>128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ref="S3050:T3058" si="1428">"14:46:40.789"</f>
        <v>14:46:40.789</v>
      </c>
      <c r="T3050" t="str">
        <f t="shared" si="1428"/>
        <v>14:46:40.789</v>
      </c>
      <c r="U3050" t="str">
        <f t="shared" si="1409"/>
        <v>A9808D</v>
      </c>
      <c r="V3050">
        <v>0</v>
      </c>
      <c r="W3050">
        <v>0</v>
      </c>
      <c r="X3050">
        <v>1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0</v>
      </c>
      <c r="AI3050" t="s">
        <v>741</v>
      </c>
      <c r="AJ3050">
        <v>28.246964999999999</v>
      </c>
      <c r="AK3050" t="s">
        <v>742</v>
      </c>
      <c r="AL3050">
        <v>-82.288562999999996</v>
      </c>
      <c r="AM3050">
        <v>100</v>
      </c>
      <c r="AN3050">
        <v>2400</v>
      </c>
      <c r="AO3050" t="s">
        <v>118</v>
      </c>
      <c r="AP3050">
        <v>126</v>
      </c>
      <c r="AQ3050">
        <v>-8</v>
      </c>
      <c r="AR3050">
        <v>-576</v>
      </c>
      <c r="AZ3050">
        <v>1200</v>
      </c>
      <c r="BA3050">
        <v>1</v>
      </c>
      <c r="BB3050" t="str">
        <f t="shared" si="1419"/>
        <v xml:space="preserve">N711JA  </v>
      </c>
      <c r="BC3050">
        <v>1</v>
      </c>
      <c r="BE3050">
        <v>0</v>
      </c>
      <c r="BF3050">
        <v>0</v>
      </c>
      <c r="BG3050">
        <v>0</v>
      </c>
      <c r="BH3050">
        <v>2450</v>
      </c>
      <c r="BI3050">
        <v>1</v>
      </c>
      <c r="BJ3050">
        <v>1</v>
      </c>
      <c r="BK3050">
        <v>0</v>
      </c>
      <c r="BL3050">
        <v>0</v>
      </c>
      <c r="BO3050">
        <v>0</v>
      </c>
      <c r="BP3050">
        <v>0</v>
      </c>
      <c r="BW3050" t="str">
        <f t="shared" ref="BW3050:BW3058" si="1429">"14:46:40.791"</f>
        <v>14:46:40.791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7</v>
      </c>
      <c r="CP3050" t="s">
        <v>119</v>
      </c>
      <c r="CQ3050">
        <v>8</v>
      </c>
      <c r="CR3050">
        <v>3</v>
      </c>
      <c r="CW3050">
        <v>8988280</v>
      </c>
      <c r="CY3050">
        <v>1</v>
      </c>
      <c r="CZ3050">
        <v>0</v>
      </c>
      <c r="DA3050">
        <v>0</v>
      </c>
      <c r="DB3050">
        <v>0</v>
      </c>
      <c r="DC3050">
        <v>0</v>
      </c>
      <c r="DD3050">
        <v>1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 t="shared" si="1427"/>
        <v>05/12/2020 14:46:22.973</v>
      </c>
      <c r="C3051" t="str">
        <f t="shared" si="1418"/>
        <v>FFDFD3C0</v>
      </c>
      <c r="D3051" t="s">
        <v>131</v>
      </c>
      <c r="E3051">
        <v>10</v>
      </c>
      <c r="F3051">
        <v>2010</v>
      </c>
      <c r="G3051" t="s">
        <v>132</v>
      </c>
      <c r="J3051" t="s">
        <v>133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428"/>
        <v>14:46:40.789</v>
      </c>
      <c r="T3051" t="str">
        <f t="shared" si="1428"/>
        <v>14:46:40.789</v>
      </c>
      <c r="U3051" t="str">
        <f t="shared" si="1409"/>
        <v>A9808D</v>
      </c>
      <c r="V3051">
        <v>0</v>
      </c>
      <c r="W3051">
        <v>0</v>
      </c>
      <c r="X3051">
        <v>1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0</v>
      </c>
      <c r="AI3051" t="s">
        <v>741</v>
      </c>
      <c r="AJ3051">
        <v>28.246964999999999</v>
      </c>
      <c r="AK3051" t="s">
        <v>742</v>
      </c>
      <c r="AL3051">
        <v>-82.288562999999996</v>
      </c>
      <c r="AM3051">
        <v>100</v>
      </c>
      <c r="AN3051">
        <v>2400</v>
      </c>
      <c r="AO3051" t="s">
        <v>118</v>
      </c>
      <c r="AP3051">
        <v>126</v>
      </c>
      <c r="AQ3051">
        <v>-8</v>
      </c>
      <c r="AR3051">
        <v>-576</v>
      </c>
      <c r="AZ3051">
        <v>1200</v>
      </c>
      <c r="BA3051">
        <v>1</v>
      </c>
      <c r="BB3051" t="str">
        <f t="shared" si="1419"/>
        <v xml:space="preserve">N711JA  </v>
      </c>
      <c r="BC3051">
        <v>1</v>
      </c>
      <c r="BE3051">
        <v>0</v>
      </c>
      <c r="BF3051">
        <v>0</v>
      </c>
      <c r="BG3051">
        <v>0</v>
      </c>
      <c r="BH3051">
        <v>2450</v>
      </c>
      <c r="BI3051">
        <v>1</v>
      </c>
      <c r="BJ3051">
        <v>1</v>
      </c>
      <c r="BK3051">
        <v>0</v>
      </c>
      <c r="BL3051">
        <v>0</v>
      </c>
      <c r="BO3051">
        <v>0</v>
      </c>
      <c r="BP3051">
        <v>0</v>
      </c>
      <c r="BW3051" t="str">
        <f t="shared" si="1429"/>
        <v>14:46:40.791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119</v>
      </c>
      <c r="CQ3051">
        <v>8</v>
      </c>
      <c r="CR3051">
        <v>3</v>
      </c>
      <c r="CW3051">
        <v>8988280</v>
      </c>
      <c r="CY3051">
        <v>1</v>
      </c>
      <c r="CZ3051">
        <v>0</v>
      </c>
      <c r="DA3051">
        <v>1</v>
      </c>
      <c r="DB3051">
        <v>0</v>
      </c>
      <c r="DC3051">
        <v>0</v>
      </c>
      <c r="DD3051">
        <v>1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 t="shared" si="1427"/>
        <v>05/12/2020 14:46:22.973</v>
      </c>
      <c r="C3052" t="str">
        <f t="shared" si="1418"/>
        <v>FFDFD3C0</v>
      </c>
      <c r="D3052" t="s">
        <v>131</v>
      </c>
      <c r="E3052">
        <v>12</v>
      </c>
      <c r="F3052">
        <v>2012</v>
      </c>
      <c r="G3052" t="s">
        <v>137</v>
      </c>
      <c r="J3052" t="s">
        <v>133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428"/>
        <v>14:46:40.789</v>
      </c>
      <c r="T3052" t="str">
        <f t="shared" si="1428"/>
        <v>14:46:40.789</v>
      </c>
      <c r="U3052" t="str">
        <f t="shared" si="1409"/>
        <v>A9808D</v>
      </c>
      <c r="V3052">
        <v>0</v>
      </c>
      <c r="W3052">
        <v>0</v>
      </c>
      <c r="X3052">
        <v>1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0</v>
      </c>
      <c r="AI3052" t="s">
        <v>741</v>
      </c>
      <c r="AJ3052">
        <v>28.246964999999999</v>
      </c>
      <c r="AK3052" t="s">
        <v>742</v>
      </c>
      <c r="AL3052">
        <v>-82.288562999999996</v>
      </c>
      <c r="AM3052">
        <v>100</v>
      </c>
      <c r="AN3052">
        <v>2400</v>
      </c>
      <c r="AO3052" t="s">
        <v>118</v>
      </c>
      <c r="AP3052">
        <v>126</v>
      </c>
      <c r="AQ3052">
        <v>-8</v>
      </c>
      <c r="AR3052">
        <v>-576</v>
      </c>
      <c r="AZ3052">
        <v>1200</v>
      </c>
      <c r="BA3052">
        <v>1</v>
      </c>
      <c r="BB3052" t="str">
        <f t="shared" si="1419"/>
        <v xml:space="preserve">N711JA  </v>
      </c>
      <c r="BC3052">
        <v>1</v>
      </c>
      <c r="BE3052">
        <v>0</v>
      </c>
      <c r="BF3052">
        <v>0</v>
      </c>
      <c r="BG3052">
        <v>0</v>
      </c>
      <c r="BH3052">
        <v>2450</v>
      </c>
      <c r="BI3052">
        <v>1</v>
      </c>
      <c r="BJ3052">
        <v>1</v>
      </c>
      <c r="BK3052">
        <v>0</v>
      </c>
      <c r="BL3052">
        <v>0</v>
      </c>
      <c r="BO3052">
        <v>0</v>
      </c>
      <c r="BP3052">
        <v>0</v>
      </c>
      <c r="BW3052" t="str">
        <f t="shared" si="1429"/>
        <v>14:46:40.791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7</v>
      </c>
      <c r="CP3052" t="s">
        <v>119</v>
      </c>
      <c r="CQ3052">
        <v>8</v>
      </c>
      <c r="CR3052">
        <v>3</v>
      </c>
      <c r="CW3052">
        <v>8988280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1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 t="shared" si="1427"/>
        <v>05/12/2020 14:46:22.973</v>
      </c>
      <c r="C3053" t="str">
        <f t="shared" si="1418"/>
        <v>FFDFD3C0</v>
      </c>
      <c r="D3053" t="s">
        <v>131</v>
      </c>
      <c r="E3053">
        <v>18</v>
      </c>
      <c r="F3053">
        <v>2018</v>
      </c>
      <c r="G3053" t="s">
        <v>161</v>
      </c>
      <c r="J3053" t="s">
        <v>133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428"/>
        <v>14:46:40.789</v>
      </c>
      <c r="T3053" t="str">
        <f t="shared" si="1428"/>
        <v>14:46:40.789</v>
      </c>
      <c r="U3053" t="str">
        <f t="shared" si="1409"/>
        <v>A9808D</v>
      </c>
      <c r="V3053">
        <v>0</v>
      </c>
      <c r="W3053">
        <v>0</v>
      </c>
      <c r="X3053">
        <v>1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0</v>
      </c>
      <c r="AI3053" t="s">
        <v>741</v>
      </c>
      <c r="AJ3053">
        <v>28.246964999999999</v>
      </c>
      <c r="AK3053" t="s">
        <v>742</v>
      </c>
      <c r="AL3053">
        <v>-82.288562999999996</v>
      </c>
      <c r="AM3053">
        <v>100</v>
      </c>
      <c r="AN3053">
        <v>2400</v>
      </c>
      <c r="AO3053" t="s">
        <v>118</v>
      </c>
      <c r="AP3053">
        <v>126</v>
      </c>
      <c r="AQ3053">
        <v>-8</v>
      </c>
      <c r="AR3053">
        <v>-576</v>
      </c>
      <c r="AZ3053">
        <v>1200</v>
      </c>
      <c r="BA3053">
        <v>1</v>
      </c>
      <c r="BB3053" t="str">
        <f t="shared" si="1419"/>
        <v xml:space="preserve">N711JA  </v>
      </c>
      <c r="BC3053">
        <v>1</v>
      </c>
      <c r="BE3053">
        <v>0</v>
      </c>
      <c r="BF3053">
        <v>0</v>
      </c>
      <c r="BG3053">
        <v>0</v>
      </c>
      <c r="BH3053">
        <v>2450</v>
      </c>
      <c r="BI3053">
        <v>1</v>
      </c>
      <c r="BJ3053">
        <v>1</v>
      </c>
      <c r="BK3053">
        <v>0</v>
      </c>
      <c r="BL3053">
        <v>0</v>
      </c>
      <c r="BO3053">
        <v>0</v>
      </c>
      <c r="BP3053">
        <v>0</v>
      </c>
      <c r="BW3053" t="str">
        <f t="shared" si="1429"/>
        <v>14:46:40.791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6</v>
      </c>
      <c r="CP3053" t="s">
        <v>119</v>
      </c>
      <c r="CQ3053">
        <v>56</v>
      </c>
      <c r="CR3053">
        <v>2</v>
      </c>
      <c r="CW3053">
        <v>4952622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1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 t="shared" si="1427"/>
        <v>05/12/2020 14:46:22.973</v>
      </c>
      <c r="C3054" t="str">
        <f t="shared" si="1418"/>
        <v>FFDFD3C0</v>
      </c>
      <c r="D3054" t="s">
        <v>113</v>
      </c>
      <c r="E3054">
        <v>3</v>
      </c>
      <c r="H3054">
        <v>164</v>
      </c>
      <c r="I3054" t="s">
        <v>114</v>
      </c>
      <c r="J3054" t="s">
        <v>115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428"/>
        <v>14:46:40.789</v>
      </c>
      <c r="T3054" t="str">
        <f t="shared" si="1428"/>
        <v>14:46:40.789</v>
      </c>
      <c r="U3054" t="str">
        <f t="shared" si="1409"/>
        <v>A9808D</v>
      </c>
      <c r="V3054">
        <v>0</v>
      </c>
      <c r="W3054">
        <v>0</v>
      </c>
      <c r="X3054">
        <v>1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0</v>
      </c>
      <c r="AI3054" t="s">
        <v>741</v>
      </c>
      <c r="AJ3054">
        <v>28.246964999999999</v>
      </c>
      <c r="AK3054" t="s">
        <v>742</v>
      </c>
      <c r="AL3054">
        <v>-82.288562999999996</v>
      </c>
      <c r="AM3054">
        <v>100</v>
      </c>
      <c r="AN3054">
        <v>2400</v>
      </c>
      <c r="AO3054" t="s">
        <v>118</v>
      </c>
      <c r="AP3054">
        <v>126</v>
      </c>
      <c r="AQ3054">
        <v>-8</v>
      </c>
      <c r="AR3054">
        <v>-576</v>
      </c>
      <c r="AZ3054">
        <v>1200</v>
      </c>
      <c r="BA3054">
        <v>1</v>
      </c>
      <c r="BB3054" t="str">
        <f t="shared" si="1419"/>
        <v xml:space="preserve">N711JA  </v>
      </c>
      <c r="BC3054">
        <v>1</v>
      </c>
      <c r="BE3054">
        <v>0</v>
      </c>
      <c r="BF3054">
        <v>0</v>
      </c>
      <c r="BG3054">
        <v>0</v>
      </c>
      <c r="BH3054">
        <v>2450</v>
      </c>
      <c r="BI3054">
        <v>1</v>
      </c>
      <c r="BJ3054">
        <v>1</v>
      </c>
      <c r="BK3054">
        <v>0</v>
      </c>
      <c r="BL3054">
        <v>0</v>
      </c>
      <c r="BO3054">
        <v>0</v>
      </c>
      <c r="BP3054">
        <v>0</v>
      </c>
      <c r="BW3054" t="str">
        <f t="shared" si="1429"/>
        <v>14:46:40.791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119</v>
      </c>
      <c r="CQ3054">
        <v>8</v>
      </c>
      <c r="CR3054">
        <v>3</v>
      </c>
      <c r="CW3054">
        <v>8988280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1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 t="shared" si="1427"/>
        <v>05/12/2020 14:46:22.973</v>
      </c>
      <c r="C3055" t="str">
        <f t="shared" si="1418"/>
        <v>FFDFD3C0</v>
      </c>
      <c r="D3055" t="s">
        <v>138</v>
      </c>
      <c r="E3055">
        <v>2</v>
      </c>
      <c r="H3055">
        <v>8</v>
      </c>
      <c r="I3055" t="s">
        <v>139</v>
      </c>
      <c r="J3055" t="s">
        <v>136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si="1428"/>
        <v>14:46:40.789</v>
      </c>
      <c r="T3055" t="str">
        <f t="shared" si="1428"/>
        <v>14:46:40.789</v>
      </c>
      <c r="U3055" t="str">
        <f t="shared" si="1409"/>
        <v>A9808D</v>
      </c>
      <c r="V3055">
        <v>0</v>
      </c>
      <c r="W3055">
        <v>0</v>
      </c>
      <c r="X3055">
        <v>1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0</v>
      </c>
      <c r="AI3055" t="s">
        <v>741</v>
      </c>
      <c r="AJ3055">
        <v>28.246964999999999</v>
      </c>
      <c r="AK3055" t="s">
        <v>742</v>
      </c>
      <c r="AL3055">
        <v>-82.288562999999996</v>
      </c>
      <c r="AM3055">
        <v>100</v>
      </c>
      <c r="AN3055">
        <v>2400</v>
      </c>
      <c r="AO3055" t="s">
        <v>118</v>
      </c>
      <c r="AP3055">
        <v>126</v>
      </c>
      <c r="AQ3055">
        <v>-8</v>
      </c>
      <c r="AR3055">
        <v>-576</v>
      </c>
      <c r="AZ3055">
        <v>1200</v>
      </c>
      <c r="BA3055">
        <v>1</v>
      </c>
      <c r="BB3055" t="str">
        <f t="shared" si="1419"/>
        <v xml:space="preserve">N711JA  </v>
      </c>
      <c r="BC3055">
        <v>1</v>
      </c>
      <c r="BE3055">
        <v>0</v>
      </c>
      <c r="BF3055">
        <v>0</v>
      </c>
      <c r="BG3055">
        <v>0</v>
      </c>
      <c r="BH3055">
        <v>2450</v>
      </c>
      <c r="BI3055">
        <v>1</v>
      </c>
      <c r="BJ3055">
        <v>1</v>
      </c>
      <c r="BK3055">
        <v>0</v>
      </c>
      <c r="BL3055">
        <v>0</v>
      </c>
      <c r="BO3055">
        <v>0</v>
      </c>
      <c r="BP3055">
        <v>0</v>
      </c>
      <c r="BW3055" t="str">
        <f t="shared" si="1429"/>
        <v>14:46:40.791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8</v>
      </c>
      <c r="CR3055">
        <v>3</v>
      </c>
      <c r="CW3055">
        <v>8988280</v>
      </c>
      <c r="CY3055">
        <v>1</v>
      </c>
      <c r="CZ3055">
        <v>0</v>
      </c>
      <c r="DA3055">
        <v>1</v>
      </c>
      <c r="DB3055">
        <v>0</v>
      </c>
      <c r="DC3055">
        <v>0</v>
      </c>
      <c r="DD3055">
        <v>1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 t="shared" si="1427"/>
        <v>05/12/2020 14:46:22.973</v>
      </c>
      <c r="C3056" t="str">
        <f t="shared" si="1418"/>
        <v>FFDFD3C0</v>
      </c>
      <c r="D3056" t="s">
        <v>126</v>
      </c>
      <c r="E3056">
        <v>6</v>
      </c>
      <c r="F3056">
        <v>1006</v>
      </c>
      <c r="G3056" t="s">
        <v>114</v>
      </c>
      <c r="J3056" t="s">
        <v>128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428"/>
        <v>14:46:40.789</v>
      </c>
      <c r="T3056" t="str">
        <f t="shared" si="1428"/>
        <v>14:46:40.789</v>
      </c>
      <c r="U3056" t="str">
        <f t="shared" si="1409"/>
        <v>A9808D</v>
      </c>
      <c r="V3056">
        <v>0</v>
      </c>
      <c r="W3056">
        <v>0</v>
      </c>
      <c r="X3056">
        <v>1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0</v>
      </c>
      <c r="AI3056" t="s">
        <v>741</v>
      </c>
      <c r="AJ3056">
        <v>28.246964999999999</v>
      </c>
      <c r="AK3056" t="s">
        <v>742</v>
      </c>
      <c r="AL3056">
        <v>-82.288562999999996</v>
      </c>
      <c r="AM3056">
        <v>100</v>
      </c>
      <c r="AN3056">
        <v>2400</v>
      </c>
      <c r="AO3056" t="s">
        <v>118</v>
      </c>
      <c r="AP3056">
        <v>126</v>
      </c>
      <c r="AQ3056">
        <v>-8</v>
      </c>
      <c r="AR3056">
        <v>-576</v>
      </c>
      <c r="AZ3056">
        <v>1200</v>
      </c>
      <c r="BA3056">
        <v>1</v>
      </c>
      <c r="BB3056" t="str">
        <f t="shared" si="1419"/>
        <v xml:space="preserve">N711JA  </v>
      </c>
      <c r="BC3056">
        <v>1</v>
      </c>
      <c r="BE3056">
        <v>0</v>
      </c>
      <c r="BF3056">
        <v>0</v>
      </c>
      <c r="BG3056">
        <v>0</v>
      </c>
      <c r="BH3056">
        <v>2450</v>
      </c>
      <c r="BI3056">
        <v>1</v>
      </c>
      <c r="BJ3056">
        <v>1</v>
      </c>
      <c r="BK3056">
        <v>0</v>
      </c>
      <c r="BL3056">
        <v>0</v>
      </c>
      <c r="BO3056">
        <v>0</v>
      </c>
      <c r="BP3056">
        <v>0</v>
      </c>
      <c r="BW3056" t="str">
        <f t="shared" si="1429"/>
        <v>14:46:40.791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119</v>
      </c>
      <c r="CQ3056">
        <v>8</v>
      </c>
      <c r="CR3056">
        <v>3</v>
      </c>
      <c r="CW3056">
        <v>8988280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1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 t="shared" si="1427"/>
        <v>05/12/2020 14:46:22.973</v>
      </c>
      <c r="C3057" t="str">
        <f t="shared" si="1418"/>
        <v>FFDFD3C0</v>
      </c>
      <c r="D3057" t="s">
        <v>134</v>
      </c>
      <c r="E3057">
        <v>12</v>
      </c>
      <c r="H3057">
        <v>64</v>
      </c>
      <c r="I3057" t="s">
        <v>135</v>
      </c>
      <c r="J3057" t="s">
        <v>136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428"/>
        <v>14:46:40.789</v>
      </c>
      <c r="T3057" t="str">
        <f t="shared" si="1428"/>
        <v>14:46:40.789</v>
      </c>
      <c r="U3057" t="str">
        <f t="shared" si="1409"/>
        <v>A9808D</v>
      </c>
      <c r="V3057">
        <v>0</v>
      </c>
      <c r="W3057">
        <v>0</v>
      </c>
      <c r="X3057">
        <v>1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0</v>
      </c>
      <c r="AI3057" t="s">
        <v>741</v>
      </c>
      <c r="AJ3057">
        <v>28.246964999999999</v>
      </c>
      <c r="AK3057" t="s">
        <v>742</v>
      </c>
      <c r="AL3057">
        <v>-82.288562999999996</v>
      </c>
      <c r="AM3057">
        <v>100</v>
      </c>
      <c r="AN3057">
        <v>2400</v>
      </c>
      <c r="AO3057" t="s">
        <v>118</v>
      </c>
      <c r="AP3057">
        <v>126</v>
      </c>
      <c r="AQ3057">
        <v>-8</v>
      </c>
      <c r="AR3057">
        <v>-576</v>
      </c>
      <c r="AZ3057">
        <v>1200</v>
      </c>
      <c r="BA3057">
        <v>1</v>
      </c>
      <c r="BB3057" t="str">
        <f t="shared" si="1419"/>
        <v xml:space="preserve">N711JA  </v>
      </c>
      <c r="BC3057">
        <v>1</v>
      </c>
      <c r="BE3057">
        <v>0</v>
      </c>
      <c r="BF3057">
        <v>0</v>
      </c>
      <c r="BG3057">
        <v>0</v>
      </c>
      <c r="BH3057">
        <v>2450</v>
      </c>
      <c r="BI3057">
        <v>1</v>
      </c>
      <c r="BJ3057">
        <v>1</v>
      </c>
      <c r="BK3057">
        <v>0</v>
      </c>
      <c r="BL3057">
        <v>0</v>
      </c>
      <c r="BO3057">
        <v>0</v>
      </c>
      <c r="BP3057">
        <v>0</v>
      </c>
      <c r="BW3057" t="str">
        <f t="shared" si="1429"/>
        <v>14:46:40.791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119</v>
      </c>
      <c r="CQ3057">
        <v>8</v>
      </c>
      <c r="CR3057">
        <v>3</v>
      </c>
      <c r="CW3057">
        <v>8988280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1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 t="shared" si="1427"/>
        <v>05/12/2020 14:46:22.973</v>
      </c>
      <c r="C3058" t="str">
        <f t="shared" si="1418"/>
        <v>FFDFD3C0</v>
      </c>
      <c r="D3058" t="s">
        <v>138</v>
      </c>
      <c r="E3058">
        <v>3</v>
      </c>
      <c r="H3058">
        <v>9</v>
      </c>
      <c r="I3058" t="s">
        <v>140</v>
      </c>
      <c r="J3058" t="s">
        <v>136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428"/>
        <v>14:46:40.789</v>
      </c>
      <c r="T3058" t="str">
        <f t="shared" si="1428"/>
        <v>14:46:40.789</v>
      </c>
      <c r="U3058" t="str">
        <f t="shared" si="1409"/>
        <v>A9808D</v>
      </c>
      <c r="V3058">
        <v>0</v>
      </c>
      <c r="W3058">
        <v>0</v>
      </c>
      <c r="X3058">
        <v>1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0</v>
      </c>
      <c r="AI3058" t="s">
        <v>741</v>
      </c>
      <c r="AJ3058">
        <v>28.246964999999999</v>
      </c>
      <c r="AK3058" t="s">
        <v>742</v>
      </c>
      <c r="AL3058">
        <v>-82.288562999999996</v>
      </c>
      <c r="AM3058">
        <v>100</v>
      </c>
      <c r="AN3058">
        <v>2400</v>
      </c>
      <c r="AO3058" t="s">
        <v>118</v>
      </c>
      <c r="AP3058">
        <v>126</v>
      </c>
      <c r="AQ3058">
        <v>-8</v>
      </c>
      <c r="AR3058">
        <v>-576</v>
      </c>
      <c r="AZ3058">
        <v>1200</v>
      </c>
      <c r="BA3058">
        <v>1</v>
      </c>
      <c r="BB3058" t="str">
        <f t="shared" si="1419"/>
        <v xml:space="preserve">N711JA  </v>
      </c>
      <c r="BC3058">
        <v>1</v>
      </c>
      <c r="BE3058">
        <v>0</v>
      </c>
      <c r="BF3058">
        <v>0</v>
      </c>
      <c r="BG3058">
        <v>0</v>
      </c>
      <c r="BH3058">
        <v>2450</v>
      </c>
      <c r="BI3058">
        <v>1</v>
      </c>
      <c r="BJ3058">
        <v>1</v>
      </c>
      <c r="BK3058">
        <v>0</v>
      </c>
      <c r="BL3058">
        <v>0</v>
      </c>
      <c r="BO3058">
        <v>0</v>
      </c>
      <c r="BP3058">
        <v>0</v>
      </c>
      <c r="BW3058" t="str">
        <f t="shared" si="1429"/>
        <v>14:46:40.791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119</v>
      </c>
      <c r="CQ3058">
        <v>8</v>
      </c>
      <c r="CR3058">
        <v>3</v>
      </c>
      <c r="CW3058">
        <v>8988280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1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 t="shared" ref="A3059:A3067" si="1430">"05/12/2020 14:46:24.082"</f>
        <v>05/12/2020 14:46:24.082</v>
      </c>
      <c r="C3059" t="str">
        <f t="shared" si="1418"/>
        <v>FFDFD3C0</v>
      </c>
      <c r="D3059" t="s">
        <v>126</v>
      </c>
      <c r="E3059">
        <v>7</v>
      </c>
      <c r="F3059">
        <v>1007</v>
      </c>
      <c r="G3059" t="s">
        <v>127</v>
      </c>
      <c r="J3059" t="s">
        <v>128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ref="S3059:S3067" si="1431">"14:46:41.914"</f>
        <v>14:46:41.914</v>
      </c>
      <c r="T3059" t="str">
        <f t="shared" ref="T3059:T3067" si="1432">"14:46:41.814"</f>
        <v>14:46:41.814</v>
      </c>
      <c r="U3059" t="str">
        <f t="shared" si="1409"/>
        <v>A9808D</v>
      </c>
      <c r="V3059">
        <v>0</v>
      </c>
      <c r="W3059">
        <v>0</v>
      </c>
      <c r="X3059">
        <v>1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0</v>
      </c>
      <c r="AI3059" t="s">
        <v>743</v>
      </c>
      <c r="AJ3059">
        <v>28.246922000000001</v>
      </c>
      <c r="AK3059" t="s">
        <v>744</v>
      </c>
      <c r="AL3059">
        <v>-82.287768999999997</v>
      </c>
      <c r="AM3059">
        <v>100</v>
      </c>
      <c r="AN3059">
        <v>2400</v>
      </c>
      <c r="AO3059" t="s">
        <v>118</v>
      </c>
      <c r="AP3059">
        <v>127</v>
      </c>
      <c r="AQ3059">
        <v>-8</v>
      </c>
      <c r="AR3059">
        <v>-640</v>
      </c>
      <c r="AZ3059">
        <v>1200</v>
      </c>
      <c r="BA3059">
        <v>1</v>
      </c>
      <c r="BB3059" t="str">
        <f t="shared" si="1419"/>
        <v xml:space="preserve">N711JA  </v>
      </c>
      <c r="BC3059">
        <v>1</v>
      </c>
      <c r="BE3059">
        <v>0</v>
      </c>
      <c r="BF3059">
        <v>0</v>
      </c>
      <c r="BG3059">
        <v>0</v>
      </c>
      <c r="BH3059">
        <v>2425</v>
      </c>
      <c r="BI3059">
        <v>1</v>
      </c>
      <c r="BJ3059">
        <v>1</v>
      </c>
      <c r="BK3059">
        <v>0</v>
      </c>
      <c r="BL3059">
        <v>0</v>
      </c>
      <c r="BO3059">
        <v>0</v>
      </c>
      <c r="BP3059">
        <v>0</v>
      </c>
      <c r="BW3059" t="str">
        <f t="shared" ref="BW3059:BW3067" si="1433">"14:46:41.915"</f>
        <v>14:46:41.915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119</v>
      </c>
      <c r="CQ3059">
        <v>8</v>
      </c>
      <c r="CR3059">
        <v>3</v>
      </c>
      <c r="CW3059">
        <v>8989438</v>
      </c>
      <c r="CY3059">
        <v>1</v>
      </c>
      <c r="CZ3059">
        <v>0</v>
      </c>
      <c r="DA3059">
        <v>0</v>
      </c>
      <c r="DB3059">
        <v>0</v>
      </c>
      <c r="DC3059">
        <v>0</v>
      </c>
      <c r="DD3059">
        <v>1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 t="shared" si="1430"/>
        <v>05/12/2020 14:46:24.082</v>
      </c>
      <c r="C3060" t="str">
        <f t="shared" si="1418"/>
        <v>FFDFD3C0</v>
      </c>
      <c r="D3060" t="s">
        <v>131</v>
      </c>
      <c r="E3060">
        <v>10</v>
      </c>
      <c r="F3060">
        <v>2010</v>
      </c>
      <c r="G3060" t="s">
        <v>132</v>
      </c>
      <c r="J3060" t="s">
        <v>133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431"/>
        <v>14:46:41.914</v>
      </c>
      <c r="T3060" t="str">
        <f t="shared" si="1432"/>
        <v>14:46:41.814</v>
      </c>
      <c r="U3060" t="str">
        <f t="shared" si="1409"/>
        <v>A9808D</v>
      </c>
      <c r="V3060">
        <v>0</v>
      </c>
      <c r="W3060">
        <v>0</v>
      </c>
      <c r="X3060">
        <v>1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0</v>
      </c>
      <c r="AI3060" t="s">
        <v>743</v>
      </c>
      <c r="AJ3060">
        <v>28.246922000000001</v>
      </c>
      <c r="AK3060" t="s">
        <v>744</v>
      </c>
      <c r="AL3060">
        <v>-82.287768999999997</v>
      </c>
      <c r="AM3060">
        <v>100</v>
      </c>
      <c r="AN3060">
        <v>2400</v>
      </c>
      <c r="AO3060" t="s">
        <v>118</v>
      </c>
      <c r="AP3060">
        <v>127</v>
      </c>
      <c r="AQ3060">
        <v>-8</v>
      </c>
      <c r="AR3060">
        <v>-640</v>
      </c>
      <c r="AZ3060">
        <v>1200</v>
      </c>
      <c r="BA3060">
        <v>1</v>
      </c>
      <c r="BB3060" t="str">
        <f t="shared" si="1419"/>
        <v xml:space="preserve">N711JA  </v>
      </c>
      <c r="BC3060">
        <v>1</v>
      </c>
      <c r="BE3060">
        <v>0</v>
      </c>
      <c r="BF3060">
        <v>0</v>
      </c>
      <c r="BG3060">
        <v>0</v>
      </c>
      <c r="BH3060">
        <v>2425</v>
      </c>
      <c r="BI3060">
        <v>1</v>
      </c>
      <c r="BJ3060">
        <v>1</v>
      </c>
      <c r="BK3060">
        <v>0</v>
      </c>
      <c r="BL3060">
        <v>0</v>
      </c>
      <c r="BO3060">
        <v>0</v>
      </c>
      <c r="BP3060">
        <v>0</v>
      </c>
      <c r="BW3060" t="str">
        <f t="shared" si="1433"/>
        <v>14:46:41.915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119</v>
      </c>
      <c r="CQ3060">
        <v>8</v>
      </c>
      <c r="CR3060">
        <v>3</v>
      </c>
      <c r="CW3060">
        <v>8989438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1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 t="shared" si="1430"/>
        <v>05/12/2020 14:46:24.082</v>
      </c>
      <c r="C3061" t="str">
        <f t="shared" si="1418"/>
        <v>FFDFD3C0</v>
      </c>
      <c r="D3061" t="s">
        <v>131</v>
      </c>
      <c r="E3061">
        <v>12</v>
      </c>
      <c r="F3061">
        <v>2012</v>
      </c>
      <c r="G3061" t="s">
        <v>137</v>
      </c>
      <c r="J3061" t="s">
        <v>133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431"/>
        <v>14:46:41.914</v>
      </c>
      <c r="T3061" t="str">
        <f t="shared" si="1432"/>
        <v>14:46:41.814</v>
      </c>
      <c r="U3061" t="str">
        <f t="shared" si="1409"/>
        <v>A9808D</v>
      </c>
      <c r="V3061">
        <v>0</v>
      </c>
      <c r="W3061">
        <v>0</v>
      </c>
      <c r="X3061">
        <v>1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0</v>
      </c>
      <c r="AI3061" t="s">
        <v>743</v>
      </c>
      <c r="AJ3061">
        <v>28.246922000000001</v>
      </c>
      <c r="AK3061" t="s">
        <v>744</v>
      </c>
      <c r="AL3061">
        <v>-82.287768999999997</v>
      </c>
      <c r="AM3061">
        <v>100</v>
      </c>
      <c r="AN3061">
        <v>2400</v>
      </c>
      <c r="AO3061" t="s">
        <v>118</v>
      </c>
      <c r="AP3061">
        <v>127</v>
      </c>
      <c r="AQ3061">
        <v>-8</v>
      </c>
      <c r="AR3061">
        <v>-640</v>
      </c>
      <c r="AZ3061">
        <v>1200</v>
      </c>
      <c r="BA3061">
        <v>1</v>
      </c>
      <c r="BB3061" t="str">
        <f t="shared" si="1419"/>
        <v xml:space="preserve">N711JA  </v>
      </c>
      <c r="BC3061">
        <v>1</v>
      </c>
      <c r="BE3061">
        <v>0</v>
      </c>
      <c r="BF3061">
        <v>0</v>
      </c>
      <c r="BG3061">
        <v>0</v>
      </c>
      <c r="BH3061">
        <v>2425</v>
      </c>
      <c r="BI3061">
        <v>1</v>
      </c>
      <c r="BJ3061">
        <v>1</v>
      </c>
      <c r="BK3061">
        <v>0</v>
      </c>
      <c r="BL3061">
        <v>0</v>
      </c>
      <c r="BO3061">
        <v>0</v>
      </c>
      <c r="BP3061">
        <v>0</v>
      </c>
      <c r="BW3061" t="str">
        <f t="shared" si="1433"/>
        <v>14:46:41.915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119</v>
      </c>
      <c r="CQ3061">
        <v>8</v>
      </c>
      <c r="CR3061">
        <v>3</v>
      </c>
      <c r="CW3061">
        <v>8989438</v>
      </c>
      <c r="CY3061">
        <v>1</v>
      </c>
      <c r="CZ3061">
        <v>0</v>
      </c>
      <c r="DA3061">
        <v>1</v>
      </c>
      <c r="DB3061">
        <v>0</v>
      </c>
      <c r="DC3061">
        <v>0</v>
      </c>
      <c r="DD3061">
        <v>1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 t="shared" si="1430"/>
        <v>05/12/2020 14:46:24.082</v>
      </c>
      <c r="C3062" t="str">
        <f t="shared" si="1418"/>
        <v>FFDFD3C0</v>
      </c>
      <c r="D3062" t="s">
        <v>131</v>
      </c>
      <c r="E3062">
        <v>18</v>
      </c>
      <c r="F3062">
        <v>2018</v>
      </c>
      <c r="G3062" t="s">
        <v>161</v>
      </c>
      <c r="J3062" t="s">
        <v>133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431"/>
        <v>14:46:41.914</v>
      </c>
      <c r="T3062" t="str">
        <f t="shared" si="1432"/>
        <v>14:46:41.814</v>
      </c>
      <c r="U3062" t="str">
        <f t="shared" si="1409"/>
        <v>A9808D</v>
      </c>
      <c r="V3062">
        <v>0</v>
      </c>
      <c r="W3062">
        <v>0</v>
      </c>
      <c r="X3062">
        <v>1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0</v>
      </c>
      <c r="AI3062" t="s">
        <v>743</v>
      </c>
      <c r="AJ3062">
        <v>28.246922000000001</v>
      </c>
      <c r="AK3062" t="s">
        <v>744</v>
      </c>
      <c r="AL3062">
        <v>-82.287768999999997</v>
      </c>
      <c r="AM3062">
        <v>100</v>
      </c>
      <c r="AN3062">
        <v>2400</v>
      </c>
      <c r="AO3062" t="s">
        <v>118</v>
      </c>
      <c r="AP3062">
        <v>127</v>
      </c>
      <c r="AQ3062">
        <v>-8</v>
      </c>
      <c r="AR3062">
        <v>-640</v>
      </c>
      <c r="AZ3062">
        <v>1200</v>
      </c>
      <c r="BA3062">
        <v>1</v>
      </c>
      <c r="BB3062" t="str">
        <f t="shared" si="1419"/>
        <v xml:space="preserve">N711JA  </v>
      </c>
      <c r="BC3062">
        <v>1</v>
      </c>
      <c r="BE3062">
        <v>0</v>
      </c>
      <c r="BF3062">
        <v>0</v>
      </c>
      <c r="BG3062">
        <v>0</v>
      </c>
      <c r="BH3062">
        <v>2425</v>
      </c>
      <c r="BI3062">
        <v>1</v>
      </c>
      <c r="BJ3062">
        <v>1</v>
      </c>
      <c r="BK3062">
        <v>0</v>
      </c>
      <c r="BL3062">
        <v>0</v>
      </c>
      <c r="BO3062">
        <v>0</v>
      </c>
      <c r="BP3062">
        <v>0</v>
      </c>
      <c r="BW3062" t="str">
        <f t="shared" si="1433"/>
        <v>14:46:41.915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6</v>
      </c>
      <c r="CP3062" t="s">
        <v>119</v>
      </c>
      <c r="CQ3062">
        <v>56</v>
      </c>
      <c r="CR3062">
        <v>2</v>
      </c>
      <c r="CW3062">
        <v>4954064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1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 t="shared" si="1430"/>
        <v>05/12/2020 14:46:24.082</v>
      </c>
      <c r="C3063" t="str">
        <f t="shared" si="1418"/>
        <v>FFDFD3C0</v>
      </c>
      <c r="D3063" t="s">
        <v>113</v>
      </c>
      <c r="E3063">
        <v>3</v>
      </c>
      <c r="H3063">
        <v>164</v>
      </c>
      <c r="I3063" t="s">
        <v>114</v>
      </c>
      <c r="J3063" t="s">
        <v>115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si="1431"/>
        <v>14:46:41.914</v>
      </c>
      <c r="T3063" t="str">
        <f t="shared" si="1432"/>
        <v>14:46:41.814</v>
      </c>
      <c r="U3063" t="str">
        <f t="shared" si="1409"/>
        <v>A9808D</v>
      </c>
      <c r="V3063">
        <v>0</v>
      </c>
      <c r="W3063">
        <v>0</v>
      </c>
      <c r="X3063">
        <v>1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0</v>
      </c>
      <c r="AI3063" t="s">
        <v>743</v>
      </c>
      <c r="AJ3063">
        <v>28.246922000000001</v>
      </c>
      <c r="AK3063" t="s">
        <v>744</v>
      </c>
      <c r="AL3063">
        <v>-82.287768999999997</v>
      </c>
      <c r="AM3063">
        <v>100</v>
      </c>
      <c r="AN3063">
        <v>2400</v>
      </c>
      <c r="AO3063" t="s">
        <v>118</v>
      </c>
      <c r="AP3063">
        <v>127</v>
      </c>
      <c r="AQ3063">
        <v>-8</v>
      </c>
      <c r="AR3063">
        <v>-640</v>
      </c>
      <c r="AZ3063">
        <v>1200</v>
      </c>
      <c r="BA3063">
        <v>1</v>
      </c>
      <c r="BB3063" t="str">
        <f t="shared" si="1419"/>
        <v xml:space="preserve">N711JA  </v>
      </c>
      <c r="BC3063">
        <v>1</v>
      </c>
      <c r="BE3063">
        <v>0</v>
      </c>
      <c r="BF3063">
        <v>0</v>
      </c>
      <c r="BG3063">
        <v>0</v>
      </c>
      <c r="BH3063">
        <v>2425</v>
      </c>
      <c r="BI3063">
        <v>1</v>
      </c>
      <c r="BJ3063">
        <v>1</v>
      </c>
      <c r="BK3063">
        <v>0</v>
      </c>
      <c r="BL3063">
        <v>0</v>
      </c>
      <c r="BO3063">
        <v>0</v>
      </c>
      <c r="BP3063">
        <v>0</v>
      </c>
      <c r="BW3063" t="str">
        <f t="shared" si="1433"/>
        <v>14:46:41.915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119</v>
      </c>
      <c r="CQ3063">
        <v>8</v>
      </c>
      <c r="CR3063">
        <v>3</v>
      </c>
      <c r="CW3063">
        <v>8989438</v>
      </c>
      <c r="CY3063">
        <v>1</v>
      </c>
      <c r="CZ3063">
        <v>0</v>
      </c>
      <c r="DA3063">
        <v>1</v>
      </c>
      <c r="DB3063">
        <v>0</v>
      </c>
      <c r="DC3063">
        <v>0</v>
      </c>
      <c r="DD3063">
        <v>1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 t="shared" si="1430"/>
        <v>05/12/2020 14:46:24.082</v>
      </c>
      <c r="C3064" t="str">
        <f t="shared" si="1418"/>
        <v>FFDFD3C0</v>
      </c>
      <c r="D3064" t="s">
        <v>126</v>
      </c>
      <c r="E3064">
        <v>6</v>
      </c>
      <c r="F3064">
        <v>1006</v>
      </c>
      <c r="G3064" t="s">
        <v>114</v>
      </c>
      <c r="J3064" t="s">
        <v>128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431"/>
        <v>14:46:41.914</v>
      </c>
      <c r="T3064" t="str">
        <f t="shared" si="1432"/>
        <v>14:46:41.814</v>
      </c>
      <c r="U3064" t="str">
        <f t="shared" si="1409"/>
        <v>A9808D</v>
      </c>
      <c r="V3064">
        <v>0</v>
      </c>
      <c r="W3064">
        <v>0</v>
      </c>
      <c r="X3064">
        <v>1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0</v>
      </c>
      <c r="AI3064" t="s">
        <v>743</v>
      </c>
      <c r="AJ3064">
        <v>28.246922000000001</v>
      </c>
      <c r="AK3064" t="s">
        <v>744</v>
      </c>
      <c r="AL3064">
        <v>-82.287768999999997</v>
      </c>
      <c r="AM3064">
        <v>100</v>
      </c>
      <c r="AN3064">
        <v>2400</v>
      </c>
      <c r="AO3064" t="s">
        <v>118</v>
      </c>
      <c r="AP3064">
        <v>127</v>
      </c>
      <c r="AQ3064">
        <v>-8</v>
      </c>
      <c r="AR3064">
        <v>-640</v>
      </c>
      <c r="AZ3064">
        <v>1200</v>
      </c>
      <c r="BA3064">
        <v>1</v>
      </c>
      <c r="BB3064" t="str">
        <f t="shared" si="1419"/>
        <v xml:space="preserve">N711JA  </v>
      </c>
      <c r="BC3064">
        <v>1</v>
      </c>
      <c r="BE3064">
        <v>0</v>
      </c>
      <c r="BF3064">
        <v>0</v>
      </c>
      <c r="BG3064">
        <v>0</v>
      </c>
      <c r="BH3064">
        <v>2425</v>
      </c>
      <c r="BI3064">
        <v>1</v>
      </c>
      <c r="BJ3064">
        <v>1</v>
      </c>
      <c r="BK3064">
        <v>0</v>
      </c>
      <c r="BL3064">
        <v>0</v>
      </c>
      <c r="BO3064">
        <v>0</v>
      </c>
      <c r="BP3064">
        <v>0</v>
      </c>
      <c r="BW3064" t="str">
        <f t="shared" si="1433"/>
        <v>14:46:41.915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119</v>
      </c>
      <c r="CQ3064">
        <v>8</v>
      </c>
      <c r="CR3064">
        <v>3</v>
      </c>
      <c r="CW3064">
        <v>8989438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1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 t="shared" si="1430"/>
        <v>05/12/2020 14:46:24.082</v>
      </c>
      <c r="C3065" t="str">
        <f t="shared" si="1418"/>
        <v>FFDFD3C0</v>
      </c>
      <c r="D3065" t="s">
        <v>138</v>
      </c>
      <c r="E3065">
        <v>2</v>
      </c>
      <c r="H3065">
        <v>8</v>
      </c>
      <c r="I3065" t="s">
        <v>139</v>
      </c>
      <c r="J3065" t="s">
        <v>136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431"/>
        <v>14:46:41.914</v>
      </c>
      <c r="T3065" t="str">
        <f t="shared" si="1432"/>
        <v>14:46:41.814</v>
      </c>
      <c r="U3065" t="str">
        <f t="shared" si="1409"/>
        <v>A9808D</v>
      </c>
      <c r="V3065">
        <v>0</v>
      </c>
      <c r="W3065">
        <v>0</v>
      </c>
      <c r="X3065">
        <v>1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0</v>
      </c>
      <c r="AI3065" t="s">
        <v>743</v>
      </c>
      <c r="AJ3065">
        <v>28.246922000000001</v>
      </c>
      <c r="AK3065" t="s">
        <v>744</v>
      </c>
      <c r="AL3065">
        <v>-82.287768999999997</v>
      </c>
      <c r="AM3065">
        <v>100</v>
      </c>
      <c r="AN3065">
        <v>2400</v>
      </c>
      <c r="AO3065" t="s">
        <v>118</v>
      </c>
      <c r="AP3065">
        <v>127</v>
      </c>
      <c r="AQ3065">
        <v>-8</v>
      </c>
      <c r="AR3065">
        <v>-640</v>
      </c>
      <c r="AZ3065">
        <v>1200</v>
      </c>
      <c r="BA3065">
        <v>1</v>
      </c>
      <c r="BB3065" t="str">
        <f t="shared" si="1419"/>
        <v xml:space="preserve">N711JA  </v>
      </c>
      <c r="BC3065">
        <v>1</v>
      </c>
      <c r="BE3065">
        <v>0</v>
      </c>
      <c r="BF3065">
        <v>0</v>
      </c>
      <c r="BG3065">
        <v>0</v>
      </c>
      <c r="BH3065">
        <v>2425</v>
      </c>
      <c r="BI3065">
        <v>1</v>
      </c>
      <c r="BJ3065">
        <v>1</v>
      </c>
      <c r="BK3065">
        <v>0</v>
      </c>
      <c r="BL3065">
        <v>0</v>
      </c>
      <c r="BO3065">
        <v>0</v>
      </c>
      <c r="BP3065">
        <v>0</v>
      </c>
      <c r="BW3065" t="str">
        <f t="shared" si="1433"/>
        <v>14:46:41.915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119</v>
      </c>
      <c r="CQ3065">
        <v>8</v>
      </c>
      <c r="CR3065">
        <v>3</v>
      </c>
      <c r="CW3065">
        <v>8989438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1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 t="shared" si="1430"/>
        <v>05/12/2020 14:46:24.082</v>
      </c>
      <c r="C3066" t="str">
        <f t="shared" si="1418"/>
        <v>FFDFD3C0</v>
      </c>
      <c r="D3066" t="s">
        <v>134</v>
      </c>
      <c r="E3066">
        <v>12</v>
      </c>
      <c r="H3066">
        <v>64</v>
      </c>
      <c r="I3066" t="s">
        <v>135</v>
      </c>
      <c r="J3066" t="s">
        <v>136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431"/>
        <v>14:46:41.914</v>
      </c>
      <c r="T3066" t="str">
        <f t="shared" si="1432"/>
        <v>14:46:41.814</v>
      </c>
      <c r="U3066" t="str">
        <f t="shared" si="1409"/>
        <v>A9808D</v>
      </c>
      <c r="V3066">
        <v>0</v>
      </c>
      <c r="W3066">
        <v>0</v>
      </c>
      <c r="X3066">
        <v>1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0</v>
      </c>
      <c r="AI3066" t="s">
        <v>743</v>
      </c>
      <c r="AJ3066">
        <v>28.246922000000001</v>
      </c>
      <c r="AK3066" t="s">
        <v>744</v>
      </c>
      <c r="AL3066">
        <v>-82.287768999999997</v>
      </c>
      <c r="AM3066">
        <v>100</v>
      </c>
      <c r="AN3066">
        <v>2400</v>
      </c>
      <c r="AO3066" t="s">
        <v>118</v>
      </c>
      <c r="AP3066">
        <v>127</v>
      </c>
      <c r="AQ3066">
        <v>-8</v>
      </c>
      <c r="AR3066">
        <v>-640</v>
      </c>
      <c r="AZ3066">
        <v>1200</v>
      </c>
      <c r="BA3066">
        <v>1</v>
      </c>
      <c r="BB3066" t="str">
        <f t="shared" si="1419"/>
        <v xml:space="preserve">N711JA  </v>
      </c>
      <c r="BC3066">
        <v>1</v>
      </c>
      <c r="BE3066">
        <v>0</v>
      </c>
      <c r="BF3066">
        <v>0</v>
      </c>
      <c r="BG3066">
        <v>0</v>
      </c>
      <c r="BH3066">
        <v>2425</v>
      </c>
      <c r="BI3066">
        <v>1</v>
      </c>
      <c r="BJ3066">
        <v>1</v>
      </c>
      <c r="BK3066">
        <v>0</v>
      </c>
      <c r="BL3066">
        <v>0</v>
      </c>
      <c r="BO3066">
        <v>0</v>
      </c>
      <c r="BP3066">
        <v>0</v>
      </c>
      <c r="BW3066" t="str">
        <f t="shared" si="1433"/>
        <v>14:46:41.915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119</v>
      </c>
      <c r="CQ3066">
        <v>8</v>
      </c>
      <c r="CR3066">
        <v>3</v>
      </c>
      <c r="CW3066">
        <v>8989438</v>
      </c>
      <c r="CY3066">
        <v>1</v>
      </c>
      <c r="CZ3066">
        <v>0</v>
      </c>
      <c r="DA3066">
        <v>1</v>
      </c>
      <c r="DB3066">
        <v>0</v>
      </c>
      <c r="DC3066">
        <v>0</v>
      </c>
      <c r="DD3066">
        <v>1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 t="shared" si="1430"/>
        <v>05/12/2020 14:46:24.082</v>
      </c>
      <c r="C3067" t="str">
        <f t="shared" si="1418"/>
        <v>FFDFD3C0</v>
      </c>
      <c r="D3067" t="s">
        <v>138</v>
      </c>
      <c r="E3067">
        <v>3</v>
      </c>
      <c r="H3067">
        <v>9</v>
      </c>
      <c r="I3067" t="s">
        <v>140</v>
      </c>
      <c r="J3067" t="s">
        <v>136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si="1431"/>
        <v>14:46:41.914</v>
      </c>
      <c r="T3067" t="str">
        <f t="shared" si="1432"/>
        <v>14:46:41.814</v>
      </c>
      <c r="U3067" t="str">
        <f t="shared" si="1409"/>
        <v>A9808D</v>
      </c>
      <c r="V3067">
        <v>0</v>
      </c>
      <c r="W3067">
        <v>0</v>
      </c>
      <c r="X3067">
        <v>1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0</v>
      </c>
      <c r="AI3067" t="s">
        <v>743</v>
      </c>
      <c r="AJ3067">
        <v>28.246922000000001</v>
      </c>
      <c r="AK3067" t="s">
        <v>744</v>
      </c>
      <c r="AL3067">
        <v>-82.287768999999997</v>
      </c>
      <c r="AM3067">
        <v>100</v>
      </c>
      <c r="AN3067">
        <v>2400</v>
      </c>
      <c r="AO3067" t="s">
        <v>118</v>
      </c>
      <c r="AP3067">
        <v>127</v>
      </c>
      <c r="AQ3067">
        <v>-8</v>
      </c>
      <c r="AR3067">
        <v>-640</v>
      </c>
      <c r="AZ3067">
        <v>1200</v>
      </c>
      <c r="BA3067">
        <v>1</v>
      </c>
      <c r="BB3067" t="str">
        <f t="shared" si="1419"/>
        <v xml:space="preserve">N711JA  </v>
      </c>
      <c r="BC3067">
        <v>1</v>
      </c>
      <c r="BE3067">
        <v>0</v>
      </c>
      <c r="BF3067">
        <v>0</v>
      </c>
      <c r="BG3067">
        <v>0</v>
      </c>
      <c r="BH3067">
        <v>2425</v>
      </c>
      <c r="BI3067">
        <v>1</v>
      </c>
      <c r="BJ3067">
        <v>1</v>
      </c>
      <c r="BK3067">
        <v>0</v>
      </c>
      <c r="BL3067">
        <v>0</v>
      </c>
      <c r="BO3067">
        <v>0</v>
      </c>
      <c r="BP3067">
        <v>0</v>
      </c>
      <c r="BW3067" t="str">
        <f t="shared" si="1433"/>
        <v>14:46:41.915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7</v>
      </c>
      <c r="CP3067" t="s">
        <v>119</v>
      </c>
      <c r="CQ3067">
        <v>8</v>
      </c>
      <c r="CR3067">
        <v>3</v>
      </c>
      <c r="CW3067">
        <v>8989438</v>
      </c>
      <c r="CY3067">
        <v>1</v>
      </c>
      <c r="CZ3067">
        <v>0</v>
      </c>
      <c r="DA3067">
        <v>1</v>
      </c>
      <c r="DB3067">
        <v>0</v>
      </c>
      <c r="DC3067">
        <v>0</v>
      </c>
      <c r="DD3067">
        <v>1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 t="shared" ref="A3068:A3076" si="1434">"05/12/2020 14:46:25.195"</f>
        <v>05/12/2020 14:46:25.195</v>
      </c>
      <c r="C3068" t="str">
        <f t="shared" si="1418"/>
        <v>FFDFD3C0</v>
      </c>
      <c r="D3068" t="s">
        <v>131</v>
      </c>
      <c r="E3068">
        <v>12</v>
      </c>
      <c r="F3068">
        <v>2012</v>
      </c>
      <c r="G3068" t="s">
        <v>137</v>
      </c>
      <c r="J3068" t="s">
        <v>133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ref="S3068:S3076" si="1435">"14:46:43.039"</f>
        <v>14:46:43.039</v>
      </c>
      <c r="T3068" t="str">
        <f t="shared" ref="T3068:T3076" si="1436">"14:46:42.739"</f>
        <v>14:46:42.739</v>
      </c>
      <c r="U3068" t="str">
        <f t="shared" si="1409"/>
        <v>A9808D</v>
      </c>
      <c r="V3068">
        <v>0</v>
      </c>
      <c r="W3068">
        <v>0</v>
      </c>
      <c r="X3068">
        <v>1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0</v>
      </c>
      <c r="AI3068" t="s">
        <v>745</v>
      </c>
      <c r="AJ3068">
        <v>28.246858</v>
      </c>
      <c r="AK3068" t="s">
        <v>746</v>
      </c>
      <c r="AL3068">
        <v>-82.287060999999994</v>
      </c>
      <c r="AM3068">
        <v>100</v>
      </c>
      <c r="AN3068">
        <v>2400</v>
      </c>
      <c r="AO3068" t="s">
        <v>118</v>
      </c>
      <c r="AP3068">
        <v>128</v>
      </c>
      <c r="AQ3068">
        <v>-8</v>
      </c>
      <c r="AR3068">
        <v>-768</v>
      </c>
      <c r="AZ3068">
        <v>1200</v>
      </c>
      <c r="BA3068">
        <v>1</v>
      </c>
      <c r="BB3068" t="str">
        <f t="shared" si="1419"/>
        <v xml:space="preserve">N711JA  </v>
      </c>
      <c r="BC3068">
        <v>1</v>
      </c>
      <c r="BE3068">
        <v>0</v>
      </c>
      <c r="BF3068">
        <v>0</v>
      </c>
      <c r="BG3068">
        <v>0</v>
      </c>
      <c r="BH3068">
        <v>2425</v>
      </c>
      <c r="BI3068">
        <v>1</v>
      </c>
      <c r="BJ3068">
        <v>1</v>
      </c>
      <c r="BK3068">
        <v>0</v>
      </c>
      <c r="BL3068">
        <v>0</v>
      </c>
      <c r="BO3068">
        <v>0</v>
      </c>
      <c r="BP3068">
        <v>0</v>
      </c>
      <c r="BW3068" t="str">
        <f t="shared" ref="BW3068:BW3076" si="1437">"14:46:43.045"</f>
        <v>14:46:43.045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119</v>
      </c>
      <c r="CQ3068">
        <v>8</v>
      </c>
      <c r="CR3068">
        <v>3</v>
      </c>
      <c r="CW3068">
        <v>8990598</v>
      </c>
      <c r="CY3068">
        <v>1</v>
      </c>
      <c r="CZ3068">
        <v>0</v>
      </c>
      <c r="DA3068">
        <v>0</v>
      </c>
      <c r="DB3068">
        <v>0</v>
      </c>
      <c r="DC3068">
        <v>0</v>
      </c>
      <c r="DD3068">
        <v>1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 t="shared" si="1434"/>
        <v>05/12/2020 14:46:25.195</v>
      </c>
      <c r="C3069" t="str">
        <f t="shared" si="1418"/>
        <v>FFDFD3C0</v>
      </c>
      <c r="D3069" t="s">
        <v>131</v>
      </c>
      <c r="E3069">
        <v>18</v>
      </c>
      <c r="F3069">
        <v>2018</v>
      </c>
      <c r="G3069" t="s">
        <v>161</v>
      </c>
      <c r="J3069" t="s">
        <v>133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435"/>
        <v>14:46:43.039</v>
      </c>
      <c r="T3069" t="str">
        <f t="shared" si="1436"/>
        <v>14:46:42.739</v>
      </c>
      <c r="U3069" t="str">
        <f t="shared" si="1409"/>
        <v>A9808D</v>
      </c>
      <c r="V3069">
        <v>0</v>
      </c>
      <c r="W3069">
        <v>0</v>
      </c>
      <c r="X3069">
        <v>1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0</v>
      </c>
      <c r="AI3069" t="s">
        <v>745</v>
      </c>
      <c r="AJ3069">
        <v>28.246858</v>
      </c>
      <c r="AK3069" t="s">
        <v>746</v>
      </c>
      <c r="AL3069">
        <v>-82.287060999999994</v>
      </c>
      <c r="AM3069">
        <v>100</v>
      </c>
      <c r="AN3069">
        <v>2400</v>
      </c>
      <c r="AO3069" t="s">
        <v>118</v>
      </c>
      <c r="AP3069">
        <v>128</v>
      </c>
      <c r="AQ3069">
        <v>-8</v>
      </c>
      <c r="AR3069">
        <v>-768</v>
      </c>
      <c r="AZ3069">
        <v>1200</v>
      </c>
      <c r="BA3069">
        <v>1</v>
      </c>
      <c r="BB3069" t="str">
        <f t="shared" si="1419"/>
        <v xml:space="preserve">N711JA  </v>
      </c>
      <c r="BC3069">
        <v>1</v>
      </c>
      <c r="BE3069">
        <v>0</v>
      </c>
      <c r="BF3069">
        <v>0</v>
      </c>
      <c r="BG3069">
        <v>0</v>
      </c>
      <c r="BH3069">
        <v>2425</v>
      </c>
      <c r="BI3069">
        <v>1</v>
      </c>
      <c r="BJ3069">
        <v>1</v>
      </c>
      <c r="BK3069">
        <v>0</v>
      </c>
      <c r="BL3069">
        <v>0</v>
      </c>
      <c r="BO3069">
        <v>0</v>
      </c>
      <c r="BP3069">
        <v>0</v>
      </c>
      <c r="BW3069" t="str">
        <f t="shared" si="1437"/>
        <v>14:46:43.045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6</v>
      </c>
      <c r="CP3069" t="s">
        <v>119</v>
      </c>
      <c r="CQ3069">
        <v>56</v>
      </c>
      <c r="CR3069">
        <v>2</v>
      </c>
      <c r="CW3069">
        <v>4955525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1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 t="shared" si="1434"/>
        <v>05/12/2020 14:46:25.195</v>
      </c>
      <c r="C3070" t="str">
        <f t="shared" si="1418"/>
        <v>FFDFD3C0</v>
      </c>
      <c r="D3070" t="s">
        <v>126</v>
      </c>
      <c r="E3070">
        <v>6</v>
      </c>
      <c r="F3070">
        <v>1006</v>
      </c>
      <c r="G3070" t="s">
        <v>114</v>
      </c>
      <c r="J3070" t="s">
        <v>128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435"/>
        <v>14:46:43.039</v>
      </c>
      <c r="T3070" t="str">
        <f t="shared" si="1436"/>
        <v>14:46:42.739</v>
      </c>
      <c r="U3070" t="str">
        <f t="shared" si="1409"/>
        <v>A9808D</v>
      </c>
      <c r="V3070">
        <v>0</v>
      </c>
      <c r="W3070">
        <v>0</v>
      </c>
      <c r="X3070">
        <v>1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0</v>
      </c>
      <c r="AI3070" t="s">
        <v>745</v>
      </c>
      <c r="AJ3070">
        <v>28.246858</v>
      </c>
      <c r="AK3070" t="s">
        <v>746</v>
      </c>
      <c r="AL3070">
        <v>-82.287060999999994</v>
      </c>
      <c r="AM3070">
        <v>100</v>
      </c>
      <c r="AN3070">
        <v>2400</v>
      </c>
      <c r="AO3070" t="s">
        <v>118</v>
      </c>
      <c r="AP3070">
        <v>128</v>
      </c>
      <c r="AQ3070">
        <v>-8</v>
      </c>
      <c r="AR3070">
        <v>-768</v>
      </c>
      <c r="AZ3070">
        <v>1200</v>
      </c>
      <c r="BA3070">
        <v>1</v>
      </c>
      <c r="BB3070" t="str">
        <f t="shared" si="1419"/>
        <v xml:space="preserve">N711JA  </v>
      </c>
      <c r="BC3070">
        <v>1</v>
      </c>
      <c r="BE3070">
        <v>0</v>
      </c>
      <c r="BF3070">
        <v>0</v>
      </c>
      <c r="BG3070">
        <v>0</v>
      </c>
      <c r="BH3070">
        <v>2425</v>
      </c>
      <c r="BI3070">
        <v>1</v>
      </c>
      <c r="BJ3070">
        <v>1</v>
      </c>
      <c r="BK3070">
        <v>0</v>
      </c>
      <c r="BL3070">
        <v>0</v>
      </c>
      <c r="BO3070">
        <v>0</v>
      </c>
      <c r="BP3070">
        <v>0</v>
      </c>
      <c r="BW3070" t="str">
        <f t="shared" si="1437"/>
        <v>14:46:43.045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7</v>
      </c>
      <c r="CP3070" t="s">
        <v>119</v>
      </c>
      <c r="CQ3070">
        <v>8</v>
      </c>
      <c r="CR3070">
        <v>3</v>
      </c>
      <c r="CW3070">
        <v>8990598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1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 t="shared" si="1434"/>
        <v>05/12/2020 14:46:25.195</v>
      </c>
      <c r="C3071" t="str">
        <f t="shared" si="1418"/>
        <v>FFDFD3C0</v>
      </c>
      <c r="D3071" t="s">
        <v>113</v>
      </c>
      <c r="E3071">
        <v>3</v>
      </c>
      <c r="H3071">
        <v>164</v>
      </c>
      <c r="I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435"/>
        <v>14:46:43.039</v>
      </c>
      <c r="T3071" t="str">
        <f t="shared" si="1436"/>
        <v>14:46:42.739</v>
      </c>
      <c r="U3071" t="str">
        <f t="shared" si="1409"/>
        <v>A9808D</v>
      </c>
      <c r="V3071">
        <v>0</v>
      </c>
      <c r="W3071">
        <v>0</v>
      </c>
      <c r="X3071">
        <v>1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0</v>
      </c>
      <c r="AI3071" t="s">
        <v>745</v>
      </c>
      <c r="AJ3071">
        <v>28.246858</v>
      </c>
      <c r="AK3071" t="s">
        <v>746</v>
      </c>
      <c r="AL3071">
        <v>-82.287060999999994</v>
      </c>
      <c r="AM3071">
        <v>100</v>
      </c>
      <c r="AN3071">
        <v>2400</v>
      </c>
      <c r="AO3071" t="s">
        <v>118</v>
      </c>
      <c r="AP3071">
        <v>128</v>
      </c>
      <c r="AQ3071">
        <v>-8</v>
      </c>
      <c r="AR3071">
        <v>-768</v>
      </c>
      <c r="AZ3071">
        <v>1200</v>
      </c>
      <c r="BA3071">
        <v>1</v>
      </c>
      <c r="BB3071" t="str">
        <f t="shared" si="1419"/>
        <v xml:space="preserve">N711JA  </v>
      </c>
      <c r="BC3071">
        <v>1</v>
      </c>
      <c r="BE3071">
        <v>0</v>
      </c>
      <c r="BF3071">
        <v>0</v>
      </c>
      <c r="BG3071">
        <v>0</v>
      </c>
      <c r="BH3071">
        <v>2425</v>
      </c>
      <c r="BI3071">
        <v>1</v>
      </c>
      <c r="BJ3071">
        <v>1</v>
      </c>
      <c r="BK3071">
        <v>0</v>
      </c>
      <c r="BL3071">
        <v>0</v>
      </c>
      <c r="BO3071">
        <v>0</v>
      </c>
      <c r="BP3071">
        <v>0</v>
      </c>
      <c r="BW3071" t="str">
        <f t="shared" si="1437"/>
        <v>14:46:43.045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7</v>
      </c>
      <c r="CP3071" t="s">
        <v>119</v>
      </c>
      <c r="CQ3071">
        <v>8</v>
      </c>
      <c r="CR3071">
        <v>3</v>
      </c>
      <c r="CW3071">
        <v>8990598</v>
      </c>
      <c r="CY3071">
        <v>1</v>
      </c>
      <c r="CZ3071">
        <v>0</v>
      </c>
      <c r="DA3071">
        <v>1</v>
      </c>
      <c r="DB3071">
        <v>0</v>
      </c>
      <c r="DC3071">
        <v>0</v>
      </c>
      <c r="DD3071">
        <v>1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 t="shared" si="1434"/>
        <v>05/12/2020 14:46:25.195</v>
      </c>
      <c r="C3072" t="str">
        <f t="shared" si="1418"/>
        <v>FFDFD3C0</v>
      </c>
      <c r="D3072" t="s">
        <v>138</v>
      </c>
      <c r="E3072">
        <v>2</v>
      </c>
      <c r="H3072">
        <v>8</v>
      </c>
      <c r="I3072" t="s">
        <v>139</v>
      </c>
      <c r="J3072" t="s">
        <v>136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435"/>
        <v>14:46:43.039</v>
      </c>
      <c r="T3072" t="str">
        <f t="shared" si="1436"/>
        <v>14:46:42.739</v>
      </c>
      <c r="U3072" t="str">
        <f t="shared" si="1409"/>
        <v>A9808D</v>
      </c>
      <c r="V3072">
        <v>0</v>
      </c>
      <c r="W3072">
        <v>0</v>
      </c>
      <c r="X3072">
        <v>1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0</v>
      </c>
      <c r="AI3072" t="s">
        <v>745</v>
      </c>
      <c r="AJ3072">
        <v>28.246858</v>
      </c>
      <c r="AK3072" t="s">
        <v>746</v>
      </c>
      <c r="AL3072">
        <v>-82.287060999999994</v>
      </c>
      <c r="AM3072">
        <v>100</v>
      </c>
      <c r="AN3072">
        <v>2400</v>
      </c>
      <c r="AO3072" t="s">
        <v>118</v>
      </c>
      <c r="AP3072">
        <v>128</v>
      </c>
      <c r="AQ3072">
        <v>-8</v>
      </c>
      <c r="AR3072">
        <v>-768</v>
      </c>
      <c r="AZ3072">
        <v>1200</v>
      </c>
      <c r="BA3072">
        <v>1</v>
      </c>
      <c r="BB3072" t="str">
        <f t="shared" si="1419"/>
        <v xml:space="preserve">N711JA  </v>
      </c>
      <c r="BC3072">
        <v>1</v>
      </c>
      <c r="BE3072">
        <v>0</v>
      </c>
      <c r="BF3072">
        <v>0</v>
      </c>
      <c r="BG3072">
        <v>0</v>
      </c>
      <c r="BH3072">
        <v>2425</v>
      </c>
      <c r="BI3072">
        <v>1</v>
      </c>
      <c r="BJ3072">
        <v>1</v>
      </c>
      <c r="BK3072">
        <v>0</v>
      </c>
      <c r="BL3072">
        <v>0</v>
      </c>
      <c r="BO3072">
        <v>0</v>
      </c>
      <c r="BP3072">
        <v>0</v>
      </c>
      <c r="BW3072" t="str">
        <f t="shared" si="1437"/>
        <v>14:46:43.045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7</v>
      </c>
      <c r="CP3072" t="s">
        <v>119</v>
      </c>
      <c r="CQ3072">
        <v>8</v>
      </c>
      <c r="CR3072">
        <v>3</v>
      </c>
      <c r="CW3072">
        <v>8990598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1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 t="shared" si="1434"/>
        <v>05/12/2020 14:46:25.195</v>
      </c>
      <c r="C3073" t="str">
        <f t="shared" si="1418"/>
        <v>FFDFD3C0</v>
      </c>
      <c r="D3073" t="s">
        <v>134</v>
      </c>
      <c r="E3073">
        <v>12</v>
      </c>
      <c r="H3073">
        <v>64</v>
      </c>
      <c r="I3073" t="s">
        <v>135</v>
      </c>
      <c r="J3073" t="s">
        <v>136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435"/>
        <v>14:46:43.039</v>
      </c>
      <c r="T3073" t="str">
        <f t="shared" si="1436"/>
        <v>14:46:42.739</v>
      </c>
      <c r="U3073" t="str">
        <f t="shared" si="1409"/>
        <v>A9808D</v>
      </c>
      <c r="V3073">
        <v>0</v>
      </c>
      <c r="W3073">
        <v>0</v>
      </c>
      <c r="X3073">
        <v>1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0</v>
      </c>
      <c r="AI3073" t="s">
        <v>745</v>
      </c>
      <c r="AJ3073">
        <v>28.246858</v>
      </c>
      <c r="AK3073" t="s">
        <v>746</v>
      </c>
      <c r="AL3073">
        <v>-82.287060999999994</v>
      </c>
      <c r="AM3073">
        <v>100</v>
      </c>
      <c r="AN3073">
        <v>2400</v>
      </c>
      <c r="AO3073" t="s">
        <v>118</v>
      </c>
      <c r="AP3073">
        <v>128</v>
      </c>
      <c r="AQ3073">
        <v>-8</v>
      </c>
      <c r="AR3073">
        <v>-768</v>
      </c>
      <c r="AZ3073">
        <v>1200</v>
      </c>
      <c r="BA3073">
        <v>1</v>
      </c>
      <c r="BB3073" t="str">
        <f t="shared" si="1419"/>
        <v xml:space="preserve">N711JA  </v>
      </c>
      <c r="BC3073">
        <v>1</v>
      </c>
      <c r="BE3073">
        <v>0</v>
      </c>
      <c r="BF3073">
        <v>0</v>
      </c>
      <c r="BG3073">
        <v>0</v>
      </c>
      <c r="BH3073">
        <v>2425</v>
      </c>
      <c r="BI3073">
        <v>1</v>
      </c>
      <c r="BJ3073">
        <v>1</v>
      </c>
      <c r="BK3073">
        <v>0</v>
      </c>
      <c r="BL3073">
        <v>0</v>
      </c>
      <c r="BO3073">
        <v>0</v>
      </c>
      <c r="BP3073">
        <v>0</v>
      </c>
      <c r="BW3073" t="str">
        <f t="shared" si="1437"/>
        <v>14:46:43.045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7</v>
      </c>
      <c r="CP3073" t="s">
        <v>119</v>
      </c>
      <c r="CQ3073">
        <v>8</v>
      </c>
      <c r="CR3073">
        <v>3</v>
      </c>
      <c r="CW3073">
        <v>8990598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1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 t="shared" si="1434"/>
        <v>05/12/2020 14:46:25.195</v>
      </c>
      <c r="C3074" t="str">
        <f t="shared" si="1418"/>
        <v>FFDFD3C0</v>
      </c>
      <c r="D3074" t="s">
        <v>138</v>
      </c>
      <c r="E3074">
        <v>3</v>
      </c>
      <c r="H3074">
        <v>9</v>
      </c>
      <c r="I3074" t="s">
        <v>140</v>
      </c>
      <c r="J3074" t="s">
        <v>136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435"/>
        <v>14:46:43.039</v>
      </c>
      <c r="T3074" t="str">
        <f t="shared" si="1436"/>
        <v>14:46:42.739</v>
      </c>
      <c r="U3074" t="str">
        <f t="shared" ref="U3074:U3137" si="1438">"A9808D"</f>
        <v>A9808D</v>
      </c>
      <c r="V3074">
        <v>0</v>
      </c>
      <c r="W3074">
        <v>0</v>
      </c>
      <c r="X3074">
        <v>1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0</v>
      </c>
      <c r="AI3074" t="s">
        <v>745</v>
      </c>
      <c r="AJ3074">
        <v>28.246858</v>
      </c>
      <c r="AK3074" t="s">
        <v>746</v>
      </c>
      <c r="AL3074">
        <v>-82.287060999999994</v>
      </c>
      <c r="AM3074">
        <v>100</v>
      </c>
      <c r="AN3074">
        <v>2400</v>
      </c>
      <c r="AO3074" t="s">
        <v>118</v>
      </c>
      <c r="AP3074">
        <v>128</v>
      </c>
      <c r="AQ3074">
        <v>-8</v>
      </c>
      <c r="AR3074">
        <v>-768</v>
      </c>
      <c r="AZ3074">
        <v>1200</v>
      </c>
      <c r="BA3074">
        <v>1</v>
      </c>
      <c r="BB3074" t="str">
        <f t="shared" si="1419"/>
        <v xml:space="preserve">N711JA  </v>
      </c>
      <c r="BC3074">
        <v>1</v>
      </c>
      <c r="BE3074">
        <v>0</v>
      </c>
      <c r="BF3074">
        <v>0</v>
      </c>
      <c r="BG3074">
        <v>0</v>
      </c>
      <c r="BH3074">
        <v>2425</v>
      </c>
      <c r="BI3074">
        <v>1</v>
      </c>
      <c r="BJ3074">
        <v>1</v>
      </c>
      <c r="BK3074">
        <v>0</v>
      </c>
      <c r="BL3074">
        <v>0</v>
      </c>
      <c r="BO3074">
        <v>0</v>
      </c>
      <c r="BP3074">
        <v>0</v>
      </c>
      <c r="BW3074" t="str">
        <f t="shared" si="1437"/>
        <v>14:46:43.045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119</v>
      </c>
      <c r="CQ3074">
        <v>8</v>
      </c>
      <c r="CR3074">
        <v>3</v>
      </c>
      <c r="CW3074">
        <v>8990598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1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 t="shared" si="1434"/>
        <v>05/12/2020 14:46:25.195</v>
      </c>
      <c r="C3075" t="str">
        <f t="shared" si="1418"/>
        <v>FFDFD3C0</v>
      </c>
      <c r="D3075" t="s">
        <v>126</v>
      </c>
      <c r="E3075">
        <v>7</v>
      </c>
      <c r="F3075">
        <v>1007</v>
      </c>
      <c r="G3075" t="s">
        <v>127</v>
      </c>
      <c r="J3075" t="s">
        <v>128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435"/>
        <v>14:46:43.039</v>
      </c>
      <c r="T3075" t="str">
        <f t="shared" si="1436"/>
        <v>14:46:42.739</v>
      </c>
      <c r="U3075" t="str">
        <f t="shared" si="1438"/>
        <v>A9808D</v>
      </c>
      <c r="V3075">
        <v>0</v>
      </c>
      <c r="W3075">
        <v>0</v>
      </c>
      <c r="X3075">
        <v>1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0</v>
      </c>
      <c r="AI3075" t="s">
        <v>745</v>
      </c>
      <c r="AJ3075">
        <v>28.246858</v>
      </c>
      <c r="AK3075" t="s">
        <v>746</v>
      </c>
      <c r="AL3075">
        <v>-82.287060999999994</v>
      </c>
      <c r="AM3075">
        <v>100</v>
      </c>
      <c r="AN3075">
        <v>2400</v>
      </c>
      <c r="AO3075" t="s">
        <v>118</v>
      </c>
      <c r="AP3075">
        <v>128</v>
      </c>
      <c r="AQ3075">
        <v>-8</v>
      </c>
      <c r="AR3075">
        <v>-768</v>
      </c>
      <c r="AZ3075">
        <v>1200</v>
      </c>
      <c r="BA3075">
        <v>1</v>
      </c>
      <c r="BB3075" t="str">
        <f t="shared" si="1419"/>
        <v xml:space="preserve">N711JA  </v>
      </c>
      <c r="BC3075">
        <v>1</v>
      </c>
      <c r="BE3075">
        <v>0</v>
      </c>
      <c r="BF3075">
        <v>0</v>
      </c>
      <c r="BG3075">
        <v>0</v>
      </c>
      <c r="BH3075">
        <v>2425</v>
      </c>
      <c r="BI3075">
        <v>1</v>
      </c>
      <c r="BJ3075">
        <v>1</v>
      </c>
      <c r="BK3075">
        <v>0</v>
      </c>
      <c r="BL3075">
        <v>0</v>
      </c>
      <c r="BO3075">
        <v>0</v>
      </c>
      <c r="BP3075">
        <v>0</v>
      </c>
      <c r="BW3075" t="str">
        <f t="shared" si="1437"/>
        <v>14:46:43.045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8</v>
      </c>
      <c r="CR3075">
        <v>3</v>
      </c>
      <c r="CW3075">
        <v>8990598</v>
      </c>
      <c r="CY3075">
        <v>1</v>
      </c>
      <c r="CZ3075">
        <v>0</v>
      </c>
      <c r="DA3075">
        <v>1</v>
      </c>
      <c r="DB3075">
        <v>0</v>
      </c>
      <c r="DC3075">
        <v>0</v>
      </c>
      <c r="DD3075">
        <v>1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 t="shared" si="1434"/>
        <v>05/12/2020 14:46:25.195</v>
      </c>
      <c r="C3076" t="str">
        <f t="shared" si="1418"/>
        <v>FFDFD3C0</v>
      </c>
      <c r="D3076" t="s">
        <v>131</v>
      </c>
      <c r="E3076">
        <v>10</v>
      </c>
      <c r="F3076">
        <v>2010</v>
      </c>
      <c r="G3076" t="s">
        <v>132</v>
      </c>
      <c r="J3076" t="s">
        <v>133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435"/>
        <v>14:46:43.039</v>
      </c>
      <c r="T3076" t="str">
        <f t="shared" si="1436"/>
        <v>14:46:42.739</v>
      </c>
      <c r="U3076" t="str">
        <f t="shared" si="1438"/>
        <v>A9808D</v>
      </c>
      <c r="V3076">
        <v>0</v>
      </c>
      <c r="W3076">
        <v>0</v>
      </c>
      <c r="X3076">
        <v>1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0</v>
      </c>
      <c r="AI3076" t="s">
        <v>745</v>
      </c>
      <c r="AJ3076">
        <v>28.246858</v>
      </c>
      <c r="AK3076" t="s">
        <v>746</v>
      </c>
      <c r="AL3076">
        <v>-82.287060999999994</v>
      </c>
      <c r="AM3076">
        <v>100</v>
      </c>
      <c r="AN3076">
        <v>2400</v>
      </c>
      <c r="AO3076" t="s">
        <v>118</v>
      </c>
      <c r="AP3076">
        <v>128</v>
      </c>
      <c r="AQ3076">
        <v>-8</v>
      </c>
      <c r="AR3076">
        <v>-768</v>
      </c>
      <c r="AZ3076">
        <v>1200</v>
      </c>
      <c r="BA3076">
        <v>1</v>
      </c>
      <c r="BB3076" t="str">
        <f t="shared" si="1419"/>
        <v xml:space="preserve">N711JA  </v>
      </c>
      <c r="BC3076">
        <v>1</v>
      </c>
      <c r="BE3076">
        <v>0</v>
      </c>
      <c r="BF3076">
        <v>0</v>
      </c>
      <c r="BG3076">
        <v>0</v>
      </c>
      <c r="BH3076">
        <v>2425</v>
      </c>
      <c r="BI3076">
        <v>1</v>
      </c>
      <c r="BJ3076">
        <v>1</v>
      </c>
      <c r="BK3076">
        <v>0</v>
      </c>
      <c r="BL3076">
        <v>0</v>
      </c>
      <c r="BO3076">
        <v>0</v>
      </c>
      <c r="BP3076">
        <v>0</v>
      </c>
      <c r="BW3076" t="str">
        <f t="shared" si="1437"/>
        <v>14:46:43.045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119</v>
      </c>
      <c r="CQ3076">
        <v>8</v>
      </c>
      <c r="CR3076">
        <v>3</v>
      </c>
      <c r="CW3076">
        <v>8990598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1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 t="shared" ref="A3077:A3085" si="1439">"05/12/2020 14:46:26.327"</f>
        <v>05/12/2020 14:46:26.327</v>
      </c>
      <c r="C3077" t="str">
        <f t="shared" si="1418"/>
        <v>FFDFD3C0</v>
      </c>
      <c r="D3077" t="s">
        <v>126</v>
      </c>
      <c r="E3077">
        <v>6</v>
      </c>
      <c r="F3077">
        <v>1006</v>
      </c>
      <c r="G3077" t="s">
        <v>114</v>
      </c>
      <c r="J3077" t="s">
        <v>128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ref="S3077:S3085" si="1440">"14:46:44.148"</f>
        <v>14:46:44.148</v>
      </c>
      <c r="T3077" t="str">
        <f t="shared" ref="T3077:T3085" si="1441">"14:46:43.748"</f>
        <v>14:46:43.748</v>
      </c>
      <c r="U3077" t="str">
        <f t="shared" si="1438"/>
        <v>A9808D</v>
      </c>
      <c r="V3077">
        <v>0</v>
      </c>
      <c r="W3077">
        <v>0</v>
      </c>
      <c r="X3077">
        <v>1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0</v>
      </c>
      <c r="AI3077" t="s">
        <v>747</v>
      </c>
      <c r="AJ3077">
        <v>28.246836999999999</v>
      </c>
      <c r="AK3077" t="s">
        <v>748</v>
      </c>
      <c r="AL3077">
        <v>-82.28631</v>
      </c>
      <c r="AM3077">
        <v>100</v>
      </c>
      <c r="AN3077">
        <v>2400</v>
      </c>
      <c r="AO3077" t="s">
        <v>118</v>
      </c>
      <c r="AP3077">
        <v>129</v>
      </c>
      <c r="AQ3077">
        <v>-7</v>
      </c>
      <c r="AR3077">
        <v>-704</v>
      </c>
      <c r="AZ3077">
        <v>1200</v>
      </c>
      <c r="BA3077">
        <v>1</v>
      </c>
      <c r="BB3077" t="str">
        <f t="shared" si="1419"/>
        <v xml:space="preserve">N711JA  </v>
      </c>
      <c r="BC3077">
        <v>1</v>
      </c>
      <c r="BE3077">
        <v>0</v>
      </c>
      <c r="BF3077">
        <v>0</v>
      </c>
      <c r="BG3077">
        <v>0</v>
      </c>
      <c r="BH3077">
        <v>2400</v>
      </c>
      <c r="BI3077">
        <v>1</v>
      </c>
      <c r="BJ3077">
        <v>1</v>
      </c>
      <c r="BK3077">
        <v>0</v>
      </c>
      <c r="BL3077">
        <v>0</v>
      </c>
      <c r="BO3077">
        <v>0</v>
      </c>
      <c r="BP3077">
        <v>0</v>
      </c>
      <c r="BW3077" t="str">
        <f t="shared" ref="BW3077:BW3084" si="1442">"14:46:44.152"</f>
        <v>14:46:44.152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8</v>
      </c>
      <c r="CR3077">
        <v>3</v>
      </c>
      <c r="CW3077">
        <v>8991687</v>
      </c>
      <c r="CY3077">
        <v>1</v>
      </c>
      <c r="CZ3077">
        <v>0</v>
      </c>
      <c r="DA3077">
        <v>0</v>
      </c>
      <c r="DB3077">
        <v>0</v>
      </c>
      <c r="DC3077">
        <v>0</v>
      </c>
      <c r="DD3077">
        <v>1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 t="shared" si="1439"/>
        <v>05/12/2020 14:46:26.327</v>
      </c>
      <c r="C3078" t="str">
        <f t="shared" si="1418"/>
        <v>FFDFD3C0</v>
      </c>
      <c r="D3078" t="s">
        <v>113</v>
      </c>
      <c r="E3078">
        <v>3</v>
      </c>
      <c r="H3078">
        <v>164</v>
      </c>
      <c r="I3078" t="s">
        <v>114</v>
      </c>
      <c r="J3078" t="s">
        <v>115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440"/>
        <v>14:46:44.148</v>
      </c>
      <c r="T3078" t="str">
        <f t="shared" si="1441"/>
        <v>14:46:43.748</v>
      </c>
      <c r="U3078" t="str">
        <f t="shared" si="1438"/>
        <v>A9808D</v>
      </c>
      <c r="V3078">
        <v>0</v>
      </c>
      <c r="W3078">
        <v>0</v>
      </c>
      <c r="X3078">
        <v>1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0</v>
      </c>
      <c r="AI3078" t="s">
        <v>747</v>
      </c>
      <c r="AJ3078">
        <v>28.246836999999999</v>
      </c>
      <c r="AK3078" t="s">
        <v>748</v>
      </c>
      <c r="AL3078">
        <v>-82.28631</v>
      </c>
      <c r="AM3078">
        <v>100</v>
      </c>
      <c r="AN3078">
        <v>2400</v>
      </c>
      <c r="AO3078" t="s">
        <v>118</v>
      </c>
      <c r="AP3078">
        <v>129</v>
      </c>
      <c r="AQ3078">
        <v>-7</v>
      </c>
      <c r="AR3078">
        <v>-704</v>
      </c>
      <c r="AZ3078">
        <v>1200</v>
      </c>
      <c r="BA3078">
        <v>1</v>
      </c>
      <c r="BB3078" t="str">
        <f t="shared" si="1419"/>
        <v xml:space="preserve">N711JA  </v>
      </c>
      <c r="BC3078">
        <v>1</v>
      </c>
      <c r="BE3078">
        <v>0</v>
      </c>
      <c r="BF3078">
        <v>0</v>
      </c>
      <c r="BG3078">
        <v>0</v>
      </c>
      <c r="BH3078">
        <v>2400</v>
      </c>
      <c r="BI3078">
        <v>1</v>
      </c>
      <c r="BJ3078">
        <v>1</v>
      </c>
      <c r="BK3078">
        <v>0</v>
      </c>
      <c r="BL3078">
        <v>0</v>
      </c>
      <c r="BO3078">
        <v>0</v>
      </c>
      <c r="BP3078">
        <v>0</v>
      </c>
      <c r="BW3078" t="str">
        <f t="shared" si="1442"/>
        <v>14:46:44.152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8</v>
      </c>
      <c r="CR3078">
        <v>3</v>
      </c>
      <c r="CW3078">
        <v>8991687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1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 t="shared" si="1439"/>
        <v>05/12/2020 14:46:26.327</v>
      </c>
      <c r="C3079" t="str">
        <f t="shared" si="1418"/>
        <v>FFDFD3C0</v>
      </c>
      <c r="D3079" t="s">
        <v>138</v>
      </c>
      <c r="E3079">
        <v>2</v>
      </c>
      <c r="H3079">
        <v>8</v>
      </c>
      <c r="I3079" t="s">
        <v>139</v>
      </c>
      <c r="J3079" t="s">
        <v>136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440"/>
        <v>14:46:44.148</v>
      </c>
      <c r="T3079" t="str">
        <f t="shared" si="1441"/>
        <v>14:46:43.748</v>
      </c>
      <c r="U3079" t="str">
        <f t="shared" si="1438"/>
        <v>A9808D</v>
      </c>
      <c r="V3079">
        <v>0</v>
      </c>
      <c r="W3079">
        <v>0</v>
      </c>
      <c r="X3079">
        <v>1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0</v>
      </c>
      <c r="AI3079" t="s">
        <v>747</v>
      </c>
      <c r="AJ3079">
        <v>28.246836999999999</v>
      </c>
      <c r="AK3079" t="s">
        <v>748</v>
      </c>
      <c r="AL3079">
        <v>-82.28631</v>
      </c>
      <c r="AM3079">
        <v>100</v>
      </c>
      <c r="AN3079">
        <v>2400</v>
      </c>
      <c r="AO3079" t="s">
        <v>118</v>
      </c>
      <c r="AP3079">
        <v>129</v>
      </c>
      <c r="AQ3079">
        <v>-7</v>
      </c>
      <c r="AR3079">
        <v>-704</v>
      </c>
      <c r="AZ3079">
        <v>1200</v>
      </c>
      <c r="BA3079">
        <v>1</v>
      </c>
      <c r="BB3079" t="str">
        <f t="shared" si="1419"/>
        <v xml:space="preserve">N711JA  </v>
      </c>
      <c r="BC3079">
        <v>1</v>
      </c>
      <c r="BE3079">
        <v>0</v>
      </c>
      <c r="BF3079">
        <v>0</v>
      </c>
      <c r="BG3079">
        <v>0</v>
      </c>
      <c r="BH3079">
        <v>2400</v>
      </c>
      <c r="BI3079">
        <v>1</v>
      </c>
      <c r="BJ3079">
        <v>1</v>
      </c>
      <c r="BK3079">
        <v>0</v>
      </c>
      <c r="BL3079">
        <v>0</v>
      </c>
      <c r="BO3079">
        <v>0</v>
      </c>
      <c r="BP3079">
        <v>0</v>
      </c>
      <c r="BW3079" t="str">
        <f t="shared" si="1442"/>
        <v>14:46:44.152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8</v>
      </c>
      <c r="CR3079">
        <v>3</v>
      </c>
      <c r="CW3079">
        <v>8991687</v>
      </c>
      <c r="CY3079">
        <v>1</v>
      </c>
      <c r="CZ3079">
        <v>0</v>
      </c>
      <c r="DA3079">
        <v>1</v>
      </c>
      <c r="DB3079">
        <v>0</v>
      </c>
      <c r="DC3079">
        <v>0</v>
      </c>
      <c r="DD3079">
        <v>1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 t="shared" si="1439"/>
        <v>05/12/2020 14:46:26.327</v>
      </c>
      <c r="C3080" t="str">
        <f t="shared" si="1418"/>
        <v>FFDFD3C0</v>
      </c>
      <c r="D3080" t="s">
        <v>126</v>
      </c>
      <c r="E3080">
        <v>7</v>
      </c>
      <c r="F3080">
        <v>1007</v>
      </c>
      <c r="G3080" t="s">
        <v>127</v>
      </c>
      <c r="J3080" t="s">
        <v>128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440"/>
        <v>14:46:44.148</v>
      </c>
      <c r="T3080" t="str">
        <f t="shared" si="1441"/>
        <v>14:46:43.748</v>
      </c>
      <c r="U3080" t="str">
        <f t="shared" si="1438"/>
        <v>A9808D</v>
      </c>
      <c r="V3080">
        <v>0</v>
      </c>
      <c r="W3080">
        <v>0</v>
      </c>
      <c r="X3080">
        <v>1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0</v>
      </c>
      <c r="AI3080" t="s">
        <v>747</v>
      </c>
      <c r="AJ3080">
        <v>28.246836999999999</v>
      </c>
      <c r="AK3080" t="s">
        <v>748</v>
      </c>
      <c r="AL3080">
        <v>-82.28631</v>
      </c>
      <c r="AM3080">
        <v>100</v>
      </c>
      <c r="AN3080">
        <v>2400</v>
      </c>
      <c r="AO3080" t="s">
        <v>118</v>
      </c>
      <c r="AP3080">
        <v>129</v>
      </c>
      <c r="AQ3080">
        <v>-7</v>
      </c>
      <c r="AR3080">
        <v>-704</v>
      </c>
      <c r="AZ3080">
        <v>1200</v>
      </c>
      <c r="BA3080">
        <v>1</v>
      </c>
      <c r="BB3080" t="str">
        <f t="shared" si="1419"/>
        <v xml:space="preserve">N711JA  </v>
      </c>
      <c r="BC3080">
        <v>1</v>
      </c>
      <c r="BE3080">
        <v>0</v>
      </c>
      <c r="BF3080">
        <v>0</v>
      </c>
      <c r="BG3080">
        <v>0</v>
      </c>
      <c r="BH3080">
        <v>2400</v>
      </c>
      <c r="BI3080">
        <v>1</v>
      </c>
      <c r="BJ3080">
        <v>1</v>
      </c>
      <c r="BK3080">
        <v>0</v>
      </c>
      <c r="BL3080">
        <v>0</v>
      </c>
      <c r="BO3080">
        <v>0</v>
      </c>
      <c r="BP3080">
        <v>0</v>
      </c>
      <c r="BW3080" t="str">
        <f t="shared" si="1442"/>
        <v>14:46:44.152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8</v>
      </c>
      <c r="CR3080">
        <v>3</v>
      </c>
      <c r="CW3080">
        <v>8991687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1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 t="shared" si="1439"/>
        <v>05/12/2020 14:46:26.327</v>
      </c>
      <c r="C3081" t="str">
        <f t="shared" si="1418"/>
        <v>FFDFD3C0</v>
      </c>
      <c r="D3081" t="s">
        <v>131</v>
      </c>
      <c r="E3081">
        <v>10</v>
      </c>
      <c r="F3081">
        <v>2010</v>
      </c>
      <c r="G3081" t="s">
        <v>132</v>
      </c>
      <c r="J3081" t="s">
        <v>133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si="1440"/>
        <v>14:46:44.148</v>
      </c>
      <c r="T3081" t="str">
        <f t="shared" si="1441"/>
        <v>14:46:43.748</v>
      </c>
      <c r="U3081" t="str">
        <f t="shared" si="1438"/>
        <v>A9808D</v>
      </c>
      <c r="V3081">
        <v>0</v>
      </c>
      <c r="W3081">
        <v>0</v>
      </c>
      <c r="X3081">
        <v>1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0</v>
      </c>
      <c r="AI3081" t="s">
        <v>747</v>
      </c>
      <c r="AJ3081">
        <v>28.246836999999999</v>
      </c>
      <c r="AK3081" t="s">
        <v>748</v>
      </c>
      <c r="AL3081">
        <v>-82.28631</v>
      </c>
      <c r="AM3081">
        <v>100</v>
      </c>
      <c r="AN3081">
        <v>2400</v>
      </c>
      <c r="AO3081" t="s">
        <v>118</v>
      </c>
      <c r="AP3081">
        <v>129</v>
      </c>
      <c r="AQ3081">
        <v>-7</v>
      </c>
      <c r="AR3081">
        <v>-704</v>
      </c>
      <c r="AZ3081">
        <v>1200</v>
      </c>
      <c r="BA3081">
        <v>1</v>
      </c>
      <c r="BB3081" t="str">
        <f t="shared" si="1419"/>
        <v xml:space="preserve">N711JA  </v>
      </c>
      <c r="BC3081">
        <v>1</v>
      </c>
      <c r="BE3081">
        <v>0</v>
      </c>
      <c r="BF3081">
        <v>0</v>
      </c>
      <c r="BG3081">
        <v>0</v>
      </c>
      <c r="BH3081">
        <v>2400</v>
      </c>
      <c r="BI3081">
        <v>1</v>
      </c>
      <c r="BJ3081">
        <v>1</v>
      </c>
      <c r="BK3081">
        <v>0</v>
      </c>
      <c r="BL3081">
        <v>0</v>
      </c>
      <c r="BO3081">
        <v>0</v>
      </c>
      <c r="BP3081">
        <v>0</v>
      </c>
      <c r="BW3081" t="str">
        <f t="shared" si="1442"/>
        <v>14:46:44.152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8</v>
      </c>
      <c r="CR3081">
        <v>3</v>
      </c>
      <c r="CW3081">
        <v>8991687</v>
      </c>
      <c r="CY3081">
        <v>1</v>
      </c>
      <c r="CZ3081">
        <v>0</v>
      </c>
      <c r="DA3081">
        <v>1</v>
      </c>
      <c r="DB3081">
        <v>0</v>
      </c>
      <c r="DC3081">
        <v>0</v>
      </c>
      <c r="DD3081">
        <v>1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 t="shared" si="1439"/>
        <v>05/12/2020 14:46:26.327</v>
      </c>
      <c r="C3082" t="str">
        <f t="shared" si="1418"/>
        <v>FFDFD3C0</v>
      </c>
      <c r="D3082" t="s">
        <v>134</v>
      </c>
      <c r="E3082">
        <v>12</v>
      </c>
      <c r="H3082">
        <v>64</v>
      </c>
      <c r="I3082" t="s">
        <v>135</v>
      </c>
      <c r="J3082" t="s">
        <v>136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440"/>
        <v>14:46:44.148</v>
      </c>
      <c r="T3082" t="str">
        <f t="shared" si="1441"/>
        <v>14:46:43.748</v>
      </c>
      <c r="U3082" t="str">
        <f t="shared" si="1438"/>
        <v>A9808D</v>
      </c>
      <c r="V3082">
        <v>0</v>
      </c>
      <c r="W3082">
        <v>0</v>
      </c>
      <c r="X3082">
        <v>1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0</v>
      </c>
      <c r="AI3082" t="s">
        <v>747</v>
      </c>
      <c r="AJ3082">
        <v>28.246836999999999</v>
      </c>
      <c r="AK3082" t="s">
        <v>748</v>
      </c>
      <c r="AL3082">
        <v>-82.28631</v>
      </c>
      <c r="AM3082">
        <v>100</v>
      </c>
      <c r="AN3082">
        <v>2400</v>
      </c>
      <c r="AO3082" t="s">
        <v>118</v>
      </c>
      <c r="AP3082">
        <v>129</v>
      </c>
      <c r="AQ3082">
        <v>-7</v>
      </c>
      <c r="AR3082">
        <v>-704</v>
      </c>
      <c r="AZ3082">
        <v>1200</v>
      </c>
      <c r="BA3082">
        <v>1</v>
      </c>
      <c r="BB3082" t="str">
        <f t="shared" si="1419"/>
        <v xml:space="preserve">N711JA  </v>
      </c>
      <c r="BC3082">
        <v>1</v>
      </c>
      <c r="BE3082">
        <v>0</v>
      </c>
      <c r="BF3082">
        <v>0</v>
      </c>
      <c r="BG3082">
        <v>0</v>
      </c>
      <c r="BH3082">
        <v>2400</v>
      </c>
      <c r="BI3082">
        <v>1</v>
      </c>
      <c r="BJ3082">
        <v>1</v>
      </c>
      <c r="BK3082">
        <v>0</v>
      </c>
      <c r="BL3082">
        <v>0</v>
      </c>
      <c r="BO3082">
        <v>0</v>
      </c>
      <c r="BP3082">
        <v>0</v>
      </c>
      <c r="BW3082" t="str">
        <f t="shared" si="1442"/>
        <v>14:46:44.152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8</v>
      </c>
      <c r="CR3082">
        <v>3</v>
      </c>
      <c r="CW3082">
        <v>8991687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1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 t="shared" si="1439"/>
        <v>05/12/2020 14:46:26.327</v>
      </c>
      <c r="C3083" t="str">
        <f t="shared" si="1418"/>
        <v>FFDFD3C0</v>
      </c>
      <c r="D3083" t="s">
        <v>131</v>
      </c>
      <c r="E3083">
        <v>12</v>
      </c>
      <c r="F3083">
        <v>2012</v>
      </c>
      <c r="G3083" t="s">
        <v>137</v>
      </c>
      <c r="J3083" t="s">
        <v>133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440"/>
        <v>14:46:44.148</v>
      </c>
      <c r="T3083" t="str">
        <f t="shared" si="1441"/>
        <v>14:46:43.748</v>
      </c>
      <c r="U3083" t="str">
        <f t="shared" si="1438"/>
        <v>A9808D</v>
      </c>
      <c r="V3083">
        <v>0</v>
      </c>
      <c r="W3083">
        <v>0</v>
      </c>
      <c r="X3083">
        <v>1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0</v>
      </c>
      <c r="AI3083" t="s">
        <v>747</v>
      </c>
      <c r="AJ3083">
        <v>28.246836999999999</v>
      </c>
      <c r="AK3083" t="s">
        <v>748</v>
      </c>
      <c r="AL3083">
        <v>-82.28631</v>
      </c>
      <c r="AM3083">
        <v>100</v>
      </c>
      <c r="AN3083">
        <v>2400</v>
      </c>
      <c r="AO3083" t="s">
        <v>118</v>
      </c>
      <c r="AP3083">
        <v>129</v>
      </c>
      <c r="AQ3083">
        <v>-7</v>
      </c>
      <c r="AR3083">
        <v>-704</v>
      </c>
      <c r="AZ3083">
        <v>1200</v>
      </c>
      <c r="BA3083">
        <v>1</v>
      </c>
      <c r="BB3083" t="str">
        <f t="shared" si="1419"/>
        <v xml:space="preserve">N711JA  </v>
      </c>
      <c r="BC3083">
        <v>1</v>
      </c>
      <c r="BE3083">
        <v>0</v>
      </c>
      <c r="BF3083">
        <v>0</v>
      </c>
      <c r="BG3083">
        <v>0</v>
      </c>
      <c r="BH3083">
        <v>2400</v>
      </c>
      <c r="BI3083">
        <v>1</v>
      </c>
      <c r="BJ3083">
        <v>1</v>
      </c>
      <c r="BK3083">
        <v>0</v>
      </c>
      <c r="BL3083">
        <v>0</v>
      </c>
      <c r="BO3083">
        <v>0</v>
      </c>
      <c r="BP3083">
        <v>0</v>
      </c>
      <c r="BW3083" t="str">
        <f t="shared" si="1442"/>
        <v>14:46:44.152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8</v>
      </c>
      <c r="CR3083">
        <v>3</v>
      </c>
      <c r="CW3083">
        <v>8991687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1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 t="shared" si="1439"/>
        <v>05/12/2020 14:46:26.327</v>
      </c>
      <c r="C3084" t="str">
        <f t="shared" si="1418"/>
        <v>FFDFD3C0</v>
      </c>
      <c r="D3084" t="s">
        <v>138</v>
      </c>
      <c r="E3084">
        <v>3</v>
      </c>
      <c r="H3084">
        <v>9</v>
      </c>
      <c r="I3084" t="s">
        <v>140</v>
      </c>
      <c r="J3084" t="s">
        <v>136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440"/>
        <v>14:46:44.148</v>
      </c>
      <c r="T3084" t="str">
        <f t="shared" si="1441"/>
        <v>14:46:43.748</v>
      </c>
      <c r="U3084" t="str">
        <f t="shared" si="1438"/>
        <v>A9808D</v>
      </c>
      <c r="V3084">
        <v>0</v>
      </c>
      <c r="W3084">
        <v>0</v>
      </c>
      <c r="X3084">
        <v>1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0</v>
      </c>
      <c r="AI3084" t="s">
        <v>747</v>
      </c>
      <c r="AJ3084">
        <v>28.246836999999999</v>
      </c>
      <c r="AK3084" t="s">
        <v>748</v>
      </c>
      <c r="AL3084">
        <v>-82.28631</v>
      </c>
      <c r="AM3084">
        <v>100</v>
      </c>
      <c r="AN3084">
        <v>2400</v>
      </c>
      <c r="AO3084" t="s">
        <v>118</v>
      </c>
      <c r="AP3084">
        <v>129</v>
      </c>
      <c r="AQ3084">
        <v>-7</v>
      </c>
      <c r="AR3084">
        <v>-704</v>
      </c>
      <c r="AZ3084">
        <v>1200</v>
      </c>
      <c r="BA3084">
        <v>1</v>
      </c>
      <c r="BB3084" t="str">
        <f t="shared" si="1419"/>
        <v xml:space="preserve">N711JA  </v>
      </c>
      <c r="BC3084">
        <v>1</v>
      </c>
      <c r="BE3084">
        <v>0</v>
      </c>
      <c r="BF3084">
        <v>0</v>
      </c>
      <c r="BG3084">
        <v>0</v>
      </c>
      <c r="BH3084">
        <v>2400</v>
      </c>
      <c r="BI3084">
        <v>1</v>
      </c>
      <c r="BJ3084">
        <v>1</v>
      </c>
      <c r="BK3084">
        <v>0</v>
      </c>
      <c r="BL3084">
        <v>0</v>
      </c>
      <c r="BO3084">
        <v>0</v>
      </c>
      <c r="BP3084">
        <v>0</v>
      </c>
      <c r="BW3084" t="str">
        <f t="shared" si="1442"/>
        <v>14:46:44.152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8</v>
      </c>
      <c r="CR3084">
        <v>3</v>
      </c>
      <c r="CW3084">
        <v>8991687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1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 t="shared" si="1439"/>
        <v>05/12/2020 14:46:26.327</v>
      </c>
      <c r="C3085" t="str">
        <f t="shared" si="1418"/>
        <v>FFDFD3C0</v>
      </c>
      <c r="D3085" t="s">
        <v>131</v>
      </c>
      <c r="E3085">
        <v>18</v>
      </c>
      <c r="F3085">
        <v>2018</v>
      </c>
      <c r="G3085" t="s">
        <v>161</v>
      </c>
      <c r="J3085" t="s">
        <v>133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440"/>
        <v>14:46:44.148</v>
      </c>
      <c r="T3085" t="str">
        <f t="shared" si="1441"/>
        <v>14:46:43.748</v>
      </c>
      <c r="U3085" t="str">
        <f t="shared" si="1438"/>
        <v>A9808D</v>
      </c>
      <c r="V3085">
        <v>0</v>
      </c>
      <c r="W3085">
        <v>0</v>
      </c>
      <c r="X3085">
        <v>1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0</v>
      </c>
      <c r="AI3085" t="s">
        <v>747</v>
      </c>
      <c r="AJ3085">
        <v>28.246836999999999</v>
      </c>
      <c r="AK3085" t="s">
        <v>748</v>
      </c>
      <c r="AL3085">
        <v>-82.28631</v>
      </c>
      <c r="AM3085">
        <v>100</v>
      </c>
      <c r="AN3085">
        <v>2400</v>
      </c>
      <c r="AO3085" t="s">
        <v>118</v>
      </c>
      <c r="AP3085">
        <v>129</v>
      </c>
      <c r="AQ3085">
        <v>-7</v>
      </c>
      <c r="AR3085">
        <v>-704</v>
      </c>
      <c r="AZ3085">
        <v>1200</v>
      </c>
      <c r="BA3085">
        <v>1</v>
      </c>
      <c r="BB3085" t="str">
        <f t="shared" si="1419"/>
        <v xml:space="preserve">N711JA  </v>
      </c>
      <c r="BC3085">
        <v>1</v>
      </c>
      <c r="BE3085">
        <v>0</v>
      </c>
      <c r="BF3085">
        <v>0</v>
      </c>
      <c r="BG3085">
        <v>0</v>
      </c>
      <c r="BH3085">
        <v>2400</v>
      </c>
      <c r="BI3085">
        <v>1</v>
      </c>
      <c r="BJ3085">
        <v>1</v>
      </c>
      <c r="BK3085">
        <v>0</v>
      </c>
      <c r="BL3085">
        <v>0</v>
      </c>
      <c r="BO3085">
        <v>0</v>
      </c>
      <c r="BP3085">
        <v>0</v>
      </c>
      <c r="BW3085" t="str">
        <f>"14:46:44.153"</f>
        <v>14:46:44.153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6</v>
      </c>
      <c r="CP3085" t="s">
        <v>119</v>
      </c>
      <c r="CQ3085">
        <v>56</v>
      </c>
      <c r="CR3085">
        <v>2</v>
      </c>
      <c r="CW3085">
        <v>4956835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1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 t="shared" ref="A3086:A3094" si="1443">"05/12/2020 14:46:27.312"</f>
        <v>05/12/2020 14:46:27.312</v>
      </c>
      <c r="C3086" t="str">
        <f t="shared" si="1418"/>
        <v>FFDFD3C0</v>
      </c>
      <c r="D3086" t="s">
        <v>134</v>
      </c>
      <c r="E3086">
        <v>12</v>
      </c>
      <c r="H3086">
        <v>64</v>
      </c>
      <c r="I3086" t="s">
        <v>135</v>
      </c>
      <c r="J3086" t="s">
        <v>136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ref="S3086:S3094" si="1444">"14:46:45.156"</f>
        <v>14:46:45.156</v>
      </c>
      <c r="T3086" t="str">
        <f t="shared" ref="T3086:T3094" si="1445">"14:46:44.756"</f>
        <v>14:46:44.756</v>
      </c>
      <c r="U3086" t="str">
        <f t="shared" si="1438"/>
        <v>A9808D</v>
      </c>
      <c r="V3086">
        <v>0</v>
      </c>
      <c r="W3086">
        <v>0</v>
      </c>
      <c r="X3086">
        <v>1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0</v>
      </c>
      <c r="AI3086" t="s">
        <v>749</v>
      </c>
      <c r="AJ3086">
        <v>28.246772</v>
      </c>
      <c r="AK3086" t="s">
        <v>750</v>
      </c>
      <c r="AL3086">
        <v>-82.285601999999997</v>
      </c>
      <c r="AM3086">
        <v>100</v>
      </c>
      <c r="AN3086">
        <v>2300</v>
      </c>
      <c r="AO3086" t="s">
        <v>118</v>
      </c>
      <c r="AP3086">
        <v>130</v>
      </c>
      <c r="AQ3086">
        <v>-7</v>
      </c>
      <c r="AR3086">
        <v>-640</v>
      </c>
      <c r="AZ3086">
        <v>1200</v>
      </c>
      <c r="BA3086">
        <v>1</v>
      </c>
      <c r="BB3086" t="str">
        <f t="shared" si="1419"/>
        <v xml:space="preserve">N711JA  </v>
      </c>
      <c r="BC3086">
        <v>1</v>
      </c>
      <c r="BE3086">
        <v>0</v>
      </c>
      <c r="BF3086">
        <v>0</v>
      </c>
      <c r="BG3086">
        <v>0</v>
      </c>
      <c r="BH3086">
        <v>2400</v>
      </c>
      <c r="BI3086">
        <v>1</v>
      </c>
      <c r="BJ3086">
        <v>1</v>
      </c>
      <c r="BK3086">
        <v>0</v>
      </c>
      <c r="BL3086">
        <v>0</v>
      </c>
      <c r="BO3086">
        <v>0</v>
      </c>
      <c r="BP3086">
        <v>0</v>
      </c>
      <c r="BW3086" t="str">
        <f t="shared" ref="BW3086:BW3094" si="1446">"14:46:45.158"</f>
        <v>14:46:45.158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8</v>
      </c>
      <c r="CR3086">
        <v>3</v>
      </c>
      <c r="CW3086">
        <v>8992784</v>
      </c>
      <c r="CY3086">
        <v>1</v>
      </c>
      <c r="CZ3086">
        <v>0</v>
      </c>
      <c r="DA3086">
        <v>0</v>
      </c>
      <c r="DB3086">
        <v>0</v>
      </c>
      <c r="DC3086">
        <v>0</v>
      </c>
      <c r="DD3086">
        <v>1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 t="shared" si="1443"/>
        <v>05/12/2020 14:46:27.312</v>
      </c>
      <c r="C3087" t="str">
        <f t="shared" si="1418"/>
        <v>FFDFD3C0</v>
      </c>
      <c r="D3087" t="s">
        <v>131</v>
      </c>
      <c r="E3087">
        <v>18</v>
      </c>
      <c r="F3087">
        <v>2018</v>
      </c>
      <c r="G3087" t="s">
        <v>161</v>
      </c>
      <c r="J3087" t="s">
        <v>133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444"/>
        <v>14:46:45.156</v>
      </c>
      <c r="T3087" t="str">
        <f t="shared" si="1445"/>
        <v>14:46:44.756</v>
      </c>
      <c r="U3087" t="str">
        <f t="shared" si="1438"/>
        <v>A9808D</v>
      </c>
      <c r="V3087">
        <v>0</v>
      </c>
      <c r="W3087">
        <v>0</v>
      </c>
      <c r="X3087">
        <v>1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0</v>
      </c>
      <c r="AI3087" t="s">
        <v>749</v>
      </c>
      <c r="AJ3087">
        <v>28.246772</v>
      </c>
      <c r="AK3087" t="s">
        <v>750</v>
      </c>
      <c r="AL3087">
        <v>-82.285601999999997</v>
      </c>
      <c r="AM3087">
        <v>100</v>
      </c>
      <c r="AN3087">
        <v>2300</v>
      </c>
      <c r="AO3087" t="s">
        <v>118</v>
      </c>
      <c r="AP3087">
        <v>130</v>
      </c>
      <c r="AQ3087">
        <v>-7</v>
      </c>
      <c r="AR3087">
        <v>-640</v>
      </c>
      <c r="AZ3087">
        <v>1200</v>
      </c>
      <c r="BA3087">
        <v>1</v>
      </c>
      <c r="BB3087" t="str">
        <f t="shared" si="1419"/>
        <v xml:space="preserve">N711JA  </v>
      </c>
      <c r="BC3087">
        <v>1</v>
      </c>
      <c r="BE3087">
        <v>0</v>
      </c>
      <c r="BF3087">
        <v>0</v>
      </c>
      <c r="BG3087">
        <v>0</v>
      </c>
      <c r="BH3087">
        <v>2400</v>
      </c>
      <c r="BI3087">
        <v>1</v>
      </c>
      <c r="BJ3087">
        <v>1</v>
      </c>
      <c r="BK3087">
        <v>0</v>
      </c>
      <c r="BL3087">
        <v>0</v>
      </c>
      <c r="BO3087">
        <v>0</v>
      </c>
      <c r="BP3087">
        <v>0</v>
      </c>
      <c r="BW3087" t="str">
        <f t="shared" si="1446"/>
        <v>14:46:45.158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6</v>
      </c>
      <c r="CP3087" t="s">
        <v>119</v>
      </c>
      <c r="CQ3087">
        <v>56</v>
      </c>
      <c r="CR3087">
        <v>2</v>
      </c>
      <c r="CW3087">
        <v>4958107</v>
      </c>
      <c r="CY3087">
        <v>1</v>
      </c>
      <c r="CZ3087">
        <v>0</v>
      </c>
      <c r="DA3087">
        <v>1</v>
      </c>
      <c r="DB3087">
        <v>0</v>
      </c>
      <c r="DC3087">
        <v>0</v>
      </c>
      <c r="DD3087">
        <v>1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 t="shared" si="1443"/>
        <v>05/12/2020 14:46:27.312</v>
      </c>
      <c r="C3088" t="str">
        <f t="shared" si="1418"/>
        <v>FFDFD3C0</v>
      </c>
      <c r="D3088" t="s">
        <v>138</v>
      </c>
      <c r="E3088">
        <v>3</v>
      </c>
      <c r="H3088">
        <v>9</v>
      </c>
      <c r="I3088" t="s">
        <v>140</v>
      </c>
      <c r="J3088" t="s">
        <v>136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444"/>
        <v>14:46:45.156</v>
      </c>
      <c r="T3088" t="str">
        <f t="shared" si="1445"/>
        <v>14:46:44.756</v>
      </c>
      <c r="U3088" t="str">
        <f t="shared" si="1438"/>
        <v>A9808D</v>
      </c>
      <c r="V3088">
        <v>0</v>
      </c>
      <c r="W3088">
        <v>0</v>
      </c>
      <c r="X3088">
        <v>1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0</v>
      </c>
      <c r="AI3088" t="s">
        <v>749</v>
      </c>
      <c r="AJ3088">
        <v>28.246772</v>
      </c>
      <c r="AK3088" t="s">
        <v>750</v>
      </c>
      <c r="AL3088">
        <v>-82.285601999999997</v>
      </c>
      <c r="AM3088">
        <v>100</v>
      </c>
      <c r="AN3088">
        <v>2300</v>
      </c>
      <c r="AO3088" t="s">
        <v>118</v>
      </c>
      <c r="AP3088">
        <v>130</v>
      </c>
      <c r="AQ3088">
        <v>-7</v>
      </c>
      <c r="AR3088">
        <v>-640</v>
      </c>
      <c r="AZ3088">
        <v>1200</v>
      </c>
      <c r="BA3088">
        <v>1</v>
      </c>
      <c r="BB3088" t="str">
        <f t="shared" si="1419"/>
        <v xml:space="preserve">N711JA  </v>
      </c>
      <c r="BC3088">
        <v>1</v>
      </c>
      <c r="BE3088">
        <v>0</v>
      </c>
      <c r="BF3088">
        <v>0</v>
      </c>
      <c r="BG3088">
        <v>0</v>
      </c>
      <c r="BH3088">
        <v>2400</v>
      </c>
      <c r="BI3088">
        <v>1</v>
      </c>
      <c r="BJ3088">
        <v>1</v>
      </c>
      <c r="BK3088">
        <v>0</v>
      </c>
      <c r="BL3088">
        <v>0</v>
      </c>
      <c r="BO3088">
        <v>0</v>
      </c>
      <c r="BP3088">
        <v>0</v>
      </c>
      <c r="BW3088" t="str">
        <f t="shared" si="1446"/>
        <v>14:46:45.158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8</v>
      </c>
      <c r="CR3088">
        <v>3</v>
      </c>
      <c r="CW3088">
        <v>8992784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1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 t="shared" si="1443"/>
        <v>05/12/2020 14:46:27.312</v>
      </c>
      <c r="C3089" t="str">
        <f t="shared" si="1418"/>
        <v>FFDFD3C0</v>
      </c>
      <c r="D3089" t="s">
        <v>126</v>
      </c>
      <c r="E3089">
        <v>6</v>
      </c>
      <c r="F3089">
        <v>1006</v>
      </c>
      <c r="G3089" t="s">
        <v>114</v>
      </c>
      <c r="J3089" t="s">
        <v>128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444"/>
        <v>14:46:45.156</v>
      </c>
      <c r="T3089" t="str">
        <f t="shared" si="1445"/>
        <v>14:46:44.756</v>
      </c>
      <c r="U3089" t="str">
        <f t="shared" si="1438"/>
        <v>A9808D</v>
      </c>
      <c r="V3089">
        <v>0</v>
      </c>
      <c r="W3089">
        <v>0</v>
      </c>
      <c r="X3089">
        <v>1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0</v>
      </c>
      <c r="AI3089" t="s">
        <v>749</v>
      </c>
      <c r="AJ3089">
        <v>28.246772</v>
      </c>
      <c r="AK3089" t="s">
        <v>750</v>
      </c>
      <c r="AL3089">
        <v>-82.285601999999997</v>
      </c>
      <c r="AM3089">
        <v>100</v>
      </c>
      <c r="AN3089">
        <v>2300</v>
      </c>
      <c r="AO3089" t="s">
        <v>118</v>
      </c>
      <c r="AP3089">
        <v>130</v>
      </c>
      <c r="AQ3089">
        <v>-7</v>
      </c>
      <c r="AR3089">
        <v>-640</v>
      </c>
      <c r="AZ3089">
        <v>1200</v>
      </c>
      <c r="BA3089">
        <v>1</v>
      </c>
      <c r="BB3089" t="str">
        <f t="shared" si="1419"/>
        <v xml:space="preserve">N711JA  </v>
      </c>
      <c r="BC3089">
        <v>1</v>
      </c>
      <c r="BE3089">
        <v>0</v>
      </c>
      <c r="BF3089">
        <v>0</v>
      </c>
      <c r="BG3089">
        <v>0</v>
      </c>
      <c r="BH3089">
        <v>2400</v>
      </c>
      <c r="BI3089">
        <v>1</v>
      </c>
      <c r="BJ3089">
        <v>1</v>
      </c>
      <c r="BK3089">
        <v>0</v>
      </c>
      <c r="BL3089">
        <v>0</v>
      </c>
      <c r="BO3089">
        <v>0</v>
      </c>
      <c r="BP3089">
        <v>0</v>
      </c>
      <c r="BW3089" t="str">
        <f t="shared" si="1446"/>
        <v>14:46:45.158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8</v>
      </c>
      <c r="CR3089">
        <v>3</v>
      </c>
      <c r="CW3089">
        <v>8992784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1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 t="shared" si="1443"/>
        <v>05/12/2020 14:46:27.312</v>
      </c>
      <c r="C3090" t="str">
        <f t="shared" si="1418"/>
        <v>FFDFD3C0</v>
      </c>
      <c r="D3090" t="s">
        <v>113</v>
      </c>
      <c r="E3090">
        <v>3</v>
      </c>
      <c r="H3090">
        <v>164</v>
      </c>
      <c r="I3090" t="s">
        <v>114</v>
      </c>
      <c r="J3090" t="s">
        <v>115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444"/>
        <v>14:46:45.156</v>
      </c>
      <c r="T3090" t="str">
        <f t="shared" si="1445"/>
        <v>14:46:44.756</v>
      </c>
      <c r="U3090" t="str">
        <f t="shared" si="1438"/>
        <v>A9808D</v>
      </c>
      <c r="V3090">
        <v>0</v>
      </c>
      <c r="W3090">
        <v>0</v>
      </c>
      <c r="X3090">
        <v>1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0</v>
      </c>
      <c r="AI3090" t="s">
        <v>749</v>
      </c>
      <c r="AJ3090">
        <v>28.246772</v>
      </c>
      <c r="AK3090" t="s">
        <v>750</v>
      </c>
      <c r="AL3090">
        <v>-82.285601999999997</v>
      </c>
      <c r="AM3090">
        <v>100</v>
      </c>
      <c r="AN3090">
        <v>2300</v>
      </c>
      <c r="AO3090" t="s">
        <v>118</v>
      </c>
      <c r="AP3090">
        <v>130</v>
      </c>
      <c r="AQ3090">
        <v>-7</v>
      </c>
      <c r="AR3090">
        <v>-640</v>
      </c>
      <c r="AZ3090">
        <v>1200</v>
      </c>
      <c r="BA3090">
        <v>1</v>
      </c>
      <c r="BB3090" t="str">
        <f t="shared" si="1419"/>
        <v xml:space="preserve">N711JA  </v>
      </c>
      <c r="BC3090">
        <v>1</v>
      </c>
      <c r="BE3090">
        <v>0</v>
      </c>
      <c r="BF3090">
        <v>0</v>
      </c>
      <c r="BG3090">
        <v>0</v>
      </c>
      <c r="BH3090">
        <v>2400</v>
      </c>
      <c r="BI3090">
        <v>1</v>
      </c>
      <c r="BJ3090">
        <v>1</v>
      </c>
      <c r="BK3090">
        <v>0</v>
      </c>
      <c r="BL3090">
        <v>0</v>
      </c>
      <c r="BO3090">
        <v>0</v>
      </c>
      <c r="BP3090">
        <v>0</v>
      </c>
      <c r="BW3090" t="str">
        <f t="shared" si="1446"/>
        <v>14:46:45.158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119</v>
      </c>
      <c r="CQ3090">
        <v>8</v>
      </c>
      <c r="CR3090">
        <v>3</v>
      </c>
      <c r="CW3090">
        <v>8992784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1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 t="shared" si="1443"/>
        <v>05/12/2020 14:46:27.312</v>
      </c>
      <c r="C3091" t="str">
        <f t="shared" si="1418"/>
        <v>FFDFD3C0</v>
      </c>
      <c r="D3091" t="s">
        <v>138</v>
      </c>
      <c r="E3091">
        <v>2</v>
      </c>
      <c r="H3091">
        <v>8</v>
      </c>
      <c r="I3091" t="s">
        <v>139</v>
      </c>
      <c r="J3091" t="s">
        <v>136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444"/>
        <v>14:46:45.156</v>
      </c>
      <c r="T3091" t="str">
        <f t="shared" si="1445"/>
        <v>14:46:44.756</v>
      </c>
      <c r="U3091" t="str">
        <f t="shared" si="1438"/>
        <v>A9808D</v>
      </c>
      <c r="V3091">
        <v>0</v>
      </c>
      <c r="W3091">
        <v>0</v>
      </c>
      <c r="X3091">
        <v>1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0</v>
      </c>
      <c r="AI3091" t="s">
        <v>749</v>
      </c>
      <c r="AJ3091">
        <v>28.246772</v>
      </c>
      <c r="AK3091" t="s">
        <v>750</v>
      </c>
      <c r="AL3091">
        <v>-82.285601999999997</v>
      </c>
      <c r="AM3091">
        <v>100</v>
      </c>
      <c r="AN3091">
        <v>2300</v>
      </c>
      <c r="AO3091" t="s">
        <v>118</v>
      </c>
      <c r="AP3091">
        <v>130</v>
      </c>
      <c r="AQ3091">
        <v>-7</v>
      </c>
      <c r="AR3091">
        <v>-640</v>
      </c>
      <c r="AZ3091">
        <v>1200</v>
      </c>
      <c r="BA3091">
        <v>1</v>
      </c>
      <c r="BB3091" t="str">
        <f t="shared" si="1419"/>
        <v xml:space="preserve">N711JA  </v>
      </c>
      <c r="BC3091">
        <v>1</v>
      </c>
      <c r="BE3091">
        <v>0</v>
      </c>
      <c r="BF3091">
        <v>0</v>
      </c>
      <c r="BG3091">
        <v>0</v>
      </c>
      <c r="BH3091">
        <v>2400</v>
      </c>
      <c r="BI3091">
        <v>1</v>
      </c>
      <c r="BJ3091">
        <v>1</v>
      </c>
      <c r="BK3091">
        <v>0</v>
      </c>
      <c r="BL3091">
        <v>0</v>
      </c>
      <c r="BO3091">
        <v>0</v>
      </c>
      <c r="BP3091">
        <v>0</v>
      </c>
      <c r="BW3091" t="str">
        <f t="shared" si="1446"/>
        <v>14:46:45.158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8</v>
      </c>
      <c r="CR3091">
        <v>3</v>
      </c>
      <c r="CW3091">
        <v>8992784</v>
      </c>
      <c r="CY3091">
        <v>1</v>
      </c>
      <c r="CZ3091">
        <v>0</v>
      </c>
      <c r="DA3091">
        <v>1</v>
      </c>
      <c r="DB3091">
        <v>0</v>
      </c>
      <c r="DC3091">
        <v>0</v>
      </c>
      <c r="DD3091">
        <v>1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 t="shared" si="1443"/>
        <v>05/12/2020 14:46:27.312</v>
      </c>
      <c r="C3092" t="str">
        <f t="shared" si="1418"/>
        <v>FFDFD3C0</v>
      </c>
      <c r="D3092" t="s">
        <v>126</v>
      </c>
      <c r="E3092">
        <v>7</v>
      </c>
      <c r="F3092">
        <v>1007</v>
      </c>
      <c r="G3092" t="s">
        <v>127</v>
      </c>
      <c r="J3092" t="s">
        <v>128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444"/>
        <v>14:46:45.156</v>
      </c>
      <c r="T3092" t="str">
        <f t="shared" si="1445"/>
        <v>14:46:44.756</v>
      </c>
      <c r="U3092" t="str">
        <f t="shared" si="1438"/>
        <v>A9808D</v>
      </c>
      <c r="V3092">
        <v>0</v>
      </c>
      <c r="W3092">
        <v>0</v>
      </c>
      <c r="X3092">
        <v>1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0</v>
      </c>
      <c r="AI3092" t="s">
        <v>749</v>
      </c>
      <c r="AJ3092">
        <v>28.246772</v>
      </c>
      <c r="AK3092" t="s">
        <v>750</v>
      </c>
      <c r="AL3092">
        <v>-82.285601999999997</v>
      </c>
      <c r="AM3092">
        <v>100</v>
      </c>
      <c r="AN3092">
        <v>2300</v>
      </c>
      <c r="AO3092" t="s">
        <v>118</v>
      </c>
      <c r="AP3092">
        <v>130</v>
      </c>
      <c r="AQ3092">
        <v>-7</v>
      </c>
      <c r="AR3092">
        <v>-640</v>
      </c>
      <c r="AZ3092">
        <v>1200</v>
      </c>
      <c r="BA3092">
        <v>1</v>
      </c>
      <c r="BB3092" t="str">
        <f t="shared" si="1419"/>
        <v xml:space="preserve">N711JA  </v>
      </c>
      <c r="BC3092">
        <v>1</v>
      </c>
      <c r="BE3092">
        <v>0</v>
      </c>
      <c r="BF3092">
        <v>0</v>
      </c>
      <c r="BG3092">
        <v>0</v>
      </c>
      <c r="BH3092">
        <v>2400</v>
      </c>
      <c r="BI3092">
        <v>1</v>
      </c>
      <c r="BJ3092">
        <v>1</v>
      </c>
      <c r="BK3092">
        <v>0</v>
      </c>
      <c r="BL3092">
        <v>0</v>
      </c>
      <c r="BO3092">
        <v>0</v>
      </c>
      <c r="BP3092">
        <v>0</v>
      </c>
      <c r="BW3092" t="str">
        <f t="shared" si="1446"/>
        <v>14:46:45.158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8</v>
      </c>
      <c r="CR3092">
        <v>3</v>
      </c>
      <c r="CW3092">
        <v>8992784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1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 t="shared" si="1443"/>
        <v>05/12/2020 14:46:27.312</v>
      </c>
      <c r="C3093" t="str">
        <f t="shared" si="1418"/>
        <v>FFDFD3C0</v>
      </c>
      <c r="D3093" t="s">
        <v>131</v>
      </c>
      <c r="E3093">
        <v>10</v>
      </c>
      <c r="F3093">
        <v>2010</v>
      </c>
      <c r="G3093" t="s">
        <v>132</v>
      </c>
      <c r="J3093" t="s">
        <v>133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444"/>
        <v>14:46:45.156</v>
      </c>
      <c r="T3093" t="str">
        <f t="shared" si="1445"/>
        <v>14:46:44.756</v>
      </c>
      <c r="U3093" t="str">
        <f t="shared" si="1438"/>
        <v>A9808D</v>
      </c>
      <c r="V3093">
        <v>0</v>
      </c>
      <c r="W3093">
        <v>0</v>
      </c>
      <c r="X3093">
        <v>1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0</v>
      </c>
      <c r="AI3093" t="s">
        <v>749</v>
      </c>
      <c r="AJ3093">
        <v>28.246772</v>
      </c>
      <c r="AK3093" t="s">
        <v>750</v>
      </c>
      <c r="AL3093">
        <v>-82.285601999999997</v>
      </c>
      <c r="AM3093">
        <v>100</v>
      </c>
      <c r="AN3093">
        <v>2300</v>
      </c>
      <c r="AO3093" t="s">
        <v>118</v>
      </c>
      <c r="AP3093">
        <v>130</v>
      </c>
      <c r="AQ3093">
        <v>-7</v>
      </c>
      <c r="AR3093">
        <v>-640</v>
      </c>
      <c r="AZ3093">
        <v>1200</v>
      </c>
      <c r="BA3093">
        <v>1</v>
      </c>
      <c r="BB3093" t="str">
        <f t="shared" si="1419"/>
        <v xml:space="preserve">N711JA  </v>
      </c>
      <c r="BC3093">
        <v>1</v>
      </c>
      <c r="BE3093">
        <v>0</v>
      </c>
      <c r="BF3093">
        <v>0</v>
      </c>
      <c r="BG3093">
        <v>0</v>
      </c>
      <c r="BH3093">
        <v>2400</v>
      </c>
      <c r="BI3093">
        <v>1</v>
      </c>
      <c r="BJ3093">
        <v>1</v>
      </c>
      <c r="BK3093">
        <v>0</v>
      </c>
      <c r="BL3093">
        <v>0</v>
      </c>
      <c r="BO3093">
        <v>0</v>
      </c>
      <c r="BP3093">
        <v>0</v>
      </c>
      <c r="BW3093" t="str">
        <f t="shared" si="1446"/>
        <v>14:46:45.158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8</v>
      </c>
      <c r="CR3093">
        <v>3</v>
      </c>
      <c r="CW3093">
        <v>8992784</v>
      </c>
      <c r="CY3093">
        <v>1</v>
      </c>
      <c r="CZ3093">
        <v>0</v>
      </c>
      <c r="DA3093">
        <v>1</v>
      </c>
      <c r="DB3093">
        <v>0</v>
      </c>
      <c r="DC3093">
        <v>0</v>
      </c>
      <c r="DD3093">
        <v>1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 t="shared" si="1443"/>
        <v>05/12/2020 14:46:27.312</v>
      </c>
      <c r="C3094" t="str">
        <f t="shared" ref="C3094:C3157" si="1447">"FFDFD3C0"</f>
        <v>FFDFD3C0</v>
      </c>
      <c r="D3094" t="s">
        <v>131</v>
      </c>
      <c r="E3094">
        <v>12</v>
      </c>
      <c r="F3094">
        <v>2012</v>
      </c>
      <c r="G3094" t="s">
        <v>137</v>
      </c>
      <c r="J3094" t="s">
        <v>133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si="1444"/>
        <v>14:46:45.156</v>
      </c>
      <c r="T3094" t="str">
        <f t="shared" si="1445"/>
        <v>14:46:44.756</v>
      </c>
      <c r="U3094" t="str">
        <f t="shared" si="1438"/>
        <v>A9808D</v>
      </c>
      <c r="V3094">
        <v>0</v>
      </c>
      <c r="W3094">
        <v>0</v>
      </c>
      <c r="X3094">
        <v>1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0</v>
      </c>
      <c r="AI3094" t="s">
        <v>749</v>
      </c>
      <c r="AJ3094">
        <v>28.246772</v>
      </c>
      <c r="AK3094" t="s">
        <v>750</v>
      </c>
      <c r="AL3094">
        <v>-82.285601999999997</v>
      </c>
      <c r="AM3094">
        <v>100</v>
      </c>
      <c r="AN3094">
        <v>2300</v>
      </c>
      <c r="AO3094" t="s">
        <v>118</v>
      </c>
      <c r="AP3094">
        <v>130</v>
      </c>
      <c r="AQ3094">
        <v>-7</v>
      </c>
      <c r="AR3094">
        <v>-640</v>
      </c>
      <c r="AZ3094">
        <v>1200</v>
      </c>
      <c r="BA3094">
        <v>1</v>
      </c>
      <c r="BB3094" t="str">
        <f t="shared" ref="BB3094:BB3157" si="1448">"N711JA  "</f>
        <v xml:space="preserve">N711JA  </v>
      </c>
      <c r="BC3094">
        <v>1</v>
      </c>
      <c r="BE3094">
        <v>0</v>
      </c>
      <c r="BF3094">
        <v>0</v>
      </c>
      <c r="BG3094">
        <v>0</v>
      </c>
      <c r="BH3094">
        <v>2400</v>
      </c>
      <c r="BI3094">
        <v>1</v>
      </c>
      <c r="BJ3094">
        <v>1</v>
      </c>
      <c r="BK3094">
        <v>0</v>
      </c>
      <c r="BL3094">
        <v>0</v>
      </c>
      <c r="BO3094">
        <v>0</v>
      </c>
      <c r="BP3094">
        <v>0</v>
      </c>
      <c r="BW3094" t="str">
        <f t="shared" si="1446"/>
        <v>14:46:45.158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8</v>
      </c>
      <c r="CR3094">
        <v>3</v>
      </c>
      <c r="CW3094">
        <v>8992784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1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 t="shared" ref="A3095:A3103" si="1449">"05/12/2020 14:46:28.261"</f>
        <v>05/12/2020 14:46:28.261</v>
      </c>
      <c r="C3095" t="str">
        <f t="shared" si="1447"/>
        <v>FFDFD3C0</v>
      </c>
      <c r="D3095" t="s">
        <v>126</v>
      </c>
      <c r="E3095">
        <v>7</v>
      </c>
      <c r="F3095">
        <v>1007</v>
      </c>
      <c r="G3095" t="s">
        <v>127</v>
      </c>
      <c r="J3095" t="s">
        <v>128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ref="S3095:S3103" si="1450">"14:46:46.094"</f>
        <v>14:46:46.094</v>
      </c>
      <c r="T3095" t="str">
        <f t="shared" ref="T3095:T3103" si="1451">"14:46:45.794"</f>
        <v>14:46:45.794</v>
      </c>
      <c r="U3095" t="str">
        <f t="shared" si="1438"/>
        <v>A9808D</v>
      </c>
      <c r="V3095">
        <v>0</v>
      </c>
      <c r="W3095">
        <v>0</v>
      </c>
      <c r="X3095">
        <v>1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0</v>
      </c>
      <c r="AI3095" t="s">
        <v>749</v>
      </c>
      <c r="AJ3095">
        <v>28.246772</v>
      </c>
      <c r="AK3095" t="s">
        <v>751</v>
      </c>
      <c r="AL3095">
        <v>-82.284958000000003</v>
      </c>
      <c r="AM3095">
        <v>100</v>
      </c>
      <c r="AN3095">
        <v>2300</v>
      </c>
      <c r="AO3095" t="s">
        <v>118</v>
      </c>
      <c r="AP3095">
        <v>130</v>
      </c>
      <c r="AQ3095">
        <v>-6</v>
      </c>
      <c r="AR3095">
        <v>-640</v>
      </c>
      <c r="AZ3095">
        <v>1200</v>
      </c>
      <c r="BA3095">
        <v>1</v>
      </c>
      <c r="BB3095" t="str">
        <f t="shared" si="1448"/>
        <v xml:space="preserve">N711JA  </v>
      </c>
      <c r="BC3095">
        <v>1</v>
      </c>
      <c r="BE3095">
        <v>0</v>
      </c>
      <c r="BF3095">
        <v>0</v>
      </c>
      <c r="BG3095">
        <v>0</v>
      </c>
      <c r="BH3095">
        <v>2375</v>
      </c>
      <c r="BI3095">
        <v>1</v>
      </c>
      <c r="BJ3095">
        <v>1</v>
      </c>
      <c r="BK3095">
        <v>0</v>
      </c>
      <c r="BL3095">
        <v>0</v>
      </c>
      <c r="BO3095">
        <v>0</v>
      </c>
      <c r="BP3095">
        <v>0</v>
      </c>
      <c r="BW3095" t="str">
        <f t="shared" ref="BW3095:BW3103" si="1452">"14:46:46.094"</f>
        <v>14:46:46.094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8</v>
      </c>
      <c r="CR3095">
        <v>3</v>
      </c>
      <c r="CW3095">
        <v>8993671</v>
      </c>
      <c r="CY3095">
        <v>1</v>
      </c>
      <c r="CZ3095">
        <v>0</v>
      </c>
      <c r="DA3095">
        <v>0</v>
      </c>
      <c r="DB3095">
        <v>0</v>
      </c>
      <c r="DC3095">
        <v>0</v>
      </c>
      <c r="DD3095">
        <v>1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 t="shared" si="1449"/>
        <v>05/12/2020 14:46:28.261</v>
      </c>
      <c r="C3096" t="str">
        <f t="shared" si="1447"/>
        <v>FFDFD3C0</v>
      </c>
      <c r="D3096" t="s">
        <v>131</v>
      </c>
      <c r="E3096">
        <v>10</v>
      </c>
      <c r="F3096">
        <v>2010</v>
      </c>
      <c r="G3096" t="s">
        <v>132</v>
      </c>
      <c r="J3096" t="s">
        <v>133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450"/>
        <v>14:46:46.094</v>
      </c>
      <c r="T3096" t="str">
        <f t="shared" si="1451"/>
        <v>14:46:45.794</v>
      </c>
      <c r="U3096" t="str">
        <f t="shared" si="1438"/>
        <v>A9808D</v>
      </c>
      <c r="V3096">
        <v>0</v>
      </c>
      <c r="W3096">
        <v>0</v>
      </c>
      <c r="X3096">
        <v>1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0</v>
      </c>
      <c r="AI3096" t="s">
        <v>749</v>
      </c>
      <c r="AJ3096">
        <v>28.246772</v>
      </c>
      <c r="AK3096" t="s">
        <v>751</v>
      </c>
      <c r="AL3096">
        <v>-82.284958000000003</v>
      </c>
      <c r="AM3096">
        <v>100</v>
      </c>
      <c r="AN3096">
        <v>2300</v>
      </c>
      <c r="AO3096" t="s">
        <v>118</v>
      </c>
      <c r="AP3096">
        <v>130</v>
      </c>
      <c r="AQ3096">
        <v>-6</v>
      </c>
      <c r="AR3096">
        <v>-640</v>
      </c>
      <c r="AZ3096">
        <v>1200</v>
      </c>
      <c r="BA3096">
        <v>1</v>
      </c>
      <c r="BB3096" t="str">
        <f t="shared" si="1448"/>
        <v xml:space="preserve">N711JA  </v>
      </c>
      <c r="BC3096">
        <v>1</v>
      </c>
      <c r="BE3096">
        <v>0</v>
      </c>
      <c r="BF3096">
        <v>0</v>
      </c>
      <c r="BG3096">
        <v>0</v>
      </c>
      <c r="BH3096">
        <v>2375</v>
      </c>
      <c r="BI3096">
        <v>1</v>
      </c>
      <c r="BJ3096">
        <v>1</v>
      </c>
      <c r="BK3096">
        <v>0</v>
      </c>
      <c r="BL3096">
        <v>0</v>
      </c>
      <c r="BO3096">
        <v>0</v>
      </c>
      <c r="BP3096">
        <v>0</v>
      </c>
      <c r="BW3096" t="str">
        <f t="shared" si="1452"/>
        <v>14:46:46.094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8</v>
      </c>
      <c r="CR3096">
        <v>3</v>
      </c>
      <c r="CW3096">
        <v>8993671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1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 t="shared" si="1449"/>
        <v>05/12/2020 14:46:28.261</v>
      </c>
      <c r="C3097" t="str">
        <f t="shared" si="1447"/>
        <v>FFDFD3C0</v>
      </c>
      <c r="D3097" t="s">
        <v>138</v>
      </c>
      <c r="E3097">
        <v>2</v>
      </c>
      <c r="H3097">
        <v>8</v>
      </c>
      <c r="I3097" t="s">
        <v>139</v>
      </c>
      <c r="J3097" t="s">
        <v>136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450"/>
        <v>14:46:46.094</v>
      </c>
      <c r="T3097" t="str">
        <f t="shared" si="1451"/>
        <v>14:46:45.794</v>
      </c>
      <c r="U3097" t="str">
        <f t="shared" si="1438"/>
        <v>A9808D</v>
      </c>
      <c r="V3097">
        <v>0</v>
      </c>
      <c r="W3097">
        <v>0</v>
      </c>
      <c r="X3097">
        <v>1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0</v>
      </c>
      <c r="AI3097" t="s">
        <v>749</v>
      </c>
      <c r="AJ3097">
        <v>28.246772</v>
      </c>
      <c r="AK3097" t="s">
        <v>751</v>
      </c>
      <c r="AL3097">
        <v>-82.284958000000003</v>
      </c>
      <c r="AM3097">
        <v>100</v>
      </c>
      <c r="AN3097">
        <v>2300</v>
      </c>
      <c r="AO3097" t="s">
        <v>118</v>
      </c>
      <c r="AP3097">
        <v>130</v>
      </c>
      <c r="AQ3097">
        <v>-6</v>
      </c>
      <c r="AR3097">
        <v>-640</v>
      </c>
      <c r="AZ3097">
        <v>1200</v>
      </c>
      <c r="BA3097">
        <v>1</v>
      </c>
      <c r="BB3097" t="str">
        <f t="shared" si="1448"/>
        <v xml:space="preserve">N711JA  </v>
      </c>
      <c r="BC3097">
        <v>1</v>
      </c>
      <c r="BE3097">
        <v>0</v>
      </c>
      <c r="BF3097">
        <v>0</v>
      </c>
      <c r="BG3097">
        <v>0</v>
      </c>
      <c r="BH3097">
        <v>2375</v>
      </c>
      <c r="BI3097">
        <v>1</v>
      </c>
      <c r="BJ3097">
        <v>1</v>
      </c>
      <c r="BK3097">
        <v>0</v>
      </c>
      <c r="BL3097">
        <v>0</v>
      </c>
      <c r="BO3097">
        <v>0</v>
      </c>
      <c r="BP3097">
        <v>0</v>
      </c>
      <c r="BW3097" t="str">
        <f t="shared" si="1452"/>
        <v>14:46:46.094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8</v>
      </c>
      <c r="CR3097">
        <v>3</v>
      </c>
      <c r="CW3097">
        <v>8993671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1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 t="shared" si="1449"/>
        <v>05/12/2020 14:46:28.261</v>
      </c>
      <c r="C3098" t="str">
        <f t="shared" si="1447"/>
        <v>FFDFD3C0</v>
      </c>
      <c r="D3098" t="s">
        <v>131</v>
      </c>
      <c r="E3098">
        <v>12</v>
      </c>
      <c r="F3098">
        <v>2012</v>
      </c>
      <c r="G3098" t="s">
        <v>137</v>
      </c>
      <c r="J3098" t="s">
        <v>133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450"/>
        <v>14:46:46.094</v>
      </c>
      <c r="T3098" t="str">
        <f t="shared" si="1451"/>
        <v>14:46:45.794</v>
      </c>
      <c r="U3098" t="str">
        <f t="shared" si="1438"/>
        <v>A9808D</v>
      </c>
      <c r="V3098">
        <v>0</v>
      </c>
      <c r="W3098">
        <v>0</v>
      </c>
      <c r="X3098">
        <v>1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0</v>
      </c>
      <c r="AI3098" t="s">
        <v>749</v>
      </c>
      <c r="AJ3098">
        <v>28.246772</v>
      </c>
      <c r="AK3098" t="s">
        <v>751</v>
      </c>
      <c r="AL3098">
        <v>-82.284958000000003</v>
      </c>
      <c r="AM3098">
        <v>100</v>
      </c>
      <c r="AN3098">
        <v>2300</v>
      </c>
      <c r="AO3098" t="s">
        <v>118</v>
      </c>
      <c r="AP3098">
        <v>130</v>
      </c>
      <c r="AQ3098">
        <v>-6</v>
      </c>
      <c r="AR3098">
        <v>-640</v>
      </c>
      <c r="AZ3098">
        <v>1200</v>
      </c>
      <c r="BA3098">
        <v>1</v>
      </c>
      <c r="BB3098" t="str">
        <f t="shared" si="1448"/>
        <v xml:space="preserve">N711JA  </v>
      </c>
      <c r="BC3098">
        <v>1</v>
      </c>
      <c r="BE3098">
        <v>0</v>
      </c>
      <c r="BF3098">
        <v>0</v>
      </c>
      <c r="BG3098">
        <v>0</v>
      </c>
      <c r="BH3098">
        <v>2375</v>
      </c>
      <c r="BI3098">
        <v>1</v>
      </c>
      <c r="BJ3098">
        <v>1</v>
      </c>
      <c r="BK3098">
        <v>0</v>
      </c>
      <c r="BL3098">
        <v>0</v>
      </c>
      <c r="BO3098">
        <v>0</v>
      </c>
      <c r="BP3098">
        <v>0</v>
      </c>
      <c r="BW3098" t="str">
        <f t="shared" si="1452"/>
        <v>14:46:46.094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8</v>
      </c>
      <c r="CR3098">
        <v>3</v>
      </c>
      <c r="CW3098">
        <v>8993671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1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 t="shared" si="1449"/>
        <v>05/12/2020 14:46:28.261</v>
      </c>
      <c r="C3099" t="str">
        <f t="shared" si="1447"/>
        <v>FFDFD3C0</v>
      </c>
      <c r="D3099" t="s">
        <v>131</v>
      </c>
      <c r="E3099">
        <v>18</v>
      </c>
      <c r="F3099">
        <v>2018</v>
      </c>
      <c r="G3099" t="s">
        <v>161</v>
      </c>
      <c r="J3099" t="s">
        <v>133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450"/>
        <v>14:46:46.094</v>
      </c>
      <c r="T3099" t="str">
        <f t="shared" si="1451"/>
        <v>14:46:45.794</v>
      </c>
      <c r="U3099" t="str">
        <f t="shared" si="1438"/>
        <v>A9808D</v>
      </c>
      <c r="V3099">
        <v>0</v>
      </c>
      <c r="W3099">
        <v>0</v>
      </c>
      <c r="X3099">
        <v>1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0</v>
      </c>
      <c r="AI3099" t="s">
        <v>749</v>
      </c>
      <c r="AJ3099">
        <v>28.246772</v>
      </c>
      <c r="AK3099" t="s">
        <v>751</v>
      </c>
      <c r="AL3099">
        <v>-82.284958000000003</v>
      </c>
      <c r="AM3099">
        <v>100</v>
      </c>
      <c r="AN3099">
        <v>2300</v>
      </c>
      <c r="AO3099" t="s">
        <v>118</v>
      </c>
      <c r="AP3099">
        <v>130</v>
      </c>
      <c r="AQ3099">
        <v>-6</v>
      </c>
      <c r="AR3099">
        <v>-640</v>
      </c>
      <c r="AZ3099">
        <v>1200</v>
      </c>
      <c r="BA3099">
        <v>1</v>
      </c>
      <c r="BB3099" t="str">
        <f t="shared" si="1448"/>
        <v xml:space="preserve">N711JA  </v>
      </c>
      <c r="BC3099">
        <v>1</v>
      </c>
      <c r="BE3099">
        <v>0</v>
      </c>
      <c r="BF3099">
        <v>0</v>
      </c>
      <c r="BG3099">
        <v>0</v>
      </c>
      <c r="BH3099">
        <v>2375</v>
      </c>
      <c r="BI3099">
        <v>1</v>
      </c>
      <c r="BJ3099">
        <v>1</v>
      </c>
      <c r="BK3099">
        <v>0</v>
      </c>
      <c r="BL3099">
        <v>0</v>
      </c>
      <c r="BO3099">
        <v>0</v>
      </c>
      <c r="BP3099">
        <v>0</v>
      </c>
      <c r="BW3099" t="str">
        <f t="shared" si="1452"/>
        <v>14:46:46.094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6</v>
      </c>
      <c r="CP3099" t="s">
        <v>119</v>
      </c>
      <c r="CQ3099">
        <v>56</v>
      </c>
      <c r="CR3099">
        <v>2</v>
      </c>
      <c r="CW3099">
        <v>4959242</v>
      </c>
      <c r="CY3099">
        <v>1</v>
      </c>
      <c r="CZ3099">
        <v>0</v>
      </c>
      <c r="DA3099">
        <v>1</v>
      </c>
      <c r="DB3099">
        <v>0</v>
      </c>
      <c r="DC3099">
        <v>0</v>
      </c>
      <c r="DD3099">
        <v>1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 t="shared" si="1449"/>
        <v>05/12/2020 14:46:28.261</v>
      </c>
      <c r="C3100" t="str">
        <f t="shared" si="1447"/>
        <v>FFDFD3C0</v>
      </c>
      <c r="D3100" t="s">
        <v>134</v>
      </c>
      <c r="E3100">
        <v>12</v>
      </c>
      <c r="H3100">
        <v>64</v>
      </c>
      <c r="I3100" t="s">
        <v>135</v>
      </c>
      <c r="J3100" t="s">
        <v>136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450"/>
        <v>14:46:46.094</v>
      </c>
      <c r="T3100" t="str">
        <f t="shared" si="1451"/>
        <v>14:46:45.794</v>
      </c>
      <c r="U3100" t="str">
        <f t="shared" si="1438"/>
        <v>A9808D</v>
      </c>
      <c r="V3100">
        <v>0</v>
      </c>
      <c r="W3100">
        <v>0</v>
      </c>
      <c r="X3100">
        <v>1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0</v>
      </c>
      <c r="AI3100" t="s">
        <v>749</v>
      </c>
      <c r="AJ3100">
        <v>28.246772</v>
      </c>
      <c r="AK3100" t="s">
        <v>751</v>
      </c>
      <c r="AL3100">
        <v>-82.284958000000003</v>
      </c>
      <c r="AM3100">
        <v>100</v>
      </c>
      <c r="AN3100">
        <v>2300</v>
      </c>
      <c r="AO3100" t="s">
        <v>118</v>
      </c>
      <c r="AP3100">
        <v>130</v>
      </c>
      <c r="AQ3100">
        <v>-6</v>
      </c>
      <c r="AR3100">
        <v>-640</v>
      </c>
      <c r="AZ3100">
        <v>1200</v>
      </c>
      <c r="BA3100">
        <v>1</v>
      </c>
      <c r="BB3100" t="str">
        <f t="shared" si="1448"/>
        <v xml:space="preserve">N711JA  </v>
      </c>
      <c r="BC3100">
        <v>1</v>
      </c>
      <c r="BE3100">
        <v>0</v>
      </c>
      <c r="BF3100">
        <v>0</v>
      </c>
      <c r="BG3100">
        <v>0</v>
      </c>
      <c r="BH3100">
        <v>2375</v>
      </c>
      <c r="BI3100">
        <v>1</v>
      </c>
      <c r="BJ3100">
        <v>1</v>
      </c>
      <c r="BK3100">
        <v>0</v>
      </c>
      <c r="BL3100">
        <v>0</v>
      </c>
      <c r="BO3100">
        <v>0</v>
      </c>
      <c r="BP3100">
        <v>0</v>
      </c>
      <c r="BW3100" t="str">
        <f t="shared" si="1452"/>
        <v>14:46:46.094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8</v>
      </c>
      <c r="CR3100">
        <v>3</v>
      </c>
      <c r="CW3100">
        <v>8993671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1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 t="shared" si="1449"/>
        <v>05/12/2020 14:46:28.261</v>
      </c>
      <c r="C3101" t="str">
        <f t="shared" si="1447"/>
        <v>FFDFD3C0</v>
      </c>
      <c r="D3101" t="s">
        <v>138</v>
      </c>
      <c r="E3101">
        <v>3</v>
      </c>
      <c r="H3101">
        <v>9</v>
      </c>
      <c r="I3101" t="s">
        <v>140</v>
      </c>
      <c r="J3101" t="s">
        <v>136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450"/>
        <v>14:46:46.094</v>
      </c>
      <c r="T3101" t="str">
        <f t="shared" si="1451"/>
        <v>14:46:45.794</v>
      </c>
      <c r="U3101" t="str">
        <f t="shared" si="1438"/>
        <v>A9808D</v>
      </c>
      <c r="V3101">
        <v>0</v>
      </c>
      <c r="W3101">
        <v>0</v>
      </c>
      <c r="X3101">
        <v>1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0</v>
      </c>
      <c r="AI3101" t="s">
        <v>749</v>
      </c>
      <c r="AJ3101">
        <v>28.246772</v>
      </c>
      <c r="AK3101" t="s">
        <v>751</v>
      </c>
      <c r="AL3101">
        <v>-82.284958000000003</v>
      </c>
      <c r="AM3101">
        <v>100</v>
      </c>
      <c r="AN3101">
        <v>2300</v>
      </c>
      <c r="AO3101" t="s">
        <v>118</v>
      </c>
      <c r="AP3101">
        <v>130</v>
      </c>
      <c r="AQ3101">
        <v>-6</v>
      </c>
      <c r="AR3101">
        <v>-640</v>
      </c>
      <c r="AZ3101">
        <v>1200</v>
      </c>
      <c r="BA3101">
        <v>1</v>
      </c>
      <c r="BB3101" t="str">
        <f t="shared" si="1448"/>
        <v xml:space="preserve">N711JA  </v>
      </c>
      <c r="BC3101">
        <v>1</v>
      </c>
      <c r="BE3101">
        <v>0</v>
      </c>
      <c r="BF3101">
        <v>0</v>
      </c>
      <c r="BG3101">
        <v>0</v>
      </c>
      <c r="BH3101">
        <v>2375</v>
      </c>
      <c r="BI3101">
        <v>1</v>
      </c>
      <c r="BJ3101">
        <v>1</v>
      </c>
      <c r="BK3101">
        <v>0</v>
      </c>
      <c r="BL3101">
        <v>0</v>
      </c>
      <c r="BO3101">
        <v>0</v>
      </c>
      <c r="BP3101">
        <v>0</v>
      </c>
      <c r="BW3101" t="str">
        <f t="shared" si="1452"/>
        <v>14:46:46.094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8</v>
      </c>
      <c r="CR3101">
        <v>3</v>
      </c>
      <c r="CW3101">
        <v>8993671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1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 t="shared" si="1449"/>
        <v>05/12/2020 14:46:28.261</v>
      </c>
      <c r="C3102" t="str">
        <f t="shared" si="1447"/>
        <v>FFDFD3C0</v>
      </c>
      <c r="D3102" t="s">
        <v>126</v>
      </c>
      <c r="E3102">
        <v>6</v>
      </c>
      <c r="F3102">
        <v>1006</v>
      </c>
      <c r="G3102" t="s">
        <v>114</v>
      </c>
      <c r="J3102" t="s">
        <v>128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450"/>
        <v>14:46:46.094</v>
      </c>
      <c r="T3102" t="str">
        <f t="shared" si="1451"/>
        <v>14:46:45.794</v>
      </c>
      <c r="U3102" t="str">
        <f t="shared" si="1438"/>
        <v>A9808D</v>
      </c>
      <c r="V3102">
        <v>0</v>
      </c>
      <c r="W3102">
        <v>0</v>
      </c>
      <c r="X3102">
        <v>1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0</v>
      </c>
      <c r="AI3102" t="s">
        <v>749</v>
      </c>
      <c r="AJ3102">
        <v>28.246772</v>
      </c>
      <c r="AK3102" t="s">
        <v>751</v>
      </c>
      <c r="AL3102">
        <v>-82.284958000000003</v>
      </c>
      <c r="AM3102">
        <v>100</v>
      </c>
      <c r="AN3102">
        <v>2300</v>
      </c>
      <c r="AO3102" t="s">
        <v>118</v>
      </c>
      <c r="AP3102">
        <v>130</v>
      </c>
      <c r="AQ3102">
        <v>-6</v>
      </c>
      <c r="AR3102">
        <v>-640</v>
      </c>
      <c r="AZ3102">
        <v>1200</v>
      </c>
      <c r="BA3102">
        <v>1</v>
      </c>
      <c r="BB3102" t="str">
        <f t="shared" si="1448"/>
        <v xml:space="preserve">N711JA  </v>
      </c>
      <c r="BC3102">
        <v>1</v>
      </c>
      <c r="BE3102">
        <v>0</v>
      </c>
      <c r="BF3102">
        <v>0</v>
      </c>
      <c r="BG3102">
        <v>0</v>
      </c>
      <c r="BH3102">
        <v>2375</v>
      </c>
      <c r="BI3102">
        <v>1</v>
      </c>
      <c r="BJ3102">
        <v>1</v>
      </c>
      <c r="BK3102">
        <v>0</v>
      </c>
      <c r="BL3102">
        <v>0</v>
      </c>
      <c r="BO3102">
        <v>0</v>
      </c>
      <c r="BP3102">
        <v>0</v>
      </c>
      <c r="BW3102" t="str">
        <f t="shared" si="1452"/>
        <v>14:46:46.094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8</v>
      </c>
      <c r="CR3102">
        <v>3</v>
      </c>
      <c r="CW3102">
        <v>8993671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1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 t="shared" si="1449"/>
        <v>05/12/2020 14:46:28.261</v>
      </c>
      <c r="C3103" t="str">
        <f t="shared" si="1447"/>
        <v>FFDFD3C0</v>
      </c>
      <c r="D3103" t="s">
        <v>113</v>
      </c>
      <c r="E3103">
        <v>3</v>
      </c>
      <c r="H3103">
        <v>164</v>
      </c>
      <c r="I3103" t="s">
        <v>114</v>
      </c>
      <c r="J3103" t="s">
        <v>115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si="1450"/>
        <v>14:46:46.094</v>
      </c>
      <c r="T3103" t="str">
        <f t="shared" si="1451"/>
        <v>14:46:45.794</v>
      </c>
      <c r="U3103" t="str">
        <f t="shared" si="1438"/>
        <v>A9808D</v>
      </c>
      <c r="V3103">
        <v>0</v>
      </c>
      <c r="W3103">
        <v>0</v>
      </c>
      <c r="X3103">
        <v>1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0</v>
      </c>
      <c r="AI3103" t="s">
        <v>749</v>
      </c>
      <c r="AJ3103">
        <v>28.246772</v>
      </c>
      <c r="AK3103" t="s">
        <v>751</v>
      </c>
      <c r="AL3103">
        <v>-82.284958000000003</v>
      </c>
      <c r="AM3103">
        <v>100</v>
      </c>
      <c r="AN3103">
        <v>2300</v>
      </c>
      <c r="AO3103" t="s">
        <v>118</v>
      </c>
      <c r="AP3103">
        <v>130</v>
      </c>
      <c r="AQ3103">
        <v>-6</v>
      </c>
      <c r="AR3103">
        <v>-640</v>
      </c>
      <c r="AZ3103">
        <v>1200</v>
      </c>
      <c r="BA3103">
        <v>1</v>
      </c>
      <c r="BB3103" t="str">
        <f t="shared" si="1448"/>
        <v xml:space="preserve">N711JA  </v>
      </c>
      <c r="BC3103">
        <v>1</v>
      </c>
      <c r="BE3103">
        <v>0</v>
      </c>
      <c r="BF3103">
        <v>0</v>
      </c>
      <c r="BG3103">
        <v>0</v>
      </c>
      <c r="BH3103">
        <v>2375</v>
      </c>
      <c r="BI3103">
        <v>1</v>
      </c>
      <c r="BJ3103">
        <v>1</v>
      </c>
      <c r="BK3103">
        <v>0</v>
      </c>
      <c r="BL3103">
        <v>0</v>
      </c>
      <c r="BO3103">
        <v>0</v>
      </c>
      <c r="BP3103">
        <v>0</v>
      </c>
      <c r="BW3103" t="str">
        <f t="shared" si="1452"/>
        <v>14:46:46.094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8</v>
      </c>
      <c r="CR3103">
        <v>3</v>
      </c>
      <c r="CW3103">
        <v>8993671</v>
      </c>
      <c r="CY3103">
        <v>1</v>
      </c>
      <c r="CZ3103">
        <v>0</v>
      </c>
      <c r="DA3103">
        <v>1</v>
      </c>
      <c r="DB3103">
        <v>0</v>
      </c>
      <c r="DC3103">
        <v>0</v>
      </c>
      <c r="DD3103">
        <v>1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 t="shared" ref="A3104:A3112" si="1453">"05/12/2020 14:46:29.196"</f>
        <v>05/12/2020 14:46:29.196</v>
      </c>
      <c r="C3104" t="str">
        <f t="shared" si="1447"/>
        <v>FFDFD3C0</v>
      </c>
      <c r="D3104" t="s">
        <v>126</v>
      </c>
      <c r="E3104">
        <v>6</v>
      </c>
      <c r="F3104">
        <v>1006</v>
      </c>
      <c r="G3104" t="s">
        <v>114</v>
      </c>
      <c r="J3104" t="s">
        <v>128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ref="S3104:S3112" si="1454">"14:46:47.016"</f>
        <v>14:46:47.016</v>
      </c>
      <c r="T3104" t="str">
        <f t="shared" ref="T3104:T3112" si="1455">"14:46:46.916"</f>
        <v>14:46:46.916</v>
      </c>
      <c r="U3104" t="str">
        <f t="shared" si="1438"/>
        <v>A9808D</v>
      </c>
      <c r="V3104">
        <v>0</v>
      </c>
      <c r="W3104">
        <v>0</v>
      </c>
      <c r="X3104">
        <v>1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0</v>
      </c>
      <c r="AI3104" t="s">
        <v>749</v>
      </c>
      <c r="AJ3104">
        <v>28.246772</v>
      </c>
      <c r="AK3104" t="s">
        <v>752</v>
      </c>
      <c r="AL3104">
        <v>-82.284315000000007</v>
      </c>
      <c r="AM3104">
        <v>100</v>
      </c>
      <c r="AN3104">
        <v>2300</v>
      </c>
      <c r="AO3104" t="s">
        <v>118</v>
      </c>
      <c r="AP3104">
        <v>131</v>
      </c>
      <c r="AQ3104">
        <v>-6</v>
      </c>
      <c r="AR3104">
        <v>-576</v>
      </c>
      <c r="AZ3104">
        <v>1200</v>
      </c>
      <c r="BA3104">
        <v>1</v>
      </c>
      <c r="BB3104" t="str">
        <f t="shared" si="1448"/>
        <v xml:space="preserve">N711JA  </v>
      </c>
      <c r="BC3104">
        <v>1</v>
      </c>
      <c r="BE3104">
        <v>0</v>
      </c>
      <c r="BF3104">
        <v>0</v>
      </c>
      <c r="BG3104">
        <v>0</v>
      </c>
      <c r="BH3104">
        <v>2375</v>
      </c>
      <c r="BI3104">
        <v>1</v>
      </c>
      <c r="BJ3104">
        <v>1</v>
      </c>
      <c r="BK3104">
        <v>0</v>
      </c>
      <c r="BL3104">
        <v>0</v>
      </c>
      <c r="BO3104">
        <v>0</v>
      </c>
      <c r="BP3104">
        <v>0</v>
      </c>
      <c r="BW3104" t="str">
        <f t="shared" ref="BW3104:BW3112" si="1456">"14:46:47.022"</f>
        <v>14:46:47.022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8</v>
      </c>
      <c r="CR3104">
        <v>3</v>
      </c>
      <c r="CW3104">
        <v>8994674</v>
      </c>
      <c r="CY3104">
        <v>1</v>
      </c>
      <c r="CZ3104">
        <v>0</v>
      </c>
      <c r="DA3104">
        <v>0</v>
      </c>
      <c r="DB3104">
        <v>0</v>
      </c>
      <c r="DC3104">
        <v>0</v>
      </c>
      <c r="DD3104">
        <v>1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 t="shared" si="1453"/>
        <v>05/12/2020 14:46:29.196</v>
      </c>
      <c r="C3105" t="str">
        <f t="shared" si="1447"/>
        <v>FFDFD3C0</v>
      </c>
      <c r="D3105" t="s">
        <v>131</v>
      </c>
      <c r="E3105">
        <v>10</v>
      </c>
      <c r="F3105">
        <v>2010</v>
      </c>
      <c r="G3105" t="s">
        <v>132</v>
      </c>
      <c r="J3105" t="s">
        <v>133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454"/>
        <v>14:46:47.016</v>
      </c>
      <c r="T3105" t="str">
        <f t="shared" si="1455"/>
        <v>14:46:46.916</v>
      </c>
      <c r="U3105" t="str">
        <f t="shared" si="1438"/>
        <v>A9808D</v>
      </c>
      <c r="V3105">
        <v>0</v>
      </c>
      <c r="W3105">
        <v>0</v>
      </c>
      <c r="X3105">
        <v>1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0</v>
      </c>
      <c r="AI3105" t="s">
        <v>749</v>
      </c>
      <c r="AJ3105">
        <v>28.246772</v>
      </c>
      <c r="AK3105" t="s">
        <v>752</v>
      </c>
      <c r="AL3105">
        <v>-82.284315000000007</v>
      </c>
      <c r="AM3105">
        <v>100</v>
      </c>
      <c r="AN3105">
        <v>2300</v>
      </c>
      <c r="AO3105" t="s">
        <v>118</v>
      </c>
      <c r="AP3105">
        <v>131</v>
      </c>
      <c r="AQ3105">
        <v>-6</v>
      </c>
      <c r="AR3105">
        <v>-576</v>
      </c>
      <c r="AZ3105">
        <v>1200</v>
      </c>
      <c r="BA3105">
        <v>1</v>
      </c>
      <c r="BB3105" t="str">
        <f t="shared" si="1448"/>
        <v xml:space="preserve">N711JA  </v>
      </c>
      <c r="BC3105">
        <v>1</v>
      </c>
      <c r="BE3105">
        <v>0</v>
      </c>
      <c r="BF3105">
        <v>0</v>
      </c>
      <c r="BG3105">
        <v>0</v>
      </c>
      <c r="BH3105">
        <v>2375</v>
      </c>
      <c r="BI3105">
        <v>1</v>
      </c>
      <c r="BJ3105">
        <v>1</v>
      </c>
      <c r="BK3105">
        <v>0</v>
      </c>
      <c r="BL3105">
        <v>0</v>
      </c>
      <c r="BO3105">
        <v>0</v>
      </c>
      <c r="BP3105">
        <v>0</v>
      </c>
      <c r="BW3105" t="str">
        <f t="shared" si="1456"/>
        <v>14:46:47.022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8</v>
      </c>
      <c r="CR3105">
        <v>3</v>
      </c>
      <c r="CW3105">
        <v>8994674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1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 t="shared" si="1453"/>
        <v>05/12/2020 14:46:29.196</v>
      </c>
      <c r="C3106" t="str">
        <f t="shared" si="1447"/>
        <v>FFDFD3C0</v>
      </c>
      <c r="D3106" t="s">
        <v>126</v>
      </c>
      <c r="E3106">
        <v>7</v>
      </c>
      <c r="F3106">
        <v>1007</v>
      </c>
      <c r="G3106" t="s">
        <v>127</v>
      </c>
      <c r="J3106" t="s">
        <v>128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454"/>
        <v>14:46:47.016</v>
      </c>
      <c r="T3106" t="str">
        <f t="shared" si="1455"/>
        <v>14:46:46.916</v>
      </c>
      <c r="U3106" t="str">
        <f t="shared" si="1438"/>
        <v>A9808D</v>
      </c>
      <c r="V3106">
        <v>0</v>
      </c>
      <c r="W3106">
        <v>0</v>
      </c>
      <c r="X3106">
        <v>1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0</v>
      </c>
      <c r="AI3106" t="s">
        <v>749</v>
      </c>
      <c r="AJ3106">
        <v>28.246772</v>
      </c>
      <c r="AK3106" t="s">
        <v>752</v>
      </c>
      <c r="AL3106">
        <v>-82.284315000000007</v>
      </c>
      <c r="AM3106">
        <v>100</v>
      </c>
      <c r="AN3106">
        <v>2300</v>
      </c>
      <c r="AO3106" t="s">
        <v>118</v>
      </c>
      <c r="AP3106">
        <v>131</v>
      </c>
      <c r="AQ3106">
        <v>-6</v>
      </c>
      <c r="AR3106">
        <v>-576</v>
      </c>
      <c r="AZ3106">
        <v>1200</v>
      </c>
      <c r="BA3106">
        <v>1</v>
      </c>
      <c r="BB3106" t="str">
        <f t="shared" si="1448"/>
        <v xml:space="preserve">N711JA  </v>
      </c>
      <c r="BC3106">
        <v>1</v>
      </c>
      <c r="BE3106">
        <v>0</v>
      </c>
      <c r="BF3106">
        <v>0</v>
      </c>
      <c r="BG3106">
        <v>0</v>
      </c>
      <c r="BH3106">
        <v>2375</v>
      </c>
      <c r="BI3106">
        <v>1</v>
      </c>
      <c r="BJ3106">
        <v>1</v>
      </c>
      <c r="BK3106">
        <v>0</v>
      </c>
      <c r="BL3106">
        <v>0</v>
      </c>
      <c r="BO3106">
        <v>0</v>
      </c>
      <c r="BP3106">
        <v>0</v>
      </c>
      <c r="BW3106" t="str">
        <f t="shared" si="1456"/>
        <v>14:46:47.022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7</v>
      </c>
      <c r="CP3106" t="s">
        <v>119</v>
      </c>
      <c r="CQ3106">
        <v>8</v>
      </c>
      <c r="CR3106">
        <v>3</v>
      </c>
      <c r="CW3106">
        <v>8994674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1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 t="shared" si="1453"/>
        <v>05/12/2020 14:46:29.196</v>
      </c>
      <c r="C3107" t="str">
        <f t="shared" si="1447"/>
        <v>FFDFD3C0</v>
      </c>
      <c r="D3107" t="s">
        <v>131</v>
      </c>
      <c r="E3107">
        <v>12</v>
      </c>
      <c r="F3107">
        <v>2012</v>
      </c>
      <c r="G3107" t="s">
        <v>137</v>
      </c>
      <c r="J3107" t="s">
        <v>133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454"/>
        <v>14:46:47.016</v>
      </c>
      <c r="T3107" t="str">
        <f t="shared" si="1455"/>
        <v>14:46:46.916</v>
      </c>
      <c r="U3107" t="str">
        <f t="shared" si="1438"/>
        <v>A9808D</v>
      </c>
      <c r="V3107">
        <v>0</v>
      </c>
      <c r="W3107">
        <v>0</v>
      </c>
      <c r="X3107">
        <v>1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0</v>
      </c>
      <c r="AI3107" t="s">
        <v>749</v>
      </c>
      <c r="AJ3107">
        <v>28.246772</v>
      </c>
      <c r="AK3107" t="s">
        <v>752</v>
      </c>
      <c r="AL3107">
        <v>-82.284315000000007</v>
      </c>
      <c r="AM3107">
        <v>100</v>
      </c>
      <c r="AN3107">
        <v>2300</v>
      </c>
      <c r="AO3107" t="s">
        <v>118</v>
      </c>
      <c r="AP3107">
        <v>131</v>
      </c>
      <c r="AQ3107">
        <v>-6</v>
      </c>
      <c r="AR3107">
        <v>-576</v>
      </c>
      <c r="AZ3107">
        <v>1200</v>
      </c>
      <c r="BA3107">
        <v>1</v>
      </c>
      <c r="BB3107" t="str">
        <f t="shared" si="1448"/>
        <v xml:space="preserve">N711JA  </v>
      </c>
      <c r="BC3107">
        <v>1</v>
      </c>
      <c r="BE3107">
        <v>0</v>
      </c>
      <c r="BF3107">
        <v>0</v>
      </c>
      <c r="BG3107">
        <v>0</v>
      </c>
      <c r="BH3107">
        <v>2375</v>
      </c>
      <c r="BI3107">
        <v>1</v>
      </c>
      <c r="BJ3107">
        <v>1</v>
      </c>
      <c r="BK3107">
        <v>0</v>
      </c>
      <c r="BL3107">
        <v>0</v>
      </c>
      <c r="BO3107">
        <v>0</v>
      </c>
      <c r="BP3107">
        <v>0</v>
      </c>
      <c r="BW3107" t="str">
        <f t="shared" si="1456"/>
        <v>14:46:47.022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7</v>
      </c>
      <c r="CP3107" t="s">
        <v>119</v>
      </c>
      <c r="CQ3107">
        <v>8</v>
      </c>
      <c r="CR3107">
        <v>3</v>
      </c>
      <c r="CW3107">
        <v>8994674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1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 t="shared" si="1453"/>
        <v>05/12/2020 14:46:29.196</v>
      </c>
      <c r="C3108" t="str">
        <f t="shared" si="1447"/>
        <v>FFDFD3C0</v>
      </c>
      <c r="D3108" t="s">
        <v>113</v>
      </c>
      <c r="E3108">
        <v>3</v>
      </c>
      <c r="H3108">
        <v>164</v>
      </c>
      <c r="I3108" t="s">
        <v>114</v>
      </c>
      <c r="J3108" t="s">
        <v>115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454"/>
        <v>14:46:47.016</v>
      </c>
      <c r="T3108" t="str">
        <f t="shared" si="1455"/>
        <v>14:46:46.916</v>
      </c>
      <c r="U3108" t="str">
        <f t="shared" si="1438"/>
        <v>A9808D</v>
      </c>
      <c r="V3108">
        <v>0</v>
      </c>
      <c r="W3108">
        <v>0</v>
      </c>
      <c r="X3108">
        <v>1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0</v>
      </c>
      <c r="AI3108" t="s">
        <v>749</v>
      </c>
      <c r="AJ3108">
        <v>28.246772</v>
      </c>
      <c r="AK3108" t="s">
        <v>752</v>
      </c>
      <c r="AL3108">
        <v>-82.284315000000007</v>
      </c>
      <c r="AM3108">
        <v>100</v>
      </c>
      <c r="AN3108">
        <v>2300</v>
      </c>
      <c r="AO3108" t="s">
        <v>118</v>
      </c>
      <c r="AP3108">
        <v>131</v>
      </c>
      <c r="AQ3108">
        <v>-6</v>
      </c>
      <c r="AR3108">
        <v>-576</v>
      </c>
      <c r="AZ3108">
        <v>1200</v>
      </c>
      <c r="BA3108">
        <v>1</v>
      </c>
      <c r="BB3108" t="str">
        <f t="shared" si="1448"/>
        <v xml:space="preserve">N711JA  </v>
      </c>
      <c r="BC3108">
        <v>1</v>
      </c>
      <c r="BE3108">
        <v>0</v>
      </c>
      <c r="BF3108">
        <v>0</v>
      </c>
      <c r="BG3108">
        <v>0</v>
      </c>
      <c r="BH3108">
        <v>2375</v>
      </c>
      <c r="BI3108">
        <v>1</v>
      </c>
      <c r="BJ3108">
        <v>1</v>
      </c>
      <c r="BK3108">
        <v>0</v>
      </c>
      <c r="BL3108">
        <v>0</v>
      </c>
      <c r="BO3108">
        <v>0</v>
      </c>
      <c r="BP3108">
        <v>0</v>
      </c>
      <c r="BW3108" t="str">
        <f t="shared" si="1456"/>
        <v>14:46:47.022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7</v>
      </c>
      <c r="CP3108" t="s">
        <v>119</v>
      </c>
      <c r="CQ3108">
        <v>8</v>
      </c>
      <c r="CR3108">
        <v>3</v>
      </c>
      <c r="CW3108">
        <v>8994674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1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 t="shared" si="1453"/>
        <v>05/12/2020 14:46:29.196</v>
      </c>
      <c r="C3109" t="str">
        <f t="shared" si="1447"/>
        <v>FFDFD3C0</v>
      </c>
      <c r="D3109" t="s">
        <v>131</v>
      </c>
      <c r="E3109">
        <v>18</v>
      </c>
      <c r="F3109">
        <v>2018</v>
      </c>
      <c r="G3109" t="s">
        <v>161</v>
      </c>
      <c r="J3109" t="s">
        <v>133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454"/>
        <v>14:46:47.016</v>
      </c>
      <c r="T3109" t="str">
        <f t="shared" si="1455"/>
        <v>14:46:46.916</v>
      </c>
      <c r="U3109" t="str">
        <f t="shared" si="1438"/>
        <v>A9808D</v>
      </c>
      <c r="V3109">
        <v>0</v>
      </c>
      <c r="W3109">
        <v>0</v>
      </c>
      <c r="X3109">
        <v>1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0</v>
      </c>
      <c r="AI3109" t="s">
        <v>749</v>
      </c>
      <c r="AJ3109">
        <v>28.246772</v>
      </c>
      <c r="AK3109" t="s">
        <v>752</v>
      </c>
      <c r="AL3109">
        <v>-82.284315000000007</v>
      </c>
      <c r="AM3109">
        <v>100</v>
      </c>
      <c r="AN3109">
        <v>2300</v>
      </c>
      <c r="AO3109" t="s">
        <v>118</v>
      </c>
      <c r="AP3109">
        <v>131</v>
      </c>
      <c r="AQ3109">
        <v>-6</v>
      </c>
      <c r="AR3109">
        <v>-576</v>
      </c>
      <c r="AZ3109">
        <v>1200</v>
      </c>
      <c r="BA3109">
        <v>1</v>
      </c>
      <c r="BB3109" t="str">
        <f t="shared" si="1448"/>
        <v xml:space="preserve">N711JA  </v>
      </c>
      <c r="BC3109">
        <v>1</v>
      </c>
      <c r="BE3109">
        <v>0</v>
      </c>
      <c r="BF3109">
        <v>0</v>
      </c>
      <c r="BG3109">
        <v>0</v>
      </c>
      <c r="BH3109">
        <v>2375</v>
      </c>
      <c r="BI3109">
        <v>1</v>
      </c>
      <c r="BJ3109">
        <v>1</v>
      </c>
      <c r="BK3109">
        <v>0</v>
      </c>
      <c r="BL3109">
        <v>0</v>
      </c>
      <c r="BO3109">
        <v>0</v>
      </c>
      <c r="BP3109">
        <v>0</v>
      </c>
      <c r="BW3109" t="str">
        <f t="shared" si="1456"/>
        <v>14:46:47.022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6</v>
      </c>
      <c r="CP3109" t="s">
        <v>119</v>
      </c>
      <c r="CQ3109">
        <v>56</v>
      </c>
      <c r="CR3109">
        <v>2</v>
      </c>
      <c r="CW3109">
        <v>4960398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1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 t="shared" si="1453"/>
        <v>05/12/2020 14:46:29.196</v>
      </c>
      <c r="C3110" t="str">
        <f t="shared" si="1447"/>
        <v>FFDFD3C0</v>
      </c>
      <c r="D3110" t="s">
        <v>138</v>
      </c>
      <c r="E3110">
        <v>2</v>
      </c>
      <c r="H3110">
        <v>8</v>
      </c>
      <c r="I3110" t="s">
        <v>139</v>
      </c>
      <c r="J3110" t="s">
        <v>136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si="1454"/>
        <v>14:46:47.016</v>
      </c>
      <c r="T3110" t="str">
        <f t="shared" si="1455"/>
        <v>14:46:46.916</v>
      </c>
      <c r="U3110" t="str">
        <f t="shared" si="1438"/>
        <v>A9808D</v>
      </c>
      <c r="V3110">
        <v>0</v>
      </c>
      <c r="W3110">
        <v>0</v>
      </c>
      <c r="X3110">
        <v>1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0</v>
      </c>
      <c r="AI3110" t="s">
        <v>749</v>
      </c>
      <c r="AJ3110">
        <v>28.246772</v>
      </c>
      <c r="AK3110" t="s">
        <v>752</v>
      </c>
      <c r="AL3110">
        <v>-82.284315000000007</v>
      </c>
      <c r="AM3110">
        <v>100</v>
      </c>
      <c r="AN3110">
        <v>2300</v>
      </c>
      <c r="AO3110" t="s">
        <v>118</v>
      </c>
      <c r="AP3110">
        <v>131</v>
      </c>
      <c r="AQ3110">
        <v>-6</v>
      </c>
      <c r="AR3110">
        <v>-576</v>
      </c>
      <c r="AZ3110">
        <v>1200</v>
      </c>
      <c r="BA3110">
        <v>1</v>
      </c>
      <c r="BB3110" t="str">
        <f t="shared" si="1448"/>
        <v xml:space="preserve">N711JA  </v>
      </c>
      <c r="BC3110">
        <v>1</v>
      </c>
      <c r="BE3110">
        <v>0</v>
      </c>
      <c r="BF3110">
        <v>0</v>
      </c>
      <c r="BG3110">
        <v>0</v>
      </c>
      <c r="BH3110">
        <v>2375</v>
      </c>
      <c r="BI3110">
        <v>1</v>
      </c>
      <c r="BJ3110">
        <v>1</v>
      </c>
      <c r="BK3110">
        <v>0</v>
      </c>
      <c r="BL3110">
        <v>0</v>
      </c>
      <c r="BO3110">
        <v>0</v>
      </c>
      <c r="BP3110">
        <v>0</v>
      </c>
      <c r="BW3110" t="str">
        <f t="shared" si="1456"/>
        <v>14:46:47.022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8</v>
      </c>
      <c r="CR3110">
        <v>3</v>
      </c>
      <c r="CW3110">
        <v>8994674</v>
      </c>
      <c r="CY3110">
        <v>1</v>
      </c>
      <c r="CZ3110">
        <v>0</v>
      </c>
      <c r="DA3110">
        <v>1</v>
      </c>
      <c r="DB3110">
        <v>0</v>
      </c>
      <c r="DC3110">
        <v>0</v>
      </c>
      <c r="DD3110">
        <v>1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 t="shared" si="1453"/>
        <v>05/12/2020 14:46:29.196</v>
      </c>
      <c r="C3111" t="str">
        <f t="shared" si="1447"/>
        <v>FFDFD3C0</v>
      </c>
      <c r="D3111" t="s">
        <v>134</v>
      </c>
      <c r="E3111">
        <v>12</v>
      </c>
      <c r="H3111">
        <v>64</v>
      </c>
      <c r="I3111" t="s">
        <v>135</v>
      </c>
      <c r="J3111" t="s">
        <v>136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454"/>
        <v>14:46:47.016</v>
      </c>
      <c r="T3111" t="str">
        <f t="shared" si="1455"/>
        <v>14:46:46.916</v>
      </c>
      <c r="U3111" t="str">
        <f t="shared" si="1438"/>
        <v>A9808D</v>
      </c>
      <c r="V3111">
        <v>0</v>
      </c>
      <c r="W3111">
        <v>0</v>
      </c>
      <c r="X3111">
        <v>1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0</v>
      </c>
      <c r="AI3111" t="s">
        <v>749</v>
      </c>
      <c r="AJ3111">
        <v>28.246772</v>
      </c>
      <c r="AK3111" t="s">
        <v>752</v>
      </c>
      <c r="AL3111">
        <v>-82.284315000000007</v>
      </c>
      <c r="AM3111">
        <v>100</v>
      </c>
      <c r="AN3111">
        <v>2300</v>
      </c>
      <c r="AO3111" t="s">
        <v>118</v>
      </c>
      <c r="AP3111">
        <v>131</v>
      </c>
      <c r="AQ3111">
        <v>-6</v>
      </c>
      <c r="AR3111">
        <v>-576</v>
      </c>
      <c r="AZ3111">
        <v>1200</v>
      </c>
      <c r="BA3111">
        <v>1</v>
      </c>
      <c r="BB3111" t="str">
        <f t="shared" si="1448"/>
        <v xml:space="preserve">N711JA  </v>
      </c>
      <c r="BC3111">
        <v>1</v>
      </c>
      <c r="BE3111">
        <v>0</v>
      </c>
      <c r="BF3111">
        <v>0</v>
      </c>
      <c r="BG3111">
        <v>0</v>
      </c>
      <c r="BH3111">
        <v>2375</v>
      </c>
      <c r="BI3111">
        <v>1</v>
      </c>
      <c r="BJ3111">
        <v>1</v>
      </c>
      <c r="BK3111">
        <v>0</v>
      </c>
      <c r="BL3111">
        <v>0</v>
      </c>
      <c r="BO3111">
        <v>0</v>
      </c>
      <c r="BP3111">
        <v>0</v>
      </c>
      <c r="BW3111" t="str">
        <f t="shared" si="1456"/>
        <v>14:46:47.022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8</v>
      </c>
      <c r="CR3111">
        <v>3</v>
      </c>
      <c r="CW3111">
        <v>8994674</v>
      </c>
      <c r="CY3111">
        <v>1</v>
      </c>
      <c r="CZ3111">
        <v>0</v>
      </c>
      <c r="DA3111">
        <v>1</v>
      </c>
      <c r="DB3111">
        <v>0</v>
      </c>
      <c r="DC3111">
        <v>0</v>
      </c>
      <c r="DD3111">
        <v>1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 t="shared" si="1453"/>
        <v>05/12/2020 14:46:29.196</v>
      </c>
      <c r="C3112" t="str">
        <f t="shared" si="1447"/>
        <v>FFDFD3C0</v>
      </c>
      <c r="D3112" t="s">
        <v>138</v>
      </c>
      <c r="E3112">
        <v>3</v>
      </c>
      <c r="H3112">
        <v>9</v>
      </c>
      <c r="I3112" t="s">
        <v>140</v>
      </c>
      <c r="J3112" t="s">
        <v>136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454"/>
        <v>14:46:47.016</v>
      </c>
      <c r="T3112" t="str">
        <f t="shared" si="1455"/>
        <v>14:46:46.916</v>
      </c>
      <c r="U3112" t="str">
        <f t="shared" si="1438"/>
        <v>A9808D</v>
      </c>
      <c r="V3112">
        <v>0</v>
      </c>
      <c r="W3112">
        <v>0</v>
      </c>
      <c r="X3112">
        <v>1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0</v>
      </c>
      <c r="AI3112" t="s">
        <v>749</v>
      </c>
      <c r="AJ3112">
        <v>28.246772</v>
      </c>
      <c r="AK3112" t="s">
        <v>752</v>
      </c>
      <c r="AL3112">
        <v>-82.284315000000007</v>
      </c>
      <c r="AM3112">
        <v>100</v>
      </c>
      <c r="AN3112">
        <v>2300</v>
      </c>
      <c r="AO3112" t="s">
        <v>118</v>
      </c>
      <c r="AP3112">
        <v>131</v>
      </c>
      <c r="AQ3112">
        <v>-6</v>
      </c>
      <c r="AR3112">
        <v>-576</v>
      </c>
      <c r="AZ3112">
        <v>1200</v>
      </c>
      <c r="BA3112">
        <v>1</v>
      </c>
      <c r="BB3112" t="str">
        <f t="shared" si="1448"/>
        <v xml:space="preserve">N711JA  </v>
      </c>
      <c r="BC3112">
        <v>1</v>
      </c>
      <c r="BE3112">
        <v>0</v>
      </c>
      <c r="BF3112">
        <v>0</v>
      </c>
      <c r="BG3112">
        <v>0</v>
      </c>
      <c r="BH3112">
        <v>2375</v>
      </c>
      <c r="BI3112">
        <v>1</v>
      </c>
      <c r="BJ3112">
        <v>1</v>
      </c>
      <c r="BK3112">
        <v>0</v>
      </c>
      <c r="BL3112">
        <v>0</v>
      </c>
      <c r="BO3112">
        <v>0</v>
      </c>
      <c r="BP3112">
        <v>0</v>
      </c>
      <c r="BW3112" t="str">
        <f t="shared" si="1456"/>
        <v>14:46:47.022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8</v>
      </c>
      <c r="CR3112">
        <v>3</v>
      </c>
      <c r="CW3112">
        <v>8994674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1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 t="shared" ref="A3113:A3121" si="1457">"05/12/2020 14:46:30.225"</f>
        <v>05/12/2020 14:46:30.225</v>
      </c>
      <c r="C3113" t="str">
        <f t="shared" si="1447"/>
        <v>FFDFD3C0</v>
      </c>
      <c r="D3113" t="s">
        <v>126</v>
      </c>
      <c r="E3113">
        <v>7</v>
      </c>
      <c r="F3113">
        <v>1007</v>
      </c>
      <c r="G3113" t="s">
        <v>127</v>
      </c>
      <c r="J3113" t="s">
        <v>128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ref="S3113:S3121" si="1458">"14:46:48.047"</f>
        <v>14:46:48.047</v>
      </c>
      <c r="T3113" t="str">
        <f t="shared" ref="T3113:T3121" si="1459">"14:46:47.947"</f>
        <v>14:46:47.947</v>
      </c>
      <c r="U3113" t="str">
        <f t="shared" si="1438"/>
        <v>A9808D</v>
      </c>
      <c r="V3113">
        <v>0</v>
      </c>
      <c r="W3113">
        <v>0</v>
      </c>
      <c r="X3113">
        <v>1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0</v>
      </c>
      <c r="AI3113" t="s">
        <v>753</v>
      </c>
      <c r="AJ3113">
        <v>28.246728999999998</v>
      </c>
      <c r="AK3113" t="s">
        <v>754</v>
      </c>
      <c r="AL3113">
        <v>-82.283627999999993</v>
      </c>
      <c r="AM3113">
        <v>100</v>
      </c>
      <c r="AN3113">
        <v>2300</v>
      </c>
      <c r="AO3113" t="s">
        <v>118</v>
      </c>
      <c r="AP3113">
        <v>132</v>
      </c>
      <c r="AQ3113">
        <v>-5</v>
      </c>
      <c r="AR3113">
        <v>-576</v>
      </c>
      <c r="AZ3113">
        <v>1200</v>
      </c>
      <c r="BA3113">
        <v>1</v>
      </c>
      <c r="BB3113" t="str">
        <f t="shared" si="1448"/>
        <v xml:space="preserve">N711JA  </v>
      </c>
      <c r="BC3113">
        <v>1</v>
      </c>
      <c r="BE3113">
        <v>0</v>
      </c>
      <c r="BF3113">
        <v>0</v>
      </c>
      <c r="BG3113">
        <v>0</v>
      </c>
      <c r="BH3113">
        <v>2375</v>
      </c>
      <c r="BI3113">
        <v>1</v>
      </c>
      <c r="BJ3113">
        <v>1</v>
      </c>
      <c r="BK3113">
        <v>0</v>
      </c>
      <c r="BL3113">
        <v>0</v>
      </c>
      <c r="BO3113">
        <v>0</v>
      </c>
      <c r="BP3113">
        <v>0</v>
      </c>
      <c r="BW3113" t="str">
        <f>"14:46:48.049"</f>
        <v>14:46:48.049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8</v>
      </c>
      <c r="CR3113">
        <v>3</v>
      </c>
      <c r="CW3113">
        <v>8995765</v>
      </c>
      <c r="CY3113">
        <v>1</v>
      </c>
      <c r="CZ3113">
        <v>0</v>
      </c>
      <c r="DA3113">
        <v>0</v>
      </c>
      <c r="DB3113">
        <v>0</v>
      </c>
      <c r="DC3113">
        <v>0</v>
      </c>
      <c r="DD3113">
        <v>1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 t="shared" si="1457"/>
        <v>05/12/2020 14:46:30.225</v>
      </c>
      <c r="C3114" t="str">
        <f t="shared" si="1447"/>
        <v>FFDFD3C0</v>
      </c>
      <c r="D3114" t="s">
        <v>131</v>
      </c>
      <c r="E3114">
        <v>10</v>
      </c>
      <c r="F3114">
        <v>2010</v>
      </c>
      <c r="G3114" t="s">
        <v>132</v>
      </c>
      <c r="J3114" t="s">
        <v>133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458"/>
        <v>14:46:48.047</v>
      </c>
      <c r="T3114" t="str">
        <f t="shared" si="1459"/>
        <v>14:46:47.947</v>
      </c>
      <c r="U3114" t="str">
        <f t="shared" si="1438"/>
        <v>A9808D</v>
      </c>
      <c r="V3114">
        <v>0</v>
      </c>
      <c r="W3114">
        <v>0</v>
      </c>
      <c r="X3114">
        <v>1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0</v>
      </c>
      <c r="AI3114" t="s">
        <v>753</v>
      </c>
      <c r="AJ3114">
        <v>28.246728999999998</v>
      </c>
      <c r="AK3114" t="s">
        <v>754</v>
      </c>
      <c r="AL3114">
        <v>-82.283627999999993</v>
      </c>
      <c r="AM3114">
        <v>100</v>
      </c>
      <c r="AN3114">
        <v>2300</v>
      </c>
      <c r="AO3114" t="s">
        <v>118</v>
      </c>
      <c r="AP3114">
        <v>132</v>
      </c>
      <c r="AQ3114">
        <v>-5</v>
      </c>
      <c r="AR3114">
        <v>-576</v>
      </c>
      <c r="AZ3114">
        <v>1200</v>
      </c>
      <c r="BA3114">
        <v>1</v>
      </c>
      <c r="BB3114" t="str">
        <f t="shared" si="1448"/>
        <v xml:space="preserve">N711JA  </v>
      </c>
      <c r="BC3114">
        <v>1</v>
      </c>
      <c r="BE3114">
        <v>0</v>
      </c>
      <c r="BF3114">
        <v>0</v>
      </c>
      <c r="BG3114">
        <v>0</v>
      </c>
      <c r="BH3114">
        <v>2375</v>
      </c>
      <c r="BI3114">
        <v>1</v>
      </c>
      <c r="BJ3114">
        <v>1</v>
      </c>
      <c r="BK3114">
        <v>0</v>
      </c>
      <c r="BL3114">
        <v>0</v>
      </c>
      <c r="BO3114">
        <v>0</v>
      </c>
      <c r="BP3114">
        <v>0</v>
      </c>
      <c r="BW3114" t="str">
        <f>"14:46:48.049"</f>
        <v>14:46:48.049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8</v>
      </c>
      <c r="CR3114">
        <v>3</v>
      </c>
      <c r="CW3114">
        <v>8995765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1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 t="shared" si="1457"/>
        <v>05/12/2020 14:46:30.225</v>
      </c>
      <c r="C3115" t="str">
        <f t="shared" si="1447"/>
        <v>FFDFD3C0</v>
      </c>
      <c r="D3115" t="s">
        <v>131</v>
      </c>
      <c r="E3115">
        <v>12</v>
      </c>
      <c r="F3115">
        <v>2012</v>
      </c>
      <c r="G3115" t="s">
        <v>137</v>
      </c>
      <c r="J3115" t="s">
        <v>133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458"/>
        <v>14:46:48.047</v>
      </c>
      <c r="T3115" t="str">
        <f t="shared" si="1459"/>
        <v>14:46:47.947</v>
      </c>
      <c r="U3115" t="str">
        <f t="shared" si="1438"/>
        <v>A9808D</v>
      </c>
      <c r="V3115">
        <v>0</v>
      </c>
      <c r="W3115">
        <v>0</v>
      </c>
      <c r="X3115">
        <v>1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0</v>
      </c>
      <c r="AI3115" t="s">
        <v>753</v>
      </c>
      <c r="AJ3115">
        <v>28.246728999999998</v>
      </c>
      <c r="AK3115" t="s">
        <v>754</v>
      </c>
      <c r="AL3115">
        <v>-82.283627999999993</v>
      </c>
      <c r="AM3115">
        <v>100</v>
      </c>
      <c r="AN3115">
        <v>2300</v>
      </c>
      <c r="AO3115" t="s">
        <v>118</v>
      </c>
      <c r="AP3115">
        <v>132</v>
      </c>
      <c r="AQ3115">
        <v>-5</v>
      </c>
      <c r="AR3115">
        <v>-576</v>
      </c>
      <c r="AZ3115">
        <v>1200</v>
      </c>
      <c r="BA3115">
        <v>1</v>
      </c>
      <c r="BB3115" t="str">
        <f t="shared" si="1448"/>
        <v xml:space="preserve">N711JA  </v>
      </c>
      <c r="BC3115">
        <v>1</v>
      </c>
      <c r="BE3115">
        <v>0</v>
      </c>
      <c r="BF3115">
        <v>0</v>
      </c>
      <c r="BG3115">
        <v>0</v>
      </c>
      <c r="BH3115">
        <v>2375</v>
      </c>
      <c r="BI3115">
        <v>1</v>
      </c>
      <c r="BJ3115">
        <v>1</v>
      </c>
      <c r="BK3115">
        <v>0</v>
      </c>
      <c r="BL3115">
        <v>0</v>
      </c>
      <c r="BO3115">
        <v>0</v>
      </c>
      <c r="BP3115">
        <v>0</v>
      </c>
      <c r="BW3115" t="str">
        <f>"14:46:48.049"</f>
        <v>14:46:48.049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8</v>
      </c>
      <c r="CR3115">
        <v>3</v>
      </c>
      <c r="CW3115">
        <v>8995765</v>
      </c>
      <c r="CY3115">
        <v>1</v>
      </c>
      <c r="CZ3115">
        <v>0</v>
      </c>
      <c r="DA3115">
        <v>1</v>
      </c>
      <c r="DB3115">
        <v>0</v>
      </c>
      <c r="DC3115">
        <v>0</v>
      </c>
      <c r="DD3115">
        <v>1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 t="shared" si="1457"/>
        <v>05/12/2020 14:46:30.225</v>
      </c>
      <c r="C3116" t="str">
        <f t="shared" si="1447"/>
        <v>FFDFD3C0</v>
      </c>
      <c r="D3116" t="s">
        <v>131</v>
      </c>
      <c r="E3116">
        <v>18</v>
      </c>
      <c r="F3116">
        <v>2018</v>
      </c>
      <c r="G3116" t="s">
        <v>161</v>
      </c>
      <c r="J3116" t="s">
        <v>133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458"/>
        <v>14:46:48.047</v>
      </c>
      <c r="T3116" t="str">
        <f t="shared" si="1459"/>
        <v>14:46:47.947</v>
      </c>
      <c r="U3116" t="str">
        <f t="shared" si="1438"/>
        <v>A9808D</v>
      </c>
      <c r="V3116">
        <v>0</v>
      </c>
      <c r="W3116">
        <v>0</v>
      </c>
      <c r="X3116">
        <v>1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0</v>
      </c>
      <c r="AI3116" t="s">
        <v>753</v>
      </c>
      <c r="AJ3116">
        <v>28.246728999999998</v>
      </c>
      <c r="AK3116" t="s">
        <v>754</v>
      </c>
      <c r="AL3116">
        <v>-82.283627999999993</v>
      </c>
      <c r="AM3116">
        <v>100</v>
      </c>
      <c r="AN3116">
        <v>2300</v>
      </c>
      <c r="AO3116" t="s">
        <v>118</v>
      </c>
      <c r="AP3116">
        <v>132</v>
      </c>
      <c r="AQ3116">
        <v>-5</v>
      </c>
      <c r="AR3116">
        <v>-576</v>
      </c>
      <c r="AZ3116">
        <v>1200</v>
      </c>
      <c r="BA3116">
        <v>1</v>
      </c>
      <c r="BB3116" t="str">
        <f t="shared" si="1448"/>
        <v xml:space="preserve">N711JA  </v>
      </c>
      <c r="BC3116">
        <v>1</v>
      </c>
      <c r="BE3116">
        <v>0</v>
      </c>
      <c r="BF3116">
        <v>0</v>
      </c>
      <c r="BG3116">
        <v>0</v>
      </c>
      <c r="BH3116">
        <v>2375</v>
      </c>
      <c r="BI3116">
        <v>1</v>
      </c>
      <c r="BJ3116">
        <v>1</v>
      </c>
      <c r="BK3116">
        <v>0</v>
      </c>
      <c r="BL3116">
        <v>0</v>
      </c>
      <c r="BO3116">
        <v>0</v>
      </c>
      <c r="BP3116">
        <v>0</v>
      </c>
      <c r="BW3116" t="str">
        <f>"14:46:48.050"</f>
        <v>14:46:48.050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6</v>
      </c>
      <c r="CP3116" t="s">
        <v>119</v>
      </c>
      <c r="CQ3116">
        <v>56</v>
      </c>
      <c r="CR3116">
        <v>2</v>
      </c>
      <c r="CW3116">
        <v>4961728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1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 t="shared" si="1457"/>
        <v>05/12/2020 14:46:30.225</v>
      </c>
      <c r="C3117" t="str">
        <f t="shared" si="1447"/>
        <v>FFDFD3C0</v>
      </c>
      <c r="D3117" t="s">
        <v>113</v>
      </c>
      <c r="E3117">
        <v>3</v>
      </c>
      <c r="H3117">
        <v>164</v>
      </c>
      <c r="I3117" t="s">
        <v>114</v>
      </c>
      <c r="J3117" t="s">
        <v>115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si="1458"/>
        <v>14:46:48.047</v>
      </c>
      <c r="T3117" t="str">
        <f t="shared" si="1459"/>
        <v>14:46:47.947</v>
      </c>
      <c r="U3117" t="str">
        <f t="shared" si="1438"/>
        <v>A9808D</v>
      </c>
      <c r="V3117">
        <v>0</v>
      </c>
      <c r="W3117">
        <v>0</v>
      </c>
      <c r="X3117">
        <v>1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0</v>
      </c>
      <c r="AI3117" t="s">
        <v>753</v>
      </c>
      <c r="AJ3117">
        <v>28.246728999999998</v>
      </c>
      <c r="AK3117" t="s">
        <v>754</v>
      </c>
      <c r="AL3117">
        <v>-82.283627999999993</v>
      </c>
      <c r="AM3117">
        <v>100</v>
      </c>
      <c r="AN3117">
        <v>2300</v>
      </c>
      <c r="AO3117" t="s">
        <v>118</v>
      </c>
      <c r="AP3117">
        <v>132</v>
      </c>
      <c r="AQ3117">
        <v>-5</v>
      </c>
      <c r="AR3117">
        <v>-576</v>
      </c>
      <c r="AZ3117">
        <v>1200</v>
      </c>
      <c r="BA3117">
        <v>1</v>
      </c>
      <c r="BB3117" t="str">
        <f t="shared" si="1448"/>
        <v xml:space="preserve">N711JA  </v>
      </c>
      <c r="BC3117">
        <v>1</v>
      </c>
      <c r="BE3117">
        <v>0</v>
      </c>
      <c r="BF3117">
        <v>0</v>
      </c>
      <c r="BG3117">
        <v>0</v>
      </c>
      <c r="BH3117">
        <v>2375</v>
      </c>
      <c r="BI3117">
        <v>1</v>
      </c>
      <c r="BJ3117">
        <v>1</v>
      </c>
      <c r="BK3117">
        <v>0</v>
      </c>
      <c r="BL3117">
        <v>0</v>
      </c>
      <c r="BO3117">
        <v>0</v>
      </c>
      <c r="BP3117">
        <v>0</v>
      </c>
      <c r="BW3117" t="str">
        <f>"14:46:48.049"</f>
        <v>14:46:48.049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8</v>
      </c>
      <c r="CR3117">
        <v>3</v>
      </c>
      <c r="CW3117">
        <v>8995765</v>
      </c>
      <c r="CY3117">
        <v>1</v>
      </c>
      <c r="CZ3117">
        <v>0</v>
      </c>
      <c r="DA3117">
        <v>1</v>
      </c>
      <c r="DB3117">
        <v>0</v>
      </c>
      <c r="DC3117">
        <v>0</v>
      </c>
      <c r="DD3117">
        <v>1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 t="shared" si="1457"/>
        <v>05/12/2020 14:46:30.225</v>
      </c>
      <c r="C3118" t="str">
        <f t="shared" si="1447"/>
        <v>FFDFD3C0</v>
      </c>
      <c r="D3118" t="s">
        <v>138</v>
      </c>
      <c r="E3118">
        <v>2</v>
      </c>
      <c r="H3118">
        <v>8</v>
      </c>
      <c r="I3118" t="s">
        <v>139</v>
      </c>
      <c r="J3118" t="s">
        <v>136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458"/>
        <v>14:46:48.047</v>
      </c>
      <c r="T3118" t="str">
        <f t="shared" si="1459"/>
        <v>14:46:47.947</v>
      </c>
      <c r="U3118" t="str">
        <f t="shared" si="1438"/>
        <v>A9808D</v>
      </c>
      <c r="V3118">
        <v>0</v>
      </c>
      <c r="W3118">
        <v>0</v>
      </c>
      <c r="X3118">
        <v>1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0</v>
      </c>
      <c r="AI3118" t="s">
        <v>753</v>
      </c>
      <c r="AJ3118">
        <v>28.246728999999998</v>
      </c>
      <c r="AK3118" t="s">
        <v>754</v>
      </c>
      <c r="AL3118">
        <v>-82.283627999999993</v>
      </c>
      <c r="AM3118">
        <v>100</v>
      </c>
      <c r="AN3118">
        <v>2300</v>
      </c>
      <c r="AO3118" t="s">
        <v>118</v>
      </c>
      <c r="AP3118">
        <v>132</v>
      </c>
      <c r="AQ3118">
        <v>-5</v>
      </c>
      <c r="AR3118">
        <v>-576</v>
      </c>
      <c r="AZ3118">
        <v>1200</v>
      </c>
      <c r="BA3118">
        <v>1</v>
      </c>
      <c r="BB3118" t="str">
        <f t="shared" si="1448"/>
        <v xml:space="preserve">N711JA  </v>
      </c>
      <c r="BC3118">
        <v>1</v>
      </c>
      <c r="BE3118">
        <v>0</v>
      </c>
      <c r="BF3118">
        <v>0</v>
      </c>
      <c r="BG3118">
        <v>0</v>
      </c>
      <c r="BH3118">
        <v>2375</v>
      </c>
      <c r="BI3118">
        <v>1</v>
      </c>
      <c r="BJ3118">
        <v>1</v>
      </c>
      <c r="BK3118">
        <v>0</v>
      </c>
      <c r="BL3118">
        <v>0</v>
      </c>
      <c r="BO3118">
        <v>0</v>
      </c>
      <c r="BP3118">
        <v>0</v>
      </c>
      <c r="BW3118" t="str">
        <f>"14:46:48.049"</f>
        <v>14:46:48.049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8</v>
      </c>
      <c r="CR3118">
        <v>3</v>
      </c>
      <c r="CW3118">
        <v>8995765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1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 t="shared" si="1457"/>
        <v>05/12/2020 14:46:30.225</v>
      </c>
      <c r="C3119" t="str">
        <f t="shared" si="1447"/>
        <v>FFDFD3C0</v>
      </c>
      <c r="D3119" t="s">
        <v>134</v>
      </c>
      <c r="E3119">
        <v>12</v>
      </c>
      <c r="H3119">
        <v>64</v>
      </c>
      <c r="I3119" t="s">
        <v>135</v>
      </c>
      <c r="J3119" t="s">
        <v>136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458"/>
        <v>14:46:48.047</v>
      </c>
      <c r="T3119" t="str">
        <f t="shared" si="1459"/>
        <v>14:46:47.947</v>
      </c>
      <c r="U3119" t="str">
        <f t="shared" si="1438"/>
        <v>A9808D</v>
      </c>
      <c r="V3119">
        <v>0</v>
      </c>
      <c r="W3119">
        <v>0</v>
      </c>
      <c r="X3119">
        <v>1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0</v>
      </c>
      <c r="AI3119" t="s">
        <v>753</v>
      </c>
      <c r="AJ3119">
        <v>28.246728999999998</v>
      </c>
      <c r="AK3119" t="s">
        <v>754</v>
      </c>
      <c r="AL3119">
        <v>-82.283627999999993</v>
      </c>
      <c r="AM3119">
        <v>100</v>
      </c>
      <c r="AN3119">
        <v>2300</v>
      </c>
      <c r="AO3119" t="s">
        <v>118</v>
      </c>
      <c r="AP3119">
        <v>132</v>
      </c>
      <c r="AQ3119">
        <v>-5</v>
      </c>
      <c r="AR3119">
        <v>-576</v>
      </c>
      <c r="AZ3119">
        <v>1200</v>
      </c>
      <c r="BA3119">
        <v>1</v>
      </c>
      <c r="BB3119" t="str">
        <f t="shared" si="1448"/>
        <v xml:space="preserve">N711JA  </v>
      </c>
      <c r="BC3119">
        <v>1</v>
      </c>
      <c r="BE3119">
        <v>0</v>
      </c>
      <c r="BF3119">
        <v>0</v>
      </c>
      <c r="BG3119">
        <v>0</v>
      </c>
      <c r="BH3119">
        <v>2375</v>
      </c>
      <c r="BI3119">
        <v>1</v>
      </c>
      <c r="BJ3119">
        <v>1</v>
      </c>
      <c r="BK3119">
        <v>0</v>
      </c>
      <c r="BL3119">
        <v>0</v>
      </c>
      <c r="BO3119">
        <v>0</v>
      </c>
      <c r="BP3119">
        <v>0</v>
      </c>
      <c r="BW3119" t="str">
        <f>"14:46:48.049"</f>
        <v>14:46:48.049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8</v>
      </c>
      <c r="CR3119">
        <v>3</v>
      </c>
      <c r="CW3119">
        <v>8995765</v>
      </c>
      <c r="CY3119">
        <v>1</v>
      </c>
      <c r="CZ3119">
        <v>0</v>
      </c>
      <c r="DA3119">
        <v>1</v>
      </c>
      <c r="DB3119">
        <v>0</v>
      </c>
      <c r="DC3119">
        <v>0</v>
      </c>
      <c r="DD3119">
        <v>1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 t="shared" si="1457"/>
        <v>05/12/2020 14:46:30.225</v>
      </c>
      <c r="C3120" t="str">
        <f t="shared" si="1447"/>
        <v>FFDFD3C0</v>
      </c>
      <c r="D3120" t="s">
        <v>138</v>
      </c>
      <c r="E3120">
        <v>3</v>
      </c>
      <c r="H3120">
        <v>9</v>
      </c>
      <c r="I3120" t="s">
        <v>140</v>
      </c>
      <c r="J3120" t="s">
        <v>136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458"/>
        <v>14:46:48.047</v>
      </c>
      <c r="T3120" t="str">
        <f t="shared" si="1459"/>
        <v>14:46:47.947</v>
      </c>
      <c r="U3120" t="str">
        <f t="shared" si="1438"/>
        <v>A9808D</v>
      </c>
      <c r="V3120">
        <v>0</v>
      </c>
      <c r="W3120">
        <v>0</v>
      </c>
      <c r="X3120">
        <v>1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0</v>
      </c>
      <c r="AI3120" t="s">
        <v>753</v>
      </c>
      <c r="AJ3120">
        <v>28.246728999999998</v>
      </c>
      <c r="AK3120" t="s">
        <v>754</v>
      </c>
      <c r="AL3120">
        <v>-82.283627999999993</v>
      </c>
      <c r="AM3120">
        <v>100</v>
      </c>
      <c r="AN3120">
        <v>2300</v>
      </c>
      <c r="AO3120" t="s">
        <v>118</v>
      </c>
      <c r="AP3120">
        <v>132</v>
      </c>
      <c r="AQ3120">
        <v>-5</v>
      </c>
      <c r="AR3120">
        <v>-576</v>
      </c>
      <c r="AZ3120">
        <v>1200</v>
      </c>
      <c r="BA3120">
        <v>1</v>
      </c>
      <c r="BB3120" t="str">
        <f t="shared" si="1448"/>
        <v xml:space="preserve">N711JA  </v>
      </c>
      <c r="BC3120">
        <v>1</v>
      </c>
      <c r="BE3120">
        <v>0</v>
      </c>
      <c r="BF3120">
        <v>0</v>
      </c>
      <c r="BG3120">
        <v>0</v>
      </c>
      <c r="BH3120">
        <v>2375</v>
      </c>
      <c r="BI3120">
        <v>1</v>
      </c>
      <c r="BJ3120">
        <v>1</v>
      </c>
      <c r="BK3120">
        <v>0</v>
      </c>
      <c r="BL3120">
        <v>0</v>
      </c>
      <c r="BO3120">
        <v>0</v>
      </c>
      <c r="BP3120">
        <v>0</v>
      </c>
      <c r="BW3120" t="str">
        <f>"14:46:48.049"</f>
        <v>14:46:48.049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8</v>
      </c>
      <c r="CR3120">
        <v>3</v>
      </c>
      <c r="CW3120">
        <v>8995765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1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 t="shared" si="1457"/>
        <v>05/12/2020 14:46:30.225</v>
      </c>
      <c r="C3121" t="str">
        <f t="shared" si="1447"/>
        <v>FFDFD3C0</v>
      </c>
      <c r="D3121" t="s">
        <v>126</v>
      </c>
      <c r="E3121">
        <v>6</v>
      </c>
      <c r="F3121">
        <v>1006</v>
      </c>
      <c r="G3121" t="s">
        <v>114</v>
      </c>
      <c r="J3121" t="s">
        <v>128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458"/>
        <v>14:46:48.047</v>
      </c>
      <c r="T3121" t="str">
        <f t="shared" si="1459"/>
        <v>14:46:47.947</v>
      </c>
      <c r="U3121" t="str">
        <f t="shared" si="1438"/>
        <v>A9808D</v>
      </c>
      <c r="V3121">
        <v>0</v>
      </c>
      <c r="W3121">
        <v>0</v>
      </c>
      <c r="X3121">
        <v>1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0</v>
      </c>
      <c r="AI3121" t="s">
        <v>753</v>
      </c>
      <c r="AJ3121">
        <v>28.246728999999998</v>
      </c>
      <c r="AK3121" t="s">
        <v>754</v>
      </c>
      <c r="AL3121">
        <v>-82.283627999999993</v>
      </c>
      <c r="AM3121">
        <v>100</v>
      </c>
      <c r="AN3121">
        <v>2300</v>
      </c>
      <c r="AO3121" t="s">
        <v>118</v>
      </c>
      <c r="AP3121">
        <v>132</v>
      </c>
      <c r="AQ3121">
        <v>-5</v>
      </c>
      <c r="AR3121">
        <v>-576</v>
      </c>
      <c r="AZ3121">
        <v>1200</v>
      </c>
      <c r="BA3121">
        <v>1</v>
      </c>
      <c r="BB3121" t="str">
        <f t="shared" si="1448"/>
        <v xml:space="preserve">N711JA  </v>
      </c>
      <c r="BC3121">
        <v>1</v>
      </c>
      <c r="BE3121">
        <v>0</v>
      </c>
      <c r="BF3121">
        <v>0</v>
      </c>
      <c r="BG3121">
        <v>0</v>
      </c>
      <c r="BH3121">
        <v>2375</v>
      </c>
      <c r="BI3121">
        <v>1</v>
      </c>
      <c r="BJ3121">
        <v>1</v>
      </c>
      <c r="BK3121">
        <v>0</v>
      </c>
      <c r="BL3121">
        <v>0</v>
      </c>
      <c r="BO3121">
        <v>0</v>
      </c>
      <c r="BP3121">
        <v>0</v>
      </c>
      <c r="BW3121" t="str">
        <f>"14:46:48.049"</f>
        <v>14:46:48.049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8</v>
      </c>
      <c r="CR3121">
        <v>3</v>
      </c>
      <c r="CW3121">
        <v>8995765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1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 t="shared" ref="A3122:A3130" si="1460">"05/12/2020 14:46:31.381"</f>
        <v>05/12/2020 14:46:31.381</v>
      </c>
      <c r="C3122" t="str">
        <f t="shared" si="1447"/>
        <v>FFDFD3C0</v>
      </c>
      <c r="D3122" t="s">
        <v>131</v>
      </c>
      <c r="E3122">
        <v>10</v>
      </c>
      <c r="F3122">
        <v>2010</v>
      </c>
      <c r="G3122" t="s">
        <v>132</v>
      </c>
      <c r="J3122" t="s">
        <v>133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ref="S3122:S3130" si="1461">"14:46:49.203"</f>
        <v>14:46:49.203</v>
      </c>
      <c r="T3122" t="str">
        <f t="shared" ref="T3122:T3130" si="1462">"14:46:48.903"</f>
        <v>14:46:48.903</v>
      </c>
      <c r="U3122" t="str">
        <f t="shared" si="1438"/>
        <v>A9808D</v>
      </c>
      <c r="V3122">
        <v>0</v>
      </c>
      <c r="W3122">
        <v>0</v>
      </c>
      <c r="X3122">
        <v>1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0</v>
      </c>
      <c r="AI3122" t="s">
        <v>755</v>
      </c>
      <c r="AJ3122">
        <v>28.246686</v>
      </c>
      <c r="AK3122" t="s">
        <v>756</v>
      </c>
      <c r="AL3122">
        <v>-82.282813000000004</v>
      </c>
      <c r="AM3122">
        <v>100</v>
      </c>
      <c r="AN3122">
        <v>2300</v>
      </c>
      <c r="AO3122" t="s">
        <v>118</v>
      </c>
      <c r="AP3122">
        <v>133</v>
      </c>
      <c r="AQ3122">
        <v>-5</v>
      </c>
      <c r="AR3122">
        <v>-512</v>
      </c>
      <c r="AZ3122">
        <v>1200</v>
      </c>
      <c r="BA3122">
        <v>1</v>
      </c>
      <c r="BB3122" t="str">
        <f t="shared" si="1448"/>
        <v xml:space="preserve">N711JA  </v>
      </c>
      <c r="BC3122">
        <v>1</v>
      </c>
      <c r="BE3122">
        <v>0</v>
      </c>
      <c r="BF3122">
        <v>0</v>
      </c>
      <c r="BG3122">
        <v>0</v>
      </c>
      <c r="BH3122">
        <v>2350</v>
      </c>
      <c r="BI3122">
        <v>1</v>
      </c>
      <c r="BJ3122">
        <v>1</v>
      </c>
      <c r="BK3122">
        <v>0</v>
      </c>
      <c r="BL3122">
        <v>0</v>
      </c>
      <c r="BO3122">
        <v>0</v>
      </c>
      <c r="BP3122">
        <v>0</v>
      </c>
      <c r="BW3122" t="str">
        <f>"14:46:49.207"</f>
        <v>14:46:49.207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8</v>
      </c>
      <c r="CR3122">
        <v>3</v>
      </c>
      <c r="CW3122">
        <v>8996982</v>
      </c>
      <c r="CY3122">
        <v>1</v>
      </c>
      <c r="CZ3122">
        <v>0</v>
      </c>
      <c r="DA3122">
        <v>0</v>
      </c>
      <c r="DB3122">
        <v>0</v>
      </c>
      <c r="DC3122">
        <v>0</v>
      </c>
      <c r="DD3122">
        <v>1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 t="shared" si="1460"/>
        <v>05/12/2020 14:46:31.381</v>
      </c>
      <c r="C3123" t="str">
        <f t="shared" si="1447"/>
        <v>FFDFD3C0</v>
      </c>
      <c r="D3123" t="s">
        <v>126</v>
      </c>
      <c r="E3123">
        <v>7</v>
      </c>
      <c r="F3123">
        <v>1007</v>
      </c>
      <c r="G3123" t="s">
        <v>127</v>
      </c>
      <c r="J3123" t="s">
        <v>128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1461"/>
        <v>14:46:49.203</v>
      </c>
      <c r="T3123" t="str">
        <f t="shared" si="1462"/>
        <v>14:46:48.903</v>
      </c>
      <c r="U3123" t="str">
        <f t="shared" si="1438"/>
        <v>A9808D</v>
      </c>
      <c r="V3123">
        <v>0</v>
      </c>
      <c r="W3123">
        <v>0</v>
      </c>
      <c r="X3123">
        <v>1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0</v>
      </c>
      <c r="AI3123" t="s">
        <v>755</v>
      </c>
      <c r="AJ3123">
        <v>28.246686</v>
      </c>
      <c r="AK3123" t="s">
        <v>756</v>
      </c>
      <c r="AL3123">
        <v>-82.282813000000004</v>
      </c>
      <c r="AM3123">
        <v>100</v>
      </c>
      <c r="AN3123">
        <v>2300</v>
      </c>
      <c r="AO3123" t="s">
        <v>118</v>
      </c>
      <c r="AP3123">
        <v>133</v>
      </c>
      <c r="AQ3123">
        <v>-5</v>
      </c>
      <c r="AR3123">
        <v>-512</v>
      </c>
      <c r="AZ3123">
        <v>1200</v>
      </c>
      <c r="BA3123">
        <v>1</v>
      </c>
      <c r="BB3123" t="str">
        <f t="shared" si="1448"/>
        <v xml:space="preserve">N711JA  </v>
      </c>
      <c r="BC3123">
        <v>1</v>
      </c>
      <c r="BE3123">
        <v>0</v>
      </c>
      <c r="BF3123">
        <v>0</v>
      </c>
      <c r="BG3123">
        <v>0</v>
      </c>
      <c r="BH3123">
        <v>2350</v>
      </c>
      <c r="BI3123">
        <v>1</v>
      </c>
      <c r="BJ3123">
        <v>1</v>
      </c>
      <c r="BK3123">
        <v>0</v>
      </c>
      <c r="BL3123">
        <v>0</v>
      </c>
      <c r="BO3123">
        <v>0</v>
      </c>
      <c r="BP3123">
        <v>0</v>
      </c>
      <c r="BW3123" t="str">
        <f>"14:46:49.207"</f>
        <v>14:46:49.207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119</v>
      </c>
      <c r="CQ3123">
        <v>8</v>
      </c>
      <c r="CR3123">
        <v>3</v>
      </c>
      <c r="CW3123">
        <v>8996982</v>
      </c>
      <c r="CY3123">
        <v>1</v>
      </c>
      <c r="CZ3123">
        <v>0</v>
      </c>
      <c r="DA3123">
        <v>1</v>
      </c>
      <c r="DB3123">
        <v>0</v>
      </c>
      <c r="DC3123">
        <v>0</v>
      </c>
      <c r="DD3123">
        <v>1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 t="shared" si="1460"/>
        <v>05/12/2020 14:46:31.381</v>
      </c>
      <c r="C3124" t="str">
        <f t="shared" si="1447"/>
        <v>FFDFD3C0</v>
      </c>
      <c r="D3124" t="s">
        <v>131</v>
      </c>
      <c r="E3124">
        <v>12</v>
      </c>
      <c r="F3124">
        <v>2012</v>
      </c>
      <c r="G3124" t="s">
        <v>137</v>
      </c>
      <c r="J3124" t="s">
        <v>133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si="1461"/>
        <v>14:46:49.203</v>
      </c>
      <c r="T3124" t="str">
        <f t="shared" si="1462"/>
        <v>14:46:48.903</v>
      </c>
      <c r="U3124" t="str">
        <f t="shared" si="1438"/>
        <v>A9808D</v>
      </c>
      <c r="V3124">
        <v>0</v>
      </c>
      <c r="W3124">
        <v>0</v>
      </c>
      <c r="X3124">
        <v>1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0</v>
      </c>
      <c r="AI3124" t="s">
        <v>755</v>
      </c>
      <c r="AJ3124">
        <v>28.246686</v>
      </c>
      <c r="AK3124" t="s">
        <v>756</v>
      </c>
      <c r="AL3124">
        <v>-82.282813000000004</v>
      </c>
      <c r="AM3124">
        <v>100</v>
      </c>
      <c r="AN3124">
        <v>2300</v>
      </c>
      <c r="AO3124" t="s">
        <v>118</v>
      </c>
      <c r="AP3124">
        <v>133</v>
      </c>
      <c r="AQ3124">
        <v>-5</v>
      </c>
      <c r="AR3124">
        <v>-512</v>
      </c>
      <c r="AZ3124">
        <v>1200</v>
      </c>
      <c r="BA3124">
        <v>1</v>
      </c>
      <c r="BB3124" t="str">
        <f t="shared" si="1448"/>
        <v xml:space="preserve">N711JA  </v>
      </c>
      <c r="BC3124">
        <v>1</v>
      </c>
      <c r="BE3124">
        <v>0</v>
      </c>
      <c r="BF3124">
        <v>0</v>
      </c>
      <c r="BG3124">
        <v>0</v>
      </c>
      <c r="BH3124">
        <v>2350</v>
      </c>
      <c r="BI3124">
        <v>1</v>
      </c>
      <c r="BJ3124">
        <v>1</v>
      </c>
      <c r="BK3124">
        <v>0</v>
      </c>
      <c r="BL3124">
        <v>0</v>
      </c>
      <c r="BO3124">
        <v>0</v>
      </c>
      <c r="BP3124">
        <v>0</v>
      </c>
      <c r="BW3124" t="str">
        <f>"14:46:49.207"</f>
        <v>14:46:49.207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7</v>
      </c>
      <c r="CP3124" t="s">
        <v>119</v>
      </c>
      <c r="CQ3124">
        <v>8</v>
      </c>
      <c r="CR3124">
        <v>3</v>
      </c>
      <c r="CW3124">
        <v>8996982</v>
      </c>
      <c r="CY3124">
        <v>1</v>
      </c>
      <c r="CZ3124">
        <v>0</v>
      </c>
      <c r="DA3124">
        <v>1</v>
      </c>
      <c r="DB3124">
        <v>0</v>
      </c>
      <c r="DC3124">
        <v>0</v>
      </c>
      <c r="DD3124">
        <v>1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 t="shared" si="1460"/>
        <v>05/12/2020 14:46:31.381</v>
      </c>
      <c r="C3125" t="str">
        <f t="shared" si="1447"/>
        <v>FFDFD3C0</v>
      </c>
      <c r="D3125" t="s">
        <v>131</v>
      </c>
      <c r="E3125">
        <v>18</v>
      </c>
      <c r="F3125">
        <v>2018</v>
      </c>
      <c r="G3125" t="s">
        <v>161</v>
      </c>
      <c r="J3125" t="s">
        <v>133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461"/>
        <v>14:46:49.203</v>
      </c>
      <c r="T3125" t="str">
        <f t="shared" si="1462"/>
        <v>14:46:48.903</v>
      </c>
      <c r="U3125" t="str">
        <f t="shared" si="1438"/>
        <v>A9808D</v>
      </c>
      <c r="V3125">
        <v>0</v>
      </c>
      <c r="W3125">
        <v>0</v>
      </c>
      <c r="X3125">
        <v>1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0</v>
      </c>
      <c r="AI3125" t="s">
        <v>755</v>
      </c>
      <c r="AJ3125">
        <v>28.246686</v>
      </c>
      <c r="AK3125" t="s">
        <v>756</v>
      </c>
      <c r="AL3125">
        <v>-82.282813000000004</v>
      </c>
      <c r="AM3125">
        <v>100</v>
      </c>
      <c r="AN3125">
        <v>2300</v>
      </c>
      <c r="AO3125" t="s">
        <v>118</v>
      </c>
      <c r="AP3125">
        <v>133</v>
      </c>
      <c r="AQ3125">
        <v>-5</v>
      </c>
      <c r="AR3125">
        <v>-512</v>
      </c>
      <c r="AZ3125">
        <v>1200</v>
      </c>
      <c r="BA3125">
        <v>1</v>
      </c>
      <c r="BB3125" t="str">
        <f t="shared" si="1448"/>
        <v xml:space="preserve">N711JA  </v>
      </c>
      <c r="BC3125">
        <v>1</v>
      </c>
      <c r="BE3125">
        <v>0</v>
      </c>
      <c r="BF3125">
        <v>0</v>
      </c>
      <c r="BG3125">
        <v>0</v>
      </c>
      <c r="BH3125">
        <v>2350</v>
      </c>
      <c r="BI3125">
        <v>1</v>
      </c>
      <c r="BJ3125">
        <v>1</v>
      </c>
      <c r="BK3125">
        <v>0</v>
      </c>
      <c r="BL3125">
        <v>0</v>
      </c>
      <c r="BO3125">
        <v>0</v>
      </c>
      <c r="BP3125">
        <v>0</v>
      </c>
      <c r="BW3125" t="str">
        <f>"14:46:49.208"</f>
        <v>14:46:49.208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5</v>
      </c>
      <c r="CP3125" t="s">
        <v>119</v>
      </c>
      <c r="CQ3125">
        <v>62</v>
      </c>
      <c r="CR3125">
        <v>1</v>
      </c>
      <c r="CW3125">
        <v>12880373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1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 t="shared" si="1460"/>
        <v>05/12/2020 14:46:31.381</v>
      </c>
      <c r="C3126" t="str">
        <f t="shared" si="1447"/>
        <v>FFDFD3C0</v>
      </c>
      <c r="D3126" t="s">
        <v>113</v>
      </c>
      <c r="E3126">
        <v>3</v>
      </c>
      <c r="H3126">
        <v>164</v>
      </c>
      <c r="I3126" t="s">
        <v>114</v>
      </c>
      <c r="J3126" t="s">
        <v>115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461"/>
        <v>14:46:49.203</v>
      </c>
      <c r="T3126" t="str">
        <f t="shared" si="1462"/>
        <v>14:46:48.903</v>
      </c>
      <c r="U3126" t="str">
        <f t="shared" si="1438"/>
        <v>A9808D</v>
      </c>
      <c r="V3126">
        <v>0</v>
      </c>
      <c r="W3126">
        <v>0</v>
      </c>
      <c r="X3126">
        <v>1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0</v>
      </c>
      <c r="AI3126" t="s">
        <v>755</v>
      </c>
      <c r="AJ3126">
        <v>28.246686</v>
      </c>
      <c r="AK3126" t="s">
        <v>756</v>
      </c>
      <c r="AL3126">
        <v>-82.282813000000004</v>
      </c>
      <c r="AM3126">
        <v>100</v>
      </c>
      <c r="AN3126">
        <v>2300</v>
      </c>
      <c r="AO3126" t="s">
        <v>118</v>
      </c>
      <c r="AP3126">
        <v>133</v>
      </c>
      <c r="AQ3126">
        <v>-5</v>
      </c>
      <c r="AR3126">
        <v>-512</v>
      </c>
      <c r="AZ3126">
        <v>1200</v>
      </c>
      <c r="BA3126">
        <v>1</v>
      </c>
      <c r="BB3126" t="str">
        <f t="shared" si="1448"/>
        <v xml:space="preserve">N711JA  </v>
      </c>
      <c r="BC3126">
        <v>1</v>
      </c>
      <c r="BE3126">
        <v>0</v>
      </c>
      <c r="BF3126">
        <v>0</v>
      </c>
      <c r="BG3126">
        <v>0</v>
      </c>
      <c r="BH3126">
        <v>2350</v>
      </c>
      <c r="BI3126">
        <v>1</v>
      </c>
      <c r="BJ3126">
        <v>1</v>
      </c>
      <c r="BK3126">
        <v>0</v>
      </c>
      <c r="BL3126">
        <v>0</v>
      </c>
      <c r="BO3126">
        <v>0</v>
      </c>
      <c r="BP3126">
        <v>0</v>
      </c>
      <c r="BW3126" t="str">
        <f>"14:46:49.207"</f>
        <v>14:46:49.207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7</v>
      </c>
      <c r="CP3126" t="s">
        <v>119</v>
      </c>
      <c r="CQ3126">
        <v>8</v>
      </c>
      <c r="CR3126">
        <v>3</v>
      </c>
      <c r="CW3126">
        <v>8996982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1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 t="shared" si="1460"/>
        <v>05/12/2020 14:46:31.381</v>
      </c>
      <c r="C3127" t="str">
        <f t="shared" si="1447"/>
        <v>FFDFD3C0</v>
      </c>
      <c r="D3127" t="s">
        <v>138</v>
      </c>
      <c r="E3127">
        <v>2</v>
      </c>
      <c r="H3127">
        <v>8</v>
      </c>
      <c r="I3127" t="s">
        <v>139</v>
      </c>
      <c r="J3127" t="s">
        <v>136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461"/>
        <v>14:46:49.203</v>
      </c>
      <c r="T3127" t="str">
        <f t="shared" si="1462"/>
        <v>14:46:48.903</v>
      </c>
      <c r="U3127" t="str">
        <f t="shared" si="1438"/>
        <v>A9808D</v>
      </c>
      <c r="V3127">
        <v>0</v>
      </c>
      <c r="W3127">
        <v>0</v>
      </c>
      <c r="X3127">
        <v>1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0</v>
      </c>
      <c r="AI3127" t="s">
        <v>755</v>
      </c>
      <c r="AJ3127">
        <v>28.246686</v>
      </c>
      <c r="AK3127" t="s">
        <v>756</v>
      </c>
      <c r="AL3127">
        <v>-82.282813000000004</v>
      </c>
      <c r="AM3127">
        <v>100</v>
      </c>
      <c r="AN3127">
        <v>2300</v>
      </c>
      <c r="AO3127" t="s">
        <v>118</v>
      </c>
      <c r="AP3127">
        <v>133</v>
      </c>
      <c r="AQ3127">
        <v>-5</v>
      </c>
      <c r="AR3127">
        <v>-512</v>
      </c>
      <c r="AZ3127">
        <v>1200</v>
      </c>
      <c r="BA3127">
        <v>1</v>
      </c>
      <c r="BB3127" t="str">
        <f t="shared" si="1448"/>
        <v xml:space="preserve">N711JA  </v>
      </c>
      <c r="BC3127">
        <v>1</v>
      </c>
      <c r="BE3127">
        <v>0</v>
      </c>
      <c r="BF3127">
        <v>0</v>
      </c>
      <c r="BG3127">
        <v>0</v>
      </c>
      <c r="BH3127">
        <v>2350</v>
      </c>
      <c r="BI3127">
        <v>1</v>
      </c>
      <c r="BJ3127">
        <v>1</v>
      </c>
      <c r="BK3127">
        <v>0</v>
      </c>
      <c r="BL3127">
        <v>0</v>
      </c>
      <c r="BO3127">
        <v>0</v>
      </c>
      <c r="BP3127">
        <v>0</v>
      </c>
      <c r="BW3127" t="str">
        <f>"14:46:49.207"</f>
        <v>14:46:49.207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119</v>
      </c>
      <c r="CQ3127">
        <v>8</v>
      </c>
      <c r="CR3127">
        <v>3</v>
      </c>
      <c r="CW3127">
        <v>8996982</v>
      </c>
      <c r="CY3127">
        <v>1</v>
      </c>
      <c r="CZ3127">
        <v>0</v>
      </c>
      <c r="DA3127">
        <v>1</v>
      </c>
      <c r="DB3127">
        <v>0</v>
      </c>
      <c r="DC3127">
        <v>0</v>
      </c>
      <c r="DD3127">
        <v>1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 t="shared" si="1460"/>
        <v>05/12/2020 14:46:31.381</v>
      </c>
      <c r="C3128" t="str">
        <f t="shared" si="1447"/>
        <v>FFDFD3C0</v>
      </c>
      <c r="D3128" t="s">
        <v>134</v>
      </c>
      <c r="E3128">
        <v>12</v>
      </c>
      <c r="H3128">
        <v>64</v>
      </c>
      <c r="I3128" t="s">
        <v>135</v>
      </c>
      <c r="J3128" t="s">
        <v>136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461"/>
        <v>14:46:49.203</v>
      </c>
      <c r="T3128" t="str">
        <f t="shared" si="1462"/>
        <v>14:46:48.903</v>
      </c>
      <c r="U3128" t="str">
        <f t="shared" si="1438"/>
        <v>A9808D</v>
      </c>
      <c r="V3128">
        <v>0</v>
      </c>
      <c r="W3128">
        <v>0</v>
      </c>
      <c r="X3128">
        <v>1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0</v>
      </c>
      <c r="AI3128" t="s">
        <v>755</v>
      </c>
      <c r="AJ3128">
        <v>28.246686</v>
      </c>
      <c r="AK3128" t="s">
        <v>756</v>
      </c>
      <c r="AL3128">
        <v>-82.282813000000004</v>
      </c>
      <c r="AM3128">
        <v>100</v>
      </c>
      <c r="AN3128">
        <v>2300</v>
      </c>
      <c r="AO3128" t="s">
        <v>118</v>
      </c>
      <c r="AP3128">
        <v>133</v>
      </c>
      <c r="AQ3128">
        <v>-5</v>
      </c>
      <c r="AR3128">
        <v>-512</v>
      </c>
      <c r="AZ3128">
        <v>1200</v>
      </c>
      <c r="BA3128">
        <v>1</v>
      </c>
      <c r="BB3128" t="str">
        <f t="shared" si="1448"/>
        <v xml:space="preserve">N711JA  </v>
      </c>
      <c r="BC3128">
        <v>1</v>
      </c>
      <c r="BE3128">
        <v>0</v>
      </c>
      <c r="BF3128">
        <v>0</v>
      </c>
      <c r="BG3128">
        <v>0</v>
      </c>
      <c r="BH3128">
        <v>2350</v>
      </c>
      <c r="BI3128">
        <v>1</v>
      </c>
      <c r="BJ3128">
        <v>1</v>
      </c>
      <c r="BK3128">
        <v>0</v>
      </c>
      <c r="BL3128">
        <v>0</v>
      </c>
      <c r="BO3128">
        <v>0</v>
      </c>
      <c r="BP3128">
        <v>0</v>
      </c>
      <c r="BW3128" t="str">
        <f>"14:46:49.207"</f>
        <v>14:46:49.207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7</v>
      </c>
      <c r="CP3128" t="s">
        <v>119</v>
      </c>
      <c r="CQ3128">
        <v>8</v>
      </c>
      <c r="CR3128">
        <v>3</v>
      </c>
      <c r="CW3128">
        <v>8996982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1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 t="shared" si="1460"/>
        <v>05/12/2020 14:46:31.381</v>
      </c>
      <c r="C3129" t="str">
        <f t="shared" si="1447"/>
        <v>FFDFD3C0</v>
      </c>
      <c r="D3129" t="s">
        <v>126</v>
      </c>
      <c r="E3129">
        <v>6</v>
      </c>
      <c r="F3129">
        <v>1006</v>
      </c>
      <c r="G3129" t="s">
        <v>114</v>
      </c>
      <c r="J3129" t="s">
        <v>128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si="1461"/>
        <v>14:46:49.203</v>
      </c>
      <c r="T3129" t="str">
        <f t="shared" si="1462"/>
        <v>14:46:48.903</v>
      </c>
      <c r="U3129" t="str">
        <f t="shared" si="1438"/>
        <v>A9808D</v>
      </c>
      <c r="V3129">
        <v>0</v>
      </c>
      <c r="W3129">
        <v>0</v>
      </c>
      <c r="X3129">
        <v>1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0</v>
      </c>
      <c r="AI3129" t="s">
        <v>755</v>
      </c>
      <c r="AJ3129">
        <v>28.246686</v>
      </c>
      <c r="AK3129" t="s">
        <v>756</v>
      </c>
      <c r="AL3129">
        <v>-82.282813000000004</v>
      </c>
      <c r="AM3129">
        <v>100</v>
      </c>
      <c r="AN3129">
        <v>2300</v>
      </c>
      <c r="AO3129" t="s">
        <v>118</v>
      </c>
      <c r="AP3129">
        <v>133</v>
      </c>
      <c r="AQ3129">
        <v>-5</v>
      </c>
      <c r="AR3129">
        <v>-512</v>
      </c>
      <c r="AZ3129">
        <v>1200</v>
      </c>
      <c r="BA3129">
        <v>1</v>
      </c>
      <c r="BB3129" t="str">
        <f t="shared" si="1448"/>
        <v xml:space="preserve">N711JA  </v>
      </c>
      <c r="BC3129">
        <v>1</v>
      </c>
      <c r="BE3129">
        <v>0</v>
      </c>
      <c r="BF3129">
        <v>0</v>
      </c>
      <c r="BG3129">
        <v>0</v>
      </c>
      <c r="BH3129">
        <v>2350</v>
      </c>
      <c r="BI3129">
        <v>1</v>
      </c>
      <c r="BJ3129">
        <v>1</v>
      </c>
      <c r="BK3129">
        <v>0</v>
      </c>
      <c r="BL3129">
        <v>0</v>
      </c>
      <c r="BO3129">
        <v>0</v>
      </c>
      <c r="BP3129">
        <v>0</v>
      </c>
      <c r="BW3129" t="str">
        <f>"14:46:49.207"</f>
        <v>14:46:49.207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119</v>
      </c>
      <c r="CQ3129">
        <v>8</v>
      </c>
      <c r="CR3129">
        <v>3</v>
      </c>
      <c r="CW3129">
        <v>8996982</v>
      </c>
      <c r="CY3129">
        <v>1</v>
      </c>
      <c r="CZ3129">
        <v>0</v>
      </c>
      <c r="DA3129">
        <v>1</v>
      </c>
      <c r="DB3129">
        <v>0</v>
      </c>
      <c r="DC3129">
        <v>0</v>
      </c>
      <c r="DD3129">
        <v>1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 t="shared" si="1460"/>
        <v>05/12/2020 14:46:31.381</v>
      </c>
      <c r="C3130" t="str">
        <f t="shared" si="1447"/>
        <v>FFDFD3C0</v>
      </c>
      <c r="D3130" t="s">
        <v>138</v>
      </c>
      <c r="E3130">
        <v>3</v>
      </c>
      <c r="H3130">
        <v>9</v>
      </c>
      <c r="I3130" t="s">
        <v>140</v>
      </c>
      <c r="J3130" t="s">
        <v>136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si="1461"/>
        <v>14:46:49.203</v>
      </c>
      <c r="T3130" t="str">
        <f t="shared" si="1462"/>
        <v>14:46:48.903</v>
      </c>
      <c r="U3130" t="str">
        <f t="shared" si="1438"/>
        <v>A9808D</v>
      </c>
      <c r="V3130">
        <v>0</v>
      </c>
      <c r="W3130">
        <v>0</v>
      </c>
      <c r="X3130">
        <v>1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0</v>
      </c>
      <c r="AI3130" t="s">
        <v>755</v>
      </c>
      <c r="AJ3130">
        <v>28.246686</v>
      </c>
      <c r="AK3130" t="s">
        <v>756</v>
      </c>
      <c r="AL3130">
        <v>-82.282813000000004</v>
      </c>
      <c r="AM3130">
        <v>100</v>
      </c>
      <c r="AN3130">
        <v>2300</v>
      </c>
      <c r="AO3130" t="s">
        <v>118</v>
      </c>
      <c r="AP3130">
        <v>133</v>
      </c>
      <c r="AQ3130">
        <v>-5</v>
      </c>
      <c r="AR3130">
        <v>-512</v>
      </c>
      <c r="AZ3130">
        <v>1200</v>
      </c>
      <c r="BA3130">
        <v>1</v>
      </c>
      <c r="BB3130" t="str">
        <f t="shared" si="1448"/>
        <v xml:space="preserve">N711JA  </v>
      </c>
      <c r="BC3130">
        <v>1</v>
      </c>
      <c r="BE3130">
        <v>0</v>
      </c>
      <c r="BF3130">
        <v>0</v>
      </c>
      <c r="BG3130">
        <v>0</v>
      </c>
      <c r="BH3130">
        <v>2350</v>
      </c>
      <c r="BI3130">
        <v>1</v>
      </c>
      <c r="BJ3130">
        <v>1</v>
      </c>
      <c r="BK3130">
        <v>0</v>
      </c>
      <c r="BL3130">
        <v>0</v>
      </c>
      <c r="BO3130">
        <v>0</v>
      </c>
      <c r="BP3130">
        <v>0</v>
      </c>
      <c r="BW3130" t="str">
        <f>"14:46:49.207"</f>
        <v>14:46:49.207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119</v>
      </c>
      <c r="CQ3130">
        <v>8</v>
      </c>
      <c r="CR3130">
        <v>3</v>
      </c>
      <c r="CW3130">
        <v>8996982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1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 t="shared" ref="A3131:A3139" si="1463">"05/12/2020 14:46:32.327"</f>
        <v>05/12/2020 14:46:32.327</v>
      </c>
      <c r="C3131" t="str">
        <f t="shared" si="1447"/>
        <v>FFDFD3C0</v>
      </c>
      <c r="D3131" t="s">
        <v>138</v>
      </c>
      <c r="E3131">
        <v>3</v>
      </c>
      <c r="H3131">
        <v>9</v>
      </c>
      <c r="I3131" t="s">
        <v>140</v>
      </c>
      <c r="J3131" t="s">
        <v>136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ref="S3131:S3139" si="1464">"14:46:50.164"</f>
        <v>14:46:50.164</v>
      </c>
      <c r="T3131" t="str">
        <f t="shared" ref="T3131:T3139" si="1465">"14:46:49.864"</f>
        <v>14:46:49.864</v>
      </c>
      <c r="U3131" t="str">
        <f t="shared" si="1438"/>
        <v>A9808D</v>
      </c>
      <c r="V3131">
        <v>0</v>
      </c>
      <c r="W3131">
        <v>0</v>
      </c>
      <c r="X3131">
        <v>1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0</v>
      </c>
      <c r="AI3131" t="s">
        <v>755</v>
      </c>
      <c r="AJ3131">
        <v>28.246686</v>
      </c>
      <c r="AK3131" t="s">
        <v>757</v>
      </c>
      <c r="AL3131">
        <v>-82.282168999999996</v>
      </c>
      <c r="AM3131">
        <v>100</v>
      </c>
      <c r="AN3131">
        <v>2300</v>
      </c>
      <c r="AO3131" t="s">
        <v>118</v>
      </c>
      <c r="AP3131">
        <v>133</v>
      </c>
      <c r="AQ3131">
        <v>-4</v>
      </c>
      <c r="AR3131">
        <v>-448</v>
      </c>
      <c r="AZ3131">
        <v>1200</v>
      </c>
      <c r="BA3131">
        <v>1</v>
      </c>
      <c r="BB3131" t="str">
        <f t="shared" si="1448"/>
        <v xml:space="preserve">N711JA  </v>
      </c>
      <c r="BC3131">
        <v>1</v>
      </c>
      <c r="BE3131">
        <v>0</v>
      </c>
      <c r="BF3131">
        <v>0</v>
      </c>
      <c r="BG3131">
        <v>0</v>
      </c>
      <c r="BH3131">
        <v>2350</v>
      </c>
      <c r="BI3131">
        <v>1</v>
      </c>
      <c r="BJ3131">
        <v>1</v>
      </c>
      <c r="BK3131">
        <v>0</v>
      </c>
      <c r="BL3131">
        <v>0</v>
      </c>
      <c r="BO3131">
        <v>0</v>
      </c>
      <c r="BP3131">
        <v>0</v>
      </c>
      <c r="BW3131" t="str">
        <f t="shared" ref="BW3131:BW3139" si="1466">"14:46:50.167"</f>
        <v>14:46:50.167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119</v>
      </c>
      <c r="CQ3131">
        <v>8</v>
      </c>
      <c r="CR3131">
        <v>3</v>
      </c>
      <c r="CW3131">
        <v>8997923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1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 t="shared" si="1463"/>
        <v>05/12/2020 14:46:32.327</v>
      </c>
      <c r="C3132" t="str">
        <f t="shared" si="1447"/>
        <v>FFDFD3C0</v>
      </c>
      <c r="D3132" t="s">
        <v>126</v>
      </c>
      <c r="E3132">
        <v>7</v>
      </c>
      <c r="F3132">
        <v>1007</v>
      </c>
      <c r="G3132" t="s">
        <v>127</v>
      </c>
      <c r="J3132" t="s">
        <v>128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464"/>
        <v>14:46:50.164</v>
      </c>
      <c r="T3132" t="str">
        <f t="shared" si="1465"/>
        <v>14:46:49.864</v>
      </c>
      <c r="U3132" t="str">
        <f t="shared" si="1438"/>
        <v>A9808D</v>
      </c>
      <c r="V3132">
        <v>0</v>
      </c>
      <c r="W3132">
        <v>0</v>
      </c>
      <c r="X3132">
        <v>1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0</v>
      </c>
      <c r="AI3132" t="s">
        <v>755</v>
      </c>
      <c r="AJ3132">
        <v>28.246686</v>
      </c>
      <c r="AK3132" t="s">
        <v>757</v>
      </c>
      <c r="AL3132">
        <v>-82.282168999999996</v>
      </c>
      <c r="AM3132">
        <v>100</v>
      </c>
      <c r="AN3132">
        <v>2300</v>
      </c>
      <c r="AO3132" t="s">
        <v>118</v>
      </c>
      <c r="AP3132">
        <v>133</v>
      </c>
      <c r="AQ3132">
        <v>-4</v>
      </c>
      <c r="AR3132">
        <v>-448</v>
      </c>
      <c r="AZ3132">
        <v>1200</v>
      </c>
      <c r="BA3132">
        <v>1</v>
      </c>
      <c r="BB3132" t="str">
        <f t="shared" si="1448"/>
        <v xml:space="preserve">N711JA  </v>
      </c>
      <c r="BC3132">
        <v>1</v>
      </c>
      <c r="BE3132">
        <v>0</v>
      </c>
      <c r="BF3132">
        <v>0</v>
      </c>
      <c r="BG3132">
        <v>0</v>
      </c>
      <c r="BH3132">
        <v>2350</v>
      </c>
      <c r="BI3132">
        <v>1</v>
      </c>
      <c r="BJ3132">
        <v>1</v>
      </c>
      <c r="BK3132">
        <v>0</v>
      </c>
      <c r="BL3132">
        <v>0</v>
      </c>
      <c r="BO3132">
        <v>0</v>
      </c>
      <c r="BP3132">
        <v>0</v>
      </c>
      <c r="BW3132" t="str">
        <f t="shared" si="1466"/>
        <v>14:46:50.167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8</v>
      </c>
      <c r="CR3132">
        <v>3</v>
      </c>
      <c r="CW3132">
        <v>8997923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1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 t="shared" si="1463"/>
        <v>05/12/2020 14:46:32.327</v>
      </c>
      <c r="C3133" t="str">
        <f t="shared" si="1447"/>
        <v>FFDFD3C0</v>
      </c>
      <c r="D3133" t="s">
        <v>131</v>
      </c>
      <c r="E3133">
        <v>10</v>
      </c>
      <c r="F3133">
        <v>2010</v>
      </c>
      <c r="G3133" t="s">
        <v>132</v>
      </c>
      <c r="J3133" t="s">
        <v>133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464"/>
        <v>14:46:50.164</v>
      </c>
      <c r="T3133" t="str">
        <f t="shared" si="1465"/>
        <v>14:46:49.864</v>
      </c>
      <c r="U3133" t="str">
        <f t="shared" si="1438"/>
        <v>A9808D</v>
      </c>
      <c r="V3133">
        <v>0</v>
      </c>
      <c r="W3133">
        <v>0</v>
      </c>
      <c r="X3133">
        <v>1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0</v>
      </c>
      <c r="AI3133" t="s">
        <v>755</v>
      </c>
      <c r="AJ3133">
        <v>28.246686</v>
      </c>
      <c r="AK3133" t="s">
        <v>757</v>
      </c>
      <c r="AL3133">
        <v>-82.282168999999996</v>
      </c>
      <c r="AM3133">
        <v>100</v>
      </c>
      <c r="AN3133">
        <v>2300</v>
      </c>
      <c r="AO3133" t="s">
        <v>118</v>
      </c>
      <c r="AP3133">
        <v>133</v>
      </c>
      <c r="AQ3133">
        <v>-4</v>
      </c>
      <c r="AR3133">
        <v>-448</v>
      </c>
      <c r="AZ3133">
        <v>1200</v>
      </c>
      <c r="BA3133">
        <v>1</v>
      </c>
      <c r="BB3133" t="str">
        <f t="shared" si="1448"/>
        <v xml:space="preserve">N711JA  </v>
      </c>
      <c r="BC3133">
        <v>1</v>
      </c>
      <c r="BE3133">
        <v>0</v>
      </c>
      <c r="BF3133">
        <v>0</v>
      </c>
      <c r="BG3133">
        <v>0</v>
      </c>
      <c r="BH3133">
        <v>2350</v>
      </c>
      <c r="BI3133">
        <v>1</v>
      </c>
      <c r="BJ3133">
        <v>1</v>
      </c>
      <c r="BK3133">
        <v>0</v>
      </c>
      <c r="BL3133">
        <v>0</v>
      </c>
      <c r="BO3133">
        <v>0</v>
      </c>
      <c r="BP3133">
        <v>0</v>
      </c>
      <c r="BW3133" t="str">
        <f t="shared" si="1466"/>
        <v>14:46:50.167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8</v>
      </c>
      <c r="CR3133">
        <v>3</v>
      </c>
      <c r="CW3133">
        <v>8997923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1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 t="shared" si="1463"/>
        <v>05/12/2020 14:46:32.327</v>
      </c>
      <c r="C3134" t="str">
        <f t="shared" si="1447"/>
        <v>FFDFD3C0</v>
      </c>
      <c r="D3134" t="s">
        <v>131</v>
      </c>
      <c r="E3134">
        <v>12</v>
      </c>
      <c r="F3134">
        <v>2012</v>
      </c>
      <c r="G3134" t="s">
        <v>137</v>
      </c>
      <c r="J3134" t="s">
        <v>133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464"/>
        <v>14:46:50.164</v>
      </c>
      <c r="T3134" t="str">
        <f t="shared" si="1465"/>
        <v>14:46:49.864</v>
      </c>
      <c r="U3134" t="str">
        <f t="shared" si="1438"/>
        <v>A9808D</v>
      </c>
      <c r="V3134">
        <v>0</v>
      </c>
      <c r="W3134">
        <v>0</v>
      </c>
      <c r="X3134">
        <v>1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0</v>
      </c>
      <c r="AI3134" t="s">
        <v>755</v>
      </c>
      <c r="AJ3134">
        <v>28.246686</v>
      </c>
      <c r="AK3134" t="s">
        <v>757</v>
      </c>
      <c r="AL3134">
        <v>-82.282168999999996</v>
      </c>
      <c r="AM3134">
        <v>100</v>
      </c>
      <c r="AN3134">
        <v>2300</v>
      </c>
      <c r="AO3134" t="s">
        <v>118</v>
      </c>
      <c r="AP3134">
        <v>133</v>
      </c>
      <c r="AQ3134">
        <v>-4</v>
      </c>
      <c r="AR3134">
        <v>-448</v>
      </c>
      <c r="AZ3134">
        <v>1200</v>
      </c>
      <c r="BA3134">
        <v>1</v>
      </c>
      <c r="BB3134" t="str">
        <f t="shared" si="1448"/>
        <v xml:space="preserve">N711JA  </v>
      </c>
      <c r="BC3134">
        <v>1</v>
      </c>
      <c r="BE3134">
        <v>0</v>
      </c>
      <c r="BF3134">
        <v>0</v>
      </c>
      <c r="BG3134">
        <v>0</v>
      </c>
      <c r="BH3134">
        <v>2350</v>
      </c>
      <c r="BI3134">
        <v>1</v>
      </c>
      <c r="BJ3134">
        <v>1</v>
      </c>
      <c r="BK3134">
        <v>0</v>
      </c>
      <c r="BL3134">
        <v>0</v>
      </c>
      <c r="BO3134">
        <v>0</v>
      </c>
      <c r="BP3134">
        <v>0</v>
      </c>
      <c r="BW3134" t="str">
        <f t="shared" si="1466"/>
        <v>14:46:50.167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8</v>
      </c>
      <c r="CR3134">
        <v>3</v>
      </c>
      <c r="CW3134">
        <v>8997923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1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 t="shared" si="1463"/>
        <v>05/12/2020 14:46:32.327</v>
      </c>
      <c r="C3135" t="str">
        <f t="shared" si="1447"/>
        <v>FFDFD3C0</v>
      </c>
      <c r="D3135" t="s">
        <v>131</v>
      </c>
      <c r="E3135">
        <v>18</v>
      </c>
      <c r="F3135">
        <v>2018</v>
      </c>
      <c r="G3135" t="s">
        <v>161</v>
      </c>
      <c r="J3135" t="s">
        <v>133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464"/>
        <v>14:46:50.164</v>
      </c>
      <c r="T3135" t="str">
        <f t="shared" si="1465"/>
        <v>14:46:49.864</v>
      </c>
      <c r="U3135" t="str">
        <f t="shared" si="1438"/>
        <v>A9808D</v>
      </c>
      <c r="V3135">
        <v>0</v>
      </c>
      <c r="W3135">
        <v>0</v>
      </c>
      <c r="X3135">
        <v>1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0</v>
      </c>
      <c r="AI3135" t="s">
        <v>755</v>
      </c>
      <c r="AJ3135">
        <v>28.246686</v>
      </c>
      <c r="AK3135" t="s">
        <v>757</v>
      </c>
      <c r="AL3135">
        <v>-82.282168999999996</v>
      </c>
      <c r="AM3135">
        <v>100</v>
      </c>
      <c r="AN3135">
        <v>2300</v>
      </c>
      <c r="AO3135" t="s">
        <v>118</v>
      </c>
      <c r="AP3135">
        <v>133</v>
      </c>
      <c r="AQ3135">
        <v>-4</v>
      </c>
      <c r="AR3135">
        <v>-448</v>
      </c>
      <c r="AZ3135">
        <v>1200</v>
      </c>
      <c r="BA3135">
        <v>1</v>
      </c>
      <c r="BB3135" t="str">
        <f t="shared" si="1448"/>
        <v xml:space="preserve">N711JA  </v>
      </c>
      <c r="BC3135">
        <v>1</v>
      </c>
      <c r="BE3135">
        <v>0</v>
      </c>
      <c r="BF3135">
        <v>0</v>
      </c>
      <c r="BG3135">
        <v>0</v>
      </c>
      <c r="BH3135">
        <v>2350</v>
      </c>
      <c r="BI3135">
        <v>1</v>
      </c>
      <c r="BJ3135">
        <v>1</v>
      </c>
      <c r="BK3135">
        <v>0</v>
      </c>
      <c r="BL3135">
        <v>0</v>
      </c>
      <c r="BO3135">
        <v>0</v>
      </c>
      <c r="BP3135">
        <v>0</v>
      </c>
      <c r="BW3135" t="str">
        <f t="shared" si="1466"/>
        <v>14:46:50.167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6</v>
      </c>
      <c r="CP3135" t="s">
        <v>119</v>
      </c>
      <c r="CQ3135">
        <v>56</v>
      </c>
      <c r="CR3135">
        <v>2</v>
      </c>
      <c r="CW3135">
        <v>4964353</v>
      </c>
      <c r="CY3135">
        <v>1</v>
      </c>
      <c r="CZ3135">
        <v>0</v>
      </c>
      <c r="DA3135">
        <v>1</v>
      </c>
      <c r="DB3135">
        <v>0</v>
      </c>
      <c r="DC3135">
        <v>0</v>
      </c>
      <c r="DD3135">
        <v>1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 t="shared" si="1463"/>
        <v>05/12/2020 14:46:32.327</v>
      </c>
      <c r="C3136" t="str">
        <f t="shared" si="1447"/>
        <v>FFDFD3C0</v>
      </c>
      <c r="D3136" t="s">
        <v>113</v>
      </c>
      <c r="E3136">
        <v>3</v>
      </c>
      <c r="H3136">
        <v>164</v>
      </c>
      <c r="I3136" t="s">
        <v>114</v>
      </c>
      <c r="J3136" t="s">
        <v>115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464"/>
        <v>14:46:50.164</v>
      </c>
      <c r="T3136" t="str">
        <f t="shared" si="1465"/>
        <v>14:46:49.864</v>
      </c>
      <c r="U3136" t="str">
        <f t="shared" si="1438"/>
        <v>A9808D</v>
      </c>
      <c r="V3136">
        <v>0</v>
      </c>
      <c r="W3136">
        <v>0</v>
      </c>
      <c r="X3136">
        <v>1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0</v>
      </c>
      <c r="AI3136" t="s">
        <v>755</v>
      </c>
      <c r="AJ3136">
        <v>28.246686</v>
      </c>
      <c r="AK3136" t="s">
        <v>757</v>
      </c>
      <c r="AL3136">
        <v>-82.282168999999996</v>
      </c>
      <c r="AM3136">
        <v>100</v>
      </c>
      <c r="AN3136">
        <v>2300</v>
      </c>
      <c r="AO3136" t="s">
        <v>118</v>
      </c>
      <c r="AP3136">
        <v>133</v>
      </c>
      <c r="AQ3136">
        <v>-4</v>
      </c>
      <c r="AR3136">
        <v>-448</v>
      </c>
      <c r="AZ3136">
        <v>1200</v>
      </c>
      <c r="BA3136">
        <v>1</v>
      </c>
      <c r="BB3136" t="str">
        <f t="shared" si="1448"/>
        <v xml:space="preserve">N711JA  </v>
      </c>
      <c r="BC3136">
        <v>1</v>
      </c>
      <c r="BE3136">
        <v>0</v>
      </c>
      <c r="BF3136">
        <v>0</v>
      </c>
      <c r="BG3136">
        <v>0</v>
      </c>
      <c r="BH3136">
        <v>2350</v>
      </c>
      <c r="BI3136">
        <v>1</v>
      </c>
      <c r="BJ3136">
        <v>1</v>
      </c>
      <c r="BK3136">
        <v>0</v>
      </c>
      <c r="BL3136">
        <v>0</v>
      </c>
      <c r="BO3136">
        <v>0</v>
      </c>
      <c r="BP3136">
        <v>0</v>
      </c>
      <c r="BW3136" t="str">
        <f t="shared" si="1466"/>
        <v>14:46:50.167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119</v>
      </c>
      <c r="CQ3136">
        <v>8</v>
      </c>
      <c r="CR3136">
        <v>3</v>
      </c>
      <c r="CW3136">
        <v>8997923</v>
      </c>
      <c r="CY3136">
        <v>1</v>
      </c>
      <c r="CZ3136">
        <v>0</v>
      </c>
      <c r="DA3136">
        <v>1</v>
      </c>
      <c r="DB3136">
        <v>0</v>
      </c>
      <c r="DC3136">
        <v>0</v>
      </c>
      <c r="DD3136">
        <v>1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 t="shared" si="1463"/>
        <v>05/12/2020 14:46:32.327</v>
      </c>
      <c r="C3137" t="str">
        <f t="shared" si="1447"/>
        <v>FFDFD3C0</v>
      </c>
      <c r="D3137" t="s">
        <v>138</v>
      </c>
      <c r="E3137">
        <v>2</v>
      </c>
      <c r="H3137">
        <v>8</v>
      </c>
      <c r="I3137" t="s">
        <v>139</v>
      </c>
      <c r="J3137" t="s">
        <v>136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464"/>
        <v>14:46:50.164</v>
      </c>
      <c r="T3137" t="str">
        <f t="shared" si="1465"/>
        <v>14:46:49.864</v>
      </c>
      <c r="U3137" t="str">
        <f t="shared" si="1438"/>
        <v>A9808D</v>
      </c>
      <c r="V3137">
        <v>0</v>
      </c>
      <c r="W3137">
        <v>0</v>
      </c>
      <c r="X3137">
        <v>1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0</v>
      </c>
      <c r="AI3137" t="s">
        <v>755</v>
      </c>
      <c r="AJ3137">
        <v>28.246686</v>
      </c>
      <c r="AK3137" t="s">
        <v>757</v>
      </c>
      <c r="AL3137">
        <v>-82.282168999999996</v>
      </c>
      <c r="AM3137">
        <v>100</v>
      </c>
      <c r="AN3137">
        <v>2300</v>
      </c>
      <c r="AO3137" t="s">
        <v>118</v>
      </c>
      <c r="AP3137">
        <v>133</v>
      </c>
      <c r="AQ3137">
        <v>-4</v>
      </c>
      <c r="AR3137">
        <v>-448</v>
      </c>
      <c r="AZ3137">
        <v>1200</v>
      </c>
      <c r="BA3137">
        <v>1</v>
      </c>
      <c r="BB3137" t="str">
        <f t="shared" si="1448"/>
        <v xml:space="preserve">N711JA  </v>
      </c>
      <c r="BC3137">
        <v>1</v>
      </c>
      <c r="BE3137">
        <v>0</v>
      </c>
      <c r="BF3137">
        <v>0</v>
      </c>
      <c r="BG3137">
        <v>0</v>
      </c>
      <c r="BH3137">
        <v>2350</v>
      </c>
      <c r="BI3137">
        <v>1</v>
      </c>
      <c r="BJ3137">
        <v>1</v>
      </c>
      <c r="BK3137">
        <v>0</v>
      </c>
      <c r="BL3137">
        <v>0</v>
      </c>
      <c r="BO3137">
        <v>0</v>
      </c>
      <c r="BP3137">
        <v>0</v>
      </c>
      <c r="BW3137" t="str">
        <f t="shared" si="1466"/>
        <v>14:46:50.167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119</v>
      </c>
      <c r="CQ3137">
        <v>8</v>
      </c>
      <c r="CR3137">
        <v>3</v>
      </c>
      <c r="CW3137">
        <v>8997923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1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 t="shared" si="1463"/>
        <v>05/12/2020 14:46:32.327</v>
      </c>
      <c r="C3138" t="str">
        <f t="shared" si="1447"/>
        <v>FFDFD3C0</v>
      </c>
      <c r="D3138" t="s">
        <v>126</v>
      </c>
      <c r="E3138">
        <v>6</v>
      </c>
      <c r="F3138">
        <v>1006</v>
      </c>
      <c r="G3138" t="s">
        <v>114</v>
      </c>
      <c r="J3138" t="s">
        <v>128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si="1464"/>
        <v>14:46:50.164</v>
      </c>
      <c r="T3138" t="str">
        <f t="shared" si="1465"/>
        <v>14:46:49.864</v>
      </c>
      <c r="U3138" t="str">
        <f t="shared" ref="U3138:U3201" si="1467">"A9808D"</f>
        <v>A9808D</v>
      </c>
      <c r="V3138">
        <v>0</v>
      </c>
      <c r="W3138">
        <v>0</v>
      </c>
      <c r="X3138">
        <v>1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0</v>
      </c>
      <c r="AI3138" t="s">
        <v>755</v>
      </c>
      <c r="AJ3138">
        <v>28.246686</v>
      </c>
      <c r="AK3138" t="s">
        <v>757</v>
      </c>
      <c r="AL3138">
        <v>-82.282168999999996</v>
      </c>
      <c r="AM3138">
        <v>100</v>
      </c>
      <c r="AN3138">
        <v>2300</v>
      </c>
      <c r="AO3138" t="s">
        <v>118</v>
      </c>
      <c r="AP3138">
        <v>133</v>
      </c>
      <c r="AQ3138">
        <v>-4</v>
      </c>
      <c r="AR3138">
        <v>-448</v>
      </c>
      <c r="AZ3138">
        <v>1200</v>
      </c>
      <c r="BA3138">
        <v>1</v>
      </c>
      <c r="BB3138" t="str">
        <f t="shared" si="1448"/>
        <v xml:space="preserve">N711JA  </v>
      </c>
      <c r="BC3138">
        <v>1</v>
      </c>
      <c r="BE3138">
        <v>0</v>
      </c>
      <c r="BF3138">
        <v>0</v>
      </c>
      <c r="BG3138">
        <v>0</v>
      </c>
      <c r="BH3138">
        <v>2350</v>
      </c>
      <c r="BI3138">
        <v>1</v>
      </c>
      <c r="BJ3138">
        <v>1</v>
      </c>
      <c r="BK3138">
        <v>0</v>
      </c>
      <c r="BL3138">
        <v>0</v>
      </c>
      <c r="BO3138">
        <v>0</v>
      </c>
      <c r="BP3138">
        <v>0</v>
      </c>
      <c r="BW3138" t="str">
        <f t="shared" si="1466"/>
        <v>14:46:50.167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119</v>
      </c>
      <c r="CQ3138">
        <v>8</v>
      </c>
      <c r="CR3138">
        <v>3</v>
      </c>
      <c r="CW3138">
        <v>8997923</v>
      </c>
      <c r="CY3138">
        <v>1</v>
      </c>
      <c r="CZ3138">
        <v>0</v>
      </c>
      <c r="DA3138">
        <v>1</v>
      </c>
      <c r="DB3138">
        <v>0</v>
      </c>
      <c r="DC3138">
        <v>0</v>
      </c>
      <c r="DD3138">
        <v>1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 t="shared" si="1463"/>
        <v>05/12/2020 14:46:32.327</v>
      </c>
      <c r="C3139" t="str">
        <f t="shared" si="1447"/>
        <v>FFDFD3C0</v>
      </c>
      <c r="D3139" t="s">
        <v>134</v>
      </c>
      <c r="E3139">
        <v>12</v>
      </c>
      <c r="H3139">
        <v>64</v>
      </c>
      <c r="I3139" t="s">
        <v>135</v>
      </c>
      <c r="J3139" t="s">
        <v>136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si="1464"/>
        <v>14:46:50.164</v>
      </c>
      <c r="T3139" t="str">
        <f t="shared" si="1465"/>
        <v>14:46:49.864</v>
      </c>
      <c r="U3139" t="str">
        <f t="shared" si="1467"/>
        <v>A9808D</v>
      </c>
      <c r="V3139">
        <v>0</v>
      </c>
      <c r="W3139">
        <v>0</v>
      </c>
      <c r="X3139">
        <v>1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0</v>
      </c>
      <c r="AI3139" t="s">
        <v>755</v>
      </c>
      <c r="AJ3139">
        <v>28.246686</v>
      </c>
      <c r="AK3139" t="s">
        <v>757</v>
      </c>
      <c r="AL3139">
        <v>-82.282168999999996</v>
      </c>
      <c r="AM3139">
        <v>100</v>
      </c>
      <c r="AN3139">
        <v>2300</v>
      </c>
      <c r="AO3139" t="s">
        <v>118</v>
      </c>
      <c r="AP3139">
        <v>133</v>
      </c>
      <c r="AQ3139">
        <v>-4</v>
      </c>
      <c r="AR3139">
        <v>-448</v>
      </c>
      <c r="AZ3139">
        <v>1200</v>
      </c>
      <c r="BA3139">
        <v>1</v>
      </c>
      <c r="BB3139" t="str">
        <f t="shared" si="1448"/>
        <v xml:space="preserve">N711JA  </v>
      </c>
      <c r="BC3139">
        <v>1</v>
      </c>
      <c r="BE3139">
        <v>0</v>
      </c>
      <c r="BF3139">
        <v>0</v>
      </c>
      <c r="BG3139">
        <v>0</v>
      </c>
      <c r="BH3139">
        <v>2350</v>
      </c>
      <c r="BI3139">
        <v>1</v>
      </c>
      <c r="BJ3139">
        <v>1</v>
      </c>
      <c r="BK3139">
        <v>0</v>
      </c>
      <c r="BL3139">
        <v>0</v>
      </c>
      <c r="BO3139">
        <v>0</v>
      </c>
      <c r="BP3139">
        <v>0</v>
      </c>
      <c r="BW3139" t="str">
        <f t="shared" si="1466"/>
        <v>14:46:50.167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119</v>
      </c>
      <c r="CQ3139">
        <v>8</v>
      </c>
      <c r="CR3139">
        <v>3</v>
      </c>
      <c r="CW3139">
        <v>8997923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1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 t="shared" ref="A3140:A3148" si="1468">"05/12/2020 14:46:33.347"</f>
        <v>05/12/2020 14:46:33.347</v>
      </c>
      <c r="C3140" t="str">
        <f t="shared" si="1447"/>
        <v>FFDFD3C0</v>
      </c>
      <c r="D3140" t="s">
        <v>131</v>
      </c>
      <c r="E3140">
        <v>12</v>
      </c>
      <c r="F3140">
        <v>2012</v>
      </c>
      <c r="G3140" t="s">
        <v>137</v>
      </c>
      <c r="J3140" t="s">
        <v>133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ref="S3140:S3148" si="1469">"14:46:51.172"</f>
        <v>14:46:51.172</v>
      </c>
      <c r="T3140" t="str">
        <f t="shared" ref="T3140:T3148" si="1470">"14:46:50.872"</f>
        <v>14:46:50.872</v>
      </c>
      <c r="U3140" t="str">
        <f t="shared" si="1467"/>
        <v>A9808D</v>
      </c>
      <c r="V3140">
        <v>0</v>
      </c>
      <c r="W3140">
        <v>0</v>
      </c>
      <c r="X3140">
        <v>1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0</v>
      </c>
      <c r="AI3140" t="s">
        <v>227</v>
      </c>
      <c r="AJ3140">
        <v>28.246644</v>
      </c>
      <c r="AK3140" t="s">
        <v>758</v>
      </c>
      <c r="AL3140">
        <v>-82.281460999999993</v>
      </c>
      <c r="AM3140">
        <v>100</v>
      </c>
      <c r="AN3140">
        <v>2300</v>
      </c>
      <c r="AO3140" t="s">
        <v>118</v>
      </c>
      <c r="AP3140">
        <v>134</v>
      </c>
      <c r="AQ3140">
        <v>-4</v>
      </c>
      <c r="AR3140">
        <v>-320</v>
      </c>
      <c r="AZ3140">
        <v>1200</v>
      </c>
      <c r="BA3140">
        <v>1</v>
      </c>
      <c r="BB3140" t="str">
        <f t="shared" si="1448"/>
        <v xml:space="preserve">N711JA  </v>
      </c>
      <c r="BC3140">
        <v>1</v>
      </c>
      <c r="BE3140">
        <v>0</v>
      </c>
      <c r="BF3140">
        <v>0</v>
      </c>
      <c r="BG3140">
        <v>0</v>
      </c>
      <c r="BH3140">
        <v>2350</v>
      </c>
      <c r="BI3140">
        <v>1</v>
      </c>
      <c r="BJ3140">
        <v>1</v>
      </c>
      <c r="BK3140">
        <v>0</v>
      </c>
      <c r="BL3140">
        <v>0</v>
      </c>
      <c r="BO3140">
        <v>0</v>
      </c>
      <c r="BP3140">
        <v>0</v>
      </c>
      <c r="BW3140" t="str">
        <f t="shared" ref="BW3140:BW3148" si="1471">"14:46:51.177"</f>
        <v>14:46:51.177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7</v>
      </c>
      <c r="CP3140" t="s">
        <v>119</v>
      </c>
      <c r="CQ3140">
        <v>8</v>
      </c>
      <c r="CR3140">
        <v>3</v>
      </c>
      <c r="CW3140">
        <v>8998975</v>
      </c>
      <c r="CY3140">
        <v>1</v>
      </c>
      <c r="CZ3140">
        <v>0</v>
      </c>
      <c r="DA3140">
        <v>0</v>
      </c>
      <c r="DB3140">
        <v>0</v>
      </c>
      <c r="DC3140">
        <v>0</v>
      </c>
      <c r="DD3140">
        <v>1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 t="shared" si="1468"/>
        <v>05/12/2020 14:46:33.347</v>
      </c>
      <c r="C3141" t="str">
        <f t="shared" si="1447"/>
        <v>FFDFD3C0</v>
      </c>
      <c r="D3141" t="s">
        <v>131</v>
      </c>
      <c r="E3141">
        <v>18</v>
      </c>
      <c r="F3141">
        <v>2018</v>
      </c>
      <c r="G3141" t="s">
        <v>161</v>
      </c>
      <c r="J3141" t="s">
        <v>133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469"/>
        <v>14:46:51.172</v>
      </c>
      <c r="T3141" t="str">
        <f t="shared" si="1470"/>
        <v>14:46:50.872</v>
      </c>
      <c r="U3141" t="str">
        <f t="shared" si="1467"/>
        <v>A9808D</v>
      </c>
      <c r="V3141">
        <v>0</v>
      </c>
      <c r="W3141">
        <v>0</v>
      </c>
      <c r="X3141">
        <v>1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0</v>
      </c>
      <c r="AI3141" t="s">
        <v>227</v>
      </c>
      <c r="AJ3141">
        <v>28.246644</v>
      </c>
      <c r="AK3141" t="s">
        <v>758</v>
      </c>
      <c r="AL3141">
        <v>-82.281460999999993</v>
      </c>
      <c r="AM3141">
        <v>100</v>
      </c>
      <c r="AN3141">
        <v>2300</v>
      </c>
      <c r="AO3141" t="s">
        <v>118</v>
      </c>
      <c r="AP3141">
        <v>134</v>
      </c>
      <c r="AQ3141">
        <v>-4</v>
      </c>
      <c r="AR3141">
        <v>-320</v>
      </c>
      <c r="AZ3141">
        <v>1200</v>
      </c>
      <c r="BA3141">
        <v>1</v>
      </c>
      <c r="BB3141" t="str">
        <f t="shared" si="1448"/>
        <v xml:space="preserve">N711JA  </v>
      </c>
      <c r="BC3141">
        <v>1</v>
      </c>
      <c r="BE3141">
        <v>0</v>
      </c>
      <c r="BF3141">
        <v>0</v>
      </c>
      <c r="BG3141">
        <v>0</v>
      </c>
      <c r="BH3141">
        <v>2350</v>
      </c>
      <c r="BI3141">
        <v>1</v>
      </c>
      <c r="BJ3141">
        <v>1</v>
      </c>
      <c r="BK3141">
        <v>0</v>
      </c>
      <c r="BL3141">
        <v>0</v>
      </c>
      <c r="BO3141">
        <v>0</v>
      </c>
      <c r="BP3141">
        <v>0</v>
      </c>
      <c r="BW3141" t="str">
        <f t="shared" si="1471"/>
        <v>14:46:51.177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6</v>
      </c>
      <c r="CP3141" t="s">
        <v>119</v>
      </c>
      <c r="CQ3141">
        <v>56</v>
      </c>
      <c r="CR3141">
        <v>2</v>
      </c>
      <c r="CW3141">
        <v>4965651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1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 t="shared" si="1468"/>
        <v>05/12/2020 14:46:33.347</v>
      </c>
      <c r="C3142" t="str">
        <f t="shared" si="1447"/>
        <v>FFDFD3C0</v>
      </c>
      <c r="D3142" t="s">
        <v>113</v>
      </c>
      <c r="E3142">
        <v>3</v>
      </c>
      <c r="H3142">
        <v>164</v>
      </c>
      <c r="I3142" t="s">
        <v>114</v>
      </c>
      <c r="J3142" t="s">
        <v>115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469"/>
        <v>14:46:51.172</v>
      </c>
      <c r="T3142" t="str">
        <f t="shared" si="1470"/>
        <v>14:46:50.872</v>
      </c>
      <c r="U3142" t="str">
        <f t="shared" si="1467"/>
        <v>A9808D</v>
      </c>
      <c r="V3142">
        <v>0</v>
      </c>
      <c r="W3142">
        <v>0</v>
      </c>
      <c r="X3142">
        <v>1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0</v>
      </c>
      <c r="AI3142" t="s">
        <v>227</v>
      </c>
      <c r="AJ3142">
        <v>28.246644</v>
      </c>
      <c r="AK3142" t="s">
        <v>758</v>
      </c>
      <c r="AL3142">
        <v>-82.281460999999993</v>
      </c>
      <c r="AM3142">
        <v>100</v>
      </c>
      <c r="AN3142">
        <v>2300</v>
      </c>
      <c r="AO3142" t="s">
        <v>118</v>
      </c>
      <c r="AP3142">
        <v>134</v>
      </c>
      <c r="AQ3142">
        <v>-4</v>
      </c>
      <c r="AR3142">
        <v>-320</v>
      </c>
      <c r="AZ3142">
        <v>1200</v>
      </c>
      <c r="BA3142">
        <v>1</v>
      </c>
      <c r="BB3142" t="str">
        <f t="shared" si="1448"/>
        <v xml:space="preserve">N711JA  </v>
      </c>
      <c r="BC3142">
        <v>1</v>
      </c>
      <c r="BE3142">
        <v>0</v>
      </c>
      <c r="BF3142">
        <v>0</v>
      </c>
      <c r="BG3142">
        <v>0</v>
      </c>
      <c r="BH3142">
        <v>2350</v>
      </c>
      <c r="BI3142">
        <v>1</v>
      </c>
      <c r="BJ3142">
        <v>1</v>
      </c>
      <c r="BK3142">
        <v>0</v>
      </c>
      <c r="BL3142">
        <v>0</v>
      </c>
      <c r="BO3142">
        <v>0</v>
      </c>
      <c r="BP3142">
        <v>0</v>
      </c>
      <c r="BW3142" t="str">
        <f t="shared" si="1471"/>
        <v>14:46:51.177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119</v>
      </c>
      <c r="CQ3142">
        <v>8</v>
      </c>
      <c r="CR3142">
        <v>3</v>
      </c>
      <c r="CW3142">
        <v>8998975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1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 t="shared" si="1468"/>
        <v>05/12/2020 14:46:33.347</v>
      </c>
      <c r="C3143" t="str">
        <f t="shared" si="1447"/>
        <v>FFDFD3C0</v>
      </c>
      <c r="D3143" t="s">
        <v>126</v>
      </c>
      <c r="E3143">
        <v>6</v>
      </c>
      <c r="F3143">
        <v>1006</v>
      </c>
      <c r="G3143" t="s">
        <v>114</v>
      </c>
      <c r="J3143" t="s">
        <v>128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469"/>
        <v>14:46:51.172</v>
      </c>
      <c r="T3143" t="str">
        <f t="shared" si="1470"/>
        <v>14:46:50.872</v>
      </c>
      <c r="U3143" t="str">
        <f t="shared" si="1467"/>
        <v>A9808D</v>
      </c>
      <c r="V3143">
        <v>0</v>
      </c>
      <c r="W3143">
        <v>0</v>
      </c>
      <c r="X3143">
        <v>1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0</v>
      </c>
      <c r="AI3143" t="s">
        <v>227</v>
      </c>
      <c r="AJ3143">
        <v>28.246644</v>
      </c>
      <c r="AK3143" t="s">
        <v>758</v>
      </c>
      <c r="AL3143">
        <v>-82.281460999999993</v>
      </c>
      <c r="AM3143">
        <v>100</v>
      </c>
      <c r="AN3143">
        <v>2300</v>
      </c>
      <c r="AO3143" t="s">
        <v>118</v>
      </c>
      <c r="AP3143">
        <v>134</v>
      </c>
      <c r="AQ3143">
        <v>-4</v>
      </c>
      <c r="AR3143">
        <v>-320</v>
      </c>
      <c r="AZ3143">
        <v>1200</v>
      </c>
      <c r="BA3143">
        <v>1</v>
      </c>
      <c r="BB3143" t="str">
        <f t="shared" si="1448"/>
        <v xml:space="preserve">N711JA  </v>
      </c>
      <c r="BC3143">
        <v>1</v>
      </c>
      <c r="BE3143">
        <v>0</v>
      </c>
      <c r="BF3143">
        <v>0</v>
      </c>
      <c r="BG3143">
        <v>0</v>
      </c>
      <c r="BH3143">
        <v>2350</v>
      </c>
      <c r="BI3143">
        <v>1</v>
      </c>
      <c r="BJ3143">
        <v>1</v>
      </c>
      <c r="BK3143">
        <v>0</v>
      </c>
      <c r="BL3143">
        <v>0</v>
      </c>
      <c r="BO3143">
        <v>0</v>
      </c>
      <c r="BP3143">
        <v>0</v>
      </c>
      <c r="BW3143" t="str">
        <f t="shared" si="1471"/>
        <v>14:46:51.177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8</v>
      </c>
      <c r="CR3143">
        <v>3</v>
      </c>
      <c r="CW3143">
        <v>8998975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1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 t="shared" si="1468"/>
        <v>05/12/2020 14:46:33.347</v>
      </c>
      <c r="C3144" t="str">
        <f t="shared" si="1447"/>
        <v>FFDFD3C0</v>
      </c>
      <c r="D3144" t="s">
        <v>138</v>
      </c>
      <c r="E3144">
        <v>2</v>
      </c>
      <c r="H3144">
        <v>8</v>
      </c>
      <c r="I3144" t="s">
        <v>139</v>
      </c>
      <c r="J3144" t="s">
        <v>136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469"/>
        <v>14:46:51.172</v>
      </c>
      <c r="T3144" t="str">
        <f t="shared" si="1470"/>
        <v>14:46:50.872</v>
      </c>
      <c r="U3144" t="str">
        <f t="shared" si="1467"/>
        <v>A9808D</v>
      </c>
      <c r="V3144">
        <v>0</v>
      </c>
      <c r="W3144">
        <v>0</v>
      </c>
      <c r="X3144">
        <v>1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0</v>
      </c>
      <c r="AI3144" t="s">
        <v>227</v>
      </c>
      <c r="AJ3144">
        <v>28.246644</v>
      </c>
      <c r="AK3144" t="s">
        <v>758</v>
      </c>
      <c r="AL3144">
        <v>-82.281460999999993</v>
      </c>
      <c r="AM3144">
        <v>100</v>
      </c>
      <c r="AN3144">
        <v>2300</v>
      </c>
      <c r="AO3144" t="s">
        <v>118</v>
      </c>
      <c r="AP3144">
        <v>134</v>
      </c>
      <c r="AQ3144">
        <v>-4</v>
      </c>
      <c r="AR3144">
        <v>-320</v>
      </c>
      <c r="AZ3144">
        <v>1200</v>
      </c>
      <c r="BA3144">
        <v>1</v>
      </c>
      <c r="BB3144" t="str">
        <f t="shared" si="1448"/>
        <v xml:space="preserve">N711JA  </v>
      </c>
      <c r="BC3144">
        <v>1</v>
      </c>
      <c r="BE3144">
        <v>0</v>
      </c>
      <c r="BF3144">
        <v>0</v>
      </c>
      <c r="BG3144">
        <v>0</v>
      </c>
      <c r="BH3144">
        <v>2350</v>
      </c>
      <c r="BI3144">
        <v>1</v>
      </c>
      <c r="BJ3144">
        <v>1</v>
      </c>
      <c r="BK3144">
        <v>0</v>
      </c>
      <c r="BL3144">
        <v>0</v>
      </c>
      <c r="BO3144">
        <v>0</v>
      </c>
      <c r="BP3144">
        <v>0</v>
      </c>
      <c r="BW3144" t="str">
        <f t="shared" si="1471"/>
        <v>14:46:51.177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7</v>
      </c>
      <c r="CP3144" t="s">
        <v>119</v>
      </c>
      <c r="CQ3144">
        <v>8</v>
      </c>
      <c r="CR3144">
        <v>3</v>
      </c>
      <c r="CW3144">
        <v>8998975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1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 t="shared" si="1468"/>
        <v>05/12/2020 14:46:33.347</v>
      </c>
      <c r="C3145" t="str">
        <f t="shared" si="1447"/>
        <v>FFDFD3C0</v>
      </c>
      <c r="D3145" t="s">
        <v>134</v>
      </c>
      <c r="E3145">
        <v>12</v>
      </c>
      <c r="H3145">
        <v>64</v>
      </c>
      <c r="I3145" t="s">
        <v>135</v>
      </c>
      <c r="J3145" t="s">
        <v>136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si="1469"/>
        <v>14:46:51.172</v>
      </c>
      <c r="T3145" t="str">
        <f t="shared" si="1470"/>
        <v>14:46:50.872</v>
      </c>
      <c r="U3145" t="str">
        <f t="shared" si="1467"/>
        <v>A9808D</v>
      </c>
      <c r="V3145">
        <v>0</v>
      </c>
      <c r="W3145">
        <v>0</v>
      </c>
      <c r="X3145">
        <v>1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0</v>
      </c>
      <c r="AI3145" t="s">
        <v>227</v>
      </c>
      <c r="AJ3145">
        <v>28.246644</v>
      </c>
      <c r="AK3145" t="s">
        <v>758</v>
      </c>
      <c r="AL3145">
        <v>-82.281460999999993</v>
      </c>
      <c r="AM3145">
        <v>100</v>
      </c>
      <c r="AN3145">
        <v>2300</v>
      </c>
      <c r="AO3145" t="s">
        <v>118</v>
      </c>
      <c r="AP3145">
        <v>134</v>
      </c>
      <c r="AQ3145">
        <v>-4</v>
      </c>
      <c r="AR3145">
        <v>-320</v>
      </c>
      <c r="AZ3145">
        <v>1200</v>
      </c>
      <c r="BA3145">
        <v>1</v>
      </c>
      <c r="BB3145" t="str">
        <f t="shared" si="1448"/>
        <v xml:space="preserve">N711JA  </v>
      </c>
      <c r="BC3145">
        <v>1</v>
      </c>
      <c r="BE3145">
        <v>0</v>
      </c>
      <c r="BF3145">
        <v>0</v>
      </c>
      <c r="BG3145">
        <v>0</v>
      </c>
      <c r="BH3145">
        <v>2350</v>
      </c>
      <c r="BI3145">
        <v>1</v>
      </c>
      <c r="BJ3145">
        <v>1</v>
      </c>
      <c r="BK3145">
        <v>0</v>
      </c>
      <c r="BL3145">
        <v>0</v>
      </c>
      <c r="BO3145">
        <v>0</v>
      </c>
      <c r="BP3145">
        <v>0</v>
      </c>
      <c r="BW3145" t="str">
        <f t="shared" si="1471"/>
        <v>14:46:51.177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8</v>
      </c>
      <c r="CR3145">
        <v>3</v>
      </c>
      <c r="CW3145">
        <v>8998975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1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 t="shared" si="1468"/>
        <v>05/12/2020 14:46:33.347</v>
      </c>
      <c r="C3146" t="str">
        <f t="shared" si="1447"/>
        <v>FFDFD3C0</v>
      </c>
      <c r="D3146" t="s">
        <v>138</v>
      </c>
      <c r="E3146">
        <v>3</v>
      </c>
      <c r="H3146">
        <v>9</v>
      </c>
      <c r="I3146" t="s">
        <v>140</v>
      </c>
      <c r="J3146" t="s">
        <v>136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469"/>
        <v>14:46:51.172</v>
      </c>
      <c r="T3146" t="str">
        <f t="shared" si="1470"/>
        <v>14:46:50.872</v>
      </c>
      <c r="U3146" t="str">
        <f t="shared" si="1467"/>
        <v>A9808D</v>
      </c>
      <c r="V3146">
        <v>0</v>
      </c>
      <c r="W3146">
        <v>0</v>
      </c>
      <c r="X3146">
        <v>1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0</v>
      </c>
      <c r="AI3146" t="s">
        <v>227</v>
      </c>
      <c r="AJ3146">
        <v>28.246644</v>
      </c>
      <c r="AK3146" t="s">
        <v>758</v>
      </c>
      <c r="AL3146">
        <v>-82.281460999999993</v>
      </c>
      <c r="AM3146">
        <v>100</v>
      </c>
      <c r="AN3146">
        <v>2300</v>
      </c>
      <c r="AO3146" t="s">
        <v>118</v>
      </c>
      <c r="AP3146">
        <v>134</v>
      </c>
      <c r="AQ3146">
        <v>-4</v>
      </c>
      <c r="AR3146">
        <v>-320</v>
      </c>
      <c r="AZ3146">
        <v>1200</v>
      </c>
      <c r="BA3146">
        <v>1</v>
      </c>
      <c r="BB3146" t="str">
        <f t="shared" si="1448"/>
        <v xml:space="preserve">N711JA  </v>
      </c>
      <c r="BC3146">
        <v>1</v>
      </c>
      <c r="BE3146">
        <v>0</v>
      </c>
      <c r="BF3146">
        <v>0</v>
      </c>
      <c r="BG3146">
        <v>0</v>
      </c>
      <c r="BH3146">
        <v>2350</v>
      </c>
      <c r="BI3146">
        <v>1</v>
      </c>
      <c r="BJ3146">
        <v>1</v>
      </c>
      <c r="BK3146">
        <v>0</v>
      </c>
      <c r="BL3146">
        <v>0</v>
      </c>
      <c r="BO3146">
        <v>0</v>
      </c>
      <c r="BP3146">
        <v>0</v>
      </c>
      <c r="BW3146" t="str">
        <f t="shared" si="1471"/>
        <v>14:46:51.177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8</v>
      </c>
      <c r="CR3146">
        <v>3</v>
      </c>
      <c r="CW3146">
        <v>8998975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1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 t="shared" si="1468"/>
        <v>05/12/2020 14:46:33.347</v>
      </c>
      <c r="C3147" t="str">
        <f t="shared" si="1447"/>
        <v>FFDFD3C0</v>
      </c>
      <c r="D3147" t="s">
        <v>126</v>
      </c>
      <c r="E3147">
        <v>7</v>
      </c>
      <c r="F3147">
        <v>1007</v>
      </c>
      <c r="G3147" t="s">
        <v>127</v>
      </c>
      <c r="J3147" t="s">
        <v>128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469"/>
        <v>14:46:51.172</v>
      </c>
      <c r="T3147" t="str">
        <f t="shared" si="1470"/>
        <v>14:46:50.872</v>
      </c>
      <c r="U3147" t="str">
        <f t="shared" si="1467"/>
        <v>A9808D</v>
      </c>
      <c r="V3147">
        <v>0</v>
      </c>
      <c r="W3147">
        <v>0</v>
      </c>
      <c r="X3147">
        <v>1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0</v>
      </c>
      <c r="AI3147" t="s">
        <v>227</v>
      </c>
      <c r="AJ3147">
        <v>28.246644</v>
      </c>
      <c r="AK3147" t="s">
        <v>758</v>
      </c>
      <c r="AL3147">
        <v>-82.281460999999993</v>
      </c>
      <c r="AM3147">
        <v>100</v>
      </c>
      <c r="AN3147">
        <v>2300</v>
      </c>
      <c r="AO3147" t="s">
        <v>118</v>
      </c>
      <c r="AP3147">
        <v>134</v>
      </c>
      <c r="AQ3147">
        <v>-4</v>
      </c>
      <c r="AR3147">
        <v>-320</v>
      </c>
      <c r="AZ3147">
        <v>1200</v>
      </c>
      <c r="BA3147">
        <v>1</v>
      </c>
      <c r="BB3147" t="str">
        <f t="shared" si="1448"/>
        <v xml:space="preserve">N711JA  </v>
      </c>
      <c r="BC3147">
        <v>1</v>
      </c>
      <c r="BE3147">
        <v>0</v>
      </c>
      <c r="BF3147">
        <v>0</v>
      </c>
      <c r="BG3147">
        <v>0</v>
      </c>
      <c r="BH3147">
        <v>2350</v>
      </c>
      <c r="BI3147">
        <v>1</v>
      </c>
      <c r="BJ3147">
        <v>1</v>
      </c>
      <c r="BK3147">
        <v>0</v>
      </c>
      <c r="BL3147">
        <v>0</v>
      </c>
      <c r="BO3147">
        <v>0</v>
      </c>
      <c r="BP3147">
        <v>0</v>
      </c>
      <c r="BW3147" t="str">
        <f t="shared" si="1471"/>
        <v>14:46:51.177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8</v>
      </c>
      <c r="CR3147">
        <v>3</v>
      </c>
      <c r="CW3147">
        <v>8998975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1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 t="shared" si="1468"/>
        <v>05/12/2020 14:46:33.347</v>
      </c>
      <c r="C3148" t="str">
        <f t="shared" si="1447"/>
        <v>FFDFD3C0</v>
      </c>
      <c r="D3148" t="s">
        <v>131</v>
      </c>
      <c r="E3148">
        <v>10</v>
      </c>
      <c r="F3148">
        <v>2010</v>
      </c>
      <c r="G3148" t="s">
        <v>132</v>
      </c>
      <c r="J3148" t="s">
        <v>133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469"/>
        <v>14:46:51.172</v>
      </c>
      <c r="T3148" t="str">
        <f t="shared" si="1470"/>
        <v>14:46:50.872</v>
      </c>
      <c r="U3148" t="str">
        <f t="shared" si="1467"/>
        <v>A9808D</v>
      </c>
      <c r="V3148">
        <v>0</v>
      </c>
      <c r="W3148">
        <v>0</v>
      </c>
      <c r="X3148">
        <v>1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0</v>
      </c>
      <c r="AI3148" t="s">
        <v>227</v>
      </c>
      <c r="AJ3148">
        <v>28.246644</v>
      </c>
      <c r="AK3148" t="s">
        <v>758</v>
      </c>
      <c r="AL3148">
        <v>-82.281460999999993</v>
      </c>
      <c r="AM3148">
        <v>100</v>
      </c>
      <c r="AN3148">
        <v>2300</v>
      </c>
      <c r="AO3148" t="s">
        <v>118</v>
      </c>
      <c r="AP3148">
        <v>134</v>
      </c>
      <c r="AQ3148">
        <v>-4</v>
      </c>
      <c r="AR3148">
        <v>-320</v>
      </c>
      <c r="AZ3148">
        <v>1200</v>
      </c>
      <c r="BA3148">
        <v>1</v>
      </c>
      <c r="BB3148" t="str">
        <f t="shared" si="1448"/>
        <v xml:space="preserve">N711JA  </v>
      </c>
      <c r="BC3148">
        <v>1</v>
      </c>
      <c r="BE3148">
        <v>0</v>
      </c>
      <c r="BF3148">
        <v>0</v>
      </c>
      <c r="BG3148">
        <v>0</v>
      </c>
      <c r="BH3148">
        <v>2350</v>
      </c>
      <c r="BI3148">
        <v>1</v>
      </c>
      <c r="BJ3148">
        <v>1</v>
      </c>
      <c r="BK3148">
        <v>0</v>
      </c>
      <c r="BL3148">
        <v>0</v>
      </c>
      <c r="BO3148">
        <v>0</v>
      </c>
      <c r="BP3148">
        <v>0</v>
      </c>
      <c r="BW3148" t="str">
        <f t="shared" si="1471"/>
        <v>14:46:51.177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8</v>
      </c>
      <c r="CR3148">
        <v>3</v>
      </c>
      <c r="CW3148">
        <v>8998975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1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 t="shared" ref="A3149:A3157" si="1472">"05/12/2020 14:46:34.380"</f>
        <v>05/12/2020 14:46:34.380</v>
      </c>
      <c r="C3149" t="str">
        <f t="shared" si="1447"/>
        <v>FFDFD3C0</v>
      </c>
      <c r="D3149" t="s">
        <v>126</v>
      </c>
      <c r="E3149">
        <v>6</v>
      </c>
      <c r="F3149">
        <v>1006</v>
      </c>
      <c r="G3149" t="s">
        <v>114</v>
      </c>
      <c r="J3149" t="s">
        <v>128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ref="S3149:S3157" si="1473">"14:46:52.219"</f>
        <v>14:46:52.219</v>
      </c>
      <c r="T3149" t="str">
        <f t="shared" ref="T3149:T3157" si="1474">"14:46:51.819"</f>
        <v>14:46:51.819</v>
      </c>
      <c r="U3149" t="str">
        <f t="shared" si="1467"/>
        <v>A9808D</v>
      </c>
      <c r="V3149">
        <v>0</v>
      </c>
      <c r="W3149">
        <v>0</v>
      </c>
      <c r="X3149">
        <v>1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0</v>
      </c>
      <c r="AI3149" t="s">
        <v>759</v>
      </c>
      <c r="AJ3149">
        <v>28.246621999999999</v>
      </c>
      <c r="AK3149" t="s">
        <v>760</v>
      </c>
      <c r="AL3149">
        <v>-82.280687999999998</v>
      </c>
      <c r="AM3149">
        <v>100</v>
      </c>
      <c r="AN3149">
        <v>2300</v>
      </c>
      <c r="AO3149" t="s">
        <v>118</v>
      </c>
      <c r="AP3149">
        <v>134</v>
      </c>
      <c r="AQ3149">
        <v>-3</v>
      </c>
      <c r="AR3149">
        <v>-320</v>
      </c>
      <c r="AZ3149">
        <v>1200</v>
      </c>
      <c r="BA3149">
        <v>1</v>
      </c>
      <c r="BB3149" t="str">
        <f t="shared" si="1448"/>
        <v xml:space="preserve">N711JA  </v>
      </c>
      <c r="BC3149">
        <v>1</v>
      </c>
      <c r="BE3149">
        <v>0</v>
      </c>
      <c r="BF3149">
        <v>0</v>
      </c>
      <c r="BG3149">
        <v>0</v>
      </c>
      <c r="BH3149">
        <v>2325</v>
      </c>
      <c r="BI3149">
        <v>1</v>
      </c>
      <c r="BJ3149">
        <v>1</v>
      </c>
      <c r="BK3149">
        <v>0</v>
      </c>
      <c r="BL3149">
        <v>0</v>
      </c>
      <c r="BO3149">
        <v>0</v>
      </c>
      <c r="BP3149">
        <v>0</v>
      </c>
      <c r="BW3149" t="str">
        <f t="shared" ref="BW3149:BW3156" si="1475">"14:46:52.220"</f>
        <v>14:46:52.220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8</v>
      </c>
      <c r="CR3149">
        <v>3</v>
      </c>
      <c r="CW3149">
        <v>9000085</v>
      </c>
      <c r="CY3149">
        <v>1</v>
      </c>
      <c r="CZ3149">
        <v>0</v>
      </c>
      <c r="DA3149">
        <v>0</v>
      </c>
      <c r="DB3149">
        <v>0</v>
      </c>
      <c r="DC3149">
        <v>0</v>
      </c>
      <c r="DD3149">
        <v>1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 t="shared" si="1472"/>
        <v>05/12/2020 14:46:34.380</v>
      </c>
      <c r="C3150" t="str">
        <f t="shared" si="1447"/>
        <v>FFDFD3C0</v>
      </c>
      <c r="D3150" t="s">
        <v>113</v>
      </c>
      <c r="E3150">
        <v>3</v>
      </c>
      <c r="H3150">
        <v>164</v>
      </c>
      <c r="I3150" t="s">
        <v>114</v>
      </c>
      <c r="J3150" t="s">
        <v>115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473"/>
        <v>14:46:52.219</v>
      </c>
      <c r="T3150" t="str">
        <f t="shared" si="1474"/>
        <v>14:46:51.819</v>
      </c>
      <c r="U3150" t="str">
        <f t="shared" si="1467"/>
        <v>A9808D</v>
      </c>
      <c r="V3150">
        <v>0</v>
      </c>
      <c r="W3150">
        <v>0</v>
      </c>
      <c r="X3150">
        <v>1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0</v>
      </c>
      <c r="AI3150" t="s">
        <v>759</v>
      </c>
      <c r="AJ3150">
        <v>28.246621999999999</v>
      </c>
      <c r="AK3150" t="s">
        <v>760</v>
      </c>
      <c r="AL3150">
        <v>-82.280687999999998</v>
      </c>
      <c r="AM3150">
        <v>100</v>
      </c>
      <c r="AN3150">
        <v>2300</v>
      </c>
      <c r="AO3150" t="s">
        <v>118</v>
      </c>
      <c r="AP3150">
        <v>134</v>
      </c>
      <c r="AQ3150">
        <v>-3</v>
      </c>
      <c r="AR3150">
        <v>-320</v>
      </c>
      <c r="AZ3150">
        <v>1200</v>
      </c>
      <c r="BA3150">
        <v>1</v>
      </c>
      <c r="BB3150" t="str">
        <f t="shared" si="1448"/>
        <v xml:space="preserve">N711JA  </v>
      </c>
      <c r="BC3150">
        <v>1</v>
      </c>
      <c r="BE3150">
        <v>0</v>
      </c>
      <c r="BF3150">
        <v>0</v>
      </c>
      <c r="BG3150">
        <v>0</v>
      </c>
      <c r="BH3150">
        <v>2325</v>
      </c>
      <c r="BI3150">
        <v>1</v>
      </c>
      <c r="BJ3150">
        <v>1</v>
      </c>
      <c r="BK3150">
        <v>0</v>
      </c>
      <c r="BL3150">
        <v>0</v>
      </c>
      <c r="BO3150">
        <v>0</v>
      </c>
      <c r="BP3150">
        <v>0</v>
      </c>
      <c r="BW3150" t="str">
        <f t="shared" si="1475"/>
        <v>14:46:52.220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8</v>
      </c>
      <c r="CR3150">
        <v>3</v>
      </c>
      <c r="CW3150">
        <v>9000085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1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 t="shared" si="1472"/>
        <v>05/12/2020 14:46:34.380</v>
      </c>
      <c r="C3151" t="str">
        <f t="shared" si="1447"/>
        <v>FFDFD3C0</v>
      </c>
      <c r="D3151" t="s">
        <v>134</v>
      </c>
      <c r="E3151">
        <v>12</v>
      </c>
      <c r="H3151">
        <v>64</v>
      </c>
      <c r="I3151" t="s">
        <v>135</v>
      </c>
      <c r="J3151" t="s">
        <v>136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si="1473"/>
        <v>14:46:52.219</v>
      </c>
      <c r="T3151" t="str">
        <f t="shared" si="1474"/>
        <v>14:46:51.819</v>
      </c>
      <c r="U3151" t="str">
        <f t="shared" si="1467"/>
        <v>A9808D</v>
      </c>
      <c r="V3151">
        <v>0</v>
      </c>
      <c r="W3151">
        <v>0</v>
      </c>
      <c r="X3151">
        <v>1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0</v>
      </c>
      <c r="AI3151" t="s">
        <v>759</v>
      </c>
      <c r="AJ3151">
        <v>28.246621999999999</v>
      </c>
      <c r="AK3151" t="s">
        <v>760</v>
      </c>
      <c r="AL3151">
        <v>-82.280687999999998</v>
      </c>
      <c r="AM3151">
        <v>100</v>
      </c>
      <c r="AN3151">
        <v>2300</v>
      </c>
      <c r="AO3151" t="s">
        <v>118</v>
      </c>
      <c r="AP3151">
        <v>134</v>
      </c>
      <c r="AQ3151">
        <v>-3</v>
      </c>
      <c r="AR3151">
        <v>-320</v>
      </c>
      <c r="AZ3151">
        <v>1200</v>
      </c>
      <c r="BA3151">
        <v>1</v>
      </c>
      <c r="BB3151" t="str">
        <f t="shared" si="1448"/>
        <v xml:space="preserve">N711JA  </v>
      </c>
      <c r="BC3151">
        <v>1</v>
      </c>
      <c r="BE3151">
        <v>0</v>
      </c>
      <c r="BF3151">
        <v>0</v>
      </c>
      <c r="BG3151">
        <v>0</v>
      </c>
      <c r="BH3151">
        <v>2325</v>
      </c>
      <c r="BI3151">
        <v>1</v>
      </c>
      <c r="BJ3151">
        <v>1</v>
      </c>
      <c r="BK3151">
        <v>0</v>
      </c>
      <c r="BL3151">
        <v>0</v>
      </c>
      <c r="BO3151">
        <v>0</v>
      </c>
      <c r="BP3151">
        <v>0</v>
      </c>
      <c r="BW3151" t="str">
        <f t="shared" si="1475"/>
        <v>14:46:52.220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8</v>
      </c>
      <c r="CR3151">
        <v>3</v>
      </c>
      <c r="CW3151">
        <v>9000085</v>
      </c>
      <c r="CY3151">
        <v>1</v>
      </c>
      <c r="CZ3151">
        <v>0</v>
      </c>
      <c r="DA3151">
        <v>1</v>
      </c>
      <c r="DB3151">
        <v>0</v>
      </c>
      <c r="DC3151">
        <v>0</v>
      </c>
      <c r="DD3151">
        <v>1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 t="shared" si="1472"/>
        <v>05/12/2020 14:46:34.380</v>
      </c>
      <c r="C3152" t="str">
        <f t="shared" si="1447"/>
        <v>FFDFD3C0</v>
      </c>
      <c r="D3152" t="s">
        <v>138</v>
      </c>
      <c r="E3152">
        <v>2</v>
      </c>
      <c r="H3152">
        <v>8</v>
      </c>
      <c r="I3152" t="s">
        <v>139</v>
      </c>
      <c r="J3152" t="s">
        <v>136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 t="shared" si="1473"/>
        <v>14:46:52.219</v>
      </c>
      <c r="T3152" t="str">
        <f t="shared" si="1474"/>
        <v>14:46:51.819</v>
      </c>
      <c r="U3152" t="str">
        <f t="shared" si="1467"/>
        <v>A9808D</v>
      </c>
      <c r="V3152">
        <v>0</v>
      </c>
      <c r="W3152">
        <v>0</v>
      </c>
      <c r="X3152">
        <v>1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0</v>
      </c>
      <c r="AI3152" t="s">
        <v>759</v>
      </c>
      <c r="AJ3152">
        <v>28.246621999999999</v>
      </c>
      <c r="AK3152" t="s">
        <v>760</v>
      </c>
      <c r="AL3152">
        <v>-82.280687999999998</v>
      </c>
      <c r="AM3152">
        <v>100</v>
      </c>
      <c r="AN3152">
        <v>2300</v>
      </c>
      <c r="AO3152" t="s">
        <v>118</v>
      </c>
      <c r="AP3152">
        <v>134</v>
      </c>
      <c r="AQ3152">
        <v>-3</v>
      </c>
      <c r="AR3152">
        <v>-320</v>
      </c>
      <c r="AZ3152">
        <v>1200</v>
      </c>
      <c r="BA3152">
        <v>1</v>
      </c>
      <c r="BB3152" t="str">
        <f t="shared" si="1448"/>
        <v xml:space="preserve">N711JA  </v>
      </c>
      <c r="BC3152">
        <v>1</v>
      </c>
      <c r="BE3152">
        <v>0</v>
      </c>
      <c r="BF3152">
        <v>0</v>
      </c>
      <c r="BG3152">
        <v>0</v>
      </c>
      <c r="BH3152">
        <v>2325</v>
      </c>
      <c r="BI3152">
        <v>1</v>
      </c>
      <c r="BJ3152">
        <v>1</v>
      </c>
      <c r="BK3152">
        <v>0</v>
      </c>
      <c r="BL3152">
        <v>0</v>
      </c>
      <c r="BO3152">
        <v>0</v>
      </c>
      <c r="BP3152">
        <v>0</v>
      </c>
      <c r="BW3152" t="str">
        <f t="shared" si="1475"/>
        <v>14:46:52.220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8</v>
      </c>
      <c r="CR3152">
        <v>3</v>
      </c>
      <c r="CW3152">
        <v>9000085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1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 t="shared" si="1472"/>
        <v>05/12/2020 14:46:34.380</v>
      </c>
      <c r="C3153" t="str">
        <f t="shared" si="1447"/>
        <v>FFDFD3C0</v>
      </c>
      <c r="D3153" t="s">
        <v>138</v>
      </c>
      <c r="E3153">
        <v>3</v>
      </c>
      <c r="H3153">
        <v>9</v>
      </c>
      <c r="I3153" t="s">
        <v>140</v>
      </c>
      <c r="J3153" t="s">
        <v>136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si="1473"/>
        <v>14:46:52.219</v>
      </c>
      <c r="T3153" t="str">
        <f t="shared" si="1474"/>
        <v>14:46:51.819</v>
      </c>
      <c r="U3153" t="str">
        <f t="shared" si="1467"/>
        <v>A9808D</v>
      </c>
      <c r="V3153">
        <v>0</v>
      </c>
      <c r="W3153">
        <v>0</v>
      </c>
      <c r="X3153">
        <v>1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0</v>
      </c>
      <c r="AI3153" t="s">
        <v>759</v>
      </c>
      <c r="AJ3153">
        <v>28.246621999999999</v>
      </c>
      <c r="AK3153" t="s">
        <v>760</v>
      </c>
      <c r="AL3153">
        <v>-82.280687999999998</v>
      </c>
      <c r="AM3153">
        <v>100</v>
      </c>
      <c r="AN3153">
        <v>2300</v>
      </c>
      <c r="AO3153" t="s">
        <v>118</v>
      </c>
      <c r="AP3153">
        <v>134</v>
      </c>
      <c r="AQ3153">
        <v>-3</v>
      </c>
      <c r="AR3153">
        <v>-320</v>
      </c>
      <c r="AZ3153">
        <v>1200</v>
      </c>
      <c r="BA3153">
        <v>1</v>
      </c>
      <c r="BB3153" t="str">
        <f t="shared" si="1448"/>
        <v xml:space="preserve">N711JA  </v>
      </c>
      <c r="BC3153">
        <v>1</v>
      </c>
      <c r="BE3153">
        <v>0</v>
      </c>
      <c r="BF3153">
        <v>0</v>
      </c>
      <c r="BG3153">
        <v>0</v>
      </c>
      <c r="BH3153">
        <v>2325</v>
      </c>
      <c r="BI3153">
        <v>1</v>
      </c>
      <c r="BJ3153">
        <v>1</v>
      </c>
      <c r="BK3153">
        <v>0</v>
      </c>
      <c r="BL3153">
        <v>0</v>
      </c>
      <c r="BO3153">
        <v>0</v>
      </c>
      <c r="BP3153">
        <v>0</v>
      </c>
      <c r="BW3153" t="str">
        <f t="shared" si="1475"/>
        <v>14:46:52.220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8</v>
      </c>
      <c r="CR3153">
        <v>3</v>
      </c>
      <c r="CW3153">
        <v>9000085</v>
      </c>
      <c r="CY3153">
        <v>1</v>
      </c>
      <c r="CZ3153">
        <v>0</v>
      </c>
      <c r="DA3153">
        <v>1</v>
      </c>
      <c r="DB3153">
        <v>0</v>
      </c>
      <c r="DC3153">
        <v>0</v>
      </c>
      <c r="DD3153">
        <v>1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 t="shared" si="1472"/>
        <v>05/12/2020 14:46:34.380</v>
      </c>
      <c r="C3154" t="str">
        <f t="shared" si="1447"/>
        <v>FFDFD3C0</v>
      </c>
      <c r="D3154" t="s">
        <v>126</v>
      </c>
      <c r="E3154">
        <v>7</v>
      </c>
      <c r="F3154">
        <v>1007</v>
      </c>
      <c r="G3154" t="s">
        <v>127</v>
      </c>
      <c r="J3154" t="s">
        <v>128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473"/>
        <v>14:46:52.219</v>
      </c>
      <c r="T3154" t="str">
        <f t="shared" si="1474"/>
        <v>14:46:51.819</v>
      </c>
      <c r="U3154" t="str">
        <f t="shared" si="1467"/>
        <v>A9808D</v>
      </c>
      <c r="V3154">
        <v>0</v>
      </c>
      <c r="W3154">
        <v>0</v>
      </c>
      <c r="X3154">
        <v>1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0</v>
      </c>
      <c r="AI3154" t="s">
        <v>759</v>
      </c>
      <c r="AJ3154">
        <v>28.246621999999999</v>
      </c>
      <c r="AK3154" t="s">
        <v>760</v>
      </c>
      <c r="AL3154">
        <v>-82.280687999999998</v>
      </c>
      <c r="AM3154">
        <v>100</v>
      </c>
      <c r="AN3154">
        <v>2300</v>
      </c>
      <c r="AO3154" t="s">
        <v>118</v>
      </c>
      <c r="AP3154">
        <v>134</v>
      </c>
      <c r="AQ3154">
        <v>-3</v>
      </c>
      <c r="AR3154">
        <v>-320</v>
      </c>
      <c r="AZ3154">
        <v>1200</v>
      </c>
      <c r="BA3154">
        <v>1</v>
      </c>
      <c r="BB3154" t="str">
        <f t="shared" si="1448"/>
        <v xml:space="preserve">N711JA  </v>
      </c>
      <c r="BC3154">
        <v>1</v>
      </c>
      <c r="BE3154">
        <v>0</v>
      </c>
      <c r="BF3154">
        <v>0</v>
      </c>
      <c r="BG3154">
        <v>0</v>
      </c>
      <c r="BH3154">
        <v>2325</v>
      </c>
      <c r="BI3154">
        <v>1</v>
      </c>
      <c r="BJ3154">
        <v>1</v>
      </c>
      <c r="BK3154">
        <v>0</v>
      </c>
      <c r="BL3154">
        <v>0</v>
      </c>
      <c r="BO3154">
        <v>0</v>
      </c>
      <c r="BP3154">
        <v>0</v>
      </c>
      <c r="BW3154" t="str">
        <f t="shared" si="1475"/>
        <v>14:46:52.220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8</v>
      </c>
      <c r="CR3154">
        <v>3</v>
      </c>
      <c r="CW3154">
        <v>9000085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1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 t="shared" si="1472"/>
        <v>05/12/2020 14:46:34.380</v>
      </c>
      <c r="C3155" t="str">
        <f t="shared" si="1447"/>
        <v>FFDFD3C0</v>
      </c>
      <c r="D3155" t="s">
        <v>131</v>
      </c>
      <c r="E3155">
        <v>10</v>
      </c>
      <c r="F3155">
        <v>2010</v>
      </c>
      <c r="G3155" t="s">
        <v>132</v>
      </c>
      <c r="J3155" t="s">
        <v>133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473"/>
        <v>14:46:52.219</v>
      </c>
      <c r="T3155" t="str">
        <f t="shared" si="1474"/>
        <v>14:46:51.819</v>
      </c>
      <c r="U3155" t="str">
        <f t="shared" si="1467"/>
        <v>A9808D</v>
      </c>
      <c r="V3155">
        <v>0</v>
      </c>
      <c r="W3155">
        <v>0</v>
      </c>
      <c r="X3155">
        <v>1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0</v>
      </c>
      <c r="AI3155" t="s">
        <v>759</v>
      </c>
      <c r="AJ3155">
        <v>28.246621999999999</v>
      </c>
      <c r="AK3155" t="s">
        <v>760</v>
      </c>
      <c r="AL3155">
        <v>-82.280687999999998</v>
      </c>
      <c r="AM3155">
        <v>100</v>
      </c>
      <c r="AN3155">
        <v>2300</v>
      </c>
      <c r="AO3155" t="s">
        <v>118</v>
      </c>
      <c r="AP3155">
        <v>134</v>
      </c>
      <c r="AQ3155">
        <v>-3</v>
      </c>
      <c r="AR3155">
        <v>-320</v>
      </c>
      <c r="AZ3155">
        <v>1200</v>
      </c>
      <c r="BA3155">
        <v>1</v>
      </c>
      <c r="BB3155" t="str">
        <f t="shared" si="1448"/>
        <v xml:space="preserve">N711JA  </v>
      </c>
      <c r="BC3155">
        <v>1</v>
      </c>
      <c r="BE3155">
        <v>0</v>
      </c>
      <c r="BF3155">
        <v>0</v>
      </c>
      <c r="BG3155">
        <v>0</v>
      </c>
      <c r="BH3155">
        <v>2325</v>
      </c>
      <c r="BI3155">
        <v>1</v>
      </c>
      <c r="BJ3155">
        <v>1</v>
      </c>
      <c r="BK3155">
        <v>0</v>
      </c>
      <c r="BL3155">
        <v>0</v>
      </c>
      <c r="BO3155">
        <v>0</v>
      </c>
      <c r="BP3155">
        <v>0</v>
      </c>
      <c r="BW3155" t="str">
        <f t="shared" si="1475"/>
        <v>14:46:52.220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8</v>
      </c>
      <c r="CR3155">
        <v>3</v>
      </c>
      <c r="CW3155">
        <v>9000085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1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 t="shared" si="1472"/>
        <v>05/12/2020 14:46:34.380</v>
      </c>
      <c r="C3156" t="str">
        <f t="shared" si="1447"/>
        <v>FFDFD3C0</v>
      </c>
      <c r="D3156" t="s">
        <v>131</v>
      </c>
      <c r="E3156">
        <v>12</v>
      </c>
      <c r="F3156">
        <v>2012</v>
      </c>
      <c r="G3156" t="s">
        <v>137</v>
      </c>
      <c r="J3156" t="s">
        <v>133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473"/>
        <v>14:46:52.219</v>
      </c>
      <c r="T3156" t="str">
        <f t="shared" si="1474"/>
        <v>14:46:51.819</v>
      </c>
      <c r="U3156" t="str">
        <f t="shared" si="1467"/>
        <v>A9808D</v>
      </c>
      <c r="V3156">
        <v>0</v>
      </c>
      <c r="W3156">
        <v>0</v>
      </c>
      <c r="X3156">
        <v>1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0</v>
      </c>
      <c r="AI3156" t="s">
        <v>759</v>
      </c>
      <c r="AJ3156">
        <v>28.246621999999999</v>
      </c>
      <c r="AK3156" t="s">
        <v>760</v>
      </c>
      <c r="AL3156">
        <v>-82.280687999999998</v>
      </c>
      <c r="AM3156">
        <v>100</v>
      </c>
      <c r="AN3156">
        <v>2300</v>
      </c>
      <c r="AO3156" t="s">
        <v>118</v>
      </c>
      <c r="AP3156">
        <v>134</v>
      </c>
      <c r="AQ3156">
        <v>-3</v>
      </c>
      <c r="AR3156">
        <v>-320</v>
      </c>
      <c r="AZ3156">
        <v>1200</v>
      </c>
      <c r="BA3156">
        <v>1</v>
      </c>
      <c r="BB3156" t="str">
        <f t="shared" si="1448"/>
        <v xml:space="preserve">N711JA  </v>
      </c>
      <c r="BC3156">
        <v>1</v>
      </c>
      <c r="BE3156">
        <v>0</v>
      </c>
      <c r="BF3156">
        <v>0</v>
      </c>
      <c r="BG3156">
        <v>0</v>
      </c>
      <c r="BH3156">
        <v>2325</v>
      </c>
      <c r="BI3156">
        <v>1</v>
      </c>
      <c r="BJ3156">
        <v>1</v>
      </c>
      <c r="BK3156">
        <v>0</v>
      </c>
      <c r="BL3156">
        <v>0</v>
      </c>
      <c r="BO3156">
        <v>0</v>
      </c>
      <c r="BP3156">
        <v>0</v>
      </c>
      <c r="BW3156" t="str">
        <f t="shared" si="1475"/>
        <v>14:46:52.220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8</v>
      </c>
      <c r="CR3156">
        <v>3</v>
      </c>
      <c r="CW3156">
        <v>9000085</v>
      </c>
      <c r="CY3156">
        <v>1</v>
      </c>
      <c r="CZ3156">
        <v>0</v>
      </c>
      <c r="DA3156">
        <v>1</v>
      </c>
      <c r="DB3156">
        <v>0</v>
      </c>
      <c r="DC3156">
        <v>0</v>
      </c>
      <c r="DD3156">
        <v>1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 t="shared" si="1472"/>
        <v>05/12/2020 14:46:34.380</v>
      </c>
      <c r="C3157" t="str">
        <f t="shared" si="1447"/>
        <v>FFDFD3C0</v>
      </c>
      <c r="D3157" t="s">
        <v>131</v>
      </c>
      <c r="E3157">
        <v>18</v>
      </c>
      <c r="F3157">
        <v>2018</v>
      </c>
      <c r="G3157" t="s">
        <v>161</v>
      </c>
      <c r="J3157" t="s">
        <v>133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473"/>
        <v>14:46:52.219</v>
      </c>
      <c r="T3157" t="str">
        <f t="shared" si="1474"/>
        <v>14:46:51.819</v>
      </c>
      <c r="U3157" t="str">
        <f t="shared" si="1467"/>
        <v>A9808D</v>
      </c>
      <c r="V3157">
        <v>0</v>
      </c>
      <c r="W3157">
        <v>0</v>
      </c>
      <c r="X3157">
        <v>1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0</v>
      </c>
      <c r="AI3157" t="s">
        <v>759</v>
      </c>
      <c r="AJ3157">
        <v>28.246621999999999</v>
      </c>
      <c r="AK3157" t="s">
        <v>760</v>
      </c>
      <c r="AL3157">
        <v>-82.280687999999998</v>
      </c>
      <c r="AM3157">
        <v>100</v>
      </c>
      <c r="AN3157">
        <v>2300</v>
      </c>
      <c r="AO3157" t="s">
        <v>118</v>
      </c>
      <c r="AP3157">
        <v>134</v>
      </c>
      <c r="AQ3157">
        <v>-3</v>
      </c>
      <c r="AR3157">
        <v>-320</v>
      </c>
      <c r="AZ3157">
        <v>1200</v>
      </c>
      <c r="BA3157">
        <v>1</v>
      </c>
      <c r="BB3157" t="str">
        <f t="shared" si="1448"/>
        <v xml:space="preserve">N711JA  </v>
      </c>
      <c r="BC3157">
        <v>1</v>
      </c>
      <c r="BE3157">
        <v>0</v>
      </c>
      <c r="BF3157">
        <v>0</v>
      </c>
      <c r="BG3157">
        <v>0</v>
      </c>
      <c r="BH3157">
        <v>2325</v>
      </c>
      <c r="BI3157">
        <v>1</v>
      </c>
      <c r="BJ3157">
        <v>1</v>
      </c>
      <c r="BK3157">
        <v>0</v>
      </c>
      <c r="BL3157">
        <v>0</v>
      </c>
      <c r="BO3157">
        <v>0</v>
      </c>
      <c r="BP3157">
        <v>0</v>
      </c>
      <c r="BW3157" t="str">
        <f>"14:46:52.221"</f>
        <v>14:46:52.221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6</v>
      </c>
      <c r="CP3157" t="s">
        <v>119</v>
      </c>
      <c r="CQ3157">
        <v>56</v>
      </c>
      <c r="CR3157">
        <v>2</v>
      </c>
      <c r="CW3157">
        <v>4966974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1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 t="shared" ref="A3158:A3166" si="1476">"05/12/2020 14:46:35.338"</f>
        <v>05/12/2020 14:46:35.338</v>
      </c>
      <c r="C3158" t="str">
        <f t="shared" ref="C3158:C3221" si="1477">"FFDFD3C0"</f>
        <v>FFDFD3C0</v>
      </c>
      <c r="D3158" t="s">
        <v>126</v>
      </c>
      <c r="E3158">
        <v>6</v>
      </c>
      <c r="F3158">
        <v>1006</v>
      </c>
      <c r="G3158" t="s">
        <v>114</v>
      </c>
      <c r="J3158" t="s">
        <v>128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ref="S3158:S3166" si="1478">"14:46:53.164"</f>
        <v>14:46:53.164</v>
      </c>
      <c r="T3158" t="str">
        <f t="shared" ref="T3158:T3166" si="1479">"14:46:52.764"</f>
        <v>14:46:52.764</v>
      </c>
      <c r="U3158" t="str">
        <f t="shared" si="1467"/>
        <v>A9808D</v>
      </c>
      <c r="V3158">
        <v>0</v>
      </c>
      <c r="W3158">
        <v>0</v>
      </c>
      <c r="X3158">
        <v>1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0</v>
      </c>
      <c r="AI3158" t="s">
        <v>227</v>
      </c>
      <c r="AJ3158">
        <v>28.246644</v>
      </c>
      <c r="AK3158" t="s">
        <v>761</v>
      </c>
      <c r="AL3158">
        <v>-82.280066000000005</v>
      </c>
      <c r="AM3158">
        <v>100</v>
      </c>
      <c r="AN3158">
        <v>2300</v>
      </c>
      <c r="AO3158" t="s">
        <v>118</v>
      </c>
      <c r="AP3158">
        <v>134</v>
      </c>
      <c r="AQ3158">
        <v>-3</v>
      </c>
      <c r="AR3158">
        <v>-320</v>
      </c>
      <c r="AZ3158">
        <v>1200</v>
      </c>
      <c r="BA3158">
        <v>1</v>
      </c>
      <c r="BB3158" t="str">
        <f t="shared" ref="BB3158:BB3221" si="1480">"N711JA  "</f>
        <v xml:space="preserve">N711JA  </v>
      </c>
      <c r="BC3158">
        <v>1</v>
      </c>
      <c r="BE3158">
        <v>0</v>
      </c>
      <c r="BF3158">
        <v>0</v>
      </c>
      <c r="BG3158">
        <v>0</v>
      </c>
      <c r="BH3158">
        <v>2325</v>
      </c>
      <c r="BI3158">
        <v>1</v>
      </c>
      <c r="BJ3158">
        <v>1</v>
      </c>
      <c r="BK3158">
        <v>0</v>
      </c>
      <c r="BL3158">
        <v>0</v>
      </c>
      <c r="BO3158">
        <v>0</v>
      </c>
      <c r="BP3158">
        <v>0</v>
      </c>
      <c r="BW3158" t="str">
        <f t="shared" ref="BW3158:BW3166" si="1481">"14:46:53.164"</f>
        <v>14:46:53.164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8</v>
      </c>
      <c r="CR3158">
        <v>3</v>
      </c>
      <c r="CW3158">
        <v>9001070</v>
      </c>
      <c r="CY3158">
        <v>1</v>
      </c>
      <c r="CZ3158">
        <v>0</v>
      </c>
      <c r="DA3158">
        <v>0</v>
      </c>
      <c r="DB3158">
        <v>0</v>
      </c>
      <c r="DC3158">
        <v>0</v>
      </c>
      <c r="DD3158">
        <v>1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 t="shared" si="1476"/>
        <v>05/12/2020 14:46:35.338</v>
      </c>
      <c r="C3159" t="str">
        <f t="shared" si="1477"/>
        <v>FFDFD3C0</v>
      </c>
      <c r="D3159" t="s">
        <v>113</v>
      </c>
      <c r="E3159">
        <v>3</v>
      </c>
      <c r="H3159">
        <v>164</v>
      </c>
      <c r="I3159" t="s">
        <v>114</v>
      </c>
      <c r="J3159" t="s">
        <v>115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si="1478"/>
        <v>14:46:53.164</v>
      </c>
      <c r="T3159" t="str">
        <f t="shared" si="1479"/>
        <v>14:46:52.764</v>
      </c>
      <c r="U3159" t="str">
        <f t="shared" si="1467"/>
        <v>A9808D</v>
      </c>
      <c r="V3159">
        <v>0</v>
      </c>
      <c r="W3159">
        <v>0</v>
      </c>
      <c r="X3159">
        <v>1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0</v>
      </c>
      <c r="AI3159" t="s">
        <v>227</v>
      </c>
      <c r="AJ3159">
        <v>28.246644</v>
      </c>
      <c r="AK3159" t="s">
        <v>761</v>
      </c>
      <c r="AL3159">
        <v>-82.280066000000005</v>
      </c>
      <c r="AM3159">
        <v>100</v>
      </c>
      <c r="AN3159">
        <v>2300</v>
      </c>
      <c r="AO3159" t="s">
        <v>118</v>
      </c>
      <c r="AP3159">
        <v>134</v>
      </c>
      <c r="AQ3159">
        <v>-3</v>
      </c>
      <c r="AR3159">
        <v>-320</v>
      </c>
      <c r="AZ3159">
        <v>1200</v>
      </c>
      <c r="BA3159">
        <v>1</v>
      </c>
      <c r="BB3159" t="str">
        <f t="shared" si="1480"/>
        <v xml:space="preserve">N711JA  </v>
      </c>
      <c r="BC3159">
        <v>1</v>
      </c>
      <c r="BE3159">
        <v>0</v>
      </c>
      <c r="BF3159">
        <v>0</v>
      </c>
      <c r="BG3159">
        <v>0</v>
      </c>
      <c r="BH3159">
        <v>2325</v>
      </c>
      <c r="BI3159">
        <v>1</v>
      </c>
      <c r="BJ3159">
        <v>1</v>
      </c>
      <c r="BK3159">
        <v>0</v>
      </c>
      <c r="BL3159">
        <v>0</v>
      </c>
      <c r="BO3159">
        <v>0</v>
      </c>
      <c r="BP3159">
        <v>0</v>
      </c>
      <c r="BW3159" t="str">
        <f t="shared" si="1481"/>
        <v>14:46:53.164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8</v>
      </c>
      <c r="CR3159">
        <v>3</v>
      </c>
      <c r="CW3159">
        <v>9001070</v>
      </c>
      <c r="CY3159">
        <v>1</v>
      </c>
      <c r="CZ3159">
        <v>0</v>
      </c>
      <c r="DA3159">
        <v>1</v>
      </c>
      <c r="DB3159">
        <v>0</v>
      </c>
      <c r="DC3159">
        <v>0</v>
      </c>
      <c r="DD3159">
        <v>1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 t="shared" si="1476"/>
        <v>05/12/2020 14:46:35.338</v>
      </c>
      <c r="C3160" t="str">
        <f t="shared" si="1477"/>
        <v>FFDFD3C0</v>
      </c>
      <c r="D3160" t="s">
        <v>138</v>
      </c>
      <c r="E3160">
        <v>2</v>
      </c>
      <c r="H3160">
        <v>8</v>
      </c>
      <c r="I3160" t="s">
        <v>139</v>
      </c>
      <c r="J3160" t="s">
        <v>136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478"/>
        <v>14:46:53.164</v>
      </c>
      <c r="T3160" t="str">
        <f t="shared" si="1479"/>
        <v>14:46:52.764</v>
      </c>
      <c r="U3160" t="str">
        <f t="shared" si="1467"/>
        <v>A9808D</v>
      </c>
      <c r="V3160">
        <v>0</v>
      </c>
      <c r="W3160">
        <v>0</v>
      </c>
      <c r="X3160">
        <v>1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0</v>
      </c>
      <c r="AI3160" t="s">
        <v>227</v>
      </c>
      <c r="AJ3160">
        <v>28.246644</v>
      </c>
      <c r="AK3160" t="s">
        <v>761</v>
      </c>
      <c r="AL3160">
        <v>-82.280066000000005</v>
      </c>
      <c r="AM3160">
        <v>100</v>
      </c>
      <c r="AN3160">
        <v>2300</v>
      </c>
      <c r="AO3160" t="s">
        <v>118</v>
      </c>
      <c r="AP3160">
        <v>134</v>
      </c>
      <c r="AQ3160">
        <v>-3</v>
      </c>
      <c r="AR3160">
        <v>-320</v>
      </c>
      <c r="AZ3160">
        <v>1200</v>
      </c>
      <c r="BA3160">
        <v>1</v>
      </c>
      <c r="BB3160" t="str">
        <f t="shared" si="1480"/>
        <v xml:space="preserve">N711JA  </v>
      </c>
      <c r="BC3160">
        <v>1</v>
      </c>
      <c r="BE3160">
        <v>0</v>
      </c>
      <c r="BF3160">
        <v>0</v>
      </c>
      <c r="BG3160">
        <v>0</v>
      </c>
      <c r="BH3160">
        <v>2325</v>
      </c>
      <c r="BI3160">
        <v>1</v>
      </c>
      <c r="BJ3160">
        <v>1</v>
      </c>
      <c r="BK3160">
        <v>0</v>
      </c>
      <c r="BL3160">
        <v>0</v>
      </c>
      <c r="BO3160">
        <v>0</v>
      </c>
      <c r="BP3160">
        <v>0</v>
      </c>
      <c r="BW3160" t="str">
        <f t="shared" si="1481"/>
        <v>14:46:53.164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8</v>
      </c>
      <c r="CR3160">
        <v>3</v>
      </c>
      <c r="CW3160">
        <v>9001070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1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 t="shared" si="1476"/>
        <v>05/12/2020 14:46:35.338</v>
      </c>
      <c r="C3161" t="str">
        <f t="shared" si="1477"/>
        <v>FFDFD3C0</v>
      </c>
      <c r="D3161" t="s">
        <v>134</v>
      </c>
      <c r="E3161">
        <v>12</v>
      </c>
      <c r="H3161">
        <v>64</v>
      </c>
      <c r="I3161" t="s">
        <v>135</v>
      </c>
      <c r="J3161" t="s">
        <v>136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478"/>
        <v>14:46:53.164</v>
      </c>
      <c r="T3161" t="str">
        <f t="shared" si="1479"/>
        <v>14:46:52.764</v>
      </c>
      <c r="U3161" t="str">
        <f t="shared" si="1467"/>
        <v>A9808D</v>
      </c>
      <c r="V3161">
        <v>0</v>
      </c>
      <c r="W3161">
        <v>0</v>
      </c>
      <c r="X3161">
        <v>1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0</v>
      </c>
      <c r="AI3161" t="s">
        <v>227</v>
      </c>
      <c r="AJ3161">
        <v>28.246644</v>
      </c>
      <c r="AK3161" t="s">
        <v>761</v>
      </c>
      <c r="AL3161">
        <v>-82.280066000000005</v>
      </c>
      <c r="AM3161">
        <v>100</v>
      </c>
      <c r="AN3161">
        <v>2300</v>
      </c>
      <c r="AO3161" t="s">
        <v>118</v>
      </c>
      <c r="AP3161">
        <v>134</v>
      </c>
      <c r="AQ3161">
        <v>-3</v>
      </c>
      <c r="AR3161">
        <v>-320</v>
      </c>
      <c r="AZ3161">
        <v>1200</v>
      </c>
      <c r="BA3161">
        <v>1</v>
      </c>
      <c r="BB3161" t="str">
        <f t="shared" si="1480"/>
        <v xml:space="preserve">N711JA  </v>
      </c>
      <c r="BC3161">
        <v>1</v>
      </c>
      <c r="BE3161">
        <v>0</v>
      </c>
      <c r="BF3161">
        <v>0</v>
      </c>
      <c r="BG3161">
        <v>0</v>
      </c>
      <c r="BH3161">
        <v>2325</v>
      </c>
      <c r="BI3161">
        <v>1</v>
      </c>
      <c r="BJ3161">
        <v>1</v>
      </c>
      <c r="BK3161">
        <v>0</v>
      </c>
      <c r="BL3161">
        <v>0</v>
      </c>
      <c r="BO3161">
        <v>0</v>
      </c>
      <c r="BP3161">
        <v>0</v>
      </c>
      <c r="BW3161" t="str">
        <f t="shared" si="1481"/>
        <v>14:46:53.164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8</v>
      </c>
      <c r="CR3161">
        <v>3</v>
      </c>
      <c r="CW3161">
        <v>9001070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1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 t="shared" si="1476"/>
        <v>05/12/2020 14:46:35.338</v>
      </c>
      <c r="C3162" t="str">
        <f t="shared" si="1477"/>
        <v>FFDFD3C0</v>
      </c>
      <c r="D3162" t="s">
        <v>126</v>
      </c>
      <c r="E3162">
        <v>7</v>
      </c>
      <c r="F3162">
        <v>1007</v>
      </c>
      <c r="G3162" t="s">
        <v>127</v>
      </c>
      <c r="J3162" t="s">
        <v>128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478"/>
        <v>14:46:53.164</v>
      </c>
      <c r="T3162" t="str">
        <f t="shared" si="1479"/>
        <v>14:46:52.764</v>
      </c>
      <c r="U3162" t="str">
        <f t="shared" si="1467"/>
        <v>A9808D</v>
      </c>
      <c r="V3162">
        <v>0</v>
      </c>
      <c r="W3162">
        <v>0</v>
      </c>
      <c r="X3162">
        <v>1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0</v>
      </c>
      <c r="AI3162" t="s">
        <v>227</v>
      </c>
      <c r="AJ3162">
        <v>28.246644</v>
      </c>
      <c r="AK3162" t="s">
        <v>761</v>
      </c>
      <c r="AL3162">
        <v>-82.280066000000005</v>
      </c>
      <c r="AM3162">
        <v>100</v>
      </c>
      <c r="AN3162">
        <v>2300</v>
      </c>
      <c r="AO3162" t="s">
        <v>118</v>
      </c>
      <c r="AP3162">
        <v>134</v>
      </c>
      <c r="AQ3162">
        <v>-3</v>
      </c>
      <c r="AR3162">
        <v>-320</v>
      </c>
      <c r="AZ3162">
        <v>1200</v>
      </c>
      <c r="BA3162">
        <v>1</v>
      </c>
      <c r="BB3162" t="str">
        <f t="shared" si="1480"/>
        <v xml:space="preserve">N711JA  </v>
      </c>
      <c r="BC3162">
        <v>1</v>
      </c>
      <c r="BE3162">
        <v>0</v>
      </c>
      <c r="BF3162">
        <v>0</v>
      </c>
      <c r="BG3162">
        <v>0</v>
      </c>
      <c r="BH3162">
        <v>2325</v>
      </c>
      <c r="BI3162">
        <v>1</v>
      </c>
      <c r="BJ3162">
        <v>1</v>
      </c>
      <c r="BK3162">
        <v>0</v>
      </c>
      <c r="BL3162">
        <v>0</v>
      </c>
      <c r="BO3162">
        <v>0</v>
      </c>
      <c r="BP3162">
        <v>0</v>
      </c>
      <c r="BW3162" t="str">
        <f t="shared" si="1481"/>
        <v>14:46:53.164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7</v>
      </c>
      <c r="CP3162" t="s">
        <v>119</v>
      </c>
      <c r="CQ3162">
        <v>8</v>
      </c>
      <c r="CR3162">
        <v>3</v>
      </c>
      <c r="CW3162">
        <v>9001070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1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 t="shared" si="1476"/>
        <v>05/12/2020 14:46:35.338</v>
      </c>
      <c r="C3163" t="str">
        <f t="shared" si="1477"/>
        <v>FFDFD3C0</v>
      </c>
      <c r="D3163" t="s">
        <v>131</v>
      </c>
      <c r="E3163">
        <v>10</v>
      </c>
      <c r="F3163">
        <v>2010</v>
      </c>
      <c r="G3163" t="s">
        <v>132</v>
      </c>
      <c r="J3163" t="s">
        <v>133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si="1478"/>
        <v>14:46:53.164</v>
      </c>
      <c r="T3163" t="str">
        <f t="shared" si="1479"/>
        <v>14:46:52.764</v>
      </c>
      <c r="U3163" t="str">
        <f t="shared" si="1467"/>
        <v>A9808D</v>
      </c>
      <c r="V3163">
        <v>0</v>
      </c>
      <c r="W3163">
        <v>0</v>
      </c>
      <c r="X3163">
        <v>1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0</v>
      </c>
      <c r="AI3163" t="s">
        <v>227</v>
      </c>
      <c r="AJ3163">
        <v>28.246644</v>
      </c>
      <c r="AK3163" t="s">
        <v>761</v>
      </c>
      <c r="AL3163">
        <v>-82.280066000000005</v>
      </c>
      <c r="AM3163">
        <v>100</v>
      </c>
      <c r="AN3163">
        <v>2300</v>
      </c>
      <c r="AO3163" t="s">
        <v>118</v>
      </c>
      <c r="AP3163">
        <v>134</v>
      </c>
      <c r="AQ3163">
        <v>-3</v>
      </c>
      <c r="AR3163">
        <v>-320</v>
      </c>
      <c r="AZ3163">
        <v>1200</v>
      </c>
      <c r="BA3163">
        <v>1</v>
      </c>
      <c r="BB3163" t="str">
        <f t="shared" si="1480"/>
        <v xml:space="preserve">N711JA  </v>
      </c>
      <c r="BC3163">
        <v>1</v>
      </c>
      <c r="BE3163">
        <v>0</v>
      </c>
      <c r="BF3163">
        <v>0</v>
      </c>
      <c r="BG3163">
        <v>0</v>
      </c>
      <c r="BH3163">
        <v>2325</v>
      </c>
      <c r="BI3163">
        <v>1</v>
      </c>
      <c r="BJ3163">
        <v>1</v>
      </c>
      <c r="BK3163">
        <v>0</v>
      </c>
      <c r="BL3163">
        <v>0</v>
      </c>
      <c r="BO3163">
        <v>0</v>
      </c>
      <c r="BP3163">
        <v>0</v>
      </c>
      <c r="BW3163" t="str">
        <f t="shared" si="1481"/>
        <v>14:46:53.164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119</v>
      </c>
      <c r="CQ3163">
        <v>8</v>
      </c>
      <c r="CR3163">
        <v>3</v>
      </c>
      <c r="CW3163">
        <v>9001070</v>
      </c>
      <c r="CY3163">
        <v>1</v>
      </c>
      <c r="CZ3163">
        <v>0</v>
      </c>
      <c r="DA3163">
        <v>1</v>
      </c>
      <c r="DB3163">
        <v>0</v>
      </c>
      <c r="DC3163">
        <v>0</v>
      </c>
      <c r="DD3163">
        <v>1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 t="shared" si="1476"/>
        <v>05/12/2020 14:46:35.338</v>
      </c>
      <c r="C3164" t="str">
        <f t="shared" si="1477"/>
        <v>FFDFD3C0</v>
      </c>
      <c r="D3164" t="s">
        <v>131</v>
      </c>
      <c r="E3164">
        <v>12</v>
      </c>
      <c r="F3164">
        <v>2012</v>
      </c>
      <c r="G3164" t="s">
        <v>137</v>
      </c>
      <c r="J3164" t="s">
        <v>133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478"/>
        <v>14:46:53.164</v>
      </c>
      <c r="T3164" t="str">
        <f t="shared" si="1479"/>
        <v>14:46:52.764</v>
      </c>
      <c r="U3164" t="str">
        <f t="shared" si="1467"/>
        <v>A9808D</v>
      </c>
      <c r="V3164">
        <v>0</v>
      </c>
      <c r="W3164">
        <v>0</v>
      </c>
      <c r="X3164">
        <v>1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0</v>
      </c>
      <c r="AI3164" t="s">
        <v>227</v>
      </c>
      <c r="AJ3164">
        <v>28.246644</v>
      </c>
      <c r="AK3164" t="s">
        <v>761</v>
      </c>
      <c r="AL3164">
        <v>-82.280066000000005</v>
      </c>
      <c r="AM3164">
        <v>100</v>
      </c>
      <c r="AN3164">
        <v>2300</v>
      </c>
      <c r="AO3164" t="s">
        <v>118</v>
      </c>
      <c r="AP3164">
        <v>134</v>
      </c>
      <c r="AQ3164">
        <v>-3</v>
      </c>
      <c r="AR3164">
        <v>-320</v>
      </c>
      <c r="AZ3164">
        <v>1200</v>
      </c>
      <c r="BA3164">
        <v>1</v>
      </c>
      <c r="BB3164" t="str">
        <f t="shared" si="1480"/>
        <v xml:space="preserve">N711JA  </v>
      </c>
      <c r="BC3164">
        <v>1</v>
      </c>
      <c r="BE3164">
        <v>0</v>
      </c>
      <c r="BF3164">
        <v>0</v>
      </c>
      <c r="BG3164">
        <v>0</v>
      </c>
      <c r="BH3164">
        <v>2325</v>
      </c>
      <c r="BI3164">
        <v>1</v>
      </c>
      <c r="BJ3164">
        <v>1</v>
      </c>
      <c r="BK3164">
        <v>0</v>
      </c>
      <c r="BL3164">
        <v>0</v>
      </c>
      <c r="BO3164">
        <v>0</v>
      </c>
      <c r="BP3164">
        <v>0</v>
      </c>
      <c r="BW3164" t="str">
        <f t="shared" si="1481"/>
        <v>14:46:53.164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7</v>
      </c>
      <c r="CP3164" t="s">
        <v>119</v>
      </c>
      <c r="CQ3164">
        <v>8</v>
      </c>
      <c r="CR3164">
        <v>3</v>
      </c>
      <c r="CW3164">
        <v>9001070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1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 t="shared" si="1476"/>
        <v>05/12/2020 14:46:35.338</v>
      </c>
      <c r="C3165" t="str">
        <f t="shared" si="1477"/>
        <v>FFDFD3C0</v>
      </c>
      <c r="D3165" t="s">
        <v>138</v>
      </c>
      <c r="E3165">
        <v>3</v>
      </c>
      <c r="H3165">
        <v>9</v>
      </c>
      <c r="I3165" t="s">
        <v>140</v>
      </c>
      <c r="J3165" t="s">
        <v>136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si="1478"/>
        <v>14:46:53.164</v>
      </c>
      <c r="T3165" t="str">
        <f t="shared" si="1479"/>
        <v>14:46:52.764</v>
      </c>
      <c r="U3165" t="str">
        <f t="shared" si="1467"/>
        <v>A9808D</v>
      </c>
      <c r="V3165">
        <v>0</v>
      </c>
      <c r="W3165">
        <v>0</v>
      </c>
      <c r="X3165">
        <v>1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0</v>
      </c>
      <c r="AI3165" t="s">
        <v>227</v>
      </c>
      <c r="AJ3165">
        <v>28.246644</v>
      </c>
      <c r="AK3165" t="s">
        <v>761</v>
      </c>
      <c r="AL3165">
        <v>-82.280066000000005</v>
      </c>
      <c r="AM3165">
        <v>100</v>
      </c>
      <c r="AN3165">
        <v>2300</v>
      </c>
      <c r="AO3165" t="s">
        <v>118</v>
      </c>
      <c r="AP3165">
        <v>134</v>
      </c>
      <c r="AQ3165">
        <v>-3</v>
      </c>
      <c r="AR3165">
        <v>-320</v>
      </c>
      <c r="AZ3165">
        <v>1200</v>
      </c>
      <c r="BA3165">
        <v>1</v>
      </c>
      <c r="BB3165" t="str">
        <f t="shared" si="1480"/>
        <v xml:space="preserve">N711JA  </v>
      </c>
      <c r="BC3165">
        <v>1</v>
      </c>
      <c r="BE3165">
        <v>0</v>
      </c>
      <c r="BF3165">
        <v>0</v>
      </c>
      <c r="BG3165">
        <v>0</v>
      </c>
      <c r="BH3165">
        <v>2325</v>
      </c>
      <c r="BI3165">
        <v>1</v>
      </c>
      <c r="BJ3165">
        <v>1</v>
      </c>
      <c r="BK3165">
        <v>0</v>
      </c>
      <c r="BL3165">
        <v>0</v>
      </c>
      <c r="BO3165">
        <v>0</v>
      </c>
      <c r="BP3165">
        <v>0</v>
      </c>
      <c r="BW3165" t="str">
        <f t="shared" si="1481"/>
        <v>14:46:53.164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119</v>
      </c>
      <c r="CQ3165">
        <v>8</v>
      </c>
      <c r="CR3165">
        <v>3</v>
      </c>
      <c r="CW3165">
        <v>9001070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1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 t="shared" si="1476"/>
        <v>05/12/2020 14:46:35.338</v>
      </c>
      <c r="C3166" t="str">
        <f t="shared" si="1477"/>
        <v>FFDFD3C0</v>
      </c>
      <c r="D3166" t="s">
        <v>131</v>
      </c>
      <c r="E3166">
        <v>18</v>
      </c>
      <c r="F3166">
        <v>2018</v>
      </c>
      <c r="G3166" t="s">
        <v>161</v>
      </c>
      <c r="J3166" t="s">
        <v>133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si="1478"/>
        <v>14:46:53.164</v>
      </c>
      <c r="T3166" t="str">
        <f t="shared" si="1479"/>
        <v>14:46:52.764</v>
      </c>
      <c r="U3166" t="str">
        <f t="shared" si="1467"/>
        <v>A9808D</v>
      </c>
      <c r="V3166">
        <v>0</v>
      </c>
      <c r="W3166">
        <v>0</v>
      </c>
      <c r="X3166">
        <v>1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0</v>
      </c>
      <c r="AI3166" t="s">
        <v>227</v>
      </c>
      <c r="AJ3166">
        <v>28.246644</v>
      </c>
      <c r="AK3166" t="s">
        <v>761</v>
      </c>
      <c r="AL3166">
        <v>-82.280066000000005</v>
      </c>
      <c r="AM3166">
        <v>100</v>
      </c>
      <c r="AN3166">
        <v>2300</v>
      </c>
      <c r="AO3166" t="s">
        <v>118</v>
      </c>
      <c r="AP3166">
        <v>134</v>
      </c>
      <c r="AQ3166">
        <v>-3</v>
      </c>
      <c r="AR3166">
        <v>-320</v>
      </c>
      <c r="AZ3166">
        <v>1200</v>
      </c>
      <c r="BA3166">
        <v>1</v>
      </c>
      <c r="BB3166" t="str">
        <f t="shared" si="1480"/>
        <v xml:space="preserve">N711JA  </v>
      </c>
      <c r="BC3166">
        <v>1</v>
      </c>
      <c r="BE3166">
        <v>0</v>
      </c>
      <c r="BF3166">
        <v>0</v>
      </c>
      <c r="BG3166">
        <v>0</v>
      </c>
      <c r="BH3166">
        <v>2325</v>
      </c>
      <c r="BI3166">
        <v>1</v>
      </c>
      <c r="BJ3166">
        <v>1</v>
      </c>
      <c r="BK3166">
        <v>0</v>
      </c>
      <c r="BL3166">
        <v>0</v>
      </c>
      <c r="BO3166">
        <v>0</v>
      </c>
      <c r="BP3166">
        <v>0</v>
      </c>
      <c r="BW3166" t="str">
        <f t="shared" si="1481"/>
        <v>14:46:53.164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6</v>
      </c>
      <c r="CP3166" t="s">
        <v>119</v>
      </c>
      <c r="CQ3166">
        <v>56</v>
      </c>
      <c r="CR3166">
        <v>2</v>
      </c>
      <c r="CW3166">
        <v>4968143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1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 t="shared" ref="A3167:A3175" si="1482">"05/12/2020 14:46:36.472"</f>
        <v>05/12/2020 14:46:36.472</v>
      </c>
      <c r="C3167" t="str">
        <f t="shared" si="1477"/>
        <v>FFDFD3C0</v>
      </c>
      <c r="D3167" t="s">
        <v>134</v>
      </c>
      <c r="E3167">
        <v>12</v>
      </c>
      <c r="H3167">
        <v>64</v>
      </c>
      <c r="I3167" t="s">
        <v>135</v>
      </c>
      <c r="J3167" t="s">
        <v>136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ref="S3167:S3175" si="1483">"14:46:54.273"</f>
        <v>14:46:54.273</v>
      </c>
      <c r="T3167" t="str">
        <f>"14:46:53.273"</f>
        <v>14:46:53.273</v>
      </c>
      <c r="U3167" t="str">
        <f t="shared" si="1467"/>
        <v>A9808D</v>
      </c>
      <c r="V3167">
        <v>0</v>
      </c>
      <c r="W3167">
        <v>0</v>
      </c>
      <c r="X3167">
        <v>1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0</v>
      </c>
      <c r="AI3167" t="s">
        <v>759</v>
      </c>
      <c r="AJ3167">
        <v>28.246621999999999</v>
      </c>
      <c r="AK3167" t="s">
        <v>762</v>
      </c>
      <c r="AL3167">
        <v>-82.279251000000002</v>
      </c>
      <c r="AM3167">
        <v>100</v>
      </c>
      <c r="AN3167">
        <v>2300</v>
      </c>
      <c r="AO3167" t="s">
        <v>118</v>
      </c>
      <c r="AP3167">
        <v>134</v>
      </c>
      <c r="AQ3167">
        <v>-3</v>
      </c>
      <c r="AR3167">
        <v>-320</v>
      </c>
      <c r="AZ3167">
        <v>1200</v>
      </c>
      <c r="BA3167">
        <v>1</v>
      </c>
      <c r="BB3167" t="str">
        <f t="shared" si="1480"/>
        <v xml:space="preserve">N711JA  </v>
      </c>
      <c r="BC3167">
        <v>1</v>
      </c>
      <c r="BE3167">
        <v>0</v>
      </c>
      <c r="BF3167">
        <v>0</v>
      </c>
      <c r="BG3167">
        <v>0</v>
      </c>
      <c r="BH3167">
        <v>2325</v>
      </c>
      <c r="BI3167">
        <v>1</v>
      </c>
      <c r="BJ3167">
        <v>1</v>
      </c>
      <c r="BK3167">
        <v>0</v>
      </c>
      <c r="BL3167">
        <v>0</v>
      </c>
      <c r="BO3167">
        <v>0</v>
      </c>
      <c r="BP3167">
        <v>0</v>
      </c>
      <c r="BW3167" t="str">
        <f t="shared" ref="BW3167:BW3175" si="1484">"14:46:54.278"</f>
        <v>14:46:54.278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6</v>
      </c>
      <c r="CP3167" t="s">
        <v>119</v>
      </c>
      <c r="CQ3167">
        <v>358</v>
      </c>
      <c r="CR3167">
        <v>0</v>
      </c>
      <c r="CW3167">
        <v>4945354</v>
      </c>
      <c r="CY3167">
        <v>0</v>
      </c>
      <c r="CZ3167">
        <v>0</v>
      </c>
      <c r="DA3167">
        <v>0</v>
      </c>
      <c r="DB3167">
        <v>0</v>
      </c>
      <c r="DC3167">
        <v>0</v>
      </c>
      <c r="DD3167">
        <v>1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 t="shared" si="1482"/>
        <v>05/12/2020 14:46:36.472</v>
      </c>
      <c r="C3168" t="str">
        <f t="shared" si="1477"/>
        <v>FFDFD3C0</v>
      </c>
      <c r="D3168" t="s">
        <v>113</v>
      </c>
      <c r="E3168">
        <v>3</v>
      </c>
      <c r="H3168">
        <v>164</v>
      </c>
      <c r="I3168" t="s">
        <v>114</v>
      </c>
      <c r="J3168" t="s">
        <v>115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483"/>
        <v>14:46:54.273</v>
      </c>
      <c r="T3168" t="str">
        <f t="shared" ref="T3168:T3175" si="1485">"14:46:54.173"</f>
        <v>14:46:54.173</v>
      </c>
      <c r="U3168" t="str">
        <f t="shared" si="1467"/>
        <v>A9808D</v>
      </c>
      <c r="V3168">
        <v>0</v>
      </c>
      <c r="W3168">
        <v>0</v>
      </c>
      <c r="X3168">
        <v>1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0</v>
      </c>
      <c r="AI3168" t="s">
        <v>759</v>
      </c>
      <c r="AJ3168">
        <v>28.246621999999999</v>
      </c>
      <c r="AK3168" t="s">
        <v>762</v>
      </c>
      <c r="AL3168">
        <v>-82.279251000000002</v>
      </c>
      <c r="AM3168">
        <v>100</v>
      </c>
      <c r="AN3168">
        <v>2300</v>
      </c>
      <c r="AO3168" t="s">
        <v>118</v>
      </c>
      <c r="AP3168">
        <v>135</v>
      </c>
      <c r="AQ3168">
        <v>-2</v>
      </c>
      <c r="AR3168">
        <v>-320</v>
      </c>
      <c r="AZ3168">
        <v>1200</v>
      </c>
      <c r="BA3168">
        <v>1</v>
      </c>
      <c r="BB3168" t="str">
        <f t="shared" si="1480"/>
        <v xml:space="preserve">N711JA  </v>
      </c>
      <c r="BC3168">
        <v>1</v>
      </c>
      <c r="BE3168">
        <v>0</v>
      </c>
      <c r="BF3168">
        <v>0</v>
      </c>
      <c r="BG3168">
        <v>0</v>
      </c>
      <c r="BH3168">
        <v>2325</v>
      </c>
      <c r="BI3168">
        <v>1</v>
      </c>
      <c r="BJ3168">
        <v>1</v>
      </c>
      <c r="BK3168">
        <v>0</v>
      </c>
      <c r="BL3168">
        <v>0</v>
      </c>
      <c r="BO3168">
        <v>0</v>
      </c>
      <c r="BP3168">
        <v>0</v>
      </c>
      <c r="BW3168" t="str">
        <f t="shared" si="1484"/>
        <v>14:46:54.278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4</v>
      </c>
      <c r="CP3168" t="s">
        <v>119</v>
      </c>
      <c r="CQ3168">
        <v>62</v>
      </c>
      <c r="CR3168">
        <v>1</v>
      </c>
      <c r="CW3168">
        <v>12885997</v>
      </c>
      <c r="CY3168">
        <v>0</v>
      </c>
      <c r="CZ3168">
        <v>0</v>
      </c>
      <c r="DA3168">
        <v>1</v>
      </c>
      <c r="DB3168">
        <v>0</v>
      </c>
      <c r="DC3168">
        <v>0</v>
      </c>
      <c r="DD3168">
        <v>1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 t="shared" si="1482"/>
        <v>05/12/2020 14:46:36.472</v>
      </c>
      <c r="C3169" t="str">
        <f t="shared" si="1477"/>
        <v>FFDFD3C0</v>
      </c>
      <c r="D3169" t="s">
        <v>126</v>
      </c>
      <c r="E3169">
        <v>7</v>
      </c>
      <c r="F3169">
        <v>1007</v>
      </c>
      <c r="G3169" t="s">
        <v>127</v>
      </c>
      <c r="J3169" t="s">
        <v>128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483"/>
        <v>14:46:54.273</v>
      </c>
      <c r="T3169" t="str">
        <f t="shared" si="1485"/>
        <v>14:46:54.173</v>
      </c>
      <c r="U3169" t="str">
        <f t="shared" si="1467"/>
        <v>A9808D</v>
      </c>
      <c r="V3169">
        <v>0</v>
      </c>
      <c r="W3169">
        <v>0</v>
      </c>
      <c r="X3169">
        <v>1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0</v>
      </c>
      <c r="AI3169" t="s">
        <v>759</v>
      </c>
      <c r="AJ3169">
        <v>28.246621999999999</v>
      </c>
      <c r="AK3169" t="s">
        <v>762</v>
      </c>
      <c r="AL3169">
        <v>-82.279251000000002</v>
      </c>
      <c r="AM3169">
        <v>100</v>
      </c>
      <c r="AN3169">
        <v>2300</v>
      </c>
      <c r="AO3169" t="s">
        <v>118</v>
      </c>
      <c r="AP3169">
        <v>135</v>
      </c>
      <c r="AQ3169">
        <v>-2</v>
      </c>
      <c r="AR3169">
        <v>-320</v>
      </c>
      <c r="AZ3169">
        <v>1200</v>
      </c>
      <c r="BA3169">
        <v>1</v>
      </c>
      <c r="BB3169" t="str">
        <f t="shared" si="1480"/>
        <v xml:space="preserve">N711JA  </v>
      </c>
      <c r="BC3169">
        <v>1</v>
      </c>
      <c r="BE3169">
        <v>0</v>
      </c>
      <c r="BF3169">
        <v>0</v>
      </c>
      <c r="BG3169">
        <v>0</v>
      </c>
      <c r="BH3169">
        <v>2325</v>
      </c>
      <c r="BI3169">
        <v>1</v>
      </c>
      <c r="BJ3169">
        <v>1</v>
      </c>
      <c r="BK3169">
        <v>0</v>
      </c>
      <c r="BL3169">
        <v>0</v>
      </c>
      <c r="BO3169">
        <v>0</v>
      </c>
      <c r="BP3169">
        <v>0</v>
      </c>
      <c r="BW3169" t="str">
        <f t="shared" si="1484"/>
        <v>14:46:54.278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4</v>
      </c>
      <c r="CP3169" t="s">
        <v>119</v>
      </c>
      <c r="CQ3169">
        <v>62</v>
      </c>
      <c r="CR3169">
        <v>1</v>
      </c>
      <c r="CW3169">
        <v>12885997</v>
      </c>
      <c r="CY3169">
        <v>0</v>
      </c>
      <c r="CZ3169">
        <v>0</v>
      </c>
      <c r="DA3169">
        <v>1</v>
      </c>
      <c r="DB3169">
        <v>0</v>
      </c>
      <c r="DC3169">
        <v>0</v>
      </c>
      <c r="DD3169">
        <v>1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 t="shared" si="1482"/>
        <v>05/12/2020 14:46:36.472</v>
      </c>
      <c r="C3170" t="str">
        <f t="shared" si="1477"/>
        <v>FFDFD3C0</v>
      </c>
      <c r="D3170" t="s">
        <v>131</v>
      </c>
      <c r="E3170">
        <v>10</v>
      </c>
      <c r="F3170">
        <v>2010</v>
      </c>
      <c r="G3170" t="s">
        <v>132</v>
      </c>
      <c r="J3170" t="s">
        <v>133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si="1483"/>
        <v>14:46:54.273</v>
      </c>
      <c r="T3170" t="str">
        <f t="shared" si="1485"/>
        <v>14:46:54.173</v>
      </c>
      <c r="U3170" t="str">
        <f t="shared" si="1467"/>
        <v>A9808D</v>
      </c>
      <c r="V3170">
        <v>0</v>
      </c>
      <c r="W3170">
        <v>0</v>
      </c>
      <c r="X3170">
        <v>1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0</v>
      </c>
      <c r="AI3170" t="s">
        <v>759</v>
      </c>
      <c r="AJ3170">
        <v>28.246621999999999</v>
      </c>
      <c r="AK3170" t="s">
        <v>762</v>
      </c>
      <c r="AL3170">
        <v>-82.279251000000002</v>
      </c>
      <c r="AM3170">
        <v>100</v>
      </c>
      <c r="AN3170">
        <v>2300</v>
      </c>
      <c r="AO3170" t="s">
        <v>118</v>
      </c>
      <c r="AP3170">
        <v>135</v>
      </c>
      <c r="AQ3170">
        <v>-2</v>
      </c>
      <c r="AR3170">
        <v>-320</v>
      </c>
      <c r="AZ3170">
        <v>1200</v>
      </c>
      <c r="BA3170">
        <v>1</v>
      </c>
      <c r="BB3170" t="str">
        <f t="shared" si="1480"/>
        <v xml:space="preserve">N711JA  </v>
      </c>
      <c r="BC3170">
        <v>1</v>
      </c>
      <c r="BE3170">
        <v>0</v>
      </c>
      <c r="BF3170">
        <v>0</v>
      </c>
      <c r="BG3170">
        <v>0</v>
      </c>
      <c r="BH3170">
        <v>2325</v>
      </c>
      <c r="BI3170">
        <v>1</v>
      </c>
      <c r="BJ3170">
        <v>1</v>
      </c>
      <c r="BK3170">
        <v>0</v>
      </c>
      <c r="BL3170">
        <v>0</v>
      </c>
      <c r="BO3170">
        <v>0</v>
      </c>
      <c r="BP3170">
        <v>0</v>
      </c>
      <c r="BW3170" t="str">
        <f t="shared" si="1484"/>
        <v>14:46:54.278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0</v>
      </c>
      <c r="CP3170" t="s">
        <v>119</v>
      </c>
      <c r="CQ3170">
        <v>56</v>
      </c>
      <c r="CR3170">
        <v>2</v>
      </c>
      <c r="CW3170">
        <v>4969544</v>
      </c>
      <c r="CY3170">
        <v>0</v>
      </c>
      <c r="CZ3170">
        <v>0</v>
      </c>
      <c r="DA3170">
        <v>1</v>
      </c>
      <c r="DB3170">
        <v>0</v>
      </c>
      <c r="DC3170">
        <v>0</v>
      </c>
      <c r="DD3170">
        <v>1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 t="shared" si="1482"/>
        <v>05/12/2020 14:46:36.472</v>
      </c>
      <c r="C3171" t="str">
        <f t="shared" si="1477"/>
        <v>FFDFD3C0</v>
      </c>
      <c r="D3171" t="s">
        <v>131</v>
      </c>
      <c r="E3171">
        <v>12</v>
      </c>
      <c r="F3171">
        <v>2012</v>
      </c>
      <c r="G3171" t="s">
        <v>137</v>
      </c>
      <c r="J3171" t="s">
        <v>133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si="1483"/>
        <v>14:46:54.273</v>
      </c>
      <c r="T3171" t="str">
        <f t="shared" si="1485"/>
        <v>14:46:54.173</v>
      </c>
      <c r="U3171" t="str">
        <f t="shared" si="1467"/>
        <v>A9808D</v>
      </c>
      <c r="V3171">
        <v>0</v>
      </c>
      <c r="W3171">
        <v>0</v>
      </c>
      <c r="X3171">
        <v>1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0</v>
      </c>
      <c r="AI3171" t="s">
        <v>759</v>
      </c>
      <c r="AJ3171">
        <v>28.246621999999999</v>
      </c>
      <c r="AK3171" t="s">
        <v>762</v>
      </c>
      <c r="AL3171">
        <v>-82.279251000000002</v>
      </c>
      <c r="AM3171">
        <v>100</v>
      </c>
      <c r="AN3171">
        <v>2300</v>
      </c>
      <c r="AO3171" t="s">
        <v>118</v>
      </c>
      <c r="AP3171">
        <v>135</v>
      </c>
      <c r="AQ3171">
        <v>-2</v>
      </c>
      <c r="AR3171">
        <v>-320</v>
      </c>
      <c r="AZ3171">
        <v>1200</v>
      </c>
      <c r="BA3171">
        <v>1</v>
      </c>
      <c r="BB3171" t="str">
        <f t="shared" si="1480"/>
        <v xml:space="preserve">N711JA  </v>
      </c>
      <c r="BC3171">
        <v>1</v>
      </c>
      <c r="BE3171">
        <v>0</v>
      </c>
      <c r="BF3171">
        <v>0</v>
      </c>
      <c r="BG3171">
        <v>0</v>
      </c>
      <c r="BH3171">
        <v>2325</v>
      </c>
      <c r="BI3171">
        <v>1</v>
      </c>
      <c r="BJ3171">
        <v>1</v>
      </c>
      <c r="BK3171">
        <v>0</v>
      </c>
      <c r="BL3171">
        <v>0</v>
      </c>
      <c r="BO3171">
        <v>0</v>
      </c>
      <c r="BP3171">
        <v>0</v>
      </c>
      <c r="BW3171" t="str">
        <f t="shared" si="1484"/>
        <v>14:46:54.278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0</v>
      </c>
      <c r="CP3171" t="s">
        <v>119</v>
      </c>
      <c r="CQ3171">
        <v>56</v>
      </c>
      <c r="CR3171">
        <v>2</v>
      </c>
      <c r="CW3171">
        <v>4969544</v>
      </c>
      <c r="CY3171">
        <v>0</v>
      </c>
      <c r="CZ3171">
        <v>0</v>
      </c>
      <c r="DA3171">
        <v>1</v>
      </c>
      <c r="DB3171">
        <v>0</v>
      </c>
      <c r="DC3171">
        <v>0</v>
      </c>
      <c r="DD3171">
        <v>1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 t="shared" si="1482"/>
        <v>05/12/2020 14:46:36.472</v>
      </c>
      <c r="C3172" t="str">
        <f t="shared" si="1477"/>
        <v>FFDFD3C0</v>
      </c>
      <c r="D3172" t="s">
        <v>126</v>
      </c>
      <c r="E3172">
        <v>6</v>
      </c>
      <c r="F3172">
        <v>1006</v>
      </c>
      <c r="G3172" t="s">
        <v>114</v>
      </c>
      <c r="J3172" t="s">
        <v>128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si="1483"/>
        <v>14:46:54.273</v>
      </c>
      <c r="T3172" t="str">
        <f t="shared" si="1485"/>
        <v>14:46:54.173</v>
      </c>
      <c r="U3172" t="str">
        <f t="shared" si="1467"/>
        <v>A9808D</v>
      </c>
      <c r="V3172">
        <v>0</v>
      </c>
      <c r="W3172">
        <v>0</v>
      </c>
      <c r="X3172">
        <v>1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0</v>
      </c>
      <c r="AI3172" t="s">
        <v>759</v>
      </c>
      <c r="AJ3172">
        <v>28.246621999999999</v>
      </c>
      <c r="AK3172" t="s">
        <v>762</v>
      </c>
      <c r="AL3172">
        <v>-82.279251000000002</v>
      </c>
      <c r="AM3172">
        <v>100</v>
      </c>
      <c r="AN3172">
        <v>2300</v>
      </c>
      <c r="AO3172" t="s">
        <v>118</v>
      </c>
      <c r="AP3172">
        <v>135</v>
      </c>
      <c r="AQ3172">
        <v>-2</v>
      </c>
      <c r="AR3172">
        <v>-320</v>
      </c>
      <c r="AZ3172">
        <v>1200</v>
      </c>
      <c r="BA3172">
        <v>1</v>
      </c>
      <c r="BB3172" t="str">
        <f t="shared" si="1480"/>
        <v xml:space="preserve">N711JA  </v>
      </c>
      <c r="BC3172">
        <v>1</v>
      </c>
      <c r="BE3172">
        <v>0</v>
      </c>
      <c r="BF3172">
        <v>0</v>
      </c>
      <c r="BG3172">
        <v>0</v>
      </c>
      <c r="BH3172">
        <v>2325</v>
      </c>
      <c r="BI3172">
        <v>1</v>
      </c>
      <c r="BJ3172">
        <v>1</v>
      </c>
      <c r="BK3172">
        <v>0</v>
      </c>
      <c r="BL3172">
        <v>0</v>
      </c>
      <c r="BO3172">
        <v>0</v>
      </c>
      <c r="BP3172">
        <v>0</v>
      </c>
      <c r="BW3172" t="str">
        <f t="shared" si="1484"/>
        <v>14:46:54.278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4</v>
      </c>
      <c r="CP3172" t="s">
        <v>119</v>
      </c>
      <c r="CQ3172">
        <v>62</v>
      </c>
      <c r="CR3172">
        <v>1</v>
      </c>
      <c r="CW3172">
        <v>12885997</v>
      </c>
      <c r="CY3172">
        <v>0</v>
      </c>
      <c r="CZ3172">
        <v>0</v>
      </c>
      <c r="DA3172">
        <v>1</v>
      </c>
      <c r="DB3172">
        <v>0</v>
      </c>
      <c r="DC3172">
        <v>0</v>
      </c>
      <c r="DD3172">
        <v>1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 t="shared" si="1482"/>
        <v>05/12/2020 14:46:36.472</v>
      </c>
      <c r="C3173" t="str">
        <f t="shared" si="1477"/>
        <v>FFDFD3C0</v>
      </c>
      <c r="D3173" t="s">
        <v>138</v>
      </c>
      <c r="E3173">
        <v>2</v>
      </c>
      <c r="H3173">
        <v>8</v>
      </c>
      <c r="I3173" t="s">
        <v>139</v>
      </c>
      <c r="J3173" t="s">
        <v>136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si="1483"/>
        <v>14:46:54.273</v>
      </c>
      <c r="T3173" t="str">
        <f t="shared" si="1485"/>
        <v>14:46:54.173</v>
      </c>
      <c r="U3173" t="str">
        <f t="shared" si="1467"/>
        <v>A9808D</v>
      </c>
      <c r="V3173">
        <v>0</v>
      </c>
      <c r="W3173">
        <v>0</v>
      </c>
      <c r="X3173">
        <v>1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0</v>
      </c>
      <c r="AI3173" t="s">
        <v>759</v>
      </c>
      <c r="AJ3173">
        <v>28.246621999999999</v>
      </c>
      <c r="AK3173" t="s">
        <v>762</v>
      </c>
      <c r="AL3173">
        <v>-82.279251000000002</v>
      </c>
      <c r="AM3173">
        <v>100</v>
      </c>
      <c r="AN3173">
        <v>2300</v>
      </c>
      <c r="AO3173" t="s">
        <v>118</v>
      </c>
      <c r="AP3173">
        <v>135</v>
      </c>
      <c r="AQ3173">
        <v>-2</v>
      </c>
      <c r="AR3173">
        <v>-320</v>
      </c>
      <c r="AZ3173">
        <v>1200</v>
      </c>
      <c r="BA3173">
        <v>1</v>
      </c>
      <c r="BB3173" t="str">
        <f t="shared" si="1480"/>
        <v xml:space="preserve">N711JA  </v>
      </c>
      <c r="BC3173">
        <v>1</v>
      </c>
      <c r="BE3173">
        <v>0</v>
      </c>
      <c r="BF3173">
        <v>0</v>
      </c>
      <c r="BG3173">
        <v>0</v>
      </c>
      <c r="BH3173">
        <v>2325</v>
      </c>
      <c r="BI3173">
        <v>1</v>
      </c>
      <c r="BJ3173">
        <v>1</v>
      </c>
      <c r="BK3173">
        <v>0</v>
      </c>
      <c r="BL3173">
        <v>0</v>
      </c>
      <c r="BO3173">
        <v>0</v>
      </c>
      <c r="BP3173">
        <v>0</v>
      </c>
      <c r="BW3173" t="str">
        <f t="shared" si="1484"/>
        <v>14:46:54.278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0</v>
      </c>
      <c r="CP3173" t="s">
        <v>119</v>
      </c>
      <c r="CQ3173">
        <v>56</v>
      </c>
      <c r="CR3173">
        <v>2</v>
      </c>
      <c r="CW3173">
        <v>4969544</v>
      </c>
      <c r="CY3173">
        <v>0</v>
      </c>
      <c r="CZ3173">
        <v>0</v>
      </c>
      <c r="DA3173">
        <v>1</v>
      </c>
      <c r="DB3173">
        <v>0</v>
      </c>
      <c r="DC3173">
        <v>0</v>
      </c>
      <c r="DD3173">
        <v>1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 t="shared" si="1482"/>
        <v>05/12/2020 14:46:36.472</v>
      </c>
      <c r="C3174" t="str">
        <f t="shared" si="1477"/>
        <v>FFDFD3C0</v>
      </c>
      <c r="D3174" t="s">
        <v>131</v>
      </c>
      <c r="E3174">
        <v>18</v>
      </c>
      <c r="F3174">
        <v>2018</v>
      </c>
      <c r="G3174" t="s">
        <v>161</v>
      </c>
      <c r="J3174" t="s">
        <v>133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483"/>
        <v>14:46:54.273</v>
      </c>
      <c r="T3174" t="str">
        <f t="shared" si="1485"/>
        <v>14:46:54.173</v>
      </c>
      <c r="U3174" t="str">
        <f t="shared" si="1467"/>
        <v>A9808D</v>
      </c>
      <c r="V3174">
        <v>0</v>
      </c>
      <c r="W3174">
        <v>0</v>
      </c>
      <c r="X3174">
        <v>1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0</v>
      </c>
      <c r="AI3174" t="s">
        <v>759</v>
      </c>
      <c r="AJ3174">
        <v>28.246621999999999</v>
      </c>
      <c r="AK3174" t="s">
        <v>762</v>
      </c>
      <c r="AL3174">
        <v>-82.279251000000002</v>
      </c>
      <c r="AM3174">
        <v>100</v>
      </c>
      <c r="AN3174">
        <v>2300</v>
      </c>
      <c r="AO3174" t="s">
        <v>118</v>
      </c>
      <c r="AP3174">
        <v>135</v>
      </c>
      <c r="AQ3174">
        <v>-2</v>
      </c>
      <c r="AR3174">
        <v>-320</v>
      </c>
      <c r="AZ3174">
        <v>1200</v>
      </c>
      <c r="BA3174">
        <v>1</v>
      </c>
      <c r="BB3174" t="str">
        <f t="shared" si="1480"/>
        <v xml:space="preserve">N711JA  </v>
      </c>
      <c r="BC3174">
        <v>1</v>
      </c>
      <c r="BE3174">
        <v>0</v>
      </c>
      <c r="BF3174">
        <v>0</v>
      </c>
      <c r="BG3174">
        <v>0</v>
      </c>
      <c r="BH3174">
        <v>2325</v>
      </c>
      <c r="BI3174">
        <v>1</v>
      </c>
      <c r="BJ3174">
        <v>1</v>
      </c>
      <c r="BK3174">
        <v>0</v>
      </c>
      <c r="BL3174">
        <v>0</v>
      </c>
      <c r="BO3174">
        <v>0</v>
      </c>
      <c r="BP3174">
        <v>0</v>
      </c>
      <c r="BW3174" t="str">
        <f t="shared" si="1484"/>
        <v>14:46:54.278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4</v>
      </c>
      <c r="CP3174" t="s">
        <v>119</v>
      </c>
      <c r="CQ3174">
        <v>62</v>
      </c>
      <c r="CR3174">
        <v>1</v>
      </c>
      <c r="CW3174">
        <v>12885997</v>
      </c>
      <c r="CY3174">
        <v>0</v>
      </c>
      <c r="CZ3174">
        <v>0</v>
      </c>
      <c r="DA3174">
        <v>1</v>
      </c>
      <c r="DB3174">
        <v>0</v>
      </c>
      <c r="DC3174">
        <v>0</v>
      </c>
      <c r="DD3174">
        <v>1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 t="shared" si="1482"/>
        <v>05/12/2020 14:46:36.472</v>
      </c>
      <c r="C3175" t="str">
        <f t="shared" si="1477"/>
        <v>FFDFD3C0</v>
      </c>
      <c r="D3175" t="s">
        <v>138</v>
      </c>
      <c r="E3175">
        <v>3</v>
      </c>
      <c r="H3175">
        <v>9</v>
      </c>
      <c r="I3175" t="s">
        <v>140</v>
      </c>
      <c r="J3175" t="s">
        <v>136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483"/>
        <v>14:46:54.273</v>
      </c>
      <c r="T3175" t="str">
        <f t="shared" si="1485"/>
        <v>14:46:54.173</v>
      </c>
      <c r="U3175" t="str">
        <f t="shared" si="1467"/>
        <v>A9808D</v>
      </c>
      <c r="V3175">
        <v>0</v>
      </c>
      <c r="W3175">
        <v>0</v>
      </c>
      <c r="X3175">
        <v>1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0</v>
      </c>
      <c r="AI3175" t="s">
        <v>759</v>
      </c>
      <c r="AJ3175">
        <v>28.246621999999999</v>
      </c>
      <c r="AK3175" t="s">
        <v>762</v>
      </c>
      <c r="AL3175">
        <v>-82.279251000000002</v>
      </c>
      <c r="AM3175">
        <v>100</v>
      </c>
      <c r="AN3175">
        <v>2300</v>
      </c>
      <c r="AO3175" t="s">
        <v>118</v>
      </c>
      <c r="AP3175">
        <v>135</v>
      </c>
      <c r="AQ3175">
        <v>-2</v>
      </c>
      <c r="AR3175">
        <v>-320</v>
      </c>
      <c r="AZ3175">
        <v>1200</v>
      </c>
      <c r="BA3175">
        <v>1</v>
      </c>
      <c r="BB3175" t="str">
        <f t="shared" si="1480"/>
        <v xml:space="preserve">N711JA  </v>
      </c>
      <c r="BC3175">
        <v>1</v>
      </c>
      <c r="BE3175">
        <v>0</v>
      </c>
      <c r="BF3175">
        <v>0</v>
      </c>
      <c r="BG3175">
        <v>0</v>
      </c>
      <c r="BH3175">
        <v>2325</v>
      </c>
      <c r="BI3175">
        <v>1</v>
      </c>
      <c r="BJ3175">
        <v>1</v>
      </c>
      <c r="BK3175">
        <v>0</v>
      </c>
      <c r="BL3175">
        <v>0</v>
      </c>
      <c r="BO3175">
        <v>0</v>
      </c>
      <c r="BP3175">
        <v>0</v>
      </c>
      <c r="BW3175" t="str">
        <f t="shared" si="1484"/>
        <v>14:46:54.278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0</v>
      </c>
      <c r="CP3175" t="s">
        <v>119</v>
      </c>
      <c r="CQ3175">
        <v>56</v>
      </c>
      <c r="CR3175">
        <v>2</v>
      </c>
      <c r="CW3175">
        <v>4969544</v>
      </c>
      <c r="CY3175">
        <v>0</v>
      </c>
      <c r="CZ3175">
        <v>0</v>
      </c>
      <c r="DA3175">
        <v>1</v>
      </c>
      <c r="DB3175">
        <v>0</v>
      </c>
      <c r="DC3175">
        <v>0</v>
      </c>
      <c r="DD3175">
        <v>1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 t="shared" ref="A3176:A3184" si="1486">"05/12/2020 14:46:37.319"</f>
        <v>05/12/2020 14:46:37.319</v>
      </c>
      <c r="C3176" t="str">
        <f t="shared" si="1477"/>
        <v>FFDFD3C0</v>
      </c>
      <c r="D3176" t="s">
        <v>113</v>
      </c>
      <c r="E3176">
        <v>3</v>
      </c>
      <c r="H3176">
        <v>164</v>
      </c>
      <c r="I3176" t="s">
        <v>114</v>
      </c>
      <c r="J3176" t="s">
        <v>115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ref="S3176:S3184" si="1487">"14:46:55.141"</f>
        <v>14:46:55.141</v>
      </c>
      <c r="T3176" t="str">
        <f t="shared" ref="T3176:T3184" si="1488">"14:46:54.741"</f>
        <v>14:46:54.741</v>
      </c>
      <c r="U3176" t="str">
        <f t="shared" si="1467"/>
        <v>A9808D</v>
      </c>
      <c r="V3176">
        <v>0</v>
      </c>
      <c r="W3176">
        <v>0</v>
      </c>
      <c r="X3176">
        <v>1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0</v>
      </c>
      <c r="AI3176" t="s">
        <v>763</v>
      </c>
      <c r="AJ3176">
        <v>28.246600999999998</v>
      </c>
      <c r="AK3176" t="s">
        <v>764</v>
      </c>
      <c r="AL3176">
        <v>-82.278649999999999</v>
      </c>
      <c r="AM3176">
        <v>100</v>
      </c>
      <c r="AN3176">
        <v>2300</v>
      </c>
      <c r="AO3176" t="s">
        <v>118</v>
      </c>
      <c r="AP3176">
        <v>135</v>
      </c>
      <c r="AQ3176">
        <v>-2</v>
      </c>
      <c r="AR3176">
        <v>-320</v>
      </c>
      <c r="AZ3176">
        <v>1200</v>
      </c>
      <c r="BA3176">
        <v>1</v>
      </c>
      <c r="BB3176" t="str">
        <f t="shared" si="1480"/>
        <v xml:space="preserve">N711JA  </v>
      </c>
      <c r="BC3176">
        <v>1</v>
      </c>
      <c r="BE3176">
        <v>0</v>
      </c>
      <c r="BF3176">
        <v>0</v>
      </c>
      <c r="BG3176">
        <v>0</v>
      </c>
      <c r="BH3176">
        <v>2325</v>
      </c>
      <c r="BI3176">
        <v>1</v>
      </c>
      <c r="BJ3176">
        <v>1</v>
      </c>
      <c r="BK3176">
        <v>0</v>
      </c>
      <c r="BL3176">
        <v>0</v>
      </c>
      <c r="BO3176">
        <v>0</v>
      </c>
      <c r="BP3176">
        <v>0</v>
      </c>
      <c r="BW3176" t="str">
        <f t="shared" ref="BW3176:BW3184" si="1489">"14:46:55.144"</f>
        <v>14:46:55.144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6</v>
      </c>
      <c r="CP3176" t="s">
        <v>119</v>
      </c>
      <c r="CQ3176">
        <v>56</v>
      </c>
      <c r="CR3176">
        <v>2</v>
      </c>
      <c r="CW3176">
        <v>4970611</v>
      </c>
      <c r="CY3176">
        <v>1</v>
      </c>
      <c r="CZ3176">
        <v>0</v>
      </c>
      <c r="DA3176">
        <v>0</v>
      </c>
      <c r="DB3176">
        <v>0</v>
      </c>
      <c r="DC3176">
        <v>0</v>
      </c>
      <c r="DD3176">
        <v>1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 t="shared" si="1486"/>
        <v>05/12/2020 14:46:37.319</v>
      </c>
      <c r="C3177" t="str">
        <f t="shared" si="1477"/>
        <v>FFDFD3C0</v>
      </c>
      <c r="D3177" t="s">
        <v>126</v>
      </c>
      <c r="E3177">
        <v>7</v>
      </c>
      <c r="F3177">
        <v>1007</v>
      </c>
      <c r="G3177" t="s">
        <v>127</v>
      </c>
      <c r="J3177" t="s">
        <v>128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si="1487"/>
        <v>14:46:55.141</v>
      </c>
      <c r="T3177" t="str">
        <f t="shared" si="1488"/>
        <v>14:46:54.741</v>
      </c>
      <c r="U3177" t="str">
        <f t="shared" si="1467"/>
        <v>A9808D</v>
      </c>
      <c r="V3177">
        <v>0</v>
      </c>
      <c r="W3177">
        <v>0</v>
      </c>
      <c r="X3177">
        <v>1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0</v>
      </c>
      <c r="AI3177" t="s">
        <v>763</v>
      </c>
      <c r="AJ3177">
        <v>28.246600999999998</v>
      </c>
      <c r="AK3177" t="s">
        <v>764</v>
      </c>
      <c r="AL3177">
        <v>-82.278649999999999</v>
      </c>
      <c r="AM3177">
        <v>100</v>
      </c>
      <c r="AN3177">
        <v>2300</v>
      </c>
      <c r="AO3177" t="s">
        <v>118</v>
      </c>
      <c r="AP3177">
        <v>135</v>
      </c>
      <c r="AQ3177">
        <v>-2</v>
      </c>
      <c r="AR3177">
        <v>-320</v>
      </c>
      <c r="AZ3177">
        <v>1200</v>
      </c>
      <c r="BA3177">
        <v>1</v>
      </c>
      <c r="BB3177" t="str">
        <f t="shared" si="1480"/>
        <v xml:space="preserve">N711JA  </v>
      </c>
      <c r="BC3177">
        <v>1</v>
      </c>
      <c r="BE3177">
        <v>0</v>
      </c>
      <c r="BF3177">
        <v>0</v>
      </c>
      <c r="BG3177">
        <v>0</v>
      </c>
      <c r="BH3177">
        <v>2325</v>
      </c>
      <c r="BI3177">
        <v>1</v>
      </c>
      <c r="BJ3177">
        <v>1</v>
      </c>
      <c r="BK3177">
        <v>0</v>
      </c>
      <c r="BL3177">
        <v>0</v>
      </c>
      <c r="BO3177">
        <v>0</v>
      </c>
      <c r="BP3177">
        <v>0</v>
      </c>
      <c r="BW3177" t="str">
        <f t="shared" si="1489"/>
        <v>14:46:55.144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6</v>
      </c>
      <c r="CP3177" t="s">
        <v>119</v>
      </c>
      <c r="CQ3177">
        <v>358</v>
      </c>
      <c r="CR3177">
        <v>0</v>
      </c>
      <c r="CW3177">
        <v>4946367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1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 t="shared" si="1486"/>
        <v>05/12/2020 14:46:37.319</v>
      </c>
      <c r="C3178" t="str">
        <f t="shared" si="1477"/>
        <v>FFDFD3C0</v>
      </c>
      <c r="D3178" t="s">
        <v>131</v>
      </c>
      <c r="E3178">
        <v>10</v>
      </c>
      <c r="F3178">
        <v>2010</v>
      </c>
      <c r="G3178" t="s">
        <v>132</v>
      </c>
      <c r="J3178" t="s">
        <v>133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487"/>
        <v>14:46:55.141</v>
      </c>
      <c r="T3178" t="str">
        <f t="shared" si="1488"/>
        <v>14:46:54.741</v>
      </c>
      <c r="U3178" t="str">
        <f t="shared" si="1467"/>
        <v>A9808D</v>
      </c>
      <c r="V3178">
        <v>0</v>
      </c>
      <c r="W3178">
        <v>0</v>
      </c>
      <c r="X3178">
        <v>1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0</v>
      </c>
      <c r="AI3178" t="s">
        <v>763</v>
      </c>
      <c r="AJ3178">
        <v>28.246600999999998</v>
      </c>
      <c r="AK3178" t="s">
        <v>764</v>
      </c>
      <c r="AL3178">
        <v>-82.278649999999999</v>
      </c>
      <c r="AM3178">
        <v>100</v>
      </c>
      <c r="AN3178">
        <v>2300</v>
      </c>
      <c r="AO3178" t="s">
        <v>118</v>
      </c>
      <c r="AP3178">
        <v>135</v>
      </c>
      <c r="AQ3178">
        <v>-2</v>
      </c>
      <c r="AR3178">
        <v>-320</v>
      </c>
      <c r="AZ3178">
        <v>1200</v>
      </c>
      <c r="BA3178">
        <v>1</v>
      </c>
      <c r="BB3178" t="str">
        <f t="shared" si="1480"/>
        <v xml:space="preserve">N711JA  </v>
      </c>
      <c r="BC3178">
        <v>1</v>
      </c>
      <c r="BE3178">
        <v>0</v>
      </c>
      <c r="BF3178">
        <v>0</v>
      </c>
      <c r="BG3178">
        <v>0</v>
      </c>
      <c r="BH3178">
        <v>2325</v>
      </c>
      <c r="BI3178">
        <v>1</v>
      </c>
      <c r="BJ3178">
        <v>1</v>
      </c>
      <c r="BK3178">
        <v>0</v>
      </c>
      <c r="BL3178">
        <v>0</v>
      </c>
      <c r="BO3178">
        <v>0</v>
      </c>
      <c r="BP3178">
        <v>0</v>
      </c>
      <c r="BW3178" t="str">
        <f t="shared" si="1489"/>
        <v>14:46:55.144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6</v>
      </c>
      <c r="CP3178" t="s">
        <v>119</v>
      </c>
      <c r="CQ3178">
        <v>358</v>
      </c>
      <c r="CR3178">
        <v>0</v>
      </c>
      <c r="CW3178">
        <v>4946367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1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 t="shared" si="1486"/>
        <v>05/12/2020 14:46:37.319</v>
      </c>
      <c r="C3179" t="str">
        <f t="shared" si="1477"/>
        <v>FFDFD3C0</v>
      </c>
      <c r="D3179" t="s">
        <v>131</v>
      </c>
      <c r="E3179">
        <v>12</v>
      </c>
      <c r="F3179">
        <v>2012</v>
      </c>
      <c r="G3179" t="s">
        <v>137</v>
      </c>
      <c r="J3179" t="s">
        <v>133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si="1487"/>
        <v>14:46:55.141</v>
      </c>
      <c r="T3179" t="str">
        <f t="shared" si="1488"/>
        <v>14:46:54.741</v>
      </c>
      <c r="U3179" t="str">
        <f t="shared" si="1467"/>
        <v>A9808D</v>
      </c>
      <c r="V3179">
        <v>0</v>
      </c>
      <c r="W3179">
        <v>0</v>
      </c>
      <c r="X3179">
        <v>1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0</v>
      </c>
      <c r="AI3179" t="s">
        <v>763</v>
      </c>
      <c r="AJ3179">
        <v>28.246600999999998</v>
      </c>
      <c r="AK3179" t="s">
        <v>764</v>
      </c>
      <c r="AL3179">
        <v>-82.278649999999999</v>
      </c>
      <c r="AM3179">
        <v>100</v>
      </c>
      <c r="AN3179">
        <v>2300</v>
      </c>
      <c r="AO3179" t="s">
        <v>118</v>
      </c>
      <c r="AP3179">
        <v>135</v>
      </c>
      <c r="AQ3179">
        <v>-2</v>
      </c>
      <c r="AR3179">
        <v>-320</v>
      </c>
      <c r="AZ3179">
        <v>1200</v>
      </c>
      <c r="BA3179">
        <v>1</v>
      </c>
      <c r="BB3179" t="str">
        <f t="shared" si="1480"/>
        <v xml:space="preserve">N711JA  </v>
      </c>
      <c r="BC3179">
        <v>1</v>
      </c>
      <c r="BE3179">
        <v>0</v>
      </c>
      <c r="BF3179">
        <v>0</v>
      </c>
      <c r="BG3179">
        <v>0</v>
      </c>
      <c r="BH3179">
        <v>2325</v>
      </c>
      <c r="BI3179">
        <v>1</v>
      </c>
      <c r="BJ3179">
        <v>1</v>
      </c>
      <c r="BK3179">
        <v>0</v>
      </c>
      <c r="BL3179">
        <v>0</v>
      </c>
      <c r="BO3179">
        <v>0</v>
      </c>
      <c r="BP3179">
        <v>0</v>
      </c>
      <c r="BW3179" t="str">
        <f t="shared" si="1489"/>
        <v>14:46:55.144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6</v>
      </c>
      <c r="CP3179" t="s">
        <v>119</v>
      </c>
      <c r="CQ3179">
        <v>56</v>
      </c>
      <c r="CR3179">
        <v>2</v>
      </c>
      <c r="CW3179">
        <v>4970611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1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 t="shared" si="1486"/>
        <v>05/12/2020 14:46:37.319</v>
      </c>
      <c r="C3180" t="str">
        <f t="shared" si="1477"/>
        <v>FFDFD3C0</v>
      </c>
      <c r="D3180" t="s">
        <v>134</v>
      </c>
      <c r="E3180">
        <v>12</v>
      </c>
      <c r="H3180">
        <v>64</v>
      </c>
      <c r="I3180" t="s">
        <v>135</v>
      </c>
      <c r="J3180" t="s">
        <v>136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si="1487"/>
        <v>14:46:55.141</v>
      </c>
      <c r="T3180" t="str">
        <f t="shared" si="1488"/>
        <v>14:46:54.741</v>
      </c>
      <c r="U3180" t="str">
        <f t="shared" si="1467"/>
        <v>A9808D</v>
      </c>
      <c r="V3180">
        <v>0</v>
      </c>
      <c r="W3180">
        <v>0</v>
      </c>
      <c r="X3180">
        <v>1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0</v>
      </c>
      <c r="AI3180" t="s">
        <v>763</v>
      </c>
      <c r="AJ3180">
        <v>28.246600999999998</v>
      </c>
      <c r="AK3180" t="s">
        <v>764</v>
      </c>
      <c r="AL3180">
        <v>-82.278649999999999</v>
      </c>
      <c r="AM3180">
        <v>100</v>
      </c>
      <c r="AN3180">
        <v>2300</v>
      </c>
      <c r="AO3180" t="s">
        <v>118</v>
      </c>
      <c r="AP3180">
        <v>135</v>
      </c>
      <c r="AQ3180">
        <v>-2</v>
      </c>
      <c r="AR3180">
        <v>-320</v>
      </c>
      <c r="AZ3180">
        <v>1200</v>
      </c>
      <c r="BA3180">
        <v>1</v>
      </c>
      <c r="BB3180" t="str">
        <f t="shared" si="1480"/>
        <v xml:space="preserve">N711JA  </v>
      </c>
      <c r="BC3180">
        <v>1</v>
      </c>
      <c r="BE3180">
        <v>0</v>
      </c>
      <c r="BF3180">
        <v>0</v>
      </c>
      <c r="BG3180">
        <v>0</v>
      </c>
      <c r="BH3180">
        <v>2325</v>
      </c>
      <c r="BI3180">
        <v>1</v>
      </c>
      <c r="BJ3180">
        <v>1</v>
      </c>
      <c r="BK3180">
        <v>0</v>
      </c>
      <c r="BL3180">
        <v>0</v>
      </c>
      <c r="BO3180">
        <v>0</v>
      </c>
      <c r="BP3180">
        <v>0</v>
      </c>
      <c r="BW3180" t="str">
        <f t="shared" si="1489"/>
        <v>14:46:55.144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6</v>
      </c>
      <c r="CP3180" t="s">
        <v>119</v>
      </c>
      <c r="CQ3180">
        <v>358</v>
      </c>
      <c r="CR3180">
        <v>0</v>
      </c>
      <c r="CW3180">
        <v>4946367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1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 t="shared" si="1486"/>
        <v>05/12/2020 14:46:37.319</v>
      </c>
      <c r="C3181" t="str">
        <f t="shared" si="1477"/>
        <v>FFDFD3C0</v>
      </c>
      <c r="D3181" t="s">
        <v>131</v>
      </c>
      <c r="E3181">
        <v>18</v>
      </c>
      <c r="F3181">
        <v>2018</v>
      </c>
      <c r="G3181" t="s">
        <v>161</v>
      </c>
      <c r="J3181" t="s">
        <v>133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487"/>
        <v>14:46:55.141</v>
      </c>
      <c r="T3181" t="str">
        <f t="shared" si="1488"/>
        <v>14:46:54.741</v>
      </c>
      <c r="U3181" t="str">
        <f t="shared" si="1467"/>
        <v>A9808D</v>
      </c>
      <c r="V3181">
        <v>0</v>
      </c>
      <c r="W3181">
        <v>0</v>
      </c>
      <c r="X3181">
        <v>1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0</v>
      </c>
      <c r="AI3181" t="s">
        <v>763</v>
      </c>
      <c r="AJ3181">
        <v>28.246600999999998</v>
      </c>
      <c r="AK3181" t="s">
        <v>764</v>
      </c>
      <c r="AL3181">
        <v>-82.278649999999999</v>
      </c>
      <c r="AM3181">
        <v>100</v>
      </c>
      <c r="AN3181">
        <v>2300</v>
      </c>
      <c r="AO3181" t="s">
        <v>118</v>
      </c>
      <c r="AP3181">
        <v>135</v>
      </c>
      <c r="AQ3181">
        <v>-2</v>
      </c>
      <c r="AR3181">
        <v>-320</v>
      </c>
      <c r="AZ3181">
        <v>1200</v>
      </c>
      <c r="BA3181">
        <v>1</v>
      </c>
      <c r="BB3181" t="str">
        <f t="shared" si="1480"/>
        <v xml:space="preserve">N711JA  </v>
      </c>
      <c r="BC3181">
        <v>1</v>
      </c>
      <c r="BE3181">
        <v>0</v>
      </c>
      <c r="BF3181">
        <v>0</v>
      </c>
      <c r="BG3181">
        <v>0</v>
      </c>
      <c r="BH3181">
        <v>2325</v>
      </c>
      <c r="BI3181">
        <v>1</v>
      </c>
      <c r="BJ3181">
        <v>1</v>
      </c>
      <c r="BK3181">
        <v>0</v>
      </c>
      <c r="BL3181">
        <v>0</v>
      </c>
      <c r="BO3181">
        <v>0</v>
      </c>
      <c r="BP3181">
        <v>0</v>
      </c>
      <c r="BW3181" t="str">
        <f t="shared" si="1489"/>
        <v>14:46:55.144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6</v>
      </c>
      <c r="CP3181" t="s">
        <v>119</v>
      </c>
      <c r="CQ3181">
        <v>56</v>
      </c>
      <c r="CR3181">
        <v>2</v>
      </c>
      <c r="CW3181">
        <v>4970611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1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 t="shared" si="1486"/>
        <v>05/12/2020 14:46:37.319</v>
      </c>
      <c r="C3182" t="str">
        <f t="shared" si="1477"/>
        <v>FFDFD3C0</v>
      </c>
      <c r="D3182" t="s">
        <v>138</v>
      </c>
      <c r="E3182">
        <v>2</v>
      </c>
      <c r="H3182">
        <v>8</v>
      </c>
      <c r="I3182" t="s">
        <v>139</v>
      </c>
      <c r="J3182" t="s">
        <v>136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487"/>
        <v>14:46:55.141</v>
      </c>
      <c r="T3182" t="str">
        <f t="shared" si="1488"/>
        <v>14:46:54.741</v>
      </c>
      <c r="U3182" t="str">
        <f t="shared" si="1467"/>
        <v>A9808D</v>
      </c>
      <c r="V3182">
        <v>0</v>
      </c>
      <c r="W3182">
        <v>0</v>
      </c>
      <c r="X3182">
        <v>1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0</v>
      </c>
      <c r="AI3182" t="s">
        <v>763</v>
      </c>
      <c r="AJ3182">
        <v>28.246600999999998</v>
      </c>
      <c r="AK3182" t="s">
        <v>764</v>
      </c>
      <c r="AL3182">
        <v>-82.278649999999999</v>
      </c>
      <c r="AM3182">
        <v>100</v>
      </c>
      <c r="AN3182">
        <v>2300</v>
      </c>
      <c r="AO3182" t="s">
        <v>118</v>
      </c>
      <c r="AP3182">
        <v>135</v>
      </c>
      <c r="AQ3182">
        <v>-2</v>
      </c>
      <c r="AR3182">
        <v>-320</v>
      </c>
      <c r="AZ3182">
        <v>1200</v>
      </c>
      <c r="BA3182">
        <v>1</v>
      </c>
      <c r="BB3182" t="str">
        <f t="shared" si="1480"/>
        <v xml:space="preserve">N711JA  </v>
      </c>
      <c r="BC3182">
        <v>1</v>
      </c>
      <c r="BE3182">
        <v>0</v>
      </c>
      <c r="BF3182">
        <v>0</v>
      </c>
      <c r="BG3182">
        <v>0</v>
      </c>
      <c r="BH3182">
        <v>2325</v>
      </c>
      <c r="BI3182">
        <v>1</v>
      </c>
      <c r="BJ3182">
        <v>1</v>
      </c>
      <c r="BK3182">
        <v>0</v>
      </c>
      <c r="BL3182">
        <v>0</v>
      </c>
      <c r="BO3182">
        <v>0</v>
      </c>
      <c r="BP3182">
        <v>0</v>
      </c>
      <c r="BW3182" t="str">
        <f t="shared" si="1489"/>
        <v>14:46:55.144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6</v>
      </c>
      <c r="CP3182" t="s">
        <v>119</v>
      </c>
      <c r="CQ3182">
        <v>56</v>
      </c>
      <c r="CR3182">
        <v>2</v>
      </c>
      <c r="CW3182">
        <v>4970611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1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 t="shared" si="1486"/>
        <v>05/12/2020 14:46:37.319</v>
      </c>
      <c r="C3183" t="str">
        <f t="shared" si="1477"/>
        <v>FFDFD3C0</v>
      </c>
      <c r="D3183" t="s">
        <v>138</v>
      </c>
      <c r="E3183">
        <v>3</v>
      </c>
      <c r="H3183">
        <v>9</v>
      </c>
      <c r="I3183" t="s">
        <v>140</v>
      </c>
      <c r="J3183" t="s">
        <v>136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487"/>
        <v>14:46:55.141</v>
      </c>
      <c r="T3183" t="str">
        <f t="shared" si="1488"/>
        <v>14:46:54.741</v>
      </c>
      <c r="U3183" t="str">
        <f t="shared" si="1467"/>
        <v>A9808D</v>
      </c>
      <c r="V3183">
        <v>0</v>
      </c>
      <c r="W3183">
        <v>0</v>
      </c>
      <c r="X3183">
        <v>1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0</v>
      </c>
      <c r="AI3183" t="s">
        <v>763</v>
      </c>
      <c r="AJ3183">
        <v>28.246600999999998</v>
      </c>
      <c r="AK3183" t="s">
        <v>764</v>
      </c>
      <c r="AL3183">
        <v>-82.278649999999999</v>
      </c>
      <c r="AM3183">
        <v>100</v>
      </c>
      <c r="AN3183">
        <v>2300</v>
      </c>
      <c r="AO3183" t="s">
        <v>118</v>
      </c>
      <c r="AP3183">
        <v>135</v>
      </c>
      <c r="AQ3183">
        <v>-2</v>
      </c>
      <c r="AR3183">
        <v>-320</v>
      </c>
      <c r="AZ3183">
        <v>1200</v>
      </c>
      <c r="BA3183">
        <v>1</v>
      </c>
      <c r="BB3183" t="str">
        <f t="shared" si="1480"/>
        <v xml:space="preserve">N711JA  </v>
      </c>
      <c r="BC3183">
        <v>1</v>
      </c>
      <c r="BE3183">
        <v>0</v>
      </c>
      <c r="BF3183">
        <v>0</v>
      </c>
      <c r="BG3183">
        <v>0</v>
      </c>
      <c r="BH3183">
        <v>2325</v>
      </c>
      <c r="BI3183">
        <v>1</v>
      </c>
      <c r="BJ3183">
        <v>1</v>
      </c>
      <c r="BK3183">
        <v>0</v>
      </c>
      <c r="BL3183">
        <v>0</v>
      </c>
      <c r="BO3183">
        <v>0</v>
      </c>
      <c r="BP3183">
        <v>0</v>
      </c>
      <c r="BW3183" t="str">
        <f t="shared" si="1489"/>
        <v>14:46:55.144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6</v>
      </c>
      <c r="CP3183" t="s">
        <v>119</v>
      </c>
      <c r="CQ3183">
        <v>358</v>
      </c>
      <c r="CR3183">
        <v>0</v>
      </c>
      <c r="CW3183">
        <v>4946367</v>
      </c>
      <c r="CY3183">
        <v>1</v>
      </c>
      <c r="CZ3183">
        <v>0</v>
      </c>
      <c r="DA3183">
        <v>1</v>
      </c>
      <c r="DB3183">
        <v>0</v>
      </c>
      <c r="DC3183">
        <v>0</v>
      </c>
      <c r="DD3183">
        <v>1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 t="shared" si="1486"/>
        <v>05/12/2020 14:46:37.319</v>
      </c>
      <c r="C3184" t="str">
        <f t="shared" si="1477"/>
        <v>FFDFD3C0</v>
      </c>
      <c r="D3184" t="s">
        <v>126</v>
      </c>
      <c r="E3184">
        <v>6</v>
      </c>
      <c r="F3184">
        <v>1006</v>
      </c>
      <c r="G3184" t="s">
        <v>114</v>
      </c>
      <c r="J3184" t="s">
        <v>128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487"/>
        <v>14:46:55.141</v>
      </c>
      <c r="T3184" t="str">
        <f t="shared" si="1488"/>
        <v>14:46:54.741</v>
      </c>
      <c r="U3184" t="str">
        <f t="shared" si="1467"/>
        <v>A9808D</v>
      </c>
      <c r="V3184">
        <v>0</v>
      </c>
      <c r="W3184">
        <v>0</v>
      </c>
      <c r="X3184">
        <v>1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0</v>
      </c>
      <c r="AI3184" t="s">
        <v>763</v>
      </c>
      <c r="AJ3184">
        <v>28.246600999999998</v>
      </c>
      <c r="AK3184" t="s">
        <v>764</v>
      </c>
      <c r="AL3184">
        <v>-82.278649999999999</v>
      </c>
      <c r="AM3184">
        <v>100</v>
      </c>
      <c r="AN3184">
        <v>2300</v>
      </c>
      <c r="AO3184" t="s">
        <v>118</v>
      </c>
      <c r="AP3184">
        <v>135</v>
      </c>
      <c r="AQ3184">
        <v>-2</v>
      </c>
      <c r="AR3184">
        <v>-320</v>
      </c>
      <c r="AZ3184">
        <v>1200</v>
      </c>
      <c r="BA3184">
        <v>1</v>
      </c>
      <c r="BB3184" t="str">
        <f t="shared" si="1480"/>
        <v xml:space="preserve">N711JA  </v>
      </c>
      <c r="BC3184">
        <v>1</v>
      </c>
      <c r="BE3184">
        <v>0</v>
      </c>
      <c r="BF3184">
        <v>0</v>
      </c>
      <c r="BG3184">
        <v>0</v>
      </c>
      <c r="BH3184">
        <v>2325</v>
      </c>
      <c r="BI3184">
        <v>1</v>
      </c>
      <c r="BJ3184">
        <v>1</v>
      </c>
      <c r="BK3184">
        <v>0</v>
      </c>
      <c r="BL3184">
        <v>0</v>
      </c>
      <c r="BO3184">
        <v>0</v>
      </c>
      <c r="BP3184">
        <v>0</v>
      </c>
      <c r="BW3184" t="str">
        <f t="shared" si="1489"/>
        <v>14:46:55.144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6</v>
      </c>
      <c r="CP3184" t="s">
        <v>119</v>
      </c>
      <c r="CQ3184">
        <v>358</v>
      </c>
      <c r="CR3184">
        <v>0</v>
      </c>
      <c r="CW3184">
        <v>4946367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1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 t="shared" ref="A3185:A3193" si="1490">"05/12/2020 14:46:38.281"</f>
        <v>05/12/2020 14:46:38.281</v>
      </c>
      <c r="C3185" t="str">
        <f t="shared" si="1477"/>
        <v>FFDFD3C0</v>
      </c>
      <c r="D3185" t="s">
        <v>113</v>
      </c>
      <c r="E3185">
        <v>3</v>
      </c>
      <c r="H3185">
        <v>164</v>
      </c>
      <c r="I3185" t="s">
        <v>114</v>
      </c>
      <c r="J3185" t="s">
        <v>115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ref="S3185:S3193" si="1491">"14:46:56.094"</f>
        <v>14:46:56.094</v>
      </c>
      <c r="T3185" t="str">
        <f t="shared" ref="T3185:T3193" si="1492">"14:46:55.794"</f>
        <v>14:46:55.794</v>
      </c>
      <c r="U3185" t="str">
        <f t="shared" si="1467"/>
        <v>A9808D</v>
      </c>
      <c r="V3185">
        <v>0</v>
      </c>
      <c r="W3185">
        <v>0</v>
      </c>
      <c r="X3185">
        <v>1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0</v>
      </c>
      <c r="AI3185" t="s">
        <v>759</v>
      </c>
      <c r="AJ3185">
        <v>28.246621999999999</v>
      </c>
      <c r="AK3185" t="s">
        <v>765</v>
      </c>
      <c r="AL3185">
        <v>-82.277941999999996</v>
      </c>
      <c r="AM3185">
        <v>100</v>
      </c>
      <c r="AN3185">
        <v>2300</v>
      </c>
      <c r="AO3185" t="s">
        <v>118</v>
      </c>
      <c r="AP3185">
        <v>135</v>
      </c>
      <c r="AQ3185">
        <v>-1</v>
      </c>
      <c r="AR3185">
        <v>-320</v>
      </c>
      <c r="AZ3185">
        <v>1200</v>
      </c>
      <c r="BA3185">
        <v>1</v>
      </c>
      <c r="BB3185" t="str">
        <f t="shared" si="1480"/>
        <v xml:space="preserve">N711JA  </v>
      </c>
      <c r="BC3185">
        <v>1</v>
      </c>
      <c r="BE3185">
        <v>0</v>
      </c>
      <c r="BF3185">
        <v>0</v>
      </c>
      <c r="BG3185">
        <v>0</v>
      </c>
      <c r="BH3185">
        <v>2325</v>
      </c>
      <c r="BI3185">
        <v>1</v>
      </c>
      <c r="BJ3185">
        <v>1</v>
      </c>
      <c r="BK3185">
        <v>0</v>
      </c>
      <c r="BL3185">
        <v>0</v>
      </c>
      <c r="BO3185">
        <v>0</v>
      </c>
      <c r="BP3185">
        <v>0</v>
      </c>
      <c r="BW3185" t="str">
        <f t="shared" ref="BW3185:BW3193" si="1493">"14:46:56.096"</f>
        <v>14:46:56.096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6</v>
      </c>
      <c r="CP3185" t="s">
        <v>119</v>
      </c>
      <c r="CQ3185">
        <v>56</v>
      </c>
      <c r="CR3185">
        <v>2</v>
      </c>
      <c r="CW3185">
        <v>4971781</v>
      </c>
      <c r="CY3185">
        <v>1</v>
      </c>
      <c r="CZ3185">
        <v>0</v>
      </c>
      <c r="DA3185">
        <v>0</v>
      </c>
      <c r="DB3185">
        <v>0</v>
      </c>
      <c r="DC3185">
        <v>0</v>
      </c>
      <c r="DD3185">
        <v>1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 t="shared" si="1490"/>
        <v>05/12/2020 14:46:38.281</v>
      </c>
      <c r="C3186" t="str">
        <f t="shared" si="1477"/>
        <v>FFDFD3C0</v>
      </c>
      <c r="D3186" t="s">
        <v>131</v>
      </c>
      <c r="E3186">
        <v>12</v>
      </c>
      <c r="F3186">
        <v>2012</v>
      </c>
      <c r="G3186" t="s">
        <v>137</v>
      </c>
      <c r="J3186" t="s">
        <v>133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491"/>
        <v>14:46:56.094</v>
      </c>
      <c r="T3186" t="str">
        <f t="shared" si="1492"/>
        <v>14:46:55.794</v>
      </c>
      <c r="U3186" t="str">
        <f t="shared" si="1467"/>
        <v>A9808D</v>
      </c>
      <c r="V3186">
        <v>0</v>
      </c>
      <c r="W3186">
        <v>0</v>
      </c>
      <c r="X3186">
        <v>1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0</v>
      </c>
      <c r="AI3186" t="s">
        <v>759</v>
      </c>
      <c r="AJ3186">
        <v>28.246621999999999</v>
      </c>
      <c r="AK3186" t="s">
        <v>765</v>
      </c>
      <c r="AL3186">
        <v>-82.277941999999996</v>
      </c>
      <c r="AM3186">
        <v>100</v>
      </c>
      <c r="AN3186">
        <v>2300</v>
      </c>
      <c r="AO3186" t="s">
        <v>118</v>
      </c>
      <c r="AP3186">
        <v>135</v>
      </c>
      <c r="AQ3186">
        <v>-1</v>
      </c>
      <c r="AR3186">
        <v>-320</v>
      </c>
      <c r="AZ3186">
        <v>1200</v>
      </c>
      <c r="BA3186">
        <v>1</v>
      </c>
      <c r="BB3186" t="str">
        <f t="shared" si="1480"/>
        <v xml:space="preserve">N711JA  </v>
      </c>
      <c r="BC3186">
        <v>1</v>
      </c>
      <c r="BE3186">
        <v>0</v>
      </c>
      <c r="BF3186">
        <v>0</v>
      </c>
      <c r="BG3186">
        <v>0</v>
      </c>
      <c r="BH3186">
        <v>2325</v>
      </c>
      <c r="BI3186">
        <v>1</v>
      </c>
      <c r="BJ3186">
        <v>1</v>
      </c>
      <c r="BK3186">
        <v>0</v>
      </c>
      <c r="BL3186">
        <v>0</v>
      </c>
      <c r="BO3186">
        <v>0</v>
      </c>
      <c r="BP3186">
        <v>0</v>
      </c>
      <c r="BW3186" t="str">
        <f t="shared" si="1493"/>
        <v>14:46:56.096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6</v>
      </c>
      <c r="CP3186" t="s">
        <v>119</v>
      </c>
      <c r="CQ3186">
        <v>56</v>
      </c>
      <c r="CR3186">
        <v>2</v>
      </c>
      <c r="CW3186">
        <v>4971781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1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 t="shared" si="1490"/>
        <v>05/12/2020 14:46:38.281</v>
      </c>
      <c r="C3187" t="str">
        <f t="shared" si="1477"/>
        <v>FFDFD3C0</v>
      </c>
      <c r="D3187" t="s">
        <v>131</v>
      </c>
      <c r="E3187">
        <v>18</v>
      </c>
      <c r="F3187">
        <v>2018</v>
      </c>
      <c r="G3187" t="s">
        <v>161</v>
      </c>
      <c r="J3187" t="s">
        <v>133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si="1491"/>
        <v>14:46:56.094</v>
      </c>
      <c r="T3187" t="str">
        <f t="shared" si="1492"/>
        <v>14:46:55.794</v>
      </c>
      <c r="U3187" t="str">
        <f t="shared" si="1467"/>
        <v>A9808D</v>
      </c>
      <c r="V3187">
        <v>0</v>
      </c>
      <c r="W3187">
        <v>0</v>
      </c>
      <c r="X3187">
        <v>1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0</v>
      </c>
      <c r="AI3187" t="s">
        <v>759</v>
      </c>
      <c r="AJ3187">
        <v>28.246621999999999</v>
      </c>
      <c r="AK3187" t="s">
        <v>765</v>
      </c>
      <c r="AL3187">
        <v>-82.277941999999996</v>
      </c>
      <c r="AM3187">
        <v>100</v>
      </c>
      <c r="AN3187">
        <v>2300</v>
      </c>
      <c r="AO3187" t="s">
        <v>118</v>
      </c>
      <c r="AP3187">
        <v>135</v>
      </c>
      <c r="AQ3187">
        <v>-1</v>
      </c>
      <c r="AR3187">
        <v>-320</v>
      </c>
      <c r="AZ3187">
        <v>1200</v>
      </c>
      <c r="BA3187">
        <v>1</v>
      </c>
      <c r="BB3187" t="str">
        <f t="shared" si="1480"/>
        <v xml:space="preserve">N711JA  </v>
      </c>
      <c r="BC3187">
        <v>1</v>
      </c>
      <c r="BE3187">
        <v>0</v>
      </c>
      <c r="BF3187">
        <v>0</v>
      </c>
      <c r="BG3187">
        <v>0</v>
      </c>
      <c r="BH3187">
        <v>2325</v>
      </c>
      <c r="BI3187">
        <v>1</v>
      </c>
      <c r="BJ3187">
        <v>1</v>
      </c>
      <c r="BK3187">
        <v>0</v>
      </c>
      <c r="BL3187">
        <v>0</v>
      </c>
      <c r="BO3187">
        <v>0</v>
      </c>
      <c r="BP3187">
        <v>0</v>
      </c>
      <c r="BW3187" t="str">
        <f t="shared" si="1493"/>
        <v>14:46:56.096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6</v>
      </c>
      <c r="CP3187" t="s">
        <v>119</v>
      </c>
      <c r="CQ3187">
        <v>56</v>
      </c>
      <c r="CR3187">
        <v>2</v>
      </c>
      <c r="CW3187">
        <v>4971781</v>
      </c>
      <c r="CY3187">
        <v>1</v>
      </c>
      <c r="CZ3187">
        <v>0</v>
      </c>
      <c r="DA3187">
        <v>1</v>
      </c>
      <c r="DB3187">
        <v>0</v>
      </c>
      <c r="DC3187">
        <v>0</v>
      </c>
      <c r="DD3187">
        <v>1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 t="shared" si="1490"/>
        <v>05/12/2020 14:46:38.281</v>
      </c>
      <c r="C3188" t="str">
        <f t="shared" si="1477"/>
        <v>FFDFD3C0</v>
      </c>
      <c r="D3188" t="s">
        <v>134</v>
      </c>
      <c r="E3188">
        <v>12</v>
      </c>
      <c r="H3188">
        <v>64</v>
      </c>
      <c r="I3188" t="s">
        <v>135</v>
      </c>
      <c r="J3188" t="s">
        <v>136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491"/>
        <v>14:46:56.094</v>
      </c>
      <c r="T3188" t="str">
        <f t="shared" si="1492"/>
        <v>14:46:55.794</v>
      </c>
      <c r="U3188" t="str">
        <f t="shared" si="1467"/>
        <v>A9808D</v>
      </c>
      <c r="V3188">
        <v>0</v>
      </c>
      <c r="W3188">
        <v>0</v>
      </c>
      <c r="X3188">
        <v>1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0</v>
      </c>
      <c r="AI3188" t="s">
        <v>759</v>
      </c>
      <c r="AJ3188">
        <v>28.246621999999999</v>
      </c>
      <c r="AK3188" t="s">
        <v>765</v>
      </c>
      <c r="AL3188">
        <v>-82.277941999999996</v>
      </c>
      <c r="AM3188">
        <v>100</v>
      </c>
      <c r="AN3188">
        <v>2300</v>
      </c>
      <c r="AO3188" t="s">
        <v>118</v>
      </c>
      <c r="AP3188">
        <v>135</v>
      </c>
      <c r="AQ3188">
        <v>-1</v>
      </c>
      <c r="AR3188">
        <v>-320</v>
      </c>
      <c r="AZ3188">
        <v>1200</v>
      </c>
      <c r="BA3188">
        <v>1</v>
      </c>
      <c r="BB3188" t="str">
        <f t="shared" si="1480"/>
        <v xml:space="preserve">N711JA  </v>
      </c>
      <c r="BC3188">
        <v>1</v>
      </c>
      <c r="BE3188">
        <v>0</v>
      </c>
      <c r="BF3188">
        <v>0</v>
      </c>
      <c r="BG3188">
        <v>0</v>
      </c>
      <c r="BH3188">
        <v>2325</v>
      </c>
      <c r="BI3188">
        <v>1</v>
      </c>
      <c r="BJ3188">
        <v>1</v>
      </c>
      <c r="BK3188">
        <v>0</v>
      </c>
      <c r="BL3188">
        <v>0</v>
      </c>
      <c r="BO3188">
        <v>0</v>
      </c>
      <c r="BP3188">
        <v>0</v>
      </c>
      <c r="BW3188" t="str">
        <f t="shared" si="1493"/>
        <v>14:46:56.096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6</v>
      </c>
      <c r="CP3188" t="s">
        <v>119</v>
      </c>
      <c r="CQ3188">
        <v>358</v>
      </c>
      <c r="CR3188">
        <v>0</v>
      </c>
      <c r="CW3188">
        <v>4947558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1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 t="shared" si="1490"/>
        <v>05/12/2020 14:46:38.281</v>
      </c>
      <c r="C3189" t="str">
        <f t="shared" si="1477"/>
        <v>FFDFD3C0</v>
      </c>
      <c r="D3189" t="s">
        <v>138</v>
      </c>
      <c r="E3189">
        <v>2</v>
      </c>
      <c r="H3189">
        <v>8</v>
      </c>
      <c r="I3189" t="s">
        <v>139</v>
      </c>
      <c r="J3189" t="s">
        <v>136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491"/>
        <v>14:46:56.094</v>
      </c>
      <c r="T3189" t="str">
        <f t="shared" si="1492"/>
        <v>14:46:55.794</v>
      </c>
      <c r="U3189" t="str">
        <f t="shared" si="1467"/>
        <v>A9808D</v>
      </c>
      <c r="V3189">
        <v>0</v>
      </c>
      <c r="W3189">
        <v>0</v>
      </c>
      <c r="X3189">
        <v>1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0</v>
      </c>
      <c r="AI3189" t="s">
        <v>759</v>
      </c>
      <c r="AJ3189">
        <v>28.246621999999999</v>
      </c>
      <c r="AK3189" t="s">
        <v>765</v>
      </c>
      <c r="AL3189">
        <v>-82.277941999999996</v>
      </c>
      <c r="AM3189">
        <v>100</v>
      </c>
      <c r="AN3189">
        <v>2300</v>
      </c>
      <c r="AO3189" t="s">
        <v>118</v>
      </c>
      <c r="AP3189">
        <v>135</v>
      </c>
      <c r="AQ3189">
        <v>-1</v>
      </c>
      <c r="AR3189">
        <v>-320</v>
      </c>
      <c r="AZ3189">
        <v>1200</v>
      </c>
      <c r="BA3189">
        <v>1</v>
      </c>
      <c r="BB3189" t="str">
        <f t="shared" si="1480"/>
        <v xml:space="preserve">N711JA  </v>
      </c>
      <c r="BC3189">
        <v>1</v>
      </c>
      <c r="BE3189">
        <v>0</v>
      </c>
      <c r="BF3189">
        <v>0</v>
      </c>
      <c r="BG3189">
        <v>0</v>
      </c>
      <c r="BH3189">
        <v>2325</v>
      </c>
      <c r="BI3189">
        <v>1</v>
      </c>
      <c r="BJ3189">
        <v>1</v>
      </c>
      <c r="BK3189">
        <v>0</v>
      </c>
      <c r="BL3189">
        <v>0</v>
      </c>
      <c r="BO3189">
        <v>0</v>
      </c>
      <c r="BP3189">
        <v>0</v>
      </c>
      <c r="BW3189" t="str">
        <f t="shared" si="1493"/>
        <v>14:46:56.096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6</v>
      </c>
      <c r="CP3189" t="s">
        <v>119</v>
      </c>
      <c r="CQ3189">
        <v>56</v>
      </c>
      <c r="CR3189">
        <v>2</v>
      </c>
      <c r="CW3189">
        <v>4971781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1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 t="shared" si="1490"/>
        <v>05/12/2020 14:46:38.281</v>
      </c>
      <c r="C3190" t="str">
        <f t="shared" si="1477"/>
        <v>FFDFD3C0</v>
      </c>
      <c r="D3190" t="s">
        <v>138</v>
      </c>
      <c r="E3190">
        <v>3</v>
      </c>
      <c r="H3190">
        <v>9</v>
      </c>
      <c r="I3190" t="s">
        <v>140</v>
      </c>
      <c r="J3190" t="s">
        <v>136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491"/>
        <v>14:46:56.094</v>
      </c>
      <c r="T3190" t="str">
        <f t="shared" si="1492"/>
        <v>14:46:55.794</v>
      </c>
      <c r="U3190" t="str">
        <f t="shared" si="1467"/>
        <v>A9808D</v>
      </c>
      <c r="V3190">
        <v>0</v>
      </c>
      <c r="W3190">
        <v>0</v>
      </c>
      <c r="X3190">
        <v>1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0</v>
      </c>
      <c r="AI3190" t="s">
        <v>759</v>
      </c>
      <c r="AJ3190">
        <v>28.246621999999999</v>
      </c>
      <c r="AK3190" t="s">
        <v>765</v>
      </c>
      <c r="AL3190">
        <v>-82.277941999999996</v>
      </c>
      <c r="AM3190">
        <v>100</v>
      </c>
      <c r="AN3190">
        <v>2300</v>
      </c>
      <c r="AO3190" t="s">
        <v>118</v>
      </c>
      <c r="AP3190">
        <v>135</v>
      </c>
      <c r="AQ3190">
        <v>-1</v>
      </c>
      <c r="AR3190">
        <v>-320</v>
      </c>
      <c r="AZ3190">
        <v>1200</v>
      </c>
      <c r="BA3190">
        <v>1</v>
      </c>
      <c r="BB3190" t="str">
        <f t="shared" si="1480"/>
        <v xml:space="preserve">N711JA  </v>
      </c>
      <c r="BC3190">
        <v>1</v>
      </c>
      <c r="BE3190">
        <v>0</v>
      </c>
      <c r="BF3190">
        <v>0</v>
      </c>
      <c r="BG3190">
        <v>0</v>
      </c>
      <c r="BH3190">
        <v>2325</v>
      </c>
      <c r="BI3190">
        <v>1</v>
      </c>
      <c r="BJ3190">
        <v>1</v>
      </c>
      <c r="BK3190">
        <v>0</v>
      </c>
      <c r="BL3190">
        <v>0</v>
      </c>
      <c r="BO3190">
        <v>0</v>
      </c>
      <c r="BP3190">
        <v>0</v>
      </c>
      <c r="BW3190" t="str">
        <f t="shared" si="1493"/>
        <v>14:46:56.096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6</v>
      </c>
      <c r="CP3190" t="s">
        <v>119</v>
      </c>
      <c r="CQ3190">
        <v>56</v>
      </c>
      <c r="CR3190">
        <v>2</v>
      </c>
      <c r="CW3190">
        <v>4971781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1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 t="shared" si="1490"/>
        <v>05/12/2020 14:46:38.281</v>
      </c>
      <c r="C3191" t="str">
        <f t="shared" si="1477"/>
        <v>FFDFD3C0</v>
      </c>
      <c r="D3191" t="s">
        <v>126</v>
      </c>
      <c r="E3191">
        <v>6</v>
      </c>
      <c r="F3191">
        <v>1006</v>
      </c>
      <c r="G3191" t="s">
        <v>114</v>
      </c>
      <c r="J3191" t="s">
        <v>128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491"/>
        <v>14:46:56.094</v>
      </c>
      <c r="T3191" t="str">
        <f t="shared" si="1492"/>
        <v>14:46:55.794</v>
      </c>
      <c r="U3191" t="str">
        <f t="shared" si="1467"/>
        <v>A9808D</v>
      </c>
      <c r="V3191">
        <v>0</v>
      </c>
      <c r="W3191">
        <v>0</v>
      </c>
      <c r="X3191">
        <v>1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0</v>
      </c>
      <c r="AI3191" t="s">
        <v>759</v>
      </c>
      <c r="AJ3191">
        <v>28.246621999999999</v>
      </c>
      <c r="AK3191" t="s">
        <v>765</v>
      </c>
      <c r="AL3191">
        <v>-82.277941999999996</v>
      </c>
      <c r="AM3191">
        <v>100</v>
      </c>
      <c r="AN3191">
        <v>2300</v>
      </c>
      <c r="AO3191" t="s">
        <v>118</v>
      </c>
      <c r="AP3191">
        <v>135</v>
      </c>
      <c r="AQ3191">
        <v>-1</v>
      </c>
      <c r="AR3191">
        <v>-320</v>
      </c>
      <c r="AZ3191">
        <v>1200</v>
      </c>
      <c r="BA3191">
        <v>1</v>
      </c>
      <c r="BB3191" t="str">
        <f t="shared" si="1480"/>
        <v xml:space="preserve">N711JA  </v>
      </c>
      <c r="BC3191">
        <v>1</v>
      </c>
      <c r="BE3191">
        <v>0</v>
      </c>
      <c r="BF3191">
        <v>0</v>
      </c>
      <c r="BG3191">
        <v>0</v>
      </c>
      <c r="BH3191">
        <v>2325</v>
      </c>
      <c r="BI3191">
        <v>1</v>
      </c>
      <c r="BJ3191">
        <v>1</v>
      </c>
      <c r="BK3191">
        <v>0</v>
      </c>
      <c r="BL3191">
        <v>0</v>
      </c>
      <c r="BO3191">
        <v>0</v>
      </c>
      <c r="BP3191">
        <v>0</v>
      </c>
      <c r="BW3191" t="str">
        <f t="shared" si="1493"/>
        <v>14:46:56.096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6</v>
      </c>
      <c r="CP3191" t="s">
        <v>119</v>
      </c>
      <c r="CQ3191">
        <v>56</v>
      </c>
      <c r="CR3191">
        <v>2</v>
      </c>
      <c r="CW3191">
        <v>4971781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1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 t="shared" si="1490"/>
        <v>05/12/2020 14:46:38.281</v>
      </c>
      <c r="C3192" t="str">
        <f t="shared" si="1477"/>
        <v>FFDFD3C0</v>
      </c>
      <c r="D3192" t="s">
        <v>131</v>
      </c>
      <c r="E3192">
        <v>10</v>
      </c>
      <c r="F3192">
        <v>2010</v>
      </c>
      <c r="G3192" t="s">
        <v>132</v>
      </c>
      <c r="J3192" t="s">
        <v>133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491"/>
        <v>14:46:56.094</v>
      </c>
      <c r="T3192" t="str">
        <f t="shared" si="1492"/>
        <v>14:46:55.794</v>
      </c>
      <c r="U3192" t="str">
        <f t="shared" si="1467"/>
        <v>A9808D</v>
      </c>
      <c r="V3192">
        <v>0</v>
      </c>
      <c r="W3192">
        <v>0</v>
      </c>
      <c r="X3192">
        <v>1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0</v>
      </c>
      <c r="AI3192" t="s">
        <v>759</v>
      </c>
      <c r="AJ3192">
        <v>28.246621999999999</v>
      </c>
      <c r="AK3192" t="s">
        <v>765</v>
      </c>
      <c r="AL3192">
        <v>-82.277941999999996</v>
      </c>
      <c r="AM3192">
        <v>100</v>
      </c>
      <c r="AN3192">
        <v>2300</v>
      </c>
      <c r="AO3192" t="s">
        <v>118</v>
      </c>
      <c r="AP3192">
        <v>135</v>
      </c>
      <c r="AQ3192">
        <v>-1</v>
      </c>
      <c r="AR3192">
        <v>-320</v>
      </c>
      <c r="AZ3192">
        <v>1200</v>
      </c>
      <c r="BA3192">
        <v>1</v>
      </c>
      <c r="BB3192" t="str">
        <f t="shared" si="1480"/>
        <v xml:space="preserve">N711JA  </v>
      </c>
      <c r="BC3192">
        <v>1</v>
      </c>
      <c r="BE3192">
        <v>0</v>
      </c>
      <c r="BF3192">
        <v>0</v>
      </c>
      <c r="BG3192">
        <v>0</v>
      </c>
      <c r="BH3192">
        <v>2325</v>
      </c>
      <c r="BI3192">
        <v>1</v>
      </c>
      <c r="BJ3192">
        <v>1</v>
      </c>
      <c r="BK3192">
        <v>0</v>
      </c>
      <c r="BL3192">
        <v>0</v>
      </c>
      <c r="BO3192">
        <v>0</v>
      </c>
      <c r="BP3192">
        <v>0</v>
      </c>
      <c r="BW3192" t="str">
        <f t="shared" si="1493"/>
        <v>14:46:56.096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6</v>
      </c>
      <c r="CP3192" t="s">
        <v>119</v>
      </c>
      <c r="CQ3192">
        <v>56</v>
      </c>
      <c r="CR3192">
        <v>2</v>
      </c>
      <c r="CW3192">
        <v>4971781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1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 t="shared" si="1490"/>
        <v>05/12/2020 14:46:38.281</v>
      </c>
      <c r="C3193" t="str">
        <f t="shared" si="1477"/>
        <v>FFDFD3C0</v>
      </c>
      <c r="D3193" t="s">
        <v>126</v>
      </c>
      <c r="E3193">
        <v>7</v>
      </c>
      <c r="F3193">
        <v>1007</v>
      </c>
      <c r="G3193" t="s">
        <v>127</v>
      </c>
      <c r="J3193" t="s">
        <v>128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491"/>
        <v>14:46:56.094</v>
      </c>
      <c r="T3193" t="str">
        <f t="shared" si="1492"/>
        <v>14:46:55.794</v>
      </c>
      <c r="U3193" t="str">
        <f t="shared" si="1467"/>
        <v>A9808D</v>
      </c>
      <c r="V3193">
        <v>0</v>
      </c>
      <c r="W3193">
        <v>0</v>
      </c>
      <c r="X3193">
        <v>1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0</v>
      </c>
      <c r="AI3193" t="s">
        <v>759</v>
      </c>
      <c r="AJ3193">
        <v>28.246621999999999</v>
      </c>
      <c r="AK3193" t="s">
        <v>765</v>
      </c>
      <c r="AL3193">
        <v>-82.277941999999996</v>
      </c>
      <c r="AM3193">
        <v>100</v>
      </c>
      <c r="AN3193">
        <v>2300</v>
      </c>
      <c r="AO3193" t="s">
        <v>118</v>
      </c>
      <c r="AP3193">
        <v>135</v>
      </c>
      <c r="AQ3193">
        <v>-1</v>
      </c>
      <c r="AR3193">
        <v>-320</v>
      </c>
      <c r="AZ3193">
        <v>1200</v>
      </c>
      <c r="BA3193">
        <v>1</v>
      </c>
      <c r="BB3193" t="str">
        <f t="shared" si="1480"/>
        <v xml:space="preserve">N711JA  </v>
      </c>
      <c r="BC3193">
        <v>1</v>
      </c>
      <c r="BE3193">
        <v>0</v>
      </c>
      <c r="BF3193">
        <v>0</v>
      </c>
      <c r="BG3193">
        <v>0</v>
      </c>
      <c r="BH3193">
        <v>2325</v>
      </c>
      <c r="BI3193">
        <v>1</v>
      </c>
      <c r="BJ3193">
        <v>1</v>
      </c>
      <c r="BK3193">
        <v>0</v>
      </c>
      <c r="BL3193">
        <v>0</v>
      </c>
      <c r="BO3193">
        <v>0</v>
      </c>
      <c r="BP3193">
        <v>0</v>
      </c>
      <c r="BW3193" t="str">
        <f t="shared" si="1493"/>
        <v>14:46:56.096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6</v>
      </c>
      <c r="CP3193" t="s">
        <v>119</v>
      </c>
      <c r="CQ3193">
        <v>56</v>
      </c>
      <c r="CR3193">
        <v>2</v>
      </c>
      <c r="CW3193">
        <v>4971781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1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 t="shared" ref="A3194:A3201" si="1494">"05/12/2020 14:46:39.338"</f>
        <v>05/12/2020 14:46:39.338</v>
      </c>
      <c r="C3194" t="str">
        <f t="shared" si="1477"/>
        <v>FFDFD3C0</v>
      </c>
      <c r="D3194" t="s">
        <v>131</v>
      </c>
      <c r="E3194">
        <v>10</v>
      </c>
      <c r="F3194">
        <v>2010</v>
      </c>
      <c r="G3194" t="s">
        <v>132</v>
      </c>
      <c r="J3194" t="s">
        <v>133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ref="S3194:T3201" si="1495">"14:46:57.148"</f>
        <v>14:46:57.148</v>
      </c>
      <c r="T3194" t="str">
        <f t="shared" si="1495"/>
        <v>14:46:57.148</v>
      </c>
      <c r="U3194" t="str">
        <f t="shared" si="1467"/>
        <v>A9808D</v>
      </c>
      <c r="V3194">
        <v>0</v>
      </c>
      <c r="W3194">
        <v>0</v>
      </c>
      <c r="X3194">
        <v>1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0</v>
      </c>
      <c r="AI3194" t="s">
        <v>763</v>
      </c>
      <c r="AJ3194">
        <v>28.246600999999998</v>
      </c>
      <c r="AK3194" t="s">
        <v>766</v>
      </c>
      <c r="AL3194">
        <v>-82.277212000000006</v>
      </c>
      <c r="AM3194">
        <v>100</v>
      </c>
      <c r="AN3194">
        <v>2300</v>
      </c>
      <c r="AO3194" t="s">
        <v>118</v>
      </c>
      <c r="AP3194">
        <v>135</v>
      </c>
      <c r="AQ3194">
        <v>-1</v>
      </c>
      <c r="AR3194">
        <v>-320</v>
      </c>
      <c r="AZ3194">
        <v>1200</v>
      </c>
      <c r="BA3194">
        <v>1</v>
      </c>
      <c r="BB3194" t="str">
        <f t="shared" si="1480"/>
        <v xml:space="preserve">N711JA  </v>
      </c>
      <c r="BC3194">
        <v>1</v>
      </c>
      <c r="BE3194">
        <v>0</v>
      </c>
      <c r="BF3194">
        <v>0</v>
      </c>
      <c r="BG3194">
        <v>0</v>
      </c>
      <c r="BH3194">
        <v>2300</v>
      </c>
      <c r="BI3194">
        <v>1</v>
      </c>
      <c r="BJ3194">
        <v>1</v>
      </c>
      <c r="BK3194">
        <v>0</v>
      </c>
      <c r="BL3194">
        <v>0</v>
      </c>
      <c r="BO3194">
        <v>0</v>
      </c>
      <c r="BP3194">
        <v>0</v>
      </c>
      <c r="BW3194" t="str">
        <f t="shared" ref="BW3194:BW3201" si="1496">"14:46:57.149"</f>
        <v>14:46:57.149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6</v>
      </c>
      <c r="CP3194" t="s">
        <v>119</v>
      </c>
      <c r="CQ3194">
        <v>56</v>
      </c>
      <c r="CR3194">
        <v>2</v>
      </c>
      <c r="CW3194">
        <v>4973154</v>
      </c>
      <c r="CY3194">
        <v>1</v>
      </c>
      <c r="CZ3194">
        <v>0</v>
      </c>
      <c r="DA3194">
        <v>0</v>
      </c>
      <c r="DB3194">
        <v>0</v>
      </c>
      <c r="DC3194">
        <v>0</v>
      </c>
      <c r="DD3194">
        <v>1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 t="shared" si="1494"/>
        <v>05/12/2020 14:46:39.338</v>
      </c>
      <c r="C3195" t="str">
        <f t="shared" si="1477"/>
        <v>FFDFD3C0</v>
      </c>
      <c r="D3195" t="s">
        <v>126</v>
      </c>
      <c r="E3195">
        <v>7</v>
      </c>
      <c r="F3195">
        <v>1007</v>
      </c>
      <c r="G3195" t="s">
        <v>127</v>
      </c>
      <c r="J3195" t="s">
        <v>128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495"/>
        <v>14:46:57.148</v>
      </c>
      <c r="T3195" t="str">
        <f t="shared" si="1495"/>
        <v>14:46:57.148</v>
      </c>
      <c r="U3195" t="str">
        <f t="shared" si="1467"/>
        <v>A9808D</v>
      </c>
      <c r="V3195">
        <v>0</v>
      </c>
      <c r="W3195">
        <v>0</v>
      </c>
      <c r="X3195">
        <v>1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0</v>
      </c>
      <c r="AI3195" t="s">
        <v>763</v>
      </c>
      <c r="AJ3195">
        <v>28.246600999999998</v>
      </c>
      <c r="AK3195" t="s">
        <v>766</v>
      </c>
      <c r="AL3195">
        <v>-82.277212000000006</v>
      </c>
      <c r="AM3195">
        <v>100</v>
      </c>
      <c r="AN3195">
        <v>2300</v>
      </c>
      <c r="AO3195" t="s">
        <v>118</v>
      </c>
      <c r="AP3195">
        <v>135</v>
      </c>
      <c r="AQ3195">
        <v>-1</v>
      </c>
      <c r="AR3195">
        <v>-320</v>
      </c>
      <c r="AZ3195">
        <v>1200</v>
      </c>
      <c r="BA3195">
        <v>1</v>
      </c>
      <c r="BB3195" t="str">
        <f t="shared" si="1480"/>
        <v xml:space="preserve">N711JA  </v>
      </c>
      <c r="BC3195">
        <v>1</v>
      </c>
      <c r="BE3195">
        <v>0</v>
      </c>
      <c r="BF3195">
        <v>0</v>
      </c>
      <c r="BG3195">
        <v>0</v>
      </c>
      <c r="BH3195">
        <v>2300</v>
      </c>
      <c r="BI3195">
        <v>1</v>
      </c>
      <c r="BJ3195">
        <v>1</v>
      </c>
      <c r="BK3195">
        <v>0</v>
      </c>
      <c r="BL3195">
        <v>0</v>
      </c>
      <c r="BO3195">
        <v>0</v>
      </c>
      <c r="BP3195">
        <v>0</v>
      </c>
      <c r="BW3195" t="str">
        <f t="shared" si="1496"/>
        <v>14:46:57.149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6</v>
      </c>
      <c r="CP3195" t="s">
        <v>119</v>
      </c>
      <c r="CQ3195">
        <v>56</v>
      </c>
      <c r="CR3195">
        <v>2</v>
      </c>
      <c r="CW3195">
        <v>4973154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1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 t="shared" si="1494"/>
        <v>05/12/2020 14:46:39.338</v>
      </c>
      <c r="C3196" t="str">
        <f t="shared" si="1477"/>
        <v>FFDFD3C0</v>
      </c>
      <c r="D3196" t="s">
        <v>131</v>
      </c>
      <c r="E3196">
        <v>12</v>
      </c>
      <c r="F3196">
        <v>2012</v>
      </c>
      <c r="G3196" t="s">
        <v>137</v>
      </c>
      <c r="J3196" t="s">
        <v>133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495"/>
        <v>14:46:57.148</v>
      </c>
      <c r="T3196" t="str">
        <f t="shared" si="1495"/>
        <v>14:46:57.148</v>
      </c>
      <c r="U3196" t="str">
        <f t="shared" si="1467"/>
        <v>A9808D</v>
      </c>
      <c r="V3196">
        <v>0</v>
      </c>
      <c r="W3196">
        <v>0</v>
      </c>
      <c r="X3196">
        <v>1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0</v>
      </c>
      <c r="AI3196" t="s">
        <v>763</v>
      </c>
      <c r="AJ3196">
        <v>28.246600999999998</v>
      </c>
      <c r="AK3196" t="s">
        <v>766</v>
      </c>
      <c r="AL3196">
        <v>-82.277212000000006</v>
      </c>
      <c r="AM3196">
        <v>100</v>
      </c>
      <c r="AN3196">
        <v>2300</v>
      </c>
      <c r="AO3196" t="s">
        <v>118</v>
      </c>
      <c r="AP3196">
        <v>135</v>
      </c>
      <c r="AQ3196">
        <v>-1</v>
      </c>
      <c r="AR3196">
        <v>-320</v>
      </c>
      <c r="AZ3196">
        <v>1200</v>
      </c>
      <c r="BA3196">
        <v>1</v>
      </c>
      <c r="BB3196" t="str">
        <f t="shared" si="1480"/>
        <v xml:space="preserve">N711JA  </v>
      </c>
      <c r="BC3196">
        <v>1</v>
      </c>
      <c r="BE3196">
        <v>0</v>
      </c>
      <c r="BF3196">
        <v>0</v>
      </c>
      <c r="BG3196">
        <v>0</v>
      </c>
      <c r="BH3196">
        <v>2300</v>
      </c>
      <c r="BI3196">
        <v>1</v>
      </c>
      <c r="BJ3196">
        <v>1</v>
      </c>
      <c r="BK3196">
        <v>0</v>
      </c>
      <c r="BL3196">
        <v>0</v>
      </c>
      <c r="BO3196">
        <v>0</v>
      </c>
      <c r="BP3196">
        <v>0</v>
      </c>
      <c r="BW3196" t="str">
        <f t="shared" si="1496"/>
        <v>14:46:57.149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6</v>
      </c>
      <c r="CP3196" t="s">
        <v>119</v>
      </c>
      <c r="CQ3196">
        <v>56</v>
      </c>
      <c r="CR3196">
        <v>2</v>
      </c>
      <c r="CW3196">
        <v>4973154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1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 t="shared" si="1494"/>
        <v>05/12/2020 14:46:39.338</v>
      </c>
      <c r="C3197" t="str">
        <f t="shared" si="1477"/>
        <v>FFDFD3C0</v>
      </c>
      <c r="D3197" t="s">
        <v>113</v>
      </c>
      <c r="E3197">
        <v>3</v>
      </c>
      <c r="H3197">
        <v>164</v>
      </c>
      <c r="I3197" t="s">
        <v>114</v>
      </c>
      <c r="J3197" t="s">
        <v>115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495"/>
        <v>14:46:57.148</v>
      </c>
      <c r="T3197" t="str">
        <f t="shared" si="1495"/>
        <v>14:46:57.148</v>
      </c>
      <c r="U3197" t="str">
        <f t="shared" si="1467"/>
        <v>A9808D</v>
      </c>
      <c r="V3197">
        <v>0</v>
      </c>
      <c r="W3197">
        <v>0</v>
      </c>
      <c r="X3197">
        <v>1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0</v>
      </c>
      <c r="AI3197" t="s">
        <v>763</v>
      </c>
      <c r="AJ3197">
        <v>28.246600999999998</v>
      </c>
      <c r="AK3197" t="s">
        <v>766</v>
      </c>
      <c r="AL3197">
        <v>-82.277212000000006</v>
      </c>
      <c r="AM3197">
        <v>100</v>
      </c>
      <c r="AN3197">
        <v>2300</v>
      </c>
      <c r="AO3197" t="s">
        <v>118</v>
      </c>
      <c r="AP3197">
        <v>135</v>
      </c>
      <c r="AQ3197">
        <v>-1</v>
      </c>
      <c r="AR3197">
        <v>-320</v>
      </c>
      <c r="AZ3197">
        <v>1200</v>
      </c>
      <c r="BA3197">
        <v>1</v>
      </c>
      <c r="BB3197" t="str">
        <f t="shared" si="1480"/>
        <v xml:space="preserve">N711JA  </v>
      </c>
      <c r="BC3197">
        <v>1</v>
      </c>
      <c r="BE3197">
        <v>0</v>
      </c>
      <c r="BF3197">
        <v>0</v>
      </c>
      <c r="BG3197">
        <v>0</v>
      </c>
      <c r="BH3197">
        <v>2300</v>
      </c>
      <c r="BI3197">
        <v>1</v>
      </c>
      <c r="BJ3197">
        <v>1</v>
      </c>
      <c r="BK3197">
        <v>0</v>
      </c>
      <c r="BL3197">
        <v>0</v>
      </c>
      <c r="BO3197">
        <v>0</v>
      </c>
      <c r="BP3197">
        <v>0</v>
      </c>
      <c r="BW3197" t="str">
        <f t="shared" si="1496"/>
        <v>14:46:57.149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6</v>
      </c>
      <c r="CP3197" t="s">
        <v>119</v>
      </c>
      <c r="CQ3197">
        <v>56</v>
      </c>
      <c r="CR3197">
        <v>2</v>
      </c>
      <c r="CW3197">
        <v>4973154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1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 t="shared" si="1494"/>
        <v>05/12/2020 14:46:39.338</v>
      </c>
      <c r="C3198" t="str">
        <f t="shared" si="1477"/>
        <v>FFDFD3C0</v>
      </c>
      <c r="D3198" t="s">
        <v>131</v>
      </c>
      <c r="E3198">
        <v>18</v>
      </c>
      <c r="F3198">
        <v>2018</v>
      </c>
      <c r="G3198" t="s">
        <v>161</v>
      </c>
      <c r="J3198" t="s">
        <v>133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495"/>
        <v>14:46:57.148</v>
      </c>
      <c r="T3198" t="str">
        <f t="shared" si="1495"/>
        <v>14:46:57.148</v>
      </c>
      <c r="U3198" t="str">
        <f t="shared" si="1467"/>
        <v>A9808D</v>
      </c>
      <c r="V3198">
        <v>0</v>
      </c>
      <c r="W3198">
        <v>0</v>
      </c>
      <c r="X3198">
        <v>1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0</v>
      </c>
      <c r="AI3198" t="s">
        <v>763</v>
      </c>
      <c r="AJ3198">
        <v>28.246600999999998</v>
      </c>
      <c r="AK3198" t="s">
        <v>766</v>
      </c>
      <c r="AL3198">
        <v>-82.277212000000006</v>
      </c>
      <c r="AM3198">
        <v>100</v>
      </c>
      <c r="AN3198">
        <v>2300</v>
      </c>
      <c r="AO3198" t="s">
        <v>118</v>
      </c>
      <c r="AP3198">
        <v>135</v>
      </c>
      <c r="AQ3198">
        <v>-1</v>
      </c>
      <c r="AR3198">
        <v>-320</v>
      </c>
      <c r="AZ3198">
        <v>1200</v>
      </c>
      <c r="BA3198">
        <v>1</v>
      </c>
      <c r="BB3198" t="str">
        <f t="shared" si="1480"/>
        <v xml:space="preserve">N711JA  </v>
      </c>
      <c r="BC3198">
        <v>1</v>
      </c>
      <c r="BE3198">
        <v>0</v>
      </c>
      <c r="BF3198">
        <v>0</v>
      </c>
      <c r="BG3198">
        <v>0</v>
      </c>
      <c r="BH3198">
        <v>2300</v>
      </c>
      <c r="BI3198">
        <v>1</v>
      </c>
      <c r="BJ3198">
        <v>1</v>
      </c>
      <c r="BK3198">
        <v>0</v>
      </c>
      <c r="BL3198">
        <v>0</v>
      </c>
      <c r="BO3198">
        <v>0</v>
      </c>
      <c r="BP3198">
        <v>0</v>
      </c>
      <c r="BW3198" t="str">
        <f t="shared" si="1496"/>
        <v>14:46:57.149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6</v>
      </c>
      <c r="CP3198" t="s">
        <v>119</v>
      </c>
      <c r="CQ3198">
        <v>56</v>
      </c>
      <c r="CR3198">
        <v>2</v>
      </c>
      <c r="CW3198">
        <v>4973154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1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 t="shared" si="1494"/>
        <v>05/12/2020 14:46:39.338</v>
      </c>
      <c r="C3199" t="str">
        <f t="shared" si="1477"/>
        <v>FFDFD3C0</v>
      </c>
      <c r="D3199" t="s">
        <v>138</v>
      </c>
      <c r="E3199">
        <v>2</v>
      </c>
      <c r="H3199">
        <v>8</v>
      </c>
      <c r="I3199" t="s">
        <v>139</v>
      </c>
      <c r="J3199" t="s">
        <v>136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si="1495"/>
        <v>14:46:57.148</v>
      </c>
      <c r="T3199" t="str">
        <f t="shared" si="1495"/>
        <v>14:46:57.148</v>
      </c>
      <c r="U3199" t="str">
        <f t="shared" si="1467"/>
        <v>A9808D</v>
      </c>
      <c r="V3199">
        <v>0</v>
      </c>
      <c r="W3199">
        <v>0</v>
      </c>
      <c r="X3199">
        <v>1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0</v>
      </c>
      <c r="AI3199" t="s">
        <v>763</v>
      </c>
      <c r="AJ3199">
        <v>28.246600999999998</v>
      </c>
      <c r="AK3199" t="s">
        <v>766</v>
      </c>
      <c r="AL3199">
        <v>-82.277212000000006</v>
      </c>
      <c r="AM3199">
        <v>100</v>
      </c>
      <c r="AN3199">
        <v>2300</v>
      </c>
      <c r="AO3199" t="s">
        <v>118</v>
      </c>
      <c r="AP3199">
        <v>135</v>
      </c>
      <c r="AQ3199">
        <v>-1</v>
      </c>
      <c r="AR3199">
        <v>-320</v>
      </c>
      <c r="AZ3199">
        <v>1200</v>
      </c>
      <c r="BA3199">
        <v>1</v>
      </c>
      <c r="BB3199" t="str">
        <f t="shared" si="1480"/>
        <v xml:space="preserve">N711JA  </v>
      </c>
      <c r="BC3199">
        <v>1</v>
      </c>
      <c r="BE3199">
        <v>0</v>
      </c>
      <c r="BF3199">
        <v>0</v>
      </c>
      <c r="BG3199">
        <v>0</v>
      </c>
      <c r="BH3199">
        <v>2300</v>
      </c>
      <c r="BI3199">
        <v>1</v>
      </c>
      <c r="BJ3199">
        <v>1</v>
      </c>
      <c r="BK3199">
        <v>0</v>
      </c>
      <c r="BL3199">
        <v>0</v>
      </c>
      <c r="BO3199">
        <v>0</v>
      </c>
      <c r="BP3199">
        <v>0</v>
      </c>
      <c r="BW3199" t="str">
        <f t="shared" si="1496"/>
        <v>14:46:57.149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6</v>
      </c>
      <c r="CP3199" t="s">
        <v>119</v>
      </c>
      <c r="CQ3199">
        <v>56</v>
      </c>
      <c r="CR3199">
        <v>2</v>
      </c>
      <c r="CW3199">
        <v>4973154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1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 t="shared" si="1494"/>
        <v>05/12/2020 14:46:39.338</v>
      </c>
      <c r="C3200" t="str">
        <f t="shared" si="1477"/>
        <v>FFDFD3C0</v>
      </c>
      <c r="D3200" t="s">
        <v>138</v>
      </c>
      <c r="E3200">
        <v>3</v>
      </c>
      <c r="H3200">
        <v>9</v>
      </c>
      <c r="I3200" t="s">
        <v>140</v>
      </c>
      <c r="J3200" t="s">
        <v>136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si="1495"/>
        <v>14:46:57.148</v>
      </c>
      <c r="T3200" t="str">
        <f t="shared" si="1495"/>
        <v>14:46:57.148</v>
      </c>
      <c r="U3200" t="str">
        <f t="shared" si="1467"/>
        <v>A9808D</v>
      </c>
      <c r="V3200">
        <v>0</v>
      </c>
      <c r="W3200">
        <v>0</v>
      </c>
      <c r="X3200">
        <v>1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0</v>
      </c>
      <c r="AI3200" t="s">
        <v>763</v>
      </c>
      <c r="AJ3200">
        <v>28.246600999999998</v>
      </c>
      <c r="AK3200" t="s">
        <v>766</v>
      </c>
      <c r="AL3200">
        <v>-82.277212000000006</v>
      </c>
      <c r="AM3200">
        <v>100</v>
      </c>
      <c r="AN3200">
        <v>2300</v>
      </c>
      <c r="AO3200" t="s">
        <v>118</v>
      </c>
      <c r="AP3200">
        <v>135</v>
      </c>
      <c r="AQ3200">
        <v>-1</v>
      </c>
      <c r="AR3200">
        <v>-320</v>
      </c>
      <c r="AZ3200">
        <v>1200</v>
      </c>
      <c r="BA3200">
        <v>1</v>
      </c>
      <c r="BB3200" t="str">
        <f t="shared" si="1480"/>
        <v xml:space="preserve">N711JA  </v>
      </c>
      <c r="BC3200">
        <v>1</v>
      </c>
      <c r="BE3200">
        <v>0</v>
      </c>
      <c r="BF3200">
        <v>0</v>
      </c>
      <c r="BG3200">
        <v>0</v>
      </c>
      <c r="BH3200">
        <v>2300</v>
      </c>
      <c r="BI3200">
        <v>1</v>
      </c>
      <c r="BJ3200">
        <v>1</v>
      </c>
      <c r="BK3200">
        <v>0</v>
      </c>
      <c r="BL3200">
        <v>0</v>
      </c>
      <c r="BO3200">
        <v>0</v>
      </c>
      <c r="BP3200">
        <v>0</v>
      </c>
      <c r="BW3200" t="str">
        <f t="shared" si="1496"/>
        <v>14:46:57.149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6</v>
      </c>
      <c r="CP3200" t="s">
        <v>119</v>
      </c>
      <c r="CQ3200">
        <v>56</v>
      </c>
      <c r="CR3200">
        <v>2</v>
      </c>
      <c r="CW3200">
        <v>4973154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1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 t="shared" si="1494"/>
        <v>05/12/2020 14:46:39.338</v>
      </c>
      <c r="C3201" t="str">
        <f t="shared" si="1477"/>
        <v>FFDFD3C0</v>
      </c>
      <c r="D3201" t="s">
        <v>126</v>
      </c>
      <c r="E3201">
        <v>6</v>
      </c>
      <c r="F3201">
        <v>1006</v>
      </c>
      <c r="G3201" t="s">
        <v>114</v>
      </c>
      <c r="J3201" t="s">
        <v>128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si="1495"/>
        <v>14:46:57.148</v>
      </c>
      <c r="T3201" t="str">
        <f t="shared" si="1495"/>
        <v>14:46:57.148</v>
      </c>
      <c r="U3201" t="str">
        <f t="shared" si="1467"/>
        <v>A9808D</v>
      </c>
      <c r="V3201">
        <v>0</v>
      </c>
      <c r="W3201">
        <v>0</v>
      </c>
      <c r="X3201">
        <v>1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0</v>
      </c>
      <c r="AI3201" t="s">
        <v>763</v>
      </c>
      <c r="AJ3201">
        <v>28.246600999999998</v>
      </c>
      <c r="AK3201" t="s">
        <v>766</v>
      </c>
      <c r="AL3201">
        <v>-82.277212000000006</v>
      </c>
      <c r="AM3201">
        <v>100</v>
      </c>
      <c r="AN3201">
        <v>2300</v>
      </c>
      <c r="AO3201" t="s">
        <v>118</v>
      </c>
      <c r="AP3201">
        <v>135</v>
      </c>
      <c r="AQ3201">
        <v>-1</v>
      </c>
      <c r="AR3201">
        <v>-320</v>
      </c>
      <c r="AZ3201">
        <v>1200</v>
      </c>
      <c r="BA3201">
        <v>1</v>
      </c>
      <c r="BB3201" t="str">
        <f t="shared" si="1480"/>
        <v xml:space="preserve">N711JA  </v>
      </c>
      <c r="BC3201">
        <v>1</v>
      </c>
      <c r="BE3201">
        <v>0</v>
      </c>
      <c r="BF3201">
        <v>0</v>
      </c>
      <c r="BG3201">
        <v>0</v>
      </c>
      <c r="BH3201">
        <v>2300</v>
      </c>
      <c r="BI3201">
        <v>1</v>
      </c>
      <c r="BJ3201">
        <v>1</v>
      </c>
      <c r="BK3201">
        <v>0</v>
      </c>
      <c r="BL3201">
        <v>0</v>
      </c>
      <c r="BO3201">
        <v>0</v>
      </c>
      <c r="BP3201">
        <v>0</v>
      </c>
      <c r="BW3201" t="str">
        <f t="shared" si="1496"/>
        <v>14:46:57.149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6</v>
      </c>
      <c r="CP3201" t="s">
        <v>119</v>
      </c>
      <c r="CQ3201">
        <v>56</v>
      </c>
      <c r="CR3201">
        <v>2</v>
      </c>
      <c r="CW3201">
        <v>4973154</v>
      </c>
      <c r="CY3201">
        <v>1</v>
      </c>
      <c r="CZ3201">
        <v>0</v>
      </c>
      <c r="DA3201">
        <v>1</v>
      </c>
      <c r="DB3201">
        <v>0</v>
      </c>
      <c r="DC3201">
        <v>0</v>
      </c>
      <c r="DD3201">
        <v>1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 t="shared" ref="A3202:A3210" si="1497">"05/12/2020 14:46:40.303"</f>
        <v>05/12/2020 14:46:40.303</v>
      </c>
      <c r="C3202" t="str">
        <f t="shared" si="1477"/>
        <v>FFDFD3C0</v>
      </c>
      <c r="D3202" t="s">
        <v>131</v>
      </c>
      <c r="E3202">
        <v>18</v>
      </c>
      <c r="F3202">
        <v>2018</v>
      </c>
      <c r="G3202" t="s">
        <v>161</v>
      </c>
      <c r="J3202" t="s">
        <v>133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"14:46:58.125"</f>
        <v>14:46:58.125</v>
      </c>
      <c r="T3202" t="str">
        <f>"14:46:58.125"</f>
        <v>14:46:58.125</v>
      </c>
      <c r="U3202" t="str">
        <f t="shared" ref="U3202:U3265" si="1498">"A9808D"</f>
        <v>A9808D</v>
      </c>
      <c r="V3202">
        <v>0</v>
      </c>
      <c r="W3202">
        <v>0</v>
      </c>
      <c r="X3202">
        <v>1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0</v>
      </c>
      <c r="AI3202" t="s">
        <v>763</v>
      </c>
      <c r="AJ3202">
        <v>28.246600999999998</v>
      </c>
      <c r="AK3202" t="s">
        <v>767</v>
      </c>
      <c r="AL3202">
        <v>-82.276504000000003</v>
      </c>
      <c r="AM3202">
        <v>100</v>
      </c>
      <c r="AN3202">
        <v>2300</v>
      </c>
      <c r="AO3202" t="s">
        <v>118</v>
      </c>
      <c r="AP3202">
        <v>136</v>
      </c>
      <c r="AQ3202">
        <v>0</v>
      </c>
      <c r="AR3202">
        <v>-320</v>
      </c>
      <c r="AZ3202">
        <v>1200</v>
      </c>
      <c r="BA3202">
        <v>1</v>
      </c>
      <c r="BB3202" t="str">
        <f t="shared" si="1480"/>
        <v xml:space="preserve">N711JA  </v>
      </c>
      <c r="BC3202">
        <v>1</v>
      </c>
      <c r="BE3202">
        <v>0</v>
      </c>
      <c r="BF3202">
        <v>0</v>
      </c>
      <c r="BG3202">
        <v>0</v>
      </c>
      <c r="BH3202">
        <v>2300</v>
      </c>
      <c r="BI3202">
        <v>1</v>
      </c>
      <c r="BJ3202">
        <v>1</v>
      </c>
      <c r="BK3202">
        <v>0</v>
      </c>
      <c r="BL3202">
        <v>0</v>
      </c>
      <c r="BO3202">
        <v>0</v>
      </c>
      <c r="BP3202">
        <v>0</v>
      </c>
      <c r="BW3202" t="str">
        <f t="shared" ref="BW3202:BW3210" si="1499">"14:46:58.125"</f>
        <v>14:46:58.125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119</v>
      </c>
      <c r="CQ3202">
        <v>56</v>
      </c>
      <c r="CR3202">
        <v>2</v>
      </c>
      <c r="CW3202">
        <v>4974270</v>
      </c>
      <c r="CY3202">
        <v>1</v>
      </c>
      <c r="CZ3202">
        <v>0</v>
      </c>
      <c r="DA3202">
        <v>0</v>
      </c>
      <c r="DB3202">
        <v>0</v>
      </c>
      <c r="DC3202">
        <v>0</v>
      </c>
      <c r="DD3202">
        <v>1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 t="shared" si="1497"/>
        <v>05/12/2020 14:46:40.303</v>
      </c>
      <c r="C3203" t="str">
        <f t="shared" si="1477"/>
        <v>FFDFD3C0</v>
      </c>
      <c r="D3203" t="s">
        <v>113</v>
      </c>
      <c r="E3203">
        <v>3</v>
      </c>
      <c r="H3203">
        <v>164</v>
      </c>
      <c r="I3203" t="s">
        <v>114</v>
      </c>
      <c r="J3203" t="s">
        <v>115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ref="S3203:S3210" si="1500">"14:46:58.125"</f>
        <v>14:46:58.125</v>
      </c>
      <c r="T3203" t="str">
        <f>"14:46:54.125"</f>
        <v>14:46:54.125</v>
      </c>
      <c r="U3203" t="str">
        <f t="shared" si="1498"/>
        <v>A9808D</v>
      </c>
      <c r="V3203">
        <v>0</v>
      </c>
      <c r="W3203">
        <v>0</v>
      </c>
      <c r="X3203">
        <v>1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0</v>
      </c>
      <c r="AI3203" t="s">
        <v>763</v>
      </c>
      <c r="AJ3203">
        <v>28.246600999999998</v>
      </c>
      <c r="AK3203" t="s">
        <v>767</v>
      </c>
      <c r="AL3203">
        <v>-82.276504000000003</v>
      </c>
      <c r="AM3203">
        <v>100</v>
      </c>
      <c r="AN3203">
        <v>2300</v>
      </c>
      <c r="AO3203" t="s">
        <v>118</v>
      </c>
      <c r="AP3203">
        <v>135</v>
      </c>
      <c r="AQ3203">
        <v>-2</v>
      </c>
      <c r="AR3203">
        <v>-320</v>
      </c>
      <c r="AZ3203">
        <v>1200</v>
      </c>
      <c r="BA3203">
        <v>1</v>
      </c>
      <c r="BB3203" t="str">
        <f t="shared" si="1480"/>
        <v xml:space="preserve">N711JA  </v>
      </c>
      <c r="BC3203">
        <v>1</v>
      </c>
      <c r="BE3203">
        <v>0</v>
      </c>
      <c r="BF3203">
        <v>0</v>
      </c>
      <c r="BG3203">
        <v>0</v>
      </c>
      <c r="BH3203">
        <v>2325</v>
      </c>
      <c r="BI3203">
        <v>1</v>
      </c>
      <c r="BJ3203">
        <v>1</v>
      </c>
      <c r="BK3203">
        <v>0</v>
      </c>
      <c r="BL3203">
        <v>0</v>
      </c>
      <c r="BO3203">
        <v>0</v>
      </c>
      <c r="BP3203">
        <v>0</v>
      </c>
      <c r="BW3203" t="str">
        <f t="shared" si="1499"/>
        <v>14:46:58.125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1</v>
      </c>
      <c r="CP3203" t="s">
        <v>119</v>
      </c>
      <c r="CQ3203">
        <v>11</v>
      </c>
      <c r="CR3203">
        <v>2</v>
      </c>
      <c r="CW3203">
        <v>16039034</v>
      </c>
      <c r="CY3203">
        <v>1</v>
      </c>
      <c r="CZ3203">
        <v>0</v>
      </c>
      <c r="DA3203">
        <v>1</v>
      </c>
      <c r="DB3203">
        <v>0</v>
      </c>
      <c r="DC3203">
        <v>0</v>
      </c>
      <c r="DD3203">
        <v>1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 t="shared" si="1497"/>
        <v>05/12/2020 14:46:40.303</v>
      </c>
      <c r="C3204" t="str">
        <f t="shared" si="1477"/>
        <v>FFDFD3C0</v>
      </c>
      <c r="D3204" t="s">
        <v>134</v>
      </c>
      <c r="E3204">
        <v>12</v>
      </c>
      <c r="H3204">
        <v>64</v>
      </c>
      <c r="I3204" t="s">
        <v>135</v>
      </c>
      <c r="J3204" t="s">
        <v>136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500"/>
        <v>14:46:58.125</v>
      </c>
      <c r="T3204" t="str">
        <f>"14:46:58.125"</f>
        <v>14:46:58.125</v>
      </c>
      <c r="U3204" t="str">
        <f t="shared" si="1498"/>
        <v>A9808D</v>
      </c>
      <c r="V3204">
        <v>0</v>
      </c>
      <c r="W3204">
        <v>0</v>
      </c>
      <c r="X3204">
        <v>1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0</v>
      </c>
      <c r="AI3204" t="s">
        <v>763</v>
      </c>
      <c r="AJ3204">
        <v>28.246600999999998</v>
      </c>
      <c r="AK3204" t="s">
        <v>767</v>
      </c>
      <c r="AL3204">
        <v>-82.276504000000003</v>
      </c>
      <c r="AM3204">
        <v>100</v>
      </c>
      <c r="AN3204">
        <v>2300</v>
      </c>
      <c r="AO3204" t="s">
        <v>118</v>
      </c>
      <c r="AP3204">
        <v>136</v>
      </c>
      <c r="AQ3204">
        <v>0</v>
      </c>
      <c r="AR3204">
        <v>-320</v>
      </c>
      <c r="AZ3204">
        <v>1200</v>
      </c>
      <c r="BA3204">
        <v>1</v>
      </c>
      <c r="BB3204" t="str">
        <f t="shared" si="1480"/>
        <v xml:space="preserve">N711JA  </v>
      </c>
      <c r="BC3204">
        <v>1</v>
      </c>
      <c r="BE3204">
        <v>0</v>
      </c>
      <c r="BF3204">
        <v>0</v>
      </c>
      <c r="BG3204">
        <v>0</v>
      </c>
      <c r="BH3204">
        <v>2300</v>
      </c>
      <c r="BI3204">
        <v>1</v>
      </c>
      <c r="BJ3204">
        <v>1</v>
      </c>
      <c r="BK3204">
        <v>0</v>
      </c>
      <c r="BL3204">
        <v>0</v>
      </c>
      <c r="BO3204">
        <v>0</v>
      </c>
      <c r="BP3204">
        <v>0</v>
      </c>
      <c r="BW3204" t="str">
        <f t="shared" si="1499"/>
        <v>14:46:58.125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6</v>
      </c>
      <c r="CP3204" t="s">
        <v>119</v>
      </c>
      <c r="CQ3204">
        <v>358</v>
      </c>
      <c r="CR3204">
        <v>0</v>
      </c>
      <c r="CW3204">
        <v>4950086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1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 t="shared" si="1497"/>
        <v>05/12/2020 14:46:40.303</v>
      </c>
      <c r="C3205" t="str">
        <f t="shared" si="1477"/>
        <v>FFDFD3C0</v>
      </c>
      <c r="D3205" t="s">
        <v>126</v>
      </c>
      <c r="E3205">
        <v>6</v>
      </c>
      <c r="F3205">
        <v>1006</v>
      </c>
      <c r="G3205" t="s">
        <v>114</v>
      </c>
      <c r="J3205" t="s">
        <v>128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si="1500"/>
        <v>14:46:58.125</v>
      </c>
      <c r="T3205" t="str">
        <f>"14:46:54.125"</f>
        <v>14:46:54.125</v>
      </c>
      <c r="U3205" t="str">
        <f t="shared" si="1498"/>
        <v>A9808D</v>
      </c>
      <c r="V3205">
        <v>0</v>
      </c>
      <c r="W3205">
        <v>0</v>
      </c>
      <c r="X3205">
        <v>1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0</v>
      </c>
      <c r="AI3205" t="s">
        <v>763</v>
      </c>
      <c r="AJ3205">
        <v>28.246600999999998</v>
      </c>
      <c r="AK3205" t="s">
        <v>767</v>
      </c>
      <c r="AL3205">
        <v>-82.276504000000003</v>
      </c>
      <c r="AM3205">
        <v>100</v>
      </c>
      <c r="AN3205">
        <v>2300</v>
      </c>
      <c r="AO3205" t="s">
        <v>118</v>
      </c>
      <c r="AP3205">
        <v>135</v>
      </c>
      <c r="AQ3205">
        <v>-2</v>
      </c>
      <c r="AR3205">
        <v>-320</v>
      </c>
      <c r="AZ3205">
        <v>1200</v>
      </c>
      <c r="BA3205">
        <v>1</v>
      </c>
      <c r="BB3205" t="str">
        <f t="shared" si="1480"/>
        <v xml:space="preserve">N711JA  </v>
      </c>
      <c r="BC3205">
        <v>1</v>
      </c>
      <c r="BE3205">
        <v>0</v>
      </c>
      <c r="BF3205">
        <v>0</v>
      </c>
      <c r="BG3205">
        <v>0</v>
      </c>
      <c r="BH3205">
        <v>2325</v>
      </c>
      <c r="BI3205">
        <v>1</v>
      </c>
      <c r="BJ3205">
        <v>1</v>
      </c>
      <c r="BK3205">
        <v>0</v>
      </c>
      <c r="BL3205">
        <v>0</v>
      </c>
      <c r="BO3205">
        <v>0</v>
      </c>
      <c r="BP3205">
        <v>0</v>
      </c>
      <c r="BW3205" t="str">
        <f t="shared" si="1499"/>
        <v>14:46:58.125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1</v>
      </c>
      <c r="CP3205" t="s">
        <v>119</v>
      </c>
      <c r="CQ3205">
        <v>11</v>
      </c>
      <c r="CR3205">
        <v>2</v>
      </c>
      <c r="CW3205">
        <v>16039034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1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 t="shared" si="1497"/>
        <v>05/12/2020 14:46:40.303</v>
      </c>
      <c r="C3206" t="str">
        <f t="shared" si="1477"/>
        <v>FFDFD3C0</v>
      </c>
      <c r="D3206" t="s">
        <v>138</v>
      </c>
      <c r="E3206">
        <v>2</v>
      </c>
      <c r="H3206">
        <v>8</v>
      </c>
      <c r="I3206" t="s">
        <v>139</v>
      </c>
      <c r="J3206" t="s">
        <v>136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500"/>
        <v>14:46:58.125</v>
      </c>
      <c r="T3206" t="str">
        <f>"14:46:57.125"</f>
        <v>14:46:57.125</v>
      </c>
      <c r="U3206" t="str">
        <f t="shared" si="1498"/>
        <v>A9808D</v>
      </c>
      <c r="V3206">
        <v>0</v>
      </c>
      <c r="W3206">
        <v>0</v>
      </c>
      <c r="X3206">
        <v>1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0</v>
      </c>
      <c r="AI3206" t="s">
        <v>763</v>
      </c>
      <c r="AJ3206">
        <v>28.246600999999998</v>
      </c>
      <c r="AK3206" t="s">
        <v>767</v>
      </c>
      <c r="AL3206">
        <v>-82.276504000000003</v>
      </c>
      <c r="AM3206">
        <v>100</v>
      </c>
      <c r="AN3206">
        <v>2300</v>
      </c>
      <c r="AO3206" t="s">
        <v>118</v>
      </c>
      <c r="AP3206">
        <v>135</v>
      </c>
      <c r="AQ3206">
        <v>-1</v>
      </c>
      <c r="AR3206">
        <v>-320</v>
      </c>
      <c r="AZ3206">
        <v>1200</v>
      </c>
      <c r="BA3206">
        <v>1</v>
      </c>
      <c r="BB3206" t="str">
        <f t="shared" si="1480"/>
        <v xml:space="preserve">N711JA  </v>
      </c>
      <c r="BC3206">
        <v>1</v>
      </c>
      <c r="BE3206">
        <v>0</v>
      </c>
      <c r="BF3206">
        <v>0</v>
      </c>
      <c r="BG3206">
        <v>0</v>
      </c>
      <c r="BH3206">
        <v>2300</v>
      </c>
      <c r="BI3206">
        <v>1</v>
      </c>
      <c r="BJ3206">
        <v>1</v>
      </c>
      <c r="BK3206">
        <v>0</v>
      </c>
      <c r="BL3206">
        <v>0</v>
      </c>
      <c r="BO3206">
        <v>0</v>
      </c>
      <c r="BP3206">
        <v>0</v>
      </c>
      <c r="BW3206" t="str">
        <f t="shared" si="1499"/>
        <v>14:46:58.125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2</v>
      </c>
      <c r="CP3206" t="s">
        <v>675</v>
      </c>
      <c r="CQ3206">
        <v>363</v>
      </c>
      <c r="CR3206">
        <v>0</v>
      </c>
      <c r="CW3206">
        <v>6473573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1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 t="shared" si="1497"/>
        <v>05/12/2020 14:46:40.303</v>
      </c>
      <c r="C3207" t="str">
        <f t="shared" si="1477"/>
        <v>FFDFD3C0</v>
      </c>
      <c r="D3207" t="s">
        <v>138</v>
      </c>
      <c r="E3207">
        <v>3</v>
      </c>
      <c r="H3207">
        <v>9</v>
      </c>
      <c r="I3207" t="s">
        <v>140</v>
      </c>
      <c r="J3207" t="s">
        <v>136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si="1500"/>
        <v>14:46:58.125</v>
      </c>
      <c r="T3207" t="str">
        <f>"14:46:58.125"</f>
        <v>14:46:58.125</v>
      </c>
      <c r="U3207" t="str">
        <f t="shared" si="1498"/>
        <v>A9808D</v>
      </c>
      <c r="V3207">
        <v>0</v>
      </c>
      <c r="W3207">
        <v>0</v>
      </c>
      <c r="X3207">
        <v>1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0</v>
      </c>
      <c r="AI3207" t="s">
        <v>763</v>
      </c>
      <c r="AJ3207">
        <v>28.246600999999998</v>
      </c>
      <c r="AK3207" t="s">
        <v>767</v>
      </c>
      <c r="AL3207">
        <v>-82.276504000000003</v>
      </c>
      <c r="AM3207">
        <v>100</v>
      </c>
      <c r="AN3207">
        <v>2300</v>
      </c>
      <c r="AO3207" t="s">
        <v>118</v>
      </c>
      <c r="AP3207">
        <v>136</v>
      </c>
      <c r="AQ3207">
        <v>0</v>
      </c>
      <c r="AR3207">
        <v>-320</v>
      </c>
      <c r="AZ3207">
        <v>1200</v>
      </c>
      <c r="BA3207">
        <v>1</v>
      </c>
      <c r="BB3207" t="str">
        <f t="shared" si="1480"/>
        <v xml:space="preserve">N711JA  </v>
      </c>
      <c r="BC3207">
        <v>1</v>
      </c>
      <c r="BE3207">
        <v>0</v>
      </c>
      <c r="BF3207">
        <v>0</v>
      </c>
      <c r="BG3207">
        <v>0</v>
      </c>
      <c r="BH3207">
        <v>2300</v>
      </c>
      <c r="BI3207">
        <v>1</v>
      </c>
      <c r="BJ3207">
        <v>1</v>
      </c>
      <c r="BK3207">
        <v>0</v>
      </c>
      <c r="BL3207">
        <v>0</v>
      </c>
      <c r="BO3207">
        <v>0</v>
      </c>
      <c r="BP3207">
        <v>0</v>
      </c>
      <c r="BW3207" t="str">
        <f t="shared" si="1499"/>
        <v>14:46:58.125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56</v>
      </c>
      <c r="CR3207">
        <v>2</v>
      </c>
      <c r="CW3207">
        <v>4974270</v>
      </c>
      <c r="CY3207">
        <v>1</v>
      </c>
      <c r="CZ3207">
        <v>0</v>
      </c>
      <c r="DA3207">
        <v>1</v>
      </c>
      <c r="DB3207">
        <v>0</v>
      </c>
      <c r="DC3207">
        <v>0</v>
      </c>
      <c r="DD3207">
        <v>1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 t="shared" si="1497"/>
        <v>05/12/2020 14:46:40.303</v>
      </c>
      <c r="C3208" t="str">
        <f t="shared" si="1477"/>
        <v>FFDFD3C0</v>
      </c>
      <c r="D3208" t="s">
        <v>126</v>
      </c>
      <c r="E3208">
        <v>7</v>
      </c>
      <c r="F3208">
        <v>1007</v>
      </c>
      <c r="G3208" t="s">
        <v>127</v>
      </c>
      <c r="J3208" t="s">
        <v>128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si="1500"/>
        <v>14:46:58.125</v>
      </c>
      <c r="T3208" t="str">
        <f>"14:46:57.125"</f>
        <v>14:46:57.125</v>
      </c>
      <c r="U3208" t="str">
        <f t="shared" si="1498"/>
        <v>A9808D</v>
      </c>
      <c r="V3208">
        <v>0</v>
      </c>
      <c r="W3208">
        <v>0</v>
      </c>
      <c r="X3208">
        <v>1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0</v>
      </c>
      <c r="AI3208" t="s">
        <v>763</v>
      </c>
      <c r="AJ3208">
        <v>28.246600999999998</v>
      </c>
      <c r="AK3208" t="s">
        <v>767</v>
      </c>
      <c r="AL3208">
        <v>-82.276504000000003</v>
      </c>
      <c r="AM3208">
        <v>100</v>
      </c>
      <c r="AN3208">
        <v>2300</v>
      </c>
      <c r="AO3208" t="s">
        <v>118</v>
      </c>
      <c r="AP3208">
        <v>135</v>
      </c>
      <c r="AQ3208">
        <v>-1</v>
      </c>
      <c r="AR3208">
        <v>-320</v>
      </c>
      <c r="AZ3208">
        <v>1200</v>
      </c>
      <c r="BA3208">
        <v>1</v>
      </c>
      <c r="BB3208" t="str">
        <f t="shared" si="1480"/>
        <v xml:space="preserve">N711JA  </v>
      </c>
      <c r="BC3208">
        <v>1</v>
      </c>
      <c r="BE3208">
        <v>0</v>
      </c>
      <c r="BF3208">
        <v>0</v>
      </c>
      <c r="BG3208">
        <v>0</v>
      </c>
      <c r="BH3208">
        <v>2300</v>
      </c>
      <c r="BI3208">
        <v>1</v>
      </c>
      <c r="BJ3208">
        <v>1</v>
      </c>
      <c r="BK3208">
        <v>0</v>
      </c>
      <c r="BL3208">
        <v>0</v>
      </c>
      <c r="BO3208">
        <v>0</v>
      </c>
      <c r="BP3208">
        <v>0</v>
      </c>
      <c r="BW3208" t="str">
        <f t="shared" si="1499"/>
        <v>14:46:58.125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2</v>
      </c>
      <c r="CP3208" t="s">
        <v>675</v>
      </c>
      <c r="CQ3208">
        <v>363</v>
      </c>
      <c r="CR3208">
        <v>0</v>
      </c>
      <c r="CW3208">
        <v>6473573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1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 t="shared" si="1497"/>
        <v>05/12/2020 14:46:40.303</v>
      </c>
      <c r="C3209" t="str">
        <f t="shared" si="1477"/>
        <v>FFDFD3C0</v>
      </c>
      <c r="D3209" t="s">
        <v>131</v>
      </c>
      <c r="E3209">
        <v>10</v>
      </c>
      <c r="F3209">
        <v>2010</v>
      </c>
      <c r="G3209" t="s">
        <v>132</v>
      </c>
      <c r="J3209" t="s">
        <v>133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500"/>
        <v>14:46:58.125</v>
      </c>
      <c r="T3209" t="str">
        <f>"14:46:58.125"</f>
        <v>14:46:58.125</v>
      </c>
      <c r="U3209" t="str">
        <f t="shared" si="1498"/>
        <v>A9808D</v>
      </c>
      <c r="V3209">
        <v>0</v>
      </c>
      <c r="W3209">
        <v>0</v>
      </c>
      <c r="X3209">
        <v>1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0</v>
      </c>
      <c r="AI3209" t="s">
        <v>763</v>
      </c>
      <c r="AJ3209">
        <v>28.246600999999998</v>
      </c>
      <c r="AK3209" t="s">
        <v>767</v>
      </c>
      <c r="AL3209">
        <v>-82.276504000000003</v>
      </c>
      <c r="AM3209">
        <v>100</v>
      </c>
      <c r="AN3209">
        <v>2300</v>
      </c>
      <c r="AO3209" t="s">
        <v>118</v>
      </c>
      <c r="AP3209">
        <v>136</v>
      </c>
      <c r="AQ3209">
        <v>0</v>
      </c>
      <c r="AR3209">
        <v>-320</v>
      </c>
      <c r="AZ3209">
        <v>1200</v>
      </c>
      <c r="BA3209">
        <v>1</v>
      </c>
      <c r="BB3209" t="str">
        <f t="shared" si="1480"/>
        <v xml:space="preserve">N711JA  </v>
      </c>
      <c r="BC3209">
        <v>1</v>
      </c>
      <c r="BE3209">
        <v>0</v>
      </c>
      <c r="BF3209">
        <v>0</v>
      </c>
      <c r="BG3209">
        <v>0</v>
      </c>
      <c r="BH3209">
        <v>2300</v>
      </c>
      <c r="BI3209">
        <v>1</v>
      </c>
      <c r="BJ3209">
        <v>1</v>
      </c>
      <c r="BK3209">
        <v>0</v>
      </c>
      <c r="BL3209">
        <v>0</v>
      </c>
      <c r="BO3209">
        <v>0</v>
      </c>
      <c r="BP3209">
        <v>0</v>
      </c>
      <c r="BW3209" t="str">
        <f t="shared" si="1499"/>
        <v>14:46:58.125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56</v>
      </c>
      <c r="CR3209">
        <v>2</v>
      </c>
      <c r="CW3209">
        <v>4974270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1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 t="shared" si="1497"/>
        <v>05/12/2020 14:46:40.303</v>
      </c>
      <c r="C3210" t="str">
        <f t="shared" si="1477"/>
        <v>FFDFD3C0</v>
      </c>
      <c r="D3210" t="s">
        <v>131</v>
      </c>
      <c r="E3210">
        <v>12</v>
      </c>
      <c r="F3210">
        <v>2012</v>
      </c>
      <c r="G3210" t="s">
        <v>137</v>
      </c>
      <c r="J3210" t="s">
        <v>133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500"/>
        <v>14:46:58.125</v>
      </c>
      <c r="T3210" t="str">
        <f>"14:46:57.125"</f>
        <v>14:46:57.125</v>
      </c>
      <c r="U3210" t="str">
        <f t="shared" si="1498"/>
        <v>A9808D</v>
      </c>
      <c r="V3210">
        <v>0</v>
      </c>
      <c r="W3210">
        <v>0</v>
      </c>
      <c r="X3210">
        <v>1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0</v>
      </c>
      <c r="AI3210" t="s">
        <v>763</v>
      </c>
      <c r="AJ3210">
        <v>28.246600999999998</v>
      </c>
      <c r="AK3210" t="s">
        <v>767</v>
      </c>
      <c r="AL3210">
        <v>-82.276504000000003</v>
      </c>
      <c r="AM3210">
        <v>100</v>
      </c>
      <c r="AN3210">
        <v>2300</v>
      </c>
      <c r="AO3210" t="s">
        <v>118</v>
      </c>
      <c r="AP3210">
        <v>135</v>
      </c>
      <c r="AQ3210">
        <v>-1</v>
      </c>
      <c r="AR3210">
        <v>-320</v>
      </c>
      <c r="AZ3210">
        <v>1200</v>
      </c>
      <c r="BA3210">
        <v>1</v>
      </c>
      <c r="BB3210" t="str">
        <f t="shared" si="1480"/>
        <v xml:space="preserve">N711JA  </v>
      </c>
      <c r="BC3210">
        <v>1</v>
      </c>
      <c r="BE3210">
        <v>0</v>
      </c>
      <c r="BF3210">
        <v>0</v>
      </c>
      <c r="BG3210">
        <v>0</v>
      </c>
      <c r="BH3210">
        <v>2300</v>
      </c>
      <c r="BI3210">
        <v>1</v>
      </c>
      <c r="BJ3210">
        <v>1</v>
      </c>
      <c r="BK3210">
        <v>0</v>
      </c>
      <c r="BL3210">
        <v>0</v>
      </c>
      <c r="BO3210">
        <v>0</v>
      </c>
      <c r="BP3210">
        <v>0</v>
      </c>
      <c r="BW3210" t="str">
        <f t="shared" si="1499"/>
        <v>14:46:58.125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2</v>
      </c>
      <c r="CP3210" t="s">
        <v>675</v>
      </c>
      <c r="CQ3210">
        <v>363</v>
      </c>
      <c r="CR3210">
        <v>0</v>
      </c>
      <c r="CW3210">
        <v>6473573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1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 t="shared" ref="A3211:A3218" si="1501">"05/12/2020 14:46:41.434"</f>
        <v>05/12/2020 14:46:41.434</v>
      </c>
      <c r="C3211" t="str">
        <f t="shared" si="1477"/>
        <v>FFDFD3C0</v>
      </c>
      <c r="D3211" t="s">
        <v>138</v>
      </c>
      <c r="E3211">
        <v>2</v>
      </c>
      <c r="H3211">
        <v>8</v>
      </c>
      <c r="I3211" t="s">
        <v>139</v>
      </c>
      <c r="J3211" t="s">
        <v>136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ref="S3211:S3218" si="1502">"14:46:59.273"</f>
        <v>14:46:59.273</v>
      </c>
      <c r="T3211" t="str">
        <f t="shared" ref="T3211:T3218" si="1503">"14:46:58.973"</f>
        <v>14:46:58.973</v>
      </c>
      <c r="U3211" t="str">
        <f t="shared" si="1498"/>
        <v>A9808D</v>
      </c>
      <c r="V3211">
        <v>0</v>
      </c>
      <c r="W3211">
        <v>0</v>
      </c>
      <c r="X3211">
        <v>1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0</v>
      </c>
      <c r="AI3211" t="s">
        <v>759</v>
      </c>
      <c r="AJ3211">
        <v>28.246621999999999</v>
      </c>
      <c r="AK3211" t="s">
        <v>768</v>
      </c>
      <c r="AL3211">
        <v>-82.275710000000004</v>
      </c>
      <c r="AM3211">
        <v>100</v>
      </c>
      <c r="AN3211">
        <v>2300</v>
      </c>
      <c r="AO3211" t="s">
        <v>118</v>
      </c>
      <c r="AP3211">
        <v>136</v>
      </c>
      <c r="AQ3211">
        <v>0</v>
      </c>
      <c r="AR3211">
        <v>-320</v>
      </c>
      <c r="AZ3211">
        <v>1200</v>
      </c>
      <c r="BA3211">
        <v>1</v>
      </c>
      <c r="BB3211" t="str">
        <f t="shared" si="1480"/>
        <v xml:space="preserve">N711JA  </v>
      </c>
      <c r="BC3211">
        <v>1</v>
      </c>
      <c r="BE3211">
        <v>0</v>
      </c>
      <c r="BF3211">
        <v>0</v>
      </c>
      <c r="BG3211">
        <v>0</v>
      </c>
      <c r="BH3211">
        <v>2300</v>
      </c>
      <c r="BI3211">
        <v>1</v>
      </c>
      <c r="BJ3211">
        <v>1</v>
      </c>
      <c r="BK3211">
        <v>0</v>
      </c>
      <c r="BL3211">
        <v>0</v>
      </c>
      <c r="BO3211">
        <v>0</v>
      </c>
      <c r="BP3211">
        <v>0</v>
      </c>
      <c r="BW3211" t="str">
        <f t="shared" ref="BW3211:BW3218" si="1504">"14:46:59.275"</f>
        <v>14:46:59.275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56</v>
      </c>
      <c r="CR3211">
        <v>2</v>
      </c>
      <c r="CW3211">
        <v>4975693</v>
      </c>
      <c r="CY3211">
        <v>1</v>
      </c>
      <c r="CZ3211">
        <v>0</v>
      </c>
      <c r="DA3211">
        <v>0</v>
      </c>
      <c r="DB3211">
        <v>0</v>
      </c>
      <c r="DC3211">
        <v>0</v>
      </c>
      <c r="DD3211">
        <v>1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 t="shared" si="1501"/>
        <v>05/12/2020 14:46:41.434</v>
      </c>
      <c r="C3212" t="str">
        <f t="shared" si="1477"/>
        <v>FFDFD3C0</v>
      </c>
      <c r="D3212" t="s">
        <v>138</v>
      </c>
      <c r="E3212">
        <v>3</v>
      </c>
      <c r="H3212">
        <v>9</v>
      </c>
      <c r="I3212" t="s">
        <v>140</v>
      </c>
      <c r="J3212" t="s">
        <v>136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502"/>
        <v>14:46:59.273</v>
      </c>
      <c r="T3212" t="str">
        <f t="shared" si="1503"/>
        <v>14:46:58.973</v>
      </c>
      <c r="U3212" t="str">
        <f t="shared" si="1498"/>
        <v>A9808D</v>
      </c>
      <c r="V3212">
        <v>0</v>
      </c>
      <c r="W3212">
        <v>0</v>
      </c>
      <c r="X3212">
        <v>1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0</v>
      </c>
      <c r="AI3212" t="s">
        <v>759</v>
      </c>
      <c r="AJ3212">
        <v>28.246621999999999</v>
      </c>
      <c r="AK3212" t="s">
        <v>768</v>
      </c>
      <c r="AL3212">
        <v>-82.275710000000004</v>
      </c>
      <c r="AM3212">
        <v>100</v>
      </c>
      <c r="AN3212">
        <v>2300</v>
      </c>
      <c r="AO3212" t="s">
        <v>118</v>
      </c>
      <c r="AP3212">
        <v>136</v>
      </c>
      <c r="AQ3212">
        <v>0</v>
      </c>
      <c r="AR3212">
        <v>-320</v>
      </c>
      <c r="AZ3212">
        <v>1200</v>
      </c>
      <c r="BA3212">
        <v>1</v>
      </c>
      <c r="BB3212" t="str">
        <f t="shared" si="1480"/>
        <v xml:space="preserve">N711JA  </v>
      </c>
      <c r="BC3212">
        <v>1</v>
      </c>
      <c r="BE3212">
        <v>0</v>
      </c>
      <c r="BF3212">
        <v>0</v>
      </c>
      <c r="BG3212">
        <v>0</v>
      </c>
      <c r="BH3212">
        <v>2300</v>
      </c>
      <c r="BI3212">
        <v>1</v>
      </c>
      <c r="BJ3212">
        <v>1</v>
      </c>
      <c r="BK3212">
        <v>0</v>
      </c>
      <c r="BL3212">
        <v>0</v>
      </c>
      <c r="BO3212">
        <v>0</v>
      </c>
      <c r="BP3212">
        <v>0</v>
      </c>
      <c r="BW3212" t="str">
        <f t="shared" si="1504"/>
        <v>14:46:59.275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56</v>
      </c>
      <c r="CR3212">
        <v>2</v>
      </c>
      <c r="CW3212">
        <v>4975693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1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 t="shared" si="1501"/>
        <v>05/12/2020 14:46:41.434</v>
      </c>
      <c r="C3213" t="str">
        <f t="shared" si="1477"/>
        <v>FFDFD3C0</v>
      </c>
      <c r="D3213" t="s">
        <v>131</v>
      </c>
      <c r="E3213">
        <v>10</v>
      </c>
      <c r="F3213">
        <v>2010</v>
      </c>
      <c r="G3213" t="s">
        <v>132</v>
      </c>
      <c r="J3213" t="s">
        <v>133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502"/>
        <v>14:46:59.273</v>
      </c>
      <c r="T3213" t="str">
        <f t="shared" si="1503"/>
        <v>14:46:58.973</v>
      </c>
      <c r="U3213" t="str">
        <f t="shared" si="1498"/>
        <v>A9808D</v>
      </c>
      <c r="V3213">
        <v>0</v>
      </c>
      <c r="W3213">
        <v>0</v>
      </c>
      <c r="X3213">
        <v>1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0</v>
      </c>
      <c r="AI3213" t="s">
        <v>759</v>
      </c>
      <c r="AJ3213">
        <v>28.246621999999999</v>
      </c>
      <c r="AK3213" t="s">
        <v>768</v>
      </c>
      <c r="AL3213">
        <v>-82.275710000000004</v>
      </c>
      <c r="AM3213">
        <v>100</v>
      </c>
      <c r="AN3213">
        <v>2300</v>
      </c>
      <c r="AO3213" t="s">
        <v>118</v>
      </c>
      <c r="AP3213">
        <v>136</v>
      </c>
      <c r="AQ3213">
        <v>0</v>
      </c>
      <c r="AR3213">
        <v>-320</v>
      </c>
      <c r="AZ3213">
        <v>1200</v>
      </c>
      <c r="BA3213">
        <v>1</v>
      </c>
      <c r="BB3213" t="str">
        <f t="shared" si="1480"/>
        <v xml:space="preserve">N711JA  </v>
      </c>
      <c r="BC3213">
        <v>1</v>
      </c>
      <c r="BE3213">
        <v>0</v>
      </c>
      <c r="BF3213">
        <v>0</v>
      </c>
      <c r="BG3213">
        <v>0</v>
      </c>
      <c r="BH3213">
        <v>2300</v>
      </c>
      <c r="BI3213">
        <v>1</v>
      </c>
      <c r="BJ3213">
        <v>1</v>
      </c>
      <c r="BK3213">
        <v>0</v>
      </c>
      <c r="BL3213">
        <v>0</v>
      </c>
      <c r="BO3213">
        <v>0</v>
      </c>
      <c r="BP3213">
        <v>0</v>
      </c>
      <c r="BW3213" t="str">
        <f t="shared" si="1504"/>
        <v>14:46:59.275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56</v>
      </c>
      <c r="CR3213">
        <v>2</v>
      </c>
      <c r="CW3213">
        <v>4975693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1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 t="shared" si="1501"/>
        <v>05/12/2020 14:46:41.434</v>
      </c>
      <c r="C3214" t="str">
        <f t="shared" si="1477"/>
        <v>FFDFD3C0</v>
      </c>
      <c r="D3214" t="s">
        <v>126</v>
      </c>
      <c r="E3214">
        <v>7</v>
      </c>
      <c r="F3214">
        <v>1007</v>
      </c>
      <c r="G3214" t="s">
        <v>127</v>
      </c>
      <c r="J3214" t="s">
        <v>128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si="1502"/>
        <v>14:46:59.273</v>
      </c>
      <c r="T3214" t="str">
        <f t="shared" si="1503"/>
        <v>14:46:58.973</v>
      </c>
      <c r="U3214" t="str">
        <f t="shared" si="1498"/>
        <v>A9808D</v>
      </c>
      <c r="V3214">
        <v>0</v>
      </c>
      <c r="W3214">
        <v>0</v>
      </c>
      <c r="X3214">
        <v>1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0</v>
      </c>
      <c r="AI3214" t="s">
        <v>759</v>
      </c>
      <c r="AJ3214">
        <v>28.246621999999999</v>
      </c>
      <c r="AK3214" t="s">
        <v>768</v>
      </c>
      <c r="AL3214">
        <v>-82.275710000000004</v>
      </c>
      <c r="AM3214">
        <v>100</v>
      </c>
      <c r="AN3214">
        <v>2300</v>
      </c>
      <c r="AO3214" t="s">
        <v>118</v>
      </c>
      <c r="AP3214">
        <v>136</v>
      </c>
      <c r="AQ3214">
        <v>0</v>
      </c>
      <c r="AR3214">
        <v>-320</v>
      </c>
      <c r="AZ3214">
        <v>1200</v>
      </c>
      <c r="BA3214">
        <v>1</v>
      </c>
      <c r="BB3214" t="str">
        <f t="shared" si="1480"/>
        <v xml:space="preserve">N711JA  </v>
      </c>
      <c r="BC3214">
        <v>1</v>
      </c>
      <c r="BE3214">
        <v>0</v>
      </c>
      <c r="BF3214">
        <v>0</v>
      </c>
      <c r="BG3214">
        <v>0</v>
      </c>
      <c r="BH3214">
        <v>2300</v>
      </c>
      <c r="BI3214">
        <v>1</v>
      </c>
      <c r="BJ3214">
        <v>1</v>
      </c>
      <c r="BK3214">
        <v>0</v>
      </c>
      <c r="BL3214">
        <v>0</v>
      </c>
      <c r="BO3214">
        <v>0</v>
      </c>
      <c r="BP3214">
        <v>0</v>
      </c>
      <c r="BW3214" t="str">
        <f t="shared" si="1504"/>
        <v>14:46:59.275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56</v>
      </c>
      <c r="CR3214">
        <v>2</v>
      </c>
      <c r="CW3214">
        <v>4975693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1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 t="shared" si="1501"/>
        <v>05/12/2020 14:46:41.434</v>
      </c>
      <c r="C3215" t="str">
        <f t="shared" si="1477"/>
        <v>FFDFD3C0</v>
      </c>
      <c r="D3215" t="s">
        <v>131</v>
      </c>
      <c r="E3215">
        <v>12</v>
      </c>
      <c r="F3215">
        <v>2012</v>
      </c>
      <c r="G3215" t="s">
        <v>137</v>
      </c>
      <c r="J3215" t="s">
        <v>133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si="1502"/>
        <v>14:46:59.273</v>
      </c>
      <c r="T3215" t="str">
        <f t="shared" si="1503"/>
        <v>14:46:58.973</v>
      </c>
      <c r="U3215" t="str">
        <f t="shared" si="1498"/>
        <v>A9808D</v>
      </c>
      <c r="V3215">
        <v>0</v>
      </c>
      <c r="W3215">
        <v>0</v>
      </c>
      <c r="X3215">
        <v>1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0</v>
      </c>
      <c r="AI3215" t="s">
        <v>759</v>
      </c>
      <c r="AJ3215">
        <v>28.246621999999999</v>
      </c>
      <c r="AK3215" t="s">
        <v>768</v>
      </c>
      <c r="AL3215">
        <v>-82.275710000000004</v>
      </c>
      <c r="AM3215">
        <v>100</v>
      </c>
      <c r="AN3215">
        <v>2300</v>
      </c>
      <c r="AO3215" t="s">
        <v>118</v>
      </c>
      <c r="AP3215">
        <v>136</v>
      </c>
      <c r="AQ3215">
        <v>0</v>
      </c>
      <c r="AR3215">
        <v>-320</v>
      </c>
      <c r="AZ3215">
        <v>1200</v>
      </c>
      <c r="BA3215">
        <v>1</v>
      </c>
      <c r="BB3215" t="str">
        <f t="shared" si="1480"/>
        <v xml:space="preserve">N711JA  </v>
      </c>
      <c r="BC3215">
        <v>1</v>
      </c>
      <c r="BE3215">
        <v>0</v>
      </c>
      <c r="BF3215">
        <v>0</v>
      </c>
      <c r="BG3215">
        <v>0</v>
      </c>
      <c r="BH3215">
        <v>2300</v>
      </c>
      <c r="BI3215">
        <v>1</v>
      </c>
      <c r="BJ3215">
        <v>1</v>
      </c>
      <c r="BK3215">
        <v>0</v>
      </c>
      <c r="BL3215">
        <v>0</v>
      </c>
      <c r="BO3215">
        <v>0</v>
      </c>
      <c r="BP3215">
        <v>0</v>
      </c>
      <c r="BW3215" t="str">
        <f t="shared" si="1504"/>
        <v>14:46:59.275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56</v>
      </c>
      <c r="CR3215">
        <v>2</v>
      </c>
      <c r="CW3215">
        <v>4975693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1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 t="shared" si="1501"/>
        <v>05/12/2020 14:46:41.434</v>
      </c>
      <c r="C3216" t="str">
        <f t="shared" si="1477"/>
        <v>FFDFD3C0</v>
      </c>
      <c r="D3216" t="s">
        <v>131</v>
      </c>
      <c r="E3216">
        <v>18</v>
      </c>
      <c r="F3216">
        <v>2018</v>
      </c>
      <c r="G3216" t="s">
        <v>161</v>
      </c>
      <c r="J3216" t="s">
        <v>133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502"/>
        <v>14:46:59.273</v>
      </c>
      <c r="T3216" t="str">
        <f t="shared" si="1503"/>
        <v>14:46:58.973</v>
      </c>
      <c r="U3216" t="str">
        <f t="shared" si="1498"/>
        <v>A9808D</v>
      </c>
      <c r="V3216">
        <v>0</v>
      </c>
      <c r="W3216">
        <v>0</v>
      </c>
      <c r="X3216">
        <v>1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0</v>
      </c>
      <c r="AI3216" t="s">
        <v>759</v>
      </c>
      <c r="AJ3216">
        <v>28.246621999999999</v>
      </c>
      <c r="AK3216" t="s">
        <v>768</v>
      </c>
      <c r="AL3216">
        <v>-82.275710000000004</v>
      </c>
      <c r="AM3216">
        <v>100</v>
      </c>
      <c r="AN3216">
        <v>2300</v>
      </c>
      <c r="AO3216" t="s">
        <v>118</v>
      </c>
      <c r="AP3216">
        <v>136</v>
      </c>
      <c r="AQ3216">
        <v>0</v>
      </c>
      <c r="AR3216">
        <v>-320</v>
      </c>
      <c r="AZ3216">
        <v>1200</v>
      </c>
      <c r="BA3216">
        <v>1</v>
      </c>
      <c r="BB3216" t="str">
        <f t="shared" si="1480"/>
        <v xml:space="preserve">N711JA  </v>
      </c>
      <c r="BC3216">
        <v>1</v>
      </c>
      <c r="BE3216">
        <v>0</v>
      </c>
      <c r="BF3216">
        <v>0</v>
      </c>
      <c r="BG3216">
        <v>0</v>
      </c>
      <c r="BH3216">
        <v>2300</v>
      </c>
      <c r="BI3216">
        <v>1</v>
      </c>
      <c r="BJ3216">
        <v>1</v>
      </c>
      <c r="BK3216">
        <v>0</v>
      </c>
      <c r="BL3216">
        <v>0</v>
      </c>
      <c r="BO3216">
        <v>0</v>
      </c>
      <c r="BP3216">
        <v>0</v>
      </c>
      <c r="BW3216" t="str">
        <f t="shared" si="1504"/>
        <v>14:46:59.275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56</v>
      </c>
      <c r="CR3216">
        <v>2</v>
      </c>
      <c r="CW3216">
        <v>4975693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1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 t="shared" si="1501"/>
        <v>05/12/2020 14:46:41.434</v>
      </c>
      <c r="C3217" t="str">
        <f t="shared" si="1477"/>
        <v>FFDFD3C0</v>
      </c>
      <c r="D3217" t="s">
        <v>113</v>
      </c>
      <c r="E3217">
        <v>3</v>
      </c>
      <c r="H3217">
        <v>164</v>
      </c>
      <c r="I3217" t="s">
        <v>114</v>
      </c>
      <c r="J3217" t="s">
        <v>115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si="1502"/>
        <v>14:46:59.273</v>
      </c>
      <c r="T3217" t="str">
        <f t="shared" si="1503"/>
        <v>14:46:58.973</v>
      </c>
      <c r="U3217" t="str">
        <f t="shared" si="1498"/>
        <v>A9808D</v>
      </c>
      <c r="V3217">
        <v>0</v>
      </c>
      <c r="W3217">
        <v>0</v>
      </c>
      <c r="X3217">
        <v>1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0</v>
      </c>
      <c r="AI3217" t="s">
        <v>759</v>
      </c>
      <c r="AJ3217">
        <v>28.246621999999999</v>
      </c>
      <c r="AK3217" t="s">
        <v>768</v>
      </c>
      <c r="AL3217">
        <v>-82.275710000000004</v>
      </c>
      <c r="AM3217">
        <v>100</v>
      </c>
      <c r="AN3217">
        <v>2300</v>
      </c>
      <c r="AO3217" t="s">
        <v>118</v>
      </c>
      <c r="AP3217">
        <v>136</v>
      </c>
      <c r="AQ3217">
        <v>0</v>
      </c>
      <c r="AR3217">
        <v>-320</v>
      </c>
      <c r="AZ3217">
        <v>1200</v>
      </c>
      <c r="BA3217">
        <v>1</v>
      </c>
      <c r="BB3217" t="str">
        <f t="shared" si="1480"/>
        <v xml:space="preserve">N711JA  </v>
      </c>
      <c r="BC3217">
        <v>1</v>
      </c>
      <c r="BE3217">
        <v>0</v>
      </c>
      <c r="BF3217">
        <v>0</v>
      </c>
      <c r="BG3217">
        <v>0</v>
      </c>
      <c r="BH3217">
        <v>2300</v>
      </c>
      <c r="BI3217">
        <v>1</v>
      </c>
      <c r="BJ3217">
        <v>1</v>
      </c>
      <c r="BK3217">
        <v>0</v>
      </c>
      <c r="BL3217">
        <v>0</v>
      </c>
      <c r="BO3217">
        <v>0</v>
      </c>
      <c r="BP3217">
        <v>0</v>
      </c>
      <c r="BW3217" t="str">
        <f t="shared" si="1504"/>
        <v>14:46:59.275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56</v>
      </c>
      <c r="CR3217">
        <v>2</v>
      </c>
      <c r="CW3217">
        <v>4975693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1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 t="shared" si="1501"/>
        <v>05/12/2020 14:46:41.434</v>
      </c>
      <c r="C3218" t="str">
        <f t="shared" si="1477"/>
        <v>FFDFD3C0</v>
      </c>
      <c r="D3218" t="s">
        <v>126</v>
      </c>
      <c r="E3218">
        <v>6</v>
      </c>
      <c r="F3218">
        <v>1006</v>
      </c>
      <c r="G3218" t="s">
        <v>114</v>
      </c>
      <c r="J3218" t="s">
        <v>128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502"/>
        <v>14:46:59.273</v>
      </c>
      <c r="T3218" t="str">
        <f t="shared" si="1503"/>
        <v>14:46:58.973</v>
      </c>
      <c r="U3218" t="str">
        <f t="shared" si="1498"/>
        <v>A9808D</v>
      </c>
      <c r="V3218">
        <v>0</v>
      </c>
      <c r="W3218">
        <v>0</v>
      </c>
      <c r="X3218">
        <v>1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0</v>
      </c>
      <c r="AI3218" t="s">
        <v>759</v>
      </c>
      <c r="AJ3218">
        <v>28.246621999999999</v>
      </c>
      <c r="AK3218" t="s">
        <v>768</v>
      </c>
      <c r="AL3218">
        <v>-82.275710000000004</v>
      </c>
      <c r="AM3218">
        <v>100</v>
      </c>
      <c r="AN3218">
        <v>2300</v>
      </c>
      <c r="AO3218" t="s">
        <v>118</v>
      </c>
      <c r="AP3218">
        <v>136</v>
      </c>
      <c r="AQ3218">
        <v>0</v>
      </c>
      <c r="AR3218">
        <v>-320</v>
      </c>
      <c r="AZ3218">
        <v>1200</v>
      </c>
      <c r="BA3218">
        <v>1</v>
      </c>
      <c r="BB3218" t="str">
        <f t="shared" si="1480"/>
        <v xml:space="preserve">N711JA  </v>
      </c>
      <c r="BC3218">
        <v>1</v>
      </c>
      <c r="BE3218">
        <v>0</v>
      </c>
      <c r="BF3218">
        <v>0</v>
      </c>
      <c r="BG3218">
        <v>0</v>
      </c>
      <c r="BH3218">
        <v>2300</v>
      </c>
      <c r="BI3218">
        <v>1</v>
      </c>
      <c r="BJ3218">
        <v>1</v>
      </c>
      <c r="BK3218">
        <v>0</v>
      </c>
      <c r="BL3218">
        <v>0</v>
      </c>
      <c r="BO3218">
        <v>0</v>
      </c>
      <c r="BP3218">
        <v>0</v>
      </c>
      <c r="BW3218" t="str">
        <f t="shared" si="1504"/>
        <v>14:46:59.275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56</v>
      </c>
      <c r="CR3218">
        <v>2</v>
      </c>
      <c r="CW3218">
        <v>4975693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1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 t="shared" ref="A3219:A3227" si="1505">"05/12/2020 14:46:42.316"</f>
        <v>05/12/2020 14:46:42.316</v>
      </c>
      <c r="C3219" t="str">
        <f t="shared" si="1477"/>
        <v>FFDFD3C0</v>
      </c>
      <c r="D3219" t="s">
        <v>131</v>
      </c>
      <c r="E3219">
        <v>18</v>
      </c>
      <c r="F3219">
        <v>2018</v>
      </c>
      <c r="G3219" t="s">
        <v>161</v>
      </c>
      <c r="J3219" t="s">
        <v>133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ref="S3219:S3227" si="1506">"14:47:00.141"</f>
        <v>14:47:00.141</v>
      </c>
      <c r="T3219" t="str">
        <f t="shared" ref="T3219:T3227" si="1507">"14:47:00.041"</f>
        <v>14:47:00.041</v>
      </c>
      <c r="U3219" t="str">
        <f t="shared" si="1498"/>
        <v>A9808D</v>
      </c>
      <c r="V3219">
        <v>0</v>
      </c>
      <c r="W3219">
        <v>0</v>
      </c>
      <c r="X3219">
        <v>1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0</v>
      </c>
      <c r="AI3219" t="s">
        <v>763</v>
      </c>
      <c r="AJ3219">
        <v>28.246600999999998</v>
      </c>
      <c r="AK3219" t="s">
        <v>769</v>
      </c>
      <c r="AL3219">
        <v>-82.275109</v>
      </c>
      <c r="AM3219">
        <v>100</v>
      </c>
      <c r="AN3219">
        <v>2300</v>
      </c>
      <c r="AO3219" t="s">
        <v>118</v>
      </c>
      <c r="AP3219">
        <v>136</v>
      </c>
      <c r="AQ3219">
        <v>1</v>
      </c>
      <c r="AR3219">
        <v>-320</v>
      </c>
      <c r="AZ3219">
        <v>1200</v>
      </c>
      <c r="BA3219">
        <v>1</v>
      </c>
      <c r="BB3219" t="str">
        <f t="shared" si="1480"/>
        <v xml:space="preserve">N711JA  </v>
      </c>
      <c r="BC3219">
        <v>1</v>
      </c>
      <c r="BE3219">
        <v>0</v>
      </c>
      <c r="BF3219">
        <v>0</v>
      </c>
      <c r="BG3219">
        <v>0</v>
      </c>
      <c r="BH3219">
        <v>2300</v>
      </c>
      <c r="BI3219">
        <v>1</v>
      </c>
      <c r="BJ3219">
        <v>1</v>
      </c>
      <c r="BK3219">
        <v>0</v>
      </c>
      <c r="BL3219">
        <v>0</v>
      </c>
      <c r="BO3219">
        <v>0</v>
      </c>
      <c r="BP3219">
        <v>0</v>
      </c>
      <c r="BW3219" t="str">
        <f t="shared" ref="BW3219:BW3227" si="1508">"14:47:00.147"</f>
        <v>14:47:00.147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56</v>
      </c>
      <c r="CR3219">
        <v>2</v>
      </c>
      <c r="CW3219">
        <v>4976756</v>
      </c>
      <c r="CY3219">
        <v>1</v>
      </c>
      <c r="CZ3219">
        <v>0</v>
      </c>
      <c r="DA3219">
        <v>0</v>
      </c>
      <c r="DB3219">
        <v>0</v>
      </c>
      <c r="DC3219">
        <v>0</v>
      </c>
      <c r="DD3219">
        <v>1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 t="shared" si="1505"/>
        <v>05/12/2020 14:46:42.316</v>
      </c>
      <c r="C3220" t="str">
        <f t="shared" si="1477"/>
        <v>FFDFD3C0</v>
      </c>
      <c r="D3220" t="s">
        <v>113</v>
      </c>
      <c r="E3220">
        <v>3</v>
      </c>
      <c r="H3220">
        <v>164</v>
      </c>
      <c r="I3220" t="s">
        <v>114</v>
      </c>
      <c r="J3220" t="s">
        <v>115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506"/>
        <v>14:47:00.141</v>
      </c>
      <c r="T3220" t="str">
        <f t="shared" si="1507"/>
        <v>14:47:00.041</v>
      </c>
      <c r="U3220" t="str">
        <f t="shared" si="1498"/>
        <v>A9808D</v>
      </c>
      <c r="V3220">
        <v>0</v>
      </c>
      <c r="W3220">
        <v>0</v>
      </c>
      <c r="X3220">
        <v>1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0</v>
      </c>
      <c r="AI3220" t="s">
        <v>763</v>
      </c>
      <c r="AJ3220">
        <v>28.246600999999998</v>
      </c>
      <c r="AK3220" t="s">
        <v>769</v>
      </c>
      <c r="AL3220">
        <v>-82.275109</v>
      </c>
      <c r="AM3220">
        <v>100</v>
      </c>
      <c r="AN3220">
        <v>2300</v>
      </c>
      <c r="AO3220" t="s">
        <v>118</v>
      </c>
      <c r="AP3220">
        <v>136</v>
      </c>
      <c r="AQ3220">
        <v>1</v>
      </c>
      <c r="AR3220">
        <v>-320</v>
      </c>
      <c r="AZ3220">
        <v>1200</v>
      </c>
      <c r="BA3220">
        <v>1</v>
      </c>
      <c r="BB3220" t="str">
        <f t="shared" si="1480"/>
        <v xml:space="preserve">N711JA  </v>
      </c>
      <c r="BC3220">
        <v>1</v>
      </c>
      <c r="BE3220">
        <v>0</v>
      </c>
      <c r="BF3220">
        <v>0</v>
      </c>
      <c r="BG3220">
        <v>0</v>
      </c>
      <c r="BH3220">
        <v>2300</v>
      </c>
      <c r="BI3220">
        <v>1</v>
      </c>
      <c r="BJ3220">
        <v>1</v>
      </c>
      <c r="BK3220">
        <v>0</v>
      </c>
      <c r="BL3220">
        <v>0</v>
      </c>
      <c r="BO3220">
        <v>0</v>
      </c>
      <c r="BP3220">
        <v>0</v>
      </c>
      <c r="BW3220" t="str">
        <f t="shared" si="1508"/>
        <v>14:47:00.147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56</v>
      </c>
      <c r="CR3220">
        <v>2</v>
      </c>
      <c r="CW3220">
        <v>4976756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1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 t="shared" si="1505"/>
        <v>05/12/2020 14:46:42.316</v>
      </c>
      <c r="C3221" t="str">
        <f t="shared" si="1477"/>
        <v>FFDFD3C0</v>
      </c>
      <c r="D3221" t="s">
        <v>126</v>
      </c>
      <c r="E3221">
        <v>6</v>
      </c>
      <c r="F3221">
        <v>1006</v>
      </c>
      <c r="G3221" t="s">
        <v>114</v>
      </c>
      <c r="J3221" t="s">
        <v>128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si="1506"/>
        <v>14:47:00.141</v>
      </c>
      <c r="T3221" t="str">
        <f t="shared" si="1507"/>
        <v>14:47:00.041</v>
      </c>
      <c r="U3221" t="str">
        <f t="shared" si="1498"/>
        <v>A9808D</v>
      </c>
      <c r="V3221">
        <v>0</v>
      </c>
      <c r="W3221">
        <v>0</v>
      </c>
      <c r="X3221">
        <v>1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0</v>
      </c>
      <c r="AI3221" t="s">
        <v>763</v>
      </c>
      <c r="AJ3221">
        <v>28.246600999999998</v>
      </c>
      <c r="AK3221" t="s">
        <v>769</v>
      </c>
      <c r="AL3221">
        <v>-82.275109</v>
      </c>
      <c r="AM3221">
        <v>100</v>
      </c>
      <c r="AN3221">
        <v>2300</v>
      </c>
      <c r="AO3221" t="s">
        <v>118</v>
      </c>
      <c r="AP3221">
        <v>136</v>
      </c>
      <c r="AQ3221">
        <v>1</v>
      </c>
      <c r="AR3221">
        <v>-320</v>
      </c>
      <c r="AZ3221">
        <v>1200</v>
      </c>
      <c r="BA3221">
        <v>1</v>
      </c>
      <c r="BB3221" t="str">
        <f t="shared" si="1480"/>
        <v xml:space="preserve">N711JA  </v>
      </c>
      <c r="BC3221">
        <v>1</v>
      </c>
      <c r="BE3221">
        <v>0</v>
      </c>
      <c r="BF3221">
        <v>0</v>
      </c>
      <c r="BG3221">
        <v>0</v>
      </c>
      <c r="BH3221">
        <v>2300</v>
      </c>
      <c r="BI3221">
        <v>1</v>
      </c>
      <c r="BJ3221">
        <v>1</v>
      </c>
      <c r="BK3221">
        <v>0</v>
      </c>
      <c r="BL3221">
        <v>0</v>
      </c>
      <c r="BO3221">
        <v>0</v>
      </c>
      <c r="BP3221">
        <v>0</v>
      </c>
      <c r="BW3221" t="str">
        <f t="shared" si="1508"/>
        <v>14:47:00.147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56</v>
      </c>
      <c r="CR3221">
        <v>2</v>
      </c>
      <c r="CW3221">
        <v>4976756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1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 t="shared" si="1505"/>
        <v>05/12/2020 14:46:42.316</v>
      </c>
      <c r="C3222" t="str">
        <f t="shared" ref="C3222:C3285" si="1509">"FFDFD3C0"</f>
        <v>FFDFD3C0</v>
      </c>
      <c r="D3222" t="s">
        <v>138</v>
      </c>
      <c r="E3222">
        <v>2</v>
      </c>
      <c r="H3222">
        <v>8</v>
      </c>
      <c r="I3222" t="s">
        <v>139</v>
      </c>
      <c r="J3222" t="s">
        <v>136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si="1506"/>
        <v>14:47:00.141</v>
      </c>
      <c r="T3222" t="str">
        <f t="shared" si="1507"/>
        <v>14:47:00.041</v>
      </c>
      <c r="U3222" t="str">
        <f t="shared" si="1498"/>
        <v>A9808D</v>
      </c>
      <c r="V3222">
        <v>0</v>
      </c>
      <c r="W3222">
        <v>0</v>
      </c>
      <c r="X3222">
        <v>1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0</v>
      </c>
      <c r="AI3222" t="s">
        <v>763</v>
      </c>
      <c r="AJ3222">
        <v>28.246600999999998</v>
      </c>
      <c r="AK3222" t="s">
        <v>769</v>
      </c>
      <c r="AL3222">
        <v>-82.275109</v>
      </c>
      <c r="AM3222">
        <v>100</v>
      </c>
      <c r="AN3222">
        <v>2300</v>
      </c>
      <c r="AO3222" t="s">
        <v>118</v>
      </c>
      <c r="AP3222">
        <v>136</v>
      </c>
      <c r="AQ3222">
        <v>1</v>
      </c>
      <c r="AR3222">
        <v>-320</v>
      </c>
      <c r="AZ3222">
        <v>1200</v>
      </c>
      <c r="BA3222">
        <v>1</v>
      </c>
      <c r="BB3222" t="str">
        <f t="shared" ref="BB3222:BB3285" si="1510">"N711JA  "</f>
        <v xml:space="preserve">N711JA  </v>
      </c>
      <c r="BC3222">
        <v>1</v>
      </c>
      <c r="BE3222">
        <v>0</v>
      </c>
      <c r="BF3222">
        <v>0</v>
      </c>
      <c r="BG3222">
        <v>0</v>
      </c>
      <c r="BH3222">
        <v>2300</v>
      </c>
      <c r="BI3222">
        <v>1</v>
      </c>
      <c r="BJ3222">
        <v>1</v>
      </c>
      <c r="BK3222">
        <v>0</v>
      </c>
      <c r="BL3222">
        <v>0</v>
      </c>
      <c r="BO3222">
        <v>0</v>
      </c>
      <c r="BP3222">
        <v>0</v>
      </c>
      <c r="BW3222" t="str">
        <f t="shared" si="1508"/>
        <v>14:47:00.147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56</v>
      </c>
      <c r="CR3222">
        <v>2</v>
      </c>
      <c r="CW3222">
        <v>4976756</v>
      </c>
      <c r="CY3222">
        <v>1</v>
      </c>
      <c r="CZ3222">
        <v>0</v>
      </c>
      <c r="DA3222">
        <v>1</v>
      </c>
      <c r="DB3222">
        <v>0</v>
      </c>
      <c r="DC3222">
        <v>0</v>
      </c>
      <c r="DD3222">
        <v>1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 t="shared" si="1505"/>
        <v>05/12/2020 14:46:42.316</v>
      </c>
      <c r="C3223" t="str">
        <f t="shared" si="1509"/>
        <v>FFDFD3C0</v>
      </c>
      <c r="D3223" t="s">
        <v>134</v>
      </c>
      <c r="E3223">
        <v>12</v>
      </c>
      <c r="H3223">
        <v>64</v>
      </c>
      <c r="I3223" t="s">
        <v>135</v>
      </c>
      <c r="J3223" t="s">
        <v>136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si="1506"/>
        <v>14:47:00.141</v>
      </c>
      <c r="T3223" t="str">
        <f t="shared" si="1507"/>
        <v>14:47:00.041</v>
      </c>
      <c r="U3223" t="str">
        <f t="shared" si="1498"/>
        <v>A9808D</v>
      </c>
      <c r="V3223">
        <v>0</v>
      </c>
      <c r="W3223">
        <v>0</v>
      </c>
      <c r="X3223">
        <v>1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0</v>
      </c>
      <c r="AI3223" t="s">
        <v>763</v>
      </c>
      <c r="AJ3223">
        <v>28.246600999999998</v>
      </c>
      <c r="AK3223" t="s">
        <v>769</v>
      </c>
      <c r="AL3223">
        <v>-82.275109</v>
      </c>
      <c r="AM3223">
        <v>100</v>
      </c>
      <c r="AN3223">
        <v>2300</v>
      </c>
      <c r="AO3223" t="s">
        <v>118</v>
      </c>
      <c r="AP3223">
        <v>136</v>
      </c>
      <c r="AQ3223">
        <v>1</v>
      </c>
      <c r="AR3223">
        <v>-320</v>
      </c>
      <c r="AZ3223">
        <v>1200</v>
      </c>
      <c r="BA3223">
        <v>1</v>
      </c>
      <c r="BB3223" t="str">
        <f t="shared" si="1510"/>
        <v xml:space="preserve">N711JA  </v>
      </c>
      <c r="BC3223">
        <v>1</v>
      </c>
      <c r="BE3223">
        <v>0</v>
      </c>
      <c r="BF3223">
        <v>0</v>
      </c>
      <c r="BG3223">
        <v>0</v>
      </c>
      <c r="BH3223">
        <v>2300</v>
      </c>
      <c r="BI3223">
        <v>1</v>
      </c>
      <c r="BJ3223">
        <v>1</v>
      </c>
      <c r="BK3223">
        <v>0</v>
      </c>
      <c r="BL3223">
        <v>0</v>
      </c>
      <c r="BO3223">
        <v>0</v>
      </c>
      <c r="BP3223">
        <v>0</v>
      </c>
      <c r="BW3223" t="str">
        <f t="shared" si="1508"/>
        <v>14:47:00.147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6</v>
      </c>
      <c r="CP3223" t="s">
        <v>119</v>
      </c>
      <c r="CQ3223">
        <v>358</v>
      </c>
      <c r="CR3223">
        <v>0</v>
      </c>
      <c r="CW3223">
        <v>4952522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1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 t="shared" si="1505"/>
        <v>05/12/2020 14:46:42.316</v>
      </c>
      <c r="C3224" t="str">
        <f t="shared" si="1509"/>
        <v>FFDFD3C0</v>
      </c>
      <c r="D3224" t="s">
        <v>138</v>
      </c>
      <c r="E3224">
        <v>3</v>
      </c>
      <c r="H3224">
        <v>9</v>
      </c>
      <c r="I3224" t="s">
        <v>140</v>
      </c>
      <c r="J3224" t="s">
        <v>136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si="1506"/>
        <v>14:47:00.141</v>
      </c>
      <c r="T3224" t="str">
        <f t="shared" si="1507"/>
        <v>14:47:00.041</v>
      </c>
      <c r="U3224" t="str">
        <f t="shared" si="1498"/>
        <v>A9808D</v>
      </c>
      <c r="V3224">
        <v>0</v>
      </c>
      <c r="W3224">
        <v>0</v>
      </c>
      <c r="X3224">
        <v>1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0</v>
      </c>
      <c r="AI3224" t="s">
        <v>763</v>
      </c>
      <c r="AJ3224">
        <v>28.246600999999998</v>
      </c>
      <c r="AK3224" t="s">
        <v>769</v>
      </c>
      <c r="AL3224">
        <v>-82.275109</v>
      </c>
      <c r="AM3224">
        <v>100</v>
      </c>
      <c r="AN3224">
        <v>2300</v>
      </c>
      <c r="AO3224" t="s">
        <v>118</v>
      </c>
      <c r="AP3224">
        <v>136</v>
      </c>
      <c r="AQ3224">
        <v>1</v>
      </c>
      <c r="AR3224">
        <v>-320</v>
      </c>
      <c r="AZ3224">
        <v>1200</v>
      </c>
      <c r="BA3224">
        <v>1</v>
      </c>
      <c r="BB3224" t="str">
        <f t="shared" si="1510"/>
        <v xml:space="preserve">N711JA  </v>
      </c>
      <c r="BC3224">
        <v>1</v>
      </c>
      <c r="BE3224">
        <v>0</v>
      </c>
      <c r="BF3224">
        <v>0</v>
      </c>
      <c r="BG3224">
        <v>0</v>
      </c>
      <c r="BH3224">
        <v>2300</v>
      </c>
      <c r="BI3224">
        <v>1</v>
      </c>
      <c r="BJ3224">
        <v>1</v>
      </c>
      <c r="BK3224">
        <v>0</v>
      </c>
      <c r="BL3224">
        <v>0</v>
      </c>
      <c r="BO3224">
        <v>0</v>
      </c>
      <c r="BP3224">
        <v>0</v>
      </c>
      <c r="BW3224" t="str">
        <f t="shared" si="1508"/>
        <v>14:47:00.147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56</v>
      </c>
      <c r="CR3224">
        <v>2</v>
      </c>
      <c r="CW3224">
        <v>4976756</v>
      </c>
      <c r="CY3224">
        <v>1</v>
      </c>
      <c r="CZ3224">
        <v>0</v>
      </c>
      <c r="DA3224">
        <v>1</v>
      </c>
      <c r="DB3224">
        <v>0</v>
      </c>
      <c r="DC3224">
        <v>0</v>
      </c>
      <c r="DD3224">
        <v>1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 t="shared" si="1505"/>
        <v>05/12/2020 14:46:42.316</v>
      </c>
      <c r="C3225" t="str">
        <f t="shared" si="1509"/>
        <v>FFDFD3C0</v>
      </c>
      <c r="D3225" t="s">
        <v>131</v>
      </c>
      <c r="E3225">
        <v>10</v>
      </c>
      <c r="F3225">
        <v>2010</v>
      </c>
      <c r="G3225" t="s">
        <v>132</v>
      </c>
      <c r="J3225" t="s">
        <v>133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506"/>
        <v>14:47:00.141</v>
      </c>
      <c r="T3225" t="str">
        <f t="shared" si="1507"/>
        <v>14:47:00.041</v>
      </c>
      <c r="U3225" t="str">
        <f t="shared" si="1498"/>
        <v>A9808D</v>
      </c>
      <c r="V3225">
        <v>0</v>
      </c>
      <c r="W3225">
        <v>0</v>
      </c>
      <c r="X3225">
        <v>1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0</v>
      </c>
      <c r="AI3225" t="s">
        <v>763</v>
      </c>
      <c r="AJ3225">
        <v>28.246600999999998</v>
      </c>
      <c r="AK3225" t="s">
        <v>769</v>
      </c>
      <c r="AL3225">
        <v>-82.275109</v>
      </c>
      <c r="AM3225">
        <v>100</v>
      </c>
      <c r="AN3225">
        <v>2300</v>
      </c>
      <c r="AO3225" t="s">
        <v>118</v>
      </c>
      <c r="AP3225">
        <v>136</v>
      </c>
      <c r="AQ3225">
        <v>1</v>
      </c>
      <c r="AR3225">
        <v>-320</v>
      </c>
      <c r="AZ3225">
        <v>1200</v>
      </c>
      <c r="BA3225">
        <v>1</v>
      </c>
      <c r="BB3225" t="str">
        <f t="shared" si="1510"/>
        <v xml:space="preserve">N711JA  </v>
      </c>
      <c r="BC3225">
        <v>1</v>
      </c>
      <c r="BE3225">
        <v>0</v>
      </c>
      <c r="BF3225">
        <v>0</v>
      </c>
      <c r="BG3225">
        <v>0</v>
      </c>
      <c r="BH3225">
        <v>2300</v>
      </c>
      <c r="BI3225">
        <v>1</v>
      </c>
      <c r="BJ3225">
        <v>1</v>
      </c>
      <c r="BK3225">
        <v>0</v>
      </c>
      <c r="BL3225">
        <v>0</v>
      </c>
      <c r="BO3225">
        <v>0</v>
      </c>
      <c r="BP3225">
        <v>0</v>
      </c>
      <c r="BW3225" t="str">
        <f t="shared" si="1508"/>
        <v>14:47:00.147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56</v>
      </c>
      <c r="CR3225">
        <v>2</v>
      </c>
      <c r="CW3225">
        <v>4976756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1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 t="shared" si="1505"/>
        <v>05/12/2020 14:46:42.316</v>
      </c>
      <c r="C3226" t="str">
        <f t="shared" si="1509"/>
        <v>FFDFD3C0</v>
      </c>
      <c r="D3226" t="s">
        <v>131</v>
      </c>
      <c r="E3226">
        <v>12</v>
      </c>
      <c r="F3226">
        <v>2012</v>
      </c>
      <c r="G3226" t="s">
        <v>137</v>
      </c>
      <c r="J3226" t="s">
        <v>133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506"/>
        <v>14:47:00.141</v>
      </c>
      <c r="T3226" t="str">
        <f t="shared" si="1507"/>
        <v>14:47:00.041</v>
      </c>
      <c r="U3226" t="str">
        <f t="shared" si="1498"/>
        <v>A9808D</v>
      </c>
      <c r="V3226">
        <v>0</v>
      </c>
      <c r="W3226">
        <v>0</v>
      </c>
      <c r="X3226">
        <v>1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0</v>
      </c>
      <c r="AI3226" t="s">
        <v>763</v>
      </c>
      <c r="AJ3226">
        <v>28.246600999999998</v>
      </c>
      <c r="AK3226" t="s">
        <v>769</v>
      </c>
      <c r="AL3226">
        <v>-82.275109</v>
      </c>
      <c r="AM3226">
        <v>100</v>
      </c>
      <c r="AN3226">
        <v>2300</v>
      </c>
      <c r="AO3226" t="s">
        <v>118</v>
      </c>
      <c r="AP3226">
        <v>136</v>
      </c>
      <c r="AQ3226">
        <v>1</v>
      </c>
      <c r="AR3226">
        <v>-320</v>
      </c>
      <c r="AZ3226">
        <v>1200</v>
      </c>
      <c r="BA3226">
        <v>1</v>
      </c>
      <c r="BB3226" t="str">
        <f t="shared" si="1510"/>
        <v xml:space="preserve">N711JA  </v>
      </c>
      <c r="BC3226">
        <v>1</v>
      </c>
      <c r="BE3226">
        <v>0</v>
      </c>
      <c r="BF3226">
        <v>0</v>
      </c>
      <c r="BG3226">
        <v>0</v>
      </c>
      <c r="BH3226">
        <v>2300</v>
      </c>
      <c r="BI3226">
        <v>1</v>
      </c>
      <c r="BJ3226">
        <v>1</v>
      </c>
      <c r="BK3226">
        <v>0</v>
      </c>
      <c r="BL3226">
        <v>0</v>
      </c>
      <c r="BO3226">
        <v>0</v>
      </c>
      <c r="BP3226">
        <v>0</v>
      </c>
      <c r="BW3226" t="str">
        <f t="shared" si="1508"/>
        <v>14:47:00.147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56</v>
      </c>
      <c r="CR3226">
        <v>2</v>
      </c>
      <c r="CW3226">
        <v>4976756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1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 t="shared" si="1505"/>
        <v>05/12/2020 14:46:42.316</v>
      </c>
      <c r="C3227" t="str">
        <f t="shared" si="1509"/>
        <v>FFDFD3C0</v>
      </c>
      <c r="D3227" t="s">
        <v>126</v>
      </c>
      <c r="E3227">
        <v>7</v>
      </c>
      <c r="F3227">
        <v>1007</v>
      </c>
      <c r="G3227" t="s">
        <v>127</v>
      </c>
      <c r="J3227" t="s">
        <v>128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506"/>
        <v>14:47:00.141</v>
      </c>
      <c r="T3227" t="str">
        <f t="shared" si="1507"/>
        <v>14:47:00.041</v>
      </c>
      <c r="U3227" t="str">
        <f t="shared" si="1498"/>
        <v>A9808D</v>
      </c>
      <c r="V3227">
        <v>0</v>
      </c>
      <c r="W3227">
        <v>0</v>
      </c>
      <c r="X3227">
        <v>1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0</v>
      </c>
      <c r="AI3227" t="s">
        <v>763</v>
      </c>
      <c r="AJ3227">
        <v>28.246600999999998</v>
      </c>
      <c r="AK3227" t="s">
        <v>769</v>
      </c>
      <c r="AL3227">
        <v>-82.275109</v>
      </c>
      <c r="AM3227">
        <v>100</v>
      </c>
      <c r="AN3227">
        <v>2300</v>
      </c>
      <c r="AO3227" t="s">
        <v>118</v>
      </c>
      <c r="AP3227">
        <v>136</v>
      </c>
      <c r="AQ3227">
        <v>1</v>
      </c>
      <c r="AR3227">
        <v>-320</v>
      </c>
      <c r="AZ3227">
        <v>1200</v>
      </c>
      <c r="BA3227">
        <v>1</v>
      </c>
      <c r="BB3227" t="str">
        <f t="shared" si="1510"/>
        <v xml:space="preserve">N711JA  </v>
      </c>
      <c r="BC3227">
        <v>1</v>
      </c>
      <c r="BE3227">
        <v>0</v>
      </c>
      <c r="BF3227">
        <v>0</v>
      </c>
      <c r="BG3227">
        <v>0</v>
      </c>
      <c r="BH3227">
        <v>2300</v>
      </c>
      <c r="BI3227">
        <v>1</v>
      </c>
      <c r="BJ3227">
        <v>1</v>
      </c>
      <c r="BK3227">
        <v>0</v>
      </c>
      <c r="BL3227">
        <v>0</v>
      </c>
      <c r="BO3227">
        <v>0</v>
      </c>
      <c r="BP3227">
        <v>0</v>
      </c>
      <c r="BW3227" t="str">
        <f t="shared" si="1508"/>
        <v>14:47:00.147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56</v>
      </c>
      <c r="CR3227">
        <v>2</v>
      </c>
      <c r="CW3227">
        <v>4976756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1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 t="shared" ref="A3228:A3236" si="1511">"05/12/2020 14:46:43.340"</f>
        <v>05/12/2020 14:46:43.340</v>
      </c>
      <c r="C3228" t="str">
        <f t="shared" si="1509"/>
        <v>FFDFD3C0</v>
      </c>
      <c r="D3228" t="s">
        <v>126</v>
      </c>
      <c r="E3228">
        <v>6</v>
      </c>
      <c r="F3228">
        <v>1006</v>
      </c>
      <c r="G3228" t="s">
        <v>114</v>
      </c>
      <c r="J3228" t="s">
        <v>128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ref="S3228:S3236" si="1512">"14:47:01.180"</f>
        <v>14:47:01.180</v>
      </c>
      <c r="T3228" t="str">
        <f t="shared" ref="T3228:T3236" si="1513">"14:47:00.980"</f>
        <v>14:47:00.980</v>
      </c>
      <c r="U3228" t="str">
        <f t="shared" si="1498"/>
        <v>A9808D</v>
      </c>
      <c r="V3228">
        <v>0</v>
      </c>
      <c r="W3228">
        <v>0</v>
      </c>
      <c r="X3228">
        <v>1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0</v>
      </c>
      <c r="AI3228" t="s">
        <v>763</v>
      </c>
      <c r="AJ3228">
        <v>28.246600999999998</v>
      </c>
      <c r="AK3228" t="s">
        <v>770</v>
      </c>
      <c r="AL3228">
        <v>-82.274358000000007</v>
      </c>
      <c r="AM3228">
        <v>100</v>
      </c>
      <c r="AN3228">
        <v>2300</v>
      </c>
      <c r="AO3228" t="s">
        <v>118</v>
      </c>
      <c r="AP3228">
        <v>136</v>
      </c>
      <c r="AQ3228">
        <v>1</v>
      </c>
      <c r="AR3228">
        <v>-256</v>
      </c>
      <c r="AZ3228">
        <v>1200</v>
      </c>
      <c r="BA3228">
        <v>1</v>
      </c>
      <c r="BB3228" t="str">
        <f t="shared" si="1510"/>
        <v xml:space="preserve">N711JA  </v>
      </c>
      <c r="BC3228">
        <v>1</v>
      </c>
      <c r="BE3228">
        <v>0</v>
      </c>
      <c r="BF3228">
        <v>0</v>
      </c>
      <c r="BG3228">
        <v>0</v>
      </c>
      <c r="BH3228">
        <v>2300</v>
      </c>
      <c r="BI3228">
        <v>1</v>
      </c>
      <c r="BJ3228">
        <v>1</v>
      </c>
      <c r="BK3228">
        <v>0</v>
      </c>
      <c r="BL3228">
        <v>0</v>
      </c>
      <c r="BO3228">
        <v>0</v>
      </c>
      <c r="BP3228">
        <v>0</v>
      </c>
      <c r="BW3228" t="str">
        <f>"14:47:01.180"</f>
        <v>14:47:01.180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6</v>
      </c>
      <c r="CP3228" t="s">
        <v>119</v>
      </c>
      <c r="CQ3228">
        <v>358</v>
      </c>
      <c r="CR3228">
        <v>0</v>
      </c>
      <c r="CW3228">
        <v>4953893</v>
      </c>
      <c r="CY3228">
        <v>1</v>
      </c>
      <c r="CZ3228">
        <v>0</v>
      </c>
      <c r="DA3228">
        <v>0</v>
      </c>
      <c r="DB3228">
        <v>0</v>
      </c>
      <c r="DC3228">
        <v>0</v>
      </c>
      <c r="DD3228">
        <v>1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 t="shared" si="1511"/>
        <v>05/12/2020 14:46:43.340</v>
      </c>
      <c r="C3229" t="str">
        <f t="shared" si="1509"/>
        <v>FFDFD3C0</v>
      </c>
      <c r="D3229" t="s">
        <v>113</v>
      </c>
      <c r="E3229">
        <v>3</v>
      </c>
      <c r="H3229">
        <v>164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si="1512"/>
        <v>14:47:01.180</v>
      </c>
      <c r="T3229" t="str">
        <f t="shared" si="1513"/>
        <v>14:47:00.980</v>
      </c>
      <c r="U3229" t="str">
        <f t="shared" si="1498"/>
        <v>A9808D</v>
      </c>
      <c r="V3229">
        <v>0</v>
      </c>
      <c r="W3229">
        <v>0</v>
      </c>
      <c r="X3229">
        <v>1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0</v>
      </c>
      <c r="AI3229" t="s">
        <v>763</v>
      </c>
      <c r="AJ3229">
        <v>28.246600999999998</v>
      </c>
      <c r="AK3229" t="s">
        <v>770</v>
      </c>
      <c r="AL3229">
        <v>-82.274358000000007</v>
      </c>
      <c r="AM3229">
        <v>100</v>
      </c>
      <c r="AN3229">
        <v>2300</v>
      </c>
      <c r="AO3229" t="s">
        <v>118</v>
      </c>
      <c r="AP3229">
        <v>136</v>
      </c>
      <c r="AQ3229">
        <v>1</v>
      </c>
      <c r="AR3229">
        <v>-256</v>
      </c>
      <c r="AZ3229">
        <v>1200</v>
      </c>
      <c r="BA3229">
        <v>1</v>
      </c>
      <c r="BB3229" t="str">
        <f t="shared" si="1510"/>
        <v xml:space="preserve">N711JA  </v>
      </c>
      <c r="BC3229">
        <v>1</v>
      </c>
      <c r="BE3229">
        <v>0</v>
      </c>
      <c r="BF3229">
        <v>0</v>
      </c>
      <c r="BG3229">
        <v>0</v>
      </c>
      <c r="BH3229">
        <v>2300</v>
      </c>
      <c r="BI3229">
        <v>1</v>
      </c>
      <c r="BJ3229">
        <v>1</v>
      </c>
      <c r="BK3229">
        <v>0</v>
      </c>
      <c r="BL3229">
        <v>0</v>
      </c>
      <c r="BO3229">
        <v>0</v>
      </c>
      <c r="BP3229">
        <v>0</v>
      </c>
      <c r="BW3229" t="str">
        <f>"14:47:01.181"</f>
        <v>14:47:01.181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6</v>
      </c>
      <c r="CP3229" t="s">
        <v>119</v>
      </c>
      <c r="CQ3229">
        <v>56</v>
      </c>
      <c r="CR3229">
        <v>2</v>
      </c>
      <c r="CW3229">
        <v>4978121</v>
      </c>
      <c r="CY3229">
        <v>1</v>
      </c>
      <c r="CZ3229">
        <v>0</v>
      </c>
      <c r="DA3229">
        <v>1</v>
      </c>
      <c r="DB3229">
        <v>0</v>
      </c>
      <c r="DC3229">
        <v>0</v>
      </c>
      <c r="DD3229">
        <v>1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 t="shared" si="1511"/>
        <v>05/12/2020 14:46:43.340</v>
      </c>
      <c r="C3230" t="str">
        <f t="shared" si="1509"/>
        <v>FFDFD3C0</v>
      </c>
      <c r="D3230" t="s">
        <v>134</v>
      </c>
      <c r="E3230">
        <v>12</v>
      </c>
      <c r="H3230">
        <v>64</v>
      </c>
      <c r="I3230" t="s">
        <v>135</v>
      </c>
      <c r="J3230" t="s">
        <v>136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512"/>
        <v>14:47:01.180</v>
      </c>
      <c r="T3230" t="str">
        <f t="shared" si="1513"/>
        <v>14:47:00.980</v>
      </c>
      <c r="U3230" t="str">
        <f t="shared" si="1498"/>
        <v>A9808D</v>
      </c>
      <c r="V3230">
        <v>0</v>
      </c>
      <c r="W3230">
        <v>0</v>
      </c>
      <c r="X3230">
        <v>1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0</v>
      </c>
      <c r="AI3230" t="s">
        <v>763</v>
      </c>
      <c r="AJ3230">
        <v>28.246600999999998</v>
      </c>
      <c r="AK3230" t="s">
        <v>770</v>
      </c>
      <c r="AL3230">
        <v>-82.274358000000007</v>
      </c>
      <c r="AM3230">
        <v>100</v>
      </c>
      <c r="AN3230">
        <v>2300</v>
      </c>
      <c r="AO3230" t="s">
        <v>118</v>
      </c>
      <c r="AP3230">
        <v>136</v>
      </c>
      <c r="AQ3230">
        <v>1</v>
      </c>
      <c r="AR3230">
        <v>-256</v>
      </c>
      <c r="AZ3230">
        <v>1200</v>
      </c>
      <c r="BA3230">
        <v>1</v>
      </c>
      <c r="BB3230" t="str">
        <f t="shared" si="1510"/>
        <v xml:space="preserve">N711JA  </v>
      </c>
      <c r="BC3230">
        <v>1</v>
      </c>
      <c r="BE3230">
        <v>0</v>
      </c>
      <c r="BF3230">
        <v>0</v>
      </c>
      <c r="BG3230">
        <v>0</v>
      </c>
      <c r="BH3230">
        <v>2300</v>
      </c>
      <c r="BI3230">
        <v>1</v>
      </c>
      <c r="BJ3230">
        <v>1</v>
      </c>
      <c r="BK3230">
        <v>0</v>
      </c>
      <c r="BL3230">
        <v>0</v>
      </c>
      <c r="BO3230">
        <v>0</v>
      </c>
      <c r="BP3230">
        <v>0</v>
      </c>
      <c r="BW3230" t="str">
        <f>"14:47:01.180"</f>
        <v>14:47:01.180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6</v>
      </c>
      <c r="CP3230" t="s">
        <v>119</v>
      </c>
      <c r="CQ3230">
        <v>358</v>
      </c>
      <c r="CR3230">
        <v>0</v>
      </c>
      <c r="CW3230">
        <v>4953893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1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 t="shared" si="1511"/>
        <v>05/12/2020 14:46:43.340</v>
      </c>
      <c r="C3231" t="str">
        <f t="shared" si="1509"/>
        <v>FFDFD3C0</v>
      </c>
      <c r="D3231" t="s">
        <v>138</v>
      </c>
      <c r="E3231">
        <v>2</v>
      </c>
      <c r="H3231">
        <v>8</v>
      </c>
      <c r="I3231" t="s">
        <v>139</v>
      </c>
      <c r="J3231" t="s">
        <v>136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512"/>
        <v>14:47:01.180</v>
      </c>
      <c r="T3231" t="str">
        <f t="shared" si="1513"/>
        <v>14:47:00.980</v>
      </c>
      <c r="U3231" t="str">
        <f t="shared" si="1498"/>
        <v>A9808D</v>
      </c>
      <c r="V3231">
        <v>0</v>
      </c>
      <c r="W3231">
        <v>0</v>
      </c>
      <c r="X3231">
        <v>1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0</v>
      </c>
      <c r="AI3231" t="s">
        <v>763</v>
      </c>
      <c r="AJ3231">
        <v>28.246600999999998</v>
      </c>
      <c r="AK3231" t="s">
        <v>770</v>
      </c>
      <c r="AL3231">
        <v>-82.274358000000007</v>
      </c>
      <c r="AM3231">
        <v>100</v>
      </c>
      <c r="AN3231">
        <v>2300</v>
      </c>
      <c r="AO3231" t="s">
        <v>118</v>
      </c>
      <c r="AP3231">
        <v>136</v>
      </c>
      <c r="AQ3231">
        <v>1</v>
      </c>
      <c r="AR3231">
        <v>-256</v>
      </c>
      <c r="AZ3231">
        <v>1200</v>
      </c>
      <c r="BA3231">
        <v>1</v>
      </c>
      <c r="BB3231" t="str">
        <f t="shared" si="1510"/>
        <v xml:space="preserve">N711JA  </v>
      </c>
      <c r="BC3231">
        <v>1</v>
      </c>
      <c r="BE3231">
        <v>0</v>
      </c>
      <c r="BF3231">
        <v>0</v>
      </c>
      <c r="BG3231">
        <v>0</v>
      </c>
      <c r="BH3231">
        <v>2300</v>
      </c>
      <c r="BI3231">
        <v>1</v>
      </c>
      <c r="BJ3231">
        <v>1</v>
      </c>
      <c r="BK3231">
        <v>0</v>
      </c>
      <c r="BL3231">
        <v>0</v>
      </c>
      <c r="BO3231">
        <v>0</v>
      </c>
      <c r="BP3231">
        <v>0</v>
      </c>
      <c r="BW3231" t="str">
        <f>"14:47:01.181"</f>
        <v>14:47:01.181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6</v>
      </c>
      <c r="CP3231" t="s">
        <v>119</v>
      </c>
      <c r="CQ3231">
        <v>56</v>
      </c>
      <c r="CR3231">
        <v>2</v>
      </c>
      <c r="CW3231">
        <v>4978121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1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 t="shared" si="1511"/>
        <v>05/12/2020 14:46:43.340</v>
      </c>
      <c r="C3232" t="str">
        <f t="shared" si="1509"/>
        <v>FFDFD3C0</v>
      </c>
      <c r="D3232" t="s">
        <v>138</v>
      </c>
      <c r="E3232">
        <v>3</v>
      </c>
      <c r="H3232">
        <v>9</v>
      </c>
      <c r="I3232" t="s">
        <v>140</v>
      </c>
      <c r="J3232" t="s">
        <v>136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512"/>
        <v>14:47:01.180</v>
      </c>
      <c r="T3232" t="str">
        <f t="shared" si="1513"/>
        <v>14:47:00.980</v>
      </c>
      <c r="U3232" t="str">
        <f t="shared" si="1498"/>
        <v>A9808D</v>
      </c>
      <c r="V3232">
        <v>0</v>
      </c>
      <c r="W3232">
        <v>0</v>
      </c>
      <c r="X3232">
        <v>1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0</v>
      </c>
      <c r="AI3232" t="s">
        <v>763</v>
      </c>
      <c r="AJ3232">
        <v>28.246600999999998</v>
      </c>
      <c r="AK3232" t="s">
        <v>770</v>
      </c>
      <c r="AL3232">
        <v>-82.274358000000007</v>
      </c>
      <c r="AM3232">
        <v>100</v>
      </c>
      <c r="AN3232">
        <v>2300</v>
      </c>
      <c r="AO3232" t="s">
        <v>118</v>
      </c>
      <c r="AP3232">
        <v>136</v>
      </c>
      <c r="AQ3232">
        <v>1</v>
      </c>
      <c r="AR3232">
        <v>-256</v>
      </c>
      <c r="AZ3232">
        <v>1200</v>
      </c>
      <c r="BA3232">
        <v>1</v>
      </c>
      <c r="BB3232" t="str">
        <f t="shared" si="1510"/>
        <v xml:space="preserve">N711JA  </v>
      </c>
      <c r="BC3232">
        <v>1</v>
      </c>
      <c r="BE3232">
        <v>0</v>
      </c>
      <c r="BF3232">
        <v>0</v>
      </c>
      <c r="BG3232">
        <v>0</v>
      </c>
      <c r="BH3232">
        <v>2300</v>
      </c>
      <c r="BI3232">
        <v>1</v>
      </c>
      <c r="BJ3232">
        <v>1</v>
      </c>
      <c r="BK3232">
        <v>0</v>
      </c>
      <c r="BL3232">
        <v>0</v>
      </c>
      <c r="BO3232">
        <v>0</v>
      </c>
      <c r="BP3232">
        <v>0</v>
      </c>
      <c r="BW3232" t="str">
        <f>"14:47:01.180"</f>
        <v>14:47:01.180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6</v>
      </c>
      <c r="CP3232" t="s">
        <v>119</v>
      </c>
      <c r="CQ3232">
        <v>358</v>
      </c>
      <c r="CR3232">
        <v>0</v>
      </c>
      <c r="CW3232">
        <v>4953893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1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 t="shared" si="1511"/>
        <v>05/12/2020 14:46:43.340</v>
      </c>
      <c r="C3233" t="str">
        <f t="shared" si="1509"/>
        <v>FFDFD3C0</v>
      </c>
      <c r="D3233" t="s">
        <v>131</v>
      </c>
      <c r="E3233">
        <v>10</v>
      </c>
      <c r="F3233">
        <v>2010</v>
      </c>
      <c r="G3233" t="s">
        <v>132</v>
      </c>
      <c r="J3233" t="s">
        <v>133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512"/>
        <v>14:47:01.180</v>
      </c>
      <c r="T3233" t="str">
        <f t="shared" si="1513"/>
        <v>14:47:00.980</v>
      </c>
      <c r="U3233" t="str">
        <f t="shared" si="1498"/>
        <v>A9808D</v>
      </c>
      <c r="V3233">
        <v>0</v>
      </c>
      <c r="W3233">
        <v>0</v>
      </c>
      <c r="X3233">
        <v>1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0</v>
      </c>
      <c r="AI3233" t="s">
        <v>763</v>
      </c>
      <c r="AJ3233">
        <v>28.246600999999998</v>
      </c>
      <c r="AK3233" t="s">
        <v>770</v>
      </c>
      <c r="AL3233">
        <v>-82.274358000000007</v>
      </c>
      <c r="AM3233">
        <v>100</v>
      </c>
      <c r="AN3233">
        <v>2300</v>
      </c>
      <c r="AO3233" t="s">
        <v>118</v>
      </c>
      <c r="AP3233">
        <v>136</v>
      </c>
      <c r="AQ3233">
        <v>1</v>
      </c>
      <c r="AR3233">
        <v>-256</v>
      </c>
      <c r="AZ3233">
        <v>1200</v>
      </c>
      <c r="BA3233">
        <v>1</v>
      </c>
      <c r="BB3233" t="str">
        <f t="shared" si="1510"/>
        <v xml:space="preserve">N711JA  </v>
      </c>
      <c r="BC3233">
        <v>1</v>
      </c>
      <c r="BE3233">
        <v>0</v>
      </c>
      <c r="BF3233">
        <v>0</v>
      </c>
      <c r="BG3233">
        <v>0</v>
      </c>
      <c r="BH3233">
        <v>2300</v>
      </c>
      <c r="BI3233">
        <v>1</v>
      </c>
      <c r="BJ3233">
        <v>1</v>
      </c>
      <c r="BK3233">
        <v>0</v>
      </c>
      <c r="BL3233">
        <v>0</v>
      </c>
      <c r="BO3233">
        <v>0</v>
      </c>
      <c r="BP3233">
        <v>0</v>
      </c>
      <c r="BW3233" t="str">
        <f>"14:47:01.180"</f>
        <v>14:47:01.180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6</v>
      </c>
      <c r="CP3233" t="s">
        <v>119</v>
      </c>
      <c r="CQ3233">
        <v>358</v>
      </c>
      <c r="CR3233">
        <v>0</v>
      </c>
      <c r="CW3233">
        <v>4953893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1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 t="shared" si="1511"/>
        <v>05/12/2020 14:46:43.340</v>
      </c>
      <c r="C3234" t="str">
        <f t="shared" si="1509"/>
        <v>FFDFD3C0</v>
      </c>
      <c r="D3234" t="s">
        <v>126</v>
      </c>
      <c r="E3234">
        <v>7</v>
      </c>
      <c r="F3234">
        <v>1007</v>
      </c>
      <c r="G3234" t="s">
        <v>127</v>
      </c>
      <c r="J3234" t="s">
        <v>128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512"/>
        <v>14:47:01.180</v>
      </c>
      <c r="T3234" t="str">
        <f t="shared" si="1513"/>
        <v>14:47:00.980</v>
      </c>
      <c r="U3234" t="str">
        <f t="shared" si="1498"/>
        <v>A9808D</v>
      </c>
      <c r="V3234">
        <v>0</v>
      </c>
      <c r="W3234">
        <v>0</v>
      </c>
      <c r="X3234">
        <v>1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0</v>
      </c>
      <c r="AI3234" t="s">
        <v>763</v>
      </c>
      <c r="AJ3234">
        <v>28.246600999999998</v>
      </c>
      <c r="AK3234" t="s">
        <v>770</v>
      </c>
      <c r="AL3234">
        <v>-82.274358000000007</v>
      </c>
      <c r="AM3234">
        <v>100</v>
      </c>
      <c r="AN3234">
        <v>2300</v>
      </c>
      <c r="AO3234" t="s">
        <v>118</v>
      </c>
      <c r="AP3234">
        <v>136</v>
      </c>
      <c r="AQ3234">
        <v>1</v>
      </c>
      <c r="AR3234">
        <v>-256</v>
      </c>
      <c r="AZ3234">
        <v>1200</v>
      </c>
      <c r="BA3234">
        <v>1</v>
      </c>
      <c r="BB3234" t="str">
        <f t="shared" si="1510"/>
        <v xml:space="preserve">N711JA  </v>
      </c>
      <c r="BC3234">
        <v>1</v>
      </c>
      <c r="BE3234">
        <v>0</v>
      </c>
      <c r="BF3234">
        <v>0</v>
      </c>
      <c r="BG3234">
        <v>0</v>
      </c>
      <c r="BH3234">
        <v>2300</v>
      </c>
      <c r="BI3234">
        <v>1</v>
      </c>
      <c r="BJ3234">
        <v>1</v>
      </c>
      <c r="BK3234">
        <v>0</v>
      </c>
      <c r="BL3234">
        <v>0</v>
      </c>
      <c r="BO3234">
        <v>0</v>
      </c>
      <c r="BP3234">
        <v>0</v>
      </c>
      <c r="BW3234" t="str">
        <f>"14:47:01.180"</f>
        <v>14:47:01.180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6</v>
      </c>
      <c r="CP3234" t="s">
        <v>119</v>
      </c>
      <c r="CQ3234">
        <v>358</v>
      </c>
      <c r="CR3234">
        <v>0</v>
      </c>
      <c r="CW3234">
        <v>4953893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1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 t="shared" si="1511"/>
        <v>05/12/2020 14:46:43.340</v>
      </c>
      <c r="C3235" t="str">
        <f t="shared" si="1509"/>
        <v>FFDFD3C0</v>
      </c>
      <c r="D3235" t="s">
        <v>131</v>
      </c>
      <c r="E3235">
        <v>12</v>
      </c>
      <c r="F3235">
        <v>2012</v>
      </c>
      <c r="G3235" t="s">
        <v>137</v>
      </c>
      <c r="J3235" t="s">
        <v>133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1512"/>
        <v>14:47:01.180</v>
      </c>
      <c r="T3235" t="str">
        <f t="shared" si="1513"/>
        <v>14:47:00.980</v>
      </c>
      <c r="U3235" t="str">
        <f t="shared" si="1498"/>
        <v>A9808D</v>
      </c>
      <c r="V3235">
        <v>0</v>
      </c>
      <c r="W3235">
        <v>0</v>
      </c>
      <c r="X3235">
        <v>1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0</v>
      </c>
      <c r="AI3235" t="s">
        <v>763</v>
      </c>
      <c r="AJ3235">
        <v>28.246600999999998</v>
      </c>
      <c r="AK3235" t="s">
        <v>770</v>
      </c>
      <c r="AL3235">
        <v>-82.274358000000007</v>
      </c>
      <c r="AM3235">
        <v>100</v>
      </c>
      <c r="AN3235">
        <v>2300</v>
      </c>
      <c r="AO3235" t="s">
        <v>118</v>
      </c>
      <c r="AP3235">
        <v>136</v>
      </c>
      <c r="AQ3235">
        <v>1</v>
      </c>
      <c r="AR3235">
        <v>-256</v>
      </c>
      <c r="AZ3235">
        <v>1200</v>
      </c>
      <c r="BA3235">
        <v>1</v>
      </c>
      <c r="BB3235" t="str">
        <f t="shared" si="1510"/>
        <v xml:space="preserve">N711JA  </v>
      </c>
      <c r="BC3235">
        <v>1</v>
      </c>
      <c r="BE3235">
        <v>0</v>
      </c>
      <c r="BF3235">
        <v>0</v>
      </c>
      <c r="BG3235">
        <v>0</v>
      </c>
      <c r="BH3235">
        <v>2300</v>
      </c>
      <c r="BI3235">
        <v>1</v>
      </c>
      <c r="BJ3235">
        <v>1</v>
      </c>
      <c r="BK3235">
        <v>0</v>
      </c>
      <c r="BL3235">
        <v>0</v>
      </c>
      <c r="BO3235">
        <v>0</v>
      </c>
      <c r="BP3235">
        <v>0</v>
      </c>
      <c r="BW3235" t="str">
        <f>"14:47:01.181"</f>
        <v>14:47:01.181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6</v>
      </c>
      <c r="CP3235" t="s">
        <v>119</v>
      </c>
      <c r="CQ3235">
        <v>56</v>
      </c>
      <c r="CR3235">
        <v>2</v>
      </c>
      <c r="CW3235">
        <v>4978121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1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 t="shared" si="1511"/>
        <v>05/12/2020 14:46:43.340</v>
      </c>
      <c r="C3236" t="str">
        <f t="shared" si="1509"/>
        <v>FFDFD3C0</v>
      </c>
      <c r="D3236" t="s">
        <v>131</v>
      </c>
      <c r="E3236">
        <v>18</v>
      </c>
      <c r="F3236">
        <v>2018</v>
      </c>
      <c r="G3236" t="s">
        <v>161</v>
      </c>
      <c r="J3236" t="s">
        <v>133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si="1512"/>
        <v>14:47:01.180</v>
      </c>
      <c r="T3236" t="str">
        <f t="shared" si="1513"/>
        <v>14:47:00.980</v>
      </c>
      <c r="U3236" t="str">
        <f t="shared" si="1498"/>
        <v>A9808D</v>
      </c>
      <c r="V3236">
        <v>0</v>
      </c>
      <c r="W3236">
        <v>0</v>
      </c>
      <c r="X3236">
        <v>1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0</v>
      </c>
      <c r="AI3236" t="s">
        <v>763</v>
      </c>
      <c r="AJ3236">
        <v>28.246600999999998</v>
      </c>
      <c r="AK3236" t="s">
        <v>770</v>
      </c>
      <c r="AL3236">
        <v>-82.274358000000007</v>
      </c>
      <c r="AM3236">
        <v>100</v>
      </c>
      <c r="AN3236">
        <v>2300</v>
      </c>
      <c r="AO3236" t="s">
        <v>118</v>
      </c>
      <c r="AP3236">
        <v>136</v>
      </c>
      <c r="AQ3236">
        <v>1</v>
      </c>
      <c r="AR3236">
        <v>-256</v>
      </c>
      <c r="AZ3236">
        <v>1200</v>
      </c>
      <c r="BA3236">
        <v>1</v>
      </c>
      <c r="BB3236" t="str">
        <f t="shared" si="1510"/>
        <v xml:space="preserve">N711JA  </v>
      </c>
      <c r="BC3236">
        <v>1</v>
      </c>
      <c r="BE3236">
        <v>0</v>
      </c>
      <c r="BF3236">
        <v>0</v>
      </c>
      <c r="BG3236">
        <v>0</v>
      </c>
      <c r="BH3236">
        <v>2300</v>
      </c>
      <c r="BI3236">
        <v>1</v>
      </c>
      <c r="BJ3236">
        <v>1</v>
      </c>
      <c r="BK3236">
        <v>0</v>
      </c>
      <c r="BL3236">
        <v>0</v>
      </c>
      <c r="BO3236">
        <v>0</v>
      </c>
      <c r="BP3236">
        <v>0</v>
      </c>
      <c r="BW3236" t="str">
        <f>"14:47:01.181"</f>
        <v>14:47:01.181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6</v>
      </c>
      <c r="CP3236" t="s">
        <v>119</v>
      </c>
      <c r="CQ3236">
        <v>56</v>
      </c>
      <c r="CR3236">
        <v>2</v>
      </c>
      <c r="CW3236">
        <v>4978121</v>
      </c>
      <c r="CY3236">
        <v>1</v>
      </c>
      <c r="CZ3236">
        <v>0</v>
      </c>
      <c r="DA3236">
        <v>1</v>
      </c>
      <c r="DB3236">
        <v>0</v>
      </c>
      <c r="DC3236">
        <v>0</v>
      </c>
      <c r="DD3236">
        <v>1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 t="shared" ref="A3237:A3245" si="1514">"05/12/2020 14:46:44.373"</f>
        <v>05/12/2020 14:46:44.373</v>
      </c>
      <c r="C3237" t="str">
        <f t="shared" si="1509"/>
        <v>FFDFD3C0</v>
      </c>
      <c r="D3237" t="s">
        <v>131</v>
      </c>
      <c r="E3237">
        <v>12</v>
      </c>
      <c r="F3237">
        <v>2012</v>
      </c>
      <c r="G3237" t="s">
        <v>137</v>
      </c>
      <c r="J3237" t="s">
        <v>133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ref="S3237:S3245" si="1515">"14:47:02.211"</f>
        <v>14:47:02.211</v>
      </c>
      <c r="T3237" t="str">
        <f>"14:47:01.411"</f>
        <v>14:47:01.411</v>
      </c>
      <c r="U3237" t="str">
        <f t="shared" si="1498"/>
        <v>A9808D</v>
      </c>
      <c r="V3237">
        <v>0</v>
      </c>
      <c r="W3237">
        <v>0</v>
      </c>
      <c r="X3237">
        <v>1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0</v>
      </c>
      <c r="AI3237" t="s">
        <v>759</v>
      </c>
      <c r="AJ3237">
        <v>28.246621999999999</v>
      </c>
      <c r="AK3237" t="s">
        <v>771</v>
      </c>
      <c r="AL3237">
        <v>-82.273606999999998</v>
      </c>
      <c r="AM3237">
        <v>100</v>
      </c>
      <c r="AN3237">
        <v>2300</v>
      </c>
      <c r="AO3237" t="s">
        <v>118</v>
      </c>
      <c r="AP3237">
        <v>136</v>
      </c>
      <c r="AQ3237">
        <v>1</v>
      </c>
      <c r="AR3237">
        <v>-256</v>
      </c>
      <c r="AZ3237">
        <v>1200</v>
      </c>
      <c r="BA3237">
        <v>1</v>
      </c>
      <c r="BB3237" t="str">
        <f t="shared" si="1510"/>
        <v xml:space="preserve">N711JA  </v>
      </c>
      <c r="BC3237">
        <v>1</v>
      </c>
      <c r="BE3237">
        <v>0</v>
      </c>
      <c r="BF3237">
        <v>0</v>
      </c>
      <c r="BG3237">
        <v>0</v>
      </c>
      <c r="BH3237">
        <v>2275</v>
      </c>
      <c r="BI3237">
        <v>1</v>
      </c>
      <c r="BJ3237">
        <v>1</v>
      </c>
      <c r="BK3237">
        <v>0</v>
      </c>
      <c r="BL3237">
        <v>0</v>
      </c>
      <c r="BO3237">
        <v>0</v>
      </c>
      <c r="BP3237">
        <v>0</v>
      </c>
      <c r="BW3237" t="str">
        <f t="shared" ref="BW3237:BW3245" si="1516">"14:47:02.214"</f>
        <v>14:47:02.214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119</v>
      </c>
      <c r="CQ3237">
        <v>56</v>
      </c>
      <c r="CR3237">
        <v>2</v>
      </c>
      <c r="CW3237">
        <v>4979393</v>
      </c>
      <c r="CY3237">
        <v>1</v>
      </c>
      <c r="CZ3237">
        <v>0</v>
      </c>
      <c r="DA3237">
        <v>0</v>
      </c>
      <c r="DB3237">
        <v>0</v>
      </c>
      <c r="DC3237">
        <v>0</v>
      </c>
      <c r="DD3237">
        <v>1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 t="shared" si="1514"/>
        <v>05/12/2020 14:46:44.373</v>
      </c>
      <c r="C3238" t="str">
        <f t="shared" si="1509"/>
        <v>FFDFD3C0</v>
      </c>
      <c r="D3238" t="s">
        <v>138</v>
      </c>
      <c r="E3238">
        <v>3</v>
      </c>
      <c r="H3238">
        <v>9</v>
      </c>
      <c r="I3238" t="s">
        <v>140</v>
      </c>
      <c r="J3238" t="s">
        <v>136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515"/>
        <v>14:47:02.211</v>
      </c>
      <c r="T3238" t="str">
        <f t="shared" ref="T3238:T3244" si="1517">"14:47:02.011"</f>
        <v>14:47:02.011</v>
      </c>
      <c r="U3238" t="str">
        <f t="shared" si="1498"/>
        <v>A9808D</v>
      </c>
      <c r="V3238">
        <v>0</v>
      </c>
      <c r="W3238">
        <v>0</v>
      </c>
      <c r="X3238">
        <v>1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0</v>
      </c>
      <c r="AI3238" t="s">
        <v>759</v>
      </c>
      <c r="AJ3238">
        <v>28.246621999999999</v>
      </c>
      <c r="AK3238" t="s">
        <v>771</v>
      </c>
      <c r="AL3238">
        <v>-82.273606999999998</v>
      </c>
      <c r="AM3238">
        <v>100</v>
      </c>
      <c r="AN3238">
        <v>2300</v>
      </c>
      <c r="AO3238" t="s">
        <v>118</v>
      </c>
      <c r="AP3238">
        <v>136</v>
      </c>
      <c r="AQ3238">
        <v>2</v>
      </c>
      <c r="AR3238">
        <v>-256</v>
      </c>
      <c r="AZ3238">
        <v>1200</v>
      </c>
      <c r="BA3238">
        <v>1</v>
      </c>
      <c r="BB3238" t="str">
        <f t="shared" si="1510"/>
        <v xml:space="preserve">N711JA  </v>
      </c>
      <c r="BC3238">
        <v>1</v>
      </c>
      <c r="BE3238">
        <v>0</v>
      </c>
      <c r="BF3238">
        <v>0</v>
      </c>
      <c r="BG3238">
        <v>0</v>
      </c>
      <c r="BH3238">
        <v>2275</v>
      </c>
      <c r="BI3238">
        <v>1</v>
      </c>
      <c r="BJ3238">
        <v>1</v>
      </c>
      <c r="BK3238">
        <v>0</v>
      </c>
      <c r="BL3238">
        <v>0</v>
      </c>
      <c r="BO3238">
        <v>0</v>
      </c>
      <c r="BP3238">
        <v>0</v>
      </c>
      <c r="BW3238" t="str">
        <f t="shared" si="1516"/>
        <v>14:47:02.214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6</v>
      </c>
      <c r="CP3238" t="s">
        <v>119</v>
      </c>
      <c r="CQ3238">
        <v>358</v>
      </c>
      <c r="CR3238">
        <v>0</v>
      </c>
      <c r="CW3238">
        <v>4955170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1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 t="shared" si="1514"/>
        <v>05/12/2020 14:46:44.373</v>
      </c>
      <c r="C3239" t="str">
        <f t="shared" si="1509"/>
        <v>FFDFD3C0</v>
      </c>
      <c r="D3239" t="s">
        <v>131</v>
      </c>
      <c r="E3239">
        <v>18</v>
      </c>
      <c r="F3239">
        <v>2018</v>
      </c>
      <c r="G3239" t="s">
        <v>161</v>
      </c>
      <c r="J3239" t="s">
        <v>133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515"/>
        <v>14:47:02.211</v>
      </c>
      <c r="T3239" t="str">
        <f t="shared" si="1517"/>
        <v>14:47:02.011</v>
      </c>
      <c r="U3239" t="str">
        <f t="shared" si="1498"/>
        <v>A9808D</v>
      </c>
      <c r="V3239">
        <v>0</v>
      </c>
      <c r="W3239">
        <v>0</v>
      </c>
      <c r="X3239">
        <v>1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0</v>
      </c>
      <c r="AI3239" t="s">
        <v>759</v>
      </c>
      <c r="AJ3239">
        <v>28.246621999999999</v>
      </c>
      <c r="AK3239" t="s">
        <v>771</v>
      </c>
      <c r="AL3239">
        <v>-82.273606999999998</v>
      </c>
      <c r="AM3239">
        <v>100</v>
      </c>
      <c r="AN3239">
        <v>2300</v>
      </c>
      <c r="AO3239" t="s">
        <v>118</v>
      </c>
      <c r="AP3239">
        <v>136</v>
      </c>
      <c r="AQ3239">
        <v>2</v>
      </c>
      <c r="AR3239">
        <v>-256</v>
      </c>
      <c r="AZ3239">
        <v>1200</v>
      </c>
      <c r="BA3239">
        <v>1</v>
      </c>
      <c r="BB3239" t="str">
        <f t="shared" si="1510"/>
        <v xml:space="preserve">N711JA  </v>
      </c>
      <c r="BC3239">
        <v>1</v>
      </c>
      <c r="BE3239">
        <v>0</v>
      </c>
      <c r="BF3239">
        <v>0</v>
      </c>
      <c r="BG3239">
        <v>0</v>
      </c>
      <c r="BH3239">
        <v>2275</v>
      </c>
      <c r="BI3239">
        <v>1</v>
      </c>
      <c r="BJ3239">
        <v>1</v>
      </c>
      <c r="BK3239">
        <v>0</v>
      </c>
      <c r="BL3239">
        <v>0</v>
      </c>
      <c r="BO3239">
        <v>0</v>
      </c>
      <c r="BP3239">
        <v>0</v>
      </c>
      <c r="BW3239" t="str">
        <f t="shared" si="1516"/>
        <v>14:47:02.214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3</v>
      </c>
      <c r="CP3239" t="s">
        <v>119</v>
      </c>
      <c r="CQ3239">
        <v>62</v>
      </c>
      <c r="CR3239">
        <v>2</v>
      </c>
      <c r="CW3239">
        <v>13741875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1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 t="shared" si="1514"/>
        <v>05/12/2020 14:46:44.373</v>
      </c>
      <c r="C3240" t="str">
        <f t="shared" si="1509"/>
        <v>FFDFD3C0</v>
      </c>
      <c r="D3240" t="s">
        <v>126</v>
      </c>
      <c r="E3240">
        <v>6</v>
      </c>
      <c r="F3240">
        <v>1006</v>
      </c>
      <c r="G3240" t="s">
        <v>114</v>
      </c>
      <c r="J3240" t="s">
        <v>128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515"/>
        <v>14:47:02.211</v>
      </c>
      <c r="T3240" t="str">
        <f t="shared" si="1517"/>
        <v>14:47:02.011</v>
      </c>
      <c r="U3240" t="str">
        <f t="shared" si="1498"/>
        <v>A9808D</v>
      </c>
      <c r="V3240">
        <v>0</v>
      </c>
      <c r="W3240">
        <v>0</v>
      </c>
      <c r="X3240">
        <v>1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0</v>
      </c>
      <c r="AI3240" t="s">
        <v>759</v>
      </c>
      <c r="AJ3240">
        <v>28.246621999999999</v>
      </c>
      <c r="AK3240" t="s">
        <v>771</v>
      </c>
      <c r="AL3240">
        <v>-82.273606999999998</v>
      </c>
      <c r="AM3240">
        <v>100</v>
      </c>
      <c r="AN3240">
        <v>2300</v>
      </c>
      <c r="AO3240" t="s">
        <v>118</v>
      </c>
      <c r="AP3240">
        <v>136</v>
      </c>
      <c r="AQ3240">
        <v>2</v>
      </c>
      <c r="AR3240">
        <v>-256</v>
      </c>
      <c r="AZ3240">
        <v>1200</v>
      </c>
      <c r="BA3240">
        <v>1</v>
      </c>
      <c r="BB3240" t="str">
        <f t="shared" si="1510"/>
        <v xml:space="preserve">N711JA  </v>
      </c>
      <c r="BC3240">
        <v>1</v>
      </c>
      <c r="BE3240">
        <v>0</v>
      </c>
      <c r="BF3240">
        <v>0</v>
      </c>
      <c r="BG3240">
        <v>0</v>
      </c>
      <c r="BH3240">
        <v>2275</v>
      </c>
      <c r="BI3240">
        <v>1</v>
      </c>
      <c r="BJ3240">
        <v>1</v>
      </c>
      <c r="BK3240">
        <v>0</v>
      </c>
      <c r="BL3240">
        <v>0</v>
      </c>
      <c r="BO3240">
        <v>0</v>
      </c>
      <c r="BP3240">
        <v>0</v>
      </c>
      <c r="BW3240" t="str">
        <f t="shared" si="1516"/>
        <v>14:47:02.214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6</v>
      </c>
      <c r="CP3240" t="s">
        <v>119</v>
      </c>
      <c r="CQ3240">
        <v>358</v>
      </c>
      <c r="CR3240">
        <v>0</v>
      </c>
      <c r="CW3240">
        <v>4955170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1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 t="shared" si="1514"/>
        <v>05/12/2020 14:46:44.373</v>
      </c>
      <c r="C3241" t="str">
        <f t="shared" si="1509"/>
        <v>FFDFD3C0</v>
      </c>
      <c r="D3241" t="s">
        <v>113</v>
      </c>
      <c r="E3241">
        <v>3</v>
      </c>
      <c r="H3241">
        <v>164</v>
      </c>
      <c r="I3241" t="s">
        <v>114</v>
      </c>
      <c r="J3241" t="s">
        <v>115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515"/>
        <v>14:47:02.211</v>
      </c>
      <c r="T3241" t="str">
        <f t="shared" si="1517"/>
        <v>14:47:02.011</v>
      </c>
      <c r="U3241" t="str">
        <f t="shared" si="1498"/>
        <v>A9808D</v>
      </c>
      <c r="V3241">
        <v>0</v>
      </c>
      <c r="W3241">
        <v>0</v>
      </c>
      <c r="X3241">
        <v>1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0</v>
      </c>
      <c r="AI3241" t="s">
        <v>759</v>
      </c>
      <c r="AJ3241">
        <v>28.246621999999999</v>
      </c>
      <c r="AK3241" t="s">
        <v>771</v>
      </c>
      <c r="AL3241">
        <v>-82.273606999999998</v>
      </c>
      <c r="AM3241">
        <v>100</v>
      </c>
      <c r="AN3241">
        <v>2300</v>
      </c>
      <c r="AO3241" t="s">
        <v>118</v>
      </c>
      <c r="AP3241">
        <v>136</v>
      </c>
      <c r="AQ3241">
        <v>2</v>
      </c>
      <c r="AR3241">
        <v>-256</v>
      </c>
      <c r="AZ3241">
        <v>1200</v>
      </c>
      <c r="BA3241">
        <v>1</v>
      </c>
      <c r="BB3241" t="str">
        <f t="shared" si="1510"/>
        <v xml:space="preserve">N711JA  </v>
      </c>
      <c r="BC3241">
        <v>1</v>
      </c>
      <c r="BE3241">
        <v>0</v>
      </c>
      <c r="BF3241">
        <v>0</v>
      </c>
      <c r="BG3241">
        <v>0</v>
      </c>
      <c r="BH3241">
        <v>2275</v>
      </c>
      <c r="BI3241">
        <v>1</v>
      </c>
      <c r="BJ3241">
        <v>1</v>
      </c>
      <c r="BK3241">
        <v>0</v>
      </c>
      <c r="BL3241">
        <v>0</v>
      </c>
      <c r="BO3241">
        <v>0</v>
      </c>
      <c r="BP3241">
        <v>0</v>
      </c>
      <c r="BW3241" t="str">
        <f t="shared" si="1516"/>
        <v>14:47:02.214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3</v>
      </c>
      <c r="CP3241" t="s">
        <v>119</v>
      </c>
      <c r="CQ3241">
        <v>62</v>
      </c>
      <c r="CR3241">
        <v>2</v>
      </c>
      <c r="CW3241">
        <v>13741875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1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 t="shared" si="1514"/>
        <v>05/12/2020 14:46:44.373</v>
      </c>
      <c r="C3242" t="str">
        <f t="shared" si="1509"/>
        <v>FFDFD3C0</v>
      </c>
      <c r="D3242" t="s">
        <v>134</v>
      </c>
      <c r="E3242">
        <v>12</v>
      </c>
      <c r="H3242">
        <v>64</v>
      </c>
      <c r="I3242" t="s">
        <v>135</v>
      </c>
      <c r="J3242" t="s">
        <v>136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si="1515"/>
        <v>14:47:02.211</v>
      </c>
      <c r="T3242" t="str">
        <f t="shared" si="1517"/>
        <v>14:47:02.011</v>
      </c>
      <c r="U3242" t="str">
        <f t="shared" si="1498"/>
        <v>A9808D</v>
      </c>
      <c r="V3242">
        <v>0</v>
      </c>
      <c r="W3242">
        <v>0</v>
      </c>
      <c r="X3242">
        <v>1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0</v>
      </c>
      <c r="AI3242" t="s">
        <v>759</v>
      </c>
      <c r="AJ3242">
        <v>28.246621999999999</v>
      </c>
      <c r="AK3242" t="s">
        <v>771</v>
      </c>
      <c r="AL3242">
        <v>-82.273606999999998</v>
      </c>
      <c r="AM3242">
        <v>100</v>
      </c>
      <c r="AN3242">
        <v>2300</v>
      </c>
      <c r="AO3242" t="s">
        <v>118</v>
      </c>
      <c r="AP3242">
        <v>136</v>
      </c>
      <c r="AQ3242">
        <v>2</v>
      </c>
      <c r="AR3242">
        <v>-256</v>
      </c>
      <c r="AZ3242">
        <v>1200</v>
      </c>
      <c r="BA3242">
        <v>1</v>
      </c>
      <c r="BB3242" t="str">
        <f t="shared" si="1510"/>
        <v xml:space="preserve">N711JA  </v>
      </c>
      <c r="BC3242">
        <v>1</v>
      </c>
      <c r="BE3242">
        <v>0</v>
      </c>
      <c r="BF3242">
        <v>0</v>
      </c>
      <c r="BG3242">
        <v>0</v>
      </c>
      <c r="BH3242">
        <v>2275</v>
      </c>
      <c r="BI3242">
        <v>1</v>
      </c>
      <c r="BJ3242">
        <v>1</v>
      </c>
      <c r="BK3242">
        <v>0</v>
      </c>
      <c r="BL3242">
        <v>0</v>
      </c>
      <c r="BO3242">
        <v>0</v>
      </c>
      <c r="BP3242">
        <v>0</v>
      </c>
      <c r="BW3242" t="str">
        <f t="shared" si="1516"/>
        <v>14:47:02.214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6</v>
      </c>
      <c r="CP3242" t="s">
        <v>119</v>
      </c>
      <c r="CQ3242">
        <v>358</v>
      </c>
      <c r="CR3242">
        <v>0</v>
      </c>
      <c r="CW3242">
        <v>4955170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1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 t="shared" si="1514"/>
        <v>05/12/2020 14:46:44.373</v>
      </c>
      <c r="C3243" t="str">
        <f t="shared" si="1509"/>
        <v>FFDFD3C0</v>
      </c>
      <c r="D3243" t="s">
        <v>131</v>
      </c>
      <c r="E3243">
        <v>10</v>
      </c>
      <c r="F3243">
        <v>2010</v>
      </c>
      <c r="G3243" t="s">
        <v>132</v>
      </c>
      <c r="J3243" t="s">
        <v>133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si="1515"/>
        <v>14:47:02.211</v>
      </c>
      <c r="T3243" t="str">
        <f t="shared" si="1517"/>
        <v>14:47:02.011</v>
      </c>
      <c r="U3243" t="str">
        <f t="shared" si="1498"/>
        <v>A9808D</v>
      </c>
      <c r="V3243">
        <v>0</v>
      </c>
      <c r="W3243">
        <v>0</v>
      </c>
      <c r="X3243">
        <v>1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0</v>
      </c>
      <c r="AI3243" t="s">
        <v>759</v>
      </c>
      <c r="AJ3243">
        <v>28.246621999999999</v>
      </c>
      <c r="AK3243" t="s">
        <v>771</v>
      </c>
      <c r="AL3243">
        <v>-82.273606999999998</v>
      </c>
      <c r="AM3243">
        <v>100</v>
      </c>
      <c r="AN3243">
        <v>2300</v>
      </c>
      <c r="AO3243" t="s">
        <v>118</v>
      </c>
      <c r="AP3243">
        <v>136</v>
      </c>
      <c r="AQ3243">
        <v>2</v>
      </c>
      <c r="AR3243">
        <v>-256</v>
      </c>
      <c r="AZ3243">
        <v>1200</v>
      </c>
      <c r="BA3243">
        <v>1</v>
      </c>
      <c r="BB3243" t="str">
        <f t="shared" si="1510"/>
        <v xml:space="preserve">N711JA  </v>
      </c>
      <c r="BC3243">
        <v>1</v>
      </c>
      <c r="BE3243">
        <v>0</v>
      </c>
      <c r="BF3243">
        <v>0</v>
      </c>
      <c r="BG3243">
        <v>0</v>
      </c>
      <c r="BH3243">
        <v>2275</v>
      </c>
      <c r="BI3243">
        <v>1</v>
      </c>
      <c r="BJ3243">
        <v>1</v>
      </c>
      <c r="BK3243">
        <v>0</v>
      </c>
      <c r="BL3243">
        <v>0</v>
      </c>
      <c r="BO3243">
        <v>0</v>
      </c>
      <c r="BP3243">
        <v>0</v>
      </c>
      <c r="BW3243" t="str">
        <f t="shared" si="1516"/>
        <v>14:47:02.214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6</v>
      </c>
      <c r="CP3243" t="s">
        <v>119</v>
      </c>
      <c r="CQ3243">
        <v>358</v>
      </c>
      <c r="CR3243">
        <v>0</v>
      </c>
      <c r="CW3243">
        <v>4955170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1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 t="shared" si="1514"/>
        <v>05/12/2020 14:46:44.373</v>
      </c>
      <c r="C3244" t="str">
        <f t="shared" si="1509"/>
        <v>FFDFD3C0</v>
      </c>
      <c r="D3244" t="s">
        <v>126</v>
      </c>
      <c r="E3244">
        <v>7</v>
      </c>
      <c r="F3244">
        <v>1007</v>
      </c>
      <c r="G3244" t="s">
        <v>127</v>
      </c>
      <c r="J3244" t="s">
        <v>128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515"/>
        <v>14:47:02.211</v>
      </c>
      <c r="T3244" t="str">
        <f t="shared" si="1517"/>
        <v>14:47:02.011</v>
      </c>
      <c r="U3244" t="str">
        <f t="shared" si="1498"/>
        <v>A9808D</v>
      </c>
      <c r="V3244">
        <v>0</v>
      </c>
      <c r="W3244">
        <v>0</v>
      </c>
      <c r="X3244">
        <v>1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0</v>
      </c>
      <c r="AI3244" t="s">
        <v>759</v>
      </c>
      <c r="AJ3244">
        <v>28.246621999999999</v>
      </c>
      <c r="AK3244" t="s">
        <v>771</v>
      </c>
      <c r="AL3244">
        <v>-82.273606999999998</v>
      </c>
      <c r="AM3244">
        <v>100</v>
      </c>
      <c r="AN3244">
        <v>2300</v>
      </c>
      <c r="AO3244" t="s">
        <v>118</v>
      </c>
      <c r="AP3244">
        <v>136</v>
      </c>
      <c r="AQ3244">
        <v>2</v>
      </c>
      <c r="AR3244">
        <v>-256</v>
      </c>
      <c r="AZ3244">
        <v>1200</v>
      </c>
      <c r="BA3244">
        <v>1</v>
      </c>
      <c r="BB3244" t="str">
        <f t="shared" si="1510"/>
        <v xml:space="preserve">N711JA  </v>
      </c>
      <c r="BC3244">
        <v>1</v>
      </c>
      <c r="BE3244">
        <v>0</v>
      </c>
      <c r="BF3244">
        <v>0</v>
      </c>
      <c r="BG3244">
        <v>0</v>
      </c>
      <c r="BH3244">
        <v>2275</v>
      </c>
      <c r="BI3244">
        <v>1</v>
      </c>
      <c r="BJ3244">
        <v>1</v>
      </c>
      <c r="BK3244">
        <v>0</v>
      </c>
      <c r="BL3244">
        <v>0</v>
      </c>
      <c r="BO3244">
        <v>0</v>
      </c>
      <c r="BP3244">
        <v>0</v>
      </c>
      <c r="BW3244" t="str">
        <f t="shared" si="1516"/>
        <v>14:47:02.214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6</v>
      </c>
      <c r="CP3244" t="s">
        <v>119</v>
      </c>
      <c r="CQ3244">
        <v>358</v>
      </c>
      <c r="CR3244">
        <v>0</v>
      </c>
      <c r="CW3244">
        <v>4955170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1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 t="shared" si="1514"/>
        <v>05/12/2020 14:46:44.373</v>
      </c>
      <c r="C3245" t="str">
        <f t="shared" si="1509"/>
        <v>FFDFD3C0</v>
      </c>
      <c r="D3245" t="s">
        <v>138</v>
      </c>
      <c r="E3245">
        <v>2</v>
      </c>
      <c r="H3245">
        <v>8</v>
      </c>
      <c r="I3245" t="s">
        <v>139</v>
      </c>
      <c r="J3245" t="s">
        <v>136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515"/>
        <v>14:47:02.211</v>
      </c>
      <c r="T3245" t="str">
        <f>"14:47:01.411"</f>
        <v>14:47:01.411</v>
      </c>
      <c r="U3245" t="str">
        <f t="shared" si="1498"/>
        <v>A9808D</v>
      </c>
      <c r="V3245">
        <v>0</v>
      </c>
      <c r="W3245">
        <v>0</v>
      </c>
      <c r="X3245">
        <v>1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0</v>
      </c>
      <c r="AI3245" t="s">
        <v>759</v>
      </c>
      <c r="AJ3245">
        <v>28.246621999999999</v>
      </c>
      <c r="AK3245" t="s">
        <v>771</v>
      </c>
      <c r="AL3245">
        <v>-82.273606999999998</v>
      </c>
      <c r="AM3245">
        <v>100</v>
      </c>
      <c r="AN3245">
        <v>2300</v>
      </c>
      <c r="AO3245" t="s">
        <v>118</v>
      </c>
      <c r="AP3245">
        <v>136</v>
      </c>
      <c r="AQ3245">
        <v>1</v>
      </c>
      <c r="AR3245">
        <v>-256</v>
      </c>
      <c r="AZ3245">
        <v>1200</v>
      </c>
      <c r="BA3245">
        <v>1</v>
      </c>
      <c r="BB3245" t="str">
        <f t="shared" si="1510"/>
        <v xml:space="preserve">N711JA  </v>
      </c>
      <c r="BC3245">
        <v>1</v>
      </c>
      <c r="BE3245">
        <v>0</v>
      </c>
      <c r="BF3245">
        <v>0</v>
      </c>
      <c r="BG3245">
        <v>0</v>
      </c>
      <c r="BH3245">
        <v>2275</v>
      </c>
      <c r="BI3245">
        <v>1</v>
      </c>
      <c r="BJ3245">
        <v>1</v>
      </c>
      <c r="BK3245">
        <v>0</v>
      </c>
      <c r="BL3245">
        <v>0</v>
      </c>
      <c r="BO3245">
        <v>0</v>
      </c>
      <c r="BP3245">
        <v>0</v>
      </c>
      <c r="BW3245" t="str">
        <f t="shared" si="1516"/>
        <v>14:47:02.214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56</v>
      </c>
      <c r="CR3245">
        <v>2</v>
      </c>
      <c r="CW3245">
        <v>4979393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1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 t="shared" ref="A3246:A3254" si="1518">"05/12/2020 14:46:45.470"</f>
        <v>05/12/2020 14:46:45.470</v>
      </c>
      <c r="C3246" t="str">
        <f t="shared" si="1509"/>
        <v>FFDFD3C0</v>
      </c>
      <c r="D3246" t="s">
        <v>113</v>
      </c>
      <c r="E3246">
        <v>3</v>
      </c>
      <c r="H3246">
        <v>164</v>
      </c>
      <c r="I3246" t="s">
        <v>114</v>
      </c>
      <c r="J3246" t="s">
        <v>115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ref="S3246:T3254" si="1519">"14:47:03.297"</f>
        <v>14:47:03.297</v>
      </c>
      <c r="T3246" t="str">
        <f t="shared" si="1519"/>
        <v>14:47:03.297</v>
      </c>
      <c r="U3246" t="str">
        <f t="shared" si="1498"/>
        <v>A9808D</v>
      </c>
      <c r="V3246">
        <v>0</v>
      </c>
      <c r="W3246">
        <v>0</v>
      </c>
      <c r="X3246">
        <v>1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0</v>
      </c>
      <c r="AI3246" t="s">
        <v>759</v>
      </c>
      <c r="AJ3246">
        <v>28.246621999999999</v>
      </c>
      <c r="AK3246" t="s">
        <v>772</v>
      </c>
      <c r="AL3246">
        <v>-82.272812999999999</v>
      </c>
      <c r="AM3246">
        <v>100</v>
      </c>
      <c r="AN3246">
        <v>2300</v>
      </c>
      <c r="AO3246" t="s">
        <v>118</v>
      </c>
      <c r="AP3246">
        <v>136</v>
      </c>
      <c r="AQ3246">
        <v>3</v>
      </c>
      <c r="AR3246">
        <v>-128</v>
      </c>
      <c r="AZ3246">
        <v>1200</v>
      </c>
      <c r="BA3246">
        <v>1</v>
      </c>
      <c r="BB3246" t="str">
        <f t="shared" si="1510"/>
        <v xml:space="preserve">N711JA  </v>
      </c>
      <c r="BC3246">
        <v>1</v>
      </c>
      <c r="BE3246">
        <v>0</v>
      </c>
      <c r="BF3246">
        <v>0</v>
      </c>
      <c r="BG3246">
        <v>0</v>
      </c>
      <c r="BH3246">
        <v>2275</v>
      </c>
      <c r="BI3246">
        <v>1</v>
      </c>
      <c r="BJ3246">
        <v>1</v>
      </c>
      <c r="BK3246">
        <v>0</v>
      </c>
      <c r="BL3246">
        <v>0</v>
      </c>
      <c r="BO3246">
        <v>0</v>
      </c>
      <c r="BP3246">
        <v>0</v>
      </c>
      <c r="BW3246" t="str">
        <f t="shared" ref="BW3246:BW3254" si="1520">"14:47:03.298"</f>
        <v>14:47:03.298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6</v>
      </c>
      <c r="CP3246" t="s">
        <v>119</v>
      </c>
      <c r="CQ3246">
        <v>56</v>
      </c>
      <c r="CR3246">
        <v>2</v>
      </c>
      <c r="CW3246">
        <v>4980769</v>
      </c>
      <c r="CY3246">
        <v>1</v>
      </c>
      <c r="CZ3246">
        <v>0</v>
      </c>
      <c r="DA3246">
        <v>0</v>
      </c>
      <c r="DB3246">
        <v>0</v>
      </c>
      <c r="DC3246">
        <v>0</v>
      </c>
      <c r="DD3246">
        <v>1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 t="shared" si="1518"/>
        <v>05/12/2020 14:46:45.470</v>
      </c>
      <c r="C3247" t="str">
        <f t="shared" si="1509"/>
        <v>FFDFD3C0</v>
      </c>
      <c r="D3247" t="s">
        <v>126</v>
      </c>
      <c r="E3247">
        <v>7</v>
      </c>
      <c r="F3247">
        <v>1007</v>
      </c>
      <c r="G3247" t="s">
        <v>127</v>
      </c>
      <c r="J3247" t="s">
        <v>128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519"/>
        <v>14:47:03.297</v>
      </c>
      <c r="T3247" t="str">
        <f t="shared" si="1519"/>
        <v>14:47:03.297</v>
      </c>
      <c r="U3247" t="str">
        <f t="shared" si="1498"/>
        <v>A9808D</v>
      </c>
      <c r="V3247">
        <v>0</v>
      </c>
      <c r="W3247">
        <v>0</v>
      </c>
      <c r="X3247">
        <v>1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0</v>
      </c>
      <c r="AI3247" t="s">
        <v>759</v>
      </c>
      <c r="AJ3247">
        <v>28.246621999999999</v>
      </c>
      <c r="AK3247" t="s">
        <v>772</v>
      </c>
      <c r="AL3247">
        <v>-82.272812999999999</v>
      </c>
      <c r="AM3247">
        <v>100</v>
      </c>
      <c r="AN3247">
        <v>2300</v>
      </c>
      <c r="AO3247" t="s">
        <v>118</v>
      </c>
      <c r="AP3247">
        <v>136</v>
      </c>
      <c r="AQ3247">
        <v>3</v>
      </c>
      <c r="AR3247">
        <v>-128</v>
      </c>
      <c r="AZ3247">
        <v>1200</v>
      </c>
      <c r="BA3247">
        <v>1</v>
      </c>
      <c r="BB3247" t="str">
        <f t="shared" si="1510"/>
        <v xml:space="preserve">N711JA  </v>
      </c>
      <c r="BC3247">
        <v>1</v>
      </c>
      <c r="BE3247">
        <v>0</v>
      </c>
      <c r="BF3247">
        <v>0</v>
      </c>
      <c r="BG3247">
        <v>0</v>
      </c>
      <c r="BH3247">
        <v>2275</v>
      </c>
      <c r="BI3247">
        <v>1</v>
      </c>
      <c r="BJ3247">
        <v>1</v>
      </c>
      <c r="BK3247">
        <v>0</v>
      </c>
      <c r="BL3247">
        <v>0</v>
      </c>
      <c r="BO3247">
        <v>0</v>
      </c>
      <c r="BP3247">
        <v>0</v>
      </c>
      <c r="BW3247" t="str">
        <f t="shared" si="1520"/>
        <v>14:47:03.298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6</v>
      </c>
      <c r="CP3247" t="s">
        <v>119</v>
      </c>
      <c r="CQ3247">
        <v>56</v>
      </c>
      <c r="CR3247">
        <v>2</v>
      </c>
      <c r="CW3247">
        <v>4980769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1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 t="shared" si="1518"/>
        <v>05/12/2020 14:46:45.470</v>
      </c>
      <c r="C3248" t="str">
        <f t="shared" si="1509"/>
        <v>FFDFD3C0</v>
      </c>
      <c r="D3248" t="s">
        <v>131</v>
      </c>
      <c r="E3248">
        <v>12</v>
      </c>
      <c r="F3248">
        <v>2012</v>
      </c>
      <c r="G3248" t="s">
        <v>137</v>
      </c>
      <c r="J3248" t="s">
        <v>133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519"/>
        <v>14:47:03.297</v>
      </c>
      <c r="T3248" t="str">
        <f t="shared" si="1519"/>
        <v>14:47:03.297</v>
      </c>
      <c r="U3248" t="str">
        <f t="shared" si="1498"/>
        <v>A9808D</v>
      </c>
      <c r="V3248">
        <v>0</v>
      </c>
      <c r="W3248">
        <v>0</v>
      </c>
      <c r="X3248">
        <v>1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0</v>
      </c>
      <c r="AI3248" t="s">
        <v>759</v>
      </c>
      <c r="AJ3248">
        <v>28.246621999999999</v>
      </c>
      <c r="AK3248" t="s">
        <v>772</v>
      </c>
      <c r="AL3248">
        <v>-82.272812999999999</v>
      </c>
      <c r="AM3248">
        <v>100</v>
      </c>
      <c r="AN3248">
        <v>2300</v>
      </c>
      <c r="AO3248" t="s">
        <v>118</v>
      </c>
      <c r="AP3248">
        <v>136</v>
      </c>
      <c r="AQ3248">
        <v>3</v>
      </c>
      <c r="AR3248">
        <v>-128</v>
      </c>
      <c r="AZ3248">
        <v>1200</v>
      </c>
      <c r="BA3248">
        <v>1</v>
      </c>
      <c r="BB3248" t="str">
        <f t="shared" si="1510"/>
        <v xml:space="preserve">N711JA  </v>
      </c>
      <c r="BC3248">
        <v>1</v>
      </c>
      <c r="BE3248">
        <v>0</v>
      </c>
      <c r="BF3248">
        <v>0</v>
      </c>
      <c r="BG3248">
        <v>0</v>
      </c>
      <c r="BH3248">
        <v>2275</v>
      </c>
      <c r="BI3248">
        <v>1</v>
      </c>
      <c r="BJ3248">
        <v>1</v>
      </c>
      <c r="BK3248">
        <v>0</v>
      </c>
      <c r="BL3248">
        <v>0</v>
      </c>
      <c r="BO3248">
        <v>0</v>
      </c>
      <c r="BP3248">
        <v>0</v>
      </c>
      <c r="BW3248" t="str">
        <f t="shared" si="1520"/>
        <v>14:47:03.298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6</v>
      </c>
      <c r="CP3248" t="s">
        <v>119</v>
      </c>
      <c r="CQ3248">
        <v>56</v>
      </c>
      <c r="CR3248">
        <v>2</v>
      </c>
      <c r="CW3248">
        <v>4980769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1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 t="shared" si="1518"/>
        <v>05/12/2020 14:46:45.470</v>
      </c>
      <c r="C3249" t="str">
        <f t="shared" si="1509"/>
        <v>FFDFD3C0</v>
      </c>
      <c r="D3249" t="s">
        <v>131</v>
      </c>
      <c r="E3249">
        <v>10</v>
      </c>
      <c r="F3249">
        <v>2010</v>
      </c>
      <c r="G3249" t="s">
        <v>132</v>
      </c>
      <c r="J3249" t="s">
        <v>133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519"/>
        <v>14:47:03.297</v>
      </c>
      <c r="T3249" t="str">
        <f t="shared" si="1519"/>
        <v>14:47:03.297</v>
      </c>
      <c r="U3249" t="str">
        <f t="shared" si="1498"/>
        <v>A9808D</v>
      </c>
      <c r="V3249">
        <v>0</v>
      </c>
      <c r="W3249">
        <v>0</v>
      </c>
      <c r="X3249">
        <v>1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0</v>
      </c>
      <c r="AI3249" t="s">
        <v>759</v>
      </c>
      <c r="AJ3249">
        <v>28.246621999999999</v>
      </c>
      <c r="AK3249" t="s">
        <v>772</v>
      </c>
      <c r="AL3249">
        <v>-82.272812999999999</v>
      </c>
      <c r="AM3249">
        <v>100</v>
      </c>
      <c r="AN3249">
        <v>2300</v>
      </c>
      <c r="AO3249" t="s">
        <v>118</v>
      </c>
      <c r="AP3249">
        <v>136</v>
      </c>
      <c r="AQ3249">
        <v>3</v>
      </c>
      <c r="AR3249">
        <v>-128</v>
      </c>
      <c r="AZ3249">
        <v>1200</v>
      </c>
      <c r="BA3249">
        <v>1</v>
      </c>
      <c r="BB3249" t="str">
        <f t="shared" si="1510"/>
        <v xml:space="preserve">N711JA  </v>
      </c>
      <c r="BC3249">
        <v>1</v>
      </c>
      <c r="BE3249">
        <v>0</v>
      </c>
      <c r="BF3249">
        <v>0</v>
      </c>
      <c r="BG3249">
        <v>0</v>
      </c>
      <c r="BH3249">
        <v>2275</v>
      </c>
      <c r="BI3249">
        <v>1</v>
      </c>
      <c r="BJ3249">
        <v>1</v>
      </c>
      <c r="BK3249">
        <v>0</v>
      </c>
      <c r="BL3249">
        <v>0</v>
      </c>
      <c r="BO3249">
        <v>0</v>
      </c>
      <c r="BP3249">
        <v>0</v>
      </c>
      <c r="BW3249" t="str">
        <f t="shared" si="1520"/>
        <v>14:47:03.298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6</v>
      </c>
      <c r="CP3249" t="s">
        <v>119</v>
      </c>
      <c r="CQ3249">
        <v>56</v>
      </c>
      <c r="CR3249">
        <v>2</v>
      </c>
      <c r="CW3249">
        <v>4980769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1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 t="shared" si="1518"/>
        <v>05/12/2020 14:46:45.470</v>
      </c>
      <c r="C3250" t="str">
        <f t="shared" si="1509"/>
        <v>FFDFD3C0</v>
      </c>
      <c r="D3250" t="s">
        <v>131</v>
      </c>
      <c r="E3250">
        <v>18</v>
      </c>
      <c r="F3250">
        <v>2018</v>
      </c>
      <c r="G3250" t="s">
        <v>161</v>
      </c>
      <c r="J3250" t="s">
        <v>133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si="1519"/>
        <v>14:47:03.297</v>
      </c>
      <c r="T3250" t="str">
        <f t="shared" si="1519"/>
        <v>14:47:03.297</v>
      </c>
      <c r="U3250" t="str">
        <f t="shared" si="1498"/>
        <v>A9808D</v>
      </c>
      <c r="V3250">
        <v>0</v>
      </c>
      <c r="W3250">
        <v>0</v>
      </c>
      <c r="X3250">
        <v>1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0</v>
      </c>
      <c r="AI3250" t="s">
        <v>759</v>
      </c>
      <c r="AJ3250">
        <v>28.246621999999999</v>
      </c>
      <c r="AK3250" t="s">
        <v>772</v>
      </c>
      <c r="AL3250">
        <v>-82.272812999999999</v>
      </c>
      <c r="AM3250">
        <v>100</v>
      </c>
      <c r="AN3250">
        <v>2300</v>
      </c>
      <c r="AO3250" t="s">
        <v>118</v>
      </c>
      <c r="AP3250">
        <v>136</v>
      </c>
      <c r="AQ3250">
        <v>3</v>
      </c>
      <c r="AR3250">
        <v>-128</v>
      </c>
      <c r="AZ3250">
        <v>1200</v>
      </c>
      <c r="BA3250">
        <v>1</v>
      </c>
      <c r="BB3250" t="str">
        <f t="shared" si="1510"/>
        <v xml:space="preserve">N711JA  </v>
      </c>
      <c r="BC3250">
        <v>1</v>
      </c>
      <c r="BE3250">
        <v>0</v>
      </c>
      <c r="BF3250">
        <v>0</v>
      </c>
      <c r="BG3250">
        <v>0</v>
      </c>
      <c r="BH3250">
        <v>2275</v>
      </c>
      <c r="BI3250">
        <v>1</v>
      </c>
      <c r="BJ3250">
        <v>1</v>
      </c>
      <c r="BK3250">
        <v>0</v>
      </c>
      <c r="BL3250">
        <v>0</v>
      </c>
      <c r="BO3250">
        <v>0</v>
      </c>
      <c r="BP3250">
        <v>0</v>
      </c>
      <c r="BW3250" t="str">
        <f t="shared" si="1520"/>
        <v>14:47:03.298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6</v>
      </c>
      <c r="CP3250" t="s">
        <v>119</v>
      </c>
      <c r="CQ3250">
        <v>56</v>
      </c>
      <c r="CR3250">
        <v>2</v>
      </c>
      <c r="CW3250">
        <v>4980769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1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 t="shared" si="1518"/>
        <v>05/12/2020 14:46:45.470</v>
      </c>
      <c r="C3251" t="str">
        <f t="shared" si="1509"/>
        <v>FFDFD3C0</v>
      </c>
      <c r="D3251" t="s">
        <v>134</v>
      </c>
      <c r="E3251">
        <v>12</v>
      </c>
      <c r="H3251">
        <v>64</v>
      </c>
      <c r="I3251" t="s">
        <v>135</v>
      </c>
      <c r="J3251" t="s">
        <v>136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519"/>
        <v>14:47:03.297</v>
      </c>
      <c r="T3251" t="str">
        <f t="shared" si="1519"/>
        <v>14:47:03.297</v>
      </c>
      <c r="U3251" t="str">
        <f t="shared" si="1498"/>
        <v>A9808D</v>
      </c>
      <c r="V3251">
        <v>0</v>
      </c>
      <c r="W3251">
        <v>0</v>
      </c>
      <c r="X3251">
        <v>1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0</v>
      </c>
      <c r="AI3251" t="s">
        <v>759</v>
      </c>
      <c r="AJ3251">
        <v>28.246621999999999</v>
      </c>
      <c r="AK3251" t="s">
        <v>772</v>
      </c>
      <c r="AL3251">
        <v>-82.272812999999999</v>
      </c>
      <c r="AM3251">
        <v>100</v>
      </c>
      <c r="AN3251">
        <v>2300</v>
      </c>
      <c r="AO3251" t="s">
        <v>118</v>
      </c>
      <c r="AP3251">
        <v>136</v>
      </c>
      <c r="AQ3251">
        <v>3</v>
      </c>
      <c r="AR3251">
        <v>-128</v>
      </c>
      <c r="AZ3251">
        <v>1200</v>
      </c>
      <c r="BA3251">
        <v>1</v>
      </c>
      <c r="BB3251" t="str">
        <f t="shared" si="1510"/>
        <v xml:space="preserve">N711JA  </v>
      </c>
      <c r="BC3251">
        <v>1</v>
      </c>
      <c r="BE3251">
        <v>0</v>
      </c>
      <c r="BF3251">
        <v>0</v>
      </c>
      <c r="BG3251">
        <v>0</v>
      </c>
      <c r="BH3251">
        <v>2275</v>
      </c>
      <c r="BI3251">
        <v>1</v>
      </c>
      <c r="BJ3251">
        <v>1</v>
      </c>
      <c r="BK3251">
        <v>0</v>
      </c>
      <c r="BL3251">
        <v>0</v>
      </c>
      <c r="BO3251">
        <v>0</v>
      </c>
      <c r="BP3251">
        <v>0</v>
      </c>
      <c r="BW3251" t="str">
        <f t="shared" si="1520"/>
        <v>14:47:03.298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6</v>
      </c>
      <c r="CP3251" t="s">
        <v>119</v>
      </c>
      <c r="CQ3251">
        <v>358</v>
      </c>
      <c r="CR3251">
        <v>0</v>
      </c>
      <c r="CW3251">
        <v>4956512</v>
      </c>
      <c r="CY3251">
        <v>1</v>
      </c>
      <c r="CZ3251">
        <v>0</v>
      </c>
      <c r="DA3251">
        <v>1</v>
      </c>
      <c r="DB3251">
        <v>0</v>
      </c>
      <c r="DC3251">
        <v>0</v>
      </c>
      <c r="DD3251">
        <v>1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 t="shared" si="1518"/>
        <v>05/12/2020 14:46:45.470</v>
      </c>
      <c r="C3252" t="str">
        <f t="shared" si="1509"/>
        <v>FFDFD3C0</v>
      </c>
      <c r="D3252" t="s">
        <v>138</v>
      </c>
      <c r="E3252">
        <v>2</v>
      </c>
      <c r="H3252">
        <v>8</v>
      </c>
      <c r="I3252" t="s">
        <v>139</v>
      </c>
      <c r="J3252" t="s">
        <v>136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519"/>
        <v>14:47:03.297</v>
      </c>
      <c r="T3252" t="str">
        <f t="shared" si="1519"/>
        <v>14:47:03.297</v>
      </c>
      <c r="U3252" t="str">
        <f t="shared" si="1498"/>
        <v>A9808D</v>
      </c>
      <c r="V3252">
        <v>0</v>
      </c>
      <c r="W3252">
        <v>0</v>
      </c>
      <c r="X3252">
        <v>1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0</v>
      </c>
      <c r="AI3252" t="s">
        <v>759</v>
      </c>
      <c r="AJ3252">
        <v>28.246621999999999</v>
      </c>
      <c r="AK3252" t="s">
        <v>772</v>
      </c>
      <c r="AL3252">
        <v>-82.272812999999999</v>
      </c>
      <c r="AM3252">
        <v>100</v>
      </c>
      <c r="AN3252">
        <v>2300</v>
      </c>
      <c r="AO3252" t="s">
        <v>118</v>
      </c>
      <c r="AP3252">
        <v>136</v>
      </c>
      <c r="AQ3252">
        <v>3</v>
      </c>
      <c r="AR3252">
        <v>-128</v>
      </c>
      <c r="AZ3252">
        <v>1200</v>
      </c>
      <c r="BA3252">
        <v>1</v>
      </c>
      <c r="BB3252" t="str">
        <f t="shared" si="1510"/>
        <v xml:space="preserve">N711JA  </v>
      </c>
      <c r="BC3252">
        <v>1</v>
      </c>
      <c r="BE3252">
        <v>0</v>
      </c>
      <c r="BF3252">
        <v>0</v>
      </c>
      <c r="BG3252">
        <v>0</v>
      </c>
      <c r="BH3252">
        <v>2275</v>
      </c>
      <c r="BI3252">
        <v>1</v>
      </c>
      <c r="BJ3252">
        <v>1</v>
      </c>
      <c r="BK3252">
        <v>0</v>
      </c>
      <c r="BL3252">
        <v>0</v>
      </c>
      <c r="BO3252">
        <v>0</v>
      </c>
      <c r="BP3252">
        <v>0</v>
      </c>
      <c r="BW3252" t="str">
        <f t="shared" si="1520"/>
        <v>14:47:03.298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6</v>
      </c>
      <c r="CP3252" t="s">
        <v>119</v>
      </c>
      <c r="CQ3252">
        <v>56</v>
      </c>
      <c r="CR3252">
        <v>2</v>
      </c>
      <c r="CW3252">
        <v>4980769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1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 t="shared" si="1518"/>
        <v>05/12/2020 14:46:45.470</v>
      </c>
      <c r="C3253" t="str">
        <f t="shared" si="1509"/>
        <v>FFDFD3C0</v>
      </c>
      <c r="D3253" t="s">
        <v>138</v>
      </c>
      <c r="E3253">
        <v>3</v>
      </c>
      <c r="H3253">
        <v>9</v>
      </c>
      <c r="I3253" t="s">
        <v>140</v>
      </c>
      <c r="J3253" t="s">
        <v>136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si="1519"/>
        <v>14:47:03.297</v>
      </c>
      <c r="T3253" t="str">
        <f t="shared" si="1519"/>
        <v>14:47:03.297</v>
      </c>
      <c r="U3253" t="str">
        <f t="shared" si="1498"/>
        <v>A9808D</v>
      </c>
      <c r="V3253">
        <v>0</v>
      </c>
      <c r="W3253">
        <v>0</v>
      </c>
      <c r="X3253">
        <v>1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0</v>
      </c>
      <c r="AI3253" t="s">
        <v>759</v>
      </c>
      <c r="AJ3253">
        <v>28.246621999999999</v>
      </c>
      <c r="AK3253" t="s">
        <v>772</v>
      </c>
      <c r="AL3253">
        <v>-82.272812999999999</v>
      </c>
      <c r="AM3253">
        <v>100</v>
      </c>
      <c r="AN3253">
        <v>2300</v>
      </c>
      <c r="AO3253" t="s">
        <v>118</v>
      </c>
      <c r="AP3253">
        <v>136</v>
      </c>
      <c r="AQ3253">
        <v>3</v>
      </c>
      <c r="AR3253">
        <v>-128</v>
      </c>
      <c r="AZ3253">
        <v>1200</v>
      </c>
      <c r="BA3253">
        <v>1</v>
      </c>
      <c r="BB3253" t="str">
        <f t="shared" si="1510"/>
        <v xml:space="preserve">N711JA  </v>
      </c>
      <c r="BC3253">
        <v>1</v>
      </c>
      <c r="BE3253">
        <v>0</v>
      </c>
      <c r="BF3253">
        <v>0</v>
      </c>
      <c r="BG3253">
        <v>0</v>
      </c>
      <c r="BH3253">
        <v>2275</v>
      </c>
      <c r="BI3253">
        <v>1</v>
      </c>
      <c r="BJ3253">
        <v>1</v>
      </c>
      <c r="BK3253">
        <v>0</v>
      </c>
      <c r="BL3253">
        <v>0</v>
      </c>
      <c r="BO3253">
        <v>0</v>
      </c>
      <c r="BP3253">
        <v>0</v>
      </c>
      <c r="BW3253" t="str">
        <f t="shared" si="1520"/>
        <v>14:47:03.298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6</v>
      </c>
      <c r="CP3253" t="s">
        <v>119</v>
      </c>
      <c r="CQ3253">
        <v>56</v>
      </c>
      <c r="CR3253">
        <v>2</v>
      </c>
      <c r="CW3253">
        <v>4980769</v>
      </c>
      <c r="CY3253">
        <v>1</v>
      </c>
      <c r="CZ3253">
        <v>0</v>
      </c>
      <c r="DA3253">
        <v>1</v>
      </c>
      <c r="DB3253">
        <v>0</v>
      </c>
      <c r="DC3253">
        <v>0</v>
      </c>
      <c r="DD3253">
        <v>1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 t="shared" si="1518"/>
        <v>05/12/2020 14:46:45.470</v>
      </c>
      <c r="C3254" t="str">
        <f t="shared" si="1509"/>
        <v>FFDFD3C0</v>
      </c>
      <c r="D3254" t="s">
        <v>126</v>
      </c>
      <c r="E3254">
        <v>6</v>
      </c>
      <c r="F3254">
        <v>1006</v>
      </c>
      <c r="G3254" t="s">
        <v>114</v>
      </c>
      <c r="J3254" t="s">
        <v>128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519"/>
        <v>14:47:03.297</v>
      </c>
      <c r="T3254" t="str">
        <f t="shared" si="1519"/>
        <v>14:47:03.297</v>
      </c>
      <c r="U3254" t="str">
        <f t="shared" si="1498"/>
        <v>A9808D</v>
      </c>
      <c r="V3254">
        <v>0</v>
      </c>
      <c r="W3254">
        <v>0</v>
      </c>
      <c r="X3254">
        <v>1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0</v>
      </c>
      <c r="AI3254" t="s">
        <v>759</v>
      </c>
      <c r="AJ3254">
        <v>28.246621999999999</v>
      </c>
      <c r="AK3254" t="s">
        <v>772</v>
      </c>
      <c r="AL3254">
        <v>-82.272812999999999</v>
      </c>
      <c r="AM3254">
        <v>100</v>
      </c>
      <c r="AN3254">
        <v>2300</v>
      </c>
      <c r="AO3254" t="s">
        <v>118</v>
      </c>
      <c r="AP3254">
        <v>136</v>
      </c>
      <c r="AQ3254">
        <v>3</v>
      </c>
      <c r="AR3254">
        <v>-128</v>
      </c>
      <c r="AZ3254">
        <v>1200</v>
      </c>
      <c r="BA3254">
        <v>1</v>
      </c>
      <c r="BB3254" t="str">
        <f t="shared" si="1510"/>
        <v xml:space="preserve">N711JA  </v>
      </c>
      <c r="BC3254">
        <v>1</v>
      </c>
      <c r="BE3254">
        <v>0</v>
      </c>
      <c r="BF3254">
        <v>0</v>
      </c>
      <c r="BG3254">
        <v>0</v>
      </c>
      <c r="BH3254">
        <v>2275</v>
      </c>
      <c r="BI3254">
        <v>1</v>
      </c>
      <c r="BJ3254">
        <v>1</v>
      </c>
      <c r="BK3254">
        <v>0</v>
      </c>
      <c r="BL3254">
        <v>0</v>
      </c>
      <c r="BO3254">
        <v>0</v>
      </c>
      <c r="BP3254">
        <v>0</v>
      </c>
      <c r="BW3254" t="str">
        <f t="shared" si="1520"/>
        <v>14:47:03.298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6</v>
      </c>
      <c r="CP3254" t="s">
        <v>119</v>
      </c>
      <c r="CQ3254">
        <v>56</v>
      </c>
      <c r="CR3254">
        <v>2</v>
      </c>
      <c r="CW3254">
        <v>4980769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1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 t="shared" ref="A3255:A3263" si="1521">"05/12/2020 14:46:46.460"</f>
        <v>05/12/2020 14:46:46.460</v>
      </c>
      <c r="C3255" t="str">
        <f t="shared" si="1509"/>
        <v>FFDFD3C0</v>
      </c>
      <c r="D3255" t="s">
        <v>126</v>
      </c>
      <c r="E3255">
        <v>6</v>
      </c>
      <c r="F3255">
        <v>1006</v>
      </c>
      <c r="G3255" t="s">
        <v>114</v>
      </c>
      <c r="J3255" t="s">
        <v>128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ref="S3255:T3263" si="1522">"14:47:04.273"</f>
        <v>14:47:04.273</v>
      </c>
      <c r="T3255" t="str">
        <f t="shared" si="1522"/>
        <v>14:47:04.273</v>
      </c>
      <c r="U3255" t="str">
        <f t="shared" si="1498"/>
        <v>A9808D</v>
      </c>
      <c r="V3255">
        <v>0</v>
      </c>
      <c r="W3255">
        <v>0</v>
      </c>
      <c r="X3255">
        <v>1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0</v>
      </c>
      <c r="AI3255" t="s">
        <v>773</v>
      </c>
      <c r="AJ3255">
        <v>28.246665</v>
      </c>
      <c r="AK3255" t="s">
        <v>774</v>
      </c>
      <c r="AL3255">
        <v>-82.272170000000003</v>
      </c>
      <c r="AM3255">
        <v>100</v>
      </c>
      <c r="AN3255">
        <v>2300</v>
      </c>
      <c r="AO3255" t="s">
        <v>118</v>
      </c>
      <c r="AP3255">
        <v>136</v>
      </c>
      <c r="AQ3255">
        <v>4</v>
      </c>
      <c r="AR3255">
        <v>-64</v>
      </c>
      <c r="AZ3255">
        <v>1200</v>
      </c>
      <c r="BA3255">
        <v>1</v>
      </c>
      <c r="BB3255" t="str">
        <f t="shared" si="1510"/>
        <v xml:space="preserve">N711JA  </v>
      </c>
      <c r="BC3255">
        <v>1</v>
      </c>
      <c r="BE3255">
        <v>0</v>
      </c>
      <c r="BF3255">
        <v>0</v>
      </c>
      <c r="BG3255">
        <v>0</v>
      </c>
      <c r="BH3255">
        <v>2275</v>
      </c>
      <c r="BI3255">
        <v>1</v>
      </c>
      <c r="BJ3255">
        <v>1</v>
      </c>
      <c r="BK3255">
        <v>0</v>
      </c>
      <c r="BL3255">
        <v>0</v>
      </c>
      <c r="BO3255">
        <v>0</v>
      </c>
      <c r="BP3255">
        <v>0</v>
      </c>
      <c r="BW3255" t="str">
        <f t="shared" ref="BW3255:BW3263" si="1523">"14:47:04.280"</f>
        <v>14:47:04.280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56</v>
      </c>
      <c r="CR3255">
        <v>2</v>
      </c>
      <c r="CW3255">
        <v>4981978</v>
      </c>
      <c r="CY3255">
        <v>1</v>
      </c>
      <c r="CZ3255">
        <v>0</v>
      </c>
      <c r="DA3255">
        <v>0</v>
      </c>
      <c r="DB3255">
        <v>0</v>
      </c>
      <c r="DC3255">
        <v>0</v>
      </c>
      <c r="DD3255">
        <v>1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 t="shared" si="1521"/>
        <v>05/12/2020 14:46:46.460</v>
      </c>
      <c r="C3256" t="str">
        <f t="shared" si="1509"/>
        <v>FFDFD3C0</v>
      </c>
      <c r="D3256" t="s">
        <v>113</v>
      </c>
      <c r="E3256">
        <v>3</v>
      </c>
      <c r="H3256">
        <v>164</v>
      </c>
      <c r="I3256" t="s">
        <v>114</v>
      </c>
      <c r="J3256" t="s">
        <v>115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522"/>
        <v>14:47:04.273</v>
      </c>
      <c r="T3256" t="str">
        <f t="shared" si="1522"/>
        <v>14:47:04.273</v>
      </c>
      <c r="U3256" t="str">
        <f t="shared" si="1498"/>
        <v>A9808D</v>
      </c>
      <c r="V3256">
        <v>0</v>
      </c>
      <c r="W3256">
        <v>0</v>
      </c>
      <c r="X3256">
        <v>1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0</v>
      </c>
      <c r="AI3256" t="s">
        <v>773</v>
      </c>
      <c r="AJ3256">
        <v>28.246665</v>
      </c>
      <c r="AK3256" t="s">
        <v>774</v>
      </c>
      <c r="AL3256">
        <v>-82.272170000000003</v>
      </c>
      <c r="AM3256">
        <v>100</v>
      </c>
      <c r="AN3256">
        <v>2300</v>
      </c>
      <c r="AO3256" t="s">
        <v>118</v>
      </c>
      <c r="AP3256">
        <v>136</v>
      </c>
      <c r="AQ3256">
        <v>4</v>
      </c>
      <c r="AR3256">
        <v>-64</v>
      </c>
      <c r="AZ3256">
        <v>1200</v>
      </c>
      <c r="BA3256">
        <v>1</v>
      </c>
      <c r="BB3256" t="str">
        <f t="shared" si="1510"/>
        <v xml:space="preserve">N711JA  </v>
      </c>
      <c r="BC3256">
        <v>1</v>
      </c>
      <c r="BE3256">
        <v>0</v>
      </c>
      <c r="BF3256">
        <v>0</v>
      </c>
      <c r="BG3256">
        <v>0</v>
      </c>
      <c r="BH3256">
        <v>2275</v>
      </c>
      <c r="BI3256">
        <v>1</v>
      </c>
      <c r="BJ3256">
        <v>1</v>
      </c>
      <c r="BK3256">
        <v>0</v>
      </c>
      <c r="BL3256">
        <v>0</v>
      </c>
      <c r="BO3256">
        <v>0</v>
      </c>
      <c r="BP3256">
        <v>0</v>
      </c>
      <c r="BW3256" t="str">
        <f t="shared" si="1523"/>
        <v>14:47:04.280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56</v>
      </c>
      <c r="CR3256">
        <v>2</v>
      </c>
      <c r="CW3256">
        <v>4981978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1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 t="shared" si="1521"/>
        <v>05/12/2020 14:46:46.460</v>
      </c>
      <c r="C3257" t="str">
        <f t="shared" si="1509"/>
        <v>FFDFD3C0</v>
      </c>
      <c r="D3257" t="s">
        <v>131</v>
      </c>
      <c r="E3257">
        <v>12</v>
      </c>
      <c r="F3257">
        <v>2012</v>
      </c>
      <c r="G3257" t="s">
        <v>137</v>
      </c>
      <c r="J3257" t="s">
        <v>133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522"/>
        <v>14:47:04.273</v>
      </c>
      <c r="T3257" t="str">
        <f t="shared" si="1522"/>
        <v>14:47:04.273</v>
      </c>
      <c r="U3257" t="str">
        <f t="shared" si="1498"/>
        <v>A9808D</v>
      </c>
      <c r="V3257">
        <v>0</v>
      </c>
      <c r="W3257">
        <v>0</v>
      </c>
      <c r="X3257">
        <v>1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0</v>
      </c>
      <c r="AI3257" t="s">
        <v>773</v>
      </c>
      <c r="AJ3257">
        <v>28.246665</v>
      </c>
      <c r="AK3257" t="s">
        <v>774</v>
      </c>
      <c r="AL3257">
        <v>-82.272170000000003</v>
      </c>
      <c r="AM3257">
        <v>100</v>
      </c>
      <c r="AN3257">
        <v>2300</v>
      </c>
      <c r="AO3257" t="s">
        <v>118</v>
      </c>
      <c r="AP3257">
        <v>136</v>
      </c>
      <c r="AQ3257">
        <v>4</v>
      </c>
      <c r="AR3257">
        <v>-64</v>
      </c>
      <c r="AZ3257">
        <v>1200</v>
      </c>
      <c r="BA3257">
        <v>1</v>
      </c>
      <c r="BB3257" t="str">
        <f t="shared" si="1510"/>
        <v xml:space="preserve">N711JA  </v>
      </c>
      <c r="BC3257">
        <v>1</v>
      </c>
      <c r="BE3257">
        <v>0</v>
      </c>
      <c r="BF3257">
        <v>0</v>
      </c>
      <c r="BG3257">
        <v>0</v>
      </c>
      <c r="BH3257">
        <v>2275</v>
      </c>
      <c r="BI3257">
        <v>1</v>
      </c>
      <c r="BJ3257">
        <v>1</v>
      </c>
      <c r="BK3257">
        <v>0</v>
      </c>
      <c r="BL3257">
        <v>0</v>
      </c>
      <c r="BO3257">
        <v>0</v>
      </c>
      <c r="BP3257">
        <v>0</v>
      </c>
      <c r="BW3257" t="str">
        <f t="shared" si="1523"/>
        <v>14:47:04.280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119</v>
      </c>
      <c r="CQ3257">
        <v>56</v>
      </c>
      <c r="CR3257">
        <v>2</v>
      </c>
      <c r="CW3257">
        <v>4981978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1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 t="shared" si="1521"/>
        <v>05/12/2020 14:46:46.460</v>
      </c>
      <c r="C3258" t="str">
        <f t="shared" si="1509"/>
        <v>FFDFD3C0</v>
      </c>
      <c r="D3258" t="s">
        <v>131</v>
      </c>
      <c r="E3258">
        <v>10</v>
      </c>
      <c r="F3258">
        <v>2010</v>
      </c>
      <c r="G3258" t="s">
        <v>132</v>
      </c>
      <c r="J3258" t="s">
        <v>133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522"/>
        <v>14:47:04.273</v>
      </c>
      <c r="T3258" t="str">
        <f t="shared" si="1522"/>
        <v>14:47:04.273</v>
      </c>
      <c r="U3258" t="str">
        <f t="shared" si="1498"/>
        <v>A9808D</v>
      </c>
      <c r="V3258">
        <v>0</v>
      </c>
      <c r="W3258">
        <v>0</v>
      </c>
      <c r="X3258">
        <v>1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0</v>
      </c>
      <c r="AI3258" t="s">
        <v>773</v>
      </c>
      <c r="AJ3258">
        <v>28.246665</v>
      </c>
      <c r="AK3258" t="s">
        <v>774</v>
      </c>
      <c r="AL3258">
        <v>-82.272170000000003</v>
      </c>
      <c r="AM3258">
        <v>100</v>
      </c>
      <c r="AN3258">
        <v>2300</v>
      </c>
      <c r="AO3258" t="s">
        <v>118</v>
      </c>
      <c r="AP3258">
        <v>136</v>
      </c>
      <c r="AQ3258">
        <v>4</v>
      </c>
      <c r="AR3258">
        <v>-64</v>
      </c>
      <c r="AZ3258">
        <v>1200</v>
      </c>
      <c r="BA3258">
        <v>1</v>
      </c>
      <c r="BB3258" t="str">
        <f t="shared" si="1510"/>
        <v xml:space="preserve">N711JA  </v>
      </c>
      <c r="BC3258">
        <v>1</v>
      </c>
      <c r="BE3258">
        <v>0</v>
      </c>
      <c r="BF3258">
        <v>0</v>
      </c>
      <c r="BG3258">
        <v>0</v>
      </c>
      <c r="BH3258">
        <v>2275</v>
      </c>
      <c r="BI3258">
        <v>1</v>
      </c>
      <c r="BJ3258">
        <v>1</v>
      </c>
      <c r="BK3258">
        <v>0</v>
      </c>
      <c r="BL3258">
        <v>0</v>
      </c>
      <c r="BO3258">
        <v>0</v>
      </c>
      <c r="BP3258">
        <v>0</v>
      </c>
      <c r="BW3258" t="str">
        <f t="shared" si="1523"/>
        <v>14:47:04.280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119</v>
      </c>
      <c r="CQ3258">
        <v>56</v>
      </c>
      <c r="CR3258">
        <v>2</v>
      </c>
      <c r="CW3258">
        <v>4981978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1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 t="shared" si="1521"/>
        <v>05/12/2020 14:46:46.460</v>
      </c>
      <c r="C3259" t="str">
        <f t="shared" si="1509"/>
        <v>FFDFD3C0</v>
      </c>
      <c r="D3259" t="s">
        <v>126</v>
      </c>
      <c r="E3259">
        <v>7</v>
      </c>
      <c r="F3259">
        <v>1007</v>
      </c>
      <c r="G3259" t="s">
        <v>127</v>
      </c>
      <c r="J3259" t="s">
        <v>128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522"/>
        <v>14:47:04.273</v>
      </c>
      <c r="T3259" t="str">
        <f t="shared" si="1522"/>
        <v>14:47:04.273</v>
      </c>
      <c r="U3259" t="str">
        <f t="shared" si="1498"/>
        <v>A9808D</v>
      </c>
      <c r="V3259">
        <v>0</v>
      </c>
      <c r="W3259">
        <v>0</v>
      </c>
      <c r="X3259">
        <v>1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0</v>
      </c>
      <c r="AI3259" t="s">
        <v>773</v>
      </c>
      <c r="AJ3259">
        <v>28.246665</v>
      </c>
      <c r="AK3259" t="s">
        <v>774</v>
      </c>
      <c r="AL3259">
        <v>-82.272170000000003</v>
      </c>
      <c r="AM3259">
        <v>100</v>
      </c>
      <c r="AN3259">
        <v>2300</v>
      </c>
      <c r="AO3259" t="s">
        <v>118</v>
      </c>
      <c r="AP3259">
        <v>136</v>
      </c>
      <c r="AQ3259">
        <v>4</v>
      </c>
      <c r="AR3259">
        <v>-64</v>
      </c>
      <c r="AZ3259">
        <v>1200</v>
      </c>
      <c r="BA3259">
        <v>1</v>
      </c>
      <c r="BB3259" t="str">
        <f t="shared" si="1510"/>
        <v xml:space="preserve">N711JA  </v>
      </c>
      <c r="BC3259">
        <v>1</v>
      </c>
      <c r="BE3259">
        <v>0</v>
      </c>
      <c r="BF3259">
        <v>0</v>
      </c>
      <c r="BG3259">
        <v>0</v>
      </c>
      <c r="BH3259">
        <v>2275</v>
      </c>
      <c r="BI3259">
        <v>1</v>
      </c>
      <c r="BJ3259">
        <v>1</v>
      </c>
      <c r="BK3259">
        <v>0</v>
      </c>
      <c r="BL3259">
        <v>0</v>
      </c>
      <c r="BO3259">
        <v>0</v>
      </c>
      <c r="BP3259">
        <v>0</v>
      </c>
      <c r="BW3259" t="str">
        <f t="shared" si="1523"/>
        <v>14:47:04.280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119</v>
      </c>
      <c r="CQ3259">
        <v>56</v>
      </c>
      <c r="CR3259">
        <v>2</v>
      </c>
      <c r="CW3259">
        <v>4981978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1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 t="shared" si="1521"/>
        <v>05/12/2020 14:46:46.460</v>
      </c>
      <c r="C3260" t="str">
        <f t="shared" si="1509"/>
        <v>FFDFD3C0</v>
      </c>
      <c r="D3260" t="s">
        <v>131</v>
      </c>
      <c r="E3260">
        <v>18</v>
      </c>
      <c r="F3260">
        <v>2018</v>
      </c>
      <c r="G3260" t="s">
        <v>161</v>
      </c>
      <c r="J3260" t="s">
        <v>133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si="1522"/>
        <v>14:47:04.273</v>
      </c>
      <c r="T3260" t="str">
        <f t="shared" si="1522"/>
        <v>14:47:04.273</v>
      </c>
      <c r="U3260" t="str">
        <f t="shared" si="1498"/>
        <v>A9808D</v>
      </c>
      <c r="V3260">
        <v>0</v>
      </c>
      <c r="W3260">
        <v>0</v>
      </c>
      <c r="X3260">
        <v>1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0</v>
      </c>
      <c r="AI3260" t="s">
        <v>773</v>
      </c>
      <c r="AJ3260">
        <v>28.246665</v>
      </c>
      <c r="AK3260" t="s">
        <v>774</v>
      </c>
      <c r="AL3260">
        <v>-82.272170000000003</v>
      </c>
      <c r="AM3260">
        <v>100</v>
      </c>
      <c r="AN3260">
        <v>2300</v>
      </c>
      <c r="AO3260" t="s">
        <v>118</v>
      </c>
      <c r="AP3260">
        <v>136</v>
      </c>
      <c r="AQ3260">
        <v>4</v>
      </c>
      <c r="AR3260">
        <v>-64</v>
      </c>
      <c r="AZ3260">
        <v>1200</v>
      </c>
      <c r="BA3260">
        <v>1</v>
      </c>
      <c r="BB3260" t="str">
        <f t="shared" si="1510"/>
        <v xml:space="preserve">N711JA  </v>
      </c>
      <c r="BC3260">
        <v>1</v>
      </c>
      <c r="BE3260">
        <v>0</v>
      </c>
      <c r="BF3260">
        <v>0</v>
      </c>
      <c r="BG3260">
        <v>0</v>
      </c>
      <c r="BH3260">
        <v>2275</v>
      </c>
      <c r="BI3260">
        <v>1</v>
      </c>
      <c r="BJ3260">
        <v>1</v>
      </c>
      <c r="BK3260">
        <v>0</v>
      </c>
      <c r="BL3260">
        <v>0</v>
      </c>
      <c r="BO3260">
        <v>0</v>
      </c>
      <c r="BP3260">
        <v>0</v>
      </c>
      <c r="BW3260" t="str">
        <f t="shared" si="1523"/>
        <v>14:47:04.280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56</v>
      </c>
      <c r="CR3260">
        <v>2</v>
      </c>
      <c r="CW3260">
        <v>4981978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1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 t="shared" si="1521"/>
        <v>05/12/2020 14:46:46.460</v>
      </c>
      <c r="C3261" t="str">
        <f t="shared" si="1509"/>
        <v>FFDFD3C0</v>
      </c>
      <c r="D3261" t="s">
        <v>138</v>
      </c>
      <c r="E3261">
        <v>2</v>
      </c>
      <c r="H3261">
        <v>8</v>
      </c>
      <c r="I3261" t="s">
        <v>139</v>
      </c>
      <c r="J3261" t="s">
        <v>136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522"/>
        <v>14:47:04.273</v>
      </c>
      <c r="T3261" t="str">
        <f t="shared" si="1522"/>
        <v>14:47:04.273</v>
      </c>
      <c r="U3261" t="str">
        <f t="shared" si="1498"/>
        <v>A9808D</v>
      </c>
      <c r="V3261">
        <v>0</v>
      </c>
      <c r="W3261">
        <v>0</v>
      </c>
      <c r="X3261">
        <v>1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0</v>
      </c>
      <c r="AI3261" t="s">
        <v>773</v>
      </c>
      <c r="AJ3261">
        <v>28.246665</v>
      </c>
      <c r="AK3261" t="s">
        <v>774</v>
      </c>
      <c r="AL3261">
        <v>-82.272170000000003</v>
      </c>
      <c r="AM3261">
        <v>100</v>
      </c>
      <c r="AN3261">
        <v>2300</v>
      </c>
      <c r="AO3261" t="s">
        <v>118</v>
      </c>
      <c r="AP3261">
        <v>136</v>
      </c>
      <c r="AQ3261">
        <v>4</v>
      </c>
      <c r="AR3261">
        <v>-64</v>
      </c>
      <c r="AZ3261">
        <v>1200</v>
      </c>
      <c r="BA3261">
        <v>1</v>
      </c>
      <c r="BB3261" t="str">
        <f t="shared" si="1510"/>
        <v xml:space="preserve">N711JA  </v>
      </c>
      <c r="BC3261">
        <v>1</v>
      </c>
      <c r="BE3261">
        <v>0</v>
      </c>
      <c r="BF3261">
        <v>0</v>
      </c>
      <c r="BG3261">
        <v>0</v>
      </c>
      <c r="BH3261">
        <v>2275</v>
      </c>
      <c r="BI3261">
        <v>1</v>
      </c>
      <c r="BJ3261">
        <v>1</v>
      </c>
      <c r="BK3261">
        <v>0</v>
      </c>
      <c r="BL3261">
        <v>0</v>
      </c>
      <c r="BO3261">
        <v>0</v>
      </c>
      <c r="BP3261">
        <v>0</v>
      </c>
      <c r="BW3261" t="str">
        <f t="shared" si="1523"/>
        <v>14:47:04.280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119</v>
      </c>
      <c r="CQ3261">
        <v>56</v>
      </c>
      <c r="CR3261">
        <v>2</v>
      </c>
      <c r="CW3261">
        <v>4981978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1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 t="shared" si="1521"/>
        <v>05/12/2020 14:46:46.460</v>
      </c>
      <c r="C3262" t="str">
        <f t="shared" si="1509"/>
        <v>FFDFD3C0</v>
      </c>
      <c r="D3262" t="s">
        <v>134</v>
      </c>
      <c r="E3262">
        <v>12</v>
      </c>
      <c r="H3262">
        <v>64</v>
      </c>
      <c r="I3262" t="s">
        <v>135</v>
      </c>
      <c r="J3262" t="s">
        <v>136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522"/>
        <v>14:47:04.273</v>
      </c>
      <c r="T3262" t="str">
        <f t="shared" si="1522"/>
        <v>14:47:04.273</v>
      </c>
      <c r="U3262" t="str">
        <f t="shared" si="1498"/>
        <v>A9808D</v>
      </c>
      <c r="V3262">
        <v>0</v>
      </c>
      <c r="W3262">
        <v>0</v>
      </c>
      <c r="X3262">
        <v>1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0</v>
      </c>
      <c r="AI3262" t="s">
        <v>773</v>
      </c>
      <c r="AJ3262">
        <v>28.246665</v>
      </c>
      <c r="AK3262" t="s">
        <v>774</v>
      </c>
      <c r="AL3262">
        <v>-82.272170000000003</v>
      </c>
      <c r="AM3262">
        <v>100</v>
      </c>
      <c r="AN3262">
        <v>2300</v>
      </c>
      <c r="AO3262" t="s">
        <v>118</v>
      </c>
      <c r="AP3262">
        <v>136</v>
      </c>
      <c r="AQ3262">
        <v>4</v>
      </c>
      <c r="AR3262">
        <v>-64</v>
      </c>
      <c r="AZ3262">
        <v>1200</v>
      </c>
      <c r="BA3262">
        <v>1</v>
      </c>
      <c r="BB3262" t="str">
        <f t="shared" si="1510"/>
        <v xml:space="preserve">N711JA  </v>
      </c>
      <c r="BC3262">
        <v>1</v>
      </c>
      <c r="BE3262">
        <v>0</v>
      </c>
      <c r="BF3262">
        <v>0</v>
      </c>
      <c r="BG3262">
        <v>0</v>
      </c>
      <c r="BH3262">
        <v>2275</v>
      </c>
      <c r="BI3262">
        <v>1</v>
      </c>
      <c r="BJ3262">
        <v>1</v>
      </c>
      <c r="BK3262">
        <v>0</v>
      </c>
      <c r="BL3262">
        <v>0</v>
      </c>
      <c r="BO3262">
        <v>0</v>
      </c>
      <c r="BP3262">
        <v>0</v>
      </c>
      <c r="BW3262" t="str">
        <f t="shared" si="1523"/>
        <v>14:47:04.280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6</v>
      </c>
      <c r="CP3262" t="s">
        <v>119</v>
      </c>
      <c r="CQ3262">
        <v>358</v>
      </c>
      <c r="CR3262">
        <v>0</v>
      </c>
      <c r="CW3262">
        <v>4957686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1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 t="shared" si="1521"/>
        <v>05/12/2020 14:46:46.460</v>
      </c>
      <c r="C3263" t="str">
        <f t="shared" si="1509"/>
        <v>FFDFD3C0</v>
      </c>
      <c r="D3263" t="s">
        <v>138</v>
      </c>
      <c r="E3263">
        <v>3</v>
      </c>
      <c r="H3263">
        <v>9</v>
      </c>
      <c r="I3263" t="s">
        <v>140</v>
      </c>
      <c r="J3263" t="s">
        <v>136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522"/>
        <v>14:47:04.273</v>
      </c>
      <c r="T3263" t="str">
        <f t="shared" si="1522"/>
        <v>14:47:04.273</v>
      </c>
      <c r="U3263" t="str">
        <f t="shared" si="1498"/>
        <v>A9808D</v>
      </c>
      <c r="V3263">
        <v>0</v>
      </c>
      <c r="W3263">
        <v>0</v>
      </c>
      <c r="X3263">
        <v>1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0</v>
      </c>
      <c r="AI3263" t="s">
        <v>773</v>
      </c>
      <c r="AJ3263">
        <v>28.246665</v>
      </c>
      <c r="AK3263" t="s">
        <v>774</v>
      </c>
      <c r="AL3263">
        <v>-82.272170000000003</v>
      </c>
      <c r="AM3263">
        <v>100</v>
      </c>
      <c r="AN3263">
        <v>2300</v>
      </c>
      <c r="AO3263" t="s">
        <v>118</v>
      </c>
      <c r="AP3263">
        <v>136</v>
      </c>
      <c r="AQ3263">
        <v>4</v>
      </c>
      <c r="AR3263">
        <v>-64</v>
      </c>
      <c r="AZ3263">
        <v>1200</v>
      </c>
      <c r="BA3263">
        <v>1</v>
      </c>
      <c r="BB3263" t="str">
        <f t="shared" si="1510"/>
        <v xml:space="preserve">N711JA  </v>
      </c>
      <c r="BC3263">
        <v>1</v>
      </c>
      <c r="BE3263">
        <v>0</v>
      </c>
      <c r="BF3263">
        <v>0</v>
      </c>
      <c r="BG3263">
        <v>0</v>
      </c>
      <c r="BH3263">
        <v>2275</v>
      </c>
      <c r="BI3263">
        <v>1</v>
      </c>
      <c r="BJ3263">
        <v>1</v>
      </c>
      <c r="BK3263">
        <v>0</v>
      </c>
      <c r="BL3263">
        <v>0</v>
      </c>
      <c r="BO3263">
        <v>0</v>
      </c>
      <c r="BP3263">
        <v>0</v>
      </c>
      <c r="BW3263" t="str">
        <f t="shared" si="1523"/>
        <v>14:47:04.280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7</v>
      </c>
      <c r="CP3263" t="s">
        <v>119</v>
      </c>
      <c r="CQ3263">
        <v>56</v>
      </c>
      <c r="CR3263">
        <v>2</v>
      </c>
      <c r="CW3263">
        <v>4981978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1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 t="shared" ref="A3264:A3272" si="1524">"05/12/2020 14:46:47.562"</f>
        <v>05/12/2020 14:46:47.562</v>
      </c>
      <c r="C3264" t="str">
        <f t="shared" si="1509"/>
        <v>FFDFD3C0</v>
      </c>
      <c r="D3264" t="s">
        <v>138</v>
      </c>
      <c r="E3264">
        <v>2</v>
      </c>
      <c r="H3264">
        <v>8</v>
      </c>
      <c r="I3264" t="s">
        <v>139</v>
      </c>
      <c r="J3264" t="s">
        <v>136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ref="S3264:S3272" si="1525">"14:47:05.375"</f>
        <v>14:47:05.375</v>
      </c>
      <c r="T3264" t="str">
        <f t="shared" ref="T3264:T3272" si="1526">"14:47:05.175"</f>
        <v>14:47:05.175</v>
      </c>
      <c r="U3264" t="str">
        <f t="shared" si="1498"/>
        <v>A9808D</v>
      </c>
      <c r="V3264">
        <v>0</v>
      </c>
      <c r="W3264">
        <v>0</v>
      </c>
      <c r="X3264">
        <v>1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0</v>
      </c>
      <c r="AI3264" t="s">
        <v>755</v>
      </c>
      <c r="AJ3264">
        <v>28.246686</v>
      </c>
      <c r="AK3264" t="s">
        <v>775</v>
      </c>
      <c r="AL3264">
        <v>-82.271396999999993</v>
      </c>
      <c r="AM3264">
        <v>100</v>
      </c>
      <c r="AN3264">
        <v>2300</v>
      </c>
      <c r="AO3264" t="s">
        <v>118</v>
      </c>
      <c r="AP3264">
        <v>136</v>
      </c>
      <c r="AQ3264">
        <v>6</v>
      </c>
      <c r="AR3264">
        <v>64</v>
      </c>
      <c r="AZ3264">
        <v>1200</v>
      </c>
      <c r="BA3264">
        <v>1</v>
      </c>
      <c r="BB3264" t="str">
        <f t="shared" si="1510"/>
        <v xml:space="preserve">N711JA  </v>
      </c>
      <c r="BC3264">
        <v>1</v>
      </c>
      <c r="BE3264">
        <v>0</v>
      </c>
      <c r="BF3264">
        <v>0</v>
      </c>
      <c r="BG3264">
        <v>0</v>
      </c>
      <c r="BH3264">
        <v>2275</v>
      </c>
      <c r="BI3264">
        <v>1</v>
      </c>
      <c r="BJ3264">
        <v>1</v>
      </c>
      <c r="BK3264">
        <v>0</v>
      </c>
      <c r="BL3264">
        <v>0</v>
      </c>
      <c r="BO3264">
        <v>0</v>
      </c>
      <c r="BP3264">
        <v>0</v>
      </c>
      <c r="BW3264" t="str">
        <f>"14:47:05.380"</f>
        <v>14:47:05.380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6</v>
      </c>
      <c r="CP3264" t="s">
        <v>119</v>
      </c>
      <c r="CQ3264">
        <v>56</v>
      </c>
      <c r="CR3264">
        <v>2</v>
      </c>
      <c r="CW3264">
        <v>4983347</v>
      </c>
      <c r="CY3264">
        <v>1</v>
      </c>
      <c r="CZ3264">
        <v>0</v>
      </c>
      <c r="DA3264">
        <v>0</v>
      </c>
      <c r="DB3264">
        <v>0</v>
      </c>
      <c r="DC3264">
        <v>0</v>
      </c>
      <c r="DD3264">
        <v>1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 t="shared" si="1524"/>
        <v>05/12/2020 14:46:47.562</v>
      </c>
      <c r="C3265" t="str">
        <f t="shared" si="1509"/>
        <v>FFDFD3C0</v>
      </c>
      <c r="D3265" t="s">
        <v>134</v>
      </c>
      <c r="E3265">
        <v>12</v>
      </c>
      <c r="H3265">
        <v>64</v>
      </c>
      <c r="I3265" t="s">
        <v>135</v>
      </c>
      <c r="J3265" t="s">
        <v>136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si="1525"/>
        <v>14:47:05.375</v>
      </c>
      <c r="T3265" t="str">
        <f t="shared" si="1526"/>
        <v>14:47:05.175</v>
      </c>
      <c r="U3265" t="str">
        <f t="shared" si="1498"/>
        <v>A9808D</v>
      </c>
      <c r="V3265">
        <v>0</v>
      </c>
      <c r="W3265">
        <v>0</v>
      </c>
      <c r="X3265">
        <v>1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0</v>
      </c>
      <c r="AI3265" t="s">
        <v>755</v>
      </c>
      <c r="AJ3265">
        <v>28.246686</v>
      </c>
      <c r="AK3265" t="s">
        <v>775</v>
      </c>
      <c r="AL3265">
        <v>-82.271396999999993</v>
      </c>
      <c r="AM3265">
        <v>100</v>
      </c>
      <c r="AN3265">
        <v>2300</v>
      </c>
      <c r="AO3265" t="s">
        <v>118</v>
      </c>
      <c r="AP3265">
        <v>136</v>
      </c>
      <c r="AQ3265">
        <v>6</v>
      </c>
      <c r="AR3265">
        <v>64</v>
      </c>
      <c r="AZ3265">
        <v>1200</v>
      </c>
      <c r="BA3265">
        <v>1</v>
      </c>
      <c r="BB3265" t="str">
        <f t="shared" si="1510"/>
        <v xml:space="preserve">N711JA  </v>
      </c>
      <c r="BC3265">
        <v>1</v>
      </c>
      <c r="BE3265">
        <v>0</v>
      </c>
      <c r="BF3265">
        <v>0</v>
      </c>
      <c r="BG3265">
        <v>0</v>
      </c>
      <c r="BH3265">
        <v>2275</v>
      </c>
      <c r="BI3265">
        <v>1</v>
      </c>
      <c r="BJ3265">
        <v>1</v>
      </c>
      <c r="BK3265">
        <v>0</v>
      </c>
      <c r="BL3265">
        <v>0</v>
      </c>
      <c r="BO3265">
        <v>0</v>
      </c>
      <c r="BP3265">
        <v>0</v>
      </c>
      <c r="BW3265" t="str">
        <f>"14:47:05.379"</f>
        <v>14:47:05.379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6</v>
      </c>
      <c r="CP3265" t="s">
        <v>119</v>
      </c>
      <c r="CQ3265">
        <v>358</v>
      </c>
      <c r="CR3265">
        <v>0</v>
      </c>
      <c r="CW3265">
        <v>4959044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1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 t="shared" si="1524"/>
        <v>05/12/2020 14:46:47.562</v>
      </c>
      <c r="C3266" t="str">
        <f t="shared" si="1509"/>
        <v>FFDFD3C0</v>
      </c>
      <c r="D3266" t="s">
        <v>138</v>
      </c>
      <c r="E3266">
        <v>3</v>
      </c>
      <c r="H3266">
        <v>9</v>
      </c>
      <c r="I3266" t="s">
        <v>140</v>
      </c>
      <c r="J3266" t="s">
        <v>136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si="1525"/>
        <v>14:47:05.375</v>
      </c>
      <c r="T3266" t="str">
        <f t="shared" si="1526"/>
        <v>14:47:05.175</v>
      </c>
      <c r="U3266" t="str">
        <f t="shared" ref="U3266:U3329" si="1527">"A9808D"</f>
        <v>A9808D</v>
      </c>
      <c r="V3266">
        <v>0</v>
      </c>
      <c r="W3266">
        <v>0</v>
      </c>
      <c r="X3266">
        <v>1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0</v>
      </c>
      <c r="AI3266" t="s">
        <v>755</v>
      </c>
      <c r="AJ3266">
        <v>28.246686</v>
      </c>
      <c r="AK3266" t="s">
        <v>775</v>
      </c>
      <c r="AL3266">
        <v>-82.271396999999993</v>
      </c>
      <c r="AM3266">
        <v>100</v>
      </c>
      <c r="AN3266">
        <v>2300</v>
      </c>
      <c r="AO3266" t="s">
        <v>118</v>
      </c>
      <c r="AP3266">
        <v>136</v>
      </c>
      <c r="AQ3266">
        <v>6</v>
      </c>
      <c r="AR3266">
        <v>64</v>
      </c>
      <c r="AZ3266">
        <v>1200</v>
      </c>
      <c r="BA3266">
        <v>1</v>
      </c>
      <c r="BB3266" t="str">
        <f t="shared" si="1510"/>
        <v xml:space="preserve">N711JA  </v>
      </c>
      <c r="BC3266">
        <v>1</v>
      </c>
      <c r="BE3266">
        <v>0</v>
      </c>
      <c r="BF3266">
        <v>0</v>
      </c>
      <c r="BG3266">
        <v>0</v>
      </c>
      <c r="BH3266">
        <v>2275</v>
      </c>
      <c r="BI3266">
        <v>1</v>
      </c>
      <c r="BJ3266">
        <v>1</v>
      </c>
      <c r="BK3266">
        <v>0</v>
      </c>
      <c r="BL3266">
        <v>0</v>
      </c>
      <c r="BO3266">
        <v>0</v>
      </c>
      <c r="BP3266">
        <v>0</v>
      </c>
      <c r="BW3266" t="str">
        <f>"14:47:05.379"</f>
        <v>14:47:05.379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6</v>
      </c>
      <c r="CP3266" t="s">
        <v>119</v>
      </c>
      <c r="CQ3266">
        <v>358</v>
      </c>
      <c r="CR3266">
        <v>0</v>
      </c>
      <c r="CW3266">
        <v>4959044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1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 t="shared" si="1524"/>
        <v>05/12/2020 14:46:47.562</v>
      </c>
      <c r="C3267" t="str">
        <f t="shared" si="1509"/>
        <v>FFDFD3C0</v>
      </c>
      <c r="D3267" t="s">
        <v>126</v>
      </c>
      <c r="E3267">
        <v>6</v>
      </c>
      <c r="F3267">
        <v>1006</v>
      </c>
      <c r="G3267" t="s">
        <v>114</v>
      </c>
      <c r="J3267" t="s">
        <v>128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 t="shared" si="1525"/>
        <v>14:47:05.375</v>
      </c>
      <c r="T3267" t="str">
        <f t="shared" si="1526"/>
        <v>14:47:05.175</v>
      </c>
      <c r="U3267" t="str">
        <f t="shared" si="1527"/>
        <v>A9808D</v>
      </c>
      <c r="V3267">
        <v>0</v>
      </c>
      <c r="W3267">
        <v>0</v>
      </c>
      <c r="X3267">
        <v>1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0</v>
      </c>
      <c r="AI3267" t="s">
        <v>755</v>
      </c>
      <c r="AJ3267">
        <v>28.246686</v>
      </c>
      <c r="AK3267" t="s">
        <v>775</v>
      </c>
      <c r="AL3267">
        <v>-82.271396999999993</v>
      </c>
      <c r="AM3267">
        <v>100</v>
      </c>
      <c r="AN3267">
        <v>2300</v>
      </c>
      <c r="AO3267" t="s">
        <v>118</v>
      </c>
      <c r="AP3267">
        <v>136</v>
      </c>
      <c r="AQ3267">
        <v>6</v>
      </c>
      <c r="AR3267">
        <v>64</v>
      </c>
      <c r="AZ3267">
        <v>1200</v>
      </c>
      <c r="BA3267">
        <v>1</v>
      </c>
      <c r="BB3267" t="str">
        <f t="shared" si="1510"/>
        <v xml:space="preserve">N711JA  </v>
      </c>
      <c r="BC3267">
        <v>1</v>
      </c>
      <c r="BE3267">
        <v>0</v>
      </c>
      <c r="BF3267">
        <v>0</v>
      </c>
      <c r="BG3267">
        <v>0</v>
      </c>
      <c r="BH3267">
        <v>2275</v>
      </c>
      <c r="BI3267">
        <v>1</v>
      </c>
      <c r="BJ3267">
        <v>1</v>
      </c>
      <c r="BK3267">
        <v>0</v>
      </c>
      <c r="BL3267">
        <v>0</v>
      </c>
      <c r="BO3267">
        <v>0</v>
      </c>
      <c r="BP3267">
        <v>0</v>
      </c>
      <c r="BW3267" t="str">
        <f>"14:47:05.379"</f>
        <v>14:47:05.379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6</v>
      </c>
      <c r="CP3267" t="s">
        <v>119</v>
      </c>
      <c r="CQ3267">
        <v>358</v>
      </c>
      <c r="CR3267">
        <v>0</v>
      </c>
      <c r="CW3267">
        <v>4959044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1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 t="shared" si="1524"/>
        <v>05/12/2020 14:46:47.562</v>
      </c>
      <c r="C3268" t="str">
        <f t="shared" si="1509"/>
        <v>FFDFD3C0</v>
      </c>
      <c r="D3268" t="s">
        <v>131</v>
      </c>
      <c r="E3268">
        <v>12</v>
      </c>
      <c r="F3268">
        <v>2012</v>
      </c>
      <c r="G3268" t="s">
        <v>137</v>
      </c>
      <c r="J3268" t="s">
        <v>133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 t="shared" si="1525"/>
        <v>14:47:05.375</v>
      </c>
      <c r="T3268" t="str">
        <f t="shared" si="1526"/>
        <v>14:47:05.175</v>
      </c>
      <c r="U3268" t="str">
        <f t="shared" si="1527"/>
        <v>A9808D</v>
      </c>
      <c r="V3268">
        <v>0</v>
      </c>
      <c r="W3268">
        <v>0</v>
      </c>
      <c r="X3268">
        <v>1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0</v>
      </c>
      <c r="AI3268" t="s">
        <v>755</v>
      </c>
      <c r="AJ3268">
        <v>28.246686</v>
      </c>
      <c r="AK3268" t="s">
        <v>775</v>
      </c>
      <c r="AL3268">
        <v>-82.271396999999993</v>
      </c>
      <c r="AM3268">
        <v>100</v>
      </c>
      <c r="AN3268">
        <v>2300</v>
      </c>
      <c r="AO3268" t="s">
        <v>118</v>
      </c>
      <c r="AP3268">
        <v>136</v>
      </c>
      <c r="AQ3268">
        <v>6</v>
      </c>
      <c r="AR3268">
        <v>64</v>
      </c>
      <c r="AZ3268">
        <v>1200</v>
      </c>
      <c r="BA3268">
        <v>1</v>
      </c>
      <c r="BB3268" t="str">
        <f t="shared" si="1510"/>
        <v xml:space="preserve">N711JA  </v>
      </c>
      <c r="BC3268">
        <v>1</v>
      </c>
      <c r="BE3268">
        <v>0</v>
      </c>
      <c r="BF3268">
        <v>0</v>
      </c>
      <c r="BG3268">
        <v>0</v>
      </c>
      <c r="BH3268">
        <v>2275</v>
      </c>
      <c r="BI3268">
        <v>1</v>
      </c>
      <c r="BJ3268">
        <v>1</v>
      </c>
      <c r="BK3268">
        <v>0</v>
      </c>
      <c r="BL3268">
        <v>0</v>
      </c>
      <c r="BO3268">
        <v>0</v>
      </c>
      <c r="BP3268">
        <v>0</v>
      </c>
      <c r="BW3268" t="str">
        <f>"14:47:05.380"</f>
        <v>14:47:05.380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6</v>
      </c>
      <c r="CP3268" t="s">
        <v>119</v>
      </c>
      <c r="CQ3268">
        <v>56</v>
      </c>
      <c r="CR3268">
        <v>2</v>
      </c>
      <c r="CW3268">
        <v>4983347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1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 t="shared" si="1524"/>
        <v>05/12/2020 14:46:47.562</v>
      </c>
      <c r="C3269" t="str">
        <f t="shared" si="1509"/>
        <v>FFDFD3C0</v>
      </c>
      <c r="D3269" t="s">
        <v>126</v>
      </c>
      <c r="E3269">
        <v>7</v>
      </c>
      <c r="F3269">
        <v>1007</v>
      </c>
      <c r="G3269" t="s">
        <v>127</v>
      </c>
      <c r="J3269" t="s">
        <v>128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si="1525"/>
        <v>14:47:05.375</v>
      </c>
      <c r="T3269" t="str">
        <f t="shared" si="1526"/>
        <v>14:47:05.175</v>
      </c>
      <c r="U3269" t="str">
        <f t="shared" si="1527"/>
        <v>A9808D</v>
      </c>
      <c r="V3269">
        <v>0</v>
      </c>
      <c r="W3269">
        <v>0</v>
      </c>
      <c r="X3269">
        <v>1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0</v>
      </c>
      <c r="AI3269" t="s">
        <v>755</v>
      </c>
      <c r="AJ3269">
        <v>28.246686</v>
      </c>
      <c r="AK3269" t="s">
        <v>775</v>
      </c>
      <c r="AL3269">
        <v>-82.271396999999993</v>
      </c>
      <c r="AM3269">
        <v>100</v>
      </c>
      <c r="AN3269">
        <v>2300</v>
      </c>
      <c r="AO3269" t="s">
        <v>118</v>
      </c>
      <c r="AP3269">
        <v>136</v>
      </c>
      <c r="AQ3269">
        <v>6</v>
      </c>
      <c r="AR3269">
        <v>64</v>
      </c>
      <c r="AZ3269">
        <v>1200</v>
      </c>
      <c r="BA3269">
        <v>1</v>
      </c>
      <c r="BB3269" t="str">
        <f t="shared" si="1510"/>
        <v xml:space="preserve">N711JA  </v>
      </c>
      <c r="BC3269">
        <v>1</v>
      </c>
      <c r="BE3269">
        <v>0</v>
      </c>
      <c r="BF3269">
        <v>0</v>
      </c>
      <c r="BG3269">
        <v>0</v>
      </c>
      <c r="BH3269">
        <v>2275</v>
      </c>
      <c r="BI3269">
        <v>1</v>
      </c>
      <c r="BJ3269">
        <v>1</v>
      </c>
      <c r="BK3269">
        <v>0</v>
      </c>
      <c r="BL3269">
        <v>0</v>
      </c>
      <c r="BO3269">
        <v>0</v>
      </c>
      <c r="BP3269">
        <v>0</v>
      </c>
      <c r="BW3269" t="str">
        <f>"14:47:05.379"</f>
        <v>14:47:05.379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6</v>
      </c>
      <c r="CP3269" t="s">
        <v>119</v>
      </c>
      <c r="CQ3269">
        <v>358</v>
      </c>
      <c r="CR3269">
        <v>0</v>
      </c>
      <c r="CW3269">
        <v>4959044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1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 t="shared" si="1524"/>
        <v>05/12/2020 14:46:47.562</v>
      </c>
      <c r="C3270" t="str">
        <f t="shared" si="1509"/>
        <v>FFDFD3C0</v>
      </c>
      <c r="D3270" t="s">
        <v>131</v>
      </c>
      <c r="E3270">
        <v>10</v>
      </c>
      <c r="F3270">
        <v>2010</v>
      </c>
      <c r="G3270" t="s">
        <v>132</v>
      </c>
      <c r="J3270" t="s">
        <v>133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si="1525"/>
        <v>14:47:05.375</v>
      </c>
      <c r="T3270" t="str">
        <f t="shared" si="1526"/>
        <v>14:47:05.175</v>
      </c>
      <c r="U3270" t="str">
        <f t="shared" si="1527"/>
        <v>A9808D</v>
      </c>
      <c r="V3270">
        <v>0</v>
      </c>
      <c r="W3270">
        <v>0</v>
      </c>
      <c r="X3270">
        <v>1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0</v>
      </c>
      <c r="AI3270" t="s">
        <v>755</v>
      </c>
      <c r="AJ3270">
        <v>28.246686</v>
      </c>
      <c r="AK3270" t="s">
        <v>775</v>
      </c>
      <c r="AL3270">
        <v>-82.271396999999993</v>
      </c>
      <c r="AM3270">
        <v>100</v>
      </c>
      <c r="AN3270">
        <v>2300</v>
      </c>
      <c r="AO3270" t="s">
        <v>118</v>
      </c>
      <c r="AP3270">
        <v>136</v>
      </c>
      <c r="AQ3270">
        <v>6</v>
      </c>
      <c r="AR3270">
        <v>64</v>
      </c>
      <c r="AZ3270">
        <v>1200</v>
      </c>
      <c r="BA3270">
        <v>1</v>
      </c>
      <c r="BB3270" t="str">
        <f t="shared" si="1510"/>
        <v xml:space="preserve">N711JA  </v>
      </c>
      <c r="BC3270">
        <v>1</v>
      </c>
      <c r="BE3270">
        <v>0</v>
      </c>
      <c r="BF3270">
        <v>0</v>
      </c>
      <c r="BG3270">
        <v>0</v>
      </c>
      <c r="BH3270">
        <v>2275</v>
      </c>
      <c r="BI3270">
        <v>1</v>
      </c>
      <c r="BJ3270">
        <v>1</v>
      </c>
      <c r="BK3270">
        <v>0</v>
      </c>
      <c r="BL3270">
        <v>0</v>
      </c>
      <c r="BO3270">
        <v>0</v>
      </c>
      <c r="BP3270">
        <v>0</v>
      </c>
      <c r="BW3270" t="str">
        <f>"14:47:05.379"</f>
        <v>14:47:05.379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6</v>
      </c>
      <c r="CP3270" t="s">
        <v>119</v>
      </c>
      <c r="CQ3270">
        <v>358</v>
      </c>
      <c r="CR3270">
        <v>0</v>
      </c>
      <c r="CW3270">
        <v>4959044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1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 t="shared" si="1524"/>
        <v>05/12/2020 14:46:47.562</v>
      </c>
      <c r="C3271" t="str">
        <f t="shared" si="1509"/>
        <v>FFDFD3C0</v>
      </c>
      <c r="D3271" t="s">
        <v>113</v>
      </c>
      <c r="E3271">
        <v>3</v>
      </c>
      <c r="H3271">
        <v>164</v>
      </c>
      <c r="I3271" t="s">
        <v>114</v>
      </c>
      <c r="J3271" t="s">
        <v>115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525"/>
        <v>14:47:05.375</v>
      </c>
      <c r="T3271" t="str">
        <f t="shared" si="1526"/>
        <v>14:47:05.175</v>
      </c>
      <c r="U3271" t="str">
        <f t="shared" si="1527"/>
        <v>A9808D</v>
      </c>
      <c r="V3271">
        <v>0</v>
      </c>
      <c r="W3271">
        <v>0</v>
      </c>
      <c r="X3271">
        <v>1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0</v>
      </c>
      <c r="AI3271" t="s">
        <v>755</v>
      </c>
      <c r="AJ3271">
        <v>28.246686</v>
      </c>
      <c r="AK3271" t="s">
        <v>775</v>
      </c>
      <c r="AL3271">
        <v>-82.271396999999993</v>
      </c>
      <c r="AM3271">
        <v>100</v>
      </c>
      <c r="AN3271">
        <v>2300</v>
      </c>
      <c r="AO3271" t="s">
        <v>118</v>
      </c>
      <c r="AP3271">
        <v>136</v>
      </c>
      <c r="AQ3271">
        <v>6</v>
      </c>
      <c r="AR3271">
        <v>64</v>
      </c>
      <c r="AZ3271">
        <v>1200</v>
      </c>
      <c r="BA3271">
        <v>1</v>
      </c>
      <c r="BB3271" t="str">
        <f t="shared" si="1510"/>
        <v xml:space="preserve">N711JA  </v>
      </c>
      <c r="BC3271">
        <v>1</v>
      </c>
      <c r="BE3271">
        <v>0</v>
      </c>
      <c r="BF3271">
        <v>0</v>
      </c>
      <c r="BG3271">
        <v>0</v>
      </c>
      <c r="BH3271">
        <v>2275</v>
      </c>
      <c r="BI3271">
        <v>1</v>
      </c>
      <c r="BJ3271">
        <v>1</v>
      </c>
      <c r="BK3271">
        <v>0</v>
      </c>
      <c r="BL3271">
        <v>0</v>
      </c>
      <c r="BO3271">
        <v>0</v>
      </c>
      <c r="BP3271">
        <v>0</v>
      </c>
      <c r="BW3271" t="str">
        <f>"14:47:05.380"</f>
        <v>14:47:05.380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6</v>
      </c>
      <c r="CP3271" t="s">
        <v>119</v>
      </c>
      <c r="CQ3271">
        <v>56</v>
      </c>
      <c r="CR3271">
        <v>2</v>
      </c>
      <c r="CW3271">
        <v>4983347</v>
      </c>
      <c r="CY3271">
        <v>1</v>
      </c>
      <c r="CZ3271">
        <v>0</v>
      </c>
      <c r="DA3271">
        <v>1</v>
      </c>
      <c r="DB3271">
        <v>0</v>
      </c>
      <c r="DC3271">
        <v>0</v>
      </c>
      <c r="DD3271">
        <v>1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 t="shared" si="1524"/>
        <v>05/12/2020 14:46:47.562</v>
      </c>
      <c r="C3272" t="str">
        <f t="shared" si="1509"/>
        <v>FFDFD3C0</v>
      </c>
      <c r="D3272" t="s">
        <v>131</v>
      </c>
      <c r="E3272">
        <v>18</v>
      </c>
      <c r="F3272">
        <v>2018</v>
      </c>
      <c r="G3272" t="s">
        <v>161</v>
      </c>
      <c r="J3272" t="s">
        <v>133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si="1525"/>
        <v>14:47:05.375</v>
      </c>
      <c r="T3272" t="str">
        <f t="shared" si="1526"/>
        <v>14:47:05.175</v>
      </c>
      <c r="U3272" t="str">
        <f t="shared" si="1527"/>
        <v>A9808D</v>
      </c>
      <c r="V3272">
        <v>0</v>
      </c>
      <c r="W3272">
        <v>0</v>
      </c>
      <c r="X3272">
        <v>1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0</v>
      </c>
      <c r="AI3272" t="s">
        <v>755</v>
      </c>
      <c r="AJ3272">
        <v>28.246686</v>
      </c>
      <c r="AK3272" t="s">
        <v>775</v>
      </c>
      <c r="AL3272">
        <v>-82.271396999999993</v>
      </c>
      <c r="AM3272">
        <v>100</v>
      </c>
      <c r="AN3272">
        <v>2300</v>
      </c>
      <c r="AO3272" t="s">
        <v>118</v>
      </c>
      <c r="AP3272">
        <v>136</v>
      </c>
      <c r="AQ3272">
        <v>6</v>
      </c>
      <c r="AR3272">
        <v>64</v>
      </c>
      <c r="AZ3272">
        <v>1200</v>
      </c>
      <c r="BA3272">
        <v>1</v>
      </c>
      <c r="BB3272" t="str">
        <f t="shared" si="1510"/>
        <v xml:space="preserve">N711JA  </v>
      </c>
      <c r="BC3272">
        <v>1</v>
      </c>
      <c r="BE3272">
        <v>0</v>
      </c>
      <c r="BF3272">
        <v>0</v>
      </c>
      <c r="BG3272">
        <v>0</v>
      </c>
      <c r="BH3272">
        <v>2275</v>
      </c>
      <c r="BI3272">
        <v>1</v>
      </c>
      <c r="BJ3272">
        <v>1</v>
      </c>
      <c r="BK3272">
        <v>0</v>
      </c>
      <c r="BL3272">
        <v>0</v>
      </c>
      <c r="BO3272">
        <v>0</v>
      </c>
      <c r="BP3272">
        <v>0</v>
      </c>
      <c r="BW3272" t="str">
        <f>"14:47:05.380"</f>
        <v>14:47:05.380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6</v>
      </c>
      <c r="CP3272" t="s">
        <v>119</v>
      </c>
      <c r="CQ3272">
        <v>56</v>
      </c>
      <c r="CR3272">
        <v>2</v>
      </c>
      <c r="CW3272">
        <v>4983347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1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 t="shared" ref="A3273:A3281" si="1528">"05/12/2020 14:46:48.701"</f>
        <v>05/12/2020 14:46:48.701</v>
      </c>
      <c r="C3273" t="str">
        <f t="shared" si="1509"/>
        <v>FFDFD3C0</v>
      </c>
      <c r="D3273" t="s">
        <v>131</v>
      </c>
      <c r="E3273">
        <v>10</v>
      </c>
      <c r="F3273">
        <v>2010</v>
      </c>
      <c r="G3273" t="s">
        <v>132</v>
      </c>
      <c r="J3273" t="s">
        <v>133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ref="S3273:S3281" si="1529">"14:47:06.516"</f>
        <v>14:47:06.516</v>
      </c>
      <c r="T3273" t="str">
        <f>"14:47:06.316"</f>
        <v>14:47:06.316</v>
      </c>
      <c r="U3273" t="str">
        <f t="shared" si="1527"/>
        <v>A9808D</v>
      </c>
      <c r="V3273">
        <v>0</v>
      </c>
      <c r="W3273">
        <v>0</v>
      </c>
      <c r="X3273">
        <v>1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0</v>
      </c>
      <c r="AI3273" t="s">
        <v>753</v>
      </c>
      <c r="AJ3273">
        <v>28.246728999999998</v>
      </c>
      <c r="AK3273" t="s">
        <v>776</v>
      </c>
      <c r="AL3273">
        <v>-82.270516999999998</v>
      </c>
      <c r="AM3273">
        <v>100</v>
      </c>
      <c r="AN3273">
        <v>2300</v>
      </c>
      <c r="AO3273" t="s">
        <v>118</v>
      </c>
      <c r="AP3273">
        <v>135</v>
      </c>
      <c r="AQ3273">
        <v>11</v>
      </c>
      <c r="AR3273">
        <v>256</v>
      </c>
      <c r="AZ3273">
        <v>1200</v>
      </c>
      <c r="BA3273">
        <v>1</v>
      </c>
      <c r="BB3273" t="str">
        <f t="shared" si="1510"/>
        <v xml:space="preserve">N711JA  </v>
      </c>
      <c r="BC3273">
        <v>1</v>
      </c>
      <c r="BE3273">
        <v>0</v>
      </c>
      <c r="BF3273">
        <v>0</v>
      </c>
      <c r="BG3273">
        <v>0</v>
      </c>
      <c r="BH3273">
        <v>2275</v>
      </c>
      <c r="BI3273">
        <v>1</v>
      </c>
      <c r="BJ3273">
        <v>1</v>
      </c>
      <c r="BK3273">
        <v>0</v>
      </c>
      <c r="BL3273">
        <v>0</v>
      </c>
      <c r="BO3273">
        <v>0</v>
      </c>
      <c r="BP3273">
        <v>0</v>
      </c>
      <c r="BW3273" t="str">
        <f t="shared" ref="BW3273:BW3281" si="1530">"14:47:06.521"</f>
        <v>14:47:06.521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7</v>
      </c>
      <c r="CP3273" t="s">
        <v>119</v>
      </c>
      <c r="CQ3273">
        <v>358</v>
      </c>
      <c r="CR3273">
        <v>0</v>
      </c>
      <c r="CW3273">
        <v>4960483</v>
      </c>
      <c r="CY3273">
        <v>1</v>
      </c>
      <c r="CZ3273">
        <v>0</v>
      </c>
      <c r="DA3273">
        <v>0</v>
      </c>
      <c r="DB3273">
        <v>0</v>
      </c>
      <c r="DC3273">
        <v>0</v>
      </c>
      <c r="DD3273">
        <v>1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 t="shared" si="1528"/>
        <v>05/12/2020 14:46:48.701</v>
      </c>
      <c r="C3274" t="str">
        <f t="shared" si="1509"/>
        <v>FFDFD3C0</v>
      </c>
      <c r="D3274" t="s">
        <v>131</v>
      </c>
      <c r="E3274">
        <v>12</v>
      </c>
      <c r="F3274">
        <v>2012</v>
      </c>
      <c r="G3274" t="s">
        <v>137</v>
      </c>
      <c r="J3274" t="s">
        <v>133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si="1529"/>
        <v>14:47:06.516</v>
      </c>
      <c r="T3274" t="str">
        <f>"14:47:06.316"</f>
        <v>14:47:06.316</v>
      </c>
      <c r="U3274" t="str">
        <f t="shared" si="1527"/>
        <v>A9808D</v>
      </c>
      <c r="V3274">
        <v>0</v>
      </c>
      <c r="W3274">
        <v>0</v>
      </c>
      <c r="X3274">
        <v>1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0</v>
      </c>
      <c r="AI3274" t="s">
        <v>753</v>
      </c>
      <c r="AJ3274">
        <v>28.246728999999998</v>
      </c>
      <c r="AK3274" t="s">
        <v>776</v>
      </c>
      <c r="AL3274">
        <v>-82.270516999999998</v>
      </c>
      <c r="AM3274">
        <v>100</v>
      </c>
      <c r="AN3274">
        <v>2300</v>
      </c>
      <c r="AO3274" t="s">
        <v>118</v>
      </c>
      <c r="AP3274">
        <v>135</v>
      </c>
      <c r="AQ3274">
        <v>11</v>
      </c>
      <c r="AR3274">
        <v>256</v>
      </c>
      <c r="AZ3274">
        <v>1200</v>
      </c>
      <c r="BA3274">
        <v>1</v>
      </c>
      <c r="BB3274" t="str">
        <f t="shared" si="1510"/>
        <v xml:space="preserve">N711JA  </v>
      </c>
      <c r="BC3274">
        <v>1</v>
      </c>
      <c r="BE3274">
        <v>0</v>
      </c>
      <c r="BF3274">
        <v>0</v>
      </c>
      <c r="BG3274">
        <v>0</v>
      </c>
      <c r="BH3274">
        <v>2275</v>
      </c>
      <c r="BI3274">
        <v>1</v>
      </c>
      <c r="BJ3274">
        <v>1</v>
      </c>
      <c r="BK3274">
        <v>0</v>
      </c>
      <c r="BL3274">
        <v>0</v>
      </c>
      <c r="BO3274">
        <v>0</v>
      </c>
      <c r="BP3274">
        <v>0</v>
      </c>
      <c r="BW3274" t="str">
        <f t="shared" si="1530"/>
        <v>14:47:06.521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2</v>
      </c>
      <c r="CP3274" t="s">
        <v>675</v>
      </c>
      <c r="CQ3274">
        <v>363</v>
      </c>
      <c r="CR3274">
        <v>0</v>
      </c>
      <c r="CW3274">
        <v>6484686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1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 t="shared" si="1528"/>
        <v>05/12/2020 14:46:48.701</v>
      </c>
      <c r="C3275" t="str">
        <f t="shared" si="1509"/>
        <v>FFDFD3C0</v>
      </c>
      <c r="D3275" t="s">
        <v>126</v>
      </c>
      <c r="E3275">
        <v>7</v>
      </c>
      <c r="F3275">
        <v>1007</v>
      </c>
      <c r="G3275" t="s">
        <v>127</v>
      </c>
      <c r="J3275" t="s">
        <v>128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529"/>
        <v>14:47:06.516</v>
      </c>
      <c r="T3275" t="str">
        <f>"14:47:06.316"</f>
        <v>14:47:06.316</v>
      </c>
      <c r="U3275" t="str">
        <f t="shared" si="1527"/>
        <v>A9808D</v>
      </c>
      <c r="V3275">
        <v>0</v>
      </c>
      <c r="W3275">
        <v>0</v>
      </c>
      <c r="X3275">
        <v>1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0</v>
      </c>
      <c r="AI3275" t="s">
        <v>753</v>
      </c>
      <c r="AJ3275">
        <v>28.246728999999998</v>
      </c>
      <c r="AK3275" t="s">
        <v>776</v>
      </c>
      <c r="AL3275">
        <v>-82.270516999999998</v>
      </c>
      <c r="AM3275">
        <v>100</v>
      </c>
      <c r="AN3275">
        <v>2300</v>
      </c>
      <c r="AO3275" t="s">
        <v>118</v>
      </c>
      <c r="AP3275">
        <v>135</v>
      </c>
      <c r="AQ3275">
        <v>11</v>
      </c>
      <c r="AR3275">
        <v>256</v>
      </c>
      <c r="AZ3275">
        <v>1200</v>
      </c>
      <c r="BA3275">
        <v>1</v>
      </c>
      <c r="BB3275" t="str">
        <f t="shared" si="1510"/>
        <v xml:space="preserve">N711JA  </v>
      </c>
      <c r="BC3275">
        <v>1</v>
      </c>
      <c r="BE3275">
        <v>0</v>
      </c>
      <c r="BF3275">
        <v>0</v>
      </c>
      <c r="BG3275">
        <v>0</v>
      </c>
      <c r="BH3275">
        <v>2275</v>
      </c>
      <c r="BI3275">
        <v>1</v>
      </c>
      <c r="BJ3275">
        <v>1</v>
      </c>
      <c r="BK3275">
        <v>0</v>
      </c>
      <c r="BL3275">
        <v>0</v>
      </c>
      <c r="BO3275">
        <v>0</v>
      </c>
      <c r="BP3275">
        <v>0</v>
      </c>
      <c r="BW3275" t="str">
        <f t="shared" si="1530"/>
        <v>14:47:06.521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7</v>
      </c>
      <c r="CP3275" t="s">
        <v>119</v>
      </c>
      <c r="CQ3275">
        <v>358</v>
      </c>
      <c r="CR3275">
        <v>0</v>
      </c>
      <c r="CW3275">
        <v>4960483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1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 t="shared" si="1528"/>
        <v>05/12/2020 14:46:48.701</v>
      </c>
      <c r="C3276" t="str">
        <f t="shared" si="1509"/>
        <v>FFDFD3C0</v>
      </c>
      <c r="D3276" t="s">
        <v>131</v>
      </c>
      <c r="E3276">
        <v>18</v>
      </c>
      <c r="F3276">
        <v>2018</v>
      </c>
      <c r="G3276" t="s">
        <v>161</v>
      </c>
      <c r="J3276" t="s">
        <v>133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si="1529"/>
        <v>14:47:06.516</v>
      </c>
      <c r="T3276" t="str">
        <f>"14:47:05.716"</f>
        <v>14:47:05.716</v>
      </c>
      <c r="U3276" t="str">
        <f t="shared" si="1527"/>
        <v>A9808D</v>
      </c>
      <c r="V3276">
        <v>0</v>
      </c>
      <c r="W3276">
        <v>0</v>
      </c>
      <c r="X3276">
        <v>1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0</v>
      </c>
      <c r="AI3276" t="s">
        <v>753</v>
      </c>
      <c r="AJ3276">
        <v>28.246728999999998</v>
      </c>
      <c r="AK3276" t="s">
        <v>776</v>
      </c>
      <c r="AL3276">
        <v>-82.270516999999998</v>
      </c>
      <c r="AM3276">
        <v>100</v>
      </c>
      <c r="AN3276">
        <v>2300</v>
      </c>
      <c r="AO3276" t="s">
        <v>118</v>
      </c>
      <c r="AP3276">
        <v>136</v>
      </c>
      <c r="AQ3276">
        <v>9</v>
      </c>
      <c r="AR3276">
        <v>128</v>
      </c>
      <c r="AZ3276">
        <v>1200</v>
      </c>
      <c r="BA3276">
        <v>1</v>
      </c>
      <c r="BB3276" t="str">
        <f t="shared" si="1510"/>
        <v xml:space="preserve">N711JA  </v>
      </c>
      <c r="BC3276">
        <v>1</v>
      </c>
      <c r="BE3276">
        <v>0</v>
      </c>
      <c r="BF3276">
        <v>0</v>
      </c>
      <c r="BG3276">
        <v>0</v>
      </c>
      <c r="BH3276">
        <v>2275</v>
      </c>
      <c r="BI3276">
        <v>1</v>
      </c>
      <c r="BJ3276">
        <v>1</v>
      </c>
      <c r="BK3276">
        <v>0</v>
      </c>
      <c r="BL3276">
        <v>0</v>
      </c>
      <c r="BO3276">
        <v>0</v>
      </c>
      <c r="BP3276">
        <v>0</v>
      </c>
      <c r="BW3276" t="str">
        <f t="shared" si="1530"/>
        <v>14:47:06.521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5</v>
      </c>
      <c r="CP3276" t="s">
        <v>119</v>
      </c>
      <c r="CQ3276">
        <v>56</v>
      </c>
      <c r="CR3276">
        <v>2</v>
      </c>
      <c r="CW3276">
        <v>4984850</v>
      </c>
      <c r="CY3276">
        <v>1</v>
      </c>
      <c r="CZ3276">
        <v>0</v>
      </c>
      <c r="DA3276">
        <v>1</v>
      </c>
      <c r="DB3276">
        <v>0</v>
      </c>
      <c r="DC3276">
        <v>0</v>
      </c>
      <c r="DD3276">
        <v>1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 t="shared" si="1528"/>
        <v>05/12/2020 14:46:48.701</v>
      </c>
      <c r="C3277" t="str">
        <f t="shared" si="1509"/>
        <v>FFDFD3C0</v>
      </c>
      <c r="D3277" t="s">
        <v>113</v>
      </c>
      <c r="E3277">
        <v>3</v>
      </c>
      <c r="H3277">
        <v>164</v>
      </c>
      <c r="I3277" t="s">
        <v>114</v>
      </c>
      <c r="J3277" t="s">
        <v>115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si="1529"/>
        <v>14:47:06.516</v>
      </c>
      <c r="T3277" t="str">
        <f>"14:47:05.716"</f>
        <v>14:47:05.716</v>
      </c>
      <c r="U3277" t="str">
        <f t="shared" si="1527"/>
        <v>A9808D</v>
      </c>
      <c r="V3277">
        <v>0</v>
      </c>
      <c r="W3277">
        <v>0</v>
      </c>
      <c r="X3277">
        <v>1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0</v>
      </c>
      <c r="AI3277" t="s">
        <v>753</v>
      </c>
      <c r="AJ3277">
        <v>28.246728999999998</v>
      </c>
      <c r="AK3277" t="s">
        <v>776</v>
      </c>
      <c r="AL3277">
        <v>-82.270516999999998</v>
      </c>
      <c r="AM3277">
        <v>100</v>
      </c>
      <c r="AN3277">
        <v>2300</v>
      </c>
      <c r="AO3277" t="s">
        <v>118</v>
      </c>
      <c r="AP3277">
        <v>136</v>
      </c>
      <c r="AQ3277">
        <v>9</v>
      </c>
      <c r="AR3277">
        <v>128</v>
      </c>
      <c r="AZ3277">
        <v>1200</v>
      </c>
      <c r="BA3277">
        <v>1</v>
      </c>
      <c r="BB3277" t="str">
        <f t="shared" si="1510"/>
        <v xml:space="preserve">N711JA  </v>
      </c>
      <c r="BC3277">
        <v>1</v>
      </c>
      <c r="BE3277">
        <v>0</v>
      </c>
      <c r="BF3277">
        <v>0</v>
      </c>
      <c r="BG3277">
        <v>0</v>
      </c>
      <c r="BH3277">
        <v>2275</v>
      </c>
      <c r="BI3277">
        <v>1</v>
      </c>
      <c r="BJ3277">
        <v>1</v>
      </c>
      <c r="BK3277">
        <v>0</v>
      </c>
      <c r="BL3277">
        <v>0</v>
      </c>
      <c r="BO3277">
        <v>0</v>
      </c>
      <c r="BP3277">
        <v>0</v>
      </c>
      <c r="BW3277" t="str">
        <f t="shared" si="1530"/>
        <v>14:47:06.521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5</v>
      </c>
      <c r="CP3277" t="s">
        <v>119</v>
      </c>
      <c r="CQ3277">
        <v>56</v>
      </c>
      <c r="CR3277">
        <v>2</v>
      </c>
      <c r="CW3277">
        <v>4984850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1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 t="shared" si="1528"/>
        <v>05/12/2020 14:46:48.701</v>
      </c>
      <c r="C3278" t="str">
        <f t="shared" si="1509"/>
        <v>FFDFD3C0</v>
      </c>
      <c r="D3278" t="s">
        <v>126</v>
      </c>
      <c r="E3278">
        <v>6</v>
      </c>
      <c r="F3278">
        <v>1006</v>
      </c>
      <c r="G3278" t="s">
        <v>114</v>
      </c>
      <c r="J3278" t="s">
        <v>128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si="1529"/>
        <v>14:47:06.516</v>
      </c>
      <c r="T3278" t="str">
        <f>"14:47:06.316"</f>
        <v>14:47:06.316</v>
      </c>
      <c r="U3278" t="str">
        <f t="shared" si="1527"/>
        <v>A9808D</v>
      </c>
      <c r="V3278">
        <v>0</v>
      </c>
      <c r="W3278">
        <v>0</v>
      </c>
      <c r="X3278">
        <v>1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0</v>
      </c>
      <c r="AI3278" t="s">
        <v>753</v>
      </c>
      <c r="AJ3278">
        <v>28.246728999999998</v>
      </c>
      <c r="AK3278" t="s">
        <v>776</v>
      </c>
      <c r="AL3278">
        <v>-82.270516999999998</v>
      </c>
      <c r="AM3278">
        <v>100</v>
      </c>
      <c r="AN3278">
        <v>2300</v>
      </c>
      <c r="AO3278" t="s">
        <v>118</v>
      </c>
      <c r="AP3278">
        <v>135</v>
      </c>
      <c r="AQ3278">
        <v>11</v>
      </c>
      <c r="AR3278">
        <v>256</v>
      </c>
      <c r="AZ3278">
        <v>1200</v>
      </c>
      <c r="BA3278">
        <v>1</v>
      </c>
      <c r="BB3278" t="str">
        <f t="shared" si="1510"/>
        <v xml:space="preserve">N711JA  </v>
      </c>
      <c r="BC3278">
        <v>1</v>
      </c>
      <c r="BE3278">
        <v>0</v>
      </c>
      <c r="BF3278">
        <v>0</v>
      </c>
      <c r="BG3278">
        <v>0</v>
      </c>
      <c r="BH3278">
        <v>2275</v>
      </c>
      <c r="BI3278">
        <v>1</v>
      </c>
      <c r="BJ3278">
        <v>1</v>
      </c>
      <c r="BK3278">
        <v>0</v>
      </c>
      <c r="BL3278">
        <v>0</v>
      </c>
      <c r="BO3278">
        <v>0</v>
      </c>
      <c r="BP3278">
        <v>0</v>
      </c>
      <c r="BW3278" t="str">
        <f t="shared" si="1530"/>
        <v>14:47:06.521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7</v>
      </c>
      <c r="CP3278" t="s">
        <v>119</v>
      </c>
      <c r="CQ3278">
        <v>358</v>
      </c>
      <c r="CR3278">
        <v>0</v>
      </c>
      <c r="CW3278">
        <v>4960483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1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 t="shared" si="1528"/>
        <v>05/12/2020 14:46:48.701</v>
      </c>
      <c r="C3279" t="str">
        <f t="shared" si="1509"/>
        <v>FFDFD3C0</v>
      </c>
      <c r="D3279" t="s">
        <v>138</v>
      </c>
      <c r="E3279">
        <v>2</v>
      </c>
      <c r="H3279">
        <v>8</v>
      </c>
      <c r="I3279" t="s">
        <v>139</v>
      </c>
      <c r="J3279" t="s">
        <v>136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529"/>
        <v>14:47:06.516</v>
      </c>
      <c r="T3279" t="str">
        <f>"14:47:06.316"</f>
        <v>14:47:06.316</v>
      </c>
      <c r="U3279" t="str">
        <f t="shared" si="1527"/>
        <v>A9808D</v>
      </c>
      <c r="V3279">
        <v>0</v>
      </c>
      <c r="W3279">
        <v>0</v>
      </c>
      <c r="X3279">
        <v>1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0</v>
      </c>
      <c r="AI3279" t="s">
        <v>753</v>
      </c>
      <c r="AJ3279">
        <v>28.246728999999998</v>
      </c>
      <c r="AK3279" t="s">
        <v>776</v>
      </c>
      <c r="AL3279">
        <v>-82.270516999999998</v>
      </c>
      <c r="AM3279">
        <v>100</v>
      </c>
      <c r="AN3279">
        <v>2300</v>
      </c>
      <c r="AO3279" t="s">
        <v>118</v>
      </c>
      <c r="AP3279">
        <v>135</v>
      </c>
      <c r="AQ3279">
        <v>11</v>
      </c>
      <c r="AR3279">
        <v>256</v>
      </c>
      <c r="AZ3279">
        <v>1200</v>
      </c>
      <c r="BA3279">
        <v>1</v>
      </c>
      <c r="BB3279" t="str">
        <f t="shared" si="1510"/>
        <v xml:space="preserve">N711JA  </v>
      </c>
      <c r="BC3279">
        <v>1</v>
      </c>
      <c r="BE3279">
        <v>0</v>
      </c>
      <c r="BF3279">
        <v>0</v>
      </c>
      <c r="BG3279">
        <v>0</v>
      </c>
      <c r="BH3279">
        <v>2275</v>
      </c>
      <c r="BI3279">
        <v>1</v>
      </c>
      <c r="BJ3279">
        <v>1</v>
      </c>
      <c r="BK3279">
        <v>0</v>
      </c>
      <c r="BL3279">
        <v>0</v>
      </c>
      <c r="BO3279">
        <v>0</v>
      </c>
      <c r="BP3279">
        <v>0</v>
      </c>
      <c r="BW3279" t="str">
        <f t="shared" si="1530"/>
        <v>14:47:06.521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2</v>
      </c>
      <c r="CP3279" t="s">
        <v>675</v>
      </c>
      <c r="CQ3279">
        <v>363</v>
      </c>
      <c r="CR3279">
        <v>0</v>
      </c>
      <c r="CW3279">
        <v>6484686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1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 t="shared" si="1528"/>
        <v>05/12/2020 14:46:48.701</v>
      </c>
      <c r="C3280" t="str">
        <f t="shared" si="1509"/>
        <v>FFDFD3C0</v>
      </c>
      <c r="D3280" t="s">
        <v>134</v>
      </c>
      <c r="E3280">
        <v>12</v>
      </c>
      <c r="H3280">
        <v>64</v>
      </c>
      <c r="I3280" t="s">
        <v>135</v>
      </c>
      <c r="J3280" t="s">
        <v>136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si="1529"/>
        <v>14:47:06.516</v>
      </c>
      <c r="T3280" t="str">
        <f>"14:47:06.316"</f>
        <v>14:47:06.316</v>
      </c>
      <c r="U3280" t="str">
        <f t="shared" si="1527"/>
        <v>A9808D</v>
      </c>
      <c r="V3280">
        <v>0</v>
      </c>
      <c r="W3280">
        <v>0</v>
      </c>
      <c r="X3280">
        <v>1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0</v>
      </c>
      <c r="AI3280" t="s">
        <v>753</v>
      </c>
      <c r="AJ3280">
        <v>28.246728999999998</v>
      </c>
      <c r="AK3280" t="s">
        <v>776</v>
      </c>
      <c r="AL3280">
        <v>-82.270516999999998</v>
      </c>
      <c r="AM3280">
        <v>100</v>
      </c>
      <c r="AN3280">
        <v>2300</v>
      </c>
      <c r="AO3280" t="s">
        <v>118</v>
      </c>
      <c r="AP3280">
        <v>135</v>
      </c>
      <c r="AQ3280">
        <v>11</v>
      </c>
      <c r="AR3280">
        <v>256</v>
      </c>
      <c r="AZ3280">
        <v>1200</v>
      </c>
      <c r="BA3280">
        <v>1</v>
      </c>
      <c r="BB3280" t="str">
        <f t="shared" si="1510"/>
        <v xml:space="preserve">N711JA  </v>
      </c>
      <c r="BC3280">
        <v>1</v>
      </c>
      <c r="BE3280">
        <v>0</v>
      </c>
      <c r="BF3280">
        <v>0</v>
      </c>
      <c r="BG3280">
        <v>0</v>
      </c>
      <c r="BH3280">
        <v>2275</v>
      </c>
      <c r="BI3280">
        <v>1</v>
      </c>
      <c r="BJ3280">
        <v>1</v>
      </c>
      <c r="BK3280">
        <v>0</v>
      </c>
      <c r="BL3280">
        <v>0</v>
      </c>
      <c r="BO3280">
        <v>0</v>
      </c>
      <c r="BP3280">
        <v>0</v>
      </c>
      <c r="BW3280" t="str">
        <f t="shared" si="1530"/>
        <v>14:47:06.521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7</v>
      </c>
      <c r="CP3280" t="s">
        <v>119</v>
      </c>
      <c r="CQ3280">
        <v>358</v>
      </c>
      <c r="CR3280">
        <v>0</v>
      </c>
      <c r="CW3280">
        <v>4960483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1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 t="shared" si="1528"/>
        <v>05/12/2020 14:46:48.701</v>
      </c>
      <c r="C3281" t="str">
        <f t="shared" si="1509"/>
        <v>FFDFD3C0</v>
      </c>
      <c r="D3281" t="s">
        <v>138</v>
      </c>
      <c r="E3281">
        <v>3</v>
      </c>
      <c r="H3281">
        <v>9</v>
      </c>
      <c r="I3281" t="s">
        <v>140</v>
      </c>
      <c r="J3281" t="s">
        <v>136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529"/>
        <v>14:47:06.516</v>
      </c>
      <c r="T3281" t="str">
        <f>"14:47:06.316"</f>
        <v>14:47:06.316</v>
      </c>
      <c r="U3281" t="str">
        <f t="shared" si="1527"/>
        <v>A9808D</v>
      </c>
      <c r="V3281">
        <v>0</v>
      </c>
      <c r="W3281">
        <v>0</v>
      </c>
      <c r="X3281">
        <v>1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0</v>
      </c>
      <c r="AI3281" t="s">
        <v>753</v>
      </c>
      <c r="AJ3281">
        <v>28.246728999999998</v>
      </c>
      <c r="AK3281" t="s">
        <v>776</v>
      </c>
      <c r="AL3281">
        <v>-82.270516999999998</v>
      </c>
      <c r="AM3281">
        <v>100</v>
      </c>
      <c r="AN3281">
        <v>2300</v>
      </c>
      <c r="AO3281" t="s">
        <v>118</v>
      </c>
      <c r="AP3281">
        <v>135</v>
      </c>
      <c r="AQ3281">
        <v>11</v>
      </c>
      <c r="AR3281">
        <v>256</v>
      </c>
      <c r="AZ3281">
        <v>1200</v>
      </c>
      <c r="BA3281">
        <v>1</v>
      </c>
      <c r="BB3281" t="str">
        <f t="shared" si="1510"/>
        <v xml:space="preserve">N711JA  </v>
      </c>
      <c r="BC3281">
        <v>1</v>
      </c>
      <c r="BE3281">
        <v>0</v>
      </c>
      <c r="BF3281">
        <v>0</v>
      </c>
      <c r="BG3281">
        <v>0</v>
      </c>
      <c r="BH3281">
        <v>2275</v>
      </c>
      <c r="BI3281">
        <v>1</v>
      </c>
      <c r="BJ3281">
        <v>1</v>
      </c>
      <c r="BK3281">
        <v>0</v>
      </c>
      <c r="BL3281">
        <v>0</v>
      </c>
      <c r="BO3281">
        <v>0</v>
      </c>
      <c r="BP3281">
        <v>0</v>
      </c>
      <c r="BW3281" t="str">
        <f t="shared" si="1530"/>
        <v>14:47:06.521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7</v>
      </c>
      <c r="CP3281" t="s">
        <v>119</v>
      </c>
      <c r="CQ3281">
        <v>358</v>
      </c>
      <c r="CR3281">
        <v>0</v>
      </c>
      <c r="CW3281">
        <v>4960483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1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 t="shared" ref="A3282:A3290" si="1531">"05/12/2020 14:46:49.687"</f>
        <v>05/12/2020 14:46:49.687</v>
      </c>
      <c r="C3282" t="str">
        <f t="shared" si="1509"/>
        <v>FFDFD3C0</v>
      </c>
      <c r="D3282" t="s">
        <v>138</v>
      </c>
      <c r="E3282">
        <v>3</v>
      </c>
      <c r="H3282">
        <v>9</v>
      </c>
      <c r="I3282" t="s">
        <v>140</v>
      </c>
      <c r="J3282" t="s">
        <v>136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ref="S3282:S3290" si="1532">"14:47:07.531"</f>
        <v>14:47:07.531</v>
      </c>
      <c r="T3282" t="str">
        <f t="shared" ref="T3282:T3290" si="1533">"14:47:07.331"</f>
        <v>14:47:07.331</v>
      </c>
      <c r="U3282" t="str">
        <f t="shared" si="1527"/>
        <v>A9808D</v>
      </c>
      <c r="V3282">
        <v>0</v>
      </c>
      <c r="W3282">
        <v>0</v>
      </c>
      <c r="X3282">
        <v>1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0</v>
      </c>
      <c r="AI3282" t="s">
        <v>747</v>
      </c>
      <c r="AJ3282">
        <v>28.246836999999999</v>
      </c>
      <c r="AK3282" t="s">
        <v>777</v>
      </c>
      <c r="AL3282">
        <v>-82.269830999999996</v>
      </c>
      <c r="AM3282">
        <v>100</v>
      </c>
      <c r="AN3282">
        <v>2300</v>
      </c>
      <c r="AO3282" t="s">
        <v>118</v>
      </c>
      <c r="AP3282">
        <v>134</v>
      </c>
      <c r="AQ3282">
        <v>16</v>
      </c>
      <c r="AR3282">
        <v>384</v>
      </c>
      <c r="AZ3282">
        <v>1200</v>
      </c>
      <c r="BA3282">
        <v>1</v>
      </c>
      <c r="BB3282" t="str">
        <f t="shared" si="1510"/>
        <v xml:space="preserve">N711JA  </v>
      </c>
      <c r="BC3282">
        <v>1</v>
      </c>
      <c r="BE3282">
        <v>0</v>
      </c>
      <c r="BF3282">
        <v>0</v>
      </c>
      <c r="BG3282">
        <v>0</v>
      </c>
      <c r="BH3282">
        <v>2275</v>
      </c>
      <c r="BI3282">
        <v>1</v>
      </c>
      <c r="BJ3282">
        <v>1</v>
      </c>
      <c r="BK3282">
        <v>0</v>
      </c>
      <c r="BL3282">
        <v>0</v>
      </c>
      <c r="BO3282">
        <v>0</v>
      </c>
      <c r="BP3282">
        <v>0</v>
      </c>
      <c r="BW3282" t="str">
        <f t="shared" ref="BW3282:BW3290" si="1534">"14:47:07.535"</f>
        <v>14:47:07.535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6</v>
      </c>
      <c r="CP3282" t="s">
        <v>119</v>
      </c>
      <c r="CQ3282">
        <v>358</v>
      </c>
      <c r="CR3282">
        <v>0</v>
      </c>
      <c r="CW3282">
        <v>4961752</v>
      </c>
      <c r="CY3282">
        <v>1</v>
      </c>
      <c r="CZ3282">
        <v>0</v>
      </c>
      <c r="DA3282">
        <v>0</v>
      </c>
      <c r="DB3282">
        <v>0</v>
      </c>
      <c r="DC3282">
        <v>0</v>
      </c>
      <c r="DD3282">
        <v>1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 t="shared" si="1531"/>
        <v>05/12/2020 14:46:49.687</v>
      </c>
      <c r="C3283" t="str">
        <f t="shared" si="1509"/>
        <v>FFDFD3C0</v>
      </c>
      <c r="D3283" t="s">
        <v>134</v>
      </c>
      <c r="E3283">
        <v>12</v>
      </c>
      <c r="H3283">
        <v>64</v>
      </c>
      <c r="I3283" t="s">
        <v>135</v>
      </c>
      <c r="J3283" t="s">
        <v>136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si="1532"/>
        <v>14:47:07.531</v>
      </c>
      <c r="T3283" t="str">
        <f t="shared" si="1533"/>
        <v>14:47:07.331</v>
      </c>
      <c r="U3283" t="str">
        <f t="shared" si="1527"/>
        <v>A9808D</v>
      </c>
      <c r="V3283">
        <v>0</v>
      </c>
      <c r="W3283">
        <v>0</v>
      </c>
      <c r="X3283">
        <v>1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0</v>
      </c>
      <c r="AI3283" t="s">
        <v>747</v>
      </c>
      <c r="AJ3283">
        <v>28.246836999999999</v>
      </c>
      <c r="AK3283" t="s">
        <v>777</v>
      </c>
      <c r="AL3283">
        <v>-82.269830999999996</v>
      </c>
      <c r="AM3283">
        <v>100</v>
      </c>
      <c r="AN3283">
        <v>2300</v>
      </c>
      <c r="AO3283" t="s">
        <v>118</v>
      </c>
      <c r="AP3283">
        <v>134</v>
      </c>
      <c r="AQ3283">
        <v>16</v>
      </c>
      <c r="AR3283">
        <v>384</v>
      </c>
      <c r="AZ3283">
        <v>1200</v>
      </c>
      <c r="BA3283">
        <v>1</v>
      </c>
      <c r="BB3283" t="str">
        <f t="shared" si="1510"/>
        <v xml:space="preserve">N711JA  </v>
      </c>
      <c r="BC3283">
        <v>1</v>
      </c>
      <c r="BE3283">
        <v>0</v>
      </c>
      <c r="BF3283">
        <v>0</v>
      </c>
      <c r="BG3283">
        <v>0</v>
      </c>
      <c r="BH3283">
        <v>2275</v>
      </c>
      <c r="BI3283">
        <v>1</v>
      </c>
      <c r="BJ3283">
        <v>1</v>
      </c>
      <c r="BK3283">
        <v>0</v>
      </c>
      <c r="BL3283">
        <v>0</v>
      </c>
      <c r="BO3283">
        <v>0</v>
      </c>
      <c r="BP3283">
        <v>0</v>
      </c>
      <c r="BW3283" t="str">
        <f t="shared" si="1534"/>
        <v>14:47:07.535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6</v>
      </c>
      <c r="CP3283" t="s">
        <v>119</v>
      </c>
      <c r="CQ3283">
        <v>358</v>
      </c>
      <c r="CR3283">
        <v>0</v>
      </c>
      <c r="CW3283">
        <v>4961752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1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 t="shared" si="1531"/>
        <v>05/12/2020 14:46:49.687</v>
      </c>
      <c r="C3284" t="str">
        <f t="shared" si="1509"/>
        <v>FFDFD3C0</v>
      </c>
      <c r="D3284" t="s">
        <v>131</v>
      </c>
      <c r="E3284">
        <v>10</v>
      </c>
      <c r="F3284">
        <v>2010</v>
      </c>
      <c r="G3284" t="s">
        <v>132</v>
      </c>
      <c r="J3284" t="s">
        <v>133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si="1532"/>
        <v>14:47:07.531</v>
      </c>
      <c r="T3284" t="str">
        <f t="shared" si="1533"/>
        <v>14:47:07.331</v>
      </c>
      <c r="U3284" t="str">
        <f t="shared" si="1527"/>
        <v>A9808D</v>
      </c>
      <c r="V3284">
        <v>0</v>
      </c>
      <c r="W3284">
        <v>0</v>
      </c>
      <c r="X3284">
        <v>1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0</v>
      </c>
      <c r="AI3284" t="s">
        <v>747</v>
      </c>
      <c r="AJ3284">
        <v>28.246836999999999</v>
      </c>
      <c r="AK3284" t="s">
        <v>777</v>
      </c>
      <c r="AL3284">
        <v>-82.269830999999996</v>
      </c>
      <c r="AM3284">
        <v>100</v>
      </c>
      <c r="AN3284">
        <v>2300</v>
      </c>
      <c r="AO3284" t="s">
        <v>118</v>
      </c>
      <c r="AP3284">
        <v>134</v>
      </c>
      <c r="AQ3284">
        <v>16</v>
      </c>
      <c r="AR3284">
        <v>384</v>
      </c>
      <c r="AZ3284">
        <v>1200</v>
      </c>
      <c r="BA3284">
        <v>1</v>
      </c>
      <c r="BB3284" t="str">
        <f t="shared" si="1510"/>
        <v xml:space="preserve">N711JA  </v>
      </c>
      <c r="BC3284">
        <v>1</v>
      </c>
      <c r="BE3284">
        <v>0</v>
      </c>
      <c r="BF3284">
        <v>0</v>
      </c>
      <c r="BG3284">
        <v>0</v>
      </c>
      <c r="BH3284">
        <v>2275</v>
      </c>
      <c r="BI3284">
        <v>1</v>
      </c>
      <c r="BJ3284">
        <v>1</v>
      </c>
      <c r="BK3284">
        <v>0</v>
      </c>
      <c r="BL3284">
        <v>0</v>
      </c>
      <c r="BO3284">
        <v>0</v>
      </c>
      <c r="BP3284">
        <v>0</v>
      </c>
      <c r="BW3284" t="str">
        <f t="shared" si="1534"/>
        <v>14:47:07.535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6</v>
      </c>
      <c r="CP3284" t="s">
        <v>119</v>
      </c>
      <c r="CQ3284">
        <v>358</v>
      </c>
      <c r="CR3284">
        <v>0</v>
      </c>
      <c r="CW3284">
        <v>4961752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1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 t="shared" si="1531"/>
        <v>05/12/2020 14:46:49.687</v>
      </c>
      <c r="C3285" t="str">
        <f t="shared" si="1509"/>
        <v>FFDFD3C0</v>
      </c>
      <c r="D3285" t="s">
        <v>131</v>
      </c>
      <c r="E3285">
        <v>12</v>
      </c>
      <c r="F3285">
        <v>2012</v>
      </c>
      <c r="G3285" t="s">
        <v>137</v>
      </c>
      <c r="J3285" t="s">
        <v>133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532"/>
        <v>14:47:07.531</v>
      </c>
      <c r="T3285" t="str">
        <f t="shared" si="1533"/>
        <v>14:47:07.331</v>
      </c>
      <c r="U3285" t="str">
        <f t="shared" si="1527"/>
        <v>A9808D</v>
      </c>
      <c r="V3285">
        <v>0</v>
      </c>
      <c r="W3285">
        <v>0</v>
      </c>
      <c r="X3285">
        <v>1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0</v>
      </c>
      <c r="AI3285" t="s">
        <v>747</v>
      </c>
      <c r="AJ3285">
        <v>28.246836999999999</v>
      </c>
      <c r="AK3285" t="s">
        <v>777</v>
      </c>
      <c r="AL3285">
        <v>-82.269830999999996</v>
      </c>
      <c r="AM3285">
        <v>100</v>
      </c>
      <c r="AN3285">
        <v>2300</v>
      </c>
      <c r="AO3285" t="s">
        <v>118</v>
      </c>
      <c r="AP3285">
        <v>134</v>
      </c>
      <c r="AQ3285">
        <v>16</v>
      </c>
      <c r="AR3285">
        <v>384</v>
      </c>
      <c r="AZ3285">
        <v>1200</v>
      </c>
      <c r="BA3285">
        <v>1</v>
      </c>
      <c r="BB3285" t="str">
        <f t="shared" si="1510"/>
        <v xml:space="preserve">N711JA  </v>
      </c>
      <c r="BC3285">
        <v>1</v>
      </c>
      <c r="BE3285">
        <v>0</v>
      </c>
      <c r="BF3285">
        <v>0</v>
      </c>
      <c r="BG3285">
        <v>0</v>
      </c>
      <c r="BH3285">
        <v>2275</v>
      </c>
      <c r="BI3285">
        <v>1</v>
      </c>
      <c r="BJ3285">
        <v>1</v>
      </c>
      <c r="BK3285">
        <v>0</v>
      </c>
      <c r="BL3285">
        <v>0</v>
      </c>
      <c r="BO3285">
        <v>0</v>
      </c>
      <c r="BP3285">
        <v>0</v>
      </c>
      <c r="BW3285" t="str">
        <f t="shared" si="1534"/>
        <v>14:47:07.535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6</v>
      </c>
      <c r="CP3285" t="s">
        <v>119</v>
      </c>
      <c r="CQ3285">
        <v>56</v>
      </c>
      <c r="CR3285">
        <v>2</v>
      </c>
      <c r="CW3285">
        <v>4986076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1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 t="shared" si="1531"/>
        <v>05/12/2020 14:46:49.687</v>
      </c>
      <c r="C3286" t="str">
        <f t="shared" ref="C3286:C3349" si="1535">"FFDFD3C0"</f>
        <v>FFDFD3C0</v>
      </c>
      <c r="D3286" t="s">
        <v>126</v>
      </c>
      <c r="E3286">
        <v>7</v>
      </c>
      <c r="F3286">
        <v>1007</v>
      </c>
      <c r="G3286" t="s">
        <v>127</v>
      </c>
      <c r="J3286" t="s">
        <v>128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si="1532"/>
        <v>14:47:07.531</v>
      </c>
      <c r="T3286" t="str">
        <f t="shared" si="1533"/>
        <v>14:47:07.331</v>
      </c>
      <c r="U3286" t="str">
        <f t="shared" si="1527"/>
        <v>A9808D</v>
      </c>
      <c r="V3286">
        <v>0</v>
      </c>
      <c r="W3286">
        <v>0</v>
      </c>
      <c r="X3286">
        <v>1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0</v>
      </c>
      <c r="AI3286" t="s">
        <v>747</v>
      </c>
      <c r="AJ3286">
        <v>28.246836999999999</v>
      </c>
      <c r="AK3286" t="s">
        <v>777</v>
      </c>
      <c r="AL3286">
        <v>-82.269830999999996</v>
      </c>
      <c r="AM3286">
        <v>100</v>
      </c>
      <c r="AN3286">
        <v>2300</v>
      </c>
      <c r="AO3286" t="s">
        <v>118</v>
      </c>
      <c r="AP3286">
        <v>134</v>
      </c>
      <c r="AQ3286">
        <v>16</v>
      </c>
      <c r="AR3286">
        <v>384</v>
      </c>
      <c r="AZ3286">
        <v>1200</v>
      </c>
      <c r="BA3286">
        <v>1</v>
      </c>
      <c r="BB3286" t="str">
        <f t="shared" ref="BB3286:BB3349" si="1536">"N711JA  "</f>
        <v xml:space="preserve">N711JA  </v>
      </c>
      <c r="BC3286">
        <v>1</v>
      </c>
      <c r="BE3286">
        <v>0</v>
      </c>
      <c r="BF3286">
        <v>0</v>
      </c>
      <c r="BG3286">
        <v>0</v>
      </c>
      <c r="BH3286">
        <v>2275</v>
      </c>
      <c r="BI3286">
        <v>1</v>
      </c>
      <c r="BJ3286">
        <v>1</v>
      </c>
      <c r="BK3286">
        <v>0</v>
      </c>
      <c r="BL3286">
        <v>0</v>
      </c>
      <c r="BO3286">
        <v>0</v>
      </c>
      <c r="BP3286">
        <v>0</v>
      </c>
      <c r="BW3286" t="str">
        <f t="shared" si="1534"/>
        <v>14:47:07.535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6</v>
      </c>
      <c r="CP3286" t="s">
        <v>119</v>
      </c>
      <c r="CQ3286">
        <v>358</v>
      </c>
      <c r="CR3286">
        <v>0</v>
      </c>
      <c r="CW3286">
        <v>4961752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1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 t="shared" si="1531"/>
        <v>05/12/2020 14:46:49.687</v>
      </c>
      <c r="C3287" t="str">
        <f t="shared" si="1535"/>
        <v>FFDFD3C0</v>
      </c>
      <c r="D3287" t="s">
        <v>131</v>
      </c>
      <c r="E3287">
        <v>18</v>
      </c>
      <c r="F3287">
        <v>2018</v>
      </c>
      <c r="G3287" t="s">
        <v>161</v>
      </c>
      <c r="J3287" t="s">
        <v>133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532"/>
        <v>14:47:07.531</v>
      </c>
      <c r="T3287" t="str">
        <f t="shared" si="1533"/>
        <v>14:47:07.331</v>
      </c>
      <c r="U3287" t="str">
        <f t="shared" si="1527"/>
        <v>A9808D</v>
      </c>
      <c r="V3287">
        <v>0</v>
      </c>
      <c r="W3287">
        <v>0</v>
      </c>
      <c r="X3287">
        <v>1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0</v>
      </c>
      <c r="AI3287" t="s">
        <v>747</v>
      </c>
      <c r="AJ3287">
        <v>28.246836999999999</v>
      </c>
      <c r="AK3287" t="s">
        <v>777</v>
      </c>
      <c r="AL3287">
        <v>-82.269830999999996</v>
      </c>
      <c r="AM3287">
        <v>100</v>
      </c>
      <c r="AN3287">
        <v>2300</v>
      </c>
      <c r="AO3287" t="s">
        <v>118</v>
      </c>
      <c r="AP3287">
        <v>134</v>
      </c>
      <c r="AQ3287">
        <v>16</v>
      </c>
      <c r="AR3287">
        <v>384</v>
      </c>
      <c r="AZ3287">
        <v>1200</v>
      </c>
      <c r="BA3287">
        <v>1</v>
      </c>
      <c r="BB3287" t="str">
        <f t="shared" si="1536"/>
        <v xml:space="preserve">N711JA  </v>
      </c>
      <c r="BC3287">
        <v>1</v>
      </c>
      <c r="BE3287">
        <v>0</v>
      </c>
      <c r="BF3287">
        <v>0</v>
      </c>
      <c r="BG3287">
        <v>0</v>
      </c>
      <c r="BH3287">
        <v>2275</v>
      </c>
      <c r="BI3287">
        <v>1</v>
      </c>
      <c r="BJ3287">
        <v>1</v>
      </c>
      <c r="BK3287">
        <v>0</v>
      </c>
      <c r="BL3287">
        <v>0</v>
      </c>
      <c r="BO3287">
        <v>0</v>
      </c>
      <c r="BP3287">
        <v>0</v>
      </c>
      <c r="BW3287" t="str">
        <f t="shared" si="1534"/>
        <v>14:47:07.535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6</v>
      </c>
      <c r="CP3287" t="s">
        <v>119</v>
      </c>
      <c r="CQ3287">
        <v>56</v>
      </c>
      <c r="CR3287">
        <v>2</v>
      </c>
      <c r="CW3287">
        <v>4986076</v>
      </c>
      <c r="CY3287">
        <v>1</v>
      </c>
      <c r="CZ3287">
        <v>0</v>
      </c>
      <c r="DA3287">
        <v>1</v>
      </c>
      <c r="DB3287">
        <v>0</v>
      </c>
      <c r="DC3287">
        <v>0</v>
      </c>
      <c r="DD3287">
        <v>1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 t="shared" si="1531"/>
        <v>05/12/2020 14:46:49.687</v>
      </c>
      <c r="C3288" t="str">
        <f t="shared" si="1535"/>
        <v>FFDFD3C0</v>
      </c>
      <c r="D3288" t="s">
        <v>113</v>
      </c>
      <c r="E3288">
        <v>3</v>
      </c>
      <c r="H3288">
        <v>164</v>
      </c>
      <c r="I3288" t="s">
        <v>114</v>
      </c>
      <c r="J3288" t="s">
        <v>115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532"/>
        <v>14:47:07.531</v>
      </c>
      <c r="T3288" t="str">
        <f t="shared" si="1533"/>
        <v>14:47:07.331</v>
      </c>
      <c r="U3288" t="str">
        <f t="shared" si="1527"/>
        <v>A9808D</v>
      </c>
      <c r="V3288">
        <v>0</v>
      </c>
      <c r="W3288">
        <v>0</v>
      </c>
      <c r="X3288">
        <v>1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0</v>
      </c>
      <c r="AI3288" t="s">
        <v>747</v>
      </c>
      <c r="AJ3288">
        <v>28.246836999999999</v>
      </c>
      <c r="AK3288" t="s">
        <v>777</v>
      </c>
      <c r="AL3288">
        <v>-82.269830999999996</v>
      </c>
      <c r="AM3288">
        <v>100</v>
      </c>
      <c r="AN3288">
        <v>2300</v>
      </c>
      <c r="AO3288" t="s">
        <v>118</v>
      </c>
      <c r="AP3288">
        <v>134</v>
      </c>
      <c r="AQ3288">
        <v>16</v>
      </c>
      <c r="AR3288">
        <v>384</v>
      </c>
      <c r="AZ3288">
        <v>1200</v>
      </c>
      <c r="BA3288">
        <v>1</v>
      </c>
      <c r="BB3288" t="str">
        <f t="shared" si="1536"/>
        <v xml:space="preserve">N711JA  </v>
      </c>
      <c r="BC3288">
        <v>1</v>
      </c>
      <c r="BE3288">
        <v>0</v>
      </c>
      <c r="BF3288">
        <v>0</v>
      </c>
      <c r="BG3288">
        <v>0</v>
      </c>
      <c r="BH3288">
        <v>2275</v>
      </c>
      <c r="BI3288">
        <v>1</v>
      </c>
      <c r="BJ3288">
        <v>1</v>
      </c>
      <c r="BK3288">
        <v>0</v>
      </c>
      <c r="BL3288">
        <v>0</v>
      </c>
      <c r="BO3288">
        <v>0</v>
      </c>
      <c r="BP3288">
        <v>0</v>
      </c>
      <c r="BW3288" t="str">
        <f t="shared" si="1534"/>
        <v>14:47:07.535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6</v>
      </c>
      <c r="CP3288" t="s">
        <v>119</v>
      </c>
      <c r="CQ3288">
        <v>56</v>
      </c>
      <c r="CR3288">
        <v>2</v>
      </c>
      <c r="CW3288">
        <v>4986076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1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 t="shared" si="1531"/>
        <v>05/12/2020 14:46:49.687</v>
      </c>
      <c r="C3289" t="str">
        <f t="shared" si="1535"/>
        <v>FFDFD3C0</v>
      </c>
      <c r="D3289" t="s">
        <v>126</v>
      </c>
      <c r="E3289">
        <v>6</v>
      </c>
      <c r="F3289">
        <v>1006</v>
      </c>
      <c r="G3289" t="s">
        <v>114</v>
      </c>
      <c r="J3289" t="s">
        <v>128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532"/>
        <v>14:47:07.531</v>
      </c>
      <c r="T3289" t="str">
        <f t="shared" si="1533"/>
        <v>14:47:07.331</v>
      </c>
      <c r="U3289" t="str">
        <f t="shared" si="1527"/>
        <v>A9808D</v>
      </c>
      <c r="V3289">
        <v>0</v>
      </c>
      <c r="W3289">
        <v>0</v>
      </c>
      <c r="X3289">
        <v>1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0</v>
      </c>
      <c r="AI3289" t="s">
        <v>747</v>
      </c>
      <c r="AJ3289">
        <v>28.246836999999999</v>
      </c>
      <c r="AK3289" t="s">
        <v>777</v>
      </c>
      <c r="AL3289">
        <v>-82.269830999999996</v>
      </c>
      <c r="AM3289">
        <v>100</v>
      </c>
      <c r="AN3289">
        <v>2300</v>
      </c>
      <c r="AO3289" t="s">
        <v>118</v>
      </c>
      <c r="AP3289">
        <v>134</v>
      </c>
      <c r="AQ3289">
        <v>16</v>
      </c>
      <c r="AR3289">
        <v>384</v>
      </c>
      <c r="AZ3289">
        <v>1200</v>
      </c>
      <c r="BA3289">
        <v>1</v>
      </c>
      <c r="BB3289" t="str">
        <f t="shared" si="1536"/>
        <v xml:space="preserve">N711JA  </v>
      </c>
      <c r="BC3289">
        <v>1</v>
      </c>
      <c r="BE3289">
        <v>0</v>
      </c>
      <c r="BF3289">
        <v>0</v>
      </c>
      <c r="BG3289">
        <v>0</v>
      </c>
      <c r="BH3289">
        <v>2275</v>
      </c>
      <c r="BI3289">
        <v>1</v>
      </c>
      <c r="BJ3289">
        <v>1</v>
      </c>
      <c r="BK3289">
        <v>0</v>
      </c>
      <c r="BL3289">
        <v>0</v>
      </c>
      <c r="BO3289">
        <v>0</v>
      </c>
      <c r="BP3289">
        <v>0</v>
      </c>
      <c r="BW3289" t="str">
        <f t="shared" si="1534"/>
        <v>14:47:07.535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6</v>
      </c>
      <c r="CP3289" t="s">
        <v>119</v>
      </c>
      <c r="CQ3289">
        <v>358</v>
      </c>
      <c r="CR3289">
        <v>0</v>
      </c>
      <c r="CW3289">
        <v>4961752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1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 t="shared" si="1531"/>
        <v>05/12/2020 14:46:49.687</v>
      </c>
      <c r="C3290" t="str">
        <f t="shared" si="1535"/>
        <v>FFDFD3C0</v>
      </c>
      <c r="D3290" t="s">
        <v>138</v>
      </c>
      <c r="E3290">
        <v>2</v>
      </c>
      <c r="H3290">
        <v>8</v>
      </c>
      <c r="I3290" t="s">
        <v>139</v>
      </c>
      <c r="J3290" t="s">
        <v>136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si="1532"/>
        <v>14:47:07.531</v>
      </c>
      <c r="T3290" t="str">
        <f t="shared" si="1533"/>
        <v>14:47:07.331</v>
      </c>
      <c r="U3290" t="str">
        <f t="shared" si="1527"/>
        <v>A9808D</v>
      </c>
      <c r="V3290">
        <v>0</v>
      </c>
      <c r="W3290">
        <v>0</v>
      </c>
      <c r="X3290">
        <v>1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0</v>
      </c>
      <c r="AI3290" t="s">
        <v>747</v>
      </c>
      <c r="AJ3290">
        <v>28.246836999999999</v>
      </c>
      <c r="AK3290" t="s">
        <v>777</v>
      </c>
      <c r="AL3290">
        <v>-82.269830999999996</v>
      </c>
      <c r="AM3290">
        <v>100</v>
      </c>
      <c r="AN3290">
        <v>2300</v>
      </c>
      <c r="AO3290" t="s">
        <v>118</v>
      </c>
      <c r="AP3290">
        <v>134</v>
      </c>
      <c r="AQ3290">
        <v>16</v>
      </c>
      <c r="AR3290">
        <v>384</v>
      </c>
      <c r="AZ3290">
        <v>1200</v>
      </c>
      <c r="BA3290">
        <v>1</v>
      </c>
      <c r="BB3290" t="str">
        <f t="shared" si="1536"/>
        <v xml:space="preserve">N711JA  </v>
      </c>
      <c r="BC3290">
        <v>1</v>
      </c>
      <c r="BE3290">
        <v>0</v>
      </c>
      <c r="BF3290">
        <v>0</v>
      </c>
      <c r="BG3290">
        <v>0</v>
      </c>
      <c r="BH3290">
        <v>2275</v>
      </c>
      <c r="BI3290">
        <v>1</v>
      </c>
      <c r="BJ3290">
        <v>1</v>
      </c>
      <c r="BK3290">
        <v>0</v>
      </c>
      <c r="BL3290">
        <v>0</v>
      </c>
      <c r="BO3290">
        <v>0</v>
      </c>
      <c r="BP3290">
        <v>0</v>
      </c>
      <c r="BW3290" t="str">
        <f t="shared" si="1534"/>
        <v>14:47:07.535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6</v>
      </c>
      <c r="CP3290" t="s">
        <v>119</v>
      </c>
      <c r="CQ3290">
        <v>56</v>
      </c>
      <c r="CR3290">
        <v>2</v>
      </c>
      <c r="CW3290">
        <v>4986076</v>
      </c>
      <c r="CY3290">
        <v>1</v>
      </c>
      <c r="CZ3290">
        <v>0</v>
      </c>
      <c r="DA3290">
        <v>1</v>
      </c>
      <c r="DB3290">
        <v>0</v>
      </c>
      <c r="DC3290">
        <v>0</v>
      </c>
      <c r="DD3290">
        <v>1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 t="shared" ref="A3291:A3299" si="1537">"05/12/2020 14:46:50.665"</f>
        <v>05/12/2020 14:46:50.665</v>
      </c>
      <c r="C3291" t="str">
        <f t="shared" si="1535"/>
        <v>FFDFD3C0</v>
      </c>
      <c r="D3291" t="s">
        <v>126</v>
      </c>
      <c r="E3291">
        <v>7</v>
      </c>
      <c r="F3291">
        <v>1007</v>
      </c>
      <c r="G3291" t="s">
        <v>127</v>
      </c>
      <c r="J3291" t="s">
        <v>128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ref="S3291:S3299" si="1538">"14:47:08.484"</f>
        <v>14:47:08.484</v>
      </c>
      <c r="T3291" t="str">
        <f t="shared" ref="T3291:T3299" si="1539">"14:47:08.284"</f>
        <v>14:47:08.284</v>
      </c>
      <c r="U3291" t="str">
        <f t="shared" si="1527"/>
        <v>A9808D</v>
      </c>
      <c r="V3291">
        <v>0</v>
      </c>
      <c r="W3291">
        <v>0</v>
      </c>
      <c r="X3291">
        <v>1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0</v>
      </c>
      <c r="AI3291" t="s">
        <v>778</v>
      </c>
      <c r="AJ3291">
        <v>28.246901000000001</v>
      </c>
      <c r="AK3291" t="s">
        <v>779</v>
      </c>
      <c r="AL3291">
        <v>-82.269165999999998</v>
      </c>
      <c r="AM3291">
        <v>100</v>
      </c>
      <c r="AN3291">
        <v>2300</v>
      </c>
      <c r="AO3291" t="s">
        <v>118</v>
      </c>
      <c r="AP3291">
        <v>133</v>
      </c>
      <c r="AQ3291">
        <v>20</v>
      </c>
      <c r="AR3291">
        <v>576</v>
      </c>
      <c r="AZ3291">
        <v>1200</v>
      </c>
      <c r="BA3291">
        <v>1</v>
      </c>
      <c r="BB3291" t="str">
        <f t="shared" si="1536"/>
        <v xml:space="preserve">N711JA  </v>
      </c>
      <c r="BC3291">
        <v>1</v>
      </c>
      <c r="BE3291">
        <v>0</v>
      </c>
      <c r="BF3291">
        <v>0</v>
      </c>
      <c r="BG3291">
        <v>0</v>
      </c>
      <c r="BH3291">
        <v>2300</v>
      </c>
      <c r="BI3291">
        <v>1</v>
      </c>
      <c r="BJ3291">
        <v>1</v>
      </c>
      <c r="BK3291">
        <v>0</v>
      </c>
      <c r="BL3291">
        <v>0</v>
      </c>
      <c r="BO3291">
        <v>0</v>
      </c>
      <c r="BP3291">
        <v>0</v>
      </c>
      <c r="BW3291" t="str">
        <f t="shared" ref="BW3291:BW3299" si="1540">"14:47:08.491"</f>
        <v>14:47:08.491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358</v>
      </c>
      <c r="CR3291">
        <v>0</v>
      </c>
      <c r="CW3291">
        <v>4962895</v>
      </c>
      <c r="CY3291">
        <v>1</v>
      </c>
      <c r="CZ3291">
        <v>0</v>
      </c>
      <c r="DA3291">
        <v>0</v>
      </c>
      <c r="DB3291">
        <v>0</v>
      </c>
      <c r="DC3291">
        <v>0</v>
      </c>
      <c r="DD3291">
        <v>1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 t="shared" si="1537"/>
        <v>05/12/2020 14:46:50.665</v>
      </c>
      <c r="C3292" t="str">
        <f t="shared" si="1535"/>
        <v>FFDFD3C0</v>
      </c>
      <c r="D3292" t="s">
        <v>131</v>
      </c>
      <c r="E3292">
        <v>10</v>
      </c>
      <c r="F3292">
        <v>2010</v>
      </c>
      <c r="G3292" t="s">
        <v>132</v>
      </c>
      <c r="J3292" t="s">
        <v>133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si="1538"/>
        <v>14:47:08.484</v>
      </c>
      <c r="T3292" t="str">
        <f t="shared" si="1539"/>
        <v>14:47:08.284</v>
      </c>
      <c r="U3292" t="str">
        <f t="shared" si="1527"/>
        <v>A9808D</v>
      </c>
      <c r="V3292">
        <v>0</v>
      </c>
      <c r="W3292">
        <v>0</v>
      </c>
      <c r="X3292">
        <v>1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0</v>
      </c>
      <c r="AI3292" t="s">
        <v>778</v>
      </c>
      <c r="AJ3292">
        <v>28.246901000000001</v>
      </c>
      <c r="AK3292" t="s">
        <v>779</v>
      </c>
      <c r="AL3292">
        <v>-82.269165999999998</v>
      </c>
      <c r="AM3292">
        <v>100</v>
      </c>
      <c r="AN3292">
        <v>2300</v>
      </c>
      <c r="AO3292" t="s">
        <v>118</v>
      </c>
      <c r="AP3292">
        <v>133</v>
      </c>
      <c r="AQ3292">
        <v>20</v>
      </c>
      <c r="AR3292">
        <v>576</v>
      </c>
      <c r="AZ3292">
        <v>1200</v>
      </c>
      <c r="BA3292">
        <v>1</v>
      </c>
      <c r="BB3292" t="str">
        <f t="shared" si="1536"/>
        <v xml:space="preserve">N711JA  </v>
      </c>
      <c r="BC3292">
        <v>1</v>
      </c>
      <c r="BE3292">
        <v>0</v>
      </c>
      <c r="BF3292">
        <v>0</v>
      </c>
      <c r="BG3292">
        <v>0</v>
      </c>
      <c r="BH3292">
        <v>2300</v>
      </c>
      <c r="BI3292">
        <v>1</v>
      </c>
      <c r="BJ3292">
        <v>1</v>
      </c>
      <c r="BK3292">
        <v>0</v>
      </c>
      <c r="BL3292">
        <v>0</v>
      </c>
      <c r="BO3292">
        <v>0</v>
      </c>
      <c r="BP3292">
        <v>0</v>
      </c>
      <c r="BW3292" t="str">
        <f t="shared" si="1540"/>
        <v>14:47:08.491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358</v>
      </c>
      <c r="CR3292">
        <v>0</v>
      </c>
      <c r="CW3292">
        <v>4962895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1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 t="shared" si="1537"/>
        <v>05/12/2020 14:46:50.665</v>
      </c>
      <c r="C3293" t="str">
        <f t="shared" si="1535"/>
        <v>FFDFD3C0</v>
      </c>
      <c r="D3293" t="s">
        <v>131</v>
      </c>
      <c r="E3293">
        <v>12</v>
      </c>
      <c r="F3293">
        <v>2012</v>
      </c>
      <c r="G3293" t="s">
        <v>137</v>
      </c>
      <c r="J3293" t="s">
        <v>133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538"/>
        <v>14:47:08.484</v>
      </c>
      <c r="T3293" t="str">
        <f t="shared" si="1539"/>
        <v>14:47:08.284</v>
      </c>
      <c r="U3293" t="str">
        <f t="shared" si="1527"/>
        <v>A9808D</v>
      </c>
      <c r="V3293">
        <v>0</v>
      </c>
      <c r="W3293">
        <v>0</v>
      </c>
      <c r="X3293">
        <v>1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0</v>
      </c>
      <c r="AI3293" t="s">
        <v>778</v>
      </c>
      <c r="AJ3293">
        <v>28.246901000000001</v>
      </c>
      <c r="AK3293" t="s">
        <v>779</v>
      </c>
      <c r="AL3293">
        <v>-82.269165999999998</v>
      </c>
      <c r="AM3293">
        <v>100</v>
      </c>
      <c r="AN3293">
        <v>2300</v>
      </c>
      <c r="AO3293" t="s">
        <v>118</v>
      </c>
      <c r="AP3293">
        <v>133</v>
      </c>
      <c r="AQ3293">
        <v>20</v>
      </c>
      <c r="AR3293">
        <v>576</v>
      </c>
      <c r="AZ3293">
        <v>1200</v>
      </c>
      <c r="BA3293">
        <v>1</v>
      </c>
      <c r="BB3293" t="str">
        <f t="shared" si="1536"/>
        <v xml:space="preserve">N711JA  </v>
      </c>
      <c r="BC3293">
        <v>1</v>
      </c>
      <c r="BE3293">
        <v>0</v>
      </c>
      <c r="BF3293">
        <v>0</v>
      </c>
      <c r="BG3293">
        <v>0</v>
      </c>
      <c r="BH3293">
        <v>2300</v>
      </c>
      <c r="BI3293">
        <v>1</v>
      </c>
      <c r="BJ3293">
        <v>1</v>
      </c>
      <c r="BK3293">
        <v>0</v>
      </c>
      <c r="BL3293">
        <v>0</v>
      </c>
      <c r="BO3293">
        <v>0</v>
      </c>
      <c r="BP3293">
        <v>0</v>
      </c>
      <c r="BW3293" t="str">
        <f t="shared" si="1540"/>
        <v>14:47:08.491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6</v>
      </c>
      <c r="CP3293" t="s">
        <v>119</v>
      </c>
      <c r="CQ3293">
        <v>56</v>
      </c>
      <c r="CR3293">
        <v>2</v>
      </c>
      <c r="CW3293">
        <v>4987226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1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 t="shared" si="1537"/>
        <v>05/12/2020 14:46:50.665</v>
      </c>
      <c r="C3294" t="str">
        <f t="shared" si="1535"/>
        <v>FFDFD3C0</v>
      </c>
      <c r="D3294" t="s">
        <v>131</v>
      </c>
      <c r="E3294">
        <v>18</v>
      </c>
      <c r="F3294">
        <v>2018</v>
      </c>
      <c r="G3294" t="s">
        <v>161</v>
      </c>
      <c r="J3294" t="s">
        <v>133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538"/>
        <v>14:47:08.484</v>
      </c>
      <c r="T3294" t="str">
        <f t="shared" si="1539"/>
        <v>14:47:08.284</v>
      </c>
      <c r="U3294" t="str">
        <f t="shared" si="1527"/>
        <v>A9808D</v>
      </c>
      <c r="V3294">
        <v>0</v>
      </c>
      <c r="W3294">
        <v>0</v>
      </c>
      <c r="X3294">
        <v>1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0</v>
      </c>
      <c r="AI3294" t="s">
        <v>778</v>
      </c>
      <c r="AJ3294">
        <v>28.246901000000001</v>
      </c>
      <c r="AK3294" t="s">
        <v>779</v>
      </c>
      <c r="AL3294">
        <v>-82.269165999999998</v>
      </c>
      <c r="AM3294">
        <v>100</v>
      </c>
      <c r="AN3294">
        <v>2300</v>
      </c>
      <c r="AO3294" t="s">
        <v>118</v>
      </c>
      <c r="AP3294">
        <v>133</v>
      </c>
      <c r="AQ3294">
        <v>20</v>
      </c>
      <c r="AR3294">
        <v>576</v>
      </c>
      <c r="AZ3294">
        <v>1200</v>
      </c>
      <c r="BA3294">
        <v>1</v>
      </c>
      <c r="BB3294" t="str">
        <f t="shared" si="1536"/>
        <v xml:space="preserve">N711JA  </v>
      </c>
      <c r="BC3294">
        <v>1</v>
      </c>
      <c r="BE3294">
        <v>0</v>
      </c>
      <c r="BF3294">
        <v>0</v>
      </c>
      <c r="BG3294">
        <v>0</v>
      </c>
      <c r="BH3294">
        <v>2300</v>
      </c>
      <c r="BI3294">
        <v>1</v>
      </c>
      <c r="BJ3294">
        <v>1</v>
      </c>
      <c r="BK3294">
        <v>0</v>
      </c>
      <c r="BL3294">
        <v>0</v>
      </c>
      <c r="BO3294">
        <v>0</v>
      </c>
      <c r="BP3294">
        <v>0</v>
      </c>
      <c r="BW3294" t="str">
        <f t="shared" si="1540"/>
        <v>14:47:08.491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6</v>
      </c>
      <c r="CP3294" t="s">
        <v>119</v>
      </c>
      <c r="CQ3294">
        <v>56</v>
      </c>
      <c r="CR3294">
        <v>2</v>
      </c>
      <c r="CW3294">
        <v>4987226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1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 t="shared" si="1537"/>
        <v>05/12/2020 14:46:50.665</v>
      </c>
      <c r="C3295" t="str">
        <f t="shared" si="1535"/>
        <v>FFDFD3C0</v>
      </c>
      <c r="D3295" t="s">
        <v>113</v>
      </c>
      <c r="E3295">
        <v>3</v>
      </c>
      <c r="H3295">
        <v>164</v>
      </c>
      <c r="I3295" t="s">
        <v>114</v>
      </c>
      <c r="J3295" t="s">
        <v>115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538"/>
        <v>14:47:08.484</v>
      </c>
      <c r="T3295" t="str">
        <f t="shared" si="1539"/>
        <v>14:47:08.284</v>
      </c>
      <c r="U3295" t="str">
        <f t="shared" si="1527"/>
        <v>A9808D</v>
      </c>
      <c r="V3295">
        <v>0</v>
      </c>
      <c r="W3295">
        <v>0</v>
      </c>
      <c r="X3295">
        <v>1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0</v>
      </c>
      <c r="AI3295" t="s">
        <v>778</v>
      </c>
      <c r="AJ3295">
        <v>28.246901000000001</v>
      </c>
      <c r="AK3295" t="s">
        <v>779</v>
      </c>
      <c r="AL3295">
        <v>-82.269165999999998</v>
      </c>
      <c r="AM3295">
        <v>100</v>
      </c>
      <c r="AN3295">
        <v>2300</v>
      </c>
      <c r="AO3295" t="s">
        <v>118</v>
      </c>
      <c r="AP3295">
        <v>133</v>
      </c>
      <c r="AQ3295">
        <v>20</v>
      </c>
      <c r="AR3295">
        <v>576</v>
      </c>
      <c r="AZ3295">
        <v>1200</v>
      </c>
      <c r="BA3295">
        <v>1</v>
      </c>
      <c r="BB3295" t="str">
        <f t="shared" si="1536"/>
        <v xml:space="preserve">N711JA  </v>
      </c>
      <c r="BC3295">
        <v>1</v>
      </c>
      <c r="BE3295">
        <v>0</v>
      </c>
      <c r="BF3295">
        <v>0</v>
      </c>
      <c r="BG3295">
        <v>0</v>
      </c>
      <c r="BH3295">
        <v>2300</v>
      </c>
      <c r="BI3295">
        <v>1</v>
      </c>
      <c r="BJ3295">
        <v>1</v>
      </c>
      <c r="BK3295">
        <v>0</v>
      </c>
      <c r="BL3295">
        <v>0</v>
      </c>
      <c r="BO3295">
        <v>0</v>
      </c>
      <c r="BP3295">
        <v>0</v>
      </c>
      <c r="BW3295" t="str">
        <f t="shared" si="1540"/>
        <v>14:47:08.491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6</v>
      </c>
      <c r="CP3295" t="s">
        <v>119</v>
      </c>
      <c r="CQ3295">
        <v>56</v>
      </c>
      <c r="CR3295">
        <v>2</v>
      </c>
      <c r="CW3295">
        <v>4987226</v>
      </c>
      <c r="CY3295">
        <v>1</v>
      </c>
      <c r="CZ3295">
        <v>0</v>
      </c>
      <c r="DA3295">
        <v>1</v>
      </c>
      <c r="DB3295">
        <v>0</v>
      </c>
      <c r="DC3295">
        <v>0</v>
      </c>
      <c r="DD3295">
        <v>1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 t="shared" si="1537"/>
        <v>05/12/2020 14:46:50.665</v>
      </c>
      <c r="C3296" t="str">
        <f t="shared" si="1535"/>
        <v>FFDFD3C0</v>
      </c>
      <c r="D3296" t="s">
        <v>126</v>
      </c>
      <c r="E3296">
        <v>6</v>
      </c>
      <c r="F3296">
        <v>1006</v>
      </c>
      <c r="G3296" t="s">
        <v>114</v>
      </c>
      <c r="J3296" t="s">
        <v>128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538"/>
        <v>14:47:08.484</v>
      </c>
      <c r="T3296" t="str">
        <f t="shared" si="1539"/>
        <v>14:47:08.284</v>
      </c>
      <c r="U3296" t="str">
        <f t="shared" si="1527"/>
        <v>A9808D</v>
      </c>
      <c r="V3296">
        <v>0</v>
      </c>
      <c r="W3296">
        <v>0</v>
      </c>
      <c r="X3296">
        <v>1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0</v>
      </c>
      <c r="AI3296" t="s">
        <v>778</v>
      </c>
      <c r="AJ3296">
        <v>28.246901000000001</v>
      </c>
      <c r="AK3296" t="s">
        <v>779</v>
      </c>
      <c r="AL3296">
        <v>-82.269165999999998</v>
      </c>
      <c r="AM3296">
        <v>100</v>
      </c>
      <c r="AN3296">
        <v>2300</v>
      </c>
      <c r="AO3296" t="s">
        <v>118</v>
      </c>
      <c r="AP3296">
        <v>133</v>
      </c>
      <c r="AQ3296">
        <v>20</v>
      </c>
      <c r="AR3296">
        <v>576</v>
      </c>
      <c r="AZ3296">
        <v>1200</v>
      </c>
      <c r="BA3296">
        <v>1</v>
      </c>
      <c r="BB3296" t="str">
        <f t="shared" si="1536"/>
        <v xml:space="preserve">N711JA  </v>
      </c>
      <c r="BC3296">
        <v>1</v>
      </c>
      <c r="BE3296">
        <v>0</v>
      </c>
      <c r="BF3296">
        <v>0</v>
      </c>
      <c r="BG3296">
        <v>0</v>
      </c>
      <c r="BH3296">
        <v>2300</v>
      </c>
      <c r="BI3296">
        <v>1</v>
      </c>
      <c r="BJ3296">
        <v>1</v>
      </c>
      <c r="BK3296">
        <v>0</v>
      </c>
      <c r="BL3296">
        <v>0</v>
      </c>
      <c r="BO3296">
        <v>0</v>
      </c>
      <c r="BP3296">
        <v>0</v>
      </c>
      <c r="BW3296" t="str">
        <f t="shared" si="1540"/>
        <v>14:47:08.491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358</v>
      </c>
      <c r="CR3296">
        <v>0</v>
      </c>
      <c r="CW3296">
        <v>4962895</v>
      </c>
      <c r="CY3296">
        <v>1</v>
      </c>
      <c r="CZ3296">
        <v>0</v>
      </c>
      <c r="DA3296">
        <v>1</v>
      </c>
      <c r="DB3296">
        <v>0</v>
      </c>
      <c r="DC3296">
        <v>0</v>
      </c>
      <c r="DD3296">
        <v>1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 t="shared" si="1537"/>
        <v>05/12/2020 14:46:50.665</v>
      </c>
      <c r="C3297" t="str">
        <f t="shared" si="1535"/>
        <v>FFDFD3C0</v>
      </c>
      <c r="D3297" t="s">
        <v>138</v>
      </c>
      <c r="E3297">
        <v>2</v>
      </c>
      <c r="H3297">
        <v>8</v>
      </c>
      <c r="I3297" t="s">
        <v>139</v>
      </c>
      <c r="J3297" t="s">
        <v>136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538"/>
        <v>14:47:08.484</v>
      </c>
      <c r="T3297" t="str">
        <f t="shared" si="1539"/>
        <v>14:47:08.284</v>
      </c>
      <c r="U3297" t="str">
        <f t="shared" si="1527"/>
        <v>A9808D</v>
      </c>
      <c r="V3297">
        <v>0</v>
      </c>
      <c r="W3297">
        <v>0</v>
      </c>
      <c r="X3297">
        <v>1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0</v>
      </c>
      <c r="AI3297" t="s">
        <v>778</v>
      </c>
      <c r="AJ3297">
        <v>28.246901000000001</v>
      </c>
      <c r="AK3297" t="s">
        <v>779</v>
      </c>
      <c r="AL3297">
        <v>-82.269165999999998</v>
      </c>
      <c r="AM3297">
        <v>100</v>
      </c>
      <c r="AN3297">
        <v>2300</v>
      </c>
      <c r="AO3297" t="s">
        <v>118</v>
      </c>
      <c r="AP3297">
        <v>133</v>
      </c>
      <c r="AQ3297">
        <v>20</v>
      </c>
      <c r="AR3297">
        <v>576</v>
      </c>
      <c r="AZ3297">
        <v>1200</v>
      </c>
      <c r="BA3297">
        <v>1</v>
      </c>
      <c r="BB3297" t="str">
        <f t="shared" si="1536"/>
        <v xml:space="preserve">N711JA  </v>
      </c>
      <c r="BC3297">
        <v>1</v>
      </c>
      <c r="BE3297">
        <v>0</v>
      </c>
      <c r="BF3297">
        <v>0</v>
      </c>
      <c r="BG3297">
        <v>0</v>
      </c>
      <c r="BH3297">
        <v>2300</v>
      </c>
      <c r="BI3297">
        <v>1</v>
      </c>
      <c r="BJ3297">
        <v>1</v>
      </c>
      <c r="BK3297">
        <v>0</v>
      </c>
      <c r="BL3297">
        <v>0</v>
      </c>
      <c r="BO3297">
        <v>0</v>
      </c>
      <c r="BP3297">
        <v>0</v>
      </c>
      <c r="BW3297" t="str">
        <f t="shared" si="1540"/>
        <v>14:47:08.491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6</v>
      </c>
      <c r="CP3297" t="s">
        <v>119</v>
      </c>
      <c r="CQ3297">
        <v>56</v>
      </c>
      <c r="CR3297">
        <v>2</v>
      </c>
      <c r="CW3297">
        <v>4987226</v>
      </c>
      <c r="CY3297">
        <v>1</v>
      </c>
      <c r="CZ3297">
        <v>0</v>
      </c>
      <c r="DA3297">
        <v>1</v>
      </c>
      <c r="DB3297">
        <v>0</v>
      </c>
      <c r="DC3297">
        <v>0</v>
      </c>
      <c r="DD3297">
        <v>1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 t="shared" si="1537"/>
        <v>05/12/2020 14:46:50.665</v>
      </c>
      <c r="C3298" t="str">
        <f t="shared" si="1535"/>
        <v>FFDFD3C0</v>
      </c>
      <c r="D3298" t="s">
        <v>134</v>
      </c>
      <c r="E3298">
        <v>12</v>
      </c>
      <c r="H3298">
        <v>64</v>
      </c>
      <c r="I3298" t="s">
        <v>135</v>
      </c>
      <c r="J3298" t="s">
        <v>136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si="1538"/>
        <v>14:47:08.484</v>
      </c>
      <c r="T3298" t="str">
        <f t="shared" si="1539"/>
        <v>14:47:08.284</v>
      </c>
      <c r="U3298" t="str">
        <f t="shared" si="1527"/>
        <v>A9808D</v>
      </c>
      <c r="V3298">
        <v>0</v>
      </c>
      <c r="W3298">
        <v>0</v>
      </c>
      <c r="X3298">
        <v>1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0</v>
      </c>
      <c r="AI3298" t="s">
        <v>778</v>
      </c>
      <c r="AJ3298">
        <v>28.246901000000001</v>
      </c>
      <c r="AK3298" t="s">
        <v>779</v>
      </c>
      <c r="AL3298">
        <v>-82.269165999999998</v>
      </c>
      <c r="AM3298">
        <v>100</v>
      </c>
      <c r="AN3298">
        <v>2300</v>
      </c>
      <c r="AO3298" t="s">
        <v>118</v>
      </c>
      <c r="AP3298">
        <v>133</v>
      </c>
      <c r="AQ3298">
        <v>20</v>
      </c>
      <c r="AR3298">
        <v>576</v>
      </c>
      <c r="AZ3298">
        <v>1200</v>
      </c>
      <c r="BA3298">
        <v>1</v>
      </c>
      <c r="BB3298" t="str">
        <f t="shared" si="1536"/>
        <v xml:space="preserve">N711JA  </v>
      </c>
      <c r="BC3298">
        <v>1</v>
      </c>
      <c r="BE3298">
        <v>0</v>
      </c>
      <c r="BF3298">
        <v>0</v>
      </c>
      <c r="BG3298">
        <v>0</v>
      </c>
      <c r="BH3298">
        <v>2300</v>
      </c>
      <c r="BI3298">
        <v>1</v>
      </c>
      <c r="BJ3298">
        <v>1</v>
      </c>
      <c r="BK3298">
        <v>0</v>
      </c>
      <c r="BL3298">
        <v>0</v>
      </c>
      <c r="BO3298">
        <v>0</v>
      </c>
      <c r="BP3298">
        <v>0</v>
      </c>
      <c r="BW3298" t="str">
        <f t="shared" si="1540"/>
        <v>14:47:08.491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358</v>
      </c>
      <c r="CR3298">
        <v>0</v>
      </c>
      <c r="CW3298">
        <v>4962895</v>
      </c>
      <c r="CY3298">
        <v>1</v>
      </c>
      <c r="CZ3298">
        <v>0</v>
      </c>
      <c r="DA3298">
        <v>1</v>
      </c>
      <c r="DB3298">
        <v>0</v>
      </c>
      <c r="DC3298">
        <v>0</v>
      </c>
      <c r="DD3298">
        <v>1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 t="shared" si="1537"/>
        <v>05/12/2020 14:46:50.665</v>
      </c>
      <c r="C3299" t="str">
        <f t="shared" si="1535"/>
        <v>FFDFD3C0</v>
      </c>
      <c r="D3299" t="s">
        <v>138</v>
      </c>
      <c r="E3299">
        <v>3</v>
      </c>
      <c r="H3299">
        <v>9</v>
      </c>
      <c r="I3299" t="s">
        <v>140</v>
      </c>
      <c r="J3299" t="s">
        <v>136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si="1538"/>
        <v>14:47:08.484</v>
      </c>
      <c r="T3299" t="str">
        <f t="shared" si="1539"/>
        <v>14:47:08.284</v>
      </c>
      <c r="U3299" t="str">
        <f t="shared" si="1527"/>
        <v>A9808D</v>
      </c>
      <c r="V3299">
        <v>0</v>
      </c>
      <c r="W3299">
        <v>0</v>
      </c>
      <c r="X3299">
        <v>1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0</v>
      </c>
      <c r="AI3299" t="s">
        <v>778</v>
      </c>
      <c r="AJ3299">
        <v>28.246901000000001</v>
      </c>
      <c r="AK3299" t="s">
        <v>779</v>
      </c>
      <c r="AL3299">
        <v>-82.269165999999998</v>
      </c>
      <c r="AM3299">
        <v>100</v>
      </c>
      <c r="AN3299">
        <v>2300</v>
      </c>
      <c r="AO3299" t="s">
        <v>118</v>
      </c>
      <c r="AP3299">
        <v>133</v>
      </c>
      <c r="AQ3299">
        <v>20</v>
      </c>
      <c r="AR3299">
        <v>576</v>
      </c>
      <c r="AZ3299">
        <v>1200</v>
      </c>
      <c r="BA3299">
        <v>1</v>
      </c>
      <c r="BB3299" t="str">
        <f t="shared" si="1536"/>
        <v xml:space="preserve">N711JA  </v>
      </c>
      <c r="BC3299">
        <v>1</v>
      </c>
      <c r="BE3299">
        <v>0</v>
      </c>
      <c r="BF3299">
        <v>0</v>
      </c>
      <c r="BG3299">
        <v>0</v>
      </c>
      <c r="BH3299">
        <v>2300</v>
      </c>
      <c r="BI3299">
        <v>1</v>
      </c>
      <c r="BJ3299">
        <v>1</v>
      </c>
      <c r="BK3299">
        <v>0</v>
      </c>
      <c r="BL3299">
        <v>0</v>
      </c>
      <c r="BO3299">
        <v>0</v>
      </c>
      <c r="BP3299">
        <v>0</v>
      </c>
      <c r="BW3299" t="str">
        <f t="shared" si="1540"/>
        <v>14:47:08.491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358</v>
      </c>
      <c r="CR3299">
        <v>0</v>
      </c>
      <c r="CW3299">
        <v>4962895</v>
      </c>
      <c r="CY3299">
        <v>1</v>
      </c>
      <c r="CZ3299">
        <v>0</v>
      </c>
      <c r="DA3299">
        <v>1</v>
      </c>
      <c r="DB3299">
        <v>0</v>
      </c>
      <c r="DC3299">
        <v>0</v>
      </c>
      <c r="DD3299">
        <v>1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 t="shared" ref="A3300:A3308" si="1541">"05/12/2020 14:46:51.650"</f>
        <v>05/12/2020 14:46:51.650</v>
      </c>
      <c r="C3300" t="str">
        <f t="shared" si="1535"/>
        <v>FFDFD3C0</v>
      </c>
      <c r="D3300" t="s">
        <v>113</v>
      </c>
      <c r="E3300">
        <v>3</v>
      </c>
      <c r="H3300">
        <v>164</v>
      </c>
      <c r="I3300" t="s">
        <v>114</v>
      </c>
      <c r="J3300" t="s">
        <v>115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ref="S3300:S3308" si="1542">"14:47:09.500"</f>
        <v>14:47:09.500</v>
      </c>
      <c r="T3300" t="str">
        <f t="shared" ref="T3300:T3308" si="1543">"14:47:09.300"</f>
        <v>14:47:09.300</v>
      </c>
      <c r="U3300" t="str">
        <f t="shared" si="1527"/>
        <v>A9808D</v>
      </c>
      <c r="V3300">
        <v>0</v>
      </c>
      <c r="W3300">
        <v>0</v>
      </c>
      <c r="X3300">
        <v>1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0</v>
      </c>
      <c r="AI3300" t="s">
        <v>780</v>
      </c>
      <c r="AJ3300">
        <v>28.247029999999999</v>
      </c>
      <c r="AK3300" t="s">
        <v>781</v>
      </c>
      <c r="AL3300">
        <v>-82.268414000000007</v>
      </c>
      <c r="AM3300">
        <v>100</v>
      </c>
      <c r="AN3300">
        <v>2300</v>
      </c>
      <c r="AO3300" t="s">
        <v>118</v>
      </c>
      <c r="AP3300">
        <v>131</v>
      </c>
      <c r="AQ3300">
        <v>25</v>
      </c>
      <c r="AR3300">
        <v>640</v>
      </c>
      <c r="AZ3300">
        <v>1200</v>
      </c>
      <c r="BA3300">
        <v>1</v>
      </c>
      <c r="BB3300" t="str">
        <f t="shared" si="1536"/>
        <v xml:space="preserve">N711JA  </v>
      </c>
      <c r="BC3300">
        <v>1</v>
      </c>
      <c r="BE3300">
        <v>0</v>
      </c>
      <c r="BF3300">
        <v>0</v>
      </c>
      <c r="BG3300">
        <v>0</v>
      </c>
      <c r="BH3300">
        <v>2300</v>
      </c>
      <c r="BI3300">
        <v>1</v>
      </c>
      <c r="BJ3300">
        <v>1</v>
      </c>
      <c r="BK3300">
        <v>0</v>
      </c>
      <c r="BL3300">
        <v>0</v>
      </c>
      <c r="BO3300">
        <v>0</v>
      </c>
      <c r="BP3300">
        <v>0</v>
      </c>
      <c r="BW3300" t="str">
        <f>"14:47:09.503"</f>
        <v>14:47:09.503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6</v>
      </c>
      <c r="CP3300" t="s">
        <v>119</v>
      </c>
      <c r="CQ3300">
        <v>56</v>
      </c>
      <c r="CR3300">
        <v>2</v>
      </c>
      <c r="CW3300">
        <v>4988445</v>
      </c>
      <c r="CY3300">
        <v>1</v>
      </c>
      <c r="CZ3300">
        <v>0</v>
      </c>
      <c r="DA3300">
        <v>0</v>
      </c>
      <c r="DB3300">
        <v>0</v>
      </c>
      <c r="DC3300">
        <v>0</v>
      </c>
      <c r="DD3300">
        <v>1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 t="shared" si="1541"/>
        <v>05/12/2020 14:46:51.650</v>
      </c>
      <c r="C3301" t="str">
        <f t="shared" si="1535"/>
        <v>FFDFD3C0</v>
      </c>
      <c r="D3301" t="s">
        <v>134</v>
      </c>
      <c r="E3301">
        <v>12</v>
      </c>
      <c r="H3301">
        <v>64</v>
      </c>
      <c r="I3301" t="s">
        <v>135</v>
      </c>
      <c r="J3301" t="s">
        <v>136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542"/>
        <v>14:47:09.500</v>
      </c>
      <c r="T3301" t="str">
        <f t="shared" si="1543"/>
        <v>14:47:09.300</v>
      </c>
      <c r="U3301" t="str">
        <f t="shared" si="1527"/>
        <v>A9808D</v>
      </c>
      <c r="V3301">
        <v>0</v>
      </c>
      <c r="W3301">
        <v>0</v>
      </c>
      <c r="X3301">
        <v>1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0</v>
      </c>
      <c r="AI3301" t="s">
        <v>780</v>
      </c>
      <c r="AJ3301">
        <v>28.247029999999999</v>
      </c>
      <c r="AK3301" t="s">
        <v>781</v>
      </c>
      <c r="AL3301">
        <v>-82.268414000000007</v>
      </c>
      <c r="AM3301">
        <v>100</v>
      </c>
      <c r="AN3301">
        <v>2300</v>
      </c>
      <c r="AO3301" t="s">
        <v>118</v>
      </c>
      <c r="AP3301">
        <v>131</v>
      </c>
      <c r="AQ3301">
        <v>25</v>
      </c>
      <c r="AR3301">
        <v>640</v>
      </c>
      <c r="AZ3301">
        <v>1200</v>
      </c>
      <c r="BA3301">
        <v>1</v>
      </c>
      <c r="BB3301" t="str">
        <f t="shared" si="1536"/>
        <v xml:space="preserve">N711JA  </v>
      </c>
      <c r="BC3301">
        <v>1</v>
      </c>
      <c r="BE3301">
        <v>0</v>
      </c>
      <c r="BF3301">
        <v>0</v>
      </c>
      <c r="BG3301">
        <v>0</v>
      </c>
      <c r="BH3301">
        <v>2300</v>
      </c>
      <c r="BI3301">
        <v>1</v>
      </c>
      <c r="BJ3301">
        <v>1</v>
      </c>
      <c r="BK3301">
        <v>0</v>
      </c>
      <c r="BL3301">
        <v>0</v>
      </c>
      <c r="BO3301">
        <v>0</v>
      </c>
      <c r="BP3301">
        <v>0</v>
      </c>
      <c r="BW3301" t="str">
        <f>"14:47:09.502"</f>
        <v>14:47:09.502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6</v>
      </c>
      <c r="CP3301" t="s">
        <v>119</v>
      </c>
      <c r="CQ3301">
        <v>358</v>
      </c>
      <c r="CR3301">
        <v>0</v>
      </c>
      <c r="CW3301">
        <v>4964120</v>
      </c>
      <c r="CY3301">
        <v>1</v>
      </c>
      <c r="CZ3301">
        <v>0</v>
      </c>
      <c r="DA3301">
        <v>1</v>
      </c>
      <c r="DB3301">
        <v>0</v>
      </c>
      <c r="DC3301">
        <v>0</v>
      </c>
      <c r="DD3301">
        <v>1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 t="shared" si="1541"/>
        <v>05/12/2020 14:46:51.650</v>
      </c>
      <c r="C3302" t="str">
        <f t="shared" si="1535"/>
        <v>FFDFD3C0</v>
      </c>
      <c r="D3302" t="s">
        <v>138</v>
      </c>
      <c r="E3302">
        <v>2</v>
      </c>
      <c r="H3302">
        <v>8</v>
      </c>
      <c r="I3302" t="s">
        <v>139</v>
      </c>
      <c r="J3302" t="s">
        <v>136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542"/>
        <v>14:47:09.500</v>
      </c>
      <c r="T3302" t="str">
        <f t="shared" si="1543"/>
        <v>14:47:09.300</v>
      </c>
      <c r="U3302" t="str">
        <f t="shared" si="1527"/>
        <v>A9808D</v>
      </c>
      <c r="V3302">
        <v>0</v>
      </c>
      <c r="W3302">
        <v>0</v>
      </c>
      <c r="X3302">
        <v>1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0</v>
      </c>
      <c r="AI3302" t="s">
        <v>780</v>
      </c>
      <c r="AJ3302">
        <v>28.247029999999999</v>
      </c>
      <c r="AK3302" t="s">
        <v>781</v>
      </c>
      <c r="AL3302">
        <v>-82.268414000000007</v>
      </c>
      <c r="AM3302">
        <v>100</v>
      </c>
      <c r="AN3302">
        <v>2300</v>
      </c>
      <c r="AO3302" t="s">
        <v>118</v>
      </c>
      <c r="AP3302">
        <v>131</v>
      </c>
      <c r="AQ3302">
        <v>25</v>
      </c>
      <c r="AR3302">
        <v>640</v>
      </c>
      <c r="AZ3302">
        <v>1200</v>
      </c>
      <c r="BA3302">
        <v>1</v>
      </c>
      <c r="BB3302" t="str">
        <f t="shared" si="1536"/>
        <v xml:space="preserve">N711JA  </v>
      </c>
      <c r="BC3302">
        <v>1</v>
      </c>
      <c r="BE3302">
        <v>0</v>
      </c>
      <c r="BF3302">
        <v>0</v>
      </c>
      <c r="BG3302">
        <v>0</v>
      </c>
      <c r="BH3302">
        <v>2300</v>
      </c>
      <c r="BI3302">
        <v>1</v>
      </c>
      <c r="BJ3302">
        <v>1</v>
      </c>
      <c r="BK3302">
        <v>0</v>
      </c>
      <c r="BL3302">
        <v>0</v>
      </c>
      <c r="BO3302">
        <v>0</v>
      </c>
      <c r="BP3302">
        <v>0</v>
      </c>
      <c r="BW3302" t="str">
        <f>"14:47:09.503"</f>
        <v>14:47:09.503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6</v>
      </c>
      <c r="CP3302" t="s">
        <v>119</v>
      </c>
      <c r="CQ3302">
        <v>56</v>
      </c>
      <c r="CR3302">
        <v>2</v>
      </c>
      <c r="CW3302">
        <v>4988445</v>
      </c>
      <c r="CY3302">
        <v>1</v>
      </c>
      <c r="CZ3302">
        <v>0</v>
      </c>
      <c r="DA3302">
        <v>1</v>
      </c>
      <c r="DB3302">
        <v>0</v>
      </c>
      <c r="DC3302">
        <v>0</v>
      </c>
      <c r="DD3302">
        <v>1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 t="shared" si="1541"/>
        <v>05/12/2020 14:46:51.650</v>
      </c>
      <c r="C3303" t="str">
        <f t="shared" si="1535"/>
        <v>FFDFD3C0</v>
      </c>
      <c r="D3303" t="s">
        <v>138</v>
      </c>
      <c r="E3303">
        <v>3</v>
      </c>
      <c r="H3303">
        <v>9</v>
      </c>
      <c r="I3303" t="s">
        <v>140</v>
      </c>
      <c r="J3303" t="s">
        <v>136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542"/>
        <v>14:47:09.500</v>
      </c>
      <c r="T3303" t="str">
        <f t="shared" si="1543"/>
        <v>14:47:09.300</v>
      </c>
      <c r="U3303" t="str">
        <f t="shared" si="1527"/>
        <v>A9808D</v>
      </c>
      <c r="V3303">
        <v>0</v>
      </c>
      <c r="W3303">
        <v>0</v>
      </c>
      <c r="X3303">
        <v>1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0</v>
      </c>
      <c r="AI3303" t="s">
        <v>780</v>
      </c>
      <c r="AJ3303">
        <v>28.247029999999999</v>
      </c>
      <c r="AK3303" t="s">
        <v>781</v>
      </c>
      <c r="AL3303">
        <v>-82.268414000000007</v>
      </c>
      <c r="AM3303">
        <v>100</v>
      </c>
      <c r="AN3303">
        <v>2300</v>
      </c>
      <c r="AO3303" t="s">
        <v>118</v>
      </c>
      <c r="AP3303">
        <v>131</v>
      </c>
      <c r="AQ3303">
        <v>25</v>
      </c>
      <c r="AR3303">
        <v>640</v>
      </c>
      <c r="AZ3303">
        <v>1200</v>
      </c>
      <c r="BA3303">
        <v>1</v>
      </c>
      <c r="BB3303" t="str">
        <f t="shared" si="1536"/>
        <v xml:space="preserve">N711JA  </v>
      </c>
      <c r="BC3303">
        <v>1</v>
      </c>
      <c r="BE3303">
        <v>0</v>
      </c>
      <c r="BF3303">
        <v>0</v>
      </c>
      <c r="BG3303">
        <v>0</v>
      </c>
      <c r="BH3303">
        <v>2300</v>
      </c>
      <c r="BI3303">
        <v>1</v>
      </c>
      <c r="BJ3303">
        <v>1</v>
      </c>
      <c r="BK3303">
        <v>0</v>
      </c>
      <c r="BL3303">
        <v>0</v>
      </c>
      <c r="BO3303">
        <v>0</v>
      </c>
      <c r="BP3303">
        <v>0</v>
      </c>
      <c r="BW3303" t="str">
        <f>"14:47:09.502"</f>
        <v>14:47:09.502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6</v>
      </c>
      <c r="CP3303" t="s">
        <v>119</v>
      </c>
      <c r="CQ3303">
        <v>358</v>
      </c>
      <c r="CR3303">
        <v>0</v>
      </c>
      <c r="CW3303">
        <v>4964120</v>
      </c>
      <c r="CY3303">
        <v>1</v>
      </c>
      <c r="CZ3303">
        <v>0</v>
      </c>
      <c r="DA3303">
        <v>1</v>
      </c>
      <c r="DB3303">
        <v>0</v>
      </c>
      <c r="DC3303">
        <v>0</v>
      </c>
      <c r="DD3303">
        <v>1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 t="shared" si="1541"/>
        <v>05/12/2020 14:46:51.650</v>
      </c>
      <c r="C3304" t="str">
        <f t="shared" si="1535"/>
        <v>FFDFD3C0</v>
      </c>
      <c r="D3304" t="s">
        <v>126</v>
      </c>
      <c r="E3304">
        <v>7</v>
      </c>
      <c r="F3304">
        <v>1007</v>
      </c>
      <c r="G3304" t="s">
        <v>127</v>
      </c>
      <c r="J3304" t="s">
        <v>128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si="1542"/>
        <v>14:47:09.500</v>
      </c>
      <c r="T3304" t="str">
        <f t="shared" si="1543"/>
        <v>14:47:09.300</v>
      </c>
      <c r="U3304" t="str">
        <f t="shared" si="1527"/>
        <v>A9808D</v>
      </c>
      <c r="V3304">
        <v>0</v>
      </c>
      <c r="W3304">
        <v>0</v>
      </c>
      <c r="X3304">
        <v>1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0</v>
      </c>
      <c r="AI3304" t="s">
        <v>780</v>
      </c>
      <c r="AJ3304">
        <v>28.247029999999999</v>
      </c>
      <c r="AK3304" t="s">
        <v>781</v>
      </c>
      <c r="AL3304">
        <v>-82.268414000000007</v>
      </c>
      <c r="AM3304">
        <v>100</v>
      </c>
      <c r="AN3304">
        <v>2300</v>
      </c>
      <c r="AO3304" t="s">
        <v>118</v>
      </c>
      <c r="AP3304">
        <v>131</v>
      </c>
      <c r="AQ3304">
        <v>25</v>
      </c>
      <c r="AR3304">
        <v>640</v>
      </c>
      <c r="AZ3304">
        <v>1200</v>
      </c>
      <c r="BA3304">
        <v>1</v>
      </c>
      <c r="BB3304" t="str">
        <f t="shared" si="1536"/>
        <v xml:space="preserve">N711JA  </v>
      </c>
      <c r="BC3304">
        <v>1</v>
      </c>
      <c r="BE3304">
        <v>0</v>
      </c>
      <c r="BF3304">
        <v>0</v>
      </c>
      <c r="BG3304">
        <v>0</v>
      </c>
      <c r="BH3304">
        <v>2300</v>
      </c>
      <c r="BI3304">
        <v>1</v>
      </c>
      <c r="BJ3304">
        <v>1</v>
      </c>
      <c r="BK3304">
        <v>0</v>
      </c>
      <c r="BL3304">
        <v>0</v>
      </c>
      <c r="BO3304">
        <v>0</v>
      </c>
      <c r="BP3304">
        <v>0</v>
      </c>
      <c r="BW3304" t="str">
        <f>"14:47:09.502"</f>
        <v>14:47:09.502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6</v>
      </c>
      <c r="CP3304" t="s">
        <v>119</v>
      </c>
      <c r="CQ3304">
        <v>358</v>
      </c>
      <c r="CR3304">
        <v>0</v>
      </c>
      <c r="CW3304">
        <v>4964120</v>
      </c>
      <c r="CY3304">
        <v>1</v>
      </c>
      <c r="CZ3304">
        <v>0</v>
      </c>
      <c r="DA3304">
        <v>1</v>
      </c>
      <c r="DB3304">
        <v>0</v>
      </c>
      <c r="DC3304">
        <v>0</v>
      </c>
      <c r="DD3304">
        <v>1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 t="shared" si="1541"/>
        <v>05/12/2020 14:46:51.650</v>
      </c>
      <c r="C3305" t="str">
        <f t="shared" si="1535"/>
        <v>FFDFD3C0</v>
      </c>
      <c r="D3305" t="s">
        <v>131</v>
      </c>
      <c r="E3305">
        <v>10</v>
      </c>
      <c r="F3305">
        <v>2010</v>
      </c>
      <c r="G3305" t="s">
        <v>132</v>
      </c>
      <c r="J3305" t="s">
        <v>133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si="1542"/>
        <v>14:47:09.500</v>
      </c>
      <c r="T3305" t="str">
        <f t="shared" si="1543"/>
        <v>14:47:09.300</v>
      </c>
      <c r="U3305" t="str">
        <f t="shared" si="1527"/>
        <v>A9808D</v>
      </c>
      <c r="V3305">
        <v>0</v>
      </c>
      <c r="W3305">
        <v>0</v>
      </c>
      <c r="X3305">
        <v>1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0</v>
      </c>
      <c r="AI3305" t="s">
        <v>780</v>
      </c>
      <c r="AJ3305">
        <v>28.247029999999999</v>
      </c>
      <c r="AK3305" t="s">
        <v>781</v>
      </c>
      <c r="AL3305">
        <v>-82.268414000000007</v>
      </c>
      <c r="AM3305">
        <v>100</v>
      </c>
      <c r="AN3305">
        <v>2300</v>
      </c>
      <c r="AO3305" t="s">
        <v>118</v>
      </c>
      <c r="AP3305">
        <v>131</v>
      </c>
      <c r="AQ3305">
        <v>25</v>
      </c>
      <c r="AR3305">
        <v>640</v>
      </c>
      <c r="AZ3305">
        <v>1200</v>
      </c>
      <c r="BA3305">
        <v>1</v>
      </c>
      <c r="BB3305" t="str">
        <f t="shared" si="1536"/>
        <v xml:space="preserve">N711JA  </v>
      </c>
      <c r="BC3305">
        <v>1</v>
      </c>
      <c r="BE3305">
        <v>0</v>
      </c>
      <c r="BF3305">
        <v>0</v>
      </c>
      <c r="BG3305">
        <v>0</v>
      </c>
      <c r="BH3305">
        <v>2300</v>
      </c>
      <c r="BI3305">
        <v>1</v>
      </c>
      <c r="BJ3305">
        <v>1</v>
      </c>
      <c r="BK3305">
        <v>0</v>
      </c>
      <c r="BL3305">
        <v>0</v>
      </c>
      <c r="BO3305">
        <v>0</v>
      </c>
      <c r="BP3305">
        <v>0</v>
      </c>
      <c r="BW3305" t="str">
        <f>"14:47:09.502"</f>
        <v>14:47:09.502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6</v>
      </c>
      <c r="CP3305" t="s">
        <v>119</v>
      </c>
      <c r="CQ3305">
        <v>358</v>
      </c>
      <c r="CR3305">
        <v>0</v>
      </c>
      <c r="CW3305">
        <v>4964120</v>
      </c>
      <c r="CY3305">
        <v>1</v>
      </c>
      <c r="CZ3305">
        <v>0</v>
      </c>
      <c r="DA3305">
        <v>1</v>
      </c>
      <c r="DB3305">
        <v>0</v>
      </c>
      <c r="DC3305">
        <v>0</v>
      </c>
      <c r="DD3305">
        <v>1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 t="shared" si="1541"/>
        <v>05/12/2020 14:46:51.650</v>
      </c>
      <c r="C3306" t="str">
        <f t="shared" si="1535"/>
        <v>FFDFD3C0</v>
      </c>
      <c r="D3306" t="s">
        <v>131</v>
      </c>
      <c r="E3306">
        <v>12</v>
      </c>
      <c r="F3306">
        <v>2012</v>
      </c>
      <c r="G3306" t="s">
        <v>137</v>
      </c>
      <c r="J3306" t="s">
        <v>133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542"/>
        <v>14:47:09.500</v>
      </c>
      <c r="T3306" t="str">
        <f t="shared" si="1543"/>
        <v>14:47:09.300</v>
      </c>
      <c r="U3306" t="str">
        <f t="shared" si="1527"/>
        <v>A9808D</v>
      </c>
      <c r="V3306">
        <v>0</v>
      </c>
      <c r="W3306">
        <v>0</v>
      </c>
      <c r="X3306">
        <v>1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0</v>
      </c>
      <c r="AI3306" t="s">
        <v>780</v>
      </c>
      <c r="AJ3306">
        <v>28.247029999999999</v>
      </c>
      <c r="AK3306" t="s">
        <v>781</v>
      </c>
      <c r="AL3306">
        <v>-82.268414000000007</v>
      </c>
      <c r="AM3306">
        <v>100</v>
      </c>
      <c r="AN3306">
        <v>2300</v>
      </c>
      <c r="AO3306" t="s">
        <v>118</v>
      </c>
      <c r="AP3306">
        <v>131</v>
      </c>
      <c r="AQ3306">
        <v>25</v>
      </c>
      <c r="AR3306">
        <v>640</v>
      </c>
      <c r="AZ3306">
        <v>1200</v>
      </c>
      <c r="BA3306">
        <v>1</v>
      </c>
      <c r="BB3306" t="str">
        <f t="shared" si="1536"/>
        <v xml:space="preserve">N711JA  </v>
      </c>
      <c r="BC3306">
        <v>1</v>
      </c>
      <c r="BE3306">
        <v>0</v>
      </c>
      <c r="BF3306">
        <v>0</v>
      </c>
      <c r="BG3306">
        <v>0</v>
      </c>
      <c r="BH3306">
        <v>2300</v>
      </c>
      <c r="BI3306">
        <v>1</v>
      </c>
      <c r="BJ3306">
        <v>1</v>
      </c>
      <c r="BK3306">
        <v>0</v>
      </c>
      <c r="BL3306">
        <v>0</v>
      </c>
      <c r="BO3306">
        <v>0</v>
      </c>
      <c r="BP3306">
        <v>0</v>
      </c>
      <c r="BW3306" t="str">
        <f>"14:47:09.503"</f>
        <v>14:47:09.503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6</v>
      </c>
      <c r="CP3306" t="s">
        <v>119</v>
      </c>
      <c r="CQ3306">
        <v>56</v>
      </c>
      <c r="CR3306">
        <v>2</v>
      </c>
      <c r="CW3306">
        <v>4988445</v>
      </c>
      <c r="CY3306">
        <v>1</v>
      </c>
      <c r="CZ3306">
        <v>0</v>
      </c>
      <c r="DA3306">
        <v>1</v>
      </c>
      <c r="DB3306">
        <v>0</v>
      </c>
      <c r="DC3306">
        <v>0</v>
      </c>
      <c r="DD3306">
        <v>1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 t="shared" si="1541"/>
        <v>05/12/2020 14:46:51.650</v>
      </c>
      <c r="C3307" t="str">
        <f t="shared" si="1535"/>
        <v>FFDFD3C0</v>
      </c>
      <c r="D3307" t="s">
        <v>131</v>
      </c>
      <c r="E3307">
        <v>18</v>
      </c>
      <c r="F3307">
        <v>2018</v>
      </c>
      <c r="G3307" t="s">
        <v>161</v>
      </c>
      <c r="J3307" t="s">
        <v>133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542"/>
        <v>14:47:09.500</v>
      </c>
      <c r="T3307" t="str">
        <f t="shared" si="1543"/>
        <v>14:47:09.300</v>
      </c>
      <c r="U3307" t="str">
        <f t="shared" si="1527"/>
        <v>A9808D</v>
      </c>
      <c r="V3307">
        <v>0</v>
      </c>
      <c r="W3307">
        <v>0</v>
      </c>
      <c r="X3307">
        <v>1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0</v>
      </c>
      <c r="AI3307" t="s">
        <v>780</v>
      </c>
      <c r="AJ3307">
        <v>28.247029999999999</v>
      </c>
      <c r="AK3307" t="s">
        <v>781</v>
      </c>
      <c r="AL3307">
        <v>-82.268414000000007</v>
      </c>
      <c r="AM3307">
        <v>100</v>
      </c>
      <c r="AN3307">
        <v>2300</v>
      </c>
      <c r="AO3307" t="s">
        <v>118</v>
      </c>
      <c r="AP3307">
        <v>131</v>
      </c>
      <c r="AQ3307">
        <v>25</v>
      </c>
      <c r="AR3307">
        <v>640</v>
      </c>
      <c r="AZ3307">
        <v>1200</v>
      </c>
      <c r="BA3307">
        <v>1</v>
      </c>
      <c r="BB3307" t="str">
        <f t="shared" si="1536"/>
        <v xml:space="preserve">N711JA  </v>
      </c>
      <c r="BC3307">
        <v>1</v>
      </c>
      <c r="BE3307">
        <v>0</v>
      </c>
      <c r="BF3307">
        <v>0</v>
      </c>
      <c r="BG3307">
        <v>0</v>
      </c>
      <c r="BH3307">
        <v>2300</v>
      </c>
      <c r="BI3307">
        <v>1</v>
      </c>
      <c r="BJ3307">
        <v>1</v>
      </c>
      <c r="BK3307">
        <v>0</v>
      </c>
      <c r="BL3307">
        <v>0</v>
      </c>
      <c r="BO3307">
        <v>0</v>
      </c>
      <c r="BP3307">
        <v>0</v>
      </c>
      <c r="BW3307" t="str">
        <f>"14:47:09.503"</f>
        <v>14:47:09.503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6</v>
      </c>
      <c r="CP3307" t="s">
        <v>119</v>
      </c>
      <c r="CQ3307">
        <v>56</v>
      </c>
      <c r="CR3307">
        <v>2</v>
      </c>
      <c r="CW3307">
        <v>4988445</v>
      </c>
      <c r="CY3307">
        <v>1</v>
      </c>
      <c r="CZ3307">
        <v>0</v>
      </c>
      <c r="DA3307">
        <v>1</v>
      </c>
      <c r="DB3307">
        <v>0</v>
      </c>
      <c r="DC3307">
        <v>0</v>
      </c>
      <c r="DD3307">
        <v>1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 t="shared" si="1541"/>
        <v>05/12/2020 14:46:51.650</v>
      </c>
      <c r="C3308" t="str">
        <f t="shared" si="1535"/>
        <v>FFDFD3C0</v>
      </c>
      <c r="D3308" t="s">
        <v>126</v>
      </c>
      <c r="E3308">
        <v>6</v>
      </c>
      <c r="F3308">
        <v>1006</v>
      </c>
      <c r="G3308" t="s">
        <v>114</v>
      </c>
      <c r="J3308" t="s">
        <v>128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542"/>
        <v>14:47:09.500</v>
      </c>
      <c r="T3308" t="str">
        <f t="shared" si="1543"/>
        <v>14:47:09.300</v>
      </c>
      <c r="U3308" t="str">
        <f t="shared" si="1527"/>
        <v>A9808D</v>
      </c>
      <c r="V3308">
        <v>0</v>
      </c>
      <c r="W3308">
        <v>0</v>
      </c>
      <c r="X3308">
        <v>1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0</v>
      </c>
      <c r="AI3308" t="s">
        <v>780</v>
      </c>
      <c r="AJ3308">
        <v>28.247029999999999</v>
      </c>
      <c r="AK3308" t="s">
        <v>781</v>
      </c>
      <c r="AL3308">
        <v>-82.268414000000007</v>
      </c>
      <c r="AM3308">
        <v>100</v>
      </c>
      <c r="AN3308">
        <v>2300</v>
      </c>
      <c r="AO3308" t="s">
        <v>118</v>
      </c>
      <c r="AP3308">
        <v>131</v>
      </c>
      <c r="AQ3308">
        <v>25</v>
      </c>
      <c r="AR3308">
        <v>640</v>
      </c>
      <c r="AZ3308">
        <v>1200</v>
      </c>
      <c r="BA3308">
        <v>1</v>
      </c>
      <c r="BB3308" t="str">
        <f t="shared" si="1536"/>
        <v xml:space="preserve">N711JA  </v>
      </c>
      <c r="BC3308">
        <v>1</v>
      </c>
      <c r="BE3308">
        <v>0</v>
      </c>
      <c r="BF3308">
        <v>0</v>
      </c>
      <c r="BG3308">
        <v>0</v>
      </c>
      <c r="BH3308">
        <v>2300</v>
      </c>
      <c r="BI3308">
        <v>1</v>
      </c>
      <c r="BJ3308">
        <v>1</v>
      </c>
      <c r="BK3308">
        <v>0</v>
      </c>
      <c r="BL3308">
        <v>0</v>
      </c>
      <c r="BO3308">
        <v>0</v>
      </c>
      <c r="BP3308">
        <v>0</v>
      </c>
      <c r="BW3308" t="str">
        <f>"14:47:09.502"</f>
        <v>14:47:09.502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6</v>
      </c>
      <c r="CP3308" t="s">
        <v>119</v>
      </c>
      <c r="CQ3308">
        <v>358</v>
      </c>
      <c r="CR3308">
        <v>0</v>
      </c>
      <c r="CW3308">
        <v>4964120</v>
      </c>
      <c r="CY3308">
        <v>1</v>
      </c>
      <c r="CZ3308">
        <v>0</v>
      </c>
      <c r="DA3308">
        <v>1</v>
      </c>
      <c r="DB3308">
        <v>0</v>
      </c>
      <c r="DC3308">
        <v>0</v>
      </c>
      <c r="DD3308">
        <v>1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 t="shared" ref="A3309:A3317" si="1544">"05/12/2020 14:46:52.864"</f>
        <v>05/12/2020 14:46:52.864</v>
      </c>
      <c r="C3309" t="str">
        <f t="shared" si="1535"/>
        <v>FFDFD3C0</v>
      </c>
      <c r="D3309" t="s">
        <v>113</v>
      </c>
      <c r="E3309">
        <v>3</v>
      </c>
      <c r="H3309">
        <v>164</v>
      </c>
      <c r="I3309" t="s">
        <v>114</v>
      </c>
      <c r="J3309" t="s">
        <v>115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ref="S3309:S3317" si="1545">"14:47:10.672"</f>
        <v>14:47:10.672</v>
      </c>
      <c r="T3309" t="str">
        <f>"14:47:10.372"</f>
        <v>14:47:10.372</v>
      </c>
      <c r="U3309" t="str">
        <f t="shared" si="1527"/>
        <v>A9808D</v>
      </c>
      <c r="V3309">
        <v>0</v>
      </c>
      <c r="W3309">
        <v>0</v>
      </c>
      <c r="X3309">
        <v>1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0</v>
      </c>
      <c r="AI3309" t="s">
        <v>729</v>
      </c>
      <c r="AJ3309">
        <v>28.247223000000002</v>
      </c>
      <c r="AK3309" t="s">
        <v>782</v>
      </c>
      <c r="AL3309">
        <v>-82.267685</v>
      </c>
      <c r="AM3309">
        <v>100</v>
      </c>
      <c r="AN3309">
        <v>2300</v>
      </c>
      <c r="AO3309" t="s">
        <v>118</v>
      </c>
      <c r="AP3309">
        <v>128</v>
      </c>
      <c r="AQ3309">
        <v>32</v>
      </c>
      <c r="AR3309">
        <v>640</v>
      </c>
      <c r="AZ3309">
        <v>1200</v>
      </c>
      <c r="BA3309">
        <v>1</v>
      </c>
      <c r="BB3309" t="str">
        <f t="shared" si="1536"/>
        <v xml:space="preserve">N711JA  </v>
      </c>
      <c r="BC3309">
        <v>1</v>
      </c>
      <c r="BE3309">
        <v>0</v>
      </c>
      <c r="BF3309">
        <v>0</v>
      </c>
      <c r="BG3309">
        <v>0</v>
      </c>
      <c r="BH3309">
        <v>2325</v>
      </c>
      <c r="BI3309">
        <v>1</v>
      </c>
      <c r="BJ3309">
        <v>1</v>
      </c>
      <c r="BK3309">
        <v>0</v>
      </c>
      <c r="BL3309">
        <v>0</v>
      </c>
      <c r="BO3309">
        <v>0</v>
      </c>
      <c r="BP3309">
        <v>0</v>
      </c>
      <c r="BW3309" t="str">
        <f t="shared" ref="BW3309:BW3317" si="1546">"14:47:10.672"</f>
        <v>14:47:10.672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6</v>
      </c>
      <c r="CP3309" t="s">
        <v>119</v>
      </c>
      <c r="CQ3309">
        <v>56</v>
      </c>
      <c r="CR3309">
        <v>2</v>
      </c>
      <c r="CW3309">
        <v>4989936</v>
      </c>
      <c r="CY3309">
        <v>1</v>
      </c>
      <c r="CZ3309">
        <v>0</v>
      </c>
      <c r="DA3309">
        <v>0</v>
      </c>
      <c r="DB3309">
        <v>0</v>
      </c>
      <c r="DC3309">
        <v>0</v>
      </c>
      <c r="DD3309">
        <v>1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 t="shared" si="1544"/>
        <v>05/12/2020 14:46:52.864</v>
      </c>
      <c r="C3310" t="str">
        <f t="shared" si="1535"/>
        <v>FFDFD3C0</v>
      </c>
      <c r="D3310" t="s">
        <v>126</v>
      </c>
      <c r="E3310">
        <v>6</v>
      </c>
      <c r="F3310">
        <v>1006</v>
      </c>
      <c r="G3310" t="s">
        <v>114</v>
      </c>
      <c r="J3310" t="s">
        <v>128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si="1545"/>
        <v>14:47:10.672</v>
      </c>
      <c r="T3310" t="str">
        <f>"14:47:10.372"</f>
        <v>14:47:10.372</v>
      </c>
      <c r="U3310" t="str">
        <f t="shared" si="1527"/>
        <v>A9808D</v>
      </c>
      <c r="V3310">
        <v>0</v>
      </c>
      <c r="W3310">
        <v>0</v>
      </c>
      <c r="X3310">
        <v>1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0</v>
      </c>
      <c r="AI3310" t="s">
        <v>729</v>
      </c>
      <c r="AJ3310">
        <v>28.247223000000002</v>
      </c>
      <c r="AK3310" t="s">
        <v>782</v>
      </c>
      <c r="AL3310">
        <v>-82.267685</v>
      </c>
      <c r="AM3310">
        <v>100</v>
      </c>
      <c r="AN3310">
        <v>2300</v>
      </c>
      <c r="AO3310" t="s">
        <v>118</v>
      </c>
      <c r="AP3310">
        <v>128</v>
      </c>
      <c r="AQ3310">
        <v>32</v>
      </c>
      <c r="AR3310">
        <v>640</v>
      </c>
      <c r="AZ3310">
        <v>1200</v>
      </c>
      <c r="BA3310">
        <v>1</v>
      </c>
      <c r="BB3310" t="str">
        <f t="shared" si="1536"/>
        <v xml:space="preserve">N711JA  </v>
      </c>
      <c r="BC3310">
        <v>1</v>
      </c>
      <c r="BE3310">
        <v>0</v>
      </c>
      <c r="BF3310">
        <v>0</v>
      </c>
      <c r="BG3310">
        <v>0</v>
      </c>
      <c r="BH3310">
        <v>2325</v>
      </c>
      <c r="BI3310">
        <v>1</v>
      </c>
      <c r="BJ3310">
        <v>1</v>
      </c>
      <c r="BK3310">
        <v>0</v>
      </c>
      <c r="BL3310">
        <v>0</v>
      </c>
      <c r="BO3310">
        <v>0</v>
      </c>
      <c r="BP3310">
        <v>0</v>
      </c>
      <c r="BW3310" t="str">
        <f t="shared" si="1546"/>
        <v>14:47:10.672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6</v>
      </c>
      <c r="CP3310" t="s">
        <v>119</v>
      </c>
      <c r="CQ3310">
        <v>56</v>
      </c>
      <c r="CR3310">
        <v>2</v>
      </c>
      <c r="CW3310">
        <v>4989936</v>
      </c>
      <c r="CY3310">
        <v>1</v>
      </c>
      <c r="CZ3310">
        <v>0</v>
      </c>
      <c r="DA3310">
        <v>1</v>
      </c>
      <c r="DB3310">
        <v>0</v>
      </c>
      <c r="DC3310">
        <v>0</v>
      </c>
      <c r="DD3310">
        <v>1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 t="shared" si="1544"/>
        <v>05/12/2020 14:46:52.864</v>
      </c>
      <c r="C3311" t="str">
        <f t="shared" si="1535"/>
        <v>FFDFD3C0</v>
      </c>
      <c r="D3311" t="s">
        <v>134</v>
      </c>
      <c r="E3311">
        <v>12</v>
      </c>
      <c r="H3311">
        <v>64</v>
      </c>
      <c r="I3311" t="s">
        <v>135</v>
      </c>
      <c r="J3311" t="s">
        <v>136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545"/>
        <v>14:47:10.672</v>
      </c>
      <c r="T3311" t="str">
        <f>"14:47:09.872"</f>
        <v>14:47:09.872</v>
      </c>
      <c r="U3311" t="str">
        <f t="shared" si="1527"/>
        <v>A9808D</v>
      </c>
      <c r="V3311">
        <v>0</v>
      </c>
      <c r="W3311">
        <v>0</v>
      </c>
      <c r="X3311">
        <v>1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0</v>
      </c>
      <c r="AI3311" t="s">
        <v>729</v>
      </c>
      <c r="AJ3311">
        <v>28.247223000000002</v>
      </c>
      <c r="AK3311" t="s">
        <v>782</v>
      </c>
      <c r="AL3311">
        <v>-82.267685</v>
      </c>
      <c r="AM3311">
        <v>100</v>
      </c>
      <c r="AN3311">
        <v>2300</v>
      </c>
      <c r="AO3311" t="s">
        <v>118</v>
      </c>
      <c r="AP3311">
        <v>130</v>
      </c>
      <c r="AQ3311">
        <v>28</v>
      </c>
      <c r="AR3311">
        <v>640</v>
      </c>
      <c r="AZ3311">
        <v>1200</v>
      </c>
      <c r="BA3311">
        <v>1</v>
      </c>
      <c r="BB3311" t="str">
        <f t="shared" si="1536"/>
        <v xml:space="preserve">N711JA  </v>
      </c>
      <c r="BC3311">
        <v>1</v>
      </c>
      <c r="BE3311">
        <v>0</v>
      </c>
      <c r="BF3311">
        <v>0</v>
      </c>
      <c r="BG3311">
        <v>0</v>
      </c>
      <c r="BH3311">
        <v>2300</v>
      </c>
      <c r="BI3311">
        <v>1</v>
      </c>
      <c r="BJ3311">
        <v>1</v>
      </c>
      <c r="BK3311">
        <v>0</v>
      </c>
      <c r="BL3311">
        <v>0</v>
      </c>
      <c r="BO3311">
        <v>0</v>
      </c>
      <c r="BP3311">
        <v>0</v>
      </c>
      <c r="BW3311" t="str">
        <f t="shared" si="1546"/>
        <v>14:47:10.672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6</v>
      </c>
      <c r="CP3311" t="s">
        <v>119</v>
      </c>
      <c r="CQ3311">
        <v>358</v>
      </c>
      <c r="CR3311">
        <v>0</v>
      </c>
      <c r="CW3311">
        <v>4965615</v>
      </c>
      <c r="CY3311">
        <v>1</v>
      </c>
      <c r="CZ3311">
        <v>0</v>
      </c>
      <c r="DA3311">
        <v>1</v>
      </c>
      <c r="DB3311">
        <v>0</v>
      </c>
      <c r="DC3311">
        <v>0</v>
      </c>
      <c r="DD3311">
        <v>1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 t="shared" si="1544"/>
        <v>05/12/2020 14:46:52.864</v>
      </c>
      <c r="C3312" t="str">
        <f t="shared" si="1535"/>
        <v>FFDFD3C0</v>
      </c>
      <c r="D3312" t="s">
        <v>138</v>
      </c>
      <c r="E3312">
        <v>2</v>
      </c>
      <c r="H3312">
        <v>8</v>
      </c>
      <c r="I3312" t="s">
        <v>139</v>
      </c>
      <c r="J3312" t="s">
        <v>136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si="1545"/>
        <v>14:47:10.672</v>
      </c>
      <c r="T3312" t="str">
        <f t="shared" ref="T3312:T3317" si="1547">"14:47:10.372"</f>
        <v>14:47:10.372</v>
      </c>
      <c r="U3312" t="str">
        <f t="shared" si="1527"/>
        <v>A9808D</v>
      </c>
      <c r="V3312">
        <v>0</v>
      </c>
      <c r="W3312">
        <v>0</v>
      </c>
      <c r="X3312">
        <v>1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0</v>
      </c>
      <c r="AI3312" t="s">
        <v>729</v>
      </c>
      <c r="AJ3312">
        <v>28.247223000000002</v>
      </c>
      <c r="AK3312" t="s">
        <v>782</v>
      </c>
      <c r="AL3312">
        <v>-82.267685</v>
      </c>
      <c r="AM3312">
        <v>100</v>
      </c>
      <c r="AN3312">
        <v>2300</v>
      </c>
      <c r="AO3312" t="s">
        <v>118</v>
      </c>
      <c r="AP3312">
        <v>128</v>
      </c>
      <c r="AQ3312">
        <v>32</v>
      </c>
      <c r="AR3312">
        <v>640</v>
      </c>
      <c r="AZ3312">
        <v>1200</v>
      </c>
      <c r="BA3312">
        <v>1</v>
      </c>
      <c r="BB3312" t="str">
        <f t="shared" si="1536"/>
        <v xml:space="preserve">N711JA  </v>
      </c>
      <c r="BC3312">
        <v>1</v>
      </c>
      <c r="BE3312">
        <v>0</v>
      </c>
      <c r="BF3312">
        <v>0</v>
      </c>
      <c r="BG3312">
        <v>0</v>
      </c>
      <c r="BH3312">
        <v>2325</v>
      </c>
      <c r="BI3312">
        <v>1</v>
      </c>
      <c r="BJ3312">
        <v>1</v>
      </c>
      <c r="BK3312">
        <v>0</v>
      </c>
      <c r="BL3312">
        <v>0</v>
      </c>
      <c r="BO3312">
        <v>0</v>
      </c>
      <c r="BP3312">
        <v>0</v>
      </c>
      <c r="BW3312" t="str">
        <f t="shared" si="1546"/>
        <v>14:47:10.672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6</v>
      </c>
      <c r="CP3312" t="s">
        <v>119</v>
      </c>
      <c r="CQ3312">
        <v>56</v>
      </c>
      <c r="CR3312">
        <v>2</v>
      </c>
      <c r="CW3312">
        <v>4989936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1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 t="shared" si="1544"/>
        <v>05/12/2020 14:46:52.864</v>
      </c>
      <c r="C3313" t="str">
        <f t="shared" si="1535"/>
        <v>FFDFD3C0</v>
      </c>
      <c r="D3313" t="s">
        <v>138</v>
      </c>
      <c r="E3313">
        <v>3</v>
      </c>
      <c r="H3313">
        <v>9</v>
      </c>
      <c r="I3313" t="s">
        <v>140</v>
      </c>
      <c r="J3313" t="s">
        <v>136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545"/>
        <v>14:47:10.672</v>
      </c>
      <c r="T3313" t="str">
        <f t="shared" si="1547"/>
        <v>14:47:10.372</v>
      </c>
      <c r="U3313" t="str">
        <f t="shared" si="1527"/>
        <v>A9808D</v>
      </c>
      <c r="V3313">
        <v>0</v>
      </c>
      <c r="W3313">
        <v>0</v>
      </c>
      <c r="X3313">
        <v>1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0</v>
      </c>
      <c r="AI3313" t="s">
        <v>729</v>
      </c>
      <c r="AJ3313">
        <v>28.247223000000002</v>
      </c>
      <c r="AK3313" t="s">
        <v>782</v>
      </c>
      <c r="AL3313">
        <v>-82.267685</v>
      </c>
      <c r="AM3313">
        <v>100</v>
      </c>
      <c r="AN3313">
        <v>2300</v>
      </c>
      <c r="AO3313" t="s">
        <v>118</v>
      </c>
      <c r="AP3313">
        <v>128</v>
      </c>
      <c r="AQ3313">
        <v>32</v>
      </c>
      <c r="AR3313">
        <v>640</v>
      </c>
      <c r="AZ3313">
        <v>1200</v>
      </c>
      <c r="BA3313">
        <v>1</v>
      </c>
      <c r="BB3313" t="str">
        <f t="shared" si="1536"/>
        <v xml:space="preserve">N711JA  </v>
      </c>
      <c r="BC3313">
        <v>1</v>
      </c>
      <c r="BE3313">
        <v>0</v>
      </c>
      <c r="BF3313">
        <v>0</v>
      </c>
      <c r="BG3313">
        <v>0</v>
      </c>
      <c r="BH3313">
        <v>2325</v>
      </c>
      <c r="BI3313">
        <v>1</v>
      </c>
      <c r="BJ3313">
        <v>1</v>
      </c>
      <c r="BK3313">
        <v>0</v>
      </c>
      <c r="BL3313">
        <v>0</v>
      </c>
      <c r="BO3313">
        <v>0</v>
      </c>
      <c r="BP3313">
        <v>0</v>
      </c>
      <c r="BW3313" t="str">
        <f t="shared" si="1546"/>
        <v>14:47:10.672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6</v>
      </c>
      <c r="CP3313" t="s">
        <v>119</v>
      </c>
      <c r="CQ3313">
        <v>56</v>
      </c>
      <c r="CR3313">
        <v>2</v>
      </c>
      <c r="CW3313">
        <v>4989936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1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 t="shared" si="1544"/>
        <v>05/12/2020 14:46:52.864</v>
      </c>
      <c r="C3314" t="str">
        <f t="shared" si="1535"/>
        <v>FFDFD3C0</v>
      </c>
      <c r="D3314" t="s">
        <v>126</v>
      </c>
      <c r="E3314">
        <v>7</v>
      </c>
      <c r="F3314">
        <v>1007</v>
      </c>
      <c r="G3314" t="s">
        <v>127</v>
      </c>
      <c r="J3314" t="s">
        <v>128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545"/>
        <v>14:47:10.672</v>
      </c>
      <c r="T3314" t="str">
        <f t="shared" si="1547"/>
        <v>14:47:10.372</v>
      </c>
      <c r="U3314" t="str">
        <f t="shared" si="1527"/>
        <v>A9808D</v>
      </c>
      <c r="V3314">
        <v>0</v>
      </c>
      <c r="W3314">
        <v>0</v>
      </c>
      <c r="X3314">
        <v>1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0</v>
      </c>
      <c r="AI3314" t="s">
        <v>729</v>
      </c>
      <c r="AJ3314">
        <v>28.247223000000002</v>
      </c>
      <c r="AK3314" t="s">
        <v>782</v>
      </c>
      <c r="AL3314">
        <v>-82.267685</v>
      </c>
      <c r="AM3314">
        <v>100</v>
      </c>
      <c r="AN3314">
        <v>2300</v>
      </c>
      <c r="AO3314" t="s">
        <v>118</v>
      </c>
      <c r="AP3314">
        <v>128</v>
      </c>
      <c r="AQ3314">
        <v>32</v>
      </c>
      <c r="AR3314">
        <v>640</v>
      </c>
      <c r="AZ3314">
        <v>1200</v>
      </c>
      <c r="BA3314">
        <v>1</v>
      </c>
      <c r="BB3314" t="str">
        <f t="shared" si="1536"/>
        <v xml:space="preserve">N711JA  </v>
      </c>
      <c r="BC3314">
        <v>1</v>
      </c>
      <c r="BE3314">
        <v>0</v>
      </c>
      <c r="BF3314">
        <v>0</v>
      </c>
      <c r="BG3314">
        <v>0</v>
      </c>
      <c r="BH3314">
        <v>2325</v>
      </c>
      <c r="BI3314">
        <v>1</v>
      </c>
      <c r="BJ3314">
        <v>1</v>
      </c>
      <c r="BK3314">
        <v>0</v>
      </c>
      <c r="BL3314">
        <v>0</v>
      </c>
      <c r="BO3314">
        <v>0</v>
      </c>
      <c r="BP3314">
        <v>0</v>
      </c>
      <c r="BW3314" t="str">
        <f t="shared" si="1546"/>
        <v>14:47:10.672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6</v>
      </c>
      <c r="CP3314" t="s">
        <v>119</v>
      </c>
      <c r="CQ3314">
        <v>56</v>
      </c>
      <c r="CR3314">
        <v>2</v>
      </c>
      <c r="CW3314">
        <v>4989936</v>
      </c>
      <c r="CY3314">
        <v>1</v>
      </c>
      <c r="CZ3314">
        <v>0</v>
      </c>
      <c r="DA3314">
        <v>1</v>
      </c>
      <c r="DB3314">
        <v>0</v>
      </c>
      <c r="DC3314">
        <v>0</v>
      </c>
      <c r="DD3314">
        <v>1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 t="shared" si="1544"/>
        <v>05/12/2020 14:46:52.864</v>
      </c>
      <c r="C3315" t="str">
        <f t="shared" si="1535"/>
        <v>FFDFD3C0</v>
      </c>
      <c r="D3315" t="s">
        <v>131</v>
      </c>
      <c r="E3315">
        <v>10</v>
      </c>
      <c r="F3315">
        <v>2010</v>
      </c>
      <c r="G3315" t="s">
        <v>132</v>
      </c>
      <c r="J3315" t="s">
        <v>133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545"/>
        <v>14:47:10.672</v>
      </c>
      <c r="T3315" t="str">
        <f t="shared" si="1547"/>
        <v>14:47:10.372</v>
      </c>
      <c r="U3315" t="str">
        <f t="shared" si="1527"/>
        <v>A9808D</v>
      </c>
      <c r="V3315">
        <v>0</v>
      </c>
      <c r="W3315">
        <v>0</v>
      </c>
      <c r="X3315">
        <v>1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0</v>
      </c>
      <c r="AI3315" t="s">
        <v>729</v>
      </c>
      <c r="AJ3315">
        <v>28.247223000000002</v>
      </c>
      <c r="AK3315" t="s">
        <v>782</v>
      </c>
      <c r="AL3315">
        <v>-82.267685</v>
      </c>
      <c r="AM3315">
        <v>100</v>
      </c>
      <c r="AN3315">
        <v>2300</v>
      </c>
      <c r="AO3315" t="s">
        <v>118</v>
      </c>
      <c r="AP3315">
        <v>128</v>
      </c>
      <c r="AQ3315">
        <v>32</v>
      </c>
      <c r="AR3315">
        <v>640</v>
      </c>
      <c r="AZ3315">
        <v>1200</v>
      </c>
      <c r="BA3315">
        <v>1</v>
      </c>
      <c r="BB3315" t="str">
        <f t="shared" si="1536"/>
        <v xml:space="preserve">N711JA  </v>
      </c>
      <c r="BC3315">
        <v>1</v>
      </c>
      <c r="BE3315">
        <v>0</v>
      </c>
      <c r="BF3315">
        <v>0</v>
      </c>
      <c r="BG3315">
        <v>0</v>
      </c>
      <c r="BH3315">
        <v>2325</v>
      </c>
      <c r="BI3315">
        <v>1</v>
      </c>
      <c r="BJ3315">
        <v>1</v>
      </c>
      <c r="BK3315">
        <v>0</v>
      </c>
      <c r="BL3315">
        <v>0</v>
      </c>
      <c r="BO3315">
        <v>0</v>
      </c>
      <c r="BP3315">
        <v>0</v>
      </c>
      <c r="BW3315" t="str">
        <f t="shared" si="1546"/>
        <v>14:47:10.672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6</v>
      </c>
      <c r="CP3315" t="s">
        <v>119</v>
      </c>
      <c r="CQ3315">
        <v>56</v>
      </c>
      <c r="CR3315">
        <v>2</v>
      </c>
      <c r="CW3315">
        <v>4989936</v>
      </c>
      <c r="CY3315">
        <v>1</v>
      </c>
      <c r="CZ3315">
        <v>0</v>
      </c>
      <c r="DA3315">
        <v>1</v>
      </c>
      <c r="DB3315">
        <v>0</v>
      </c>
      <c r="DC3315">
        <v>0</v>
      </c>
      <c r="DD3315">
        <v>1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 t="shared" si="1544"/>
        <v>05/12/2020 14:46:52.864</v>
      </c>
      <c r="C3316" t="str">
        <f t="shared" si="1535"/>
        <v>FFDFD3C0</v>
      </c>
      <c r="D3316" t="s">
        <v>131</v>
      </c>
      <c r="E3316">
        <v>12</v>
      </c>
      <c r="F3316">
        <v>2012</v>
      </c>
      <c r="G3316" t="s">
        <v>137</v>
      </c>
      <c r="J3316" t="s">
        <v>133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545"/>
        <v>14:47:10.672</v>
      </c>
      <c r="T3316" t="str">
        <f t="shared" si="1547"/>
        <v>14:47:10.372</v>
      </c>
      <c r="U3316" t="str">
        <f t="shared" si="1527"/>
        <v>A9808D</v>
      </c>
      <c r="V3316">
        <v>0</v>
      </c>
      <c r="W3316">
        <v>0</v>
      </c>
      <c r="X3316">
        <v>1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3</v>
      </c>
      <c r="AG3316">
        <v>2</v>
      </c>
      <c r="AH3316">
        <v>0</v>
      </c>
      <c r="AI3316" t="s">
        <v>729</v>
      </c>
      <c r="AJ3316">
        <v>28.247223000000002</v>
      </c>
      <c r="AK3316" t="s">
        <v>782</v>
      </c>
      <c r="AL3316">
        <v>-82.267685</v>
      </c>
      <c r="AM3316">
        <v>100</v>
      </c>
      <c r="AN3316">
        <v>2300</v>
      </c>
      <c r="AO3316" t="s">
        <v>118</v>
      </c>
      <c r="AP3316">
        <v>128</v>
      </c>
      <c r="AQ3316">
        <v>32</v>
      </c>
      <c r="AR3316">
        <v>640</v>
      </c>
      <c r="AZ3316">
        <v>1200</v>
      </c>
      <c r="BA3316">
        <v>1</v>
      </c>
      <c r="BB3316" t="str">
        <f t="shared" si="1536"/>
        <v xml:space="preserve">N711JA  </v>
      </c>
      <c r="BC3316">
        <v>1</v>
      </c>
      <c r="BE3316">
        <v>0</v>
      </c>
      <c r="BF3316">
        <v>0</v>
      </c>
      <c r="BG3316">
        <v>0</v>
      </c>
      <c r="BH3316">
        <v>2325</v>
      </c>
      <c r="BI3316">
        <v>1</v>
      </c>
      <c r="BJ3316">
        <v>1</v>
      </c>
      <c r="BK3316">
        <v>0</v>
      </c>
      <c r="BL3316">
        <v>0</v>
      </c>
      <c r="BO3316">
        <v>0</v>
      </c>
      <c r="BP3316">
        <v>0</v>
      </c>
      <c r="BW3316" t="str">
        <f t="shared" si="1546"/>
        <v>14:47:10.672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6</v>
      </c>
      <c r="CP3316" t="s">
        <v>119</v>
      </c>
      <c r="CQ3316">
        <v>56</v>
      </c>
      <c r="CR3316">
        <v>2</v>
      </c>
      <c r="CW3316">
        <v>4989936</v>
      </c>
      <c r="CY3316">
        <v>1</v>
      </c>
      <c r="CZ3316">
        <v>0</v>
      </c>
      <c r="DA3316">
        <v>1</v>
      </c>
      <c r="DB3316">
        <v>0</v>
      </c>
      <c r="DC3316">
        <v>0</v>
      </c>
      <c r="DD3316">
        <v>1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 t="shared" si="1544"/>
        <v>05/12/2020 14:46:52.864</v>
      </c>
      <c r="C3317" t="str">
        <f t="shared" si="1535"/>
        <v>FFDFD3C0</v>
      </c>
      <c r="D3317" t="s">
        <v>131</v>
      </c>
      <c r="E3317">
        <v>18</v>
      </c>
      <c r="F3317">
        <v>2018</v>
      </c>
      <c r="G3317" t="s">
        <v>161</v>
      </c>
      <c r="J3317" t="s">
        <v>133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545"/>
        <v>14:47:10.672</v>
      </c>
      <c r="T3317" t="str">
        <f t="shared" si="1547"/>
        <v>14:47:10.372</v>
      </c>
      <c r="U3317" t="str">
        <f t="shared" si="1527"/>
        <v>A9808D</v>
      </c>
      <c r="V3317">
        <v>0</v>
      </c>
      <c r="W3317">
        <v>0</v>
      </c>
      <c r="X3317">
        <v>1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0</v>
      </c>
      <c r="AI3317" t="s">
        <v>729</v>
      </c>
      <c r="AJ3317">
        <v>28.247223000000002</v>
      </c>
      <c r="AK3317" t="s">
        <v>782</v>
      </c>
      <c r="AL3317">
        <v>-82.267685</v>
      </c>
      <c r="AM3317">
        <v>100</v>
      </c>
      <c r="AN3317">
        <v>2300</v>
      </c>
      <c r="AO3317" t="s">
        <v>118</v>
      </c>
      <c r="AP3317">
        <v>128</v>
      </c>
      <c r="AQ3317">
        <v>32</v>
      </c>
      <c r="AR3317">
        <v>640</v>
      </c>
      <c r="AZ3317">
        <v>1200</v>
      </c>
      <c r="BA3317">
        <v>1</v>
      </c>
      <c r="BB3317" t="str">
        <f t="shared" si="1536"/>
        <v xml:space="preserve">N711JA  </v>
      </c>
      <c r="BC3317">
        <v>1</v>
      </c>
      <c r="BE3317">
        <v>0</v>
      </c>
      <c r="BF3317">
        <v>0</v>
      </c>
      <c r="BG3317">
        <v>0</v>
      </c>
      <c r="BH3317">
        <v>2325</v>
      </c>
      <c r="BI3317">
        <v>1</v>
      </c>
      <c r="BJ3317">
        <v>1</v>
      </c>
      <c r="BK3317">
        <v>0</v>
      </c>
      <c r="BL3317">
        <v>0</v>
      </c>
      <c r="BO3317">
        <v>0</v>
      </c>
      <c r="BP3317">
        <v>0</v>
      </c>
      <c r="BW3317" t="str">
        <f t="shared" si="1546"/>
        <v>14:47:10.672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6</v>
      </c>
      <c r="CP3317" t="s">
        <v>119</v>
      </c>
      <c r="CQ3317">
        <v>56</v>
      </c>
      <c r="CR3317">
        <v>2</v>
      </c>
      <c r="CW3317">
        <v>4989936</v>
      </c>
      <c r="CY3317">
        <v>1</v>
      </c>
      <c r="CZ3317">
        <v>0</v>
      </c>
      <c r="DA3317">
        <v>1</v>
      </c>
      <c r="DB3317">
        <v>0</v>
      </c>
      <c r="DC3317">
        <v>0</v>
      </c>
      <c r="DD3317">
        <v>1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 t="shared" ref="A3318:A3324" si="1548">"05/12/2020 14:46:53.790"</f>
        <v>05/12/2020 14:46:53.790</v>
      </c>
      <c r="C3318" t="str">
        <f t="shared" si="1535"/>
        <v>FFDFD3C0</v>
      </c>
      <c r="D3318" t="s">
        <v>138</v>
      </c>
      <c r="E3318">
        <v>3</v>
      </c>
      <c r="H3318">
        <v>9</v>
      </c>
      <c r="I3318" t="s">
        <v>140</v>
      </c>
      <c r="J3318" t="s">
        <v>136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ref="S3318:S3324" si="1549">"14:47:11.609"</f>
        <v>14:47:11.609</v>
      </c>
      <c r="T3318" t="str">
        <f>"14:47:11.309"</f>
        <v>14:47:11.309</v>
      </c>
      <c r="U3318" t="str">
        <f t="shared" si="1527"/>
        <v>A9808D</v>
      </c>
      <c r="V3318">
        <v>0</v>
      </c>
      <c r="W3318">
        <v>0</v>
      </c>
      <c r="X3318">
        <v>1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0</v>
      </c>
      <c r="AI3318" t="s">
        <v>231</v>
      </c>
      <c r="AJ3318">
        <v>28.247416000000001</v>
      </c>
      <c r="AK3318" t="s">
        <v>783</v>
      </c>
      <c r="AL3318">
        <v>-82.267041000000006</v>
      </c>
      <c r="AM3318">
        <v>100</v>
      </c>
      <c r="AN3318">
        <v>2300</v>
      </c>
      <c r="AO3318" t="s">
        <v>118</v>
      </c>
      <c r="AP3318">
        <v>125</v>
      </c>
      <c r="AQ3318">
        <v>40</v>
      </c>
      <c r="AR3318">
        <v>576</v>
      </c>
      <c r="AZ3318">
        <v>1200</v>
      </c>
      <c r="BA3318">
        <v>1</v>
      </c>
      <c r="BB3318" t="str">
        <f t="shared" si="1536"/>
        <v xml:space="preserve">N711JA  </v>
      </c>
      <c r="BC3318">
        <v>1</v>
      </c>
      <c r="BE3318">
        <v>0</v>
      </c>
      <c r="BF3318">
        <v>0</v>
      </c>
      <c r="BG3318">
        <v>0</v>
      </c>
      <c r="BH3318">
        <v>2325</v>
      </c>
      <c r="BI3318">
        <v>1</v>
      </c>
      <c r="BJ3318">
        <v>1</v>
      </c>
      <c r="BK3318">
        <v>0</v>
      </c>
      <c r="BL3318">
        <v>0</v>
      </c>
      <c r="BO3318">
        <v>0</v>
      </c>
      <c r="BP3318">
        <v>0</v>
      </c>
      <c r="BW3318" t="str">
        <f t="shared" ref="BW3318:BW3324" si="1550">"14:47:11.610"</f>
        <v>14:47:11.610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6</v>
      </c>
      <c r="CP3318" t="s">
        <v>119</v>
      </c>
      <c r="CQ3318">
        <v>358</v>
      </c>
      <c r="CR3318">
        <v>0</v>
      </c>
      <c r="CW3318">
        <v>4966777</v>
      </c>
      <c r="CY3318">
        <v>1</v>
      </c>
      <c r="CZ3318">
        <v>0</v>
      </c>
      <c r="DA3318">
        <v>0</v>
      </c>
      <c r="DB3318">
        <v>0</v>
      </c>
      <c r="DC3318">
        <v>0</v>
      </c>
      <c r="DD3318">
        <v>1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 t="shared" si="1548"/>
        <v>05/12/2020 14:46:53.790</v>
      </c>
      <c r="C3319" t="str">
        <f t="shared" si="1535"/>
        <v>FFDFD3C0</v>
      </c>
      <c r="D3319" t="s">
        <v>138</v>
      </c>
      <c r="E3319">
        <v>2</v>
      </c>
      <c r="H3319">
        <v>8</v>
      </c>
      <c r="I3319" t="s">
        <v>139</v>
      </c>
      <c r="J3319" t="s">
        <v>136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si="1549"/>
        <v>14:47:11.609</v>
      </c>
      <c r="T3319" t="str">
        <f>"14:47:10.309"</f>
        <v>14:47:10.309</v>
      </c>
      <c r="U3319" t="str">
        <f t="shared" si="1527"/>
        <v>A9808D</v>
      </c>
      <c r="V3319">
        <v>0</v>
      </c>
      <c r="W3319">
        <v>0</v>
      </c>
      <c r="X3319">
        <v>1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0</v>
      </c>
      <c r="AI3319" t="s">
        <v>231</v>
      </c>
      <c r="AJ3319">
        <v>28.247416000000001</v>
      </c>
      <c r="AK3319" t="s">
        <v>783</v>
      </c>
      <c r="AL3319">
        <v>-82.267041000000006</v>
      </c>
      <c r="AM3319">
        <v>100</v>
      </c>
      <c r="AN3319">
        <v>2300</v>
      </c>
      <c r="AO3319" t="s">
        <v>118</v>
      </c>
      <c r="AP3319">
        <v>128</v>
      </c>
      <c r="AQ3319">
        <v>32</v>
      </c>
      <c r="AR3319">
        <v>640</v>
      </c>
      <c r="AZ3319">
        <v>1200</v>
      </c>
      <c r="BA3319">
        <v>1</v>
      </c>
      <c r="BB3319" t="str">
        <f t="shared" si="1536"/>
        <v xml:space="preserve">N711JA  </v>
      </c>
      <c r="BC3319">
        <v>1</v>
      </c>
      <c r="BE3319">
        <v>0</v>
      </c>
      <c r="BF3319">
        <v>0</v>
      </c>
      <c r="BG3319">
        <v>0</v>
      </c>
      <c r="BH3319">
        <v>2325</v>
      </c>
      <c r="BI3319">
        <v>1</v>
      </c>
      <c r="BJ3319">
        <v>1</v>
      </c>
      <c r="BK3319">
        <v>0</v>
      </c>
      <c r="BL3319">
        <v>0</v>
      </c>
      <c r="BO3319">
        <v>0</v>
      </c>
      <c r="BP3319">
        <v>0</v>
      </c>
      <c r="BW3319" t="str">
        <f t="shared" si="1550"/>
        <v>14:47:11.610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3</v>
      </c>
      <c r="CP3319" t="s">
        <v>675</v>
      </c>
      <c r="CQ3319">
        <v>363</v>
      </c>
      <c r="CR3319">
        <v>0</v>
      </c>
      <c r="CW3319">
        <v>6491218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1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 t="shared" si="1548"/>
        <v>05/12/2020 14:46:53.790</v>
      </c>
      <c r="C3320" t="str">
        <f t="shared" si="1535"/>
        <v>FFDFD3C0</v>
      </c>
      <c r="D3320" t="s">
        <v>126</v>
      </c>
      <c r="E3320">
        <v>6</v>
      </c>
      <c r="F3320">
        <v>1006</v>
      </c>
      <c r="G3320" t="s">
        <v>114</v>
      </c>
      <c r="J3320" t="s">
        <v>128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549"/>
        <v>14:47:11.609</v>
      </c>
      <c r="T3320" t="str">
        <f>"14:47:11.309"</f>
        <v>14:47:11.309</v>
      </c>
      <c r="U3320" t="str">
        <f t="shared" si="1527"/>
        <v>A9808D</v>
      </c>
      <c r="V3320">
        <v>0</v>
      </c>
      <c r="W3320">
        <v>0</v>
      </c>
      <c r="X3320">
        <v>1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0</v>
      </c>
      <c r="AI3320" t="s">
        <v>231</v>
      </c>
      <c r="AJ3320">
        <v>28.247416000000001</v>
      </c>
      <c r="AK3320" t="s">
        <v>783</v>
      </c>
      <c r="AL3320">
        <v>-82.267041000000006</v>
      </c>
      <c r="AM3320">
        <v>100</v>
      </c>
      <c r="AN3320">
        <v>2300</v>
      </c>
      <c r="AO3320" t="s">
        <v>118</v>
      </c>
      <c r="AP3320">
        <v>125</v>
      </c>
      <c r="AQ3320">
        <v>40</v>
      </c>
      <c r="AR3320">
        <v>576</v>
      </c>
      <c r="AZ3320">
        <v>1200</v>
      </c>
      <c r="BA3320">
        <v>1</v>
      </c>
      <c r="BB3320" t="str">
        <f t="shared" si="1536"/>
        <v xml:space="preserve">N711JA  </v>
      </c>
      <c r="BC3320">
        <v>1</v>
      </c>
      <c r="BE3320">
        <v>0</v>
      </c>
      <c r="BF3320">
        <v>0</v>
      </c>
      <c r="BG3320">
        <v>0</v>
      </c>
      <c r="BH3320">
        <v>2325</v>
      </c>
      <c r="BI3320">
        <v>1</v>
      </c>
      <c r="BJ3320">
        <v>1</v>
      </c>
      <c r="BK3320">
        <v>0</v>
      </c>
      <c r="BL3320">
        <v>0</v>
      </c>
      <c r="BO3320">
        <v>0</v>
      </c>
      <c r="BP3320">
        <v>0</v>
      </c>
      <c r="BW3320" t="str">
        <f t="shared" si="1550"/>
        <v>14:47:11.610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6</v>
      </c>
      <c r="CP3320" t="s">
        <v>119</v>
      </c>
      <c r="CQ3320">
        <v>358</v>
      </c>
      <c r="CR3320">
        <v>0</v>
      </c>
      <c r="CW3320">
        <v>4966777</v>
      </c>
      <c r="CY3320">
        <v>1</v>
      </c>
      <c r="CZ3320">
        <v>0</v>
      </c>
      <c r="DA3320">
        <v>1</v>
      </c>
      <c r="DB3320">
        <v>0</v>
      </c>
      <c r="DC3320">
        <v>0</v>
      </c>
      <c r="DD3320">
        <v>1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 t="shared" si="1548"/>
        <v>05/12/2020 14:46:53.790</v>
      </c>
      <c r="C3321" t="str">
        <f t="shared" si="1535"/>
        <v>FFDFD3C0</v>
      </c>
      <c r="D3321" t="s">
        <v>126</v>
      </c>
      <c r="E3321">
        <v>7</v>
      </c>
      <c r="F3321">
        <v>1007</v>
      </c>
      <c r="G3321" t="s">
        <v>127</v>
      </c>
      <c r="J3321" t="s">
        <v>128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549"/>
        <v>14:47:11.609</v>
      </c>
      <c r="T3321" t="str">
        <f>"14:47:11.309"</f>
        <v>14:47:11.309</v>
      </c>
      <c r="U3321" t="str">
        <f t="shared" si="1527"/>
        <v>A9808D</v>
      </c>
      <c r="V3321">
        <v>0</v>
      </c>
      <c r="W3321">
        <v>0</v>
      </c>
      <c r="X3321">
        <v>1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0</v>
      </c>
      <c r="AI3321" t="s">
        <v>231</v>
      </c>
      <c r="AJ3321">
        <v>28.247416000000001</v>
      </c>
      <c r="AK3321" t="s">
        <v>783</v>
      </c>
      <c r="AL3321">
        <v>-82.267041000000006</v>
      </c>
      <c r="AM3321">
        <v>100</v>
      </c>
      <c r="AN3321">
        <v>2300</v>
      </c>
      <c r="AO3321" t="s">
        <v>118</v>
      </c>
      <c r="AP3321">
        <v>125</v>
      </c>
      <c r="AQ3321">
        <v>40</v>
      </c>
      <c r="AR3321">
        <v>576</v>
      </c>
      <c r="AZ3321">
        <v>1200</v>
      </c>
      <c r="BA3321">
        <v>1</v>
      </c>
      <c r="BB3321" t="str">
        <f t="shared" si="1536"/>
        <v xml:space="preserve">N711JA  </v>
      </c>
      <c r="BC3321">
        <v>1</v>
      </c>
      <c r="BE3321">
        <v>0</v>
      </c>
      <c r="BF3321">
        <v>0</v>
      </c>
      <c r="BG3321">
        <v>0</v>
      </c>
      <c r="BH3321">
        <v>2325</v>
      </c>
      <c r="BI3321">
        <v>1</v>
      </c>
      <c r="BJ3321">
        <v>1</v>
      </c>
      <c r="BK3321">
        <v>0</v>
      </c>
      <c r="BL3321">
        <v>0</v>
      </c>
      <c r="BO3321">
        <v>0</v>
      </c>
      <c r="BP3321">
        <v>0</v>
      </c>
      <c r="BW3321" t="str">
        <f t="shared" si="1550"/>
        <v>14:47:11.610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6</v>
      </c>
      <c r="CP3321" t="s">
        <v>119</v>
      </c>
      <c r="CQ3321">
        <v>358</v>
      </c>
      <c r="CR3321">
        <v>0</v>
      </c>
      <c r="CW3321">
        <v>4966777</v>
      </c>
      <c r="CY3321">
        <v>1</v>
      </c>
      <c r="CZ3321">
        <v>0</v>
      </c>
      <c r="DA3321">
        <v>1</v>
      </c>
      <c r="DB3321">
        <v>0</v>
      </c>
      <c r="DC3321">
        <v>0</v>
      </c>
      <c r="DD3321">
        <v>1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 t="shared" si="1548"/>
        <v>05/12/2020 14:46:53.790</v>
      </c>
      <c r="C3322" t="str">
        <f t="shared" si="1535"/>
        <v>FFDFD3C0</v>
      </c>
      <c r="D3322" t="s">
        <v>134</v>
      </c>
      <c r="E3322">
        <v>12</v>
      </c>
      <c r="H3322">
        <v>64</v>
      </c>
      <c r="I3322" t="s">
        <v>135</v>
      </c>
      <c r="J3322" t="s">
        <v>136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549"/>
        <v>14:47:11.609</v>
      </c>
      <c r="T3322" t="str">
        <f>"14:47:11.309"</f>
        <v>14:47:11.309</v>
      </c>
      <c r="U3322" t="str">
        <f t="shared" si="1527"/>
        <v>A9808D</v>
      </c>
      <c r="V3322">
        <v>0</v>
      </c>
      <c r="W3322">
        <v>0</v>
      </c>
      <c r="X3322">
        <v>1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0</v>
      </c>
      <c r="AI3322" t="s">
        <v>231</v>
      </c>
      <c r="AJ3322">
        <v>28.247416000000001</v>
      </c>
      <c r="AK3322" t="s">
        <v>783</v>
      </c>
      <c r="AL3322">
        <v>-82.267041000000006</v>
      </c>
      <c r="AM3322">
        <v>100</v>
      </c>
      <c r="AN3322">
        <v>2300</v>
      </c>
      <c r="AO3322" t="s">
        <v>118</v>
      </c>
      <c r="AP3322">
        <v>125</v>
      </c>
      <c r="AQ3322">
        <v>40</v>
      </c>
      <c r="AR3322">
        <v>576</v>
      </c>
      <c r="AZ3322">
        <v>1200</v>
      </c>
      <c r="BA3322">
        <v>1</v>
      </c>
      <c r="BB3322" t="str">
        <f t="shared" si="1536"/>
        <v xml:space="preserve">N711JA  </v>
      </c>
      <c r="BC3322">
        <v>1</v>
      </c>
      <c r="BE3322">
        <v>0</v>
      </c>
      <c r="BF3322">
        <v>0</v>
      </c>
      <c r="BG3322">
        <v>0</v>
      </c>
      <c r="BH3322">
        <v>2325</v>
      </c>
      <c r="BI3322">
        <v>1</v>
      </c>
      <c r="BJ3322">
        <v>1</v>
      </c>
      <c r="BK3322">
        <v>0</v>
      </c>
      <c r="BL3322">
        <v>0</v>
      </c>
      <c r="BO3322">
        <v>0</v>
      </c>
      <c r="BP3322">
        <v>0</v>
      </c>
      <c r="BW3322" t="str">
        <f t="shared" si="1550"/>
        <v>14:47:11.610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6</v>
      </c>
      <c r="CP3322" t="s">
        <v>119</v>
      </c>
      <c r="CQ3322">
        <v>358</v>
      </c>
      <c r="CR3322">
        <v>0</v>
      </c>
      <c r="CW3322">
        <v>4966777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1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 t="shared" si="1548"/>
        <v>05/12/2020 14:46:53.790</v>
      </c>
      <c r="C3323" t="str">
        <f t="shared" si="1535"/>
        <v>FFDFD3C0</v>
      </c>
      <c r="D3323" t="s">
        <v>131</v>
      </c>
      <c r="E3323">
        <v>10</v>
      </c>
      <c r="F3323">
        <v>2010</v>
      </c>
      <c r="G3323" t="s">
        <v>132</v>
      </c>
      <c r="J3323" t="s">
        <v>133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549"/>
        <v>14:47:11.609</v>
      </c>
      <c r="T3323" t="str">
        <f>"14:47:11.309"</f>
        <v>14:47:11.309</v>
      </c>
      <c r="U3323" t="str">
        <f t="shared" si="1527"/>
        <v>A9808D</v>
      </c>
      <c r="V3323">
        <v>0</v>
      </c>
      <c r="W3323">
        <v>0</v>
      </c>
      <c r="X3323">
        <v>1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0</v>
      </c>
      <c r="AI3323" t="s">
        <v>231</v>
      </c>
      <c r="AJ3323">
        <v>28.247416000000001</v>
      </c>
      <c r="AK3323" t="s">
        <v>783</v>
      </c>
      <c r="AL3323">
        <v>-82.267041000000006</v>
      </c>
      <c r="AM3323">
        <v>100</v>
      </c>
      <c r="AN3323">
        <v>2300</v>
      </c>
      <c r="AO3323" t="s">
        <v>118</v>
      </c>
      <c r="AP3323">
        <v>125</v>
      </c>
      <c r="AQ3323">
        <v>40</v>
      </c>
      <c r="AR3323">
        <v>576</v>
      </c>
      <c r="AZ3323">
        <v>1200</v>
      </c>
      <c r="BA3323">
        <v>1</v>
      </c>
      <c r="BB3323" t="str">
        <f t="shared" si="1536"/>
        <v xml:space="preserve">N711JA  </v>
      </c>
      <c r="BC3323">
        <v>1</v>
      </c>
      <c r="BE3323">
        <v>0</v>
      </c>
      <c r="BF3323">
        <v>0</v>
      </c>
      <c r="BG3323">
        <v>0</v>
      </c>
      <c r="BH3323">
        <v>2325</v>
      </c>
      <c r="BI3323">
        <v>1</v>
      </c>
      <c r="BJ3323">
        <v>1</v>
      </c>
      <c r="BK3323">
        <v>0</v>
      </c>
      <c r="BL3323">
        <v>0</v>
      </c>
      <c r="BO3323">
        <v>0</v>
      </c>
      <c r="BP3323">
        <v>0</v>
      </c>
      <c r="BW3323" t="str">
        <f t="shared" si="1550"/>
        <v>14:47:11.610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6</v>
      </c>
      <c r="CP3323" t="s">
        <v>119</v>
      </c>
      <c r="CQ3323">
        <v>358</v>
      </c>
      <c r="CR3323">
        <v>0</v>
      </c>
      <c r="CW3323">
        <v>4966777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1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 t="shared" si="1548"/>
        <v>05/12/2020 14:46:53.790</v>
      </c>
      <c r="C3324" t="str">
        <f t="shared" si="1535"/>
        <v>FFDFD3C0</v>
      </c>
      <c r="D3324" t="s">
        <v>131</v>
      </c>
      <c r="E3324">
        <v>12</v>
      </c>
      <c r="F3324">
        <v>2012</v>
      </c>
      <c r="G3324" t="s">
        <v>137</v>
      </c>
      <c r="J3324" t="s">
        <v>133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549"/>
        <v>14:47:11.609</v>
      </c>
      <c r="T3324" t="str">
        <f>"14:47:10.309"</f>
        <v>14:47:10.309</v>
      </c>
      <c r="U3324" t="str">
        <f t="shared" si="1527"/>
        <v>A9808D</v>
      </c>
      <c r="V3324">
        <v>0</v>
      </c>
      <c r="W3324">
        <v>0</v>
      </c>
      <c r="X3324">
        <v>1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0</v>
      </c>
      <c r="AI3324" t="s">
        <v>231</v>
      </c>
      <c r="AJ3324">
        <v>28.247416000000001</v>
      </c>
      <c r="AK3324" t="s">
        <v>783</v>
      </c>
      <c r="AL3324">
        <v>-82.267041000000006</v>
      </c>
      <c r="AM3324">
        <v>100</v>
      </c>
      <c r="AN3324">
        <v>2300</v>
      </c>
      <c r="AO3324" t="s">
        <v>118</v>
      </c>
      <c r="AP3324">
        <v>128</v>
      </c>
      <c r="AQ3324">
        <v>32</v>
      </c>
      <c r="AR3324">
        <v>640</v>
      </c>
      <c r="AZ3324">
        <v>1200</v>
      </c>
      <c r="BA3324">
        <v>1</v>
      </c>
      <c r="BB3324" t="str">
        <f t="shared" si="1536"/>
        <v xml:space="preserve">N711JA  </v>
      </c>
      <c r="BC3324">
        <v>1</v>
      </c>
      <c r="BE3324">
        <v>0</v>
      </c>
      <c r="BF3324">
        <v>0</v>
      </c>
      <c r="BG3324">
        <v>0</v>
      </c>
      <c r="BH3324">
        <v>2325</v>
      </c>
      <c r="BI3324">
        <v>1</v>
      </c>
      <c r="BJ3324">
        <v>1</v>
      </c>
      <c r="BK3324">
        <v>0</v>
      </c>
      <c r="BL3324">
        <v>0</v>
      </c>
      <c r="BO3324">
        <v>0</v>
      </c>
      <c r="BP3324">
        <v>0</v>
      </c>
      <c r="BW3324" t="str">
        <f t="shared" si="1550"/>
        <v>14:47:11.610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3</v>
      </c>
      <c r="CP3324" t="s">
        <v>675</v>
      </c>
      <c r="CQ3324">
        <v>363</v>
      </c>
      <c r="CR3324">
        <v>0</v>
      </c>
      <c r="CW3324">
        <v>6491218</v>
      </c>
      <c r="CY3324">
        <v>1</v>
      </c>
      <c r="CZ3324">
        <v>0</v>
      </c>
      <c r="DA3324">
        <v>1</v>
      </c>
      <c r="DB3324">
        <v>0</v>
      </c>
      <c r="DC3324">
        <v>0</v>
      </c>
      <c r="DD3324">
        <v>1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>"05/12/2020 14:46:54.757"</f>
        <v>05/12/2020 14:46:54.757</v>
      </c>
      <c r="C3325" t="str">
        <f t="shared" si="1535"/>
        <v>FFDFD3C0</v>
      </c>
      <c r="D3325" t="s">
        <v>126</v>
      </c>
      <c r="E3325">
        <v>6</v>
      </c>
      <c r="F3325">
        <v>1006</v>
      </c>
      <c r="G3325" t="s">
        <v>114</v>
      </c>
      <c r="J3325" t="s">
        <v>128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"14:47:12.555"</f>
        <v>14:47:12.555</v>
      </c>
      <c r="T3325" t="str">
        <f>"14:47:12.455"</f>
        <v>14:47:12.455</v>
      </c>
      <c r="U3325" t="str">
        <f t="shared" si="1527"/>
        <v>A9808D</v>
      </c>
      <c r="V3325">
        <v>0</v>
      </c>
      <c r="W3325">
        <v>0</v>
      </c>
      <c r="X3325">
        <v>1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0</v>
      </c>
      <c r="AI3325" t="s">
        <v>708</v>
      </c>
      <c r="AJ3325">
        <v>28.247609000000001</v>
      </c>
      <c r="AK3325" t="s">
        <v>784</v>
      </c>
      <c r="AL3325">
        <v>-82.266482999999994</v>
      </c>
      <c r="AM3325">
        <v>100</v>
      </c>
      <c r="AN3325">
        <v>2300</v>
      </c>
      <c r="AO3325" t="s">
        <v>118</v>
      </c>
      <c r="AP3325">
        <v>122</v>
      </c>
      <c r="AQ3325">
        <v>49</v>
      </c>
      <c r="AR3325">
        <v>448</v>
      </c>
      <c r="AZ3325">
        <v>1200</v>
      </c>
      <c r="BA3325">
        <v>1</v>
      </c>
      <c r="BB3325" t="str">
        <f t="shared" si="1536"/>
        <v xml:space="preserve">N711JA  </v>
      </c>
      <c r="BC3325">
        <v>1</v>
      </c>
      <c r="BE3325">
        <v>0</v>
      </c>
      <c r="BF3325">
        <v>0</v>
      </c>
      <c r="BG3325">
        <v>0</v>
      </c>
      <c r="BH3325">
        <v>2325</v>
      </c>
      <c r="BI3325">
        <v>1</v>
      </c>
      <c r="BJ3325">
        <v>1</v>
      </c>
      <c r="BK3325">
        <v>0</v>
      </c>
      <c r="BL3325">
        <v>0</v>
      </c>
      <c r="BO3325">
        <v>0</v>
      </c>
      <c r="BP3325">
        <v>0</v>
      </c>
      <c r="BW3325" t="str">
        <f>"14:47:12.556"</f>
        <v>14:47:12.556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119</v>
      </c>
      <c r="CQ3325">
        <v>358</v>
      </c>
      <c r="CR3325">
        <v>0</v>
      </c>
      <c r="CW3325">
        <v>4967997</v>
      </c>
      <c r="CY3325">
        <v>1</v>
      </c>
      <c r="CZ3325">
        <v>0</v>
      </c>
      <c r="DA3325">
        <v>0</v>
      </c>
      <c r="DB3325">
        <v>0</v>
      </c>
      <c r="DC3325">
        <v>0</v>
      </c>
      <c r="DD3325">
        <v>1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>"05/12/2020 14:46:54.757"</f>
        <v>05/12/2020 14:46:54.757</v>
      </c>
      <c r="C3326" t="str">
        <f t="shared" si="1535"/>
        <v>FFDFD3C0</v>
      </c>
      <c r="D3326" t="s">
        <v>126</v>
      </c>
      <c r="E3326">
        <v>7</v>
      </c>
      <c r="F3326">
        <v>1007</v>
      </c>
      <c r="G3326" t="s">
        <v>127</v>
      </c>
      <c r="J3326" t="s">
        <v>128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"14:47:12.555"</f>
        <v>14:47:12.555</v>
      </c>
      <c r="T3326" t="str">
        <f>"14:47:12.455"</f>
        <v>14:47:12.455</v>
      </c>
      <c r="U3326" t="str">
        <f t="shared" si="1527"/>
        <v>A9808D</v>
      </c>
      <c r="V3326">
        <v>0</v>
      </c>
      <c r="W3326">
        <v>0</v>
      </c>
      <c r="X3326">
        <v>1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0</v>
      </c>
      <c r="AI3326" t="s">
        <v>708</v>
      </c>
      <c r="AJ3326">
        <v>28.247609000000001</v>
      </c>
      <c r="AK3326" t="s">
        <v>784</v>
      </c>
      <c r="AL3326">
        <v>-82.266482999999994</v>
      </c>
      <c r="AM3326">
        <v>100</v>
      </c>
      <c r="AN3326">
        <v>2300</v>
      </c>
      <c r="AO3326" t="s">
        <v>118</v>
      </c>
      <c r="AP3326">
        <v>122</v>
      </c>
      <c r="AQ3326">
        <v>49</v>
      </c>
      <c r="AR3326">
        <v>448</v>
      </c>
      <c r="AZ3326">
        <v>1200</v>
      </c>
      <c r="BA3326">
        <v>1</v>
      </c>
      <c r="BB3326" t="str">
        <f t="shared" si="1536"/>
        <v xml:space="preserve">N711JA  </v>
      </c>
      <c r="BC3326">
        <v>1</v>
      </c>
      <c r="BE3326">
        <v>0</v>
      </c>
      <c r="BF3326">
        <v>0</v>
      </c>
      <c r="BG3326">
        <v>0</v>
      </c>
      <c r="BH3326">
        <v>2325</v>
      </c>
      <c r="BI3326">
        <v>1</v>
      </c>
      <c r="BJ3326">
        <v>1</v>
      </c>
      <c r="BK3326">
        <v>0</v>
      </c>
      <c r="BL3326">
        <v>0</v>
      </c>
      <c r="BO3326">
        <v>0</v>
      </c>
      <c r="BP3326">
        <v>0</v>
      </c>
      <c r="BW3326" t="str">
        <f>"14:47:12.556"</f>
        <v>14:47:12.556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119</v>
      </c>
      <c r="CQ3326">
        <v>358</v>
      </c>
      <c r="CR3326">
        <v>0</v>
      </c>
      <c r="CW3326">
        <v>4967997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1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>"05/12/2020 14:46:54.757"</f>
        <v>05/12/2020 14:46:54.757</v>
      </c>
      <c r="C3327" t="str">
        <f t="shared" si="1535"/>
        <v>FFDFD3C0</v>
      </c>
      <c r="D3327" t="s">
        <v>131</v>
      </c>
      <c r="E3327">
        <v>10</v>
      </c>
      <c r="F3327">
        <v>2010</v>
      </c>
      <c r="G3327" t="s">
        <v>132</v>
      </c>
      <c r="J3327" t="s">
        <v>133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"14:47:12.555"</f>
        <v>14:47:12.555</v>
      </c>
      <c r="T3327" t="str">
        <f>"14:47:12.455"</f>
        <v>14:47:12.455</v>
      </c>
      <c r="U3327" t="str">
        <f t="shared" si="1527"/>
        <v>A9808D</v>
      </c>
      <c r="V3327">
        <v>0</v>
      </c>
      <c r="W3327">
        <v>0</v>
      </c>
      <c r="X3327">
        <v>1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0</v>
      </c>
      <c r="AI3327" t="s">
        <v>708</v>
      </c>
      <c r="AJ3327">
        <v>28.247609000000001</v>
      </c>
      <c r="AK3327" t="s">
        <v>784</v>
      </c>
      <c r="AL3327">
        <v>-82.266482999999994</v>
      </c>
      <c r="AM3327">
        <v>100</v>
      </c>
      <c r="AN3327">
        <v>2300</v>
      </c>
      <c r="AO3327" t="s">
        <v>118</v>
      </c>
      <c r="AP3327">
        <v>122</v>
      </c>
      <c r="AQ3327">
        <v>49</v>
      </c>
      <c r="AR3327">
        <v>448</v>
      </c>
      <c r="AZ3327">
        <v>1200</v>
      </c>
      <c r="BA3327">
        <v>1</v>
      </c>
      <c r="BB3327" t="str">
        <f t="shared" si="1536"/>
        <v xml:space="preserve">N711JA  </v>
      </c>
      <c r="BC3327">
        <v>1</v>
      </c>
      <c r="BE3327">
        <v>0</v>
      </c>
      <c r="BF3327">
        <v>0</v>
      </c>
      <c r="BG3327">
        <v>0</v>
      </c>
      <c r="BH3327">
        <v>2325</v>
      </c>
      <c r="BI3327">
        <v>1</v>
      </c>
      <c r="BJ3327">
        <v>1</v>
      </c>
      <c r="BK3327">
        <v>0</v>
      </c>
      <c r="BL3327">
        <v>0</v>
      </c>
      <c r="BO3327">
        <v>0</v>
      </c>
      <c r="BP3327">
        <v>0</v>
      </c>
      <c r="BW3327" t="str">
        <f>"14:47:12.556"</f>
        <v>14:47:12.556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119</v>
      </c>
      <c r="CQ3327">
        <v>358</v>
      </c>
      <c r="CR3327">
        <v>0</v>
      </c>
      <c r="CW3327">
        <v>4967997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1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>"05/12/2020 14:46:54.757"</f>
        <v>05/12/2020 14:46:54.757</v>
      </c>
      <c r="C3328" t="str">
        <f t="shared" si="1535"/>
        <v>FFDFD3C0</v>
      </c>
      <c r="D3328" t="s">
        <v>134</v>
      </c>
      <c r="E3328">
        <v>12</v>
      </c>
      <c r="H3328">
        <v>64</v>
      </c>
      <c r="I3328" t="s">
        <v>135</v>
      </c>
      <c r="J3328" t="s">
        <v>136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"14:47:12.555"</f>
        <v>14:47:12.555</v>
      </c>
      <c r="T3328" t="str">
        <f>"14:47:12.455"</f>
        <v>14:47:12.455</v>
      </c>
      <c r="U3328" t="str">
        <f t="shared" si="1527"/>
        <v>A9808D</v>
      </c>
      <c r="V3328">
        <v>0</v>
      </c>
      <c r="W3328">
        <v>0</v>
      </c>
      <c r="X3328">
        <v>1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0</v>
      </c>
      <c r="AI3328" t="s">
        <v>708</v>
      </c>
      <c r="AJ3328">
        <v>28.247609000000001</v>
      </c>
      <c r="AK3328" t="s">
        <v>784</v>
      </c>
      <c r="AL3328">
        <v>-82.266482999999994</v>
      </c>
      <c r="AM3328">
        <v>100</v>
      </c>
      <c r="AN3328">
        <v>2300</v>
      </c>
      <c r="AO3328" t="s">
        <v>118</v>
      </c>
      <c r="AP3328">
        <v>122</v>
      </c>
      <c r="AQ3328">
        <v>49</v>
      </c>
      <c r="AR3328">
        <v>448</v>
      </c>
      <c r="AZ3328">
        <v>1200</v>
      </c>
      <c r="BA3328">
        <v>1</v>
      </c>
      <c r="BB3328" t="str">
        <f t="shared" si="1536"/>
        <v xml:space="preserve">N711JA  </v>
      </c>
      <c r="BC3328">
        <v>1</v>
      </c>
      <c r="BE3328">
        <v>0</v>
      </c>
      <c r="BF3328">
        <v>0</v>
      </c>
      <c r="BG3328">
        <v>0</v>
      </c>
      <c r="BH3328">
        <v>2325</v>
      </c>
      <c r="BI3328">
        <v>1</v>
      </c>
      <c r="BJ3328">
        <v>1</v>
      </c>
      <c r="BK3328">
        <v>0</v>
      </c>
      <c r="BL3328">
        <v>0</v>
      </c>
      <c r="BO3328">
        <v>0</v>
      </c>
      <c r="BP3328">
        <v>0</v>
      </c>
      <c r="BW3328" t="str">
        <f>"14:47:12.556"</f>
        <v>14:47:12.556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7</v>
      </c>
      <c r="CP3328" t="s">
        <v>119</v>
      </c>
      <c r="CQ3328">
        <v>358</v>
      </c>
      <c r="CR3328">
        <v>0</v>
      </c>
      <c r="CW3328">
        <v>4967997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1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>"05/12/2020 14:46:54.757"</f>
        <v>05/12/2020 14:46:54.757</v>
      </c>
      <c r="C3329" t="str">
        <f t="shared" si="1535"/>
        <v>FFDFD3C0</v>
      </c>
      <c r="D3329" t="s">
        <v>138</v>
      </c>
      <c r="E3329">
        <v>3</v>
      </c>
      <c r="H3329">
        <v>9</v>
      </c>
      <c r="I3329" t="s">
        <v>140</v>
      </c>
      <c r="J3329" t="s">
        <v>136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"14:47:12.555"</f>
        <v>14:47:12.555</v>
      </c>
      <c r="T3329" t="str">
        <f>"14:47:12.455"</f>
        <v>14:47:12.455</v>
      </c>
      <c r="U3329" t="str">
        <f t="shared" si="1527"/>
        <v>A9808D</v>
      </c>
      <c r="V3329">
        <v>0</v>
      </c>
      <c r="W3329">
        <v>0</v>
      </c>
      <c r="X3329">
        <v>1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0</v>
      </c>
      <c r="AI3329" t="s">
        <v>708</v>
      </c>
      <c r="AJ3329">
        <v>28.247609000000001</v>
      </c>
      <c r="AK3329" t="s">
        <v>784</v>
      </c>
      <c r="AL3329">
        <v>-82.266482999999994</v>
      </c>
      <c r="AM3329">
        <v>100</v>
      </c>
      <c r="AN3329">
        <v>2300</v>
      </c>
      <c r="AO3329" t="s">
        <v>118</v>
      </c>
      <c r="AP3329">
        <v>122</v>
      </c>
      <c r="AQ3329">
        <v>49</v>
      </c>
      <c r="AR3329">
        <v>448</v>
      </c>
      <c r="AZ3329">
        <v>1200</v>
      </c>
      <c r="BA3329">
        <v>1</v>
      </c>
      <c r="BB3329" t="str">
        <f t="shared" si="1536"/>
        <v xml:space="preserve">N711JA  </v>
      </c>
      <c r="BC3329">
        <v>1</v>
      </c>
      <c r="BE3329">
        <v>0</v>
      </c>
      <c r="BF3329">
        <v>0</v>
      </c>
      <c r="BG3329">
        <v>0</v>
      </c>
      <c r="BH3329">
        <v>2325</v>
      </c>
      <c r="BI3329">
        <v>1</v>
      </c>
      <c r="BJ3329">
        <v>1</v>
      </c>
      <c r="BK3329">
        <v>0</v>
      </c>
      <c r="BL3329">
        <v>0</v>
      </c>
      <c r="BO3329">
        <v>0</v>
      </c>
      <c r="BP3329">
        <v>0</v>
      </c>
      <c r="BW3329" t="str">
        <f>"14:47:12.556"</f>
        <v>14:47:12.556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7</v>
      </c>
      <c r="CP3329" t="s">
        <v>119</v>
      </c>
      <c r="CQ3329">
        <v>358</v>
      </c>
      <c r="CR3329">
        <v>0</v>
      </c>
      <c r="CW3329">
        <v>4967997</v>
      </c>
      <c r="CY3329">
        <v>1</v>
      </c>
      <c r="CZ3329">
        <v>0</v>
      </c>
      <c r="DA3329">
        <v>1</v>
      </c>
      <c r="DB3329">
        <v>0</v>
      </c>
      <c r="DC3329">
        <v>0</v>
      </c>
      <c r="DD3329">
        <v>1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 t="shared" ref="A3330:A3338" si="1551">"05/12/2020 14:46:55.648"</f>
        <v>05/12/2020 14:46:55.648</v>
      </c>
      <c r="C3330" t="str">
        <f t="shared" si="1535"/>
        <v>FFDFD3C0</v>
      </c>
      <c r="D3330" t="s">
        <v>126</v>
      </c>
      <c r="E3330">
        <v>7</v>
      </c>
      <c r="F3330">
        <v>1007</v>
      </c>
      <c r="G3330" t="s">
        <v>127</v>
      </c>
      <c r="J3330" t="s">
        <v>128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ref="S3330:S3338" si="1552">"14:47:13.484"</f>
        <v>14:47:13.484</v>
      </c>
      <c r="T3330" t="str">
        <f t="shared" ref="T3330:T3338" si="1553">"14:47:13.384"</f>
        <v>14:47:13.384</v>
      </c>
      <c r="U3330" t="str">
        <f t="shared" ref="U3330:U3393" si="1554">"A9808D"</f>
        <v>A9808D</v>
      </c>
      <c r="V3330">
        <v>0</v>
      </c>
      <c r="W3330">
        <v>0</v>
      </c>
      <c r="X3330">
        <v>1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0</v>
      </c>
      <c r="AI3330" t="s">
        <v>785</v>
      </c>
      <c r="AJ3330">
        <v>28.247866999999999</v>
      </c>
      <c r="AK3330" t="s">
        <v>786</v>
      </c>
      <c r="AL3330">
        <v>-82.265946999999997</v>
      </c>
      <c r="AM3330">
        <v>100</v>
      </c>
      <c r="AN3330">
        <v>2300</v>
      </c>
      <c r="AO3330" t="s">
        <v>118</v>
      </c>
      <c r="AP3330">
        <v>117</v>
      </c>
      <c r="AQ3330">
        <v>57</v>
      </c>
      <c r="AR3330">
        <v>256</v>
      </c>
      <c r="AZ3330">
        <v>1200</v>
      </c>
      <c r="BA3330">
        <v>1</v>
      </c>
      <c r="BB3330" t="str">
        <f t="shared" si="1536"/>
        <v xml:space="preserve">N711JA  </v>
      </c>
      <c r="BC3330">
        <v>1</v>
      </c>
      <c r="BE3330">
        <v>0</v>
      </c>
      <c r="BF3330">
        <v>0</v>
      </c>
      <c r="BG3330">
        <v>0</v>
      </c>
      <c r="BH3330">
        <v>2350</v>
      </c>
      <c r="BI3330">
        <v>1</v>
      </c>
      <c r="BJ3330">
        <v>1</v>
      </c>
      <c r="BK3330">
        <v>0</v>
      </c>
      <c r="BL3330">
        <v>0</v>
      </c>
      <c r="BO3330">
        <v>0</v>
      </c>
      <c r="BP3330">
        <v>0</v>
      </c>
      <c r="BW3330" t="str">
        <f t="shared" ref="BW3330:BW3338" si="1555">"14:47:13.486"</f>
        <v>14:47:13.486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6</v>
      </c>
      <c r="CP3330" t="s">
        <v>119</v>
      </c>
      <c r="CQ3330">
        <v>358</v>
      </c>
      <c r="CR3330">
        <v>0</v>
      </c>
      <c r="CW3330">
        <v>4969093</v>
      </c>
      <c r="CY3330">
        <v>1</v>
      </c>
      <c r="CZ3330">
        <v>0</v>
      </c>
      <c r="DA3330">
        <v>0</v>
      </c>
      <c r="DB3330">
        <v>0</v>
      </c>
      <c r="DC3330">
        <v>0</v>
      </c>
      <c r="DD3330">
        <v>1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 t="shared" si="1551"/>
        <v>05/12/2020 14:46:55.648</v>
      </c>
      <c r="C3331" t="str">
        <f t="shared" si="1535"/>
        <v>FFDFD3C0</v>
      </c>
      <c r="D3331" t="s">
        <v>131</v>
      </c>
      <c r="E3331">
        <v>10</v>
      </c>
      <c r="F3331">
        <v>2010</v>
      </c>
      <c r="G3331" t="s">
        <v>132</v>
      </c>
      <c r="J3331" t="s">
        <v>133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si="1552"/>
        <v>14:47:13.484</v>
      </c>
      <c r="T3331" t="str">
        <f t="shared" si="1553"/>
        <v>14:47:13.384</v>
      </c>
      <c r="U3331" t="str">
        <f t="shared" si="1554"/>
        <v>A9808D</v>
      </c>
      <c r="V3331">
        <v>0</v>
      </c>
      <c r="W3331">
        <v>0</v>
      </c>
      <c r="X3331">
        <v>1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0</v>
      </c>
      <c r="AI3331" t="s">
        <v>785</v>
      </c>
      <c r="AJ3331">
        <v>28.247866999999999</v>
      </c>
      <c r="AK3331" t="s">
        <v>786</v>
      </c>
      <c r="AL3331">
        <v>-82.265946999999997</v>
      </c>
      <c r="AM3331">
        <v>100</v>
      </c>
      <c r="AN3331">
        <v>2300</v>
      </c>
      <c r="AO3331" t="s">
        <v>118</v>
      </c>
      <c r="AP3331">
        <v>117</v>
      </c>
      <c r="AQ3331">
        <v>57</v>
      </c>
      <c r="AR3331">
        <v>256</v>
      </c>
      <c r="AZ3331">
        <v>1200</v>
      </c>
      <c r="BA3331">
        <v>1</v>
      </c>
      <c r="BB3331" t="str">
        <f t="shared" si="1536"/>
        <v xml:space="preserve">N711JA  </v>
      </c>
      <c r="BC3331">
        <v>1</v>
      </c>
      <c r="BE3331">
        <v>0</v>
      </c>
      <c r="BF3331">
        <v>0</v>
      </c>
      <c r="BG3331">
        <v>0</v>
      </c>
      <c r="BH3331">
        <v>2350</v>
      </c>
      <c r="BI3331">
        <v>1</v>
      </c>
      <c r="BJ3331">
        <v>1</v>
      </c>
      <c r="BK3331">
        <v>0</v>
      </c>
      <c r="BL3331">
        <v>0</v>
      </c>
      <c r="BO3331">
        <v>0</v>
      </c>
      <c r="BP3331">
        <v>0</v>
      </c>
      <c r="BW3331" t="str">
        <f t="shared" si="1555"/>
        <v>14:47:13.486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6</v>
      </c>
      <c r="CP3331" t="s">
        <v>119</v>
      </c>
      <c r="CQ3331">
        <v>358</v>
      </c>
      <c r="CR3331">
        <v>0</v>
      </c>
      <c r="CW3331">
        <v>4969093</v>
      </c>
      <c r="CY3331">
        <v>1</v>
      </c>
      <c r="CZ3331">
        <v>0</v>
      </c>
      <c r="DA3331">
        <v>1</v>
      </c>
      <c r="DB3331">
        <v>0</v>
      </c>
      <c r="DC3331">
        <v>0</v>
      </c>
      <c r="DD3331">
        <v>1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 t="shared" si="1551"/>
        <v>05/12/2020 14:46:55.648</v>
      </c>
      <c r="C3332" t="str">
        <f t="shared" si="1535"/>
        <v>FFDFD3C0</v>
      </c>
      <c r="D3332" t="s">
        <v>131</v>
      </c>
      <c r="E3332">
        <v>12</v>
      </c>
      <c r="F3332">
        <v>2012</v>
      </c>
      <c r="G3332" t="s">
        <v>137</v>
      </c>
      <c r="J3332" t="s">
        <v>133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552"/>
        <v>14:47:13.484</v>
      </c>
      <c r="T3332" t="str">
        <f t="shared" si="1553"/>
        <v>14:47:13.384</v>
      </c>
      <c r="U3332" t="str">
        <f t="shared" si="1554"/>
        <v>A9808D</v>
      </c>
      <c r="V3332">
        <v>0</v>
      </c>
      <c r="W3332">
        <v>0</v>
      </c>
      <c r="X3332">
        <v>1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0</v>
      </c>
      <c r="AI3332" t="s">
        <v>785</v>
      </c>
      <c r="AJ3332">
        <v>28.247866999999999</v>
      </c>
      <c r="AK3332" t="s">
        <v>786</v>
      </c>
      <c r="AL3332">
        <v>-82.265946999999997</v>
      </c>
      <c r="AM3332">
        <v>100</v>
      </c>
      <c r="AN3332">
        <v>2300</v>
      </c>
      <c r="AO3332" t="s">
        <v>118</v>
      </c>
      <c r="AP3332">
        <v>117</v>
      </c>
      <c r="AQ3332">
        <v>57</v>
      </c>
      <c r="AR3332">
        <v>256</v>
      </c>
      <c r="AZ3332">
        <v>1200</v>
      </c>
      <c r="BA3332">
        <v>1</v>
      </c>
      <c r="BB3332" t="str">
        <f t="shared" si="1536"/>
        <v xml:space="preserve">N711JA  </v>
      </c>
      <c r="BC3332">
        <v>1</v>
      </c>
      <c r="BE3332">
        <v>0</v>
      </c>
      <c r="BF3332">
        <v>0</v>
      </c>
      <c r="BG3332">
        <v>0</v>
      </c>
      <c r="BH3332">
        <v>2350</v>
      </c>
      <c r="BI3332">
        <v>1</v>
      </c>
      <c r="BJ3332">
        <v>1</v>
      </c>
      <c r="BK3332">
        <v>0</v>
      </c>
      <c r="BL3332">
        <v>0</v>
      </c>
      <c r="BO3332">
        <v>0</v>
      </c>
      <c r="BP3332">
        <v>0</v>
      </c>
      <c r="BW3332" t="str">
        <f t="shared" si="1555"/>
        <v>14:47:13.486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3</v>
      </c>
      <c r="CP3332" t="s">
        <v>675</v>
      </c>
      <c r="CQ3332">
        <v>363</v>
      </c>
      <c r="CR3332">
        <v>0</v>
      </c>
      <c r="CW3332">
        <v>6493659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1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 t="shared" si="1551"/>
        <v>05/12/2020 14:46:55.648</v>
      </c>
      <c r="C3333" t="str">
        <f t="shared" si="1535"/>
        <v>FFDFD3C0</v>
      </c>
      <c r="D3333" t="s">
        <v>113</v>
      </c>
      <c r="E3333">
        <v>3</v>
      </c>
      <c r="H3333">
        <v>164</v>
      </c>
      <c r="I3333" t="s">
        <v>114</v>
      </c>
      <c r="J3333" t="s">
        <v>115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si="1552"/>
        <v>14:47:13.484</v>
      </c>
      <c r="T3333" t="str">
        <f t="shared" si="1553"/>
        <v>14:47:13.384</v>
      </c>
      <c r="U3333" t="str">
        <f t="shared" si="1554"/>
        <v>A9808D</v>
      </c>
      <c r="V3333">
        <v>0</v>
      </c>
      <c r="W3333">
        <v>0</v>
      </c>
      <c r="X3333">
        <v>1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0</v>
      </c>
      <c r="AI3333" t="s">
        <v>785</v>
      </c>
      <c r="AJ3333">
        <v>28.247866999999999</v>
      </c>
      <c r="AK3333" t="s">
        <v>786</v>
      </c>
      <c r="AL3333">
        <v>-82.265946999999997</v>
      </c>
      <c r="AM3333">
        <v>100</v>
      </c>
      <c r="AN3333">
        <v>2300</v>
      </c>
      <c r="AO3333" t="s">
        <v>118</v>
      </c>
      <c r="AP3333">
        <v>117</v>
      </c>
      <c r="AQ3333">
        <v>57</v>
      </c>
      <c r="AR3333">
        <v>256</v>
      </c>
      <c r="AZ3333">
        <v>1200</v>
      </c>
      <c r="BA3333">
        <v>1</v>
      </c>
      <c r="BB3333" t="str">
        <f t="shared" si="1536"/>
        <v xml:space="preserve">N711JA  </v>
      </c>
      <c r="BC3333">
        <v>1</v>
      </c>
      <c r="BE3333">
        <v>0</v>
      </c>
      <c r="BF3333">
        <v>0</v>
      </c>
      <c r="BG3333">
        <v>0</v>
      </c>
      <c r="BH3333">
        <v>2350</v>
      </c>
      <c r="BI3333">
        <v>1</v>
      </c>
      <c r="BJ3333">
        <v>1</v>
      </c>
      <c r="BK3333">
        <v>0</v>
      </c>
      <c r="BL3333">
        <v>0</v>
      </c>
      <c r="BO3333">
        <v>0</v>
      </c>
      <c r="BP3333">
        <v>0</v>
      </c>
      <c r="BW3333" t="str">
        <f t="shared" si="1555"/>
        <v>14:47:13.486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2</v>
      </c>
      <c r="CP3333" t="s">
        <v>119</v>
      </c>
      <c r="CQ3333">
        <v>62</v>
      </c>
      <c r="CR3333">
        <v>1</v>
      </c>
      <c r="CW3333">
        <v>12907376</v>
      </c>
      <c r="CY3333">
        <v>1</v>
      </c>
      <c r="CZ3333">
        <v>0</v>
      </c>
      <c r="DA3333">
        <v>1</v>
      </c>
      <c r="DB3333">
        <v>0</v>
      </c>
      <c r="DC3333">
        <v>0</v>
      </c>
      <c r="DD3333">
        <v>1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 t="shared" si="1551"/>
        <v>05/12/2020 14:46:55.648</v>
      </c>
      <c r="C3334" t="str">
        <f t="shared" si="1535"/>
        <v>FFDFD3C0</v>
      </c>
      <c r="D3334" t="s">
        <v>131</v>
      </c>
      <c r="E3334">
        <v>18</v>
      </c>
      <c r="F3334">
        <v>2018</v>
      </c>
      <c r="G3334" t="s">
        <v>161</v>
      </c>
      <c r="J3334" t="s">
        <v>133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552"/>
        <v>14:47:13.484</v>
      </c>
      <c r="T3334" t="str">
        <f t="shared" si="1553"/>
        <v>14:47:13.384</v>
      </c>
      <c r="U3334" t="str">
        <f t="shared" si="1554"/>
        <v>A9808D</v>
      </c>
      <c r="V3334">
        <v>0</v>
      </c>
      <c r="W3334">
        <v>0</v>
      </c>
      <c r="X3334">
        <v>1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0</v>
      </c>
      <c r="AI3334" t="s">
        <v>785</v>
      </c>
      <c r="AJ3334">
        <v>28.247866999999999</v>
      </c>
      <c r="AK3334" t="s">
        <v>786</v>
      </c>
      <c r="AL3334">
        <v>-82.265946999999997</v>
      </c>
      <c r="AM3334">
        <v>100</v>
      </c>
      <c r="AN3334">
        <v>2300</v>
      </c>
      <c r="AO3334" t="s">
        <v>118</v>
      </c>
      <c r="AP3334">
        <v>117</v>
      </c>
      <c r="AQ3334">
        <v>57</v>
      </c>
      <c r="AR3334">
        <v>256</v>
      </c>
      <c r="AZ3334">
        <v>1200</v>
      </c>
      <c r="BA3334">
        <v>1</v>
      </c>
      <c r="BB3334" t="str">
        <f t="shared" si="1536"/>
        <v xml:space="preserve">N711JA  </v>
      </c>
      <c r="BC3334">
        <v>1</v>
      </c>
      <c r="BE3334">
        <v>0</v>
      </c>
      <c r="BF3334">
        <v>0</v>
      </c>
      <c r="BG3334">
        <v>0</v>
      </c>
      <c r="BH3334">
        <v>2350</v>
      </c>
      <c r="BI3334">
        <v>1</v>
      </c>
      <c r="BJ3334">
        <v>1</v>
      </c>
      <c r="BK3334">
        <v>0</v>
      </c>
      <c r="BL3334">
        <v>0</v>
      </c>
      <c r="BO3334">
        <v>0</v>
      </c>
      <c r="BP3334">
        <v>0</v>
      </c>
      <c r="BW3334" t="str">
        <f t="shared" si="1555"/>
        <v>14:47:13.486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2</v>
      </c>
      <c r="CP3334" t="s">
        <v>119</v>
      </c>
      <c r="CQ3334">
        <v>62</v>
      </c>
      <c r="CR3334">
        <v>1</v>
      </c>
      <c r="CW3334">
        <v>12907376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1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 t="shared" si="1551"/>
        <v>05/12/2020 14:46:55.648</v>
      </c>
      <c r="C3335" t="str">
        <f t="shared" si="1535"/>
        <v>FFDFD3C0</v>
      </c>
      <c r="D3335" t="s">
        <v>134</v>
      </c>
      <c r="E3335">
        <v>12</v>
      </c>
      <c r="H3335">
        <v>64</v>
      </c>
      <c r="I3335" t="s">
        <v>135</v>
      </c>
      <c r="J3335" t="s">
        <v>136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552"/>
        <v>14:47:13.484</v>
      </c>
      <c r="T3335" t="str">
        <f t="shared" si="1553"/>
        <v>14:47:13.384</v>
      </c>
      <c r="U3335" t="str">
        <f t="shared" si="1554"/>
        <v>A9808D</v>
      </c>
      <c r="V3335">
        <v>0</v>
      </c>
      <c r="W3335">
        <v>0</v>
      </c>
      <c r="X3335">
        <v>1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0</v>
      </c>
      <c r="AI3335" t="s">
        <v>785</v>
      </c>
      <c r="AJ3335">
        <v>28.247866999999999</v>
      </c>
      <c r="AK3335" t="s">
        <v>786</v>
      </c>
      <c r="AL3335">
        <v>-82.265946999999997</v>
      </c>
      <c r="AM3335">
        <v>100</v>
      </c>
      <c r="AN3335">
        <v>2300</v>
      </c>
      <c r="AO3335" t="s">
        <v>118</v>
      </c>
      <c r="AP3335">
        <v>117</v>
      </c>
      <c r="AQ3335">
        <v>57</v>
      </c>
      <c r="AR3335">
        <v>256</v>
      </c>
      <c r="AZ3335">
        <v>1200</v>
      </c>
      <c r="BA3335">
        <v>1</v>
      </c>
      <c r="BB3335" t="str">
        <f t="shared" si="1536"/>
        <v xml:space="preserve">N711JA  </v>
      </c>
      <c r="BC3335">
        <v>1</v>
      </c>
      <c r="BE3335">
        <v>0</v>
      </c>
      <c r="BF3335">
        <v>0</v>
      </c>
      <c r="BG3335">
        <v>0</v>
      </c>
      <c r="BH3335">
        <v>2350</v>
      </c>
      <c r="BI3335">
        <v>1</v>
      </c>
      <c r="BJ3335">
        <v>1</v>
      </c>
      <c r="BK3335">
        <v>0</v>
      </c>
      <c r="BL3335">
        <v>0</v>
      </c>
      <c r="BO3335">
        <v>0</v>
      </c>
      <c r="BP3335">
        <v>0</v>
      </c>
      <c r="BW3335" t="str">
        <f t="shared" si="1555"/>
        <v>14:47:13.486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6</v>
      </c>
      <c r="CP3335" t="s">
        <v>119</v>
      </c>
      <c r="CQ3335">
        <v>358</v>
      </c>
      <c r="CR3335">
        <v>0</v>
      </c>
      <c r="CW3335">
        <v>4969093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1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 t="shared" si="1551"/>
        <v>05/12/2020 14:46:55.648</v>
      </c>
      <c r="C3336" t="str">
        <f t="shared" si="1535"/>
        <v>FFDFD3C0</v>
      </c>
      <c r="D3336" t="s">
        <v>138</v>
      </c>
      <c r="E3336">
        <v>3</v>
      </c>
      <c r="H3336">
        <v>9</v>
      </c>
      <c r="I3336" t="s">
        <v>140</v>
      </c>
      <c r="J3336" t="s">
        <v>136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552"/>
        <v>14:47:13.484</v>
      </c>
      <c r="T3336" t="str">
        <f t="shared" si="1553"/>
        <v>14:47:13.384</v>
      </c>
      <c r="U3336" t="str">
        <f t="shared" si="1554"/>
        <v>A9808D</v>
      </c>
      <c r="V3336">
        <v>0</v>
      </c>
      <c r="W3336">
        <v>0</v>
      </c>
      <c r="X3336">
        <v>1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0</v>
      </c>
      <c r="AI3336" t="s">
        <v>785</v>
      </c>
      <c r="AJ3336">
        <v>28.247866999999999</v>
      </c>
      <c r="AK3336" t="s">
        <v>786</v>
      </c>
      <c r="AL3336">
        <v>-82.265946999999997</v>
      </c>
      <c r="AM3336">
        <v>100</v>
      </c>
      <c r="AN3336">
        <v>2300</v>
      </c>
      <c r="AO3336" t="s">
        <v>118</v>
      </c>
      <c r="AP3336">
        <v>117</v>
      </c>
      <c r="AQ3336">
        <v>57</v>
      </c>
      <c r="AR3336">
        <v>256</v>
      </c>
      <c r="AZ3336">
        <v>1200</v>
      </c>
      <c r="BA3336">
        <v>1</v>
      </c>
      <c r="BB3336" t="str">
        <f t="shared" si="1536"/>
        <v xml:space="preserve">N711JA  </v>
      </c>
      <c r="BC3336">
        <v>1</v>
      </c>
      <c r="BE3336">
        <v>0</v>
      </c>
      <c r="BF3336">
        <v>0</v>
      </c>
      <c r="BG3336">
        <v>0</v>
      </c>
      <c r="BH3336">
        <v>2350</v>
      </c>
      <c r="BI3336">
        <v>1</v>
      </c>
      <c r="BJ3336">
        <v>1</v>
      </c>
      <c r="BK3336">
        <v>0</v>
      </c>
      <c r="BL3336">
        <v>0</v>
      </c>
      <c r="BO3336">
        <v>0</v>
      </c>
      <c r="BP3336">
        <v>0</v>
      </c>
      <c r="BW3336" t="str">
        <f t="shared" si="1555"/>
        <v>14:47:13.486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6</v>
      </c>
      <c r="CP3336" t="s">
        <v>119</v>
      </c>
      <c r="CQ3336">
        <v>358</v>
      </c>
      <c r="CR3336">
        <v>0</v>
      </c>
      <c r="CW3336">
        <v>4969093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1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 t="shared" si="1551"/>
        <v>05/12/2020 14:46:55.648</v>
      </c>
      <c r="C3337" t="str">
        <f t="shared" si="1535"/>
        <v>FFDFD3C0</v>
      </c>
      <c r="D3337" t="s">
        <v>138</v>
      </c>
      <c r="E3337">
        <v>2</v>
      </c>
      <c r="H3337">
        <v>8</v>
      </c>
      <c r="I3337" t="s">
        <v>139</v>
      </c>
      <c r="J3337" t="s">
        <v>136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552"/>
        <v>14:47:13.484</v>
      </c>
      <c r="T3337" t="str">
        <f t="shared" si="1553"/>
        <v>14:47:13.384</v>
      </c>
      <c r="U3337" t="str">
        <f t="shared" si="1554"/>
        <v>A9808D</v>
      </c>
      <c r="V3337">
        <v>0</v>
      </c>
      <c r="W3337">
        <v>0</v>
      </c>
      <c r="X3337">
        <v>1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0</v>
      </c>
      <c r="AI3337" t="s">
        <v>785</v>
      </c>
      <c r="AJ3337">
        <v>28.247866999999999</v>
      </c>
      <c r="AK3337" t="s">
        <v>786</v>
      </c>
      <c r="AL3337">
        <v>-82.265946999999997</v>
      </c>
      <c r="AM3337">
        <v>100</v>
      </c>
      <c r="AN3337">
        <v>2300</v>
      </c>
      <c r="AO3337" t="s">
        <v>118</v>
      </c>
      <c r="AP3337">
        <v>117</v>
      </c>
      <c r="AQ3337">
        <v>57</v>
      </c>
      <c r="AR3337">
        <v>256</v>
      </c>
      <c r="AZ3337">
        <v>1200</v>
      </c>
      <c r="BA3337">
        <v>1</v>
      </c>
      <c r="BB3337" t="str">
        <f t="shared" si="1536"/>
        <v xml:space="preserve">N711JA  </v>
      </c>
      <c r="BC3337">
        <v>1</v>
      </c>
      <c r="BE3337">
        <v>0</v>
      </c>
      <c r="BF3337">
        <v>0</v>
      </c>
      <c r="BG3337">
        <v>0</v>
      </c>
      <c r="BH3337">
        <v>2350</v>
      </c>
      <c r="BI3337">
        <v>1</v>
      </c>
      <c r="BJ3337">
        <v>1</v>
      </c>
      <c r="BK3337">
        <v>0</v>
      </c>
      <c r="BL3337">
        <v>0</v>
      </c>
      <c r="BO3337">
        <v>0</v>
      </c>
      <c r="BP3337">
        <v>0</v>
      </c>
      <c r="BW3337" t="str">
        <f t="shared" si="1555"/>
        <v>14:47:13.486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3</v>
      </c>
      <c r="CP3337" t="s">
        <v>675</v>
      </c>
      <c r="CQ3337">
        <v>363</v>
      </c>
      <c r="CR3337">
        <v>0</v>
      </c>
      <c r="CW3337">
        <v>6493659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1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 t="shared" si="1551"/>
        <v>05/12/2020 14:46:55.648</v>
      </c>
      <c r="C3338" t="str">
        <f t="shared" si="1535"/>
        <v>FFDFD3C0</v>
      </c>
      <c r="D3338" t="s">
        <v>126</v>
      </c>
      <c r="E3338">
        <v>6</v>
      </c>
      <c r="F3338">
        <v>1006</v>
      </c>
      <c r="G3338" t="s">
        <v>114</v>
      </c>
      <c r="J3338" t="s">
        <v>128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si="1552"/>
        <v>14:47:13.484</v>
      </c>
      <c r="T3338" t="str">
        <f t="shared" si="1553"/>
        <v>14:47:13.384</v>
      </c>
      <c r="U3338" t="str">
        <f t="shared" si="1554"/>
        <v>A9808D</v>
      </c>
      <c r="V3338">
        <v>0</v>
      </c>
      <c r="W3338">
        <v>0</v>
      </c>
      <c r="X3338">
        <v>1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0</v>
      </c>
      <c r="AI3338" t="s">
        <v>785</v>
      </c>
      <c r="AJ3338">
        <v>28.247866999999999</v>
      </c>
      <c r="AK3338" t="s">
        <v>786</v>
      </c>
      <c r="AL3338">
        <v>-82.265946999999997</v>
      </c>
      <c r="AM3338">
        <v>100</v>
      </c>
      <c r="AN3338">
        <v>2300</v>
      </c>
      <c r="AO3338" t="s">
        <v>118</v>
      </c>
      <c r="AP3338">
        <v>117</v>
      </c>
      <c r="AQ3338">
        <v>57</v>
      </c>
      <c r="AR3338">
        <v>256</v>
      </c>
      <c r="AZ3338">
        <v>1200</v>
      </c>
      <c r="BA3338">
        <v>1</v>
      </c>
      <c r="BB3338" t="str">
        <f t="shared" si="1536"/>
        <v xml:space="preserve">N711JA  </v>
      </c>
      <c r="BC3338">
        <v>1</v>
      </c>
      <c r="BE3338">
        <v>0</v>
      </c>
      <c r="BF3338">
        <v>0</v>
      </c>
      <c r="BG3338">
        <v>0</v>
      </c>
      <c r="BH3338">
        <v>2350</v>
      </c>
      <c r="BI3338">
        <v>1</v>
      </c>
      <c r="BJ3338">
        <v>1</v>
      </c>
      <c r="BK3338">
        <v>0</v>
      </c>
      <c r="BL3338">
        <v>0</v>
      </c>
      <c r="BO3338">
        <v>0</v>
      </c>
      <c r="BP3338">
        <v>0</v>
      </c>
      <c r="BW3338" t="str">
        <f t="shared" si="1555"/>
        <v>14:47:13.486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6</v>
      </c>
      <c r="CP3338" t="s">
        <v>119</v>
      </c>
      <c r="CQ3338">
        <v>358</v>
      </c>
      <c r="CR3338">
        <v>0</v>
      </c>
      <c r="CW3338">
        <v>4969093</v>
      </c>
      <c r="CY3338">
        <v>1</v>
      </c>
      <c r="CZ3338">
        <v>0</v>
      </c>
      <c r="DA3338">
        <v>1</v>
      </c>
      <c r="DB3338">
        <v>0</v>
      </c>
      <c r="DC3338">
        <v>0</v>
      </c>
      <c r="DD3338">
        <v>1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 t="shared" ref="A3339:A3346" si="1556">"05/12/2020 14:46:56.620"</f>
        <v>05/12/2020 14:46:56.620</v>
      </c>
      <c r="C3339" t="str">
        <f t="shared" si="1535"/>
        <v>FFDFD3C0</v>
      </c>
      <c r="D3339" t="s">
        <v>126</v>
      </c>
      <c r="E3339">
        <v>6</v>
      </c>
      <c r="F3339">
        <v>1006</v>
      </c>
      <c r="G3339" t="s">
        <v>114</v>
      </c>
      <c r="J3339" t="s">
        <v>128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"14:47:14.461"</f>
        <v>14:47:14.461</v>
      </c>
      <c r="T3339" t="str">
        <f>"14:47:14.461"</f>
        <v>14:47:14.461</v>
      </c>
      <c r="U3339" t="str">
        <f t="shared" si="1554"/>
        <v>A9808D</v>
      </c>
      <c r="V3339">
        <v>0</v>
      </c>
      <c r="W3339">
        <v>0</v>
      </c>
      <c r="X3339">
        <v>1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0</v>
      </c>
      <c r="AI3339" t="s">
        <v>787</v>
      </c>
      <c r="AJ3339">
        <v>28.248145999999998</v>
      </c>
      <c r="AK3339" t="s">
        <v>788</v>
      </c>
      <c r="AL3339">
        <v>-82.265303000000003</v>
      </c>
      <c r="AM3339">
        <v>100</v>
      </c>
      <c r="AN3339">
        <v>2300</v>
      </c>
      <c r="AO3339" t="s">
        <v>118</v>
      </c>
      <c r="AP3339">
        <v>112</v>
      </c>
      <c r="AQ3339">
        <v>68</v>
      </c>
      <c r="AR3339">
        <v>0</v>
      </c>
      <c r="AZ3339">
        <v>1200</v>
      </c>
      <c r="BA3339">
        <v>1</v>
      </c>
      <c r="BB3339" t="str">
        <f t="shared" si="1536"/>
        <v xml:space="preserve">N711JA  </v>
      </c>
      <c r="BC3339">
        <v>1</v>
      </c>
      <c r="BE3339">
        <v>0</v>
      </c>
      <c r="BF3339">
        <v>0</v>
      </c>
      <c r="BG3339">
        <v>0</v>
      </c>
      <c r="BH3339">
        <v>2350</v>
      </c>
      <c r="BI3339">
        <v>1</v>
      </c>
      <c r="BJ3339">
        <v>1</v>
      </c>
      <c r="BK3339">
        <v>0</v>
      </c>
      <c r="BL3339">
        <v>0</v>
      </c>
      <c r="BO3339">
        <v>0</v>
      </c>
      <c r="BP3339">
        <v>0</v>
      </c>
      <c r="BW3339" t="str">
        <f>"14:47:14.463"</f>
        <v>14:47:14.463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6</v>
      </c>
      <c r="CP3339" t="s">
        <v>119</v>
      </c>
      <c r="CQ3339">
        <v>358</v>
      </c>
      <c r="CR3339">
        <v>0</v>
      </c>
      <c r="CW3339">
        <v>4970347</v>
      </c>
      <c r="CY3339">
        <v>1</v>
      </c>
      <c r="CZ3339">
        <v>0</v>
      </c>
      <c r="DA3339">
        <v>0</v>
      </c>
      <c r="DB3339">
        <v>0</v>
      </c>
      <c r="DC3339">
        <v>0</v>
      </c>
      <c r="DD3339">
        <v>1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 t="shared" si="1556"/>
        <v>05/12/2020 14:46:56.620</v>
      </c>
      <c r="C3340" t="str">
        <f t="shared" si="1535"/>
        <v>FFDFD3C0</v>
      </c>
      <c r="D3340" t="s">
        <v>113</v>
      </c>
      <c r="E3340">
        <v>3</v>
      </c>
      <c r="H3340">
        <v>164</v>
      </c>
      <c r="I3340" t="s">
        <v>114</v>
      </c>
      <c r="J3340" t="s">
        <v>115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ref="S3340:S3346" si="1557">"14:47:14.461"</f>
        <v>14:47:14.461</v>
      </c>
      <c r="T3340" t="str">
        <f>"14:47:13.861"</f>
        <v>14:47:13.861</v>
      </c>
      <c r="U3340" t="str">
        <f t="shared" si="1554"/>
        <v>A9808D</v>
      </c>
      <c r="V3340">
        <v>0</v>
      </c>
      <c r="W3340">
        <v>0</v>
      </c>
      <c r="X3340">
        <v>1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0</v>
      </c>
      <c r="AI3340" t="s">
        <v>787</v>
      </c>
      <c r="AJ3340">
        <v>28.248145999999998</v>
      </c>
      <c r="AK3340" t="s">
        <v>788</v>
      </c>
      <c r="AL3340">
        <v>-82.265303000000003</v>
      </c>
      <c r="AM3340">
        <v>100</v>
      </c>
      <c r="AN3340">
        <v>2300</v>
      </c>
      <c r="AO3340" t="s">
        <v>118</v>
      </c>
      <c r="AP3340">
        <v>115</v>
      </c>
      <c r="AQ3340">
        <v>63</v>
      </c>
      <c r="AR3340">
        <v>128</v>
      </c>
      <c r="AZ3340">
        <v>1200</v>
      </c>
      <c r="BA3340">
        <v>1</v>
      </c>
      <c r="BB3340" t="str">
        <f t="shared" si="1536"/>
        <v xml:space="preserve">N711JA  </v>
      </c>
      <c r="BC3340">
        <v>1</v>
      </c>
      <c r="BE3340">
        <v>0</v>
      </c>
      <c r="BF3340">
        <v>0</v>
      </c>
      <c r="BG3340">
        <v>0</v>
      </c>
      <c r="BH3340">
        <v>2350</v>
      </c>
      <c r="BI3340">
        <v>1</v>
      </c>
      <c r="BJ3340">
        <v>1</v>
      </c>
      <c r="BK3340">
        <v>0</v>
      </c>
      <c r="BL3340">
        <v>0</v>
      </c>
      <c r="BO3340">
        <v>0</v>
      </c>
      <c r="BP3340">
        <v>0</v>
      </c>
      <c r="BW3340" t="str">
        <f>"14:47:14.464"</f>
        <v>14:47:14.464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2</v>
      </c>
      <c r="CP3340" t="s">
        <v>119</v>
      </c>
      <c r="CQ3340">
        <v>11</v>
      </c>
      <c r="CR3340">
        <v>2</v>
      </c>
      <c r="CW3340">
        <v>16063500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1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 t="shared" si="1556"/>
        <v>05/12/2020 14:46:56.620</v>
      </c>
      <c r="C3341" t="str">
        <f t="shared" si="1535"/>
        <v>FFDFD3C0</v>
      </c>
      <c r="D3341" t="s">
        <v>134</v>
      </c>
      <c r="E3341">
        <v>12</v>
      </c>
      <c r="H3341">
        <v>64</v>
      </c>
      <c r="I3341" t="s">
        <v>135</v>
      </c>
      <c r="J3341" t="s">
        <v>136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557"/>
        <v>14:47:14.461</v>
      </c>
      <c r="T3341" t="str">
        <f>"14:47:14.461"</f>
        <v>14:47:14.461</v>
      </c>
      <c r="U3341" t="str">
        <f t="shared" si="1554"/>
        <v>A9808D</v>
      </c>
      <c r="V3341">
        <v>0</v>
      </c>
      <c r="W3341">
        <v>0</v>
      </c>
      <c r="X3341">
        <v>1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0</v>
      </c>
      <c r="AI3341" t="s">
        <v>787</v>
      </c>
      <c r="AJ3341">
        <v>28.248145999999998</v>
      </c>
      <c r="AK3341" t="s">
        <v>788</v>
      </c>
      <c r="AL3341">
        <v>-82.265303000000003</v>
      </c>
      <c r="AM3341">
        <v>100</v>
      </c>
      <c r="AN3341">
        <v>2300</v>
      </c>
      <c r="AO3341" t="s">
        <v>118</v>
      </c>
      <c r="AP3341">
        <v>112</v>
      </c>
      <c r="AQ3341">
        <v>68</v>
      </c>
      <c r="AR3341">
        <v>0</v>
      </c>
      <c r="AZ3341">
        <v>1200</v>
      </c>
      <c r="BA3341">
        <v>1</v>
      </c>
      <c r="BB3341" t="str">
        <f t="shared" si="1536"/>
        <v xml:space="preserve">N711JA  </v>
      </c>
      <c r="BC3341">
        <v>1</v>
      </c>
      <c r="BE3341">
        <v>0</v>
      </c>
      <c r="BF3341">
        <v>0</v>
      </c>
      <c r="BG3341">
        <v>0</v>
      </c>
      <c r="BH3341">
        <v>2350</v>
      </c>
      <c r="BI3341">
        <v>1</v>
      </c>
      <c r="BJ3341">
        <v>1</v>
      </c>
      <c r="BK3341">
        <v>0</v>
      </c>
      <c r="BL3341">
        <v>0</v>
      </c>
      <c r="BO3341">
        <v>0</v>
      </c>
      <c r="BP3341">
        <v>0</v>
      </c>
      <c r="BW3341" t="str">
        <f t="shared" ref="BW3341:BW3346" si="1558">"14:47:14.463"</f>
        <v>14:47:14.463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6</v>
      </c>
      <c r="CP3341" t="s">
        <v>119</v>
      </c>
      <c r="CQ3341">
        <v>358</v>
      </c>
      <c r="CR3341">
        <v>0</v>
      </c>
      <c r="CW3341">
        <v>4970347</v>
      </c>
      <c r="CY3341">
        <v>1</v>
      </c>
      <c r="CZ3341">
        <v>0</v>
      </c>
      <c r="DA3341">
        <v>1</v>
      </c>
      <c r="DB3341">
        <v>0</v>
      </c>
      <c r="DC3341">
        <v>0</v>
      </c>
      <c r="DD3341">
        <v>1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 t="shared" si="1556"/>
        <v>05/12/2020 14:46:56.620</v>
      </c>
      <c r="C3342" t="str">
        <f t="shared" si="1535"/>
        <v>FFDFD3C0</v>
      </c>
      <c r="D3342" t="s">
        <v>138</v>
      </c>
      <c r="E3342">
        <v>2</v>
      </c>
      <c r="H3342">
        <v>8</v>
      </c>
      <c r="I3342" t="s">
        <v>139</v>
      </c>
      <c r="J3342" t="s">
        <v>136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557"/>
        <v>14:47:14.461</v>
      </c>
      <c r="T3342" t="str">
        <f>"14:47:13.861"</f>
        <v>14:47:13.861</v>
      </c>
      <c r="U3342" t="str">
        <f t="shared" si="1554"/>
        <v>A9808D</v>
      </c>
      <c r="V3342">
        <v>0</v>
      </c>
      <c r="W3342">
        <v>0</v>
      </c>
      <c r="X3342">
        <v>1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0</v>
      </c>
      <c r="AI3342" t="s">
        <v>787</v>
      </c>
      <c r="AJ3342">
        <v>28.248145999999998</v>
      </c>
      <c r="AK3342" t="s">
        <v>788</v>
      </c>
      <c r="AL3342">
        <v>-82.265303000000003</v>
      </c>
      <c r="AM3342">
        <v>100</v>
      </c>
      <c r="AN3342">
        <v>2300</v>
      </c>
      <c r="AO3342" t="s">
        <v>118</v>
      </c>
      <c r="AP3342">
        <v>115</v>
      </c>
      <c r="AQ3342">
        <v>63</v>
      </c>
      <c r="AR3342">
        <v>128</v>
      </c>
      <c r="AZ3342">
        <v>1200</v>
      </c>
      <c r="BA3342">
        <v>1</v>
      </c>
      <c r="BB3342" t="str">
        <f t="shared" si="1536"/>
        <v xml:space="preserve">N711JA  </v>
      </c>
      <c r="BC3342">
        <v>1</v>
      </c>
      <c r="BE3342">
        <v>0</v>
      </c>
      <c r="BF3342">
        <v>0</v>
      </c>
      <c r="BG3342">
        <v>0</v>
      </c>
      <c r="BH3342">
        <v>2350</v>
      </c>
      <c r="BI3342">
        <v>1</v>
      </c>
      <c r="BJ3342">
        <v>1</v>
      </c>
      <c r="BK3342">
        <v>0</v>
      </c>
      <c r="BL3342">
        <v>0</v>
      </c>
      <c r="BO3342">
        <v>0</v>
      </c>
      <c r="BP3342">
        <v>0</v>
      </c>
      <c r="BW3342" t="str">
        <f t="shared" si="1558"/>
        <v>14:47:14.463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3</v>
      </c>
      <c r="CP3342" t="s">
        <v>675</v>
      </c>
      <c r="CQ3342">
        <v>363</v>
      </c>
      <c r="CR3342">
        <v>0</v>
      </c>
      <c r="CW3342">
        <v>6494974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1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 t="shared" si="1556"/>
        <v>05/12/2020 14:46:56.620</v>
      </c>
      <c r="C3343" t="str">
        <f t="shared" si="1535"/>
        <v>FFDFD3C0</v>
      </c>
      <c r="D3343" t="s">
        <v>138</v>
      </c>
      <c r="E3343">
        <v>3</v>
      </c>
      <c r="H3343">
        <v>9</v>
      </c>
      <c r="I3343" t="s">
        <v>140</v>
      </c>
      <c r="J3343" t="s">
        <v>136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557"/>
        <v>14:47:14.461</v>
      </c>
      <c r="T3343" t="str">
        <f>"14:47:14.461"</f>
        <v>14:47:14.461</v>
      </c>
      <c r="U3343" t="str">
        <f t="shared" si="1554"/>
        <v>A9808D</v>
      </c>
      <c r="V3343">
        <v>0</v>
      </c>
      <c r="W3343">
        <v>0</v>
      </c>
      <c r="X3343">
        <v>1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0</v>
      </c>
      <c r="AI3343" t="s">
        <v>787</v>
      </c>
      <c r="AJ3343">
        <v>28.248145999999998</v>
      </c>
      <c r="AK3343" t="s">
        <v>788</v>
      </c>
      <c r="AL3343">
        <v>-82.265303000000003</v>
      </c>
      <c r="AM3343">
        <v>100</v>
      </c>
      <c r="AN3343">
        <v>2300</v>
      </c>
      <c r="AO3343" t="s">
        <v>118</v>
      </c>
      <c r="AP3343">
        <v>112</v>
      </c>
      <c r="AQ3343">
        <v>68</v>
      </c>
      <c r="AR3343">
        <v>0</v>
      </c>
      <c r="AZ3343">
        <v>1200</v>
      </c>
      <c r="BA3343">
        <v>1</v>
      </c>
      <c r="BB3343" t="str">
        <f t="shared" si="1536"/>
        <v xml:space="preserve">N711JA  </v>
      </c>
      <c r="BC3343">
        <v>1</v>
      </c>
      <c r="BE3343">
        <v>0</v>
      </c>
      <c r="BF3343">
        <v>0</v>
      </c>
      <c r="BG3343">
        <v>0</v>
      </c>
      <c r="BH3343">
        <v>2350</v>
      </c>
      <c r="BI3343">
        <v>1</v>
      </c>
      <c r="BJ3343">
        <v>1</v>
      </c>
      <c r="BK3343">
        <v>0</v>
      </c>
      <c r="BL3343">
        <v>0</v>
      </c>
      <c r="BO3343">
        <v>0</v>
      </c>
      <c r="BP3343">
        <v>0</v>
      </c>
      <c r="BW3343" t="str">
        <f t="shared" si="1558"/>
        <v>14:47:14.463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6</v>
      </c>
      <c r="CP3343" t="s">
        <v>119</v>
      </c>
      <c r="CQ3343">
        <v>358</v>
      </c>
      <c r="CR3343">
        <v>0</v>
      </c>
      <c r="CW3343">
        <v>4970347</v>
      </c>
      <c r="CY3343">
        <v>1</v>
      </c>
      <c r="CZ3343">
        <v>0</v>
      </c>
      <c r="DA3343">
        <v>1</v>
      </c>
      <c r="DB3343">
        <v>0</v>
      </c>
      <c r="DC3343">
        <v>0</v>
      </c>
      <c r="DD3343">
        <v>1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 t="shared" si="1556"/>
        <v>05/12/2020 14:46:56.620</v>
      </c>
      <c r="C3344" t="str">
        <f t="shared" si="1535"/>
        <v>FFDFD3C0</v>
      </c>
      <c r="D3344" t="s">
        <v>126</v>
      </c>
      <c r="E3344">
        <v>7</v>
      </c>
      <c r="F3344">
        <v>1007</v>
      </c>
      <c r="G3344" t="s">
        <v>127</v>
      </c>
      <c r="J3344" t="s">
        <v>128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si="1557"/>
        <v>14:47:14.461</v>
      </c>
      <c r="T3344" t="str">
        <f>"14:47:14.461"</f>
        <v>14:47:14.461</v>
      </c>
      <c r="U3344" t="str">
        <f t="shared" si="1554"/>
        <v>A9808D</v>
      </c>
      <c r="V3344">
        <v>0</v>
      </c>
      <c r="W3344">
        <v>0</v>
      </c>
      <c r="X3344">
        <v>1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0</v>
      </c>
      <c r="AI3344" t="s">
        <v>787</v>
      </c>
      <c r="AJ3344">
        <v>28.248145999999998</v>
      </c>
      <c r="AK3344" t="s">
        <v>788</v>
      </c>
      <c r="AL3344">
        <v>-82.265303000000003</v>
      </c>
      <c r="AM3344">
        <v>100</v>
      </c>
      <c r="AN3344">
        <v>2300</v>
      </c>
      <c r="AO3344" t="s">
        <v>118</v>
      </c>
      <c r="AP3344">
        <v>112</v>
      </c>
      <c r="AQ3344">
        <v>68</v>
      </c>
      <c r="AR3344">
        <v>0</v>
      </c>
      <c r="AZ3344">
        <v>1200</v>
      </c>
      <c r="BA3344">
        <v>1</v>
      </c>
      <c r="BB3344" t="str">
        <f t="shared" si="1536"/>
        <v xml:space="preserve">N711JA  </v>
      </c>
      <c r="BC3344">
        <v>1</v>
      </c>
      <c r="BE3344">
        <v>0</v>
      </c>
      <c r="BF3344">
        <v>0</v>
      </c>
      <c r="BG3344">
        <v>0</v>
      </c>
      <c r="BH3344">
        <v>2350</v>
      </c>
      <c r="BI3344">
        <v>1</v>
      </c>
      <c r="BJ3344">
        <v>1</v>
      </c>
      <c r="BK3344">
        <v>0</v>
      </c>
      <c r="BL3344">
        <v>0</v>
      </c>
      <c r="BO3344">
        <v>0</v>
      </c>
      <c r="BP3344">
        <v>0</v>
      </c>
      <c r="BW3344" t="str">
        <f t="shared" si="1558"/>
        <v>14:47:14.463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6</v>
      </c>
      <c r="CP3344" t="s">
        <v>119</v>
      </c>
      <c r="CQ3344">
        <v>358</v>
      </c>
      <c r="CR3344">
        <v>0</v>
      </c>
      <c r="CW3344">
        <v>4970347</v>
      </c>
      <c r="CY3344">
        <v>1</v>
      </c>
      <c r="CZ3344">
        <v>0</v>
      </c>
      <c r="DA3344">
        <v>1</v>
      </c>
      <c r="DB3344">
        <v>0</v>
      </c>
      <c r="DC3344">
        <v>0</v>
      </c>
      <c r="DD3344">
        <v>1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 t="shared" si="1556"/>
        <v>05/12/2020 14:46:56.620</v>
      </c>
      <c r="C3345" t="str">
        <f t="shared" si="1535"/>
        <v>FFDFD3C0</v>
      </c>
      <c r="D3345" t="s">
        <v>131</v>
      </c>
      <c r="E3345">
        <v>10</v>
      </c>
      <c r="F3345">
        <v>2010</v>
      </c>
      <c r="G3345" t="s">
        <v>132</v>
      </c>
      <c r="J3345" t="s">
        <v>133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si="1557"/>
        <v>14:47:14.461</v>
      </c>
      <c r="T3345" t="str">
        <f>"14:47:14.461"</f>
        <v>14:47:14.461</v>
      </c>
      <c r="U3345" t="str">
        <f t="shared" si="1554"/>
        <v>A9808D</v>
      </c>
      <c r="V3345">
        <v>0</v>
      </c>
      <c r="W3345">
        <v>0</v>
      </c>
      <c r="X3345">
        <v>1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0</v>
      </c>
      <c r="AI3345" t="s">
        <v>787</v>
      </c>
      <c r="AJ3345">
        <v>28.248145999999998</v>
      </c>
      <c r="AK3345" t="s">
        <v>788</v>
      </c>
      <c r="AL3345">
        <v>-82.265303000000003</v>
      </c>
      <c r="AM3345">
        <v>100</v>
      </c>
      <c r="AN3345">
        <v>2300</v>
      </c>
      <c r="AO3345" t="s">
        <v>118</v>
      </c>
      <c r="AP3345">
        <v>112</v>
      </c>
      <c r="AQ3345">
        <v>68</v>
      </c>
      <c r="AR3345">
        <v>0</v>
      </c>
      <c r="AZ3345">
        <v>1200</v>
      </c>
      <c r="BA3345">
        <v>1</v>
      </c>
      <c r="BB3345" t="str">
        <f t="shared" si="1536"/>
        <v xml:space="preserve">N711JA  </v>
      </c>
      <c r="BC3345">
        <v>1</v>
      </c>
      <c r="BE3345">
        <v>0</v>
      </c>
      <c r="BF3345">
        <v>0</v>
      </c>
      <c r="BG3345">
        <v>0</v>
      </c>
      <c r="BH3345">
        <v>2350</v>
      </c>
      <c r="BI3345">
        <v>1</v>
      </c>
      <c r="BJ3345">
        <v>1</v>
      </c>
      <c r="BK3345">
        <v>0</v>
      </c>
      <c r="BL3345">
        <v>0</v>
      </c>
      <c r="BO3345">
        <v>0</v>
      </c>
      <c r="BP3345">
        <v>0</v>
      </c>
      <c r="BW3345" t="str">
        <f t="shared" si="1558"/>
        <v>14:47:14.463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6</v>
      </c>
      <c r="CP3345" t="s">
        <v>119</v>
      </c>
      <c r="CQ3345">
        <v>358</v>
      </c>
      <c r="CR3345">
        <v>0</v>
      </c>
      <c r="CW3345">
        <v>4970347</v>
      </c>
      <c r="CY3345">
        <v>1</v>
      </c>
      <c r="CZ3345">
        <v>0</v>
      </c>
      <c r="DA3345">
        <v>1</v>
      </c>
      <c r="DB3345">
        <v>0</v>
      </c>
      <c r="DC3345">
        <v>0</v>
      </c>
      <c r="DD3345">
        <v>1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 t="shared" si="1556"/>
        <v>05/12/2020 14:46:56.620</v>
      </c>
      <c r="C3346" t="str">
        <f t="shared" si="1535"/>
        <v>FFDFD3C0</v>
      </c>
      <c r="D3346" t="s">
        <v>131</v>
      </c>
      <c r="E3346">
        <v>12</v>
      </c>
      <c r="F3346">
        <v>2012</v>
      </c>
      <c r="G3346" t="s">
        <v>137</v>
      </c>
      <c r="J3346" t="s">
        <v>133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557"/>
        <v>14:47:14.461</v>
      </c>
      <c r="T3346" t="str">
        <f>"14:47:13.861"</f>
        <v>14:47:13.861</v>
      </c>
      <c r="U3346" t="str">
        <f t="shared" si="1554"/>
        <v>A9808D</v>
      </c>
      <c r="V3346">
        <v>0</v>
      </c>
      <c r="W3346">
        <v>0</v>
      </c>
      <c r="X3346">
        <v>1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0</v>
      </c>
      <c r="AI3346" t="s">
        <v>787</v>
      </c>
      <c r="AJ3346">
        <v>28.248145999999998</v>
      </c>
      <c r="AK3346" t="s">
        <v>788</v>
      </c>
      <c r="AL3346">
        <v>-82.265303000000003</v>
      </c>
      <c r="AM3346">
        <v>100</v>
      </c>
      <c r="AN3346">
        <v>2300</v>
      </c>
      <c r="AO3346" t="s">
        <v>118</v>
      </c>
      <c r="AP3346">
        <v>115</v>
      </c>
      <c r="AQ3346">
        <v>63</v>
      </c>
      <c r="AR3346">
        <v>128</v>
      </c>
      <c r="AZ3346">
        <v>1200</v>
      </c>
      <c r="BA3346">
        <v>1</v>
      </c>
      <c r="BB3346" t="str">
        <f t="shared" si="1536"/>
        <v xml:space="preserve">N711JA  </v>
      </c>
      <c r="BC3346">
        <v>1</v>
      </c>
      <c r="BE3346">
        <v>0</v>
      </c>
      <c r="BF3346">
        <v>0</v>
      </c>
      <c r="BG3346">
        <v>0</v>
      </c>
      <c r="BH3346">
        <v>2350</v>
      </c>
      <c r="BI3346">
        <v>1</v>
      </c>
      <c r="BJ3346">
        <v>1</v>
      </c>
      <c r="BK3346">
        <v>0</v>
      </c>
      <c r="BL3346">
        <v>0</v>
      </c>
      <c r="BO3346">
        <v>0</v>
      </c>
      <c r="BP3346">
        <v>0</v>
      </c>
      <c r="BW3346" t="str">
        <f t="shared" si="1558"/>
        <v>14:47:14.463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3</v>
      </c>
      <c r="CP3346" t="s">
        <v>675</v>
      </c>
      <c r="CQ3346">
        <v>363</v>
      </c>
      <c r="CR3346">
        <v>0</v>
      </c>
      <c r="CW3346">
        <v>6494974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1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"05/12/2020 14:46:57.760"</f>
        <v>05/12/2020 14:46:57.760</v>
      </c>
      <c r="C3347" t="str">
        <f t="shared" si="1535"/>
        <v>FFDFD3C0</v>
      </c>
      <c r="D3347" t="s">
        <v>126</v>
      </c>
      <c r="E3347">
        <v>7</v>
      </c>
      <c r="F3347">
        <v>1007</v>
      </c>
      <c r="G3347" t="s">
        <v>127</v>
      </c>
      <c r="J3347" t="s">
        <v>128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ref="S3347:T3351" si="1559">"14:47:15.570"</f>
        <v>14:47:15.570</v>
      </c>
      <c r="T3347" t="str">
        <f t="shared" si="1559"/>
        <v>14:47:15.570</v>
      </c>
      <c r="U3347" t="str">
        <f t="shared" si="1554"/>
        <v>A9808D</v>
      </c>
      <c r="V3347">
        <v>0</v>
      </c>
      <c r="W3347">
        <v>0</v>
      </c>
      <c r="X3347">
        <v>1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0</v>
      </c>
      <c r="AI3347" t="s">
        <v>789</v>
      </c>
      <c r="AJ3347">
        <v>28.248553000000001</v>
      </c>
      <c r="AK3347" t="s">
        <v>790</v>
      </c>
      <c r="AL3347">
        <v>-82.264702</v>
      </c>
      <c r="AM3347">
        <v>100</v>
      </c>
      <c r="AN3347">
        <v>2300</v>
      </c>
      <c r="AO3347" t="s">
        <v>118</v>
      </c>
      <c r="AP3347">
        <v>107</v>
      </c>
      <c r="AQ3347">
        <v>76</v>
      </c>
      <c r="AR3347">
        <v>-192</v>
      </c>
      <c r="AZ3347">
        <v>1200</v>
      </c>
      <c r="BA3347">
        <v>1</v>
      </c>
      <c r="BB3347" t="str">
        <f t="shared" si="1536"/>
        <v xml:space="preserve">N711JA  </v>
      </c>
      <c r="BC3347">
        <v>1</v>
      </c>
      <c r="BE3347">
        <v>0</v>
      </c>
      <c r="BF3347">
        <v>0</v>
      </c>
      <c r="BG3347">
        <v>0</v>
      </c>
      <c r="BH3347">
        <v>2350</v>
      </c>
      <c r="BI3347">
        <v>1</v>
      </c>
      <c r="BJ3347">
        <v>1</v>
      </c>
      <c r="BK3347">
        <v>0</v>
      </c>
      <c r="BL3347">
        <v>0</v>
      </c>
      <c r="BO3347">
        <v>0</v>
      </c>
      <c r="BP3347">
        <v>0</v>
      </c>
      <c r="BW3347" t="str">
        <f>"14:47:15.577"</f>
        <v>14:47:15.577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6</v>
      </c>
      <c r="CP3347" t="s">
        <v>119</v>
      </c>
      <c r="CQ3347">
        <v>358</v>
      </c>
      <c r="CR3347">
        <v>0</v>
      </c>
      <c r="CW3347">
        <v>4971790</v>
      </c>
      <c r="CY3347">
        <v>1</v>
      </c>
      <c r="CZ3347">
        <v>0</v>
      </c>
      <c r="DA3347">
        <v>0</v>
      </c>
      <c r="DB3347">
        <v>0</v>
      </c>
      <c r="DC3347">
        <v>0</v>
      </c>
      <c r="DD3347">
        <v>1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>"05/12/2020 14:46:57.760"</f>
        <v>05/12/2020 14:46:57.760</v>
      </c>
      <c r="C3348" t="str">
        <f t="shared" si="1535"/>
        <v>FFDFD3C0</v>
      </c>
      <c r="D3348" t="s">
        <v>131</v>
      </c>
      <c r="E3348">
        <v>10</v>
      </c>
      <c r="F3348">
        <v>2010</v>
      </c>
      <c r="G3348" t="s">
        <v>132</v>
      </c>
      <c r="J3348" t="s">
        <v>133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559"/>
        <v>14:47:15.570</v>
      </c>
      <c r="T3348" t="str">
        <f t="shared" si="1559"/>
        <v>14:47:15.570</v>
      </c>
      <c r="U3348" t="str">
        <f t="shared" si="1554"/>
        <v>A9808D</v>
      </c>
      <c r="V3348">
        <v>0</v>
      </c>
      <c r="W3348">
        <v>0</v>
      </c>
      <c r="X3348">
        <v>1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0</v>
      </c>
      <c r="AI3348" t="s">
        <v>789</v>
      </c>
      <c r="AJ3348">
        <v>28.248553000000001</v>
      </c>
      <c r="AK3348" t="s">
        <v>790</v>
      </c>
      <c r="AL3348">
        <v>-82.264702</v>
      </c>
      <c r="AM3348">
        <v>100</v>
      </c>
      <c r="AN3348">
        <v>2300</v>
      </c>
      <c r="AO3348" t="s">
        <v>118</v>
      </c>
      <c r="AP3348">
        <v>107</v>
      </c>
      <c r="AQ3348">
        <v>76</v>
      </c>
      <c r="AR3348">
        <v>-192</v>
      </c>
      <c r="AZ3348">
        <v>1200</v>
      </c>
      <c r="BA3348">
        <v>1</v>
      </c>
      <c r="BB3348" t="str">
        <f t="shared" si="1536"/>
        <v xml:space="preserve">N711JA  </v>
      </c>
      <c r="BC3348">
        <v>1</v>
      </c>
      <c r="BE3348">
        <v>0</v>
      </c>
      <c r="BF3348">
        <v>0</v>
      </c>
      <c r="BG3348">
        <v>0</v>
      </c>
      <c r="BH3348">
        <v>2350</v>
      </c>
      <c r="BI3348">
        <v>1</v>
      </c>
      <c r="BJ3348">
        <v>1</v>
      </c>
      <c r="BK3348">
        <v>0</v>
      </c>
      <c r="BL3348">
        <v>0</v>
      </c>
      <c r="BO3348">
        <v>0</v>
      </c>
      <c r="BP3348">
        <v>0</v>
      </c>
      <c r="BW3348" t="str">
        <f>"14:47:15.577"</f>
        <v>14:47:15.577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6</v>
      </c>
      <c r="CP3348" t="s">
        <v>119</v>
      </c>
      <c r="CQ3348">
        <v>358</v>
      </c>
      <c r="CR3348">
        <v>0</v>
      </c>
      <c r="CW3348">
        <v>4971790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1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>"05/12/2020 14:46:57.760"</f>
        <v>05/12/2020 14:46:57.760</v>
      </c>
      <c r="C3349" t="str">
        <f t="shared" si="1535"/>
        <v>FFDFD3C0</v>
      </c>
      <c r="D3349" t="s">
        <v>126</v>
      </c>
      <c r="E3349">
        <v>6</v>
      </c>
      <c r="F3349">
        <v>1006</v>
      </c>
      <c r="G3349" t="s">
        <v>114</v>
      </c>
      <c r="J3349" t="s">
        <v>128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559"/>
        <v>14:47:15.570</v>
      </c>
      <c r="T3349" t="str">
        <f t="shared" si="1559"/>
        <v>14:47:15.570</v>
      </c>
      <c r="U3349" t="str">
        <f t="shared" si="1554"/>
        <v>A9808D</v>
      </c>
      <c r="V3349">
        <v>0</v>
      </c>
      <c r="W3349">
        <v>0</v>
      </c>
      <c r="X3349">
        <v>1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0</v>
      </c>
      <c r="AI3349" t="s">
        <v>789</v>
      </c>
      <c r="AJ3349">
        <v>28.248553000000001</v>
      </c>
      <c r="AK3349" t="s">
        <v>790</v>
      </c>
      <c r="AL3349">
        <v>-82.264702</v>
      </c>
      <c r="AM3349">
        <v>100</v>
      </c>
      <c r="AN3349">
        <v>2300</v>
      </c>
      <c r="AO3349" t="s">
        <v>118</v>
      </c>
      <c r="AP3349">
        <v>107</v>
      </c>
      <c r="AQ3349">
        <v>76</v>
      </c>
      <c r="AR3349">
        <v>-192</v>
      </c>
      <c r="AZ3349">
        <v>1200</v>
      </c>
      <c r="BA3349">
        <v>1</v>
      </c>
      <c r="BB3349" t="str">
        <f t="shared" si="1536"/>
        <v xml:space="preserve">N711JA  </v>
      </c>
      <c r="BC3349">
        <v>1</v>
      </c>
      <c r="BE3349">
        <v>0</v>
      </c>
      <c r="BF3349">
        <v>0</v>
      </c>
      <c r="BG3349">
        <v>0</v>
      </c>
      <c r="BH3349">
        <v>2350</v>
      </c>
      <c r="BI3349">
        <v>1</v>
      </c>
      <c r="BJ3349">
        <v>1</v>
      </c>
      <c r="BK3349">
        <v>0</v>
      </c>
      <c r="BL3349">
        <v>0</v>
      </c>
      <c r="BO3349">
        <v>0</v>
      </c>
      <c r="BP3349">
        <v>0</v>
      </c>
      <c r="BW3349" t="str">
        <f>"14:47:15.577"</f>
        <v>14:47:15.577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6</v>
      </c>
      <c r="CP3349" t="s">
        <v>119</v>
      </c>
      <c r="CQ3349">
        <v>358</v>
      </c>
      <c r="CR3349">
        <v>0</v>
      </c>
      <c r="CW3349">
        <v>4971790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1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>"05/12/2020 14:46:57.760"</f>
        <v>05/12/2020 14:46:57.760</v>
      </c>
      <c r="C3350" t="str">
        <f t="shared" ref="C3350:C3413" si="1560">"FFDFD3C0"</f>
        <v>FFDFD3C0</v>
      </c>
      <c r="D3350" t="s">
        <v>134</v>
      </c>
      <c r="E3350">
        <v>12</v>
      </c>
      <c r="H3350">
        <v>64</v>
      </c>
      <c r="I3350" t="s">
        <v>135</v>
      </c>
      <c r="J3350" t="s">
        <v>136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1559"/>
        <v>14:47:15.570</v>
      </c>
      <c r="T3350" t="str">
        <f t="shared" si="1559"/>
        <v>14:47:15.570</v>
      </c>
      <c r="U3350" t="str">
        <f t="shared" si="1554"/>
        <v>A9808D</v>
      </c>
      <c r="V3350">
        <v>0</v>
      </c>
      <c r="W3350">
        <v>0</v>
      </c>
      <c r="X3350">
        <v>1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0</v>
      </c>
      <c r="AI3350" t="s">
        <v>789</v>
      </c>
      <c r="AJ3350">
        <v>28.248553000000001</v>
      </c>
      <c r="AK3350" t="s">
        <v>790</v>
      </c>
      <c r="AL3350">
        <v>-82.264702</v>
      </c>
      <c r="AM3350">
        <v>100</v>
      </c>
      <c r="AN3350">
        <v>2300</v>
      </c>
      <c r="AO3350" t="s">
        <v>118</v>
      </c>
      <c r="AP3350">
        <v>107</v>
      </c>
      <c r="AQ3350">
        <v>76</v>
      </c>
      <c r="AR3350">
        <v>-192</v>
      </c>
      <c r="AZ3350">
        <v>1200</v>
      </c>
      <c r="BA3350">
        <v>1</v>
      </c>
      <c r="BB3350" t="str">
        <f t="shared" ref="BB3350:BB3413" si="1561">"N711JA  "</f>
        <v xml:space="preserve">N711JA  </v>
      </c>
      <c r="BC3350">
        <v>1</v>
      </c>
      <c r="BE3350">
        <v>0</v>
      </c>
      <c r="BF3350">
        <v>0</v>
      </c>
      <c r="BG3350">
        <v>0</v>
      </c>
      <c r="BH3350">
        <v>2350</v>
      </c>
      <c r="BI3350">
        <v>1</v>
      </c>
      <c r="BJ3350">
        <v>1</v>
      </c>
      <c r="BK3350">
        <v>0</v>
      </c>
      <c r="BL3350">
        <v>0</v>
      </c>
      <c r="BO3350">
        <v>0</v>
      </c>
      <c r="BP3350">
        <v>0</v>
      </c>
      <c r="BW3350" t="str">
        <f>"14:47:15.577"</f>
        <v>14:47:15.577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6</v>
      </c>
      <c r="CP3350" t="s">
        <v>119</v>
      </c>
      <c r="CQ3350">
        <v>358</v>
      </c>
      <c r="CR3350">
        <v>0</v>
      </c>
      <c r="CW3350">
        <v>4971790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1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>"05/12/2020 14:46:57.760"</f>
        <v>05/12/2020 14:46:57.760</v>
      </c>
      <c r="C3351" t="str">
        <f t="shared" si="1560"/>
        <v>FFDFD3C0</v>
      </c>
      <c r="D3351" t="s">
        <v>138</v>
      </c>
      <c r="E3351">
        <v>3</v>
      </c>
      <c r="H3351">
        <v>9</v>
      </c>
      <c r="I3351" t="s">
        <v>140</v>
      </c>
      <c r="J3351" t="s">
        <v>136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559"/>
        <v>14:47:15.570</v>
      </c>
      <c r="T3351" t="str">
        <f t="shared" si="1559"/>
        <v>14:47:15.570</v>
      </c>
      <c r="U3351" t="str">
        <f t="shared" si="1554"/>
        <v>A9808D</v>
      </c>
      <c r="V3351">
        <v>0</v>
      </c>
      <c r="W3351">
        <v>0</v>
      </c>
      <c r="X3351">
        <v>1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0</v>
      </c>
      <c r="AI3351" t="s">
        <v>789</v>
      </c>
      <c r="AJ3351">
        <v>28.248553000000001</v>
      </c>
      <c r="AK3351" t="s">
        <v>790</v>
      </c>
      <c r="AL3351">
        <v>-82.264702</v>
      </c>
      <c r="AM3351">
        <v>100</v>
      </c>
      <c r="AN3351">
        <v>2300</v>
      </c>
      <c r="AO3351" t="s">
        <v>118</v>
      </c>
      <c r="AP3351">
        <v>107</v>
      </c>
      <c r="AQ3351">
        <v>76</v>
      </c>
      <c r="AR3351">
        <v>-192</v>
      </c>
      <c r="AZ3351">
        <v>1200</v>
      </c>
      <c r="BA3351">
        <v>1</v>
      </c>
      <c r="BB3351" t="str">
        <f t="shared" si="1561"/>
        <v xml:space="preserve">N711JA  </v>
      </c>
      <c r="BC3351">
        <v>1</v>
      </c>
      <c r="BE3351">
        <v>0</v>
      </c>
      <c r="BF3351">
        <v>0</v>
      </c>
      <c r="BG3351">
        <v>0</v>
      </c>
      <c r="BH3351">
        <v>2350</v>
      </c>
      <c r="BI3351">
        <v>1</v>
      </c>
      <c r="BJ3351">
        <v>1</v>
      </c>
      <c r="BK3351">
        <v>0</v>
      </c>
      <c r="BL3351">
        <v>0</v>
      </c>
      <c r="BO3351">
        <v>0</v>
      </c>
      <c r="BP3351">
        <v>0</v>
      </c>
      <c r="BW3351" t="str">
        <f>"14:47:15.577"</f>
        <v>14:47:15.577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6</v>
      </c>
      <c r="CP3351" t="s">
        <v>119</v>
      </c>
      <c r="CQ3351">
        <v>358</v>
      </c>
      <c r="CR3351">
        <v>0</v>
      </c>
      <c r="CW3351">
        <v>4971790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1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>"05/12/2020 14:46:58.766"</f>
        <v>05/12/2020 14:46:58.766</v>
      </c>
      <c r="C3352" t="str">
        <f t="shared" si="1560"/>
        <v>FFDFD3C0</v>
      </c>
      <c r="D3352" t="s">
        <v>126</v>
      </c>
      <c r="E3352">
        <v>7</v>
      </c>
      <c r="F3352">
        <v>1007</v>
      </c>
      <c r="G3352" t="s">
        <v>127</v>
      </c>
      <c r="J3352" t="s">
        <v>128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ref="S3352:T3356" si="1562">"14:47:16.578"</f>
        <v>14:47:16.578</v>
      </c>
      <c r="T3352" t="str">
        <f t="shared" si="1562"/>
        <v>14:47:16.578</v>
      </c>
      <c r="U3352" t="str">
        <f t="shared" si="1554"/>
        <v>A9808D</v>
      </c>
      <c r="V3352">
        <v>0</v>
      </c>
      <c r="W3352">
        <v>0</v>
      </c>
      <c r="X3352">
        <v>1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0</v>
      </c>
      <c r="AI3352" t="s">
        <v>791</v>
      </c>
      <c r="AJ3352">
        <v>28.248918</v>
      </c>
      <c r="AK3352" t="s">
        <v>792</v>
      </c>
      <c r="AL3352">
        <v>-82.264166000000003</v>
      </c>
      <c r="AM3352">
        <v>100</v>
      </c>
      <c r="AN3352">
        <v>2300</v>
      </c>
      <c r="AO3352" t="s">
        <v>118</v>
      </c>
      <c r="AP3352">
        <v>102</v>
      </c>
      <c r="AQ3352">
        <v>84</v>
      </c>
      <c r="AR3352">
        <v>-320</v>
      </c>
      <c r="AZ3352">
        <v>1200</v>
      </c>
      <c r="BA3352">
        <v>1</v>
      </c>
      <c r="BB3352" t="str">
        <f t="shared" si="1561"/>
        <v xml:space="preserve">N711JA  </v>
      </c>
      <c r="BC3352">
        <v>1</v>
      </c>
      <c r="BE3352">
        <v>0</v>
      </c>
      <c r="BF3352">
        <v>0</v>
      </c>
      <c r="BG3352">
        <v>0</v>
      </c>
      <c r="BH3352">
        <v>2325</v>
      </c>
      <c r="BI3352">
        <v>1</v>
      </c>
      <c r="BJ3352">
        <v>1</v>
      </c>
      <c r="BK3352">
        <v>0</v>
      </c>
      <c r="BL3352">
        <v>0</v>
      </c>
      <c r="BO3352">
        <v>0</v>
      </c>
      <c r="BP3352">
        <v>0</v>
      </c>
      <c r="BW3352" t="str">
        <f>"14:47:16.579"</f>
        <v>14:47:16.579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6</v>
      </c>
      <c r="CP3352" t="s">
        <v>119</v>
      </c>
      <c r="CQ3352">
        <v>358</v>
      </c>
      <c r="CR3352">
        <v>0</v>
      </c>
      <c r="CW3352">
        <v>4973026</v>
      </c>
      <c r="CY3352">
        <v>1</v>
      </c>
      <c r="CZ3352">
        <v>0</v>
      </c>
      <c r="DA3352">
        <v>0</v>
      </c>
      <c r="DB3352">
        <v>0</v>
      </c>
      <c r="DC3352">
        <v>0</v>
      </c>
      <c r="DD3352">
        <v>1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>"05/12/2020 14:46:58.766"</f>
        <v>05/12/2020 14:46:58.766</v>
      </c>
      <c r="C3353" t="str">
        <f t="shared" si="1560"/>
        <v>FFDFD3C0</v>
      </c>
      <c r="D3353" t="s">
        <v>131</v>
      </c>
      <c r="E3353">
        <v>10</v>
      </c>
      <c r="F3353">
        <v>2010</v>
      </c>
      <c r="G3353" t="s">
        <v>132</v>
      </c>
      <c r="J3353" t="s">
        <v>133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562"/>
        <v>14:47:16.578</v>
      </c>
      <c r="T3353" t="str">
        <f t="shared" si="1562"/>
        <v>14:47:16.578</v>
      </c>
      <c r="U3353" t="str">
        <f t="shared" si="1554"/>
        <v>A9808D</v>
      </c>
      <c r="V3353">
        <v>0</v>
      </c>
      <c r="W3353">
        <v>0</v>
      </c>
      <c r="X3353">
        <v>1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0</v>
      </c>
      <c r="AI3353" t="s">
        <v>791</v>
      </c>
      <c r="AJ3353">
        <v>28.248918</v>
      </c>
      <c r="AK3353" t="s">
        <v>792</v>
      </c>
      <c r="AL3353">
        <v>-82.264166000000003</v>
      </c>
      <c r="AM3353">
        <v>100</v>
      </c>
      <c r="AN3353">
        <v>2300</v>
      </c>
      <c r="AO3353" t="s">
        <v>118</v>
      </c>
      <c r="AP3353">
        <v>102</v>
      </c>
      <c r="AQ3353">
        <v>84</v>
      </c>
      <c r="AR3353">
        <v>-320</v>
      </c>
      <c r="AZ3353">
        <v>1200</v>
      </c>
      <c r="BA3353">
        <v>1</v>
      </c>
      <c r="BB3353" t="str">
        <f t="shared" si="1561"/>
        <v xml:space="preserve">N711JA  </v>
      </c>
      <c r="BC3353">
        <v>1</v>
      </c>
      <c r="BE3353">
        <v>0</v>
      </c>
      <c r="BF3353">
        <v>0</v>
      </c>
      <c r="BG3353">
        <v>0</v>
      </c>
      <c r="BH3353">
        <v>2325</v>
      </c>
      <c r="BI3353">
        <v>1</v>
      </c>
      <c r="BJ3353">
        <v>1</v>
      </c>
      <c r="BK3353">
        <v>0</v>
      </c>
      <c r="BL3353">
        <v>0</v>
      </c>
      <c r="BO3353">
        <v>0</v>
      </c>
      <c r="BP3353">
        <v>0</v>
      </c>
      <c r="BW3353" t="str">
        <f>"14:47:16.579"</f>
        <v>14:47:16.579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6</v>
      </c>
      <c r="CP3353" t="s">
        <v>119</v>
      </c>
      <c r="CQ3353">
        <v>358</v>
      </c>
      <c r="CR3353">
        <v>0</v>
      </c>
      <c r="CW3353">
        <v>4973026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1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>"05/12/2020 14:46:58.766"</f>
        <v>05/12/2020 14:46:58.766</v>
      </c>
      <c r="C3354" t="str">
        <f t="shared" si="1560"/>
        <v>FFDFD3C0</v>
      </c>
      <c r="D3354" t="s">
        <v>126</v>
      </c>
      <c r="E3354">
        <v>6</v>
      </c>
      <c r="F3354">
        <v>1006</v>
      </c>
      <c r="G3354" t="s">
        <v>114</v>
      </c>
      <c r="J3354" t="s">
        <v>128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1562"/>
        <v>14:47:16.578</v>
      </c>
      <c r="T3354" t="str">
        <f t="shared" si="1562"/>
        <v>14:47:16.578</v>
      </c>
      <c r="U3354" t="str">
        <f t="shared" si="1554"/>
        <v>A9808D</v>
      </c>
      <c r="V3354">
        <v>0</v>
      </c>
      <c r="W3354">
        <v>0</v>
      </c>
      <c r="X3354">
        <v>1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0</v>
      </c>
      <c r="AI3354" t="s">
        <v>791</v>
      </c>
      <c r="AJ3354">
        <v>28.248918</v>
      </c>
      <c r="AK3354" t="s">
        <v>792</v>
      </c>
      <c r="AL3354">
        <v>-82.264166000000003</v>
      </c>
      <c r="AM3354">
        <v>100</v>
      </c>
      <c r="AN3354">
        <v>2300</v>
      </c>
      <c r="AO3354" t="s">
        <v>118</v>
      </c>
      <c r="AP3354">
        <v>102</v>
      </c>
      <c r="AQ3354">
        <v>84</v>
      </c>
      <c r="AR3354">
        <v>-320</v>
      </c>
      <c r="AZ3354">
        <v>1200</v>
      </c>
      <c r="BA3354">
        <v>1</v>
      </c>
      <c r="BB3354" t="str">
        <f t="shared" si="1561"/>
        <v xml:space="preserve">N711JA  </v>
      </c>
      <c r="BC3354">
        <v>1</v>
      </c>
      <c r="BE3354">
        <v>0</v>
      </c>
      <c r="BF3354">
        <v>0</v>
      </c>
      <c r="BG3354">
        <v>0</v>
      </c>
      <c r="BH3354">
        <v>2325</v>
      </c>
      <c r="BI3354">
        <v>1</v>
      </c>
      <c r="BJ3354">
        <v>1</v>
      </c>
      <c r="BK3354">
        <v>0</v>
      </c>
      <c r="BL3354">
        <v>0</v>
      </c>
      <c r="BO3354">
        <v>0</v>
      </c>
      <c r="BP3354">
        <v>0</v>
      </c>
      <c r="BW3354" t="str">
        <f>"14:47:16.579"</f>
        <v>14:47:16.579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6</v>
      </c>
      <c r="CP3354" t="s">
        <v>119</v>
      </c>
      <c r="CQ3354">
        <v>358</v>
      </c>
      <c r="CR3354">
        <v>0</v>
      </c>
      <c r="CW3354">
        <v>4973026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1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>"05/12/2020 14:46:58.766"</f>
        <v>05/12/2020 14:46:58.766</v>
      </c>
      <c r="C3355" t="str">
        <f t="shared" si="1560"/>
        <v>FFDFD3C0</v>
      </c>
      <c r="D3355" t="s">
        <v>134</v>
      </c>
      <c r="E3355">
        <v>12</v>
      </c>
      <c r="H3355">
        <v>64</v>
      </c>
      <c r="I3355" t="s">
        <v>135</v>
      </c>
      <c r="J3355" t="s">
        <v>136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562"/>
        <v>14:47:16.578</v>
      </c>
      <c r="T3355" t="str">
        <f t="shared" si="1562"/>
        <v>14:47:16.578</v>
      </c>
      <c r="U3355" t="str">
        <f t="shared" si="1554"/>
        <v>A9808D</v>
      </c>
      <c r="V3355">
        <v>0</v>
      </c>
      <c r="W3355">
        <v>0</v>
      </c>
      <c r="X3355">
        <v>1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0</v>
      </c>
      <c r="AI3355" t="s">
        <v>791</v>
      </c>
      <c r="AJ3355">
        <v>28.248918</v>
      </c>
      <c r="AK3355" t="s">
        <v>792</v>
      </c>
      <c r="AL3355">
        <v>-82.264166000000003</v>
      </c>
      <c r="AM3355">
        <v>100</v>
      </c>
      <c r="AN3355">
        <v>2300</v>
      </c>
      <c r="AO3355" t="s">
        <v>118</v>
      </c>
      <c r="AP3355">
        <v>102</v>
      </c>
      <c r="AQ3355">
        <v>84</v>
      </c>
      <c r="AR3355">
        <v>-320</v>
      </c>
      <c r="AZ3355">
        <v>1200</v>
      </c>
      <c r="BA3355">
        <v>1</v>
      </c>
      <c r="BB3355" t="str">
        <f t="shared" si="1561"/>
        <v xml:space="preserve">N711JA  </v>
      </c>
      <c r="BC3355">
        <v>1</v>
      </c>
      <c r="BE3355">
        <v>0</v>
      </c>
      <c r="BF3355">
        <v>0</v>
      </c>
      <c r="BG3355">
        <v>0</v>
      </c>
      <c r="BH3355">
        <v>2325</v>
      </c>
      <c r="BI3355">
        <v>1</v>
      </c>
      <c r="BJ3355">
        <v>1</v>
      </c>
      <c r="BK3355">
        <v>0</v>
      </c>
      <c r="BL3355">
        <v>0</v>
      </c>
      <c r="BO3355">
        <v>0</v>
      </c>
      <c r="BP3355">
        <v>0</v>
      </c>
      <c r="BW3355" t="str">
        <f>"14:47:16.579"</f>
        <v>14:47:16.579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6</v>
      </c>
      <c r="CP3355" t="s">
        <v>119</v>
      </c>
      <c r="CQ3355">
        <v>358</v>
      </c>
      <c r="CR3355">
        <v>0</v>
      </c>
      <c r="CW3355">
        <v>4973026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1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>"05/12/2020 14:46:58.766"</f>
        <v>05/12/2020 14:46:58.766</v>
      </c>
      <c r="C3356" t="str">
        <f t="shared" si="1560"/>
        <v>FFDFD3C0</v>
      </c>
      <c r="D3356" t="s">
        <v>138</v>
      </c>
      <c r="E3356">
        <v>3</v>
      </c>
      <c r="H3356">
        <v>9</v>
      </c>
      <c r="I3356" t="s">
        <v>140</v>
      </c>
      <c r="J3356" t="s">
        <v>136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562"/>
        <v>14:47:16.578</v>
      </c>
      <c r="T3356" t="str">
        <f t="shared" si="1562"/>
        <v>14:47:16.578</v>
      </c>
      <c r="U3356" t="str">
        <f t="shared" si="1554"/>
        <v>A9808D</v>
      </c>
      <c r="V3356">
        <v>0</v>
      </c>
      <c r="W3356">
        <v>0</v>
      </c>
      <c r="X3356">
        <v>1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0</v>
      </c>
      <c r="AI3356" t="s">
        <v>791</v>
      </c>
      <c r="AJ3356">
        <v>28.248918</v>
      </c>
      <c r="AK3356" t="s">
        <v>792</v>
      </c>
      <c r="AL3356">
        <v>-82.264166000000003</v>
      </c>
      <c r="AM3356">
        <v>100</v>
      </c>
      <c r="AN3356">
        <v>2300</v>
      </c>
      <c r="AO3356" t="s">
        <v>118</v>
      </c>
      <c r="AP3356">
        <v>102</v>
      </c>
      <c r="AQ3356">
        <v>84</v>
      </c>
      <c r="AR3356">
        <v>-320</v>
      </c>
      <c r="AZ3356">
        <v>1200</v>
      </c>
      <c r="BA3356">
        <v>1</v>
      </c>
      <c r="BB3356" t="str">
        <f t="shared" si="1561"/>
        <v xml:space="preserve">N711JA  </v>
      </c>
      <c r="BC3356">
        <v>1</v>
      </c>
      <c r="BE3356">
        <v>0</v>
      </c>
      <c r="BF3356">
        <v>0</v>
      </c>
      <c r="BG3356">
        <v>0</v>
      </c>
      <c r="BH3356">
        <v>2325</v>
      </c>
      <c r="BI3356">
        <v>1</v>
      </c>
      <c r="BJ3356">
        <v>1</v>
      </c>
      <c r="BK3356">
        <v>0</v>
      </c>
      <c r="BL3356">
        <v>0</v>
      </c>
      <c r="BO3356">
        <v>0</v>
      </c>
      <c r="BP3356">
        <v>0</v>
      </c>
      <c r="BW3356" t="str">
        <f>"14:47:16.579"</f>
        <v>14:47:16.579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6</v>
      </c>
      <c r="CP3356" t="s">
        <v>119</v>
      </c>
      <c r="CQ3356">
        <v>358</v>
      </c>
      <c r="CR3356">
        <v>0</v>
      </c>
      <c r="CW3356">
        <v>4973026</v>
      </c>
      <c r="CY3356">
        <v>1</v>
      </c>
      <c r="CZ3356">
        <v>0</v>
      </c>
      <c r="DA3356">
        <v>1</v>
      </c>
      <c r="DB3356">
        <v>0</v>
      </c>
      <c r="DC3356">
        <v>0</v>
      </c>
      <c r="DD3356">
        <v>1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 t="shared" ref="A3357:A3365" si="1563">"05/12/2020 14:46:59.813"</f>
        <v>05/12/2020 14:46:59.813</v>
      </c>
      <c r="C3357" t="str">
        <f t="shared" si="1560"/>
        <v>FFDFD3C0</v>
      </c>
      <c r="D3357" t="s">
        <v>134</v>
      </c>
      <c r="E3357">
        <v>12</v>
      </c>
      <c r="H3357">
        <v>64</v>
      </c>
      <c r="I3357" t="s">
        <v>135</v>
      </c>
      <c r="J3357" t="s">
        <v>136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ref="S3357:S3365" si="1564">"14:47:17.648"</f>
        <v>14:47:17.648</v>
      </c>
      <c r="T3357" t="str">
        <f t="shared" ref="T3357:T3365" si="1565">"14:47:17.548"</f>
        <v>14:47:17.548</v>
      </c>
      <c r="U3357" t="str">
        <f t="shared" si="1554"/>
        <v>A9808D</v>
      </c>
      <c r="V3357">
        <v>0</v>
      </c>
      <c r="W3357">
        <v>0</v>
      </c>
      <c r="X3357">
        <v>1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0</v>
      </c>
      <c r="AI3357" t="s">
        <v>793</v>
      </c>
      <c r="AJ3357">
        <v>28.249369000000002</v>
      </c>
      <c r="AK3357" t="s">
        <v>794</v>
      </c>
      <c r="AL3357">
        <v>-82.263608000000005</v>
      </c>
      <c r="AM3357">
        <v>100</v>
      </c>
      <c r="AN3357">
        <v>2300</v>
      </c>
      <c r="AO3357" t="s">
        <v>118</v>
      </c>
      <c r="AP3357">
        <v>96</v>
      </c>
      <c r="AQ3357">
        <v>91</v>
      </c>
      <c r="AR3357">
        <v>-448</v>
      </c>
      <c r="AZ3357">
        <v>1200</v>
      </c>
      <c r="BA3357">
        <v>1</v>
      </c>
      <c r="BB3357" t="str">
        <f t="shared" si="1561"/>
        <v xml:space="preserve">N711JA  </v>
      </c>
      <c r="BC3357">
        <v>1</v>
      </c>
      <c r="BE3357">
        <v>0</v>
      </c>
      <c r="BF3357">
        <v>0</v>
      </c>
      <c r="BG3357">
        <v>0</v>
      </c>
      <c r="BH3357">
        <v>2325</v>
      </c>
      <c r="BI3357">
        <v>1</v>
      </c>
      <c r="BJ3357">
        <v>1</v>
      </c>
      <c r="BK3357">
        <v>0</v>
      </c>
      <c r="BL3357">
        <v>0</v>
      </c>
      <c r="BO3357">
        <v>0</v>
      </c>
      <c r="BP3357">
        <v>0</v>
      </c>
      <c r="BW3357" t="str">
        <f>"14:47:17.653"</f>
        <v>14:47:17.653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358</v>
      </c>
      <c r="CR3357">
        <v>0</v>
      </c>
      <c r="CW3357">
        <v>4974385</v>
      </c>
      <c r="CY3357">
        <v>1</v>
      </c>
      <c r="CZ3357">
        <v>0</v>
      </c>
      <c r="DA3357">
        <v>0</v>
      </c>
      <c r="DB3357">
        <v>0</v>
      </c>
      <c r="DC3357">
        <v>0</v>
      </c>
      <c r="DD3357">
        <v>1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 t="shared" si="1563"/>
        <v>05/12/2020 14:46:59.813</v>
      </c>
      <c r="C3358" t="str">
        <f t="shared" si="1560"/>
        <v>FFDFD3C0</v>
      </c>
      <c r="D3358" t="s">
        <v>138</v>
      </c>
      <c r="E3358">
        <v>2</v>
      </c>
      <c r="H3358">
        <v>8</v>
      </c>
      <c r="I3358" t="s">
        <v>139</v>
      </c>
      <c r="J3358" t="s">
        <v>136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564"/>
        <v>14:47:17.648</v>
      </c>
      <c r="T3358" t="str">
        <f t="shared" si="1565"/>
        <v>14:47:17.548</v>
      </c>
      <c r="U3358" t="str">
        <f t="shared" si="1554"/>
        <v>A9808D</v>
      </c>
      <c r="V3358">
        <v>0</v>
      </c>
      <c r="W3358">
        <v>0</v>
      </c>
      <c r="X3358">
        <v>1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0</v>
      </c>
      <c r="AI3358" t="s">
        <v>793</v>
      </c>
      <c r="AJ3358">
        <v>28.249369000000002</v>
      </c>
      <c r="AK3358" t="s">
        <v>794</v>
      </c>
      <c r="AL3358">
        <v>-82.263608000000005</v>
      </c>
      <c r="AM3358">
        <v>100</v>
      </c>
      <c r="AN3358">
        <v>2300</v>
      </c>
      <c r="AO3358" t="s">
        <v>118</v>
      </c>
      <c r="AP3358">
        <v>96</v>
      </c>
      <c r="AQ3358">
        <v>91</v>
      </c>
      <c r="AR3358">
        <v>-448</v>
      </c>
      <c r="AZ3358">
        <v>1200</v>
      </c>
      <c r="BA3358">
        <v>1</v>
      </c>
      <c r="BB3358" t="str">
        <f t="shared" si="1561"/>
        <v xml:space="preserve">N711JA  </v>
      </c>
      <c r="BC3358">
        <v>1</v>
      </c>
      <c r="BE3358">
        <v>0</v>
      </c>
      <c r="BF3358">
        <v>0</v>
      </c>
      <c r="BG3358">
        <v>0</v>
      </c>
      <c r="BH3358">
        <v>2325</v>
      </c>
      <c r="BI3358">
        <v>1</v>
      </c>
      <c r="BJ3358">
        <v>1</v>
      </c>
      <c r="BK3358">
        <v>0</v>
      </c>
      <c r="BL3358">
        <v>0</v>
      </c>
      <c r="BO3358">
        <v>0</v>
      </c>
      <c r="BP3358">
        <v>0</v>
      </c>
      <c r="BW3358" t="str">
        <f>"14:47:17.652"</f>
        <v>14:47:17.652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6</v>
      </c>
      <c r="CP3358" t="s">
        <v>119</v>
      </c>
      <c r="CQ3358">
        <v>343</v>
      </c>
      <c r="CR3358">
        <v>1</v>
      </c>
      <c r="CW3358">
        <v>10902185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1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 t="shared" si="1563"/>
        <v>05/12/2020 14:46:59.813</v>
      </c>
      <c r="C3359" t="str">
        <f t="shared" si="1560"/>
        <v>FFDFD3C0</v>
      </c>
      <c r="D3359" t="s">
        <v>138</v>
      </c>
      <c r="E3359">
        <v>3</v>
      </c>
      <c r="H3359">
        <v>9</v>
      </c>
      <c r="I3359" t="s">
        <v>140</v>
      </c>
      <c r="J3359" t="s">
        <v>136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564"/>
        <v>14:47:17.648</v>
      </c>
      <c r="T3359" t="str">
        <f t="shared" si="1565"/>
        <v>14:47:17.548</v>
      </c>
      <c r="U3359" t="str">
        <f t="shared" si="1554"/>
        <v>A9808D</v>
      </c>
      <c r="V3359">
        <v>0</v>
      </c>
      <c r="W3359">
        <v>0</v>
      </c>
      <c r="X3359">
        <v>1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0</v>
      </c>
      <c r="AI3359" t="s">
        <v>793</v>
      </c>
      <c r="AJ3359">
        <v>28.249369000000002</v>
      </c>
      <c r="AK3359" t="s">
        <v>794</v>
      </c>
      <c r="AL3359">
        <v>-82.263608000000005</v>
      </c>
      <c r="AM3359">
        <v>100</v>
      </c>
      <c r="AN3359">
        <v>2300</v>
      </c>
      <c r="AO3359" t="s">
        <v>118</v>
      </c>
      <c r="AP3359">
        <v>96</v>
      </c>
      <c r="AQ3359">
        <v>91</v>
      </c>
      <c r="AR3359">
        <v>-448</v>
      </c>
      <c r="AZ3359">
        <v>1200</v>
      </c>
      <c r="BA3359">
        <v>1</v>
      </c>
      <c r="BB3359" t="str">
        <f t="shared" si="1561"/>
        <v xml:space="preserve">N711JA  </v>
      </c>
      <c r="BC3359">
        <v>1</v>
      </c>
      <c r="BE3359">
        <v>0</v>
      </c>
      <c r="BF3359">
        <v>0</v>
      </c>
      <c r="BG3359">
        <v>0</v>
      </c>
      <c r="BH3359">
        <v>2325</v>
      </c>
      <c r="BI3359">
        <v>1</v>
      </c>
      <c r="BJ3359">
        <v>1</v>
      </c>
      <c r="BK3359">
        <v>0</v>
      </c>
      <c r="BL3359">
        <v>0</v>
      </c>
      <c r="BO3359">
        <v>0</v>
      </c>
      <c r="BP3359">
        <v>0</v>
      </c>
      <c r="BW3359" t="str">
        <f>"14:47:17.653"</f>
        <v>14:47:17.653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358</v>
      </c>
      <c r="CR3359">
        <v>0</v>
      </c>
      <c r="CW3359">
        <v>4974385</v>
      </c>
      <c r="CY3359">
        <v>1</v>
      </c>
      <c r="CZ3359">
        <v>0</v>
      </c>
      <c r="DA3359">
        <v>1</v>
      </c>
      <c r="DB3359">
        <v>0</v>
      </c>
      <c r="DC3359">
        <v>0</v>
      </c>
      <c r="DD3359">
        <v>1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 t="shared" si="1563"/>
        <v>05/12/2020 14:46:59.813</v>
      </c>
      <c r="C3360" t="str">
        <f t="shared" si="1560"/>
        <v>FFDFD3C0</v>
      </c>
      <c r="D3360" t="s">
        <v>126</v>
      </c>
      <c r="E3360">
        <v>7</v>
      </c>
      <c r="F3360">
        <v>1007</v>
      </c>
      <c r="G3360" t="s">
        <v>127</v>
      </c>
      <c r="J3360" t="s">
        <v>128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564"/>
        <v>14:47:17.648</v>
      </c>
      <c r="T3360" t="str">
        <f t="shared" si="1565"/>
        <v>14:47:17.548</v>
      </c>
      <c r="U3360" t="str">
        <f t="shared" si="1554"/>
        <v>A9808D</v>
      </c>
      <c r="V3360">
        <v>0</v>
      </c>
      <c r="W3360">
        <v>0</v>
      </c>
      <c r="X3360">
        <v>1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0</v>
      </c>
      <c r="AI3360" t="s">
        <v>793</v>
      </c>
      <c r="AJ3360">
        <v>28.249369000000002</v>
      </c>
      <c r="AK3360" t="s">
        <v>794</v>
      </c>
      <c r="AL3360">
        <v>-82.263608000000005</v>
      </c>
      <c r="AM3360">
        <v>100</v>
      </c>
      <c r="AN3360">
        <v>2300</v>
      </c>
      <c r="AO3360" t="s">
        <v>118</v>
      </c>
      <c r="AP3360">
        <v>96</v>
      </c>
      <c r="AQ3360">
        <v>91</v>
      </c>
      <c r="AR3360">
        <v>-448</v>
      </c>
      <c r="AZ3360">
        <v>1200</v>
      </c>
      <c r="BA3360">
        <v>1</v>
      </c>
      <c r="BB3360" t="str">
        <f t="shared" si="1561"/>
        <v xml:space="preserve">N711JA  </v>
      </c>
      <c r="BC3360">
        <v>1</v>
      </c>
      <c r="BE3360">
        <v>0</v>
      </c>
      <c r="BF3360">
        <v>0</v>
      </c>
      <c r="BG3360">
        <v>0</v>
      </c>
      <c r="BH3360">
        <v>2325</v>
      </c>
      <c r="BI3360">
        <v>1</v>
      </c>
      <c r="BJ3360">
        <v>1</v>
      </c>
      <c r="BK3360">
        <v>0</v>
      </c>
      <c r="BL3360">
        <v>0</v>
      </c>
      <c r="BO3360">
        <v>0</v>
      </c>
      <c r="BP3360">
        <v>0</v>
      </c>
      <c r="BW3360" t="str">
        <f>"14:47:17.653"</f>
        <v>14:47:17.653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358</v>
      </c>
      <c r="CR3360">
        <v>0</v>
      </c>
      <c r="CW3360">
        <v>4974385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1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 t="shared" si="1563"/>
        <v>05/12/2020 14:46:59.813</v>
      </c>
      <c r="C3361" t="str">
        <f t="shared" si="1560"/>
        <v>FFDFD3C0</v>
      </c>
      <c r="D3361" t="s">
        <v>131</v>
      </c>
      <c r="E3361">
        <v>10</v>
      </c>
      <c r="F3361">
        <v>2010</v>
      </c>
      <c r="G3361" t="s">
        <v>132</v>
      </c>
      <c r="J3361" t="s">
        <v>133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si="1564"/>
        <v>14:47:17.648</v>
      </c>
      <c r="T3361" t="str">
        <f t="shared" si="1565"/>
        <v>14:47:17.548</v>
      </c>
      <c r="U3361" t="str">
        <f t="shared" si="1554"/>
        <v>A9808D</v>
      </c>
      <c r="V3361">
        <v>0</v>
      </c>
      <c r="W3361">
        <v>0</v>
      </c>
      <c r="X3361">
        <v>1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0</v>
      </c>
      <c r="AI3361" t="s">
        <v>793</v>
      </c>
      <c r="AJ3361">
        <v>28.249369000000002</v>
      </c>
      <c r="AK3361" t="s">
        <v>794</v>
      </c>
      <c r="AL3361">
        <v>-82.263608000000005</v>
      </c>
      <c r="AM3361">
        <v>100</v>
      </c>
      <c r="AN3361">
        <v>2300</v>
      </c>
      <c r="AO3361" t="s">
        <v>118</v>
      </c>
      <c r="AP3361">
        <v>96</v>
      </c>
      <c r="AQ3361">
        <v>91</v>
      </c>
      <c r="AR3361">
        <v>-448</v>
      </c>
      <c r="AZ3361">
        <v>1200</v>
      </c>
      <c r="BA3361">
        <v>1</v>
      </c>
      <c r="BB3361" t="str">
        <f t="shared" si="1561"/>
        <v xml:space="preserve">N711JA  </v>
      </c>
      <c r="BC3361">
        <v>1</v>
      </c>
      <c r="BE3361">
        <v>0</v>
      </c>
      <c r="BF3361">
        <v>0</v>
      </c>
      <c r="BG3361">
        <v>0</v>
      </c>
      <c r="BH3361">
        <v>2325</v>
      </c>
      <c r="BI3361">
        <v>1</v>
      </c>
      <c r="BJ3361">
        <v>1</v>
      </c>
      <c r="BK3361">
        <v>0</v>
      </c>
      <c r="BL3361">
        <v>0</v>
      </c>
      <c r="BO3361">
        <v>0</v>
      </c>
      <c r="BP3361">
        <v>0</v>
      </c>
      <c r="BW3361" t="str">
        <f>"14:47:17.653"</f>
        <v>14:47:17.653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358</v>
      </c>
      <c r="CR3361">
        <v>0</v>
      </c>
      <c r="CW3361">
        <v>4974385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1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 t="shared" si="1563"/>
        <v>05/12/2020 14:46:59.813</v>
      </c>
      <c r="C3362" t="str">
        <f t="shared" si="1560"/>
        <v>FFDFD3C0</v>
      </c>
      <c r="D3362" t="s">
        <v>131</v>
      </c>
      <c r="E3362">
        <v>12</v>
      </c>
      <c r="F3362">
        <v>2012</v>
      </c>
      <c r="G3362" t="s">
        <v>137</v>
      </c>
      <c r="J3362" t="s">
        <v>133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564"/>
        <v>14:47:17.648</v>
      </c>
      <c r="T3362" t="str">
        <f t="shared" si="1565"/>
        <v>14:47:17.548</v>
      </c>
      <c r="U3362" t="str">
        <f t="shared" si="1554"/>
        <v>A9808D</v>
      </c>
      <c r="V3362">
        <v>0</v>
      </c>
      <c r="W3362">
        <v>0</v>
      </c>
      <c r="X3362">
        <v>1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0</v>
      </c>
      <c r="AI3362" t="s">
        <v>793</v>
      </c>
      <c r="AJ3362">
        <v>28.249369000000002</v>
      </c>
      <c r="AK3362" t="s">
        <v>794</v>
      </c>
      <c r="AL3362">
        <v>-82.263608000000005</v>
      </c>
      <c r="AM3362">
        <v>100</v>
      </c>
      <c r="AN3362">
        <v>2300</v>
      </c>
      <c r="AO3362" t="s">
        <v>118</v>
      </c>
      <c r="AP3362">
        <v>96</v>
      </c>
      <c r="AQ3362">
        <v>91</v>
      </c>
      <c r="AR3362">
        <v>-448</v>
      </c>
      <c r="AZ3362">
        <v>1200</v>
      </c>
      <c r="BA3362">
        <v>1</v>
      </c>
      <c r="BB3362" t="str">
        <f t="shared" si="1561"/>
        <v xml:space="preserve">N711JA  </v>
      </c>
      <c r="BC3362">
        <v>1</v>
      </c>
      <c r="BE3362">
        <v>0</v>
      </c>
      <c r="BF3362">
        <v>0</v>
      </c>
      <c r="BG3362">
        <v>0</v>
      </c>
      <c r="BH3362">
        <v>2325</v>
      </c>
      <c r="BI3362">
        <v>1</v>
      </c>
      <c r="BJ3362">
        <v>1</v>
      </c>
      <c r="BK3362">
        <v>0</v>
      </c>
      <c r="BL3362">
        <v>0</v>
      </c>
      <c r="BO3362">
        <v>0</v>
      </c>
      <c r="BP3362">
        <v>0</v>
      </c>
      <c r="BW3362" t="str">
        <f>"14:47:17.652"</f>
        <v>14:47:17.652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6</v>
      </c>
      <c r="CP3362" t="s">
        <v>119</v>
      </c>
      <c r="CQ3362">
        <v>343</v>
      </c>
      <c r="CR3362">
        <v>1</v>
      </c>
      <c r="CW3362">
        <v>10902185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1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 t="shared" si="1563"/>
        <v>05/12/2020 14:46:59.813</v>
      </c>
      <c r="C3363" t="str">
        <f t="shared" si="1560"/>
        <v>FFDFD3C0</v>
      </c>
      <c r="D3363" t="s">
        <v>131</v>
      </c>
      <c r="E3363">
        <v>18</v>
      </c>
      <c r="F3363">
        <v>2018</v>
      </c>
      <c r="G3363" t="s">
        <v>161</v>
      </c>
      <c r="J3363" t="s">
        <v>133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564"/>
        <v>14:47:17.648</v>
      </c>
      <c r="T3363" t="str">
        <f t="shared" si="1565"/>
        <v>14:47:17.548</v>
      </c>
      <c r="U3363" t="str">
        <f t="shared" si="1554"/>
        <v>A9808D</v>
      </c>
      <c r="V3363">
        <v>0</v>
      </c>
      <c r="W3363">
        <v>0</v>
      </c>
      <c r="X3363">
        <v>1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0</v>
      </c>
      <c r="AI3363" t="s">
        <v>793</v>
      </c>
      <c r="AJ3363">
        <v>28.249369000000002</v>
      </c>
      <c r="AK3363" t="s">
        <v>794</v>
      </c>
      <c r="AL3363">
        <v>-82.263608000000005</v>
      </c>
      <c r="AM3363">
        <v>100</v>
      </c>
      <c r="AN3363">
        <v>2300</v>
      </c>
      <c r="AO3363" t="s">
        <v>118</v>
      </c>
      <c r="AP3363">
        <v>96</v>
      </c>
      <c r="AQ3363">
        <v>91</v>
      </c>
      <c r="AR3363">
        <v>-448</v>
      </c>
      <c r="AZ3363">
        <v>1200</v>
      </c>
      <c r="BA3363">
        <v>1</v>
      </c>
      <c r="BB3363" t="str">
        <f t="shared" si="1561"/>
        <v xml:space="preserve">N711JA  </v>
      </c>
      <c r="BC3363">
        <v>1</v>
      </c>
      <c r="BE3363">
        <v>0</v>
      </c>
      <c r="BF3363">
        <v>0</v>
      </c>
      <c r="BG3363">
        <v>0</v>
      </c>
      <c r="BH3363">
        <v>2325</v>
      </c>
      <c r="BI3363">
        <v>1</v>
      </c>
      <c r="BJ3363">
        <v>1</v>
      </c>
      <c r="BK3363">
        <v>0</v>
      </c>
      <c r="BL3363">
        <v>0</v>
      </c>
      <c r="BO3363">
        <v>0</v>
      </c>
      <c r="BP3363">
        <v>0</v>
      </c>
      <c r="BW3363" t="str">
        <f>"14:47:17.652"</f>
        <v>14:47:17.652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6</v>
      </c>
      <c r="CP3363" t="s">
        <v>119</v>
      </c>
      <c r="CQ3363">
        <v>343</v>
      </c>
      <c r="CR3363">
        <v>1</v>
      </c>
      <c r="CW3363">
        <v>10902185</v>
      </c>
      <c r="CY3363">
        <v>1</v>
      </c>
      <c r="CZ3363">
        <v>0</v>
      </c>
      <c r="DA3363">
        <v>1</v>
      </c>
      <c r="DB3363">
        <v>0</v>
      </c>
      <c r="DC3363">
        <v>0</v>
      </c>
      <c r="DD3363">
        <v>1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 t="shared" si="1563"/>
        <v>05/12/2020 14:46:59.813</v>
      </c>
      <c r="C3364" t="str">
        <f t="shared" si="1560"/>
        <v>FFDFD3C0</v>
      </c>
      <c r="D3364" t="s">
        <v>126</v>
      </c>
      <c r="E3364">
        <v>6</v>
      </c>
      <c r="F3364">
        <v>1006</v>
      </c>
      <c r="G3364" t="s">
        <v>114</v>
      </c>
      <c r="J3364" t="s">
        <v>128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si="1564"/>
        <v>14:47:17.648</v>
      </c>
      <c r="T3364" t="str">
        <f t="shared" si="1565"/>
        <v>14:47:17.548</v>
      </c>
      <c r="U3364" t="str">
        <f t="shared" si="1554"/>
        <v>A9808D</v>
      </c>
      <c r="V3364">
        <v>0</v>
      </c>
      <c r="W3364">
        <v>0</v>
      </c>
      <c r="X3364">
        <v>1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0</v>
      </c>
      <c r="AI3364" t="s">
        <v>793</v>
      </c>
      <c r="AJ3364">
        <v>28.249369000000002</v>
      </c>
      <c r="AK3364" t="s">
        <v>794</v>
      </c>
      <c r="AL3364">
        <v>-82.263608000000005</v>
      </c>
      <c r="AM3364">
        <v>100</v>
      </c>
      <c r="AN3364">
        <v>2300</v>
      </c>
      <c r="AO3364" t="s">
        <v>118</v>
      </c>
      <c r="AP3364">
        <v>96</v>
      </c>
      <c r="AQ3364">
        <v>91</v>
      </c>
      <c r="AR3364">
        <v>-448</v>
      </c>
      <c r="AZ3364">
        <v>1200</v>
      </c>
      <c r="BA3364">
        <v>1</v>
      </c>
      <c r="BB3364" t="str">
        <f t="shared" si="1561"/>
        <v xml:space="preserve">N711JA  </v>
      </c>
      <c r="BC3364">
        <v>1</v>
      </c>
      <c r="BE3364">
        <v>0</v>
      </c>
      <c r="BF3364">
        <v>0</v>
      </c>
      <c r="BG3364">
        <v>0</v>
      </c>
      <c r="BH3364">
        <v>2325</v>
      </c>
      <c r="BI3364">
        <v>1</v>
      </c>
      <c r="BJ3364">
        <v>1</v>
      </c>
      <c r="BK3364">
        <v>0</v>
      </c>
      <c r="BL3364">
        <v>0</v>
      </c>
      <c r="BO3364">
        <v>0</v>
      </c>
      <c r="BP3364">
        <v>0</v>
      </c>
      <c r="BW3364" t="str">
        <f>"14:47:17.653"</f>
        <v>14:47:17.653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358</v>
      </c>
      <c r="CR3364">
        <v>0</v>
      </c>
      <c r="CW3364">
        <v>4974385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1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 t="shared" si="1563"/>
        <v>05/12/2020 14:46:59.813</v>
      </c>
      <c r="C3365" t="str">
        <f t="shared" si="1560"/>
        <v>FFDFD3C0</v>
      </c>
      <c r="D3365" t="s">
        <v>113</v>
      </c>
      <c r="E3365">
        <v>3</v>
      </c>
      <c r="H3365">
        <v>164</v>
      </c>
      <c r="I3365" t="s">
        <v>114</v>
      </c>
      <c r="J3365" t="s">
        <v>115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564"/>
        <v>14:47:17.648</v>
      </c>
      <c r="T3365" t="str">
        <f t="shared" si="1565"/>
        <v>14:47:17.548</v>
      </c>
      <c r="U3365" t="str">
        <f t="shared" si="1554"/>
        <v>A9808D</v>
      </c>
      <c r="V3365">
        <v>0</v>
      </c>
      <c r="W3365">
        <v>0</v>
      </c>
      <c r="X3365">
        <v>1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0</v>
      </c>
      <c r="AI3365" t="s">
        <v>793</v>
      </c>
      <c r="AJ3365">
        <v>28.249369000000002</v>
      </c>
      <c r="AK3365" t="s">
        <v>794</v>
      </c>
      <c r="AL3365">
        <v>-82.263608000000005</v>
      </c>
      <c r="AM3365">
        <v>100</v>
      </c>
      <c r="AN3365">
        <v>2300</v>
      </c>
      <c r="AO3365" t="s">
        <v>118</v>
      </c>
      <c r="AP3365">
        <v>96</v>
      </c>
      <c r="AQ3365">
        <v>91</v>
      </c>
      <c r="AR3365">
        <v>-448</v>
      </c>
      <c r="AZ3365">
        <v>1200</v>
      </c>
      <c r="BA3365">
        <v>1</v>
      </c>
      <c r="BB3365" t="str">
        <f t="shared" si="1561"/>
        <v xml:space="preserve">N711JA  </v>
      </c>
      <c r="BC3365">
        <v>1</v>
      </c>
      <c r="BE3365">
        <v>0</v>
      </c>
      <c r="BF3365">
        <v>0</v>
      </c>
      <c r="BG3365">
        <v>0</v>
      </c>
      <c r="BH3365">
        <v>2325</v>
      </c>
      <c r="BI3365">
        <v>1</v>
      </c>
      <c r="BJ3365">
        <v>1</v>
      </c>
      <c r="BK3365">
        <v>0</v>
      </c>
      <c r="BL3365">
        <v>0</v>
      </c>
      <c r="BO3365">
        <v>0</v>
      </c>
      <c r="BP3365">
        <v>0</v>
      </c>
      <c r="BW3365" t="str">
        <f>"14:47:17.652"</f>
        <v>14:47:17.652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6</v>
      </c>
      <c r="CP3365" t="s">
        <v>119</v>
      </c>
      <c r="CQ3365">
        <v>343</v>
      </c>
      <c r="CR3365">
        <v>1</v>
      </c>
      <c r="CW3365">
        <v>10902185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1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 t="shared" ref="A3366:A3374" si="1566">"05/12/2020 14:47:00.775"</f>
        <v>05/12/2020 14:47:00.775</v>
      </c>
      <c r="C3366" t="str">
        <f t="shared" si="1560"/>
        <v>FFDFD3C0</v>
      </c>
      <c r="D3366" t="s">
        <v>138</v>
      </c>
      <c r="E3366">
        <v>2</v>
      </c>
      <c r="H3366">
        <v>8</v>
      </c>
      <c r="I3366" t="s">
        <v>139</v>
      </c>
      <c r="J3366" t="s">
        <v>136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ref="S3366:S3374" si="1567">"14:47:18.609"</f>
        <v>14:47:18.609</v>
      </c>
      <c r="T3366" t="str">
        <f t="shared" ref="T3366:T3374" si="1568">"14:47:18.509"</f>
        <v>14:47:18.509</v>
      </c>
      <c r="U3366" t="str">
        <f t="shared" si="1554"/>
        <v>A9808D</v>
      </c>
      <c r="V3366">
        <v>0</v>
      </c>
      <c r="W3366">
        <v>0</v>
      </c>
      <c r="X3366">
        <v>1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0</v>
      </c>
      <c r="AI3366" t="s">
        <v>242</v>
      </c>
      <c r="AJ3366">
        <v>28.249841</v>
      </c>
      <c r="AK3366" t="s">
        <v>795</v>
      </c>
      <c r="AL3366">
        <v>-82.263136000000003</v>
      </c>
      <c r="AM3366">
        <v>100</v>
      </c>
      <c r="AN3366">
        <v>2300</v>
      </c>
      <c r="AO3366" t="s">
        <v>118</v>
      </c>
      <c r="AP3366">
        <v>90</v>
      </c>
      <c r="AQ3366">
        <v>98</v>
      </c>
      <c r="AR3366">
        <v>-512</v>
      </c>
      <c r="AZ3366">
        <v>1200</v>
      </c>
      <c r="BA3366">
        <v>1</v>
      </c>
      <c r="BB3366" t="str">
        <f t="shared" si="1561"/>
        <v xml:space="preserve">N711JA  </v>
      </c>
      <c r="BC3366">
        <v>1</v>
      </c>
      <c r="BE3366">
        <v>0</v>
      </c>
      <c r="BF3366">
        <v>0</v>
      </c>
      <c r="BG3366">
        <v>0</v>
      </c>
      <c r="BH3366">
        <v>2325</v>
      </c>
      <c r="BI3366">
        <v>1</v>
      </c>
      <c r="BJ3366">
        <v>1</v>
      </c>
      <c r="BK3366">
        <v>0</v>
      </c>
      <c r="BL3366">
        <v>0</v>
      </c>
      <c r="BO3366">
        <v>0</v>
      </c>
      <c r="BP3366">
        <v>0</v>
      </c>
      <c r="BW3366" t="str">
        <f t="shared" ref="BW3366:BW3374" si="1569">"14:47:18.616"</f>
        <v>14:47:18.616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6</v>
      </c>
      <c r="CP3366" t="s">
        <v>119</v>
      </c>
      <c r="CQ3366">
        <v>343</v>
      </c>
      <c r="CR3366">
        <v>1</v>
      </c>
      <c r="CW3366">
        <v>10903165</v>
      </c>
      <c r="CY3366">
        <v>1</v>
      </c>
      <c r="CZ3366">
        <v>0</v>
      </c>
      <c r="DA3366">
        <v>0</v>
      </c>
      <c r="DB3366">
        <v>0</v>
      </c>
      <c r="DC3366">
        <v>0</v>
      </c>
      <c r="DD3366">
        <v>1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 t="shared" si="1566"/>
        <v>05/12/2020 14:47:00.775</v>
      </c>
      <c r="C3367" t="str">
        <f t="shared" si="1560"/>
        <v>FFDFD3C0</v>
      </c>
      <c r="D3367" t="s">
        <v>134</v>
      </c>
      <c r="E3367">
        <v>12</v>
      </c>
      <c r="H3367">
        <v>64</v>
      </c>
      <c r="I3367" t="s">
        <v>135</v>
      </c>
      <c r="J3367" t="s">
        <v>136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567"/>
        <v>14:47:18.609</v>
      </c>
      <c r="T3367" t="str">
        <f t="shared" si="1568"/>
        <v>14:47:18.509</v>
      </c>
      <c r="U3367" t="str">
        <f t="shared" si="1554"/>
        <v>A9808D</v>
      </c>
      <c r="V3367">
        <v>0</v>
      </c>
      <c r="W3367">
        <v>0</v>
      </c>
      <c r="X3367">
        <v>1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0</v>
      </c>
      <c r="AI3367" t="s">
        <v>242</v>
      </c>
      <c r="AJ3367">
        <v>28.249841</v>
      </c>
      <c r="AK3367" t="s">
        <v>795</v>
      </c>
      <c r="AL3367">
        <v>-82.263136000000003</v>
      </c>
      <c r="AM3367">
        <v>100</v>
      </c>
      <c r="AN3367">
        <v>2300</v>
      </c>
      <c r="AO3367" t="s">
        <v>118</v>
      </c>
      <c r="AP3367">
        <v>90</v>
      </c>
      <c r="AQ3367">
        <v>98</v>
      </c>
      <c r="AR3367">
        <v>-512</v>
      </c>
      <c r="AZ3367">
        <v>1200</v>
      </c>
      <c r="BA3367">
        <v>1</v>
      </c>
      <c r="BB3367" t="str">
        <f t="shared" si="1561"/>
        <v xml:space="preserve">N711JA  </v>
      </c>
      <c r="BC3367">
        <v>1</v>
      </c>
      <c r="BE3367">
        <v>0</v>
      </c>
      <c r="BF3367">
        <v>0</v>
      </c>
      <c r="BG3367">
        <v>0</v>
      </c>
      <c r="BH3367">
        <v>2325</v>
      </c>
      <c r="BI3367">
        <v>1</v>
      </c>
      <c r="BJ3367">
        <v>1</v>
      </c>
      <c r="BK3367">
        <v>0</v>
      </c>
      <c r="BL3367">
        <v>0</v>
      </c>
      <c r="BO3367">
        <v>0</v>
      </c>
      <c r="BP3367">
        <v>0</v>
      </c>
      <c r="BW3367" t="str">
        <f t="shared" si="1569"/>
        <v>14:47:18.616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6</v>
      </c>
      <c r="CP3367" t="s">
        <v>119</v>
      </c>
      <c r="CQ3367">
        <v>343</v>
      </c>
      <c r="CR3367">
        <v>1</v>
      </c>
      <c r="CW3367">
        <v>10903165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1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 t="shared" si="1566"/>
        <v>05/12/2020 14:47:00.775</v>
      </c>
      <c r="C3368" t="str">
        <f t="shared" si="1560"/>
        <v>FFDFD3C0</v>
      </c>
      <c r="D3368" t="s">
        <v>138</v>
      </c>
      <c r="E3368">
        <v>3</v>
      </c>
      <c r="H3368">
        <v>9</v>
      </c>
      <c r="I3368" t="s">
        <v>140</v>
      </c>
      <c r="J3368" t="s">
        <v>136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si="1567"/>
        <v>14:47:18.609</v>
      </c>
      <c r="T3368" t="str">
        <f t="shared" si="1568"/>
        <v>14:47:18.509</v>
      </c>
      <c r="U3368" t="str">
        <f t="shared" si="1554"/>
        <v>A9808D</v>
      </c>
      <c r="V3368">
        <v>0</v>
      </c>
      <c r="W3368">
        <v>0</v>
      </c>
      <c r="X3368">
        <v>1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0</v>
      </c>
      <c r="AI3368" t="s">
        <v>242</v>
      </c>
      <c r="AJ3368">
        <v>28.249841</v>
      </c>
      <c r="AK3368" t="s">
        <v>795</v>
      </c>
      <c r="AL3368">
        <v>-82.263136000000003</v>
      </c>
      <c r="AM3368">
        <v>100</v>
      </c>
      <c r="AN3368">
        <v>2300</v>
      </c>
      <c r="AO3368" t="s">
        <v>118</v>
      </c>
      <c r="AP3368">
        <v>90</v>
      </c>
      <c r="AQ3368">
        <v>98</v>
      </c>
      <c r="AR3368">
        <v>-512</v>
      </c>
      <c r="AZ3368">
        <v>1200</v>
      </c>
      <c r="BA3368">
        <v>1</v>
      </c>
      <c r="BB3368" t="str">
        <f t="shared" si="1561"/>
        <v xml:space="preserve">N711JA  </v>
      </c>
      <c r="BC3368">
        <v>1</v>
      </c>
      <c r="BE3368">
        <v>0</v>
      </c>
      <c r="BF3368">
        <v>0</v>
      </c>
      <c r="BG3368">
        <v>0</v>
      </c>
      <c r="BH3368">
        <v>2325</v>
      </c>
      <c r="BI3368">
        <v>1</v>
      </c>
      <c r="BJ3368">
        <v>1</v>
      </c>
      <c r="BK3368">
        <v>0</v>
      </c>
      <c r="BL3368">
        <v>0</v>
      </c>
      <c r="BO3368">
        <v>0</v>
      </c>
      <c r="BP3368">
        <v>0</v>
      </c>
      <c r="BW3368" t="str">
        <f t="shared" si="1569"/>
        <v>14:47:18.616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6</v>
      </c>
      <c r="CP3368" t="s">
        <v>119</v>
      </c>
      <c r="CQ3368">
        <v>343</v>
      </c>
      <c r="CR3368">
        <v>1</v>
      </c>
      <c r="CW3368">
        <v>10903165</v>
      </c>
      <c r="CY3368">
        <v>1</v>
      </c>
      <c r="CZ3368">
        <v>0</v>
      </c>
      <c r="DA3368">
        <v>1</v>
      </c>
      <c r="DB3368">
        <v>0</v>
      </c>
      <c r="DC3368">
        <v>0</v>
      </c>
      <c r="DD3368">
        <v>1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 t="shared" si="1566"/>
        <v>05/12/2020 14:47:00.775</v>
      </c>
      <c r="C3369" t="str">
        <f t="shared" si="1560"/>
        <v>FFDFD3C0</v>
      </c>
      <c r="D3369" t="s">
        <v>126</v>
      </c>
      <c r="E3369">
        <v>7</v>
      </c>
      <c r="F3369">
        <v>1007</v>
      </c>
      <c r="G3369" t="s">
        <v>127</v>
      </c>
      <c r="J3369" t="s">
        <v>128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567"/>
        <v>14:47:18.609</v>
      </c>
      <c r="T3369" t="str">
        <f t="shared" si="1568"/>
        <v>14:47:18.509</v>
      </c>
      <c r="U3369" t="str">
        <f t="shared" si="1554"/>
        <v>A9808D</v>
      </c>
      <c r="V3369">
        <v>0</v>
      </c>
      <c r="W3369">
        <v>0</v>
      </c>
      <c r="X3369">
        <v>1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0</v>
      </c>
      <c r="AI3369" t="s">
        <v>242</v>
      </c>
      <c r="AJ3369">
        <v>28.249841</v>
      </c>
      <c r="AK3369" t="s">
        <v>795</v>
      </c>
      <c r="AL3369">
        <v>-82.263136000000003</v>
      </c>
      <c r="AM3369">
        <v>100</v>
      </c>
      <c r="AN3369">
        <v>2300</v>
      </c>
      <c r="AO3369" t="s">
        <v>118</v>
      </c>
      <c r="AP3369">
        <v>90</v>
      </c>
      <c r="AQ3369">
        <v>98</v>
      </c>
      <c r="AR3369">
        <v>-512</v>
      </c>
      <c r="AZ3369">
        <v>1200</v>
      </c>
      <c r="BA3369">
        <v>1</v>
      </c>
      <c r="BB3369" t="str">
        <f t="shared" si="1561"/>
        <v xml:space="preserve">N711JA  </v>
      </c>
      <c r="BC3369">
        <v>1</v>
      </c>
      <c r="BE3369">
        <v>0</v>
      </c>
      <c r="BF3369">
        <v>0</v>
      </c>
      <c r="BG3369">
        <v>0</v>
      </c>
      <c r="BH3369">
        <v>2325</v>
      </c>
      <c r="BI3369">
        <v>1</v>
      </c>
      <c r="BJ3369">
        <v>1</v>
      </c>
      <c r="BK3369">
        <v>0</v>
      </c>
      <c r="BL3369">
        <v>0</v>
      </c>
      <c r="BO3369">
        <v>0</v>
      </c>
      <c r="BP3369">
        <v>0</v>
      </c>
      <c r="BW3369" t="str">
        <f t="shared" si="1569"/>
        <v>14:47:18.616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6</v>
      </c>
      <c r="CP3369" t="s">
        <v>119</v>
      </c>
      <c r="CQ3369">
        <v>343</v>
      </c>
      <c r="CR3369">
        <v>1</v>
      </c>
      <c r="CW3369">
        <v>10903165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1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 t="shared" si="1566"/>
        <v>05/12/2020 14:47:00.775</v>
      </c>
      <c r="C3370" t="str">
        <f t="shared" si="1560"/>
        <v>FFDFD3C0</v>
      </c>
      <c r="D3370" t="s">
        <v>131</v>
      </c>
      <c r="E3370">
        <v>10</v>
      </c>
      <c r="F3370">
        <v>2010</v>
      </c>
      <c r="G3370" t="s">
        <v>132</v>
      </c>
      <c r="J3370" t="s">
        <v>133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si="1567"/>
        <v>14:47:18.609</v>
      </c>
      <c r="T3370" t="str">
        <f t="shared" si="1568"/>
        <v>14:47:18.509</v>
      </c>
      <c r="U3370" t="str">
        <f t="shared" si="1554"/>
        <v>A9808D</v>
      </c>
      <c r="V3370">
        <v>0</v>
      </c>
      <c r="W3370">
        <v>0</v>
      </c>
      <c r="X3370">
        <v>1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0</v>
      </c>
      <c r="AI3370" t="s">
        <v>242</v>
      </c>
      <c r="AJ3370">
        <v>28.249841</v>
      </c>
      <c r="AK3370" t="s">
        <v>795</v>
      </c>
      <c r="AL3370">
        <v>-82.263136000000003</v>
      </c>
      <c r="AM3370">
        <v>100</v>
      </c>
      <c r="AN3370">
        <v>2300</v>
      </c>
      <c r="AO3370" t="s">
        <v>118</v>
      </c>
      <c r="AP3370">
        <v>90</v>
      </c>
      <c r="AQ3370">
        <v>98</v>
      </c>
      <c r="AR3370">
        <v>-512</v>
      </c>
      <c r="AZ3370">
        <v>1200</v>
      </c>
      <c r="BA3370">
        <v>1</v>
      </c>
      <c r="BB3370" t="str">
        <f t="shared" si="1561"/>
        <v xml:space="preserve">N711JA  </v>
      </c>
      <c r="BC3370">
        <v>1</v>
      </c>
      <c r="BE3370">
        <v>0</v>
      </c>
      <c r="BF3370">
        <v>0</v>
      </c>
      <c r="BG3370">
        <v>0</v>
      </c>
      <c r="BH3370">
        <v>2325</v>
      </c>
      <c r="BI3370">
        <v>1</v>
      </c>
      <c r="BJ3370">
        <v>1</v>
      </c>
      <c r="BK3370">
        <v>0</v>
      </c>
      <c r="BL3370">
        <v>0</v>
      </c>
      <c r="BO3370">
        <v>0</v>
      </c>
      <c r="BP3370">
        <v>0</v>
      </c>
      <c r="BW3370" t="str">
        <f t="shared" si="1569"/>
        <v>14:47:18.616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6</v>
      </c>
      <c r="CP3370" t="s">
        <v>119</v>
      </c>
      <c r="CQ3370">
        <v>343</v>
      </c>
      <c r="CR3370">
        <v>1</v>
      </c>
      <c r="CW3370">
        <v>10903165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1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 t="shared" si="1566"/>
        <v>05/12/2020 14:47:00.775</v>
      </c>
      <c r="C3371" t="str">
        <f t="shared" si="1560"/>
        <v>FFDFD3C0</v>
      </c>
      <c r="D3371" t="s">
        <v>131</v>
      </c>
      <c r="E3371">
        <v>12</v>
      </c>
      <c r="F3371">
        <v>2012</v>
      </c>
      <c r="G3371" t="s">
        <v>137</v>
      </c>
      <c r="J3371" t="s">
        <v>133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si="1567"/>
        <v>14:47:18.609</v>
      </c>
      <c r="T3371" t="str">
        <f t="shared" si="1568"/>
        <v>14:47:18.509</v>
      </c>
      <c r="U3371" t="str">
        <f t="shared" si="1554"/>
        <v>A9808D</v>
      </c>
      <c r="V3371">
        <v>0</v>
      </c>
      <c r="W3371">
        <v>0</v>
      </c>
      <c r="X3371">
        <v>1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0</v>
      </c>
      <c r="AI3371" t="s">
        <v>242</v>
      </c>
      <c r="AJ3371">
        <v>28.249841</v>
      </c>
      <c r="AK3371" t="s">
        <v>795</v>
      </c>
      <c r="AL3371">
        <v>-82.263136000000003</v>
      </c>
      <c r="AM3371">
        <v>100</v>
      </c>
      <c r="AN3371">
        <v>2300</v>
      </c>
      <c r="AO3371" t="s">
        <v>118</v>
      </c>
      <c r="AP3371">
        <v>90</v>
      </c>
      <c r="AQ3371">
        <v>98</v>
      </c>
      <c r="AR3371">
        <v>-512</v>
      </c>
      <c r="AZ3371">
        <v>1200</v>
      </c>
      <c r="BA3371">
        <v>1</v>
      </c>
      <c r="BB3371" t="str">
        <f t="shared" si="1561"/>
        <v xml:space="preserve">N711JA  </v>
      </c>
      <c r="BC3371">
        <v>1</v>
      </c>
      <c r="BE3371">
        <v>0</v>
      </c>
      <c r="BF3371">
        <v>0</v>
      </c>
      <c r="BG3371">
        <v>0</v>
      </c>
      <c r="BH3371">
        <v>2325</v>
      </c>
      <c r="BI3371">
        <v>1</v>
      </c>
      <c r="BJ3371">
        <v>1</v>
      </c>
      <c r="BK3371">
        <v>0</v>
      </c>
      <c r="BL3371">
        <v>0</v>
      </c>
      <c r="BO3371">
        <v>0</v>
      </c>
      <c r="BP3371">
        <v>0</v>
      </c>
      <c r="BW3371" t="str">
        <f t="shared" si="1569"/>
        <v>14:47:18.616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6</v>
      </c>
      <c r="CP3371" t="s">
        <v>119</v>
      </c>
      <c r="CQ3371">
        <v>343</v>
      </c>
      <c r="CR3371">
        <v>1</v>
      </c>
      <c r="CW3371">
        <v>10903165</v>
      </c>
      <c r="CY3371">
        <v>1</v>
      </c>
      <c r="CZ3371">
        <v>0</v>
      </c>
      <c r="DA3371">
        <v>1</v>
      </c>
      <c r="DB3371">
        <v>0</v>
      </c>
      <c r="DC3371">
        <v>0</v>
      </c>
      <c r="DD3371">
        <v>1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 t="shared" si="1566"/>
        <v>05/12/2020 14:47:00.775</v>
      </c>
      <c r="C3372" t="str">
        <f t="shared" si="1560"/>
        <v>FFDFD3C0</v>
      </c>
      <c r="D3372" t="s">
        <v>131</v>
      </c>
      <c r="E3372">
        <v>18</v>
      </c>
      <c r="F3372">
        <v>2018</v>
      </c>
      <c r="G3372" t="s">
        <v>161</v>
      </c>
      <c r="J3372" t="s">
        <v>133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567"/>
        <v>14:47:18.609</v>
      </c>
      <c r="T3372" t="str">
        <f t="shared" si="1568"/>
        <v>14:47:18.509</v>
      </c>
      <c r="U3372" t="str">
        <f t="shared" si="1554"/>
        <v>A9808D</v>
      </c>
      <c r="V3372">
        <v>0</v>
      </c>
      <c r="W3372">
        <v>0</v>
      </c>
      <c r="X3372">
        <v>1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0</v>
      </c>
      <c r="AI3372" t="s">
        <v>242</v>
      </c>
      <c r="AJ3372">
        <v>28.249841</v>
      </c>
      <c r="AK3372" t="s">
        <v>795</v>
      </c>
      <c r="AL3372">
        <v>-82.263136000000003</v>
      </c>
      <c r="AM3372">
        <v>100</v>
      </c>
      <c r="AN3372">
        <v>2300</v>
      </c>
      <c r="AO3372" t="s">
        <v>118</v>
      </c>
      <c r="AP3372">
        <v>90</v>
      </c>
      <c r="AQ3372">
        <v>98</v>
      </c>
      <c r="AR3372">
        <v>-512</v>
      </c>
      <c r="AZ3372">
        <v>1200</v>
      </c>
      <c r="BA3372">
        <v>1</v>
      </c>
      <c r="BB3372" t="str">
        <f t="shared" si="1561"/>
        <v xml:space="preserve">N711JA  </v>
      </c>
      <c r="BC3372">
        <v>1</v>
      </c>
      <c r="BE3372">
        <v>0</v>
      </c>
      <c r="BF3372">
        <v>0</v>
      </c>
      <c r="BG3372">
        <v>0</v>
      </c>
      <c r="BH3372">
        <v>2325</v>
      </c>
      <c r="BI3372">
        <v>1</v>
      </c>
      <c r="BJ3372">
        <v>1</v>
      </c>
      <c r="BK3372">
        <v>0</v>
      </c>
      <c r="BL3372">
        <v>0</v>
      </c>
      <c r="BO3372">
        <v>0</v>
      </c>
      <c r="BP3372">
        <v>0</v>
      </c>
      <c r="BW3372" t="str">
        <f t="shared" si="1569"/>
        <v>14:47:18.616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6</v>
      </c>
      <c r="CP3372" t="s">
        <v>119</v>
      </c>
      <c r="CQ3372">
        <v>343</v>
      </c>
      <c r="CR3372">
        <v>1</v>
      </c>
      <c r="CW3372">
        <v>10903165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1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 t="shared" si="1566"/>
        <v>05/12/2020 14:47:00.775</v>
      </c>
      <c r="C3373" t="str">
        <f t="shared" si="1560"/>
        <v>FFDFD3C0</v>
      </c>
      <c r="D3373" t="s">
        <v>126</v>
      </c>
      <c r="E3373">
        <v>6</v>
      </c>
      <c r="F3373">
        <v>1006</v>
      </c>
      <c r="G3373" t="s">
        <v>114</v>
      </c>
      <c r="J3373" t="s">
        <v>128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567"/>
        <v>14:47:18.609</v>
      </c>
      <c r="T3373" t="str">
        <f t="shared" si="1568"/>
        <v>14:47:18.509</v>
      </c>
      <c r="U3373" t="str">
        <f t="shared" si="1554"/>
        <v>A9808D</v>
      </c>
      <c r="V3373">
        <v>0</v>
      </c>
      <c r="W3373">
        <v>0</v>
      </c>
      <c r="X3373">
        <v>1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0</v>
      </c>
      <c r="AI3373" t="s">
        <v>242</v>
      </c>
      <c r="AJ3373">
        <v>28.249841</v>
      </c>
      <c r="AK3373" t="s">
        <v>795</v>
      </c>
      <c r="AL3373">
        <v>-82.263136000000003</v>
      </c>
      <c r="AM3373">
        <v>100</v>
      </c>
      <c r="AN3373">
        <v>2300</v>
      </c>
      <c r="AO3373" t="s">
        <v>118</v>
      </c>
      <c r="AP3373">
        <v>90</v>
      </c>
      <c r="AQ3373">
        <v>98</v>
      </c>
      <c r="AR3373">
        <v>-512</v>
      </c>
      <c r="AZ3373">
        <v>1200</v>
      </c>
      <c r="BA3373">
        <v>1</v>
      </c>
      <c r="BB3373" t="str">
        <f t="shared" si="1561"/>
        <v xml:space="preserve">N711JA  </v>
      </c>
      <c r="BC3373">
        <v>1</v>
      </c>
      <c r="BE3373">
        <v>0</v>
      </c>
      <c r="BF3373">
        <v>0</v>
      </c>
      <c r="BG3373">
        <v>0</v>
      </c>
      <c r="BH3373">
        <v>2325</v>
      </c>
      <c r="BI3373">
        <v>1</v>
      </c>
      <c r="BJ3373">
        <v>1</v>
      </c>
      <c r="BK3373">
        <v>0</v>
      </c>
      <c r="BL3373">
        <v>0</v>
      </c>
      <c r="BO3373">
        <v>0</v>
      </c>
      <c r="BP3373">
        <v>0</v>
      </c>
      <c r="BW3373" t="str">
        <f t="shared" si="1569"/>
        <v>14:47:18.616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6</v>
      </c>
      <c r="CP3373" t="s">
        <v>119</v>
      </c>
      <c r="CQ3373">
        <v>343</v>
      </c>
      <c r="CR3373">
        <v>1</v>
      </c>
      <c r="CW3373">
        <v>10903165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1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 t="shared" si="1566"/>
        <v>05/12/2020 14:47:00.775</v>
      </c>
      <c r="C3374" t="str">
        <f t="shared" si="1560"/>
        <v>FFDFD3C0</v>
      </c>
      <c r="D3374" t="s">
        <v>113</v>
      </c>
      <c r="E3374">
        <v>3</v>
      </c>
      <c r="H3374">
        <v>164</v>
      </c>
      <c r="I3374" t="s">
        <v>114</v>
      </c>
      <c r="J3374" t="s">
        <v>115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567"/>
        <v>14:47:18.609</v>
      </c>
      <c r="T3374" t="str">
        <f t="shared" si="1568"/>
        <v>14:47:18.509</v>
      </c>
      <c r="U3374" t="str">
        <f t="shared" si="1554"/>
        <v>A9808D</v>
      </c>
      <c r="V3374">
        <v>0</v>
      </c>
      <c r="W3374">
        <v>0</v>
      </c>
      <c r="X3374">
        <v>1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0</v>
      </c>
      <c r="AI3374" t="s">
        <v>242</v>
      </c>
      <c r="AJ3374">
        <v>28.249841</v>
      </c>
      <c r="AK3374" t="s">
        <v>795</v>
      </c>
      <c r="AL3374">
        <v>-82.263136000000003</v>
      </c>
      <c r="AM3374">
        <v>100</v>
      </c>
      <c r="AN3374">
        <v>2300</v>
      </c>
      <c r="AO3374" t="s">
        <v>118</v>
      </c>
      <c r="AP3374">
        <v>90</v>
      </c>
      <c r="AQ3374">
        <v>98</v>
      </c>
      <c r="AR3374">
        <v>-512</v>
      </c>
      <c r="AZ3374">
        <v>1200</v>
      </c>
      <c r="BA3374">
        <v>1</v>
      </c>
      <c r="BB3374" t="str">
        <f t="shared" si="1561"/>
        <v xml:space="preserve">N711JA  </v>
      </c>
      <c r="BC3374">
        <v>1</v>
      </c>
      <c r="BE3374">
        <v>0</v>
      </c>
      <c r="BF3374">
        <v>0</v>
      </c>
      <c r="BG3374">
        <v>0</v>
      </c>
      <c r="BH3374">
        <v>2325</v>
      </c>
      <c r="BI3374">
        <v>1</v>
      </c>
      <c r="BJ3374">
        <v>1</v>
      </c>
      <c r="BK3374">
        <v>0</v>
      </c>
      <c r="BL3374">
        <v>0</v>
      </c>
      <c r="BO3374">
        <v>0</v>
      </c>
      <c r="BP3374">
        <v>0</v>
      </c>
      <c r="BW3374" t="str">
        <f t="shared" si="1569"/>
        <v>14:47:18.616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6</v>
      </c>
      <c r="CP3374" t="s">
        <v>119</v>
      </c>
      <c r="CQ3374">
        <v>343</v>
      </c>
      <c r="CR3374">
        <v>1</v>
      </c>
      <c r="CW3374">
        <v>10903165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1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 t="shared" ref="A3375:A3383" si="1570">"05/12/2020 14:47:01.733"</f>
        <v>05/12/2020 14:47:01.733</v>
      </c>
      <c r="C3375" t="str">
        <f t="shared" si="1560"/>
        <v>FFDFD3C0</v>
      </c>
      <c r="D3375" t="s">
        <v>126</v>
      </c>
      <c r="E3375">
        <v>7</v>
      </c>
      <c r="F3375">
        <v>1007</v>
      </c>
      <c r="G3375" t="s">
        <v>127</v>
      </c>
      <c r="J3375" t="s">
        <v>128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ref="S3375:T3380" si="1571">"14:47:19.570"</f>
        <v>14:47:19.570</v>
      </c>
      <c r="T3375" t="str">
        <f t="shared" si="1571"/>
        <v>14:47:19.570</v>
      </c>
      <c r="U3375" t="str">
        <f t="shared" si="1554"/>
        <v>A9808D</v>
      </c>
      <c r="V3375">
        <v>0</v>
      </c>
      <c r="W3375">
        <v>0</v>
      </c>
      <c r="X3375">
        <v>1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0</v>
      </c>
      <c r="AI3375" t="s">
        <v>796</v>
      </c>
      <c r="AJ3375">
        <v>28.25027</v>
      </c>
      <c r="AK3375" t="s">
        <v>797</v>
      </c>
      <c r="AL3375">
        <v>-82.262707000000006</v>
      </c>
      <c r="AM3375">
        <v>100</v>
      </c>
      <c r="AN3375">
        <v>2300</v>
      </c>
      <c r="AO3375" t="s">
        <v>118</v>
      </c>
      <c r="AP3375">
        <v>84</v>
      </c>
      <c r="AQ3375">
        <v>105</v>
      </c>
      <c r="AR3375">
        <v>-576</v>
      </c>
      <c r="AZ3375">
        <v>1200</v>
      </c>
      <c r="BA3375">
        <v>1</v>
      </c>
      <c r="BB3375" t="str">
        <f t="shared" si="1561"/>
        <v xml:space="preserve">N711JA  </v>
      </c>
      <c r="BC3375">
        <v>1</v>
      </c>
      <c r="BE3375">
        <v>0</v>
      </c>
      <c r="BF3375">
        <v>0</v>
      </c>
      <c r="BG3375">
        <v>0</v>
      </c>
      <c r="BH3375">
        <v>2325</v>
      </c>
      <c r="BI3375">
        <v>1</v>
      </c>
      <c r="BJ3375">
        <v>1</v>
      </c>
      <c r="BK3375">
        <v>0</v>
      </c>
      <c r="BL3375">
        <v>0</v>
      </c>
      <c r="BO3375">
        <v>0</v>
      </c>
      <c r="BP3375">
        <v>0</v>
      </c>
      <c r="BW3375" t="str">
        <f t="shared" ref="BW3375:BW3383" si="1572">"14:47:19.574"</f>
        <v>14:47:19.574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358</v>
      </c>
      <c r="CR3375">
        <v>0</v>
      </c>
      <c r="CW3375">
        <v>4976707</v>
      </c>
      <c r="CY3375">
        <v>1</v>
      </c>
      <c r="CZ3375">
        <v>0</v>
      </c>
      <c r="DA3375">
        <v>0</v>
      </c>
      <c r="DB3375">
        <v>0</v>
      </c>
      <c r="DC3375">
        <v>0</v>
      </c>
      <c r="DD3375">
        <v>1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 t="shared" si="1570"/>
        <v>05/12/2020 14:47:01.733</v>
      </c>
      <c r="C3376" t="str">
        <f t="shared" si="1560"/>
        <v>FFDFD3C0</v>
      </c>
      <c r="D3376" t="s">
        <v>138</v>
      </c>
      <c r="E3376">
        <v>2</v>
      </c>
      <c r="H3376">
        <v>8</v>
      </c>
      <c r="I3376" t="s">
        <v>139</v>
      </c>
      <c r="J3376" t="s">
        <v>136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571"/>
        <v>14:47:19.570</v>
      </c>
      <c r="T3376" t="str">
        <f t="shared" si="1571"/>
        <v>14:47:19.570</v>
      </c>
      <c r="U3376" t="str">
        <f t="shared" si="1554"/>
        <v>A9808D</v>
      </c>
      <c r="V3376">
        <v>0</v>
      </c>
      <c r="W3376">
        <v>0</v>
      </c>
      <c r="X3376">
        <v>1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0</v>
      </c>
      <c r="AI3376" t="s">
        <v>796</v>
      </c>
      <c r="AJ3376">
        <v>28.25027</v>
      </c>
      <c r="AK3376" t="s">
        <v>797</v>
      </c>
      <c r="AL3376">
        <v>-82.262707000000006</v>
      </c>
      <c r="AM3376">
        <v>100</v>
      </c>
      <c r="AN3376">
        <v>2300</v>
      </c>
      <c r="AO3376" t="s">
        <v>118</v>
      </c>
      <c r="AP3376">
        <v>84</v>
      </c>
      <c r="AQ3376">
        <v>105</v>
      </c>
      <c r="AR3376">
        <v>-576</v>
      </c>
      <c r="AZ3376">
        <v>1200</v>
      </c>
      <c r="BA3376">
        <v>1</v>
      </c>
      <c r="BB3376" t="str">
        <f t="shared" si="1561"/>
        <v xml:space="preserve">N711JA  </v>
      </c>
      <c r="BC3376">
        <v>1</v>
      </c>
      <c r="BE3376">
        <v>0</v>
      </c>
      <c r="BF3376">
        <v>0</v>
      </c>
      <c r="BG3376">
        <v>0</v>
      </c>
      <c r="BH3376">
        <v>2325</v>
      </c>
      <c r="BI3376">
        <v>1</v>
      </c>
      <c r="BJ3376">
        <v>1</v>
      </c>
      <c r="BK3376">
        <v>0</v>
      </c>
      <c r="BL3376">
        <v>0</v>
      </c>
      <c r="BO3376">
        <v>0</v>
      </c>
      <c r="BP3376">
        <v>0</v>
      </c>
      <c r="BW3376" t="str">
        <f t="shared" si="1572"/>
        <v>14:47:19.574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3</v>
      </c>
      <c r="CP3376" t="s">
        <v>675</v>
      </c>
      <c r="CQ3376">
        <v>363</v>
      </c>
      <c r="CR3376">
        <v>0</v>
      </c>
      <c r="CW3376">
        <v>6502110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1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 t="shared" si="1570"/>
        <v>05/12/2020 14:47:01.733</v>
      </c>
      <c r="C3377" t="str">
        <f t="shared" si="1560"/>
        <v>FFDFD3C0</v>
      </c>
      <c r="D3377" t="s">
        <v>138</v>
      </c>
      <c r="E3377">
        <v>3</v>
      </c>
      <c r="H3377">
        <v>9</v>
      </c>
      <c r="I3377" t="s">
        <v>140</v>
      </c>
      <c r="J3377" t="s">
        <v>136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571"/>
        <v>14:47:19.570</v>
      </c>
      <c r="T3377" t="str">
        <f t="shared" si="1571"/>
        <v>14:47:19.570</v>
      </c>
      <c r="U3377" t="str">
        <f t="shared" si="1554"/>
        <v>A9808D</v>
      </c>
      <c r="V3377">
        <v>0</v>
      </c>
      <c r="W3377">
        <v>0</v>
      </c>
      <c r="X3377">
        <v>1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0</v>
      </c>
      <c r="AI3377" t="s">
        <v>796</v>
      </c>
      <c r="AJ3377">
        <v>28.25027</v>
      </c>
      <c r="AK3377" t="s">
        <v>797</v>
      </c>
      <c r="AL3377">
        <v>-82.262707000000006</v>
      </c>
      <c r="AM3377">
        <v>100</v>
      </c>
      <c r="AN3377">
        <v>2300</v>
      </c>
      <c r="AO3377" t="s">
        <v>118</v>
      </c>
      <c r="AP3377">
        <v>84</v>
      </c>
      <c r="AQ3377">
        <v>105</v>
      </c>
      <c r="AR3377">
        <v>-576</v>
      </c>
      <c r="AZ3377">
        <v>1200</v>
      </c>
      <c r="BA3377">
        <v>1</v>
      </c>
      <c r="BB3377" t="str">
        <f t="shared" si="1561"/>
        <v xml:space="preserve">N711JA  </v>
      </c>
      <c r="BC3377">
        <v>1</v>
      </c>
      <c r="BE3377">
        <v>0</v>
      </c>
      <c r="BF3377">
        <v>0</v>
      </c>
      <c r="BG3377">
        <v>0</v>
      </c>
      <c r="BH3377">
        <v>2325</v>
      </c>
      <c r="BI3377">
        <v>1</v>
      </c>
      <c r="BJ3377">
        <v>1</v>
      </c>
      <c r="BK3377">
        <v>0</v>
      </c>
      <c r="BL3377">
        <v>0</v>
      </c>
      <c r="BO3377">
        <v>0</v>
      </c>
      <c r="BP3377">
        <v>0</v>
      </c>
      <c r="BW3377" t="str">
        <f t="shared" si="1572"/>
        <v>14:47:19.574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6</v>
      </c>
      <c r="CP3377" t="s">
        <v>119</v>
      </c>
      <c r="CQ3377">
        <v>358</v>
      </c>
      <c r="CR3377">
        <v>0</v>
      </c>
      <c r="CW3377">
        <v>4976707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1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 t="shared" si="1570"/>
        <v>05/12/2020 14:47:01.733</v>
      </c>
      <c r="C3378" t="str">
        <f t="shared" si="1560"/>
        <v>FFDFD3C0</v>
      </c>
      <c r="D3378" t="s">
        <v>131</v>
      </c>
      <c r="E3378">
        <v>10</v>
      </c>
      <c r="F3378">
        <v>2010</v>
      </c>
      <c r="G3378" t="s">
        <v>132</v>
      </c>
      <c r="J3378" t="s">
        <v>133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si="1571"/>
        <v>14:47:19.570</v>
      </c>
      <c r="T3378" t="str">
        <f t="shared" si="1571"/>
        <v>14:47:19.570</v>
      </c>
      <c r="U3378" t="str">
        <f t="shared" si="1554"/>
        <v>A9808D</v>
      </c>
      <c r="V3378">
        <v>0</v>
      </c>
      <c r="W3378">
        <v>0</v>
      </c>
      <c r="X3378">
        <v>1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0</v>
      </c>
      <c r="AI3378" t="s">
        <v>796</v>
      </c>
      <c r="AJ3378">
        <v>28.25027</v>
      </c>
      <c r="AK3378" t="s">
        <v>797</v>
      </c>
      <c r="AL3378">
        <v>-82.262707000000006</v>
      </c>
      <c r="AM3378">
        <v>100</v>
      </c>
      <c r="AN3378">
        <v>2300</v>
      </c>
      <c r="AO3378" t="s">
        <v>118</v>
      </c>
      <c r="AP3378">
        <v>84</v>
      </c>
      <c r="AQ3378">
        <v>105</v>
      </c>
      <c r="AR3378">
        <v>-576</v>
      </c>
      <c r="AZ3378">
        <v>1200</v>
      </c>
      <c r="BA3378">
        <v>1</v>
      </c>
      <c r="BB3378" t="str">
        <f t="shared" si="1561"/>
        <v xml:space="preserve">N711JA  </v>
      </c>
      <c r="BC3378">
        <v>1</v>
      </c>
      <c r="BE3378">
        <v>0</v>
      </c>
      <c r="BF3378">
        <v>0</v>
      </c>
      <c r="BG3378">
        <v>0</v>
      </c>
      <c r="BH3378">
        <v>2325</v>
      </c>
      <c r="BI3378">
        <v>1</v>
      </c>
      <c r="BJ3378">
        <v>1</v>
      </c>
      <c r="BK3378">
        <v>0</v>
      </c>
      <c r="BL3378">
        <v>0</v>
      </c>
      <c r="BO3378">
        <v>0</v>
      </c>
      <c r="BP3378">
        <v>0</v>
      </c>
      <c r="BW3378" t="str">
        <f t="shared" si="1572"/>
        <v>14:47:19.574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6</v>
      </c>
      <c r="CP3378" t="s">
        <v>119</v>
      </c>
      <c r="CQ3378">
        <v>358</v>
      </c>
      <c r="CR3378">
        <v>0</v>
      </c>
      <c r="CW3378">
        <v>4976707</v>
      </c>
      <c r="CY3378">
        <v>1</v>
      </c>
      <c r="CZ3378">
        <v>0</v>
      </c>
      <c r="DA3378">
        <v>1</v>
      </c>
      <c r="DB3378">
        <v>0</v>
      </c>
      <c r="DC3378">
        <v>0</v>
      </c>
      <c r="DD3378">
        <v>1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 t="shared" si="1570"/>
        <v>05/12/2020 14:47:01.733</v>
      </c>
      <c r="C3379" t="str">
        <f t="shared" si="1560"/>
        <v>FFDFD3C0</v>
      </c>
      <c r="D3379" t="s">
        <v>131</v>
      </c>
      <c r="E3379">
        <v>12</v>
      </c>
      <c r="F3379">
        <v>2012</v>
      </c>
      <c r="G3379" t="s">
        <v>137</v>
      </c>
      <c r="J3379" t="s">
        <v>133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571"/>
        <v>14:47:19.570</v>
      </c>
      <c r="T3379" t="str">
        <f t="shared" si="1571"/>
        <v>14:47:19.570</v>
      </c>
      <c r="U3379" t="str">
        <f t="shared" si="1554"/>
        <v>A9808D</v>
      </c>
      <c r="V3379">
        <v>0</v>
      </c>
      <c r="W3379">
        <v>0</v>
      </c>
      <c r="X3379">
        <v>1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0</v>
      </c>
      <c r="AI3379" t="s">
        <v>796</v>
      </c>
      <c r="AJ3379">
        <v>28.25027</v>
      </c>
      <c r="AK3379" t="s">
        <v>797</v>
      </c>
      <c r="AL3379">
        <v>-82.262707000000006</v>
      </c>
      <c r="AM3379">
        <v>100</v>
      </c>
      <c r="AN3379">
        <v>2300</v>
      </c>
      <c r="AO3379" t="s">
        <v>118</v>
      </c>
      <c r="AP3379">
        <v>84</v>
      </c>
      <c r="AQ3379">
        <v>105</v>
      </c>
      <c r="AR3379">
        <v>-576</v>
      </c>
      <c r="AZ3379">
        <v>1200</v>
      </c>
      <c r="BA3379">
        <v>1</v>
      </c>
      <c r="BB3379" t="str">
        <f t="shared" si="1561"/>
        <v xml:space="preserve">N711JA  </v>
      </c>
      <c r="BC3379">
        <v>1</v>
      </c>
      <c r="BE3379">
        <v>0</v>
      </c>
      <c r="BF3379">
        <v>0</v>
      </c>
      <c r="BG3379">
        <v>0</v>
      </c>
      <c r="BH3379">
        <v>2325</v>
      </c>
      <c r="BI3379">
        <v>1</v>
      </c>
      <c r="BJ3379">
        <v>1</v>
      </c>
      <c r="BK3379">
        <v>0</v>
      </c>
      <c r="BL3379">
        <v>0</v>
      </c>
      <c r="BO3379">
        <v>0</v>
      </c>
      <c r="BP3379">
        <v>0</v>
      </c>
      <c r="BW3379" t="str">
        <f t="shared" si="1572"/>
        <v>14:47:19.574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3</v>
      </c>
      <c r="CP3379" t="s">
        <v>675</v>
      </c>
      <c r="CQ3379">
        <v>363</v>
      </c>
      <c r="CR3379">
        <v>0</v>
      </c>
      <c r="CW3379">
        <v>6502110</v>
      </c>
      <c r="CY3379">
        <v>1</v>
      </c>
      <c r="CZ3379">
        <v>0</v>
      </c>
      <c r="DA3379">
        <v>1</v>
      </c>
      <c r="DB3379">
        <v>0</v>
      </c>
      <c r="DC3379">
        <v>0</v>
      </c>
      <c r="DD3379">
        <v>1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 t="shared" si="1570"/>
        <v>05/12/2020 14:47:01.733</v>
      </c>
      <c r="C3380" t="str">
        <f t="shared" si="1560"/>
        <v>FFDFD3C0</v>
      </c>
      <c r="D3380" t="s">
        <v>134</v>
      </c>
      <c r="E3380">
        <v>12</v>
      </c>
      <c r="H3380">
        <v>64</v>
      </c>
      <c r="I3380" t="s">
        <v>135</v>
      </c>
      <c r="J3380" t="s">
        <v>136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571"/>
        <v>14:47:19.570</v>
      </c>
      <c r="T3380" t="str">
        <f t="shared" si="1571"/>
        <v>14:47:19.570</v>
      </c>
      <c r="U3380" t="str">
        <f t="shared" si="1554"/>
        <v>A9808D</v>
      </c>
      <c r="V3380">
        <v>0</v>
      </c>
      <c r="W3380">
        <v>0</v>
      </c>
      <c r="X3380">
        <v>1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0</v>
      </c>
      <c r="AI3380" t="s">
        <v>796</v>
      </c>
      <c r="AJ3380">
        <v>28.25027</v>
      </c>
      <c r="AK3380" t="s">
        <v>797</v>
      </c>
      <c r="AL3380">
        <v>-82.262707000000006</v>
      </c>
      <c r="AM3380">
        <v>100</v>
      </c>
      <c r="AN3380">
        <v>2300</v>
      </c>
      <c r="AO3380" t="s">
        <v>118</v>
      </c>
      <c r="AP3380">
        <v>84</v>
      </c>
      <c r="AQ3380">
        <v>105</v>
      </c>
      <c r="AR3380">
        <v>-576</v>
      </c>
      <c r="AZ3380">
        <v>1200</v>
      </c>
      <c r="BA3380">
        <v>1</v>
      </c>
      <c r="BB3380" t="str">
        <f t="shared" si="1561"/>
        <v xml:space="preserve">N711JA  </v>
      </c>
      <c r="BC3380">
        <v>1</v>
      </c>
      <c r="BE3380">
        <v>0</v>
      </c>
      <c r="BF3380">
        <v>0</v>
      </c>
      <c r="BG3380">
        <v>0</v>
      </c>
      <c r="BH3380">
        <v>2325</v>
      </c>
      <c r="BI3380">
        <v>1</v>
      </c>
      <c r="BJ3380">
        <v>1</v>
      </c>
      <c r="BK3380">
        <v>0</v>
      </c>
      <c r="BL3380">
        <v>0</v>
      </c>
      <c r="BO3380">
        <v>0</v>
      </c>
      <c r="BP3380">
        <v>0</v>
      </c>
      <c r="BW3380" t="str">
        <f t="shared" si="1572"/>
        <v>14:47:19.574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358</v>
      </c>
      <c r="CR3380">
        <v>0</v>
      </c>
      <c r="CW3380">
        <v>4976707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1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 t="shared" si="1570"/>
        <v>05/12/2020 14:47:01.733</v>
      </c>
      <c r="C3381" t="str">
        <f t="shared" si="1560"/>
        <v>FFDFD3C0</v>
      </c>
      <c r="D3381" t="s">
        <v>131</v>
      </c>
      <c r="E3381">
        <v>18</v>
      </c>
      <c r="F3381">
        <v>2018</v>
      </c>
      <c r="G3381" t="s">
        <v>161</v>
      </c>
      <c r="J3381" t="s">
        <v>133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"14:47:19.570"</f>
        <v>14:47:19.570</v>
      </c>
      <c r="T3381" t="str">
        <f>"14:47:19.070"</f>
        <v>14:47:19.070</v>
      </c>
      <c r="U3381" t="str">
        <f t="shared" si="1554"/>
        <v>A9808D</v>
      </c>
      <c r="V3381">
        <v>0</v>
      </c>
      <c r="W3381">
        <v>0</v>
      </c>
      <c r="X3381">
        <v>1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0</v>
      </c>
      <c r="AI3381" t="s">
        <v>796</v>
      </c>
      <c r="AJ3381">
        <v>28.25027</v>
      </c>
      <c r="AK3381" t="s">
        <v>797</v>
      </c>
      <c r="AL3381">
        <v>-82.262707000000006</v>
      </c>
      <c r="AM3381">
        <v>100</v>
      </c>
      <c r="AN3381">
        <v>2300</v>
      </c>
      <c r="AO3381" t="s">
        <v>118</v>
      </c>
      <c r="AP3381">
        <v>88</v>
      </c>
      <c r="AQ3381">
        <v>101</v>
      </c>
      <c r="AR3381">
        <v>-576</v>
      </c>
      <c r="AZ3381">
        <v>1200</v>
      </c>
      <c r="BA3381">
        <v>1</v>
      </c>
      <c r="BB3381" t="str">
        <f t="shared" si="1561"/>
        <v xml:space="preserve">N711JA  </v>
      </c>
      <c r="BC3381">
        <v>1</v>
      </c>
      <c r="BE3381">
        <v>0</v>
      </c>
      <c r="BF3381">
        <v>0</v>
      </c>
      <c r="BG3381">
        <v>0</v>
      </c>
      <c r="BH3381">
        <v>2325</v>
      </c>
      <c r="BI3381">
        <v>1</v>
      </c>
      <c r="BJ3381">
        <v>1</v>
      </c>
      <c r="BK3381">
        <v>0</v>
      </c>
      <c r="BL3381">
        <v>0</v>
      </c>
      <c r="BO3381">
        <v>0</v>
      </c>
      <c r="BP3381">
        <v>0</v>
      </c>
      <c r="BW3381" t="str">
        <f t="shared" si="1572"/>
        <v>14:47:19.574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1</v>
      </c>
      <c r="CP3381" t="s">
        <v>119</v>
      </c>
      <c r="CQ3381">
        <v>62</v>
      </c>
      <c r="CR3381">
        <v>1</v>
      </c>
      <c r="CW3381">
        <v>12914223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1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 t="shared" si="1570"/>
        <v>05/12/2020 14:47:01.733</v>
      </c>
      <c r="C3382" t="str">
        <f t="shared" si="1560"/>
        <v>FFDFD3C0</v>
      </c>
      <c r="D3382" t="s">
        <v>126</v>
      </c>
      <c r="E3382">
        <v>6</v>
      </c>
      <c r="F3382">
        <v>1006</v>
      </c>
      <c r="G3382" t="s">
        <v>114</v>
      </c>
      <c r="J3382" t="s">
        <v>128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"14:47:19.570"</f>
        <v>14:47:19.570</v>
      </c>
      <c r="T3382" t="str">
        <f>"14:47:19.570"</f>
        <v>14:47:19.570</v>
      </c>
      <c r="U3382" t="str">
        <f t="shared" si="1554"/>
        <v>A9808D</v>
      </c>
      <c r="V3382">
        <v>0</v>
      </c>
      <c r="W3382">
        <v>0</v>
      </c>
      <c r="X3382">
        <v>1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0</v>
      </c>
      <c r="AI3382" t="s">
        <v>796</v>
      </c>
      <c r="AJ3382">
        <v>28.25027</v>
      </c>
      <c r="AK3382" t="s">
        <v>797</v>
      </c>
      <c r="AL3382">
        <v>-82.262707000000006</v>
      </c>
      <c r="AM3382">
        <v>100</v>
      </c>
      <c r="AN3382">
        <v>2300</v>
      </c>
      <c r="AO3382" t="s">
        <v>118</v>
      </c>
      <c r="AP3382">
        <v>84</v>
      </c>
      <c r="AQ3382">
        <v>105</v>
      </c>
      <c r="AR3382">
        <v>-576</v>
      </c>
      <c r="AZ3382">
        <v>1200</v>
      </c>
      <c r="BA3382">
        <v>1</v>
      </c>
      <c r="BB3382" t="str">
        <f t="shared" si="1561"/>
        <v xml:space="preserve">N711JA  </v>
      </c>
      <c r="BC3382">
        <v>1</v>
      </c>
      <c r="BE3382">
        <v>0</v>
      </c>
      <c r="BF3382">
        <v>0</v>
      </c>
      <c r="BG3382">
        <v>0</v>
      </c>
      <c r="BH3382">
        <v>2325</v>
      </c>
      <c r="BI3382">
        <v>1</v>
      </c>
      <c r="BJ3382">
        <v>1</v>
      </c>
      <c r="BK3382">
        <v>0</v>
      </c>
      <c r="BL3382">
        <v>0</v>
      </c>
      <c r="BO3382">
        <v>0</v>
      </c>
      <c r="BP3382">
        <v>0</v>
      </c>
      <c r="BW3382" t="str">
        <f t="shared" si="1572"/>
        <v>14:47:19.574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6</v>
      </c>
      <c r="CP3382" t="s">
        <v>119</v>
      </c>
      <c r="CQ3382">
        <v>358</v>
      </c>
      <c r="CR3382">
        <v>0</v>
      </c>
      <c r="CW3382">
        <v>4976707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1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 t="shared" si="1570"/>
        <v>05/12/2020 14:47:01.733</v>
      </c>
      <c r="C3383" t="str">
        <f t="shared" si="1560"/>
        <v>FFDFD3C0</v>
      </c>
      <c r="D3383" t="s">
        <v>113</v>
      </c>
      <c r="E3383">
        <v>3</v>
      </c>
      <c r="H3383">
        <v>164</v>
      </c>
      <c r="I3383" t="s">
        <v>114</v>
      </c>
      <c r="J3383" t="s">
        <v>115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"14:47:19.570"</f>
        <v>14:47:19.570</v>
      </c>
      <c r="T3383" t="str">
        <f>"14:47:19.070"</f>
        <v>14:47:19.070</v>
      </c>
      <c r="U3383" t="str">
        <f t="shared" si="1554"/>
        <v>A9808D</v>
      </c>
      <c r="V3383">
        <v>0</v>
      </c>
      <c r="W3383">
        <v>0</v>
      </c>
      <c r="X3383">
        <v>1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0</v>
      </c>
      <c r="AI3383" t="s">
        <v>796</v>
      </c>
      <c r="AJ3383">
        <v>28.25027</v>
      </c>
      <c r="AK3383" t="s">
        <v>797</v>
      </c>
      <c r="AL3383">
        <v>-82.262707000000006</v>
      </c>
      <c r="AM3383">
        <v>100</v>
      </c>
      <c r="AN3383">
        <v>2300</v>
      </c>
      <c r="AO3383" t="s">
        <v>118</v>
      </c>
      <c r="AP3383">
        <v>88</v>
      </c>
      <c r="AQ3383">
        <v>101</v>
      </c>
      <c r="AR3383">
        <v>-576</v>
      </c>
      <c r="AZ3383">
        <v>1200</v>
      </c>
      <c r="BA3383">
        <v>1</v>
      </c>
      <c r="BB3383" t="str">
        <f t="shared" si="1561"/>
        <v xml:space="preserve">N711JA  </v>
      </c>
      <c r="BC3383">
        <v>1</v>
      </c>
      <c r="BE3383">
        <v>0</v>
      </c>
      <c r="BF3383">
        <v>0</v>
      </c>
      <c r="BG3383">
        <v>0</v>
      </c>
      <c r="BH3383">
        <v>2325</v>
      </c>
      <c r="BI3383">
        <v>1</v>
      </c>
      <c r="BJ3383">
        <v>1</v>
      </c>
      <c r="BK3383">
        <v>0</v>
      </c>
      <c r="BL3383">
        <v>0</v>
      </c>
      <c r="BO3383">
        <v>0</v>
      </c>
      <c r="BP3383">
        <v>0</v>
      </c>
      <c r="BW3383" t="str">
        <f t="shared" si="1572"/>
        <v>14:47:19.574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5</v>
      </c>
      <c r="CP3383" t="s">
        <v>119</v>
      </c>
      <c r="CQ3383">
        <v>9</v>
      </c>
      <c r="CR3383">
        <v>0</v>
      </c>
      <c r="CW3383">
        <v>12821939</v>
      </c>
      <c r="CY3383">
        <v>1</v>
      </c>
      <c r="CZ3383">
        <v>0</v>
      </c>
      <c r="DA3383">
        <v>1</v>
      </c>
      <c r="DB3383">
        <v>0</v>
      </c>
      <c r="DC3383">
        <v>0</v>
      </c>
      <c r="DD3383">
        <v>1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 t="shared" ref="A3384:A3392" si="1573">"05/12/2020 14:47:02.741"</f>
        <v>05/12/2020 14:47:02.741</v>
      </c>
      <c r="C3384" t="str">
        <f t="shared" si="1560"/>
        <v>FFDFD3C0</v>
      </c>
      <c r="D3384" t="s">
        <v>126</v>
      </c>
      <c r="E3384">
        <v>7</v>
      </c>
      <c r="F3384">
        <v>1007</v>
      </c>
      <c r="G3384" t="s">
        <v>127</v>
      </c>
      <c r="J3384" t="s">
        <v>128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ref="S3384:S3392" si="1574">"14:47:20.547"</f>
        <v>14:47:20.547</v>
      </c>
      <c r="T3384" t="str">
        <f t="shared" ref="T3384:T3392" si="1575">"14:47:20.147"</f>
        <v>14:47:20.147</v>
      </c>
      <c r="U3384" t="str">
        <f t="shared" si="1554"/>
        <v>A9808D</v>
      </c>
      <c r="V3384">
        <v>0</v>
      </c>
      <c r="W3384">
        <v>0</v>
      </c>
      <c r="X3384">
        <v>1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0</v>
      </c>
      <c r="AI3384" t="s">
        <v>798</v>
      </c>
      <c r="AJ3384">
        <v>28.250785</v>
      </c>
      <c r="AK3384" t="s">
        <v>799</v>
      </c>
      <c r="AL3384">
        <v>-82.262342000000004</v>
      </c>
      <c r="AM3384">
        <v>100</v>
      </c>
      <c r="AN3384">
        <v>2300</v>
      </c>
      <c r="AO3384" t="s">
        <v>118</v>
      </c>
      <c r="AP3384">
        <v>80</v>
      </c>
      <c r="AQ3384">
        <v>109</v>
      </c>
      <c r="AR3384">
        <v>-640</v>
      </c>
      <c r="AZ3384">
        <v>1200</v>
      </c>
      <c r="BA3384">
        <v>1</v>
      </c>
      <c r="BB3384" t="str">
        <f t="shared" si="1561"/>
        <v xml:space="preserve">N711JA  </v>
      </c>
      <c r="BC3384">
        <v>1</v>
      </c>
      <c r="BE3384">
        <v>0</v>
      </c>
      <c r="BF3384">
        <v>0</v>
      </c>
      <c r="BG3384">
        <v>0</v>
      </c>
      <c r="BH3384">
        <v>2300</v>
      </c>
      <c r="BI3384">
        <v>1</v>
      </c>
      <c r="BJ3384">
        <v>1</v>
      </c>
      <c r="BK3384">
        <v>0</v>
      </c>
      <c r="BL3384">
        <v>0</v>
      </c>
      <c r="BO3384">
        <v>0</v>
      </c>
      <c r="BP3384">
        <v>0</v>
      </c>
      <c r="BW3384" t="str">
        <f t="shared" ref="BW3384:BW3392" si="1576">"14:47:20.554"</f>
        <v>14:47:20.554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6</v>
      </c>
      <c r="CP3384" t="s">
        <v>119</v>
      </c>
      <c r="CQ3384">
        <v>358</v>
      </c>
      <c r="CR3384">
        <v>0</v>
      </c>
      <c r="CW3384">
        <v>4977953</v>
      </c>
      <c r="CY3384">
        <v>1</v>
      </c>
      <c r="CZ3384">
        <v>0</v>
      </c>
      <c r="DA3384">
        <v>0</v>
      </c>
      <c r="DB3384">
        <v>0</v>
      </c>
      <c r="DC3384">
        <v>0</v>
      </c>
      <c r="DD3384">
        <v>1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 t="shared" si="1573"/>
        <v>05/12/2020 14:47:02.741</v>
      </c>
      <c r="C3385" t="str">
        <f t="shared" si="1560"/>
        <v>FFDFD3C0</v>
      </c>
      <c r="D3385" t="s">
        <v>113</v>
      </c>
      <c r="E3385">
        <v>3</v>
      </c>
      <c r="H3385">
        <v>164</v>
      </c>
      <c r="I3385" t="s">
        <v>114</v>
      </c>
      <c r="J3385" t="s">
        <v>115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574"/>
        <v>14:47:20.547</v>
      </c>
      <c r="T3385" t="str">
        <f t="shared" si="1575"/>
        <v>14:47:20.147</v>
      </c>
      <c r="U3385" t="str">
        <f t="shared" si="1554"/>
        <v>A9808D</v>
      </c>
      <c r="V3385">
        <v>0</v>
      </c>
      <c r="W3385">
        <v>0</v>
      </c>
      <c r="X3385">
        <v>1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0</v>
      </c>
      <c r="AI3385" t="s">
        <v>798</v>
      </c>
      <c r="AJ3385">
        <v>28.250785</v>
      </c>
      <c r="AK3385" t="s">
        <v>799</v>
      </c>
      <c r="AL3385">
        <v>-82.262342000000004</v>
      </c>
      <c r="AM3385">
        <v>100</v>
      </c>
      <c r="AN3385">
        <v>2300</v>
      </c>
      <c r="AO3385" t="s">
        <v>118</v>
      </c>
      <c r="AP3385">
        <v>80</v>
      </c>
      <c r="AQ3385">
        <v>109</v>
      </c>
      <c r="AR3385">
        <v>-640</v>
      </c>
      <c r="AZ3385">
        <v>1200</v>
      </c>
      <c r="BA3385">
        <v>1</v>
      </c>
      <c r="BB3385" t="str">
        <f t="shared" si="1561"/>
        <v xml:space="preserve">N711JA  </v>
      </c>
      <c r="BC3385">
        <v>1</v>
      </c>
      <c r="BE3385">
        <v>0</v>
      </c>
      <c r="BF3385">
        <v>0</v>
      </c>
      <c r="BG3385">
        <v>0</v>
      </c>
      <c r="BH3385">
        <v>2300</v>
      </c>
      <c r="BI3385">
        <v>1</v>
      </c>
      <c r="BJ3385">
        <v>1</v>
      </c>
      <c r="BK3385">
        <v>0</v>
      </c>
      <c r="BL3385">
        <v>0</v>
      </c>
      <c r="BO3385">
        <v>0</v>
      </c>
      <c r="BP3385">
        <v>0</v>
      </c>
      <c r="BW3385" t="str">
        <f t="shared" si="1576"/>
        <v>14:47:20.554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5</v>
      </c>
      <c r="CP3385" t="s">
        <v>119</v>
      </c>
      <c r="CQ3385">
        <v>9</v>
      </c>
      <c r="CR3385">
        <v>0</v>
      </c>
      <c r="CW3385">
        <v>12823263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1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 t="shared" si="1573"/>
        <v>05/12/2020 14:47:02.741</v>
      </c>
      <c r="C3386" t="str">
        <f t="shared" si="1560"/>
        <v>FFDFD3C0</v>
      </c>
      <c r="D3386" t="s">
        <v>131</v>
      </c>
      <c r="E3386">
        <v>10</v>
      </c>
      <c r="F3386">
        <v>2010</v>
      </c>
      <c r="G3386" t="s">
        <v>132</v>
      </c>
      <c r="J3386" t="s">
        <v>133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574"/>
        <v>14:47:20.547</v>
      </c>
      <c r="T3386" t="str">
        <f t="shared" si="1575"/>
        <v>14:47:20.147</v>
      </c>
      <c r="U3386" t="str">
        <f t="shared" si="1554"/>
        <v>A9808D</v>
      </c>
      <c r="V3386">
        <v>0</v>
      </c>
      <c r="W3386">
        <v>0</v>
      </c>
      <c r="X3386">
        <v>1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0</v>
      </c>
      <c r="AI3386" t="s">
        <v>798</v>
      </c>
      <c r="AJ3386">
        <v>28.250785</v>
      </c>
      <c r="AK3386" t="s">
        <v>799</v>
      </c>
      <c r="AL3386">
        <v>-82.262342000000004</v>
      </c>
      <c r="AM3386">
        <v>100</v>
      </c>
      <c r="AN3386">
        <v>2300</v>
      </c>
      <c r="AO3386" t="s">
        <v>118</v>
      </c>
      <c r="AP3386">
        <v>80</v>
      </c>
      <c r="AQ3386">
        <v>109</v>
      </c>
      <c r="AR3386">
        <v>-640</v>
      </c>
      <c r="AZ3386">
        <v>1200</v>
      </c>
      <c r="BA3386">
        <v>1</v>
      </c>
      <c r="BB3386" t="str">
        <f t="shared" si="1561"/>
        <v xml:space="preserve">N711JA  </v>
      </c>
      <c r="BC3386">
        <v>1</v>
      </c>
      <c r="BE3386">
        <v>0</v>
      </c>
      <c r="BF3386">
        <v>0</v>
      </c>
      <c r="BG3386">
        <v>0</v>
      </c>
      <c r="BH3386">
        <v>2300</v>
      </c>
      <c r="BI3386">
        <v>1</v>
      </c>
      <c r="BJ3386">
        <v>1</v>
      </c>
      <c r="BK3386">
        <v>0</v>
      </c>
      <c r="BL3386">
        <v>0</v>
      </c>
      <c r="BO3386">
        <v>0</v>
      </c>
      <c r="BP3386">
        <v>0</v>
      </c>
      <c r="BW3386" t="str">
        <f t="shared" si="1576"/>
        <v>14:47:20.554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6</v>
      </c>
      <c r="CP3386" t="s">
        <v>119</v>
      </c>
      <c r="CQ3386">
        <v>358</v>
      </c>
      <c r="CR3386">
        <v>0</v>
      </c>
      <c r="CW3386">
        <v>4977953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1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 t="shared" si="1573"/>
        <v>05/12/2020 14:47:02.741</v>
      </c>
      <c r="C3387" t="str">
        <f t="shared" si="1560"/>
        <v>FFDFD3C0</v>
      </c>
      <c r="D3387" t="s">
        <v>131</v>
      </c>
      <c r="E3387">
        <v>12</v>
      </c>
      <c r="F3387">
        <v>2012</v>
      </c>
      <c r="G3387" t="s">
        <v>137</v>
      </c>
      <c r="J3387" t="s">
        <v>133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574"/>
        <v>14:47:20.547</v>
      </c>
      <c r="T3387" t="str">
        <f t="shared" si="1575"/>
        <v>14:47:20.147</v>
      </c>
      <c r="U3387" t="str">
        <f t="shared" si="1554"/>
        <v>A9808D</v>
      </c>
      <c r="V3387">
        <v>0</v>
      </c>
      <c r="W3387">
        <v>0</v>
      </c>
      <c r="X3387">
        <v>1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0</v>
      </c>
      <c r="AI3387" t="s">
        <v>798</v>
      </c>
      <c r="AJ3387">
        <v>28.250785</v>
      </c>
      <c r="AK3387" t="s">
        <v>799</v>
      </c>
      <c r="AL3387">
        <v>-82.262342000000004</v>
      </c>
      <c r="AM3387">
        <v>100</v>
      </c>
      <c r="AN3387">
        <v>2300</v>
      </c>
      <c r="AO3387" t="s">
        <v>118</v>
      </c>
      <c r="AP3387">
        <v>80</v>
      </c>
      <c r="AQ3387">
        <v>109</v>
      </c>
      <c r="AR3387">
        <v>-640</v>
      </c>
      <c r="AZ3387">
        <v>1200</v>
      </c>
      <c r="BA3387">
        <v>1</v>
      </c>
      <c r="BB3387" t="str">
        <f t="shared" si="1561"/>
        <v xml:space="preserve">N711JA  </v>
      </c>
      <c r="BC3387">
        <v>1</v>
      </c>
      <c r="BE3387">
        <v>0</v>
      </c>
      <c r="BF3387">
        <v>0</v>
      </c>
      <c r="BG3387">
        <v>0</v>
      </c>
      <c r="BH3387">
        <v>2300</v>
      </c>
      <c r="BI3387">
        <v>1</v>
      </c>
      <c r="BJ3387">
        <v>1</v>
      </c>
      <c r="BK3387">
        <v>0</v>
      </c>
      <c r="BL3387">
        <v>0</v>
      </c>
      <c r="BO3387">
        <v>0</v>
      </c>
      <c r="BP3387">
        <v>0</v>
      </c>
      <c r="BW3387" t="str">
        <f t="shared" si="1576"/>
        <v>14:47:20.554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3</v>
      </c>
      <c r="CP3387" t="s">
        <v>675</v>
      </c>
      <c r="CQ3387">
        <v>363</v>
      </c>
      <c r="CR3387">
        <v>0</v>
      </c>
      <c r="CW3387">
        <v>6503519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1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 t="shared" si="1573"/>
        <v>05/12/2020 14:47:02.741</v>
      </c>
      <c r="C3388" t="str">
        <f t="shared" si="1560"/>
        <v>FFDFD3C0</v>
      </c>
      <c r="D3388" t="s">
        <v>138</v>
      </c>
      <c r="E3388">
        <v>2</v>
      </c>
      <c r="H3388">
        <v>8</v>
      </c>
      <c r="I3388" t="s">
        <v>139</v>
      </c>
      <c r="J3388" t="s">
        <v>136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574"/>
        <v>14:47:20.547</v>
      </c>
      <c r="T3388" t="str">
        <f t="shared" si="1575"/>
        <v>14:47:20.147</v>
      </c>
      <c r="U3388" t="str">
        <f t="shared" si="1554"/>
        <v>A9808D</v>
      </c>
      <c r="V3388">
        <v>0</v>
      </c>
      <c r="W3388">
        <v>0</v>
      </c>
      <c r="X3388">
        <v>1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0</v>
      </c>
      <c r="AI3388" t="s">
        <v>798</v>
      </c>
      <c r="AJ3388">
        <v>28.250785</v>
      </c>
      <c r="AK3388" t="s">
        <v>799</v>
      </c>
      <c r="AL3388">
        <v>-82.262342000000004</v>
      </c>
      <c r="AM3388">
        <v>100</v>
      </c>
      <c r="AN3388">
        <v>2300</v>
      </c>
      <c r="AO3388" t="s">
        <v>118</v>
      </c>
      <c r="AP3388">
        <v>80</v>
      </c>
      <c r="AQ3388">
        <v>109</v>
      </c>
      <c r="AR3388">
        <v>-640</v>
      </c>
      <c r="AZ3388">
        <v>1200</v>
      </c>
      <c r="BA3388">
        <v>1</v>
      </c>
      <c r="BB3388" t="str">
        <f t="shared" si="1561"/>
        <v xml:space="preserve">N711JA  </v>
      </c>
      <c r="BC3388">
        <v>1</v>
      </c>
      <c r="BE3388">
        <v>0</v>
      </c>
      <c r="BF3388">
        <v>0</v>
      </c>
      <c r="BG3388">
        <v>0</v>
      </c>
      <c r="BH3388">
        <v>2300</v>
      </c>
      <c r="BI3388">
        <v>1</v>
      </c>
      <c r="BJ3388">
        <v>1</v>
      </c>
      <c r="BK3388">
        <v>0</v>
      </c>
      <c r="BL3388">
        <v>0</v>
      </c>
      <c r="BO3388">
        <v>0</v>
      </c>
      <c r="BP3388">
        <v>0</v>
      </c>
      <c r="BW3388" t="str">
        <f t="shared" si="1576"/>
        <v>14:47:20.554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3</v>
      </c>
      <c r="CP3388" t="s">
        <v>675</v>
      </c>
      <c r="CQ3388">
        <v>363</v>
      </c>
      <c r="CR3388">
        <v>0</v>
      </c>
      <c r="CW3388">
        <v>6503519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1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 t="shared" si="1573"/>
        <v>05/12/2020 14:47:02.741</v>
      </c>
      <c r="C3389" t="str">
        <f t="shared" si="1560"/>
        <v>FFDFD3C0</v>
      </c>
      <c r="D3389" t="s">
        <v>134</v>
      </c>
      <c r="E3389">
        <v>12</v>
      </c>
      <c r="H3389">
        <v>64</v>
      </c>
      <c r="I3389" t="s">
        <v>135</v>
      </c>
      <c r="J3389" t="s">
        <v>136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si="1574"/>
        <v>14:47:20.547</v>
      </c>
      <c r="T3389" t="str">
        <f t="shared" si="1575"/>
        <v>14:47:20.147</v>
      </c>
      <c r="U3389" t="str">
        <f t="shared" si="1554"/>
        <v>A9808D</v>
      </c>
      <c r="V3389">
        <v>0</v>
      </c>
      <c r="W3389">
        <v>0</v>
      </c>
      <c r="X3389">
        <v>1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0</v>
      </c>
      <c r="AI3389" t="s">
        <v>798</v>
      </c>
      <c r="AJ3389">
        <v>28.250785</v>
      </c>
      <c r="AK3389" t="s">
        <v>799</v>
      </c>
      <c r="AL3389">
        <v>-82.262342000000004</v>
      </c>
      <c r="AM3389">
        <v>100</v>
      </c>
      <c r="AN3389">
        <v>2300</v>
      </c>
      <c r="AO3389" t="s">
        <v>118</v>
      </c>
      <c r="AP3389">
        <v>80</v>
      </c>
      <c r="AQ3389">
        <v>109</v>
      </c>
      <c r="AR3389">
        <v>-640</v>
      </c>
      <c r="AZ3389">
        <v>1200</v>
      </c>
      <c r="BA3389">
        <v>1</v>
      </c>
      <c r="BB3389" t="str">
        <f t="shared" si="1561"/>
        <v xml:space="preserve">N711JA  </v>
      </c>
      <c r="BC3389">
        <v>1</v>
      </c>
      <c r="BE3389">
        <v>0</v>
      </c>
      <c r="BF3389">
        <v>0</v>
      </c>
      <c r="BG3389">
        <v>0</v>
      </c>
      <c r="BH3389">
        <v>2300</v>
      </c>
      <c r="BI3389">
        <v>1</v>
      </c>
      <c r="BJ3389">
        <v>1</v>
      </c>
      <c r="BK3389">
        <v>0</v>
      </c>
      <c r="BL3389">
        <v>0</v>
      </c>
      <c r="BO3389">
        <v>0</v>
      </c>
      <c r="BP3389">
        <v>0</v>
      </c>
      <c r="BW3389" t="str">
        <f t="shared" si="1576"/>
        <v>14:47:20.554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6</v>
      </c>
      <c r="CP3389" t="s">
        <v>119</v>
      </c>
      <c r="CQ3389">
        <v>358</v>
      </c>
      <c r="CR3389">
        <v>0</v>
      </c>
      <c r="CW3389">
        <v>4977953</v>
      </c>
      <c r="CY3389">
        <v>1</v>
      </c>
      <c r="CZ3389">
        <v>0</v>
      </c>
      <c r="DA3389">
        <v>1</v>
      </c>
      <c r="DB3389">
        <v>0</v>
      </c>
      <c r="DC3389">
        <v>0</v>
      </c>
      <c r="DD3389">
        <v>1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 t="shared" si="1573"/>
        <v>05/12/2020 14:47:02.741</v>
      </c>
      <c r="C3390" t="str">
        <f t="shared" si="1560"/>
        <v>FFDFD3C0</v>
      </c>
      <c r="D3390" t="s">
        <v>131</v>
      </c>
      <c r="E3390">
        <v>18</v>
      </c>
      <c r="F3390">
        <v>2018</v>
      </c>
      <c r="G3390" t="s">
        <v>161</v>
      </c>
      <c r="J3390" t="s">
        <v>133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574"/>
        <v>14:47:20.547</v>
      </c>
      <c r="T3390" t="str">
        <f t="shared" si="1575"/>
        <v>14:47:20.147</v>
      </c>
      <c r="U3390" t="str">
        <f t="shared" si="1554"/>
        <v>A9808D</v>
      </c>
      <c r="V3390">
        <v>0</v>
      </c>
      <c r="W3390">
        <v>0</v>
      </c>
      <c r="X3390">
        <v>1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0</v>
      </c>
      <c r="AI3390" t="s">
        <v>798</v>
      </c>
      <c r="AJ3390">
        <v>28.250785</v>
      </c>
      <c r="AK3390" t="s">
        <v>799</v>
      </c>
      <c r="AL3390">
        <v>-82.262342000000004</v>
      </c>
      <c r="AM3390">
        <v>100</v>
      </c>
      <c r="AN3390">
        <v>2300</v>
      </c>
      <c r="AO3390" t="s">
        <v>118</v>
      </c>
      <c r="AP3390">
        <v>80</v>
      </c>
      <c r="AQ3390">
        <v>109</v>
      </c>
      <c r="AR3390">
        <v>-640</v>
      </c>
      <c r="AZ3390">
        <v>1200</v>
      </c>
      <c r="BA3390">
        <v>1</v>
      </c>
      <c r="BB3390" t="str">
        <f t="shared" si="1561"/>
        <v xml:space="preserve">N711JA  </v>
      </c>
      <c r="BC3390">
        <v>1</v>
      </c>
      <c r="BE3390">
        <v>0</v>
      </c>
      <c r="BF3390">
        <v>0</v>
      </c>
      <c r="BG3390">
        <v>0</v>
      </c>
      <c r="BH3390">
        <v>2300</v>
      </c>
      <c r="BI3390">
        <v>1</v>
      </c>
      <c r="BJ3390">
        <v>1</v>
      </c>
      <c r="BK3390">
        <v>0</v>
      </c>
      <c r="BL3390">
        <v>0</v>
      </c>
      <c r="BO3390">
        <v>0</v>
      </c>
      <c r="BP3390">
        <v>0</v>
      </c>
      <c r="BW3390" t="str">
        <f t="shared" si="1576"/>
        <v>14:47:20.554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2</v>
      </c>
      <c r="CP3390" t="s">
        <v>119</v>
      </c>
      <c r="CQ3390">
        <v>62</v>
      </c>
      <c r="CR3390">
        <v>1</v>
      </c>
      <c r="CW3390">
        <v>12915325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1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 t="shared" si="1573"/>
        <v>05/12/2020 14:47:02.741</v>
      </c>
      <c r="C3391" t="str">
        <f t="shared" si="1560"/>
        <v>FFDFD3C0</v>
      </c>
      <c r="D3391" t="s">
        <v>138</v>
      </c>
      <c r="E3391">
        <v>3</v>
      </c>
      <c r="H3391">
        <v>9</v>
      </c>
      <c r="I3391" t="s">
        <v>140</v>
      </c>
      <c r="J3391" t="s">
        <v>136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574"/>
        <v>14:47:20.547</v>
      </c>
      <c r="T3391" t="str">
        <f t="shared" si="1575"/>
        <v>14:47:20.147</v>
      </c>
      <c r="U3391" t="str">
        <f t="shared" si="1554"/>
        <v>A9808D</v>
      </c>
      <c r="V3391">
        <v>0</v>
      </c>
      <c r="W3391">
        <v>0</v>
      </c>
      <c r="X3391">
        <v>1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0</v>
      </c>
      <c r="AI3391" t="s">
        <v>798</v>
      </c>
      <c r="AJ3391">
        <v>28.250785</v>
      </c>
      <c r="AK3391" t="s">
        <v>799</v>
      </c>
      <c r="AL3391">
        <v>-82.262342000000004</v>
      </c>
      <c r="AM3391">
        <v>100</v>
      </c>
      <c r="AN3391">
        <v>2300</v>
      </c>
      <c r="AO3391" t="s">
        <v>118</v>
      </c>
      <c r="AP3391">
        <v>80</v>
      </c>
      <c r="AQ3391">
        <v>109</v>
      </c>
      <c r="AR3391">
        <v>-640</v>
      </c>
      <c r="AZ3391">
        <v>1200</v>
      </c>
      <c r="BA3391">
        <v>1</v>
      </c>
      <c r="BB3391" t="str">
        <f t="shared" si="1561"/>
        <v xml:space="preserve">N711JA  </v>
      </c>
      <c r="BC3391">
        <v>1</v>
      </c>
      <c r="BE3391">
        <v>0</v>
      </c>
      <c r="BF3391">
        <v>0</v>
      </c>
      <c r="BG3391">
        <v>0</v>
      </c>
      <c r="BH3391">
        <v>2300</v>
      </c>
      <c r="BI3391">
        <v>1</v>
      </c>
      <c r="BJ3391">
        <v>1</v>
      </c>
      <c r="BK3391">
        <v>0</v>
      </c>
      <c r="BL3391">
        <v>0</v>
      </c>
      <c r="BO3391">
        <v>0</v>
      </c>
      <c r="BP3391">
        <v>0</v>
      </c>
      <c r="BW3391" t="str">
        <f t="shared" si="1576"/>
        <v>14:47:20.554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6</v>
      </c>
      <c r="CP3391" t="s">
        <v>119</v>
      </c>
      <c r="CQ3391">
        <v>358</v>
      </c>
      <c r="CR3391">
        <v>0</v>
      </c>
      <c r="CW3391">
        <v>4977953</v>
      </c>
      <c r="CY3391">
        <v>1</v>
      </c>
      <c r="CZ3391">
        <v>0</v>
      </c>
      <c r="DA3391">
        <v>1</v>
      </c>
      <c r="DB3391">
        <v>0</v>
      </c>
      <c r="DC3391">
        <v>0</v>
      </c>
      <c r="DD3391">
        <v>1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 t="shared" si="1573"/>
        <v>05/12/2020 14:47:02.741</v>
      </c>
      <c r="C3392" t="str">
        <f t="shared" si="1560"/>
        <v>FFDFD3C0</v>
      </c>
      <c r="D3392" t="s">
        <v>126</v>
      </c>
      <c r="E3392">
        <v>6</v>
      </c>
      <c r="F3392">
        <v>1006</v>
      </c>
      <c r="G3392" t="s">
        <v>114</v>
      </c>
      <c r="J3392" t="s">
        <v>128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574"/>
        <v>14:47:20.547</v>
      </c>
      <c r="T3392" t="str">
        <f t="shared" si="1575"/>
        <v>14:47:20.147</v>
      </c>
      <c r="U3392" t="str">
        <f t="shared" si="1554"/>
        <v>A9808D</v>
      </c>
      <c r="V3392">
        <v>0</v>
      </c>
      <c r="W3392">
        <v>0</v>
      </c>
      <c r="X3392">
        <v>1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0</v>
      </c>
      <c r="AI3392" t="s">
        <v>798</v>
      </c>
      <c r="AJ3392">
        <v>28.250785</v>
      </c>
      <c r="AK3392" t="s">
        <v>799</v>
      </c>
      <c r="AL3392">
        <v>-82.262342000000004</v>
      </c>
      <c r="AM3392">
        <v>100</v>
      </c>
      <c r="AN3392">
        <v>2300</v>
      </c>
      <c r="AO3392" t="s">
        <v>118</v>
      </c>
      <c r="AP3392">
        <v>80</v>
      </c>
      <c r="AQ3392">
        <v>109</v>
      </c>
      <c r="AR3392">
        <v>-640</v>
      </c>
      <c r="AZ3392">
        <v>1200</v>
      </c>
      <c r="BA3392">
        <v>1</v>
      </c>
      <c r="BB3392" t="str">
        <f t="shared" si="1561"/>
        <v xml:space="preserve">N711JA  </v>
      </c>
      <c r="BC3392">
        <v>1</v>
      </c>
      <c r="BE3392">
        <v>0</v>
      </c>
      <c r="BF3392">
        <v>0</v>
      </c>
      <c r="BG3392">
        <v>0</v>
      </c>
      <c r="BH3392">
        <v>2300</v>
      </c>
      <c r="BI3392">
        <v>1</v>
      </c>
      <c r="BJ3392">
        <v>1</v>
      </c>
      <c r="BK3392">
        <v>0</v>
      </c>
      <c r="BL3392">
        <v>0</v>
      </c>
      <c r="BO3392">
        <v>0</v>
      </c>
      <c r="BP3392">
        <v>0</v>
      </c>
      <c r="BW3392" t="str">
        <f t="shared" si="1576"/>
        <v>14:47:20.554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6</v>
      </c>
      <c r="CP3392" t="s">
        <v>119</v>
      </c>
      <c r="CQ3392">
        <v>358</v>
      </c>
      <c r="CR3392">
        <v>0</v>
      </c>
      <c r="CW3392">
        <v>4977953</v>
      </c>
      <c r="CY3392">
        <v>1</v>
      </c>
      <c r="CZ3392">
        <v>0</v>
      </c>
      <c r="DA3392">
        <v>1</v>
      </c>
      <c r="DB3392">
        <v>0</v>
      </c>
      <c r="DC3392">
        <v>0</v>
      </c>
      <c r="DD3392">
        <v>1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 t="shared" ref="A3393:A3400" si="1577">"05/12/2020 14:47:03.651"</f>
        <v>05/12/2020 14:47:03.651</v>
      </c>
      <c r="C3393" t="str">
        <f t="shared" si="1560"/>
        <v>FFDFD3C0</v>
      </c>
      <c r="D3393" t="s">
        <v>131</v>
      </c>
      <c r="E3393">
        <v>10</v>
      </c>
      <c r="F3393">
        <v>2010</v>
      </c>
      <c r="G3393" t="s">
        <v>132</v>
      </c>
      <c r="J3393" t="s">
        <v>133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ref="S3393:S3400" si="1578">"14:47:21.492"</f>
        <v>14:47:21.492</v>
      </c>
      <c r="T3393" t="str">
        <f>"14:47:21.092"</f>
        <v>14:47:21.092</v>
      </c>
      <c r="U3393" t="str">
        <f t="shared" si="1554"/>
        <v>A9808D</v>
      </c>
      <c r="V3393">
        <v>0</v>
      </c>
      <c r="W3393">
        <v>0</v>
      </c>
      <c r="X3393">
        <v>1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0</v>
      </c>
      <c r="AI3393" t="s">
        <v>800</v>
      </c>
      <c r="AJ3393">
        <v>28.251342999999999</v>
      </c>
      <c r="AK3393" t="s">
        <v>801</v>
      </c>
      <c r="AL3393">
        <v>-82.261933999999997</v>
      </c>
      <c r="AM3393">
        <v>100</v>
      </c>
      <c r="AN3393">
        <v>2300</v>
      </c>
      <c r="AO3393" t="s">
        <v>118</v>
      </c>
      <c r="AP3393">
        <v>74</v>
      </c>
      <c r="AQ3393">
        <v>114</v>
      </c>
      <c r="AR3393">
        <v>-704</v>
      </c>
      <c r="AZ3393">
        <v>1200</v>
      </c>
      <c r="BA3393">
        <v>1</v>
      </c>
      <c r="BB3393" t="str">
        <f t="shared" si="1561"/>
        <v xml:space="preserve">N711JA  </v>
      </c>
      <c r="BC3393">
        <v>1</v>
      </c>
      <c r="BE3393">
        <v>0</v>
      </c>
      <c r="BF3393">
        <v>0</v>
      </c>
      <c r="BG3393">
        <v>0</v>
      </c>
      <c r="BH3393">
        <v>2300</v>
      </c>
      <c r="BI3393">
        <v>1</v>
      </c>
      <c r="BJ3393">
        <v>1</v>
      </c>
      <c r="BK3393">
        <v>0</v>
      </c>
      <c r="BL3393">
        <v>0</v>
      </c>
      <c r="BO3393">
        <v>0</v>
      </c>
      <c r="BP3393">
        <v>0</v>
      </c>
      <c r="BW3393" t="str">
        <f t="shared" ref="BW3393:BW3400" si="1579">"14:47:21.494"</f>
        <v>14:47:21.494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6</v>
      </c>
      <c r="CP3393" t="s">
        <v>119</v>
      </c>
      <c r="CQ3393">
        <v>358</v>
      </c>
      <c r="CR3393">
        <v>0</v>
      </c>
      <c r="CW3393">
        <v>4979081</v>
      </c>
      <c r="CY3393">
        <v>1</v>
      </c>
      <c r="CZ3393">
        <v>0</v>
      </c>
      <c r="DA3393">
        <v>0</v>
      </c>
      <c r="DB3393">
        <v>0</v>
      </c>
      <c r="DC3393">
        <v>0</v>
      </c>
      <c r="DD3393">
        <v>1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 t="shared" si="1577"/>
        <v>05/12/2020 14:47:03.651</v>
      </c>
      <c r="C3394" t="str">
        <f t="shared" si="1560"/>
        <v>FFDFD3C0</v>
      </c>
      <c r="D3394" t="s">
        <v>131</v>
      </c>
      <c r="E3394">
        <v>12</v>
      </c>
      <c r="F3394">
        <v>2012</v>
      </c>
      <c r="G3394" t="s">
        <v>137</v>
      </c>
      <c r="J3394" t="s">
        <v>133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578"/>
        <v>14:47:21.492</v>
      </c>
      <c r="T3394" t="str">
        <f>"14:47:20.192"</f>
        <v>14:47:20.192</v>
      </c>
      <c r="U3394" t="str">
        <f t="shared" ref="U3394:U3457" si="1580">"A9808D"</f>
        <v>A9808D</v>
      </c>
      <c r="V3394">
        <v>0</v>
      </c>
      <c r="W3394">
        <v>0</v>
      </c>
      <c r="X3394">
        <v>1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0</v>
      </c>
      <c r="AI3394" t="s">
        <v>800</v>
      </c>
      <c r="AJ3394">
        <v>28.251342999999999</v>
      </c>
      <c r="AK3394" t="s">
        <v>801</v>
      </c>
      <c r="AL3394">
        <v>-82.261933999999997</v>
      </c>
      <c r="AM3394">
        <v>100</v>
      </c>
      <c r="AN3394">
        <v>2300</v>
      </c>
      <c r="AO3394" t="s">
        <v>118</v>
      </c>
      <c r="AP3394">
        <v>80</v>
      </c>
      <c r="AQ3394">
        <v>109</v>
      </c>
      <c r="AR3394">
        <v>-640</v>
      </c>
      <c r="AZ3394">
        <v>1200</v>
      </c>
      <c r="BA3394">
        <v>1</v>
      </c>
      <c r="BB3394" t="str">
        <f t="shared" si="1561"/>
        <v xml:space="preserve">N711JA  </v>
      </c>
      <c r="BC3394">
        <v>1</v>
      </c>
      <c r="BE3394">
        <v>0</v>
      </c>
      <c r="BF3394">
        <v>0</v>
      </c>
      <c r="BG3394">
        <v>0</v>
      </c>
      <c r="BH3394">
        <v>2300</v>
      </c>
      <c r="BI3394">
        <v>1</v>
      </c>
      <c r="BJ3394">
        <v>1</v>
      </c>
      <c r="BK3394">
        <v>0</v>
      </c>
      <c r="BL3394">
        <v>0</v>
      </c>
      <c r="BO3394">
        <v>0</v>
      </c>
      <c r="BP3394">
        <v>0</v>
      </c>
      <c r="BW3394" t="str">
        <f t="shared" si="1579"/>
        <v>14:47:21.494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3</v>
      </c>
      <c r="CP3394" t="s">
        <v>675</v>
      </c>
      <c r="CQ3394">
        <v>363</v>
      </c>
      <c r="CR3394">
        <v>0</v>
      </c>
      <c r="CW3394">
        <v>6504759</v>
      </c>
      <c r="CY3394">
        <v>1</v>
      </c>
      <c r="CZ3394">
        <v>0</v>
      </c>
      <c r="DA3394">
        <v>1</v>
      </c>
      <c r="DB3394">
        <v>0</v>
      </c>
      <c r="DC3394">
        <v>0</v>
      </c>
      <c r="DD3394">
        <v>1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 t="shared" si="1577"/>
        <v>05/12/2020 14:47:03.651</v>
      </c>
      <c r="C3395" t="str">
        <f t="shared" si="1560"/>
        <v>FFDFD3C0</v>
      </c>
      <c r="D3395" t="s">
        <v>138</v>
      </c>
      <c r="E3395">
        <v>2</v>
      </c>
      <c r="H3395">
        <v>8</v>
      </c>
      <c r="I3395" t="s">
        <v>139</v>
      </c>
      <c r="J3395" t="s">
        <v>136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578"/>
        <v>14:47:21.492</v>
      </c>
      <c r="T3395" t="str">
        <f>"14:47:20.192"</f>
        <v>14:47:20.192</v>
      </c>
      <c r="U3395" t="str">
        <f t="shared" si="1580"/>
        <v>A9808D</v>
      </c>
      <c r="V3395">
        <v>0</v>
      </c>
      <c r="W3395">
        <v>0</v>
      </c>
      <c r="X3395">
        <v>1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0</v>
      </c>
      <c r="AI3395" t="s">
        <v>800</v>
      </c>
      <c r="AJ3395">
        <v>28.251342999999999</v>
      </c>
      <c r="AK3395" t="s">
        <v>801</v>
      </c>
      <c r="AL3395">
        <v>-82.261933999999997</v>
      </c>
      <c r="AM3395">
        <v>100</v>
      </c>
      <c r="AN3395">
        <v>2300</v>
      </c>
      <c r="AO3395" t="s">
        <v>118</v>
      </c>
      <c r="AP3395">
        <v>80</v>
      </c>
      <c r="AQ3395">
        <v>109</v>
      </c>
      <c r="AR3395">
        <v>-640</v>
      </c>
      <c r="AZ3395">
        <v>1200</v>
      </c>
      <c r="BA3395">
        <v>1</v>
      </c>
      <c r="BB3395" t="str">
        <f t="shared" si="1561"/>
        <v xml:space="preserve">N711JA  </v>
      </c>
      <c r="BC3395">
        <v>1</v>
      </c>
      <c r="BE3395">
        <v>0</v>
      </c>
      <c r="BF3395">
        <v>0</v>
      </c>
      <c r="BG3395">
        <v>0</v>
      </c>
      <c r="BH3395">
        <v>2300</v>
      </c>
      <c r="BI3395">
        <v>1</v>
      </c>
      <c r="BJ3395">
        <v>1</v>
      </c>
      <c r="BK3395">
        <v>0</v>
      </c>
      <c r="BL3395">
        <v>0</v>
      </c>
      <c r="BO3395">
        <v>0</v>
      </c>
      <c r="BP3395">
        <v>0</v>
      </c>
      <c r="BW3395" t="str">
        <f t="shared" si="1579"/>
        <v>14:47:21.494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3</v>
      </c>
      <c r="CP3395" t="s">
        <v>675</v>
      </c>
      <c r="CQ3395">
        <v>363</v>
      </c>
      <c r="CR3395">
        <v>0</v>
      </c>
      <c r="CW3395">
        <v>6504759</v>
      </c>
      <c r="CY3395">
        <v>1</v>
      </c>
      <c r="CZ3395">
        <v>0</v>
      </c>
      <c r="DA3395">
        <v>1</v>
      </c>
      <c r="DB3395">
        <v>0</v>
      </c>
      <c r="DC3395">
        <v>0</v>
      </c>
      <c r="DD3395">
        <v>1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 t="shared" si="1577"/>
        <v>05/12/2020 14:47:03.651</v>
      </c>
      <c r="C3396" t="str">
        <f t="shared" si="1560"/>
        <v>FFDFD3C0</v>
      </c>
      <c r="D3396" t="s">
        <v>134</v>
      </c>
      <c r="E3396">
        <v>12</v>
      </c>
      <c r="H3396">
        <v>64</v>
      </c>
      <c r="I3396" t="s">
        <v>135</v>
      </c>
      <c r="J3396" t="s">
        <v>136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si="1578"/>
        <v>14:47:21.492</v>
      </c>
      <c r="T3396" t="str">
        <f>"14:47:21.092"</f>
        <v>14:47:21.092</v>
      </c>
      <c r="U3396" t="str">
        <f t="shared" si="1580"/>
        <v>A9808D</v>
      </c>
      <c r="V3396">
        <v>0</v>
      </c>
      <c r="W3396">
        <v>0</v>
      </c>
      <c r="X3396">
        <v>1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0</v>
      </c>
      <c r="AI3396" t="s">
        <v>800</v>
      </c>
      <c r="AJ3396">
        <v>28.251342999999999</v>
      </c>
      <c r="AK3396" t="s">
        <v>801</v>
      </c>
      <c r="AL3396">
        <v>-82.261933999999997</v>
      </c>
      <c r="AM3396">
        <v>100</v>
      </c>
      <c r="AN3396">
        <v>2300</v>
      </c>
      <c r="AO3396" t="s">
        <v>118</v>
      </c>
      <c r="AP3396">
        <v>74</v>
      </c>
      <c r="AQ3396">
        <v>114</v>
      </c>
      <c r="AR3396">
        <v>-704</v>
      </c>
      <c r="AZ3396">
        <v>1200</v>
      </c>
      <c r="BA3396">
        <v>1</v>
      </c>
      <c r="BB3396" t="str">
        <f t="shared" si="1561"/>
        <v xml:space="preserve">N711JA  </v>
      </c>
      <c r="BC3396">
        <v>1</v>
      </c>
      <c r="BE3396">
        <v>0</v>
      </c>
      <c r="BF3396">
        <v>0</v>
      </c>
      <c r="BG3396">
        <v>0</v>
      </c>
      <c r="BH3396">
        <v>2300</v>
      </c>
      <c r="BI3396">
        <v>1</v>
      </c>
      <c r="BJ3396">
        <v>1</v>
      </c>
      <c r="BK3396">
        <v>0</v>
      </c>
      <c r="BL3396">
        <v>0</v>
      </c>
      <c r="BO3396">
        <v>0</v>
      </c>
      <c r="BP3396">
        <v>0</v>
      </c>
      <c r="BW3396" t="str">
        <f t="shared" si="1579"/>
        <v>14:47:21.494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6</v>
      </c>
      <c r="CP3396" t="s">
        <v>119</v>
      </c>
      <c r="CQ3396">
        <v>358</v>
      </c>
      <c r="CR3396">
        <v>0</v>
      </c>
      <c r="CW3396">
        <v>4979081</v>
      </c>
      <c r="CY3396">
        <v>1</v>
      </c>
      <c r="CZ3396">
        <v>0</v>
      </c>
      <c r="DA3396">
        <v>1</v>
      </c>
      <c r="DB3396">
        <v>0</v>
      </c>
      <c r="DC3396">
        <v>0</v>
      </c>
      <c r="DD3396">
        <v>1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 t="shared" si="1577"/>
        <v>05/12/2020 14:47:03.651</v>
      </c>
      <c r="C3397" t="str">
        <f t="shared" si="1560"/>
        <v>FFDFD3C0</v>
      </c>
      <c r="D3397" t="s">
        <v>138</v>
      </c>
      <c r="E3397">
        <v>3</v>
      </c>
      <c r="H3397">
        <v>9</v>
      </c>
      <c r="I3397" t="s">
        <v>140</v>
      </c>
      <c r="J3397" t="s">
        <v>136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578"/>
        <v>14:47:21.492</v>
      </c>
      <c r="T3397" t="str">
        <f>"14:47:21.092"</f>
        <v>14:47:21.092</v>
      </c>
      <c r="U3397" t="str">
        <f t="shared" si="1580"/>
        <v>A9808D</v>
      </c>
      <c r="V3397">
        <v>0</v>
      </c>
      <c r="W3397">
        <v>0</v>
      </c>
      <c r="X3397">
        <v>1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0</v>
      </c>
      <c r="AI3397" t="s">
        <v>800</v>
      </c>
      <c r="AJ3397">
        <v>28.251342999999999</v>
      </c>
      <c r="AK3397" t="s">
        <v>801</v>
      </c>
      <c r="AL3397">
        <v>-82.261933999999997</v>
      </c>
      <c r="AM3397">
        <v>100</v>
      </c>
      <c r="AN3397">
        <v>2300</v>
      </c>
      <c r="AO3397" t="s">
        <v>118</v>
      </c>
      <c r="AP3397">
        <v>74</v>
      </c>
      <c r="AQ3397">
        <v>114</v>
      </c>
      <c r="AR3397">
        <v>-704</v>
      </c>
      <c r="AZ3397">
        <v>1200</v>
      </c>
      <c r="BA3397">
        <v>1</v>
      </c>
      <c r="BB3397" t="str">
        <f t="shared" si="1561"/>
        <v xml:space="preserve">N711JA  </v>
      </c>
      <c r="BC3397">
        <v>1</v>
      </c>
      <c r="BE3397">
        <v>0</v>
      </c>
      <c r="BF3397">
        <v>0</v>
      </c>
      <c r="BG3397">
        <v>0</v>
      </c>
      <c r="BH3397">
        <v>2300</v>
      </c>
      <c r="BI3397">
        <v>1</v>
      </c>
      <c r="BJ3397">
        <v>1</v>
      </c>
      <c r="BK3397">
        <v>0</v>
      </c>
      <c r="BL3397">
        <v>0</v>
      </c>
      <c r="BO3397">
        <v>0</v>
      </c>
      <c r="BP3397">
        <v>0</v>
      </c>
      <c r="BW3397" t="str">
        <f t="shared" si="1579"/>
        <v>14:47:21.494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6</v>
      </c>
      <c r="CP3397" t="s">
        <v>119</v>
      </c>
      <c r="CQ3397">
        <v>358</v>
      </c>
      <c r="CR3397">
        <v>0</v>
      </c>
      <c r="CW3397">
        <v>4979081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1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 t="shared" si="1577"/>
        <v>05/12/2020 14:47:03.651</v>
      </c>
      <c r="C3398" t="str">
        <f t="shared" si="1560"/>
        <v>FFDFD3C0</v>
      </c>
      <c r="D3398" t="s">
        <v>126</v>
      </c>
      <c r="E3398">
        <v>6</v>
      </c>
      <c r="F3398">
        <v>1006</v>
      </c>
      <c r="G3398" t="s">
        <v>114</v>
      </c>
      <c r="J3398" t="s">
        <v>128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578"/>
        <v>14:47:21.492</v>
      </c>
      <c r="T3398" t="str">
        <f>"14:47:21.092"</f>
        <v>14:47:21.092</v>
      </c>
      <c r="U3398" t="str">
        <f t="shared" si="1580"/>
        <v>A9808D</v>
      </c>
      <c r="V3398">
        <v>0</v>
      </c>
      <c r="W3398">
        <v>0</v>
      </c>
      <c r="X3398">
        <v>1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0</v>
      </c>
      <c r="AI3398" t="s">
        <v>800</v>
      </c>
      <c r="AJ3398">
        <v>28.251342999999999</v>
      </c>
      <c r="AK3398" t="s">
        <v>801</v>
      </c>
      <c r="AL3398">
        <v>-82.261933999999997</v>
      </c>
      <c r="AM3398">
        <v>100</v>
      </c>
      <c r="AN3398">
        <v>2300</v>
      </c>
      <c r="AO3398" t="s">
        <v>118</v>
      </c>
      <c r="AP3398">
        <v>74</v>
      </c>
      <c r="AQ3398">
        <v>114</v>
      </c>
      <c r="AR3398">
        <v>-704</v>
      </c>
      <c r="AZ3398">
        <v>1200</v>
      </c>
      <c r="BA3398">
        <v>1</v>
      </c>
      <c r="BB3398" t="str">
        <f t="shared" si="1561"/>
        <v xml:space="preserve">N711JA  </v>
      </c>
      <c r="BC3398">
        <v>1</v>
      </c>
      <c r="BE3398">
        <v>0</v>
      </c>
      <c r="BF3398">
        <v>0</v>
      </c>
      <c r="BG3398">
        <v>0</v>
      </c>
      <c r="BH3398">
        <v>2300</v>
      </c>
      <c r="BI3398">
        <v>1</v>
      </c>
      <c r="BJ3398">
        <v>1</v>
      </c>
      <c r="BK3398">
        <v>0</v>
      </c>
      <c r="BL3398">
        <v>0</v>
      </c>
      <c r="BO3398">
        <v>0</v>
      </c>
      <c r="BP3398">
        <v>0</v>
      </c>
      <c r="BW3398" t="str">
        <f t="shared" si="1579"/>
        <v>14:47:21.494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6</v>
      </c>
      <c r="CP3398" t="s">
        <v>119</v>
      </c>
      <c r="CQ3398">
        <v>358</v>
      </c>
      <c r="CR3398">
        <v>0</v>
      </c>
      <c r="CW3398">
        <v>4979081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1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 t="shared" si="1577"/>
        <v>05/12/2020 14:47:03.651</v>
      </c>
      <c r="C3399" t="str">
        <f t="shared" si="1560"/>
        <v>FFDFD3C0</v>
      </c>
      <c r="D3399" t="s">
        <v>126</v>
      </c>
      <c r="E3399">
        <v>7</v>
      </c>
      <c r="F3399">
        <v>1007</v>
      </c>
      <c r="G3399" t="s">
        <v>127</v>
      </c>
      <c r="J3399" t="s">
        <v>128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578"/>
        <v>14:47:21.492</v>
      </c>
      <c r="T3399" t="str">
        <f>"14:47:21.092"</f>
        <v>14:47:21.092</v>
      </c>
      <c r="U3399" t="str">
        <f t="shared" si="1580"/>
        <v>A9808D</v>
      </c>
      <c r="V3399">
        <v>0</v>
      </c>
      <c r="W3399">
        <v>0</v>
      </c>
      <c r="X3399">
        <v>1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0</v>
      </c>
      <c r="AI3399" t="s">
        <v>800</v>
      </c>
      <c r="AJ3399">
        <v>28.251342999999999</v>
      </c>
      <c r="AK3399" t="s">
        <v>801</v>
      </c>
      <c r="AL3399">
        <v>-82.261933999999997</v>
      </c>
      <c r="AM3399">
        <v>100</v>
      </c>
      <c r="AN3399">
        <v>2300</v>
      </c>
      <c r="AO3399" t="s">
        <v>118</v>
      </c>
      <c r="AP3399">
        <v>74</v>
      </c>
      <c r="AQ3399">
        <v>114</v>
      </c>
      <c r="AR3399">
        <v>-704</v>
      </c>
      <c r="AZ3399">
        <v>1200</v>
      </c>
      <c r="BA3399">
        <v>1</v>
      </c>
      <c r="BB3399" t="str">
        <f t="shared" si="1561"/>
        <v xml:space="preserve">N711JA  </v>
      </c>
      <c r="BC3399">
        <v>1</v>
      </c>
      <c r="BE3399">
        <v>0</v>
      </c>
      <c r="BF3399">
        <v>0</v>
      </c>
      <c r="BG3399">
        <v>0</v>
      </c>
      <c r="BH3399">
        <v>2300</v>
      </c>
      <c r="BI3399">
        <v>1</v>
      </c>
      <c r="BJ3399">
        <v>1</v>
      </c>
      <c r="BK3399">
        <v>0</v>
      </c>
      <c r="BL3399">
        <v>0</v>
      </c>
      <c r="BO3399">
        <v>0</v>
      </c>
      <c r="BP3399">
        <v>0</v>
      </c>
      <c r="BW3399" t="str">
        <f t="shared" si="1579"/>
        <v>14:47:21.494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6</v>
      </c>
      <c r="CP3399" t="s">
        <v>119</v>
      </c>
      <c r="CQ3399">
        <v>358</v>
      </c>
      <c r="CR3399">
        <v>0</v>
      </c>
      <c r="CW3399">
        <v>4979081</v>
      </c>
      <c r="CY3399">
        <v>1</v>
      </c>
      <c r="CZ3399">
        <v>0</v>
      </c>
      <c r="DA3399">
        <v>1</v>
      </c>
      <c r="DB3399">
        <v>0</v>
      </c>
      <c r="DC3399">
        <v>0</v>
      </c>
      <c r="DD3399">
        <v>1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 t="shared" si="1577"/>
        <v>05/12/2020 14:47:03.651</v>
      </c>
      <c r="C3400" t="str">
        <f t="shared" si="1560"/>
        <v>FFDFD3C0</v>
      </c>
      <c r="D3400" t="s">
        <v>113</v>
      </c>
      <c r="E3400">
        <v>3</v>
      </c>
      <c r="H3400">
        <v>164</v>
      </c>
      <c r="I3400" t="s">
        <v>114</v>
      </c>
      <c r="J3400" t="s">
        <v>115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578"/>
        <v>14:47:21.492</v>
      </c>
      <c r="T3400" t="str">
        <f>"14:47:21.092"</f>
        <v>14:47:21.092</v>
      </c>
      <c r="U3400" t="str">
        <f t="shared" si="1580"/>
        <v>A9808D</v>
      </c>
      <c r="V3400">
        <v>0</v>
      </c>
      <c r="W3400">
        <v>0</v>
      </c>
      <c r="X3400">
        <v>1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0</v>
      </c>
      <c r="AI3400" t="s">
        <v>800</v>
      </c>
      <c r="AJ3400">
        <v>28.251342999999999</v>
      </c>
      <c r="AK3400" t="s">
        <v>801</v>
      </c>
      <c r="AL3400">
        <v>-82.261933999999997</v>
      </c>
      <c r="AM3400">
        <v>100</v>
      </c>
      <c r="AN3400">
        <v>2300</v>
      </c>
      <c r="AO3400" t="s">
        <v>118</v>
      </c>
      <c r="AP3400">
        <v>74</v>
      </c>
      <c r="AQ3400">
        <v>114</v>
      </c>
      <c r="AR3400">
        <v>-704</v>
      </c>
      <c r="AZ3400">
        <v>1200</v>
      </c>
      <c r="BA3400">
        <v>1</v>
      </c>
      <c r="BB3400" t="str">
        <f t="shared" si="1561"/>
        <v xml:space="preserve">N711JA  </v>
      </c>
      <c r="BC3400">
        <v>1</v>
      </c>
      <c r="BE3400">
        <v>0</v>
      </c>
      <c r="BF3400">
        <v>0</v>
      </c>
      <c r="BG3400">
        <v>0</v>
      </c>
      <c r="BH3400">
        <v>2300</v>
      </c>
      <c r="BI3400">
        <v>1</v>
      </c>
      <c r="BJ3400">
        <v>1</v>
      </c>
      <c r="BK3400">
        <v>0</v>
      </c>
      <c r="BL3400">
        <v>0</v>
      </c>
      <c r="BO3400">
        <v>0</v>
      </c>
      <c r="BP3400">
        <v>0</v>
      </c>
      <c r="BW3400" t="str">
        <f t="shared" si="1579"/>
        <v>14:47:21.494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5</v>
      </c>
      <c r="CP3400" t="s">
        <v>119</v>
      </c>
      <c r="CQ3400">
        <v>9</v>
      </c>
      <c r="CR3400">
        <v>0</v>
      </c>
      <c r="CW3400">
        <v>12824474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1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 t="shared" ref="A3401:A3409" si="1581">"05/12/2020 14:47:04.670"</f>
        <v>05/12/2020 14:47:04.670</v>
      </c>
      <c r="C3401" t="str">
        <f t="shared" si="1560"/>
        <v>FFDFD3C0</v>
      </c>
      <c r="D3401" t="s">
        <v>138</v>
      </c>
      <c r="E3401">
        <v>2</v>
      </c>
      <c r="H3401">
        <v>8</v>
      </c>
      <c r="I3401" t="s">
        <v>139</v>
      </c>
      <c r="J3401" t="s">
        <v>136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ref="S3401:S3409" si="1582">"14:47:22.500"</f>
        <v>14:47:22.500</v>
      </c>
      <c r="T3401" t="str">
        <f t="shared" ref="T3401:T3409" si="1583">"14:47:22.200"</f>
        <v>14:47:22.200</v>
      </c>
      <c r="U3401" t="str">
        <f t="shared" si="1580"/>
        <v>A9808D</v>
      </c>
      <c r="V3401">
        <v>0</v>
      </c>
      <c r="W3401">
        <v>0</v>
      </c>
      <c r="X3401">
        <v>1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3</v>
      </c>
      <c r="AG3401">
        <v>2</v>
      </c>
      <c r="AH3401">
        <v>0</v>
      </c>
      <c r="AI3401" t="s">
        <v>802</v>
      </c>
      <c r="AJ3401">
        <v>28.251901</v>
      </c>
      <c r="AK3401" t="s">
        <v>803</v>
      </c>
      <c r="AL3401">
        <v>-82.261590999999996</v>
      </c>
      <c r="AM3401">
        <v>100</v>
      </c>
      <c r="AN3401">
        <v>2300</v>
      </c>
      <c r="AO3401" t="s">
        <v>118</v>
      </c>
      <c r="AP3401">
        <v>68</v>
      </c>
      <c r="AQ3401">
        <v>119</v>
      </c>
      <c r="AR3401">
        <v>-704</v>
      </c>
      <c r="AZ3401">
        <v>1200</v>
      </c>
      <c r="BA3401">
        <v>1</v>
      </c>
      <c r="BB3401" t="str">
        <f t="shared" si="1561"/>
        <v xml:space="preserve">N711JA  </v>
      </c>
      <c r="BC3401">
        <v>1</v>
      </c>
      <c r="BE3401">
        <v>0</v>
      </c>
      <c r="BF3401">
        <v>0</v>
      </c>
      <c r="BG3401">
        <v>0</v>
      </c>
      <c r="BH3401">
        <v>2275</v>
      </c>
      <c r="BI3401">
        <v>1</v>
      </c>
      <c r="BJ3401">
        <v>1</v>
      </c>
      <c r="BK3401">
        <v>0</v>
      </c>
      <c r="BL3401">
        <v>0</v>
      </c>
      <c r="BO3401">
        <v>0</v>
      </c>
      <c r="BP3401">
        <v>0</v>
      </c>
      <c r="BW3401" t="str">
        <f t="shared" ref="BW3401:BW3409" si="1584">"14:47:22.503"</f>
        <v>14:47:22.503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6</v>
      </c>
      <c r="CP3401" t="s">
        <v>119</v>
      </c>
      <c r="CQ3401">
        <v>56</v>
      </c>
      <c r="CR3401">
        <v>2</v>
      </c>
      <c r="CW3401">
        <v>5004811</v>
      </c>
      <c r="CY3401">
        <v>1</v>
      </c>
      <c r="CZ3401">
        <v>0</v>
      </c>
      <c r="DA3401">
        <v>0</v>
      </c>
      <c r="DB3401">
        <v>0</v>
      </c>
      <c r="DC3401">
        <v>0</v>
      </c>
      <c r="DD3401">
        <v>1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 t="shared" si="1581"/>
        <v>05/12/2020 14:47:04.670</v>
      </c>
      <c r="C3402" t="str">
        <f t="shared" si="1560"/>
        <v>FFDFD3C0</v>
      </c>
      <c r="D3402" t="s">
        <v>126</v>
      </c>
      <c r="E3402">
        <v>6</v>
      </c>
      <c r="F3402">
        <v>1006</v>
      </c>
      <c r="G3402" t="s">
        <v>114</v>
      </c>
      <c r="J3402" t="s">
        <v>128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si="1582"/>
        <v>14:47:22.500</v>
      </c>
      <c r="T3402" t="str">
        <f t="shared" si="1583"/>
        <v>14:47:22.200</v>
      </c>
      <c r="U3402" t="str">
        <f t="shared" si="1580"/>
        <v>A9808D</v>
      </c>
      <c r="V3402">
        <v>0</v>
      </c>
      <c r="W3402">
        <v>0</v>
      </c>
      <c r="X3402">
        <v>1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0</v>
      </c>
      <c r="AI3402" t="s">
        <v>802</v>
      </c>
      <c r="AJ3402">
        <v>28.251901</v>
      </c>
      <c r="AK3402" t="s">
        <v>803</v>
      </c>
      <c r="AL3402">
        <v>-82.261590999999996</v>
      </c>
      <c r="AM3402">
        <v>100</v>
      </c>
      <c r="AN3402">
        <v>2300</v>
      </c>
      <c r="AO3402" t="s">
        <v>118</v>
      </c>
      <c r="AP3402">
        <v>68</v>
      </c>
      <c r="AQ3402">
        <v>119</v>
      </c>
      <c r="AR3402">
        <v>-704</v>
      </c>
      <c r="AZ3402">
        <v>1200</v>
      </c>
      <c r="BA3402">
        <v>1</v>
      </c>
      <c r="BB3402" t="str">
        <f t="shared" si="1561"/>
        <v xml:space="preserve">N711JA  </v>
      </c>
      <c r="BC3402">
        <v>1</v>
      </c>
      <c r="BE3402">
        <v>0</v>
      </c>
      <c r="BF3402">
        <v>0</v>
      </c>
      <c r="BG3402">
        <v>0</v>
      </c>
      <c r="BH3402">
        <v>2275</v>
      </c>
      <c r="BI3402">
        <v>1</v>
      </c>
      <c r="BJ3402">
        <v>1</v>
      </c>
      <c r="BK3402">
        <v>0</v>
      </c>
      <c r="BL3402">
        <v>0</v>
      </c>
      <c r="BO3402">
        <v>0</v>
      </c>
      <c r="BP3402">
        <v>0</v>
      </c>
      <c r="BW3402" t="str">
        <f t="shared" si="1584"/>
        <v>14:47:22.503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6</v>
      </c>
      <c r="CP3402" t="s">
        <v>119</v>
      </c>
      <c r="CQ3402">
        <v>358</v>
      </c>
      <c r="CR3402">
        <v>0</v>
      </c>
      <c r="CW3402">
        <v>4980334</v>
      </c>
      <c r="CY3402">
        <v>1</v>
      </c>
      <c r="CZ3402">
        <v>0</v>
      </c>
      <c r="DA3402">
        <v>1</v>
      </c>
      <c r="DB3402">
        <v>0</v>
      </c>
      <c r="DC3402">
        <v>0</v>
      </c>
      <c r="DD3402">
        <v>1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 t="shared" si="1581"/>
        <v>05/12/2020 14:47:04.670</v>
      </c>
      <c r="C3403" t="str">
        <f t="shared" si="1560"/>
        <v>FFDFD3C0</v>
      </c>
      <c r="D3403" t="s">
        <v>134</v>
      </c>
      <c r="E3403">
        <v>12</v>
      </c>
      <c r="H3403">
        <v>64</v>
      </c>
      <c r="I3403" t="s">
        <v>135</v>
      </c>
      <c r="J3403" t="s">
        <v>136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si="1582"/>
        <v>14:47:22.500</v>
      </c>
      <c r="T3403" t="str">
        <f t="shared" si="1583"/>
        <v>14:47:22.200</v>
      </c>
      <c r="U3403" t="str">
        <f t="shared" si="1580"/>
        <v>A9808D</v>
      </c>
      <c r="V3403">
        <v>0</v>
      </c>
      <c r="W3403">
        <v>0</v>
      </c>
      <c r="X3403">
        <v>1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0</v>
      </c>
      <c r="AI3403" t="s">
        <v>802</v>
      </c>
      <c r="AJ3403">
        <v>28.251901</v>
      </c>
      <c r="AK3403" t="s">
        <v>803</v>
      </c>
      <c r="AL3403">
        <v>-82.261590999999996</v>
      </c>
      <c r="AM3403">
        <v>100</v>
      </c>
      <c r="AN3403">
        <v>2300</v>
      </c>
      <c r="AO3403" t="s">
        <v>118</v>
      </c>
      <c r="AP3403">
        <v>68</v>
      </c>
      <c r="AQ3403">
        <v>119</v>
      </c>
      <c r="AR3403">
        <v>-704</v>
      </c>
      <c r="AZ3403">
        <v>1200</v>
      </c>
      <c r="BA3403">
        <v>1</v>
      </c>
      <c r="BB3403" t="str">
        <f t="shared" si="1561"/>
        <v xml:space="preserve">N711JA  </v>
      </c>
      <c r="BC3403">
        <v>1</v>
      </c>
      <c r="BE3403">
        <v>0</v>
      </c>
      <c r="BF3403">
        <v>0</v>
      </c>
      <c r="BG3403">
        <v>0</v>
      </c>
      <c r="BH3403">
        <v>2275</v>
      </c>
      <c r="BI3403">
        <v>1</v>
      </c>
      <c r="BJ3403">
        <v>1</v>
      </c>
      <c r="BK3403">
        <v>0</v>
      </c>
      <c r="BL3403">
        <v>0</v>
      </c>
      <c r="BO3403">
        <v>0</v>
      </c>
      <c r="BP3403">
        <v>0</v>
      </c>
      <c r="BW3403" t="str">
        <f t="shared" si="1584"/>
        <v>14:47:22.503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6</v>
      </c>
      <c r="CP3403" t="s">
        <v>119</v>
      </c>
      <c r="CQ3403">
        <v>358</v>
      </c>
      <c r="CR3403">
        <v>0</v>
      </c>
      <c r="CW3403">
        <v>4980334</v>
      </c>
      <c r="CY3403">
        <v>1</v>
      </c>
      <c r="CZ3403">
        <v>0</v>
      </c>
      <c r="DA3403">
        <v>1</v>
      </c>
      <c r="DB3403">
        <v>0</v>
      </c>
      <c r="DC3403">
        <v>0</v>
      </c>
      <c r="DD3403">
        <v>1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 t="shared" si="1581"/>
        <v>05/12/2020 14:47:04.670</v>
      </c>
      <c r="C3404" t="str">
        <f t="shared" si="1560"/>
        <v>FFDFD3C0</v>
      </c>
      <c r="D3404" t="s">
        <v>138</v>
      </c>
      <c r="E3404">
        <v>3</v>
      </c>
      <c r="H3404">
        <v>9</v>
      </c>
      <c r="I3404" t="s">
        <v>140</v>
      </c>
      <c r="J3404" t="s">
        <v>136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582"/>
        <v>14:47:22.500</v>
      </c>
      <c r="T3404" t="str">
        <f t="shared" si="1583"/>
        <v>14:47:22.200</v>
      </c>
      <c r="U3404" t="str">
        <f t="shared" si="1580"/>
        <v>A9808D</v>
      </c>
      <c r="V3404">
        <v>0</v>
      </c>
      <c r="W3404">
        <v>0</v>
      </c>
      <c r="X3404">
        <v>1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0</v>
      </c>
      <c r="AI3404" t="s">
        <v>802</v>
      </c>
      <c r="AJ3404">
        <v>28.251901</v>
      </c>
      <c r="AK3404" t="s">
        <v>803</v>
      </c>
      <c r="AL3404">
        <v>-82.261590999999996</v>
      </c>
      <c r="AM3404">
        <v>100</v>
      </c>
      <c r="AN3404">
        <v>2300</v>
      </c>
      <c r="AO3404" t="s">
        <v>118</v>
      </c>
      <c r="AP3404">
        <v>68</v>
      </c>
      <c r="AQ3404">
        <v>119</v>
      </c>
      <c r="AR3404">
        <v>-704</v>
      </c>
      <c r="AZ3404">
        <v>1200</v>
      </c>
      <c r="BA3404">
        <v>1</v>
      </c>
      <c r="BB3404" t="str">
        <f t="shared" si="1561"/>
        <v xml:space="preserve">N711JA  </v>
      </c>
      <c r="BC3404">
        <v>1</v>
      </c>
      <c r="BE3404">
        <v>0</v>
      </c>
      <c r="BF3404">
        <v>0</v>
      </c>
      <c r="BG3404">
        <v>0</v>
      </c>
      <c r="BH3404">
        <v>2275</v>
      </c>
      <c r="BI3404">
        <v>1</v>
      </c>
      <c r="BJ3404">
        <v>1</v>
      </c>
      <c r="BK3404">
        <v>0</v>
      </c>
      <c r="BL3404">
        <v>0</v>
      </c>
      <c r="BO3404">
        <v>0</v>
      </c>
      <c r="BP3404">
        <v>0</v>
      </c>
      <c r="BW3404" t="str">
        <f t="shared" si="1584"/>
        <v>14:47:22.503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6</v>
      </c>
      <c r="CP3404" t="s">
        <v>119</v>
      </c>
      <c r="CQ3404">
        <v>358</v>
      </c>
      <c r="CR3404">
        <v>0</v>
      </c>
      <c r="CW3404">
        <v>4980334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1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 t="shared" si="1581"/>
        <v>05/12/2020 14:47:04.670</v>
      </c>
      <c r="C3405" t="str">
        <f t="shared" si="1560"/>
        <v>FFDFD3C0</v>
      </c>
      <c r="D3405" t="s">
        <v>126</v>
      </c>
      <c r="E3405">
        <v>7</v>
      </c>
      <c r="F3405">
        <v>1007</v>
      </c>
      <c r="G3405" t="s">
        <v>127</v>
      </c>
      <c r="J3405" t="s">
        <v>128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si="1582"/>
        <v>14:47:22.500</v>
      </c>
      <c r="T3405" t="str">
        <f t="shared" si="1583"/>
        <v>14:47:22.200</v>
      </c>
      <c r="U3405" t="str">
        <f t="shared" si="1580"/>
        <v>A9808D</v>
      </c>
      <c r="V3405">
        <v>0</v>
      </c>
      <c r="W3405">
        <v>0</v>
      </c>
      <c r="X3405">
        <v>1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0</v>
      </c>
      <c r="AI3405" t="s">
        <v>802</v>
      </c>
      <c r="AJ3405">
        <v>28.251901</v>
      </c>
      <c r="AK3405" t="s">
        <v>803</v>
      </c>
      <c r="AL3405">
        <v>-82.261590999999996</v>
      </c>
      <c r="AM3405">
        <v>100</v>
      </c>
      <c r="AN3405">
        <v>2300</v>
      </c>
      <c r="AO3405" t="s">
        <v>118</v>
      </c>
      <c r="AP3405">
        <v>68</v>
      </c>
      <c r="AQ3405">
        <v>119</v>
      </c>
      <c r="AR3405">
        <v>-704</v>
      </c>
      <c r="AZ3405">
        <v>1200</v>
      </c>
      <c r="BA3405">
        <v>1</v>
      </c>
      <c r="BB3405" t="str">
        <f t="shared" si="1561"/>
        <v xml:space="preserve">N711JA  </v>
      </c>
      <c r="BC3405">
        <v>1</v>
      </c>
      <c r="BE3405">
        <v>0</v>
      </c>
      <c r="BF3405">
        <v>0</v>
      </c>
      <c r="BG3405">
        <v>0</v>
      </c>
      <c r="BH3405">
        <v>2275</v>
      </c>
      <c r="BI3405">
        <v>1</v>
      </c>
      <c r="BJ3405">
        <v>1</v>
      </c>
      <c r="BK3405">
        <v>0</v>
      </c>
      <c r="BL3405">
        <v>0</v>
      </c>
      <c r="BO3405">
        <v>0</v>
      </c>
      <c r="BP3405">
        <v>0</v>
      </c>
      <c r="BW3405" t="str">
        <f t="shared" si="1584"/>
        <v>14:47:22.503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6</v>
      </c>
      <c r="CP3405" t="s">
        <v>119</v>
      </c>
      <c r="CQ3405">
        <v>358</v>
      </c>
      <c r="CR3405">
        <v>0</v>
      </c>
      <c r="CW3405">
        <v>4980334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1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 t="shared" si="1581"/>
        <v>05/12/2020 14:47:04.670</v>
      </c>
      <c r="C3406" t="str">
        <f t="shared" si="1560"/>
        <v>FFDFD3C0</v>
      </c>
      <c r="D3406" t="s">
        <v>131</v>
      </c>
      <c r="E3406">
        <v>10</v>
      </c>
      <c r="F3406">
        <v>2010</v>
      </c>
      <c r="G3406" t="s">
        <v>132</v>
      </c>
      <c r="J3406" t="s">
        <v>133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si="1582"/>
        <v>14:47:22.500</v>
      </c>
      <c r="T3406" t="str">
        <f t="shared" si="1583"/>
        <v>14:47:22.200</v>
      </c>
      <c r="U3406" t="str">
        <f t="shared" si="1580"/>
        <v>A9808D</v>
      </c>
      <c r="V3406">
        <v>0</v>
      </c>
      <c r="W3406">
        <v>0</v>
      </c>
      <c r="X3406">
        <v>1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0</v>
      </c>
      <c r="AI3406" t="s">
        <v>802</v>
      </c>
      <c r="AJ3406">
        <v>28.251901</v>
      </c>
      <c r="AK3406" t="s">
        <v>803</v>
      </c>
      <c r="AL3406">
        <v>-82.261590999999996</v>
      </c>
      <c r="AM3406">
        <v>100</v>
      </c>
      <c r="AN3406">
        <v>2300</v>
      </c>
      <c r="AO3406" t="s">
        <v>118</v>
      </c>
      <c r="AP3406">
        <v>68</v>
      </c>
      <c r="AQ3406">
        <v>119</v>
      </c>
      <c r="AR3406">
        <v>-704</v>
      </c>
      <c r="AZ3406">
        <v>1200</v>
      </c>
      <c r="BA3406">
        <v>1</v>
      </c>
      <c r="BB3406" t="str">
        <f t="shared" si="1561"/>
        <v xml:space="preserve">N711JA  </v>
      </c>
      <c r="BC3406">
        <v>1</v>
      </c>
      <c r="BE3406">
        <v>0</v>
      </c>
      <c r="BF3406">
        <v>0</v>
      </c>
      <c r="BG3406">
        <v>0</v>
      </c>
      <c r="BH3406">
        <v>2275</v>
      </c>
      <c r="BI3406">
        <v>1</v>
      </c>
      <c r="BJ3406">
        <v>1</v>
      </c>
      <c r="BK3406">
        <v>0</v>
      </c>
      <c r="BL3406">
        <v>0</v>
      </c>
      <c r="BO3406">
        <v>0</v>
      </c>
      <c r="BP3406">
        <v>0</v>
      </c>
      <c r="BW3406" t="str">
        <f t="shared" si="1584"/>
        <v>14:47:22.503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6</v>
      </c>
      <c r="CP3406" t="s">
        <v>119</v>
      </c>
      <c r="CQ3406">
        <v>358</v>
      </c>
      <c r="CR3406">
        <v>0</v>
      </c>
      <c r="CW3406">
        <v>4980334</v>
      </c>
      <c r="CY3406">
        <v>1</v>
      </c>
      <c r="CZ3406">
        <v>0</v>
      </c>
      <c r="DA3406">
        <v>1</v>
      </c>
      <c r="DB3406">
        <v>0</v>
      </c>
      <c r="DC3406">
        <v>0</v>
      </c>
      <c r="DD3406">
        <v>1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 t="shared" si="1581"/>
        <v>05/12/2020 14:47:04.670</v>
      </c>
      <c r="C3407" t="str">
        <f t="shared" si="1560"/>
        <v>FFDFD3C0</v>
      </c>
      <c r="D3407" t="s">
        <v>131</v>
      </c>
      <c r="E3407">
        <v>12</v>
      </c>
      <c r="F3407">
        <v>2012</v>
      </c>
      <c r="G3407" t="s">
        <v>137</v>
      </c>
      <c r="J3407" t="s">
        <v>133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582"/>
        <v>14:47:22.500</v>
      </c>
      <c r="T3407" t="str">
        <f t="shared" si="1583"/>
        <v>14:47:22.200</v>
      </c>
      <c r="U3407" t="str">
        <f t="shared" si="1580"/>
        <v>A9808D</v>
      </c>
      <c r="V3407">
        <v>0</v>
      </c>
      <c r="W3407">
        <v>0</v>
      </c>
      <c r="X3407">
        <v>1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0</v>
      </c>
      <c r="AI3407" t="s">
        <v>802</v>
      </c>
      <c r="AJ3407">
        <v>28.251901</v>
      </c>
      <c r="AK3407" t="s">
        <v>803</v>
      </c>
      <c r="AL3407">
        <v>-82.261590999999996</v>
      </c>
      <c r="AM3407">
        <v>100</v>
      </c>
      <c r="AN3407">
        <v>2300</v>
      </c>
      <c r="AO3407" t="s">
        <v>118</v>
      </c>
      <c r="AP3407">
        <v>68</v>
      </c>
      <c r="AQ3407">
        <v>119</v>
      </c>
      <c r="AR3407">
        <v>-704</v>
      </c>
      <c r="AZ3407">
        <v>1200</v>
      </c>
      <c r="BA3407">
        <v>1</v>
      </c>
      <c r="BB3407" t="str">
        <f t="shared" si="1561"/>
        <v xml:space="preserve">N711JA  </v>
      </c>
      <c r="BC3407">
        <v>1</v>
      </c>
      <c r="BE3407">
        <v>0</v>
      </c>
      <c r="BF3407">
        <v>0</v>
      </c>
      <c r="BG3407">
        <v>0</v>
      </c>
      <c r="BH3407">
        <v>2275</v>
      </c>
      <c r="BI3407">
        <v>1</v>
      </c>
      <c r="BJ3407">
        <v>1</v>
      </c>
      <c r="BK3407">
        <v>0</v>
      </c>
      <c r="BL3407">
        <v>0</v>
      </c>
      <c r="BO3407">
        <v>0</v>
      </c>
      <c r="BP3407">
        <v>0</v>
      </c>
      <c r="BW3407" t="str">
        <f t="shared" si="1584"/>
        <v>14:47:22.503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6</v>
      </c>
      <c r="CP3407" t="s">
        <v>119</v>
      </c>
      <c r="CQ3407">
        <v>56</v>
      </c>
      <c r="CR3407">
        <v>2</v>
      </c>
      <c r="CW3407">
        <v>5004811</v>
      </c>
      <c r="CY3407">
        <v>1</v>
      </c>
      <c r="CZ3407">
        <v>0</v>
      </c>
      <c r="DA3407">
        <v>1</v>
      </c>
      <c r="DB3407">
        <v>0</v>
      </c>
      <c r="DC3407">
        <v>0</v>
      </c>
      <c r="DD3407">
        <v>1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 t="shared" si="1581"/>
        <v>05/12/2020 14:47:04.670</v>
      </c>
      <c r="C3408" t="str">
        <f t="shared" si="1560"/>
        <v>FFDFD3C0</v>
      </c>
      <c r="D3408" t="s">
        <v>131</v>
      </c>
      <c r="E3408">
        <v>18</v>
      </c>
      <c r="F3408">
        <v>2018</v>
      </c>
      <c r="G3408" t="s">
        <v>161</v>
      </c>
      <c r="J3408" t="s">
        <v>133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582"/>
        <v>14:47:22.500</v>
      </c>
      <c r="T3408" t="str">
        <f t="shared" si="1583"/>
        <v>14:47:22.200</v>
      </c>
      <c r="U3408" t="str">
        <f t="shared" si="1580"/>
        <v>A9808D</v>
      </c>
      <c r="V3408">
        <v>0</v>
      </c>
      <c r="W3408">
        <v>0</v>
      </c>
      <c r="X3408">
        <v>1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0</v>
      </c>
      <c r="AI3408" t="s">
        <v>802</v>
      </c>
      <c r="AJ3408">
        <v>28.251901</v>
      </c>
      <c r="AK3408" t="s">
        <v>803</v>
      </c>
      <c r="AL3408">
        <v>-82.261590999999996</v>
      </c>
      <c r="AM3408">
        <v>100</v>
      </c>
      <c r="AN3408">
        <v>2300</v>
      </c>
      <c r="AO3408" t="s">
        <v>118</v>
      </c>
      <c r="AP3408">
        <v>68</v>
      </c>
      <c r="AQ3408">
        <v>119</v>
      </c>
      <c r="AR3408">
        <v>-704</v>
      </c>
      <c r="AZ3408">
        <v>1200</v>
      </c>
      <c r="BA3408">
        <v>1</v>
      </c>
      <c r="BB3408" t="str">
        <f t="shared" si="1561"/>
        <v xml:space="preserve">N711JA  </v>
      </c>
      <c r="BC3408">
        <v>1</v>
      </c>
      <c r="BE3408">
        <v>0</v>
      </c>
      <c r="BF3408">
        <v>0</v>
      </c>
      <c r="BG3408">
        <v>0</v>
      </c>
      <c r="BH3408">
        <v>2275</v>
      </c>
      <c r="BI3408">
        <v>1</v>
      </c>
      <c r="BJ3408">
        <v>1</v>
      </c>
      <c r="BK3408">
        <v>0</v>
      </c>
      <c r="BL3408">
        <v>0</v>
      </c>
      <c r="BO3408">
        <v>0</v>
      </c>
      <c r="BP3408">
        <v>0</v>
      </c>
      <c r="BW3408" t="str">
        <f t="shared" si="1584"/>
        <v>14:47:22.503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6</v>
      </c>
      <c r="CP3408" t="s">
        <v>119</v>
      </c>
      <c r="CQ3408">
        <v>56</v>
      </c>
      <c r="CR3408">
        <v>2</v>
      </c>
      <c r="CW3408">
        <v>5004811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1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 t="shared" si="1581"/>
        <v>05/12/2020 14:47:04.670</v>
      </c>
      <c r="C3409" t="str">
        <f t="shared" si="1560"/>
        <v>FFDFD3C0</v>
      </c>
      <c r="D3409" t="s">
        <v>113</v>
      </c>
      <c r="E3409">
        <v>3</v>
      </c>
      <c r="H3409">
        <v>164</v>
      </c>
      <c r="I3409" t="s">
        <v>114</v>
      </c>
      <c r="J3409" t="s">
        <v>115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582"/>
        <v>14:47:22.500</v>
      </c>
      <c r="T3409" t="str">
        <f t="shared" si="1583"/>
        <v>14:47:22.200</v>
      </c>
      <c r="U3409" t="str">
        <f t="shared" si="1580"/>
        <v>A9808D</v>
      </c>
      <c r="V3409">
        <v>0</v>
      </c>
      <c r="W3409">
        <v>0</v>
      </c>
      <c r="X3409">
        <v>1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0</v>
      </c>
      <c r="AI3409" t="s">
        <v>802</v>
      </c>
      <c r="AJ3409">
        <v>28.251901</v>
      </c>
      <c r="AK3409" t="s">
        <v>803</v>
      </c>
      <c r="AL3409">
        <v>-82.261590999999996</v>
      </c>
      <c r="AM3409">
        <v>100</v>
      </c>
      <c r="AN3409">
        <v>2300</v>
      </c>
      <c r="AO3409" t="s">
        <v>118</v>
      </c>
      <c r="AP3409">
        <v>68</v>
      </c>
      <c r="AQ3409">
        <v>119</v>
      </c>
      <c r="AR3409">
        <v>-704</v>
      </c>
      <c r="AZ3409">
        <v>1200</v>
      </c>
      <c r="BA3409">
        <v>1</v>
      </c>
      <c r="BB3409" t="str">
        <f t="shared" si="1561"/>
        <v xml:space="preserve">N711JA  </v>
      </c>
      <c r="BC3409">
        <v>1</v>
      </c>
      <c r="BE3409">
        <v>0</v>
      </c>
      <c r="BF3409">
        <v>0</v>
      </c>
      <c r="BG3409">
        <v>0</v>
      </c>
      <c r="BH3409">
        <v>2275</v>
      </c>
      <c r="BI3409">
        <v>1</v>
      </c>
      <c r="BJ3409">
        <v>1</v>
      </c>
      <c r="BK3409">
        <v>0</v>
      </c>
      <c r="BL3409">
        <v>0</v>
      </c>
      <c r="BO3409">
        <v>0</v>
      </c>
      <c r="BP3409">
        <v>0</v>
      </c>
      <c r="BW3409" t="str">
        <f t="shared" si="1584"/>
        <v>14:47:22.503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6</v>
      </c>
      <c r="CP3409" t="s">
        <v>119</v>
      </c>
      <c r="CQ3409">
        <v>56</v>
      </c>
      <c r="CR3409">
        <v>2</v>
      </c>
      <c r="CW3409">
        <v>5004811</v>
      </c>
      <c r="CY3409">
        <v>1</v>
      </c>
      <c r="CZ3409">
        <v>0</v>
      </c>
      <c r="DA3409">
        <v>1</v>
      </c>
      <c r="DB3409">
        <v>0</v>
      </c>
      <c r="DC3409">
        <v>0</v>
      </c>
      <c r="DD3409">
        <v>1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 t="shared" ref="A3410:A3418" si="1585">"05/12/2020 14:47:05.860"</f>
        <v>05/12/2020 14:47:05.860</v>
      </c>
      <c r="C3410" t="str">
        <f t="shared" si="1560"/>
        <v>FFDFD3C0</v>
      </c>
      <c r="D3410" t="s">
        <v>126</v>
      </c>
      <c r="E3410">
        <v>7</v>
      </c>
      <c r="F3410">
        <v>1007</v>
      </c>
      <c r="G3410" t="s">
        <v>127</v>
      </c>
      <c r="J3410" t="s">
        <v>128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ref="S3410:T3418" si="1586">"14:47:23.680"</f>
        <v>14:47:23.680</v>
      </c>
      <c r="T3410" t="str">
        <f t="shared" si="1586"/>
        <v>14:47:23.680</v>
      </c>
      <c r="U3410" t="str">
        <f t="shared" si="1580"/>
        <v>A9808D</v>
      </c>
      <c r="V3410">
        <v>0</v>
      </c>
      <c r="W3410">
        <v>0</v>
      </c>
      <c r="X3410">
        <v>1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0</v>
      </c>
      <c r="AI3410" t="s">
        <v>804</v>
      </c>
      <c r="AJ3410">
        <v>28.252523</v>
      </c>
      <c r="AK3410" t="s">
        <v>805</v>
      </c>
      <c r="AL3410">
        <v>-82.261291</v>
      </c>
      <c r="AM3410">
        <v>100</v>
      </c>
      <c r="AN3410">
        <v>2300</v>
      </c>
      <c r="AO3410" t="s">
        <v>118</v>
      </c>
      <c r="AP3410">
        <v>57</v>
      </c>
      <c r="AQ3410">
        <v>126</v>
      </c>
      <c r="AR3410">
        <v>-576</v>
      </c>
      <c r="AZ3410">
        <v>1200</v>
      </c>
      <c r="BA3410">
        <v>1</v>
      </c>
      <c r="BB3410" t="str">
        <f t="shared" si="1561"/>
        <v xml:space="preserve">N711JA  </v>
      </c>
      <c r="BC3410">
        <v>1</v>
      </c>
      <c r="BE3410">
        <v>0</v>
      </c>
      <c r="BF3410">
        <v>0</v>
      </c>
      <c r="BG3410">
        <v>0</v>
      </c>
      <c r="BH3410">
        <v>2275</v>
      </c>
      <c r="BI3410">
        <v>1</v>
      </c>
      <c r="BJ3410">
        <v>1</v>
      </c>
      <c r="BK3410">
        <v>0</v>
      </c>
      <c r="BL3410">
        <v>0</v>
      </c>
      <c r="BO3410">
        <v>0</v>
      </c>
      <c r="BP3410">
        <v>0</v>
      </c>
      <c r="BW3410" t="str">
        <f t="shared" ref="BW3410:BW3418" si="1587">"14:47:23.687"</f>
        <v>14:47:23.687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6</v>
      </c>
      <c r="CP3410" t="s">
        <v>119</v>
      </c>
      <c r="CQ3410">
        <v>358</v>
      </c>
      <c r="CR3410">
        <v>0</v>
      </c>
      <c r="CW3410">
        <v>4981792</v>
      </c>
      <c r="CY3410">
        <v>1</v>
      </c>
      <c r="CZ3410">
        <v>0</v>
      </c>
      <c r="DA3410">
        <v>0</v>
      </c>
      <c r="DB3410">
        <v>0</v>
      </c>
      <c r="DC3410">
        <v>0</v>
      </c>
      <c r="DD3410">
        <v>1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 t="shared" si="1585"/>
        <v>05/12/2020 14:47:05.860</v>
      </c>
      <c r="C3411" t="str">
        <f t="shared" si="1560"/>
        <v>FFDFD3C0</v>
      </c>
      <c r="D3411" t="s">
        <v>131</v>
      </c>
      <c r="E3411">
        <v>10</v>
      </c>
      <c r="F3411">
        <v>2010</v>
      </c>
      <c r="G3411" t="s">
        <v>132</v>
      </c>
      <c r="J3411" t="s">
        <v>133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586"/>
        <v>14:47:23.680</v>
      </c>
      <c r="T3411" t="str">
        <f t="shared" si="1586"/>
        <v>14:47:23.680</v>
      </c>
      <c r="U3411" t="str">
        <f t="shared" si="1580"/>
        <v>A9808D</v>
      </c>
      <c r="V3411">
        <v>0</v>
      </c>
      <c r="W3411">
        <v>0</v>
      </c>
      <c r="X3411">
        <v>1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0</v>
      </c>
      <c r="AI3411" t="s">
        <v>804</v>
      </c>
      <c r="AJ3411">
        <v>28.252523</v>
      </c>
      <c r="AK3411" t="s">
        <v>805</v>
      </c>
      <c r="AL3411">
        <v>-82.261291</v>
      </c>
      <c r="AM3411">
        <v>100</v>
      </c>
      <c r="AN3411">
        <v>2300</v>
      </c>
      <c r="AO3411" t="s">
        <v>118</v>
      </c>
      <c r="AP3411">
        <v>57</v>
      </c>
      <c r="AQ3411">
        <v>126</v>
      </c>
      <c r="AR3411">
        <v>-576</v>
      </c>
      <c r="AZ3411">
        <v>1200</v>
      </c>
      <c r="BA3411">
        <v>1</v>
      </c>
      <c r="BB3411" t="str">
        <f t="shared" si="1561"/>
        <v xml:space="preserve">N711JA  </v>
      </c>
      <c r="BC3411">
        <v>1</v>
      </c>
      <c r="BE3411">
        <v>0</v>
      </c>
      <c r="BF3411">
        <v>0</v>
      </c>
      <c r="BG3411">
        <v>0</v>
      </c>
      <c r="BH3411">
        <v>2275</v>
      </c>
      <c r="BI3411">
        <v>1</v>
      </c>
      <c r="BJ3411">
        <v>1</v>
      </c>
      <c r="BK3411">
        <v>0</v>
      </c>
      <c r="BL3411">
        <v>0</v>
      </c>
      <c r="BO3411">
        <v>0</v>
      </c>
      <c r="BP3411">
        <v>0</v>
      </c>
      <c r="BW3411" t="str">
        <f t="shared" si="1587"/>
        <v>14:47:23.687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6</v>
      </c>
      <c r="CP3411" t="s">
        <v>119</v>
      </c>
      <c r="CQ3411">
        <v>358</v>
      </c>
      <c r="CR3411">
        <v>0</v>
      </c>
      <c r="CW3411">
        <v>4981792</v>
      </c>
      <c r="CY3411">
        <v>1</v>
      </c>
      <c r="CZ3411">
        <v>0</v>
      </c>
      <c r="DA3411">
        <v>1</v>
      </c>
      <c r="DB3411">
        <v>0</v>
      </c>
      <c r="DC3411">
        <v>0</v>
      </c>
      <c r="DD3411">
        <v>1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 t="shared" si="1585"/>
        <v>05/12/2020 14:47:05.860</v>
      </c>
      <c r="C3412" t="str">
        <f t="shared" si="1560"/>
        <v>FFDFD3C0</v>
      </c>
      <c r="D3412" t="s">
        <v>131</v>
      </c>
      <c r="E3412">
        <v>12</v>
      </c>
      <c r="F3412">
        <v>2012</v>
      </c>
      <c r="G3412" t="s">
        <v>137</v>
      </c>
      <c r="J3412" t="s">
        <v>133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586"/>
        <v>14:47:23.680</v>
      </c>
      <c r="T3412" t="str">
        <f t="shared" si="1586"/>
        <v>14:47:23.680</v>
      </c>
      <c r="U3412" t="str">
        <f t="shared" si="1580"/>
        <v>A9808D</v>
      </c>
      <c r="V3412">
        <v>0</v>
      </c>
      <c r="W3412">
        <v>0</v>
      </c>
      <c r="X3412">
        <v>1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0</v>
      </c>
      <c r="AI3412" t="s">
        <v>804</v>
      </c>
      <c r="AJ3412">
        <v>28.252523</v>
      </c>
      <c r="AK3412" t="s">
        <v>805</v>
      </c>
      <c r="AL3412">
        <v>-82.261291</v>
      </c>
      <c r="AM3412">
        <v>100</v>
      </c>
      <c r="AN3412">
        <v>2300</v>
      </c>
      <c r="AO3412" t="s">
        <v>118</v>
      </c>
      <c r="AP3412">
        <v>57</v>
      </c>
      <c r="AQ3412">
        <v>126</v>
      </c>
      <c r="AR3412">
        <v>-576</v>
      </c>
      <c r="AZ3412">
        <v>1200</v>
      </c>
      <c r="BA3412">
        <v>1</v>
      </c>
      <c r="BB3412" t="str">
        <f t="shared" si="1561"/>
        <v xml:space="preserve">N711JA  </v>
      </c>
      <c r="BC3412">
        <v>1</v>
      </c>
      <c r="BE3412">
        <v>0</v>
      </c>
      <c r="BF3412">
        <v>0</v>
      </c>
      <c r="BG3412">
        <v>0</v>
      </c>
      <c r="BH3412">
        <v>2275</v>
      </c>
      <c r="BI3412">
        <v>1</v>
      </c>
      <c r="BJ3412">
        <v>1</v>
      </c>
      <c r="BK3412">
        <v>0</v>
      </c>
      <c r="BL3412">
        <v>0</v>
      </c>
      <c r="BO3412">
        <v>0</v>
      </c>
      <c r="BP3412">
        <v>0</v>
      </c>
      <c r="BW3412" t="str">
        <f t="shared" si="1587"/>
        <v>14:47:23.687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6</v>
      </c>
      <c r="CP3412" t="s">
        <v>119</v>
      </c>
      <c r="CQ3412">
        <v>56</v>
      </c>
      <c r="CR3412">
        <v>2</v>
      </c>
      <c r="CW3412">
        <v>5006341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1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 t="shared" si="1585"/>
        <v>05/12/2020 14:47:05.860</v>
      </c>
      <c r="C3413" t="str">
        <f t="shared" si="1560"/>
        <v>FFDFD3C0</v>
      </c>
      <c r="D3413" t="s">
        <v>131</v>
      </c>
      <c r="E3413">
        <v>18</v>
      </c>
      <c r="F3413">
        <v>2018</v>
      </c>
      <c r="G3413" t="s">
        <v>161</v>
      </c>
      <c r="J3413" t="s">
        <v>133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si="1586"/>
        <v>14:47:23.680</v>
      </c>
      <c r="T3413" t="str">
        <f t="shared" si="1586"/>
        <v>14:47:23.680</v>
      </c>
      <c r="U3413" t="str">
        <f t="shared" si="1580"/>
        <v>A9808D</v>
      </c>
      <c r="V3413">
        <v>0</v>
      </c>
      <c r="W3413">
        <v>0</v>
      </c>
      <c r="X3413">
        <v>1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0</v>
      </c>
      <c r="AI3413" t="s">
        <v>804</v>
      </c>
      <c r="AJ3413">
        <v>28.252523</v>
      </c>
      <c r="AK3413" t="s">
        <v>805</v>
      </c>
      <c r="AL3413">
        <v>-82.261291</v>
      </c>
      <c r="AM3413">
        <v>100</v>
      </c>
      <c r="AN3413">
        <v>2300</v>
      </c>
      <c r="AO3413" t="s">
        <v>118</v>
      </c>
      <c r="AP3413">
        <v>57</v>
      </c>
      <c r="AQ3413">
        <v>126</v>
      </c>
      <c r="AR3413">
        <v>-576</v>
      </c>
      <c r="AZ3413">
        <v>1200</v>
      </c>
      <c r="BA3413">
        <v>1</v>
      </c>
      <c r="BB3413" t="str">
        <f t="shared" si="1561"/>
        <v xml:space="preserve">N711JA  </v>
      </c>
      <c r="BC3413">
        <v>1</v>
      </c>
      <c r="BE3413">
        <v>0</v>
      </c>
      <c r="BF3413">
        <v>0</v>
      </c>
      <c r="BG3413">
        <v>0</v>
      </c>
      <c r="BH3413">
        <v>2275</v>
      </c>
      <c r="BI3413">
        <v>1</v>
      </c>
      <c r="BJ3413">
        <v>1</v>
      </c>
      <c r="BK3413">
        <v>0</v>
      </c>
      <c r="BL3413">
        <v>0</v>
      </c>
      <c r="BO3413">
        <v>0</v>
      </c>
      <c r="BP3413">
        <v>0</v>
      </c>
      <c r="BW3413" t="str">
        <f t="shared" si="1587"/>
        <v>14:47:23.687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6</v>
      </c>
      <c r="CP3413" t="s">
        <v>119</v>
      </c>
      <c r="CQ3413">
        <v>56</v>
      </c>
      <c r="CR3413">
        <v>2</v>
      </c>
      <c r="CW3413">
        <v>5006341</v>
      </c>
      <c r="CY3413">
        <v>1</v>
      </c>
      <c r="CZ3413">
        <v>0</v>
      </c>
      <c r="DA3413">
        <v>1</v>
      </c>
      <c r="DB3413">
        <v>0</v>
      </c>
      <c r="DC3413">
        <v>0</v>
      </c>
      <c r="DD3413">
        <v>1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 t="shared" si="1585"/>
        <v>05/12/2020 14:47:05.860</v>
      </c>
      <c r="C3414" t="str">
        <f t="shared" ref="C3414:C3477" si="1588">"FFDFD3C0"</f>
        <v>FFDFD3C0</v>
      </c>
      <c r="D3414" t="s">
        <v>126</v>
      </c>
      <c r="E3414">
        <v>6</v>
      </c>
      <c r="F3414">
        <v>1006</v>
      </c>
      <c r="G3414" t="s">
        <v>114</v>
      </c>
      <c r="J3414" t="s">
        <v>128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586"/>
        <v>14:47:23.680</v>
      </c>
      <c r="T3414" t="str">
        <f t="shared" si="1586"/>
        <v>14:47:23.680</v>
      </c>
      <c r="U3414" t="str">
        <f t="shared" si="1580"/>
        <v>A9808D</v>
      </c>
      <c r="V3414">
        <v>0</v>
      </c>
      <c r="W3414">
        <v>0</v>
      </c>
      <c r="X3414">
        <v>1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0</v>
      </c>
      <c r="AI3414" t="s">
        <v>804</v>
      </c>
      <c r="AJ3414">
        <v>28.252523</v>
      </c>
      <c r="AK3414" t="s">
        <v>805</v>
      </c>
      <c r="AL3414">
        <v>-82.261291</v>
      </c>
      <c r="AM3414">
        <v>100</v>
      </c>
      <c r="AN3414">
        <v>2300</v>
      </c>
      <c r="AO3414" t="s">
        <v>118</v>
      </c>
      <c r="AP3414">
        <v>57</v>
      </c>
      <c r="AQ3414">
        <v>126</v>
      </c>
      <c r="AR3414">
        <v>-576</v>
      </c>
      <c r="AZ3414">
        <v>1200</v>
      </c>
      <c r="BA3414">
        <v>1</v>
      </c>
      <c r="BB3414" t="str">
        <f t="shared" ref="BB3414:BB3477" si="1589">"N711JA  "</f>
        <v xml:space="preserve">N711JA  </v>
      </c>
      <c r="BC3414">
        <v>1</v>
      </c>
      <c r="BE3414">
        <v>0</v>
      </c>
      <c r="BF3414">
        <v>0</v>
      </c>
      <c r="BG3414">
        <v>0</v>
      </c>
      <c r="BH3414">
        <v>2275</v>
      </c>
      <c r="BI3414">
        <v>1</v>
      </c>
      <c r="BJ3414">
        <v>1</v>
      </c>
      <c r="BK3414">
        <v>0</v>
      </c>
      <c r="BL3414">
        <v>0</v>
      </c>
      <c r="BO3414">
        <v>0</v>
      </c>
      <c r="BP3414">
        <v>0</v>
      </c>
      <c r="BW3414" t="str">
        <f t="shared" si="1587"/>
        <v>14:47:23.687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6</v>
      </c>
      <c r="CP3414" t="s">
        <v>119</v>
      </c>
      <c r="CQ3414">
        <v>358</v>
      </c>
      <c r="CR3414">
        <v>0</v>
      </c>
      <c r="CW3414">
        <v>4981792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1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 t="shared" si="1585"/>
        <v>05/12/2020 14:47:05.860</v>
      </c>
      <c r="C3415" t="str">
        <f t="shared" si="1588"/>
        <v>FFDFD3C0</v>
      </c>
      <c r="D3415" t="s">
        <v>113</v>
      </c>
      <c r="E3415">
        <v>3</v>
      </c>
      <c r="H3415">
        <v>164</v>
      </c>
      <c r="I3415" t="s">
        <v>114</v>
      </c>
      <c r="J3415" t="s">
        <v>115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586"/>
        <v>14:47:23.680</v>
      </c>
      <c r="T3415" t="str">
        <f t="shared" si="1586"/>
        <v>14:47:23.680</v>
      </c>
      <c r="U3415" t="str">
        <f t="shared" si="1580"/>
        <v>A9808D</v>
      </c>
      <c r="V3415">
        <v>0</v>
      </c>
      <c r="W3415">
        <v>0</v>
      </c>
      <c r="X3415">
        <v>1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0</v>
      </c>
      <c r="AI3415" t="s">
        <v>804</v>
      </c>
      <c r="AJ3415">
        <v>28.252523</v>
      </c>
      <c r="AK3415" t="s">
        <v>805</v>
      </c>
      <c r="AL3415">
        <v>-82.261291</v>
      </c>
      <c r="AM3415">
        <v>100</v>
      </c>
      <c r="AN3415">
        <v>2300</v>
      </c>
      <c r="AO3415" t="s">
        <v>118</v>
      </c>
      <c r="AP3415">
        <v>57</v>
      </c>
      <c r="AQ3415">
        <v>126</v>
      </c>
      <c r="AR3415">
        <v>-576</v>
      </c>
      <c r="AZ3415">
        <v>1200</v>
      </c>
      <c r="BA3415">
        <v>1</v>
      </c>
      <c r="BB3415" t="str">
        <f t="shared" si="1589"/>
        <v xml:space="preserve">N711JA  </v>
      </c>
      <c r="BC3415">
        <v>1</v>
      </c>
      <c r="BE3415">
        <v>0</v>
      </c>
      <c r="BF3415">
        <v>0</v>
      </c>
      <c r="BG3415">
        <v>0</v>
      </c>
      <c r="BH3415">
        <v>2275</v>
      </c>
      <c r="BI3415">
        <v>1</v>
      </c>
      <c r="BJ3415">
        <v>1</v>
      </c>
      <c r="BK3415">
        <v>0</v>
      </c>
      <c r="BL3415">
        <v>0</v>
      </c>
      <c r="BO3415">
        <v>0</v>
      </c>
      <c r="BP3415">
        <v>0</v>
      </c>
      <c r="BW3415" t="str">
        <f t="shared" si="1587"/>
        <v>14:47:23.687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6</v>
      </c>
      <c r="CP3415" t="s">
        <v>119</v>
      </c>
      <c r="CQ3415">
        <v>56</v>
      </c>
      <c r="CR3415">
        <v>2</v>
      </c>
      <c r="CW3415">
        <v>5006341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1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 t="shared" si="1585"/>
        <v>05/12/2020 14:47:05.860</v>
      </c>
      <c r="C3416" t="str">
        <f t="shared" si="1588"/>
        <v>FFDFD3C0</v>
      </c>
      <c r="D3416" t="s">
        <v>134</v>
      </c>
      <c r="E3416">
        <v>12</v>
      </c>
      <c r="H3416">
        <v>64</v>
      </c>
      <c r="I3416" t="s">
        <v>135</v>
      </c>
      <c r="J3416" t="s">
        <v>136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586"/>
        <v>14:47:23.680</v>
      </c>
      <c r="T3416" t="str">
        <f t="shared" si="1586"/>
        <v>14:47:23.680</v>
      </c>
      <c r="U3416" t="str">
        <f t="shared" si="1580"/>
        <v>A9808D</v>
      </c>
      <c r="V3416">
        <v>0</v>
      </c>
      <c r="W3416">
        <v>0</v>
      </c>
      <c r="X3416">
        <v>1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0</v>
      </c>
      <c r="AI3416" t="s">
        <v>804</v>
      </c>
      <c r="AJ3416">
        <v>28.252523</v>
      </c>
      <c r="AK3416" t="s">
        <v>805</v>
      </c>
      <c r="AL3416">
        <v>-82.261291</v>
      </c>
      <c r="AM3416">
        <v>100</v>
      </c>
      <c r="AN3416">
        <v>2300</v>
      </c>
      <c r="AO3416" t="s">
        <v>118</v>
      </c>
      <c r="AP3416">
        <v>57</v>
      </c>
      <c r="AQ3416">
        <v>126</v>
      </c>
      <c r="AR3416">
        <v>-576</v>
      </c>
      <c r="AZ3416">
        <v>1200</v>
      </c>
      <c r="BA3416">
        <v>1</v>
      </c>
      <c r="BB3416" t="str">
        <f t="shared" si="1589"/>
        <v xml:space="preserve">N711JA  </v>
      </c>
      <c r="BC3416">
        <v>1</v>
      </c>
      <c r="BE3416">
        <v>0</v>
      </c>
      <c r="BF3416">
        <v>0</v>
      </c>
      <c r="BG3416">
        <v>0</v>
      </c>
      <c r="BH3416">
        <v>2275</v>
      </c>
      <c r="BI3416">
        <v>1</v>
      </c>
      <c r="BJ3416">
        <v>1</v>
      </c>
      <c r="BK3416">
        <v>0</v>
      </c>
      <c r="BL3416">
        <v>0</v>
      </c>
      <c r="BO3416">
        <v>0</v>
      </c>
      <c r="BP3416">
        <v>0</v>
      </c>
      <c r="BW3416" t="str">
        <f t="shared" si="1587"/>
        <v>14:47:23.687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6</v>
      </c>
      <c r="CP3416" t="s">
        <v>119</v>
      </c>
      <c r="CQ3416">
        <v>358</v>
      </c>
      <c r="CR3416">
        <v>0</v>
      </c>
      <c r="CW3416">
        <v>4981792</v>
      </c>
      <c r="CY3416">
        <v>1</v>
      </c>
      <c r="CZ3416">
        <v>0</v>
      </c>
      <c r="DA3416">
        <v>1</v>
      </c>
      <c r="DB3416">
        <v>0</v>
      </c>
      <c r="DC3416">
        <v>0</v>
      </c>
      <c r="DD3416">
        <v>1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 t="shared" si="1585"/>
        <v>05/12/2020 14:47:05.860</v>
      </c>
      <c r="C3417" t="str">
        <f t="shared" si="1588"/>
        <v>FFDFD3C0</v>
      </c>
      <c r="D3417" t="s">
        <v>138</v>
      </c>
      <c r="E3417">
        <v>2</v>
      </c>
      <c r="H3417">
        <v>8</v>
      </c>
      <c r="I3417" t="s">
        <v>139</v>
      </c>
      <c r="J3417" t="s">
        <v>136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586"/>
        <v>14:47:23.680</v>
      </c>
      <c r="T3417" t="str">
        <f t="shared" si="1586"/>
        <v>14:47:23.680</v>
      </c>
      <c r="U3417" t="str">
        <f t="shared" si="1580"/>
        <v>A9808D</v>
      </c>
      <c r="V3417">
        <v>0</v>
      </c>
      <c r="W3417">
        <v>0</v>
      </c>
      <c r="X3417">
        <v>1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0</v>
      </c>
      <c r="AI3417" t="s">
        <v>804</v>
      </c>
      <c r="AJ3417">
        <v>28.252523</v>
      </c>
      <c r="AK3417" t="s">
        <v>805</v>
      </c>
      <c r="AL3417">
        <v>-82.261291</v>
      </c>
      <c r="AM3417">
        <v>100</v>
      </c>
      <c r="AN3417">
        <v>2300</v>
      </c>
      <c r="AO3417" t="s">
        <v>118</v>
      </c>
      <c r="AP3417">
        <v>57</v>
      </c>
      <c r="AQ3417">
        <v>126</v>
      </c>
      <c r="AR3417">
        <v>-576</v>
      </c>
      <c r="AZ3417">
        <v>1200</v>
      </c>
      <c r="BA3417">
        <v>1</v>
      </c>
      <c r="BB3417" t="str">
        <f t="shared" si="1589"/>
        <v xml:space="preserve">N711JA  </v>
      </c>
      <c r="BC3417">
        <v>1</v>
      </c>
      <c r="BE3417">
        <v>0</v>
      </c>
      <c r="BF3417">
        <v>0</v>
      </c>
      <c r="BG3417">
        <v>0</v>
      </c>
      <c r="BH3417">
        <v>2275</v>
      </c>
      <c r="BI3417">
        <v>1</v>
      </c>
      <c r="BJ3417">
        <v>1</v>
      </c>
      <c r="BK3417">
        <v>0</v>
      </c>
      <c r="BL3417">
        <v>0</v>
      </c>
      <c r="BO3417">
        <v>0</v>
      </c>
      <c r="BP3417">
        <v>0</v>
      </c>
      <c r="BW3417" t="str">
        <f t="shared" si="1587"/>
        <v>14:47:23.687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6</v>
      </c>
      <c r="CP3417" t="s">
        <v>119</v>
      </c>
      <c r="CQ3417">
        <v>56</v>
      </c>
      <c r="CR3417">
        <v>2</v>
      </c>
      <c r="CW3417">
        <v>5006341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1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 t="shared" si="1585"/>
        <v>05/12/2020 14:47:05.860</v>
      </c>
      <c r="C3418" t="str">
        <f t="shared" si="1588"/>
        <v>FFDFD3C0</v>
      </c>
      <c r="D3418" t="s">
        <v>138</v>
      </c>
      <c r="E3418">
        <v>3</v>
      </c>
      <c r="H3418">
        <v>9</v>
      </c>
      <c r="I3418" t="s">
        <v>140</v>
      </c>
      <c r="J3418" t="s">
        <v>136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586"/>
        <v>14:47:23.680</v>
      </c>
      <c r="T3418" t="str">
        <f t="shared" si="1586"/>
        <v>14:47:23.680</v>
      </c>
      <c r="U3418" t="str">
        <f t="shared" si="1580"/>
        <v>A9808D</v>
      </c>
      <c r="V3418">
        <v>0</v>
      </c>
      <c r="W3418">
        <v>0</v>
      </c>
      <c r="X3418">
        <v>1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0</v>
      </c>
      <c r="AI3418" t="s">
        <v>804</v>
      </c>
      <c r="AJ3418">
        <v>28.252523</v>
      </c>
      <c r="AK3418" t="s">
        <v>805</v>
      </c>
      <c r="AL3418">
        <v>-82.261291</v>
      </c>
      <c r="AM3418">
        <v>100</v>
      </c>
      <c r="AN3418">
        <v>2300</v>
      </c>
      <c r="AO3418" t="s">
        <v>118</v>
      </c>
      <c r="AP3418">
        <v>57</v>
      </c>
      <c r="AQ3418">
        <v>126</v>
      </c>
      <c r="AR3418">
        <v>-576</v>
      </c>
      <c r="AZ3418">
        <v>1200</v>
      </c>
      <c r="BA3418">
        <v>1</v>
      </c>
      <c r="BB3418" t="str">
        <f t="shared" si="1589"/>
        <v xml:space="preserve">N711JA  </v>
      </c>
      <c r="BC3418">
        <v>1</v>
      </c>
      <c r="BE3418">
        <v>0</v>
      </c>
      <c r="BF3418">
        <v>0</v>
      </c>
      <c r="BG3418">
        <v>0</v>
      </c>
      <c r="BH3418">
        <v>2275</v>
      </c>
      <c r="BI3418">
        <v>1</v>
      </c>
      <c r="BJ3418">
        <v>1</v>
      </c>
      <c r="BK3418">
        <v>0</v>
      </c>
      <c r="BL3418">
        <v>0</v>
      </c>
      <c r="BO3418">
        <v>0</v>
      </c>
      <c r="BP3418">
        <v>0</v>
      </c>
      <c r="BW3418" t="str">
        <f t="shared" si="1587"/>
        <v>14:47:23.687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6</v>
      </c>
      <c r="CP3418" t="s">
        <v>119</v>
      </c>
      <c r="CQ3418">
        <v>358</v>
      </c>
      <c r="CR3418">
        <v>0</v>
      </c>
      <c r="CW3418">
        <v>4981792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1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 t="shared" ref="A3419:A3427" si="1590">"05/12/2020 14:47:06.879"</f>
        <v>05/12/2020 14:47:06.879</v>
      </c>
      <c r="C3419" t="str">
        <f t="shared" si="1588"/>
        <v>FFDFD3C0</v>
      </c>
      <c r="D3419" t="s">
        <v>126</v>
      </c>
      <c r="E3419">
        <v>6</v>
      </c>
      <c r="F3419">
        <v>1006</v>
      </c>
      <c r="G3419" t="s">
        <v>114</v>
      </c>
      <c r="J3419" t="s">
        <v>128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 t="shared" ref="S3419:S3427" si="1591">"14:47:24.703"</f>
        <v>14:47:24.703</v>
      </c>
      <c r="T3419" t="str">
        <f t="shared" ref="T3419:T3427" si="1592">"14:47:24.603"</f>
        <v>14:47:24.603</v>
      </c>
      <c r="U3419" t="str">
        <f t="shared" si="1580"/>
        <v>A9808D</v>
      </c>
      <c r="V3419">
        <v>0</v>
      </c>
      <c r="W3419">
        <v>0</v>
      </c>
      <c r="X3419">
        <v>1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0</v>
      </c>
      <c r="AI3419" t="s">
        <v>806</v>
      </c>
      <c r="AJ3419">
        <v>28.253209999999999</v>
      </c>
      <c r="AK3419" t="s">
        <v>807</v>
      </c>
      <c r="AL3419">
        <v>-82.260990000000007</v>
      </c>
      <c r="AM3419">
        <v>100</v>
      </c>
      <c r="AN3419">
        <v>2200</v>
      </c>
      <c r="AO3419" t="s">
        <v>118</v>
      </c>
      <c r="AP3419">
        <v>51</v>
      </c>
      <c r="AQ3419">
        <v>129</v>
      </c>
      <c r="AR3419">
        <v>-512</v>
      </c>
      <c r="AZ3419">
        <v>1200</v>
      </c>
      <c r="BA3419">
        <v>1</v>
      </c>
      <c r="BB3419" t="str">
        <f t="shared" si="1589"/>
        <v xml:space="preserve">N711JA  </v>
      </c>
      <c r="BC3419">
        <v>1</v>
      </c>
      <c r="BE3419">
        <v>0</v>
      </c>
      <c r="BF3419">
        <v>0</v>
      </c>
      <c r="BG3419">
        <v>0</v>
      </c>
      <c r="BH3419">
        <v>2250</v>
      </c>
      <c r="BI3419">
        <v>1</v>
      </c>
      <c r="BJ3419">
        <v>1</v>
      </c>
      <c r="BK3419">
        <v>0</v>
      </c>
      <c r="BL3419">
        <v>0</v>
      </c>
      <c r="BO3419">
        <v>0</v>
      </c>
      <c r="BP3419">
        <v>0</v>
      </c>
      <c r="BW3419" t="str">
        <f t="shared" ref="BW3419:BW3427" si="1593">"14:47:24.709"</f>
        <v>14:47:24.709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6</v>
      </c>
      <c r="CP3419" t="s">
        <v>119</v>
      </c>
      <c r="CQ3419">
        <v>358</v>
      </c>
      <c r="CR3419">
        <v>0</v>
      </c>
      <c r="CW3419">
        <v>4983074</v>
      </c>
      <c r="CY3419">
        <v>1</v>
      </c>
      <c r="CZ3419">
        <v>0</v>
      </c>
      <c r="DA3419">
        <v>0</v>
      </c>
      <c r="DB3419">
        <v>0</v>
      </c>
      <c r="DC3419">
        <v>0</v>
      </c>
      <c r="DD3419">
        <v>1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 t="shared" si="1590"/>
        <v>05/12/2020 14:47:06.879</v>
      </c>
      <c r="C3420" t="str">
        <f t="shared" si="1588"/>
        <v>FFDFD3C0</v>
      </c>
      <c r="D3420" t="s">
        <v>113</v>
      </c>
      <c r="E3420">
        <v>3</v>
      </c>
      <c r="H3420">
        <v>164</v>
      </c>
      <c r="I3420" t="s">
        <v>114</v>
      </c>
      <c r="J3420" t="s">
        <v>115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 t="shared" si="1591"/>
        <v>14:47:24.703</v>
      </c>
      <c r="T3420" t="str">
        <f t="shared" si="1592"/>
        <v>14:47:24.603</v>
      </c>
      <c r="U3420" t="str">
        <f t="shared" si="1580"/>
        <v>A9808D</v>
      </c>
      <c r="V3420">
        <v>0</v>
      </c>
      <c r="W3420">
        <v>0</v>
      </c>
      <c r="X3420">
        <v>1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0</v>
      </c>
      <c r="AI3420" t="s">
        <v>806</v>
      </c>
      <c r="AJ3420">
        <v>28.253209999999999</v>
      </c>
      <c r="AK3420" t="s">
        <v>807</v>
      </c>
      <c r="AL3420">
        <v>-82.260990000000007</v>
      </c>
      <c r="AM3420">
        <v>100</v>
      </c>
      <c r="AN3420">
        <v>2200</v>
      </c>
      <c r="AO3420" t="s">
        <v>118</v>
      </c>
      <c r="AP3420">
        <v>51</v>
      </c>
      <c r="AQ3420">
        <v>129</v>
      </c>
      <c r="AR3420">
        <v>-512</v>
      </c>
      <c r="AZ3420">
        <v>1200</v>
      </c>
      <c r="BA3420">
        <v>1</v>
      </c>
      <c r="BB3420" t="str">
        <f t="shared" si="1589"/>
        <v xml:space="preserve">N711JA  </v>
      </c>
      <c r="BC3420">
        <v>1</v>
      </c>
      <c r="BE3420">
        <v>0</v>
      </c>
      <c r="BF3420">
        <v>0</v>
      </c>
      <c r="BG3420">
        <v>0</v>
      </c>
      <c r="BH3420">
        <v>2250</v>
      </c>
      <c r="BI3420">
        <v>1</v>
      </c>
      <c r="BJ3420">
        <v>1</v>
      </c>
      <c r="BK3420">
        <v>0</v>
      </c>
      <c r="BL3420">
        <v>0</v>
      </c>
      <c r="BO3420">
        <v>0</v>
      </c>
      <c r="BP3420">
        <v>0</v>
      </c>
      <c r="BW3420" t="str">
        <f t="shared" si="1593"/>
        <v>14:47:24.709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5</v>
      </c>
      <c r="CP3420" t="s">
        <v>119</v>
      </c>
      <c r="CQ3420">
        <v>56</v>
      </c>
      <c r="CR3420">
        <v>3</v>
      </c>
      <c r="CW3420">
        <v>12321403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1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 t="shared" si="1590"/>
        <v>05/12/2020 14:47:06.879</v>
      </c>
      <c r="C3421" t="str">
        <f t="shared" si="1588"/>
        <v>FFDFD3C0</v>
      </c>
      <c r="D3421" t="s">
        <v>134</v>
      </c>
      <c r="E3421">
        <v>12</v>
      </c>
      <c r="H3421">
        <v>64</v>
      </c>
      <c r="I3421" t="s">
        <v>135</v>
      </c>
      <c r="J3421" t="s">
        <v>136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 t="shared" si="1591"/>
        <v>14:47:24.703</v>
      </c>
      <c r="T3421" t="str">
        <f t="shared" si="1592"/>
        <v>14:47:24.603</v>
      </c>
      <c r="U3421" t="str">
        <f t="shared" si="1580"/>
        <v>A9808D</v>
      </c>
      <c r="V3421">
        <v>0</v>
      </c>
      <c r="W3421">
        <v>0</v>
      </c>
      <c r="X3421">
        <v>1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0</v>
      </c>
      <c r="AI3421" t="s">
        <v>806</v>
      </c>
      <c r="AJ3421">
        <v>28.253209999999999</v>
      </c>
      <c r="AK3421" t="s">
        <v>807</v>
      </c>
      <c r="AL3421">
        <v>-82.260990000000007</v>
      </c>
      <c r="AM3421">
        <v>100</v>
      </c>
      <c r="AN3421">
        <v>2200</v>
      </c>
      <c r="AO3421" t="s">
        <v>118</v>
      </c>
      <c r="AP3421">
        <v>51</v>
      </c>
      <c r="AQ3421">
        <v>129</v>
      </c>
      <c r="AR3421">
        <v>-512</v>
      </c>
      <c r="AZ3421">
        <v>1200</v>
      </c>
      <c r="BA3421">
        <v>1</v>
      </c>
      <c r="BB3421" t="str">
        <f t="shared" si="1589"/>
        <v xml:space="preserve">N711JA  </v>
      </c>
      <c r="BC3421">
        <v>1</v>
      </c>
      <c r="BE3421">
        <v>0</v>
      </c>
      <c r="BF3421">
        <v>0</v>
      </c>
      <c r="BG3421">
        <v>0</v>
      </c>
      <c r="BH3421">
        <v>2250</v>
      </c>
      <c r="BI3421">
        <v>1</v>
      </c>
      <c r="BJ3421">
        <v>1</v>
      </c>
      <c r="BK3421">
        <v>0</v>
      </c>
      <c r="BL3421">
        <v>0</v>
      </c>
      <c r="BO3421">
        <v>0</v>
      </c>
      <c r="BP3421">
        <v>0</v>
      </c>
      <c r="BW3421" t="str">
        <f t="shared" si="1593"/>
        <v>14:47:24.709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6</v>
      </c>
      <c r="CP3421" t="s">
        <v>119</v>
      </c>
      <c r="CQ3421">
        <v>358</v>
      </c>
      <c r="CR3421">
        <v>0</v>
      </c>
      <c r="CW3421">
        <v>4983074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1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 t="shared" si="1590"/>
        <v>05/12/2020 14:47:06.879</v>
      </c>
      <c r="C3422" t="str">
        <f t="shared" si="1588"/>
        <v>FFDFD3C0</v>
      </c>
      <c r="D3422" t="s">
        <v>138</v>
      </c>
      <c r="E3422">
        <v>2</v>
      </c>
      <c r="H3422">
        <v>8</v>
      </c>
      <c r="I3422" t="s">
        <v>139</v>
      </c>
      <c r="J3422" t="s">
        <v>136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si="1591"/>
        <v>14:47:24.703</v>
      </c>
      <c r="T3422" t="str">
        <f t="shared" si="1592"/>
        <v>14:47:24.603</v>
      </c>
      <c r="U3422" t="str">
        <f t="shared" si="1580"/>
        <v>A9808D</v>
      </c>
      <c r="V3422">
        <v>0</v>
      </c>
      <c r="W3422">
        <v>0</v>
      </c>
      <c r="X3422">
        <v>1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0</v>
      </c>
      <c r="AI3422" t="s">
        <v>806</v>
      </c>
      <c r="AJ3422">
        <v>28.253209999999999</v>
      </c>
      <c r="AK3422" t="s">
        <v>807</v>
      </c>
      <c r="AL3422">
        <v>-82.260990000000007</v>
      </c>
      <c r="AM3422">
        <v>100</v>
      </c>
      <c r="AN3422">
        <v>2200</v>
      </c>
      <c r="AO3422" t="s">
        <v>118</v>
      </c>
      <c r="AP3422">
        <v>51</v>
      </c>
      <c r="AQ3422">
        <v>129</v>
      </c>
      <c r="AR3422">
        <v>-512</v>
      </c>
      <c r="AZ3422">
        <v>1200</v>
      </c>
      <c r="BA3422">
        <v>1</v>
      </c>
      <c r="BB3422" t="str">
        <f t="shared" si="1589"/>
        <v xml:space="preserve">N711JA  </v>
      </c>
      <c r="BC3422">
        <v>1</v>
      </c>
      <c r="BE3422">
        <v>0</v>
      </c>
      <c r="BF3422">
        <v>0</v>
      </c>
      <c r="BG3422">
        <v>0</v>
      </c>
      <c r="BH3422">
        <v>2250</v>
      </c>
      <c r="BI3422">
        <v>1</v>
      </c>
      <c r="BJ3422">
        <v>1</v>
      </c>
      <c r="BK3422">
        <v>0</v>
      </c>
      <c r="BL3422">
        <v>0</v>
      </c>
      <c r="BO3422">
        <v>0</v>
      </c>
      <c r="BP3422">
        <v>0</v>
      </c>
      <c r="BW3422" t="str">
        <f t="shared" si="1593"/>
        <v>14:47:24.709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5</v>
      </c>
      <c r="CP3422" t="s">
        <v>119</v>
      </c>
      <c r="CQ3422">
        <v>56</v>
      </c>
      <c r="CR3422">
        <v>3</v>
      </c>
      <c r="CW3422">
        <v>12321403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1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 t="shared" si="1590"/>
        <v>05/12/2020 14:47:06.879</v>
      </c>
      <c r="C3423" t="str">
        <f t="shared" si="1588"/>
        <v>FFDFD3C0</v>
      </c>
      <c r="D3423" t="s">
        <v>138</v>
      </c>
      <c r="E3423">
        <v>3</v>
      </c>
      <c r="H3423">
        <v>9</v>
      </c>
      <c r="I3423" t="s">
        <v>140</v>
      </c>
      <c r="J3423" t="s">
        <v>136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si="1591"/>
        <v>14:47:24.703</v>
      </c>
      <c r="T3423" t="str">
        <f t="shared" si="1592"/>
        <v>14:47:24.603</v>
      </c>
      <c r="U3423" t="str">
        <f t="shared" si="1580"/>
        <v>A9808D</v>
      </c>
      <c r="V3423">
        <v>0</v>
      </c>
      <c r="W3423">
        <v>0</v>
      </c>
      <c r="X3423">
        <v>1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0</v>
      </c>
      <c r="AI3423" t="s">
        <v>806</v>
      </c>
      <c r="AJ3423">
        <v>28.253209999999999</v>
      </c>
      <c r="AK3423" t="s">
        <v>807</v>
      </c>
      <c r="AL3423">
        <v>-82.260990000000007</v>
      </c>
      <c r="AM3423">
        <v>100</v>
      </c>
      <c r="AN3423">
        <v>2200</v>
      </c>
      <c r="AO3423" t="s">
        <v>118</v>
      </c>
      <c r="AP3423">
        <v>51</v>
      </c>
      <c r="AQ3423">
        <v>129</v>
      </c>
      <c r="AR3423">
        <v>-512</v>
      </c>
      <c r="AZ3423">
        <v>1200</v>
      </c>
      <c r="BA3423">
        <v>1</v>
      </c>
      <c r="BB3423" t="str">
        <f t="shared" si="1589"/>
        <v xml:space="preserve">N711JA  </v>
      </c>
      <c r="BC3423">
        <v>1</v>
      </c>
      <c r="BE3423">
        <v>0</v>
      </c>
      <c r="BF3423">
        <v>0</v>
      </c>
      <c r="BG3423">
        <v>0</v>
      </c>
      <c r="BH3423">
        <v>2250</v>
      </c>
      <c r="BI3423">
        <v>1</v>
      </c>
      <c r="BJ3423">
        <v>1</v>
      </c>
      <c r="BK3423">
        <v>0</v>
      </c>
      <c r="BL3423">
        <v>0</v>
      </c>
      <c r="BO3423">
        <v>0</v>
      </c>
      <c r="BP3423">
        <v>0</v>
      </c>
      <c r="BW3423" t="str">
        <f t="shared" si="1593"/>
        <v>14:47:24.709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6</v>
      </c>
      <c r="CP3423" t="s">
        <v>119</v>
      </c>
      <c r="CQ3423">
        <v>358</v>
      </c>
      <c r="CR3423">
        <v>0</v>
      </c>
      <c r="CW3423">
        <v>4983074</v>
      </c>
      <c r="CY3423">
        <v>1</v>
      </c>
      <c r="CZ3423">
        <v>0</v>
      </c>
      <c r="DA3423">
        <v>1</v>
      </c>
      <c r="DB3423">
        <v>0</v>
      </c>
      <c r="DC3423">
        <v>0</v>
      </c>
      <c r="DD3423">
        <v>1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 t="shared" si="1590"/>
        <v>05/12/2020 14:47:06.879</v>
      </c>
      <c r="C3424" t="str">
        <f t="shared" si="1588"/>
        <v>FFDFD3C0</v>
      </c>
      <c r="D3424" t="s">
        <v>126</v>
      </c>
      <c r="E3424">
        <v>7</v>
      </c>
      <c r="F3424">
        <v>1007</v>
      </c>
      <c r="G3424" t="s">
        <v>127</v>
      </c>
      <c r="J3424" t="s">
        <v>128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si="1591"/>
        <v>14:47:24.703</v>
      </c>
      <c r="T3424" t="str">
        <f t="shared" si="1592"/>
        <v>14:47:24.603</v>
      </c>
      <c r="U3424" t="str">
        <f t="shared" si="1580"/>
        <v>A9808D</v>
      </c>
      <c r="V3424">
        <v>0</v>
      </c>
      <c r="W3424">
        <v>0</v>
      </c>
      <c r="X3424">
        <v>1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0</v>
      </c>
      <c r="AI3424" t="s">
        <v>806</v>
      </c>
      <c r="AJ3424">
        <v>28.253209999999999</v>
      </c>
      <c r="AK3424" t="s">
        <v>807</v>
      </c>
      <c r="AL3424">
        <v>-82.260990000000007</v>
      </c>
      <c r="AM3424">
        <v>100</v>
      </c>
      <c r="AN3424">
        <v>2200</v>
      </c>
      <c r="AO3424" t="s">
        <v>118</v>
      </c>
      <c r="AP3424">
        <v>51</v>
      </c>
      <c r="AQ3424">
        <v>129</v>
      </c>
      <c r="AR3424">
        <v>-512</v>
      </c>
      <c r="AZ3424">
        <v>1200</v>
      </c>
      <c r="BA3424">
        <v>1</v>
      </c>
      <c r="BB3424" t="str">
        <f t="shared" si="1589"/>
        <v xml:space="preserve">N711JA  </v>
      </c>
      <c r="BC3424">
        <v>1</v>
      </c>
      <c r="BE3424">
        <v>0</v>
      </c>
      <c r="BF3424">
        <v>0</v>
      </c>
      <c r="BG3424">
        <v>0</v>
      </c>
      <c r="BH3424">
        <v>2250</v>
      </c>
      <c r="BI3424">
        <v>1</v>
      </c>
      <c r="BJ3424">
        <v>1</v>
      </c>
      <c r="BK3424">
        <v>0</v>
      </c>
      <c r="BL3424">
        <v>0</v>
      </c>
      <c r="BO3424">
        <v>0</v>
      </c>
      <c r="BP3424">
        <v>0</v>
      </c>
      <c r="BW3424" t="str">
        <f t="shared" si="1593"/>
        <v>14:47:24.709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6</v>
      </c>
      <c r="CP3424" t="s">
        <v>119</v>
      </c>
      <c r="CQ3424">
        <v>358</v>
      </c>
      <c r="CR3424">
        <v>0</v>
      </c>
      <c r="CW3424">
        <v>4983074</v>
      </c>
      <c r="CY3424">
        <v>1</v>
      </c>
      <c r="CZ3424">
        <v>0</v>
      </c>
      <c r="DA3424">
        <v>1</v>
      </c>
      <c r="DB3424">
        <v>0</v>
      </c>
      <c r="DC3424">
        <v>0</v>
      </c>
      <c r="DD3424">
        <v>1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 t="shared" si="1590"/>
        <v>05/12/2020 14:47:06.879</v>
      </c>
      <c r="C3425" t="str">
        <f t="shared" si="1588"/>
        <v>FFDFD3C0</v>
      </c>
      <c r="D3425" t="s">
        <v>131</v>
      </c>
      <c r="E3425">
        <v>10</v>
      </c>
      <c r="F3425">
        <v>2010</v>
      </c>
      <c r="G3425" t="s">
        <v>132</v>
      </c>
      <c r="J3425" t="s">
        <v>133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591"/>
        <v>14:47:24.703</v>
      </c>
      <c r="T3425" t="str">
        <f t="shared" si="1592"/>
        <v>14:47:24.603</v>
      </c>
      <c r="U3425" t="str">
        <f t="shared" si="1580"/>
        <v>A9808D</v>
      </c>
      <c r="V3425">
        <v>0</v>
      </c>
      <c r="W3425">
        <v>0</v>
      </c>
      <c r="X3425">
        <v>1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0</v>
      </c>
      <c r="AI3425" t="s">
        <v>806</v>
      </c>
      <c r="AJ3425">
        <v>28.253209999999999</v>
      </c>
      <c r="AK3425" t="s">
        <v>807</v>
      </c>
      <c r="AL3425">
        <v>-82.260990000000007</v>
      </c>
      <c r="AM3425">
        <v>100</v>
      </c>
      <c r="AN3425">
        <v>2200</v>
      </c>
      <c r="AO3425" t="s">
        <v>118</v>
      </c>
      <c r="AP3425">
        <v>51</v>
      </c>
      <c r="AQ3425">
        <v>129</v>
      </c>
      <c r="AR3425">
        <v>-512</v>
      </c>
      <c r="AZ3425">
        <v>1200</v>
      </c>
      <c r="BA3425">
        <v>1</v>
      </c>
      <c r="BB3425" t="str">
        <f t="shared" si="1589"/>
        <v xml:space="preserve">N711JA  </v>
      </c>
      <c r="BC3425">
        <v>1</v>
      </c>
      <c r="BE3425">
        <v>0</v>
      </c>
      <c r="BF3425">
        <v>0</v>
      </c>
      <c r="BG3425">
        <v>0</v>
      </c>
      <c r="BH3425">
        <v>2250</v>
      </c>
      <c r="BI3425">
        <v>1</v>
      </c>
      <c r="BJ3425">
        <v>1</v>
      </c>
      <c r="BK3425">
        <v>0</v>
      </c>
      <c r="BL3425">
        <v>0</v>
      </c>
      <c r="BO3425">
        <v>0</v>
      </c>
      <c r="BP3425">
        <v>0</v>
      </c>
      <c r="BW3425" t="str">
        <f t="shared" si="1593"/>
        <v>14:47:24.709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6</v>
      </c>
      <c r="CP3425" t="s">
        <v>119</v>
      </c>
      <c r="CQ3425">
        <v>358</v>
      </c>
      <c r="CR3425">
        <v>0</v>
      </c>
      <c r="CW3425">
        <v>4983074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1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 t="shared" si="1590"/>
        <v>05/12/2020 14:47:06.879</v>
      </c>
      <c r="C3426" t="str">
        <f t="shared" si="1588"/>
        <v>FFDFD3C0</v>
      </c>
      <c r="D3426" t="s">
        <v>131</v>
      </c>
      <c r="E3426">
        <v>12</v>
      </c>
      <c r="F3426">
        <v>2012</v>
      </c>
      <c r="G3426" t="s">
        <v>137</v>
      </c>
      <c r="J3426" t="s">
        <v>133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591"/>
        <v>14:47:24.703</v>
      </c>
      <c r="T3426" t="str">
        <f t="shared" si="1592"/>
        <v>14:47:24.603</v>
      </c>
      <c r="U3426" t="str">
        <f t="shared" si="1580"/>
        <v>A9808D</v>
      </c>
      <c r="V3426">
        <v>0</v>
      </c>
      <c r="W3426">
        <v>0</v>
      </c>
      <c r="X3426">
        <v>1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0</v>
      </c>
      <c r="AI3426" t="s">
        <v>806</v>
      </c>
      <c r="AJ3426">
        <v>28.253209999999999</v>
      </c>
      <c r="AK3426" t="s">
        <v>807</v>
      </c>
      <c r="AL3426">
        <v>-82.260990000000007</v>
      </c>
      <c r="AM3426">
        <v>100</v>
      </c>
      <c r="AN3426">
        <v>2200</v>
      </c>
      <c r="AO3426" t="s">
        <v>118</v>
      </c>
      <c r="AP3426">
        <v>51</v>
      </c>
      <c r="AQ3426">
        <v>129</v>
      </c>
      <c r="AR3426">
        <v>-512</v>
      </c>
      <c r="AZ3426">
        <v>1200</v>
      </c>
      <c r="BA3426">
        <v>1</v>
      </c>
      <c r="BB3426" t="str">
        <f t="shared" si="1589"/>
        <v xml:space="preserve">N711JA  </v>
      </c>
      <c r="BC3426">
        <v>1</v>
      </c>
      <c r="BE3426">
        <v>0</v>
      </c>
      <c r="BF3426">
        <v>0</v>
      </c>
      <c r="BG3426">
        <v>0</v>
      </c>
      <c r="BH3426">
        <v>2250</v>
      </c>
      <c r="BI3426">
        <v>1</v>
      </c>
      <c r="BJ3426">
        <v>1</v>
      </c>
      <c r="BK3426">
        <v>0</v>
      </c>
      <c r="BL3426">
        <v>0</v>
      </c>
      <c r="BO3426">
        <v>0</v>
      </c>
      <c r="BP3426">
        <v>0</v>
      </c>
      <c r="BW3426" t="str">
        <f t="shared" si="1593"/>
        <v>14:47:24.709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5</v>
      </c>
      <c r="CP3426" t="s">
        <v>119</v>
      </c>
      <c r="CQ3426">
        <v>56</v>
      </c>
      <c r="CR3426">
        <v>3</v>
      </c>
      <c r="CW3426">
        <v>12321403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1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 t="shared" si="1590"/>
        <v>05/12/2020 14:47:06.879</v>
      </c>
      <c r="C3427" t="str">
        <f t="shared" si="1588"/>
        <v>FFDFD3C0</v>
      </c>
      <c r="D3427" t="s">
        <v>131</v>
      </c>
      <c r="E3427">
        <v>18</v>
      </c>
      <c r="F3427">
        <v>2018</v>
      </c>
      <c r="G3427" t="s">
        <v>161</v>
      </c>
      <c r="J3427" t="s">
        <v>133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591"/>
        <v>14:47:24.703</v>
      </c>
      <c r="T3427" t="str">
        <f t="shared" si="1592"/>
        <v>14:47:24.603</v>
      </c>
      <c r="U3427" t="str">
        <f t="shared" si="1580"/>
        <v>A9808D</v>
      </c>
      <c r="V3427">
        <v>0</v>
      </c>
      <c r="W3427">
        <v>0</v>
      </c>
      <c r="X3427">
        <v>1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0</v>
      </c>
      <c r="AI3427" t="s">
        <v>806</v>
      </c>
      <c r="AJ3427">
        <v>28.253209999999999</v>
      </c>
      <c r="AK3427" t="s">
        <v>807</v>
      </c>
      <c r="AL3427">
        <v>-82.260990000000007</v>
      </c>
      <c r="AM3427">
        <v>100</v>
      </c>
      <c r="AN3427">
        <v>2200</v>
      </c>
      <c r="AO3427" t="s">
        <v>118</v>
      </c>
      <c r="AP3427">
        <v>51</v>
      </c>
      <c r="AQ3427">
        <v>129</v>
      </c>
      <c r="AR3427">
        <v>-512</v>
      </c>
      <c r="AZ3427">
        <v>1200</v>
      </c>
      <c r="BA3427">
        <v>1</v>
      </c>
      <c r="BB3427" t="str">
        <f t="shared" si="1589"/>
        <v xml:space="preserve">N711JA  </v>
      </c>
      <c r="BC3427">
        <v>1</v>
      </c>
      <c r="BE3427">
        <v>0</v>
      </c>
      <c r="BF3427">
        <v>0</v>
      </c>
      <c r="BG3427">
        <v>0</v>
      </c>
      <c r="BH3427">
        <v>2250</v>
      </c>
      <c r="BI3427">
        <v>1</v>
      </c>
      <c r="BJ3427">
        <v>1</v>
      </c>
      <c r="BK3427">
        <v>0</v>
      </c>
      <c r="BL3427">
        <v>0</v>
      </c>
      <c r="BO3427">
        <v>0</v>
      </c>
      <c r="BP3427">
        <v>0</v>
      </c>
      <c r="BW3427" t="str">
        <f t="shared" si="1593"/>
        <v>14:47:24.709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5</v>
      </c>
      <c r="CP3427" t="s">
        <v>119</v>
      </c>
      <c r="CQ3427">
        <v>56</v>
      </c>
      <c r="CR3427">
        <v>3</v>
      </c>
      <c r="CW3427">
        <v>12321403</v>
      </c>
      <c r="CY3427">
        <v>1</v>
      </c>
      <c r="CZ3427">
        <v>0</v>
      </c>
      <c r="DA3427">
        <v>1</v>
      </c>
      <c r="DB3427">
        <v>0</v>
      </c>
      <c r="DC3427">
        <v>0</v>
      </c>
      <c r="DD3427">
        <v>1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 t="shared" ref="A3428:A3436" si="1594">"05/12/2020 14:47:07.811"</f>
        <v>05/12/2020 14:47:07.811</v>
      </c>
      <c r="C3428" t="str">
        <f t="shared" si="1588"/>
        <v>FFDFD3C0</v>
      </c>
      <c r="D3428" t="s">
        <v>134</v>
      </c>
      <c r="E3428">
        <v>12</v>
      </c>
      <c r="H3428">
        <v>64</v>
      </c>
      <c r="I3428" t="s">
        <v>135</v>
      </c>
      <c r="J3428" t="s">
        <v>136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"14:47:25.641"</f>
        <v>14:47:25.641</v>
      </c>
      <c r="T3428" t="str">
        <f>"14:47:25.641"</f>
        <v>14:47:25.641</v>
      </c>
      <c r="U3428" t="str">
        <f t="shared" si="1580"/>
        <v>A9808D</v>
      </c>
      <c r="V3428">
        <v>0</v>
      </c>
      <c r="W3428">
        <v>0</v>
      </c>
      <c r="X3428">
        <v>1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0</v>
      </c>
      <c r="AI3428" t="s">
        <v>808</v>
      </c>
      <c r="AJ3428">
        <v>28.253724999999999</v>
      </c>
      <c r="AK3428" t="s">
        <v>809</v>
      </c>
      <c r="AL3428">
        <v>-82.260776000000007</v>
      </c>
      <c r="AM3428">
        <v>100</v>
      </c>
      <c r="AN3428">
        <v>2200</v>
      </c>
      <c r="AO3428" t="s">
        <v>118</v>
      </c>
      <c r="AP3428">
        <v>43</v>
      </c>
      <c r="AQ3428">
        <v>133</v>
      </c>
      <c r="AR3428">
        <v>-384</v>
      </c>
      <c r="AZ3428">
        <v>1200</v>
      </c>
      <c r="BA3428">
        <v>1</v>
      </c>
      <c r="BB3428" t="str">
        <f t="shared" si="1589"/>
        <v xml:space="preserve">N711JA  </v>
      </c>
      <c r="BC3428">
        <v>1</v>
      </c>
      <c r="BE3428">
        <v>0</v>
      </c>
      <c r="BF3428">
        <v>0</v>
      </c>
      <c r="BG3428">
        <v>0</v>
      </c>
      <c r="BH3428">
        <v>2350</v>
      </c>
      <c r="BI3428">
        <v>1</v>
      </c>
      <c r="BJ3428">
        <v>1</v>
      </c>
      <c r="BK3428">
        <v>0</v>
      </c>
      <c r="BL3428">
        <v>0</v>
      </c>
      <c r="BO3428">
        <v>0</v>
      </c>
      <c r="BP3428">
        <v>0</v>
      </c>
      <c r="BW3428" t="str">
        <f t="shared" ref="BW3428:BW3436" si="1595">"14:47:25.643"</f>
        <v>14:47:25.643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6</v>
      </c>
      <c r="CP3428" t="s">
        <v>119</v>
      </c>
      <c r="CQ3428">
        <v>358</v>
      </c>
      <c r="CR3428">
        <v>0</v>
      </c>
      <c r="CW3428">
        <v>4984192</v>
      </c>
      <c r="CY3428">
        <v>1</v>
      </c>
      <c r="CZ3428">
        <v>0</v>
      </c>
      <c r="DA3428">
        <v>0</v>
      </c>
      <c r="DB3428">
        <v>0</v>
      </c>
      <c r="DC3428">
        <v>0</v>
      </c>
      <c r="DD3428">
        <v>1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 t="shared" si="1594"/>
        <v>05/12/2020 14:47:07.811</v>
      </c>
      <c r="C3429" t="str">
        <f t="shared" si="1588"/>
        <v>FFDFD3C0</v>
      </c>
      <c r="D3429" t="s">
        <v>113</v>
      </c>
      <c r="E3429">
        <v>3</v>
      </c>
      <c r="H3429">
        <v>164</v>
      </c>
      <c r="I3429" t="s">
        <v>114</v>
      </c>
      <c r="J3429" t="s">
        <v>115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"14:47:25.641"</f>
        <v>14:47:25.641</v>
      </c>
      <c r="T3429" t="str">
        <f>"14:47:25.641"</f>
        <v>14:47:25.641</v>
      </c>
      <c r="U3429" t="str">
        <f t="shared" si="1580"/>
        <v>A9808D</v>
      </c>
      <c r="V3429">
        <v>0</v>
      </c>
      <c r="W3429">
        <v>0</v>
      </c>
      <c r="X3429">
        <v>1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0</v>
      </c>
      <c r="AI3429" t="s">
        <v>808</v>
      </c>
      <c r="AJ3429">
        <v>28.253724999999999</v>
      </c>
      <c r="AK3429" t="s">
        <v>809</v>
      </c>
      <c r="AL3429">
        <v>-82.260776000000007</v>
      </c>
      <c r="AM3429">
        <v>100</v>
      </c>
      <c r="AN3429">
        <v>2200</v>
      </c>
      <c r="AO3429" t="s">
        <v>118</v>
      </c>
      <c r="AP3429">
        <v>43</v>
      </c>
      <c r="AQ3429">
        <v>133</v>
      </c>
      <c r="AR3429">
        <v>-384</v>
      </c>
      <c r="AZ3429">
        <v>1200</v>
      </c>
      <c r="BA3429">
        <v>1</v>
      </c>
      <c r="BB3429" t="str">
        <f t="shared" si="1589"/>
        <v xml:space="preserve">N711JA  </v>
      </c>
      <c r="BC3429">
        <v>1</v>
      </c>
      <c r="BE3429">
        <v>0</v>
      </c>
      <c r="BF3429">
        <v>0</v>
      </c>
      <c r="BG3429">
        <v>0</v>
      </c>
      <c r="BH3429">
        <v>2350</v>
      </c>
      <c r="BI3429">
        <v>1</v>
      </c>
      <c r="BJ3429">
        <v>1</v>
      </c>
      <c r="BK3429">
        <v>0</v>
      </c>
      <c r="BL3429">
        <v>0</v>
      </c>
      <c r="BO3429">
        <v>0</v>
      </c>
      <c r="BP3429">
        <v>0</v>
      </c>
      <c r="BW3429" t="str">
        <f t="shared" si="1595"/>
        <v>14:47:25.643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5</v>
      </c>
      <c r="CP3429" t="s">
        <v>119</v>
      </c>
      <c r="CQ3429">
        <v>9</v>
      </c>
      <c r="CR3429">
        <v>0</v>
      </c>
      <c r="CW3429">
        <v>12829997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1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 t="shared" si="1594"/>
        <v>05/12/2020 14:47:07.811</v>
      </c>
      <c r="C3430" t="str">
        <f t="shared" si="1588"/>
        <v>FFDFD3C0</v>
      </c>
      <c r="D3430" t="s">
        <v>138</v>
      </c>
      <c r="E3430">
        <v>2</v>
      </c>
      <c r="H3430">
        <v>8</v>
      </c>
      <c r="I3430" t="s">
        <v>139</v>
      </c>
      <c r="J3430" t="s">
        <v>136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ref="S3430:S3436" si="1596">"14:47:25.641"</f>
        <v>14:47:25.641</v>
      </c>
      <c r="T3430" t="str">
        <f>"14:47:25.141"</f>
        <v>14:47:25.141</v>
      </c>
      <c r="U3430" t="str">
        <f t="shared" si="1580"/>
        <v>A9808D</v>
      </c>
      <c r="V3430">
        <v>0</v>
      </c>
      <c r="W3430">
        <v>0</v>
      </c>
      <c r="X3430">
        <v>1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0</v>
      </c>
      <c r="AI3430" t="s">
        <v>808</v>
      </c>
      <c r="AJ3430">
        <v>28.253724999999999</v>
      </c>
      <c r="AK3430" t="s">
        <v>809</v>
      </c>
      <c r="AL3430">
        <v>-82.260776000000007</v>
      </c>
      <c r="AM3430">
        <v>100</v>
      </c>
      <c r="AN3430">
        <v>2200</v>
      </c>
      <c r="AO3430" t="s">
        <v>118</v>
      </c>
      <c r="AP3430">
        <v>47</v>
      </c>
      <c r="AQ3430">
        <v>131</v>
      </c>
      <c r="AR3430">
        <v>-448</v>
      </c>
      <c r="AZ3430">
        <v>1200</v>
      </c>
      <c r="BA3430">
        <v>1</v>
      </c>
      <c r="BB3430" t="str">
        <f t="shared" si="1589"/>
        <v xml:space="preserve">N711JA  </v>
      </c>
      <c r="BC3430">
        <v>1</v>
      </c>
      <c r="BE3430">
        <v>0</v>
      </c>
      <c r="BF3430">
        <v>0</v>
      </c>
      <c r="BG3430">
        <v>0</v>
      </c>
      <c r="BH3430">
        <v>2250</v>
      </c>
      <c r="BI3430">
        <v>1</v>
      </c>
      <c r="BJ3430">
        <v>1</v>
      </c>
      <c r="BK3430">
        <v>0</v>
      </c>
      <c r="BL3430">
        <v>0</v>
      </c>
      <c r="BO3430">
        <v>0</v>
      </c>
      <c r="BP3430">
        <v>0</v>
      </c>
      <c r="BW3430" t="str">
        <f t="shared" si="1595"/>
        <v>14:47:25.643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6</v>
      </c>
      <c r="CP3430" t="s">
        <v>119</v>
      </c>
      <c r="CQ3430">
        <v>56</v>
      </c>
      <c r="CR3430">
        <v>2</v>
      </c>
      <c r="CW3430">
        <v>5008822</v>
      </c>
      <c r="CY3430">
        <v>1</v>
      </c>
      <c r="CZ3430">
        <v>0</v>
      </c>
      <c r="DA3430">
        <v>1</v>
      </c>
      <c r="DB3430">
        <v>0</v>
      </c>
      <c r="DC3430">
        <v>0</v>
      </c>
      <c r="DD3430">
        <v>1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 t="shared" si="1594"/>
        <v>05/12/2020 14:47:07.811</v>
      </c>
      <c r="C3431" t="str">
        <f t="shared" si="1588"/>
        <v>FFDFD3C0</v>
      </c>
      <c r="D3431" t="s">
        <v>138</v>
      </c>
      <c r="E3431">
        <v>3</v>
      </c>
      <c r="H3431">
        <v>9</v>
      </c>
      <c r="I3431" t="s">
        <v>140</v>
      </c>
      <c r="J3431" t="s">
        <v>136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596"/>
        <v>14:47:25.641</v>
      </c>
      <c r="T3431" t="str">
        <f>"14:47:25.641"</f>
        <v>14:47:25.641</v>
      </c>
      <c r="U3431" t="str">
        <f t="shared" si="1580"/>
        <v>A9808D</v>
      </c>
      <c r="V3431">
        <v>0</v>
      </c>
      <c r="W3431">
        <v>0</v>
      </c>
      <c r="X3431">
        <v>1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0</v>
      </c>
      <c r="AI3431" t="s">
        <v>808</v>
      </c>
      <c r="AJ3431">
        <v>28.253724999999999</v>
      </c>
      <c r="AK3431" t="s">
        <v>809</v>
      </c>
      <c r="AL3431">
        <v>-82.260776000000007</v>
      </c>
      <c r="AM3431">
        <v>100</v>
      </c>
      <c r="AN3431">
        <v>2200</v>
      </c>
      <c r="AO3431" t="s">
        <v>118</v>
      </c>
      <c r="AP3431">
        <v>43</v>
      </c>
      <c r="AQ3431">
        <v>133</v>
      </c>
      <c r="AR3431">
        <v>-384</v>
      </c>
      <c r="AZ3431">
        <v>1200</v>
      </c>
      <c r="BA3431">
        <v>1</v>
      </c>
      <c r="BB3431" t="str">
        <f t="shared" si="1589"/>
        <v xml:space="preserve">N711JA  </v>
      </c>
      <c r="BC3431">
        <v>1</v>
      </c>
      <c r="BE3431">
        <v>0</v>
      </c>
      <c r="BF3431">
        <v>0</v>
      </c>
      <c r="BG3431">
        <v>0</v>
      </c>
      <c r="BH3431">
        <v>2350</v>
      </c>
      <c r="BI3431">
        <v>1</v>
      </c>
      <c r="BJ3431">
        <v>1</v>
      </c>
      <c r="BK3431">
        <v>0</v>
      </c>
      <c r="BL3431">
        <v>0</v>
      </c>
      <c r="BO3431">
        <v>0</v>
      </c>
      <c r="BP3431">
        <v>0</v>
      </c>
      <c r="BW3431" t="str">
        <f t="shared" si="1595"/>
        <v>14:47:25.643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6</v>
      </c>
      <c r="CP3431" t="s">
        <v>119</v>
      </c>
      <c r="CQ3431">
        <v>358</v>
      </c>
      <c r="CR3431">
        <v>0</v>
      </c>
      <c r="CW3431">
        <v>4984192</v>
      </c>
      <c r="CY3431">
        <v>1</v>
      </c>
      <c r="CZ3431">
        <v>0</v>
      </c>
      <c r="DA3431">
        <v>1</v>
      </c>
      <c r="DB3431">
        <v>0</v>
      </c>
      <c r="DC3431">
        <v>0</v>
      </c>
      <c r="DD3431">
        <v>1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 t="shared" si="1594"/>
        <v>05/12/2020 14:47:07.811</v>
      </c>
      <c r="C3432" t="str">
        <f t="shared" si="1588"/>
        <v>FFDFD3C0</v>
      </c>
      <c r="D3432" t="s">
        <v>126</v>
      </c>
      <c r="E3432">
        <v>7</v>
      </c>
      <c r="F3432">
        <v>1007</v>
      </c>
      <c r="G3432" t="s">
        <v>127</v>
      </c>
      <c r="J3432" t="s">
        <v>128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596"/>
        <v>14:47:25.641</v>
      </c>
      <c r="T3432" t="str">
        <f>"14:47:25.641"</f>
        <v>14:47:25.641</v>
      </c>
      <c r="U3432" t="str">
        <f t="shared" si="1580"/>
        <v>A9808D</v>
      </c>
      <c r="V3432">
        <v>0</v>
      </c>
      <c r="W3432">
        <v>0</v>
      </c>
      <c r="X3432">
        <v>1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0</v>
      </c>
      <c r="AI3432" t="s">
        <v>808</v>
      </c>
      <c r="AJ3432">
        <v>28.253724999999999</v>
      </c>
      <c r="AK3432" t="s">
        <v>809</v>
      </c>
      <c r="AL3432">
        <v>-82.260776000000007</v>
      </c>
      <c r="AM3432">
        <v>100</v>
      </c>
      <c r="AN3432">
        <v>2200</v>
      </c>
      <c r="AO3432" t="s">
        <v>118</v>
      </c>
      <c r="AP3432">
        <v>43</v>
      </c>
      <c r="AQ3432">
        <v>133</v>
      </c>
      <c r="AR3432">
        <v>-384</v>
      </c>
      <c r="AZ3432">
        <v>1200</v>
      </c>
      <c r="BA3432">
        <v>1</v>
      </c>
      <c r="BB3432" t="str">
        <f t="shared" si="1589"/>
        <v xml:space="preserve">N711JA  </v>
      </c>
      <c r="BC3432">
        <v>1</v>
      </c>
      <c r="BE3432">
        <v>0</v>
      </c>
      <c r="BF3432">
        <v>0</v>
      </c>
      <c r="BG3432">
        <v>0</v>
      </c>
      <c r="BH3432">
        <v>2350</v>
      </c>
      <c r="BI3432">
        <v>1</v>
      </c>
      <c r="BJ3432">
        <v>1</v>
      </c>
      <c r="BK3432">
        <v>0</v>
      </c>
      <c r="BL3432">
        <v>0</v>
      </c>
      <c r="BO3432">
        <v>0</v>
      </c>
      <c r="BP3432">
        <v>0</v>
      </c>
      <c r="BW3432" t="str">
        <f t="shared" si="1595"/>
        <v>14:47:25.643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6</v>
      </c>
      <c r="CP3432" t="s">
        <v>119</v>
      </c>
      <c r="CQ3432">
        <v>358</v>
      </c>
      <c r="CR3432">
        <v>0</v>
      </c>
      <c r="CW3432">
        <v>4984192</v>
      </c>
      <c r="CY3432">
        <v>1</v>
      </c>
      <c r="CZ3432">
        <v>0</v>
      </c>
      <c r="DA3432">
        <v>1</v>
      </c>
      <c r="DB3432">
        <v>0</v>
      </c>
      <c r="DC3432">
        <v>0</v>
      </c>
      <c r="DD3432">
        <v>1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 t="shared" si="1594"/>
        <v>05/12/2020 14:47:07.811</v>
      </c>
      <c r="C3433" t="str">
        <f t="shared" si="1588"/>
        <v>FFDFD3C0</v>
      </c>
      <c r="D3433" t="s">
        <v>131</v>
      </c>
      <c r="E3433">
        <v>10</v>
      </c>
      <c r="F3433">
        <v>2010</v>
      </c>
      <c r="G3433" t="s">
        <v>132</v>
      </c>
      <c r="J3433" t="s">
        <v>133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596"/>
        <v>14:47:25.641</v>
      </c>
      <c r="T3433" t="str">
        <f>"14:47:25.641"</f>
        <v>14:47:25.641</v>
      </c>
      <c r="U3433" t="str">
        <f t="shared" si="1580"/>
        <v>A9808D</v>
      </c>
      <c r="V3433">
        <v>0</v>
      </c>
      <c r="W3433">
        <v>0</v>
      </c>
      <c r="X3433">
        <v>1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0</v>
      </c>
      <c r="AI3433" t="s">
        <v>808</v>
      </c>
      <c r="AJ3433">
        <v>28.253724999999999</v>
      </c>
      <c r="AK3433" t="s">
        <v>809</v>
      </c>
      <c r="AL3433">
        <v>-82.260776000000007</v>
      </c>
      <c r="AM3433">
        <v>100</v>
      </c>
      <c r="AN3433">
        <v>2200</v>
      </c>
      <c r="AO3433" t="s">
        <v>118</v>
      </c>
      <c r="AP3433">
        <v>43</v>
      </c>
      <c r="AQ3433">
        <v>133</v>
      </c>
      <c r="AR3433">
        <v>-384</v>
      </c>
      <c r="AZ3433">
        <v>1200</v>
      </c>
      <c r="BA3433">
        <v>1</v>
      </c>
      <c r="BB3433" t="str">
        <f t="shared" si="1589"/>
        <v xml:space="preserve">N711JA  </v>
      </c>
      <c r="BC3433">
        <v>1</v>
      </c>
      <c r="BE3433">
        <v>0</v>
      </c>
      <c r="BF3433">
        <v>0</v>
      </c>
      <c r="BG3433">
        <v>0</v>
      </c>
      <c r="BH3433">
        <v>2350</v>
      </c>
      <c r="BI3433">
        <v>1</v>
      </c>
      <c r="BJ3433">
        <v>1</v>
      </c>
      <c r="BK3433">
        <v>0</v>
      </c>
      <c r="BL3433">
        <v>0</v>
      </c>
      <c r="BO3433">
        <v>0</v>
      </c>
      <c r="BP3433">
        <v>0</v>
      </c>
      <c r="BW3433" t="str">
        <f t="shared" si="1595"/>
        <v>14:47:25.643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6</v>
      </c>
      <c r="CP3433" t="s">
        <v>119</v>
      </c>
      <c r="CQ3433">
        <v>358</v>
      </c>
      <c r="CR3433">
        <v>0</v>
      </c>
      <c r="CW3433">
        <v>4984192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1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 t="shared" si="1594"/>
        <v>05/12/2020 14:47:07.811</v>
      </c>
      <c r="C3434" t="str">
        <f t="shared" si="1588"/>
        <v>FFDFD3C0</v>
      </c>
      <c r="D3434" t="s">
        <v>131</v>
      </c>
      <c r="E3434">
        <v>12</v>
      </c>
      <c r="F3434">
        <v>2012</v>
      </c>
      <c r="G3434" t="s">
        <v>137</v>
      </c>
      <c r="J3434" t="s">
        <v>133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si="1596"/>
        <v>14:47:25.641</v>
      </c>
      <c r="T3434" t="str">
        <f>"14:47:25.141"</f>
        <v>14:47:25.141</v>
      </c>
      <c r="U3434" t="str">
        <f t="shared" si="1580"/>
        <v>A9808D</v>
      </c>
      <c r="V3434">
        <v>0</v>
      </c>
      <c r="W3434">
        <v>0</v>
      </c>
      <c r="X3434">
        <v>1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0</v>
      </c>
      <c r="AI3434" t="s">
        <v>808</v>
      </c>
      <c r="AJ3434">
        <v>28.253724999999999</v>
      </c>
      <c r="AK3434" t="s">
        <v>809</v>
      </c>
      <c r="AL3434">
        <v>-82.260776000000007</v>
      </c>
      <c r="AM3434">
        <v>100</v>
      </c>
      <c r="AN3434">
        <v>2200</v>
      </c>
      <c r="AO3434" t="s">
        <v>118</v>
      </c>
      <c r="AP3434">
        <v>47</v>
      </c>
      <c r="AQ3434">
        <v>131</v>
      </c>
      <c r="AR3434">
        <v>-448</v>
      </c>
      <c r="AZ3434">
        <v>1200</v>
      </c>
      <c r="BA3434">
        <v>1</v>
      </c>
      <c r="BB3434" t="str">
        <f t="shared" si="1589"/>
        <v xml:space="preserve">N711JA  </v>
      </c>
      <c r="BC3434">
        <v>1</v>
      </c>
      <c r="BE3434">
        <v>0</v>
      </c>
      <c r="BF3434">
        <v>0</v>
      </c>
      <c r="BG3434">
        <v>0</v>
      </c>
      <c r="BH3434">
        <v>2250</v>
      </c>
      <c r="BI3434">
        <v>1</v>
      </c>
      <c r="BJ3434">
        <v>1</v>
      </c>
      <c r="BK3434">
        <v>0</v>
      </c>
      <c r="BL3434">
        <v>0</v>
      </c>
      <c r="BO3434">
        <v>0</v>
      </c>
      <c r="BP3434">
        <v>0</v>
      </c>
      <c r="BW3434" t="str">
        <f t="shared" si="1595"/>
        <v>14:47:25.643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6</v>
      </c>
      <c r="CP3434" t="s">
        <v>119</v>
      </c>
      <c r="CQ3434">
        <v>56</v>
      </c>
      <c r="CR3434">
        <v>2</v>
      </c>
      <c r="CW3434">
        <v>5008822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1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 t="shared" si="1594"/>
        <v>05/12/2020 14:47:07.811</v>
      </c>
      <c r="C3435" t="str">
        <f t="shared" si="1588"/>
        <v>FFDFD3C0</v>
      </c>
      <c r="D3435" t="s">
        <v>131</v>
      </c>
      <c r="E3435">
        <v>18</v>
      </c>
      <c r="F3435">
        <v>2018</v>
      </c>
      <c r="G3435" t="s">
        <v>161</v>
      </c>
      <c r="J3435" t="s">
        <v>133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596"/>
        <v>14:47:25.641</v>
      </c>
      <c r="T3435" t="str">
        <f>"14:47:25.641"</f>
        <v>14:47:25.641</v>
      </c>
      <c r="U3435" t="str">
        <f t="shared" si="1580"/>
        <v>A9808D</v>
      </c>
      <c r="V3435">
        <v>0</v>
      </c>
      <c r="W3435">
        <v>0</v>
      </c>
      <c r="X3435">
        <v>1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0</v>
      </c>
      <c r="AI3435" t="s">
        <v>808</v>
      </c>
      <c r="AJ3435">
        <v>28.253724999999999</v>
      </c>
      <c r="AK3435" t="s">
        <v>809</v>
      </c>
      <c r="AL3435">
        <v>-82.260776000000007</v>
      </c>
      <c r="AM3435">
        <v>100</v>
      </c>
      <c r="AN3435">
        <v>2200</v>
      </c>
      <c r="AO3435" t="s">
        <v>118</v>
      </c>
      <c r="AP3435">
        <v>43</v>
      </c>
      <c r="AQ3435">
        <v>133</v>
      </c>
      <c r="AR3435">
        <v>-384</v>
      </c>
      <c r="AZ3435">
        <v>1200</v>
      </c>
      <c r="BA3435">
        <v>1</v>
      </c>
      <c r="BB3435" t="str">
        <f t="shared" si="1589"/>
        <v xml:space="preserve">N711JA  </v>
      </c>
      <c r="BC3435">
        <v>1</v>
      </c>
      <c r="BE3435">
        <v>0</v>
      </c>
      <c r="BF3435">
        <v>0</v>
      </c>
      <c r="BG3435">
        <v>0</v>
      </c>
      <c r="BH3435">
        <v>2350</v>
      </c>
      <c r="BI3435">
        <v>1</v>
      </c>
      <c r="BJ3435">
        <v>1</v>
      </c>
      <c r="BK3435">
        <v>0</v>
      </c>
      <c r="BL3435">
        <v>0</v>
      </c>
      <c r="BO3435">
        <v>0</v>
      </c>
      <c r="BP3435">
        <v>0</v>
      </c>
      <c r="BW3435" t="str">
        <f t="shared" si="1595"/>
        <v>14:47:25.643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3</v>
      </c>
      <c r="CP3435" t="s">
        <v>119</v>
      </c>
      <c r="CQ3435">
        <v>62</v>
      </c>
      <c r="CR3435">
        <v>1</v>
      </c>
      <c r="CW3435">
        <v>12920964</v>
      </c>
      <c r="CY3435">
        <v>1</v>
      </c>
      <c r="CZ3435">
        <v>0</v>
      </c>
      <c r="DA3435">
        <v>1</v>
      </c>
      <c r="DB3435">
        <v>0</v>
      </c>
      <c r="DC3435">
        <v>0</v>
      </c>
      <c r="DD3435">
        <v>1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 t="shared" si="1594"/>
        <v>05/12/2020 14:47:07.811</v>
      </c>
      <c r="C3436" t="str">
        <f t="shared" si="1588"/>
        <v>FFDFD3C0</v>
      </c>
      <c r="D3436" t="s">
        <v>126</v>
      </c>
      <c r="E3436">
        <v>6</v>
      </c>
      <c r="F3436">
        <v>1006</v>
      </c>
      <c r="G3436" t="s">
        <v>114</v>
      </c>
      <c r="J3436" t="s">
        <v>128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596"/>
        <v>14:47:25.641</v>
      </c>
      <c r="T3436" t="str">
        <f>"14:47:25.641"</f>
        <v>14:47:25.641</v>
      </c>
      <c r="U3436" t="str">
        <f t="shared" si="1580"/>
        <v>A9808D</v>
      </c>
      <c r="V3436">
        <v>0</v>
      </c>
      <c r="W3436">
        <v>0</v>
      </c>
      <c r="X3436">
        <v>1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0</v>
      </c>
      <c r="AI3436" t="s">
        <v>808</v>
      </c>
      <c r="AJ3436">
        <v>28.253724999999999</v>
      </c>
      <c r="AK3436" t="s">
        <v>809</v>
      </c>
      <c r="AL3436">
        <v>-82.260776000000007</v>
      </c>
      <c r="AM3436">
        <v>100</v>
      </c>
      <c r="AN3436">
        <v>2200</v>
      </c>
      <c r="AO3436" t="s">
        <v>118</v>
      </c>
      <c r="AP3436">
        <v>43</v>
      </c>
      <c r="AQ3436">
        <v>133</v>
      </c>
      <c r="AR3436">
        <v>-384</v>
      </c>
      <c r="AZ3436">
        <v>1200</v>
      </c>
      <c r="BA3436">
        <v>1</v>
      </c>
      <c r="BB3436" t="str">
        <f t="shared" si="1589"/>
        <v xml:space="preserve">N711JA  </v>
      </c>
      <c r="BC3436">
        <v>1</v>
      </c>
      <c r="BE3436">
        <v>0</v>
      </c>
      <c r="BF3436">
        <v>0</v>
      </c>
      <c r="BG3436">
        <v>0</v>
      </c>
      <c r="BH3436">
        <v>2350</v>
      </c>
      <c r="BI3436">
        <v>1</v>
      </c>
      <c r="BJ3436">
        <v>1</v>
      </c>
      <c r="BK3436">
        <v>0</v>
      </c>
      <c r="BL3436">
        <v>0</v>
      </c>
      <c r="BO3436">
        <v>0</v>
      </c>
      <c r="BP3436">
        <v>0</v>
      </c>
      <c r="BW3436" t="str">
        <f t="shared" si="1595"/>
        <v>14:47:25.643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6</v>
      </c>
      <c r="CP3436" t="s">
        <v>119</v>
      </c>
      <c r="CQ3436">
        <v>358</v>
      </c>
      <c r="CR3436">
        <v>0</v>
      </c>
      <c r="CW3436">
        <v>4984192</v>
      </c>
      <c r="CY3436">
        <v>1</v>
      </c>
      <c r="CZ3436">
        <v>0</v>
      </c>
      <c r="DA3436">
        <v>1</v>
      </c>
      <c r="DB3436">
        <v>0</v>
      </c>
      <c r="DC3436">
        <v>0</v>
      </c>
      <c r="DD3436">
        <v>1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 t="shared" ref="A3437:A3445" si="1597">"05/12/2020 14:47:08.876"</f>
        <v>05/12/2020 14:47:08.876</v>
      </c>
      <c r="C3437" t="str">
        <f t="shared" si="1588"/>
        <v>FFDFD3C0</v>
      </c>
      <c r="D3437" t="s">
        <v>134</v>
      </c>
      <c r="E3437">
        <v>12</v>
      </c>
      <c r="H3437">
        <v>64</v>
      </c>
      <c r="I3437" t="s">
        <v>135</v>
      </c>
      <c r="J3437" t="s">
        <v>136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ref="S3437:S3445" si="1598">"14:47:26.719"</f>
        <v>14:47:26.719</v>
      </c>
      <c r="T3437" t="str">
        <f>"14:47:26.519"</f>
        <v>14:47:26.519</v>
      </c>
      <c r="U3437" t="str">
        <f t="shared" si="1580"/>
        <v>A9808D</v>
      </c>
      <c r="V3437">
        <v>0</v>
      </c>
      <c r="W3437">
        <v>0</v>
      </c>
      <c r="X3437">
        <v>1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0</v>
      </c>
      <c r="AI3437" t="s">
        <v>261</v>
      </c>
      <c r="AJ3437">
        <v>28.254411000000001</v>
      </c>
      <c r="AK3437" t="s">
        <v>810</v>
      </c>
      <c r="AL3437">
        <v>-82.260560999999996</v>
      </c>
      <c r="AM3437">
        <v>100</v>
      </c>
      <c r="AN3437">
        <v>2200</v>
      </c>
      <c r="AO3437" t="s">
        <v>118</v>
      </c>
      <c r="AP3437">
        <v>37</v>
      </c>
      <c r="AQ3437">
        <v>135</v>
      </c>
      <c r="AR3437">
        <v>-192</v>
      </c>
      <c r="AZ3437">
        <v>1200</v>
      </c>
      <c r="BA3437">
        <v>1</v>
      </c>
      <c r="BB3437" t="str">
        <f t="shared" si="1589"/>
        <v xml:space="preserve">N711JA  </v>
      </c>
      <c r="BC3437">
        <v>1</v>
      </c>
      <c r="BE3437">
        <v>0</v>
      </c>
      <c r="BF3437">
        <v>0</v>
      </c>
      <c r="BG3437">
        <v>0</v>
      </c>
      <c r="BH3437">
        <v>2250</v>
      </c>
      <c r="BI3437">
        <v>1</v>
      </c>
      <c r="BJ3437">
        <v>1</v>
      </c>
      <c r="BK3437">
        <v>0</v>
      </c>
      <c r="BL3437">
        <v>0</v>
      </c>
      <c r="BO3437">
        <v>0</v>
      </c>
      <c r="BP3437">
        <v>0</v>
      </c>
      <c r="BW3437" t="str">
        <f t="shared" ref="BW3437:BW3442" si="1599">"14:47:26.722"</f>
        <v>14:47:26.722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6</v>
      </c>
      <c r="CP3437" t="s">
        <v>119</v>
      </c>
      <c r="CQ3437">
        <v>358</v>
      </c>
      <c r="CR3437">
        <v>0</v>
      </c>
      <c r="CW3437">
        <v>4985533</v>
      </c>
      <c r="CY3437">
        <v>1</v>
      </c>
      <c r="CZ3437">
        <v>0</v>
      </c>
      <c r="DA3437">
        <v>0</v>
      </c>
      <c r="DB3437">
        <v>0</v>
      </c>
      <c r="DC3437">
        <v>0</v>
      </c>
      <c r="DD3437">
        <v>1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 t="shared" si="1597"/>
        <v>05/12/2020 14:47:08.876</v>
      </c>
      <c r="C3438" t="str">
        <f t="shared" si="1588"/>
        <v>FFDFD3C0</v>
      </c>
      <c r="D3438" t="s">
        <v>126</v>
      </c>
      <c r="E3438">
        <v>7</v>
      </c>
      <c r="F3438">
        <v>1007</v>
      </c>
      <c r="G3438" t="s">
        <v>127</v>
      </c>
      <c r="J3438" t="s">
        <v>128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598"/>
        <v>14:47:26.719</v>
      </c>
      <c r="T3438" t="str">
        <f>"14:47:26.519"</f>
        <v>14:47:26.519</v>
      </c>
      <c r="U3438" t="str">
        <f t="shared" si="1580"/>
        <v>A9808D</v>
      </c>
      <c r="V3438">
        <v>0</v>
      </c>
      <c r="W3438">
        <v>0</v>
      </c>
      <c r="X3438">
        <v>1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0</v>
      </c>
      <c r="AI3438" t="s">
        <v>261</v>
      </c>
      <c r="AJ3438">
        <v>28.254411000000001</v>
      </c>
      <c r="AK3438" t="s">
        <v>810</v>
      </c>
      <c r="AL3438">
        <v>-82.260560999999996</v>
      </c>
      <c r="AM3438">
        <v>100</v>
      </c>
      <c r="AN3438">
        <v>2200</v>
      </c>
      <c r="AO3438" t="s">
        <v>118</v>
      </c>
      <c r="AP3438">
        <v>37</v>
      </c>
      <c r="AQ3438">
        <v>135</v>
      </c>
      <c r="AR3438">
        <v>-192</v>
      </c>
      <c r="AZ3438">
        <v>1200</v>
      </c>
      <c r="BA3438">
        <v>1</v>
      </c>
      <c r="BB3438" t="str">
        <f t="shared" si="1589"/>
        <v xml:space="preserve">N711JA  </v>
      </c>
      <c r="BC3438">
        <v>1</v>
      </c>
      <c r="BE3438">
        <v>0</v>
      </c>
      <c r="BF3438">
        <v>0</v>
      </c>
      <c r="BG3438">
        <v>0</v>
      </c>
      <c r="BH3438">
        <v>2250</v>
      </c>
      <c r="BI3438">
        <v>1</v>
      </c>
      <c r="BJ3438">
        <v>1</v>
      </c>
      <c r="BK3438">
        <v>0</v>
      </c>
      <c r="BL3438">
        <v>0</v>
      </c>
      <c r="BO3438">
        <v>0</v>
      </c>
      <c r="BP3438">
        <v>0</v>
      </c>
      <c r="BW3438" t="str">
        <f t="shared" si="1599"/>
        <v>14:47:26.722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6</v>
      </c>
      <c r="CP3438" t="s">
        <v>119</v>
      </c>
      <c r="CQ3438">
        <v>358</v>
      </c>
      <c r="CR3438">
        <v>0</v>
      </c>
      <c r="CW3438">
        <v>4985533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1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 t="shared" si="1597"/>
        <v>05/12/2020 14:47:08.876</v>
      </c>
      <c r="C3439" t="str">
        <f t="shared" si="1588"/>
        <v>FFDFD3C0</v>
      </c>
      <c r="D3439" t="s">
        <v>138</v>
      </c>
      <c r="E3439">
        <v>2</v>
      </c>
      <c r="H3439">
        <v>8</v>
      </c>
      <c r="I3439" t="s">
        <v>139</v>
      </c>
      <c r="J3439" t="s">
        <v>136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598"/>
        <v>14:47:26.719</v>
      </c>
      <c r="T3439" t="str">
        <f>"14:47:26.119"</f>
        <v>14:47:26.119</v>
      </c>
      <c r="U3439" t="str">
        <f t="shared" si="1580"/>
        <v>A9808D</v>
      </c>
      <c r="V3439">
        <v>0</v>
      </c>
      <c r="W3439">
        <v>0</v>
      </c>
      <c r="X3439">
        <v>1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0</v>
      </c>
      <c r="AI3439" t="s">
        <v>261</v>
      </c>
      <c r="AJ3439">
        <v>28.254411000000001</v>
      </c>
      <c r="AK3439" t="s">
        <v>810</v>
      </c>
      <c r="AL3439">
        <v>-82.260560999999996</v>
      </c>
      <c r="AM3439">
        <v>100</v>
      </c>
      <c r="AN3439">
        <v>2200</v>
      </c>
      <c r="AO3439" t="s">
        <v>118</v>
      </c>
      <c r="AP3439">
        <v>40</v>
      </c>
      <c r="AQ3439">
        <v>134</v>
      </c>
      <c r="AR3439">
        <v>-256</v>
      </c>
      <c r="AZ3439">
        <v>1200</v>
      </c>
      <c r="BA3439">
        <v>1</v>
      </c>
      <c r="BB3439" t="str">
        <f t="shared" si="1589"/>
        <v xml:space="preserve">N711JA  </v>
      </c>
      <c r="BC3439">
        <v>1</v>
      </c>
      <c r="BE3439">
        <v>0</v>
      </c>
      <c r="BF3439">
        <v>0</v>
      </c>
      <c r="BG3439">
        <v>0</v>
      </c>
      <c r="BH3439">
        <v>2250</v>
      </c>
      <c r="BI3439">
        <v>1</v>
      </c>
      <c r="BJ3439">
        <v>1</v>
      </c>
      <c r="BK3439">
        <v>0</v>
      </c>
      <c r="BL3439">
        <v>0</v>
      </c>
      <c r="BO3439">
        <v>0</v>
      </c>
      <c r="BP3439">
        <v>0</v>
      </c>
      <c r="BW3439" t="str">
        <f t="shared" si="1599"/>
        <v>14:47:26.722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6</v>
      </c>
      <c r="CP3439" t="s">
        <v>119</v>
      </c>
      <c r="CQ3439">
        <v>56</v>
      </c>
      <c r="CR3439">
        <v>2</v>
      </c>
      <c r="CW3439">
        <v>5010197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1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 t="shared" si="1597"/>
        <v>05/12/2020 14:47:08.876</v>
      </c>
      <c r="C3440" t="str">
        <f t="shared" si="1588"/>
        <v>FFDFD3C0</v>
      </c>
      <c r="D3440" t="s">
        <v>138</v>
      </c>
      <c r="E3440">
        <v>3</v>
      </c>
      <c r="H3440">
        <v>9</v>
      </c>
      <c r="I3440" t="s">
        <v>140</v>
      </c>
      <c r="J3440" t="s">
        <v>136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598"/>
        <v>14:47:26.719</v>
      </c>
      <c r="T3440" t="str">
        <f>"14:47:26.519"</f>
        <v>14:47:26.519</v>
      </c>
      <c r="U3440" t="str">
        <f t="shared" si="1580"/>
        <v>A9808D</v>
      </c>
      <c r="V3440">
        <v>0</v>
      </c>
      <c r="W3440">
        <v>0</v>
      </c>
      <c r="X3440">
        <v>1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0</v>
      </c>
      <c r="AI3440" t="s">
        <v>261</v>
      </c>
      <c r="AJ3440">
        <v>28.254411000000001</v>
      </c>
      <c r="AK3440" t="s">
        <v>810</v>
      </c>
      <c r="AL3440">
        <v>-82.260560999999996</v>
      </c>
      <c r="AM3440">
        <v>100</v>
      </c>
      <c r="AN3440">
        <v>2200</v>
      </c>
      <c r="AO3440" t="s">
        <v>118</v>
      </c>
      <c r="AP3440">
        <v>37</v>
      </c>
      <c r="AQ3440">
        <v>135</v>
      </c>
      <c r="AR3440">
        <v>-192</v>
      </c>
      <c r="AZ3440">
        <v>1200</v>
      </c>
      <c r="BA3440">
        <v>1</v>
      </c>
      <c r="BB3440" t="str">
        <f t="shared" si="1589"/>
        <v xml:space="preserve">N711JA  </v>
      </c>
      <c r="BC3440">
        <v>1</v>
      </c>
      <c r="BE3440">
        <v>0</v>
      </c>
      <c r="BF3440">
        <v>0</v>
      </c>
      <c r="BG3440">
        <v>0</v>
      </c>
      <c r="BH3440">
        <v>2250</v>
      </c>
      <c r="BI3440">
        <v>1</v>
      </c>
      <c r="BJ3440">
        <v>1</v>
      </c>
      <c r="BK3440">
        <v>0</v>
      </c>
      <c r="BL3440">
        <v>0</v>
      </c>
      <c r="BO3440">
        <v>0</v>
      </c>
      <c r="BP3440">
        <v>0</v>
      </c>
      <c r="BW3440" t="str">
        <f t="shared" si="1599"/>
        <v>14:47:26.722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6</v>
      </c>
      <c r="CP3440" t="s">
        <v>119</v>
      </c>
      <c r="CQ3440">
        <v>358</v>
      </c>
      <c r="CR3440">
        <v>0</v>
      </c>
      <c r="CW3440">
        <v>4985533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1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 t="shared" si="1597"/>
        <v>05/12/2020 14:47:08.876</v>
      </c>
      <c r="C3441" t="str">
        <f t="shared" si="1588"/>
        <v>FFDFD3C0</v>
      </c>
      <c r="D3441" t="s">
        <v>131</v>
      </c>
      <c r="E3441">
        <v>10</v>
      </c>
      <c r="F3441">
        <v>2010</v>
      </c>
      <c r="G3441" t="s">
        <v>132</v>
      </c>
      <c r="J3441" t="s">
        <v>133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598"/>
        <v>14:47:26.719</v>
      </c>
      <c r="T3441" t="str">
        <f>"14:47:26.519"</f>
        <v>14:47:26.519</v>
      </c>
      <c r="U3441" t="str">
        <f t="shared" si="1580"/>
        <v>A9808D</v>
      </c>
      <c r="V3441">
        <v>0</v>
      </c>
      <c r="W3441">
        <v>0</v>
      </c>
      <c r="X3441">
        <v>1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0</v>
      </c>
      <c r="AI3441" t="s">
        <v>261</v>
      </c>
      <c r="AJ3441">
        <v>28.254411000000001</v>
      </c>
      <c r="AK3441" t="s">
        <v>810</v>
      </c>
      <c r="AL3441">
        <v>-82.260560999999996</v>
      </c>
      <c r="AM3441">
        <v>100</v>
      </c>
      <c r="AN3441">
        <v>2200</v>
      </c>
      <c r="AO3441" t="s">
        <v>118</v>
      </c>
      <c r="AP3441">
        <v>37</v>
      </c>
      <c r="AQ3441">
        <v>135</v>
      </c>
      <c r="AR3441">
        <v>-192</v>
      </c>
      <c r="AZ3441">
        <v>1200</v>
      </c>
      <c r="BA3441">
        <v>1</v>
      </c>
      <c r="BB3441" t="str">
        <f t="shared" si="1589"/>
        <v xml:space="preserve">N711JA  </v>
      </c>
      <c r="BC3441">
        <v>1</v>
      </c>
      <c r="BE3441">
        <v>0</v>
      </c>
      <c r="BF3441">
        <v>0</v>
      </c>
      <c r="BG3441">
        <v>0</v>
      </c>
      <c r="BH3441">
        <v>2250</v>
      </c>
      <c r="BI3441">
        <v>1</v>
      </c>
      <c r="BJ3441">
        <v>1</v>
      </c>
      <c r="BK3441">
        <v>0</v>
      </c>
      <c r="BL3441">
        <v>0</v>
      </c>
      <c r="BO3441">
        <v>0</v>
      </c>
      <c r="BP3441">
        <v>0</v>
      </c>
      <c r="BW3441" t="str">
        <f t="shared" si="1599"/>
        <v>14:47:26.722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6</v>
      </c>
      <c r="CP3441" t="s">
        <v>119</v>
      </c>
      <c r="CQ3441">
        <v>358</v>
      </c>
      <c r="CR3441">
        <v>0</v>
      </c>
      <c r="CW3441">
        <v>4985533</v>
      </c>
      <c r="CY3441">
        <v>1</v>
      </c>
      <c r="CZ3441">
        <v>0</v>
      </c>
      <c r="DA3441">
        <v>1</v>
      </c>
      <c r="DB3441">
        <v>0</v>
      </c>
      <c r="DC3441">
        <v>0</v>
      </c>
      <c r="DD3441">
        <v>1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 t="shared" si="1597"/>
        <v>05/12/2020 14:47:08.876</v>
      </c>
      <c r="C3442" t="str">
        <f t="shared" si="1588"/>
        <v>FFDFD3C0</v>
      </c>
      <c r="D3442" t="s">
        <v>131</v>
      </c>
      <c r="E3442">
        <v>12</v>
      </c>
      <c r="F3442">
        <v>2012</v>
      </c>
      <c r="G3442" t="s">
        <v>137</v>
      </c>
      <c r="J3442" t="s">
        <v>133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598"/>
        <v>14:47:26.719</v>
      </c>
      <c r="T3442" t="str">
        <f>"14:47:26.119"</f>
        <v>14:47:26.119</v>
      </c>
      <c r="U3442" t="str">
        <f t="shared" si="1580"/>
        <v>A9808D</v>
      </c>
      <c r="V3442">
        <v>0</v>
      </c>
      <c r="W3442">
        <v>0</v>
      </c>
      <c r="X3442">
        <v>1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0</v>
      </c>
      <c r="AI3442" t="s">
        <v>261</v>
      </c>
      <c r="AJ3442">
        <v>28.254411000000001</v>
      </c>
      <c r="AK3442" t="s">
        <v>810</v>
      </c>
      <c r="AL3442">
        <v>-82.260560999999996</v>
      </c>
      <c r="AM3442">
        <v>100</v>
      </c>
      <c r="AN3442">
        <v>2200</v>
      </c>
      <c r="AO3442" t="s">
        <v>118</v>
      </c>
      <c r="AP3442">
        <v>40</v>
      </c>
      <c r="AQ3442">
        <v>134</v>
      </c>
      <c r="AR3442">
        <v>-256</v>
      </c>
      <c r="AZ3442">
        <v>1200</v>
      </c>
      <c r="BA3442">
        <v>1</v>
      </c>
      <c r="BB3442" t="str">
        <f t="shared" si="1589"/>
        <v xml:space="preserve">N711JA  </v>
      </c>
      <c r="BC3442">
        <v>1</v>
      </c>
      <c r="BE3442">
        <v>0</v>
      </c>
      <c r="BF3442">
        <v>0</v>
      </c>
      <c r="BG3442">
        <v>0</v>
      </c>
      <c r="BH3442">
        <v>2250</v>
      </c>
      <c r="BI3442">
        <v>1</v>
      </c>
      <c r="BJ3442">
        <v>1</v>
      </c>
      <c r="BK3442">
        <v>0</v>
      </c>
      <c r="BL3442">
        <v>0</v>
      </c>
      <c r="BO3442">
        <v>0</v>
      </c>
      <c r="BP3442">
        <v>0</v>
      </c>
      <c r="BW3442" t="str">
        <f t="shared" si="1599"/>
        <v>14:47:26.722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6</v>
      </c>
      <c r="CP3442" t="s">
        <v>119</v>
      </c>
      <c r="CQ3442">
        <v>56</v>
      </c>
      <c r="CR3442">
        <v>2</v>
      </c>
      <c r="CW3442">
        <v>5010197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1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 t="shared" si="1597"/>
        <v>05/12/2020 14:47:08.876</v>
      </c>
      <c r="C3443" t="str">
        <f t="shared" si="1588"/>
        <v>FFDFD3C0</v>
      </c>
      <c r="D3443" t="s">
        <v>131</v>
      </c>
      <c r="E3443">
        <v>18</v>
      </c>
      <c r="F3443">
        <v>2018</v>
      </c>
      <c r="G3443" t="s">
        <v>161</v>
      </c>
      <c r="J3443" t="s">
        <v>133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598"/>
        <v>14:47:26.719</v>
      </c>
      <c r="T3443" t="str">
        <f>"14:47:26.519"</f>
        <v>14:47:26.519</v>
      </c>
      <c r="U3443" t="str">
        <f t="shared" si="1580"/>
        <v>A9808D</v>
      </c>
      <c r="V3443">
        <v>0</v>
      </c>
      <c r="W3443">
        <v>0</v>
      </c>
      <c r="X3443">
        <v>1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0</v>
      </c>
      <c r="AI3443" t="s">
        <v>261</v>
      </c>
      <c r="AJ3443">
        <v>28.254411000000001</v>
      </c>
      <c r="AK3443" t="s">
        <v>810</v>
      </c>
      <c r="AL3443">
        <v>-82.260560999999996</v>
      </c>
      <c r="AM3443">
        <v>100</v>
      </c>
      <c r="AN3443">
        <v>2200</v>
      </c>
      <c r="AO3443" t="s">
        <v>118</v>
      </c>
      <c r="AP3443">
        <v>37</v>
      </c>
      <c r="AQ3443">
        <v>135</v>
      </c>
      <c r="AR3443">
        <v>-192</v>
      </c>
      <c r="AZ3443">
        <v>1200</v>
      </c>
      <c r="BA3443">
        <v>1</v>
      </c>
      <c r="BB3443" t="str">
        <f t="shared" si="1589"/>
        <v xml:space="preserve">N711JA  </v>
      </c>
      <c r="BC3443">
        <v>1</v>
      </c>
      <c r="BE3443">
        <v>0</v>
      </c>
      <c r="BF3443">
        <v>0</v>
      </c>
      <c r="BG3443">
        <v>0</v>
      </c>
      <c r="BH3443">
        <v>2250</v>
      </c>
      <c r="BI3443">
        <v>1</v>
      </c>
      <c r="BJ3443">
        <v>1</v>
      </c>
      <c r="BK3443">
        <v>0</v>
      </c>
      <c r="BL3443">
        <v>0</v>
      </c>
      <c r="BO3443">
        <v>0</v>
      </c>
      <c r="BP3443">
        <v>0</v>
      </c>
      <c r="BW3443" t="str">
        <f>"14:47:26.723"</f>
        <v>14:47:26.723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3</v>
      </c>
      <c r="CP3443" t="s">
        <v>119</v>
      </c>
      <c r="CQ3443">
        <v>62</v>
      </c>
      <c r="CR3443">
        <v>1</v>
      </c>
      <c r="CW3443">
        <v>12922235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1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 t="shared" si="1597"/>
        <v>05/12/2020 14:47:08.876</v>
      </c>
      <c r="C3444" t="str">
        <f t="shared" si="1588"/>
        <v>FFDFD3C0</v>
      </c>
      <c r="D3444" t="s">
        <v>126</v>
      </c>
      <c r="E3444">
        <v>6</v>
      </c>
      <c r="F3444">
        <v>1006</v>
      </c>
      <c r="G3444" t="s">
        <v>114</v>
      </c>
      <c r="J3444" t="s">
        <v>128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598"/>
        <v>14:47:26.719</v>
      </c>
      <c r="T3444" t="str">
        <f>"14:47:26.519"</f>
        <v>14:47:26.519</v>
      </c>
      <c r="U3444" t="str">
        <f t="shared" si="1580"/>
        <v>A9808D</v>
      </c>
      <c r="V3444">
        <v>0</v>
      </c>
      <c r="W3444">
        <v>0</v>
      </c>
      <c r="X3444">
        <v>1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0</v>
      </c>
      <c r="AI3444" t="s">
        <v>261</v>
      </c>
      <c r="AJ3444">
        <v>28.254411000000001</v>
      </c>
      <c r="AK3444" t="s">
        <v>810</v>
      </c>
      <c r="AL3444">
        <v>-82.260560999999996</v>
      </c>
      <c r="AM3444">
        <v>100</v>
      </c>
      <c r="AN3444">
        <v>2200</v>
      </c>
      <c r="AO3444" t="s">
        <v>118</v>
      </c>
      <c r="AP3444">
        <v>37</v>
      </c>
      <c r="AQ3444">
        <v>135</v>
      </c>
      <c r="AR3444">
        <v>-192</v>
      </c>
      <c r="AZ3444">
        <v>1200</v>
      </c>
      <c r="BA3444">
        <v>1</v>
      </c>
      <c r="BB3444" t="str">
        <f t="shared" si="1589"/>
        <v xml:space="preserve">N711JA  </v>
      </c>
      <c r="BC3444">
        <v>1</v>
      </c>
      <c r="BE3444">
        <v>0</v>
      </c>
      <c r="BF3444">
        <v>0</v>
      </c>
      <c r="BG3444">
        <v>0</v>
      </c>
      <c r="BH3444">
        <v>2250</v>
      </c>
      <c r="BI3444">
        <v>1</v>
      </c>
      <c r="BJ3444">
        <v>1</v>
      </c>
      <c r="BK3444">
        <v>0</v>
      </c>
      <c r="BL3444">
        <v>0</v>
      </c>
      <c r="BO3444">
        <v>0</v>
      </c>
      <c r="BP3444">
        <v>0</v>
      </c>
      <c r="BW3444" t="str">
        <f>"14:47:26.722"</f>
        <v>14:47:26.722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6</v>
      </c>
      <c r="CP3444" t="s">
        <v>119</v>
      </c>
      <c r="CQ3444">
        <v>358</v>
      </c>
      <c r="CR3444">
        <v>0</v>
      </c>
      <c r="CW3444">
        <v>4985533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1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 t="shared" si="1597"/>
        <v>05/12/2020 14:47:08.876</v>
      </c>
      <c r="C3445" t="str">
        <f t="shared" si="1588"/>
        <v>FFDFD3C0</v>
      </c>
      <c r="D3445" t="s">
        <v>113</v>
      </c>
      <c r="E3445">
        <v>3</v>
      </c>
      <c r="H3445">
        <v>164</v>
      </c>
      <c r="I3445" t="s">
        <v>114</v>
      </c>
      <c r="J3445" t="s">
        <v>115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598"/>
        <v>14:47:26.719</v>
      </c>
      <c r="T3445" t="str">
        <f>"14:47:26.519"</f>
        <v>14:47:26.519</v>
      </c>
      <c r="U3445" t="str">
        <f t="shared" si="1580"/>
        <v>A9808D</v>
      </c>
      <c r="V3445">
        <v>0</v>
      </c>
      <c r="W3445">
        <v>0</v>
      </c>
      <c r="X3445">
        <v>1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0</v>
      </c>
      <c r="AI3445" t="s">
        <v>261</v>
      </c>
      <c r="AJ3445">
        <v>28.254411000000001</v>
      </c>
      <c r="AK3445" t="s">
        <v>810</v>
      </c>
      <c r="AL3445">
        <v>-82.260560999999996</v>
      </c>
      <c r="AM3445">
        <v>100</v>
      </c>
      <c r="AN3445">
        <v>2200</v>
      </c>
      <c r="AO3445" t="s">
        <v>118</v>
      </c>
      <c r="AP3445">
        <v>37</v>
      </c>
      <c r="AQ3445">
        <v>135</v>
      </c>
      <c r="AR3445">
        <v>-192</v>
      </c>
      <c r="AZ3445">
        <v>1200</v>
      </c>
      <c r="BA3445">
        <v>1</v>
      </c>
      <c r="BB3445" t="str">
        <f t="shared" si="1589"/>
        <v xml:space="preserve">N711JA  </v>
      </c>
      <c r="BC3445">
        <v>1</v>
      </c>
      <c r="BE3445">
        <v>0</v>
      </c>
      <c r="BF3445">
        <v>0</v>
      </c>
      <c r="BG3445">
        <v>0</v>
      </c>
      <c r="BH3445">
        <v>2250</v>
      </c>
      <c r="BI3445">
        <v>1</v>
      </c>
      <c r="BJ3445">
        <v>1</v>
      </c>
      <c r="BK3445">
        <v>0</v>
      </c>
      <c r="BL3445">
        <v>0</v>
      </c>
      <c r="BO3445">
        <v>0</v>
      </c>
      <c r="BP3445">
        <v>0</v>
      </c>
      <c r="BW3445" t="str">
        <f>"14:47:26.723"</f>
        <v>14:47:26.723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5</v>
      </c>
      <c r="CP3445" t="s">
        <v>119</v>
      </c>
      <c r="CQ3445">
        <v>9</v>
      </c>
      <c r="CR3445">
        <v>0</v>
      </c>
      <c r="CW3445">
        <v>12831419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1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 t="shared" ref="A3446:A3454" si="1600">"05/12/2020 14:47:09.895"</f>
        <v>05/12/2020 14:47:09.895</v>
      </c>
      <c r="C3446" t="str">
        <f t="shared" si="1588"/>
        <v>FFDFD3C0</v>
      </c>
      <c r="D3446" t="s">
        <v>126</v>
      </c>
      <c r="E3446">
        <v>6</v>
      </c>
      <c r="F3446">
        <v>1006</v>
      </c>
      <c r="G3446" t="s">
        <v>114</v>
      </c>
      <c r="J3446" t="s">
        <v>128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ref="S3446:S3454" si="1601">"14:47:27.727"</f>
        <v>14:47:27.727</v>
      </c>
      <c r="T3446" t="str">
        <f t="shared" ref="T3446:T3454" si="1602">"14:47:27.427"</f>
        <v>14:47:27.427</v>
      </c>
      <c r="U3446" t="str">
        <f t="shared" si="1580"/>
        <v>A9808D</v>
      </c>
      <c r="V3446">
        <v>0</v>
      </c>
      <c r="W3446">
        <v>0</v>
      </c>
      <c r="X3446">
        <v>1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0</v>
      </c>
      <c r="AI3446" t="s">
        <v>604</v>
      </c>
      <c r="AJ3446">
        <v>28.255075999999999</v>
      </c>
      <c r="AK3446" t="s">
        <v>811</v>
      </c>
      <c r="AL3446">
        <v>-82.260411000000005</v>
      </c>
      <c r="AM3446">
        <v>100</v>
      </c>
      <c r="AN3446">
        <v>2200</v>
      </c>
      <c r="AO3446" t="s">
        <v>118</v>
      </c>
      <c r="AP3446">
        <v>32</v>
      </c>
      <c r="AQ3446">
        <v>137</v>
      </c>
      <c r="AR3446">
        <v>-64</v>
      </c>
      <c r="AZ3446">
        <v>1200</v>
      </c>
      <c r="BA3446">
        <v>1</v>
      </c>
      <c r="BB3446" t="str">
        <f t="shared" si="1589"/>
        <v xml:space="preserve">N711JA  </v>
      </c>
      <c r="BC3446">
        <v>1</v>
      </c>
      <c r="BE3446">
        <v>0</v>
      </c>
      <c r="BF3446">
        <v>0</v>
      </c>
      <c r="BG3446">
        <v>0</v>
      </c>
      <c r="BH3446">
        <v>2250</v>
      </c>
      <c r="BI3446">
        <v>1</v>
      </c>
      <c r="BJ3446">
        <v>1</v>
      </c>
      <c r="BK3446">
        <v>0</v>
      </c>
      <c r="BL3446">
        <v>0</v>
      </c>
      <c r="BO3446">
        <v>0</v>
      </c>
      <c r="BP3446">
        <v>0</v>
      </c>
      <c r="BW3446" t="str">
        <f t="shared" ref="BW3446:BW3454" si="1603">"14:47:27.728"</f>
        <v>14:47:27.728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6</v>
      </c>
      <c r="CP3446" t="s">
        <v>119</v>
      </c>
      <c r="CQ3446">
        <v>358</v>
      </c>
      <c r="CR3446">
        <v>0</v>
      </c>
      <c r="CW3446">
        <v>4986690</v>
      </c>
      <c r="CY3446">
        <v>1</v>
      </c>
      <c r="CZ3446">
        <v>0</v>
      </c>
      <c r="DA3446">
        <v>0</v>
      </c>
      <c r="DB3446">
        <v>0</v>
      </c>
      <c r="DC3446">
        <v>0</v>
      </c>
      <c r="DD3446">
        <v>1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 t="shared" si="1600"/>
        <v>05/12/2020 14:47:09.895</v>
      </c>
      <c r="C3447" t="str">
        <f t="shared" si="1588"/>
        <v>FFDFD3C0</v>
      </c>
      <c r="D3447" t="s">
        <v>113</v>
      </c>
      <c r="E3447">
        <v>3</v>
      </c>
      <c r="H3447">
        <v>164</v>
      </c>
      <c r="I3447" t="s">
        <v>114</v>
      </c>
      <c r="J3447" t="s">
        <v>115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601"/>
        <v>14:47:27.727</v>
      </c>
      <c r="T3447" t="str">
        <f t="shared" si="1602"/>
        <v>14:47:27.427</v>
      </c>
      <c r="U3447" t="str">
        <f t="shared" si="1580"/>
        <v>A9808D</v>
      </c>
      <c r="V3447">
        <v>0</v>
      </c>
      <c r="W3447">
        <v>0</v>
      </c>
      <c r="X3447">
        <v>1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0</v>
      </c>
      <c r="AI3447" t="s">
        <v>604</v>
      </c>
      <c r="AJ3447">
        <v>28.255075999999999</v>
      </c>
      <c r="AK3447" t="s">
        <v>811</v>
      </c>
      <c r="AL3447">
        <v>-82.260411000000005</v>
      </c>
      <c r="AM3447">
        <v>100</v>
      </c>
      <c r="AN3447">
        <v>2200</v>
      </c>
      <c r="AO3447" t="s">
        <v>118</v>
      </c>
      <c r="AP3447">
        <v>32</v>
      </c>
      <c r="AQ3447">
        <v>137</v>
      </c>
      <c r="AR3447">
        <v>-64</v>
      </c>
      <c r="AZ3447">
        <v>1200</v>
      </c>
      <c r="BA3447">
        <v>1</v>
      </c>
      <c r="BB3447" t="str">
        <f t="shared" si="1589"/>
        <v xml:space="preserve">N711JA  </v>
      </c>
      <c r="BC3447">
        <v>1</v>
      </c>
      <c r="BE3447">
        <v>0</v>
      </c>
      <c r="BF3447">
        <v>0</v>
      </c>
      <c r="BG3447">
        <v>0</v>
      </c>
      <c r="BH3447">
        <v>2250</v>
      </c>
      <c r="BI3447">
        <v>1</v>
      </c>
      <c r="BJ3447">
        <v>1</v>
      </c>
      <c r="BK3447">
        <v>0</v>
      </c>
      <c r="BL3447">
        <v>0</v>
      </c>
      <c r="BO3447">
        <v>0</v>
      </c>
      <c r="BP3447">
        <v>0</v>
      </c>
      <c r="BW3447" t="str">
        <f t="shared" si="1603"/>
        <v>14:47:27.728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6</v>
      </c>
      <c r="CP3447" t="s">
        <v>119</v>
      </c>
      <c r="CQ3447">
        <v>56</v>
      </c>
      <c r="CR3447">
        <v>2</v>
      </c>
      <c r="CW3447">
        <v>5011480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1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 t="shared" si="1600"/>
        <v>05/12/2020 14:47:09.895</v>
      </c>
      <c r="C3448" t="str">
        <f t="shared" si="1588"/>
        <v>FFDFD3C0</v>
      </c>
      <c r="D3448" t="s">
        <v>126</v>
      </c>
      <c r="E3448">
        <v>7</v>
      </c>
      <c r="F3448">
        <v>1007</v>
      </c>
      <c r="G3448" t="s">
        <v>127</v>
      </c>
      <c r="J3448" t="s">
        <v>128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si="1601"/>
        <v>14:47:27.727</v>
      </c>
      <c r="T3448" t="str">
        <f t="shared" si="1602"/>
        <v>14:47:27.427</v>
      </c>
      <c r="U3448" t="str">
        <f t="shared" si="1580"/>
        <v>A9808D</v>
      </c>
      <c r="V3448">
        <v>0</v>
      </c>
      <c r="W3448">
        <v>0</v>
      </c>
      <c r="X3448">
        <v>1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0</v>
      </c>
      <c r="AI3448" t="s">
        <v>604</v>
      </c>
      <c r="AJ3448">
        <v>28.255075999999999</v>
      </c>
      <c r="AK3448" t="s">
        <v>811</v>
      </c>
      <c r="AL3448">
        <v>-82.260411000000005</v>
      </c>
      <c r="AM3448">
        <v>100</v>
      </c>
      <c r="AN3448">
        <v>2200</v>
      </c>
      <c r="AO3448" t="s">
        <v>118</v>
      </c>
      <c r="AP3448">
        <v>32</v>
      </c>
      <c r="AQ3448">
        <v>137</v>
      </c>
      <c r="AR3448">
        <v>-64</v>
      </c>
      <c r="AZ3448">
        <v>1200</v>
      </c>
      <c r="BA3448">
        <v>1</v>
      </c>
      <c r="BB3448" t="str">
        <f t="shared" si="1589"/>
        <v xml:space="preserve">N711JA  </v>
      </c>
      <c r="BC3448">
        <v>1</v>
      </c>
      <c r="BE3448">
        <v>0</v>
      </c>
      <c r="BF3448">
        <v>0</v>
      </c>
      <c r="BG3448">
        <v>0</v>
      </c>
      <c r="BH3448">
        <v>2250</v>
      </c>
      <c r="BI3448">
        <v>1</v>
      </c>
      <c r="BJ3448">
        <v>1</v>
      </c>
      <c r="BK3448">
        <v>0</v>
      </c>
      <c r="BL3448">
        <v>0</v>
      </c>
      <c r="BO3448">
        <v>0</v>
      </c>
      <c r="BP3448">
        <v>0</v>
      </c>
      <c r="BW3448" t="str">
        <f t="shared" si="1603"/>
        <v>14:47:27.728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6</v>
      </c>
      <c r="CP3448" t="s">
        <v>119</v>
      </c>
      <c r="CQ3448">
        <v>358</v>
      </c>
      <c r="CR3448">
        <v>0</v>
      </c>
      <c r="CW3448">
        <v>4986690</v>
      </c>
      <c r="CY3448">
        <v>1</v>
      </c>
      <c r="CZ3448">
        <v>0</v>
      </c>
      <c r="DA3448">
        <v>1</v>
      </c>
      <c r="DB3448">
        <v>0</v>
      </c>
      <c r="DC3448">
        <v>0</v>
      </c>
      <c r="DD3448">
        <v>1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 t="shared" si="1600"/>
        <v>05/12/2020 14:47:09.895</v>
      </c>
      <c r="C3449" t="str">
        <f t="shared" si="1588"/>
        <v>FFDFD3C0</v>
      </c>
      <c r="D3449" t="s">
        <v>131</v>
      </c>
      <c r="E3449">
        <v>10</v>
      </c>
      <c r="F3449">
        <v>2010</v>
      </c>
      <c r="G3449" t="s">
        <v>132</v>
      </c>
      <c r="J3449" t="s">
        <v>133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601"/>
        <v>14:47:27.727</v>
      </c>
      <c r="T3449" t="str">
        <f t="shared" si="1602"/>
        <v>14:47:27.427</v>
      </c>
      <c r="U3449" t="str">
        <f t="shared" si="1580"/>
        <v>A9808D</v>
      </c>
      <c r="V3449">
        <v>0</v>
      </c>
      <c r="W3449">
        <v>0</v>
      </c>
      <c r="X3449">
        <v>1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0</v>
      </c>
      <c r="AI3449" t="s">
        <v>604</v>
      </c>
      <c r="AJ3449">
        <v>28.255075999999999</v>
      </c>
      <c r="AK3449" t="s">
        <v>811</v>
      </c>
      <c r="AL3449">
        <v>-82.260411000000005</v>
      </c>
      <c r="AM3449">
        <v>100</v>
      </c>
      <c r="AN3449">
        <v>2200</v>
      </c>
      <c r="AO3449" t="s">
        <v>118</v>
      </c>
      <c r="AP3449">
        <v>32</v>
      </c>
      <c r="AQ3449">
        <v>137</v>
      </c>
      <c r="AR3449">
        <v>-64</v>
      </c>
      <c r="AZ3449">
        <v>1200</v>
      </c>
      <c r="BA3449">
        <v>1</v>
      </c>
      <c r="BB3449" t="str">
        <f t="shared" si="1589"/>
        <v xml:space="preserve">N711JA  </v>
      </c>
      <c r="BC3449">
        <v>1</v>
      </c>
      <c r="BE3449">
        <v>0</v>
      </c>
      <c r="BF3449">
        <v>0</v>
      </c>
      <c r="BG3449">
        <v>0</v>
      </c>
      <c r="BH3449">
        <v>2250</v>
      </c>
      <c r="BI3449">
        <v>1</v>
      </c>
      <c r="BJ3449">
        <v>1</v>
      </c>
      <c r="BK3449">
        <v>0</v>
      </c>
      <c r="BL3449">
        <v>0</v>
      </c>
      <c r="BO3449">
        <v>0</v>
      </c>
      <c r="BP3449">
        <v>0</v>
      </c>
      <c r="BW3449" t="str">
        <f t="shared" si="1603"/>
        <v>14:47:27.728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6</v>
      </c>
      <c r="CP3449" t="s">
        <v>119</v>
      </c>
      <c r="CQ3449">
        <v>358</v>
      </c>
      <c r="CR3449">
        <v>0</v>
      </c>
      <c r="CW3449">
        <v>4986690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1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 t="shared" si="1600"/>
        <v>05/12/2020 14:47:09.895</v>
      </c>
      <c r="C3450" t="str">
        <f t="shared" si="1588"/>
        <v>FFDFD3C0</v>
      </c>
      <c r="D3450" t="s">
        <v>131</v>
      </c>
      <c r="E3450">
        <v>12</v>
      </c>
      <c r="F3450">
        <v>2012</v>
      </c>
      <c r="G3450" t="s">
        <v>137</v>
      </c>
      <c r="J3450" t="s">
        <v>133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601"/>
        <v>14:47:27.727</v>
      </c>
      <c r="T3450" t="str">
        <f t="shared" si="1602"/>
        <v>14:47:27.427</v>
      </c>
      <c r="U3450" t="str">
        <f t="shared" si="1580"/>
        <v>A9808D</v>
      </c>
      <c r="V3450">
        <v>0</v>
      </c>
      <c r="W3450">
        <v>0</v>
      </c>
      <c r="X3450">
        <v>1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0</v>
      </c>
      <c r="AI3450" t="s">
        <v>604</v>
      </c>
      <c r="AJ3450">
        <v>28.255075999999999</v>
      </c>
      <c r="AK3450" t="s">
        <v>811</v>
      </c>
      <c r="AL3450">
        <v>-82.260411000000005</v>
      </c>
      <c r="AM3450">
        <v>100</v>
      </c>
      <c r="AN3450">
        <v>2200</v>
      </c>
      <c r="AO3450" t="s">
        <v>118</v>
      </c>
      <c r="AP3450">
        <v>32</v>
      </c>
      <c r="AQ3450">
        <v>137</v>
      </c>
      <c r="AR3450">
        <v>-64</v>
      </c>
      <c r="AZ3450">
        <v>1200</v>
      </c>
      <c r="BA3450">
        <v>1</v>
      </c>
      <c r="BB3450" t="str">
        <f t="shared" si="1589"/>
        <v xml:space="preserve">N711JA  </v>
      </c>
      <c r="BC3450">
        <v>1</v>
      </c>
      <c r="BE3450">
        <v>0</v>
      </c>
      <c r="BF3450">
        <v>0</v>
      </c>
      <c r="BG3450">
        <v>0</v>
      </c>
      <c r="BH3450">
        <v>2250</v>
      </c>
      <c r="BI3450">
        <v>1</v>
      </c>
      <c r="BJ3450">
        <v>1</v>
      </c>
      <c r="BK3450">
        <v>0</v>
      </c>
      <c r="BL3450">
        <v>0</v>
      </c>
      <c r="BO3450">
        <v>0</v>
      </c>
      <c r="BP3450">
        <v>0</v>
      </c>
      <c r="BW3450" t="str">
        <f t="shared" si="1603"/>
        <v>14:47:27.728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6</v>
      </c>
      <c r="CP3450" t="s">
        <v>119</v>
      </c>
      <c r="CQ3450">
        <v>56</v>
      </c>
      <c r="CR3450">
        <v>2</v>
      </c>
      <c r="CW3450">
        <v>5011480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1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 t="shared" si="1600"/>
        <v>05/12/2020 14:47:09.895</v>
      </c>
      <c r="C3451" t="str">
        <f t="shared" si="1588"/>
        <v>FFDFD3C0</v>
      </c>
      <c r="D3451" t="s">
        <v>131</v>
      </c>
      <c r="E3451">
        <v>18</v>
      </c>
      <c r="F3451">
        <v>2018</v>
      </c>
      <c r="G3451" t="s">
        <v>161</v>
      </c>
      <c r="J3451" t="s">
        <v>133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601"/>
        <v>14:47:27.727</v>
      </c>
      <c r="T3451" t="str">
        <f t="shared" si="1602"/>
        <v>14:47:27.427</v>
      </c>
      <c r="U3451" t="str">
        <f t="shared" si="1580"/>
        <v>A9808D</v>
      </c>
      <c r="V3451">
        <v>0</v>
      </c>
      <c r="W3451">
        <v>0</v>
      </c>
      <c r="X3451">
        <v>1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0</v>
      </c>
      <c r="AI3451" t="s">
        <v>604</v>
      </c>
      <c r="AJ3451">
        <v>28.255075999999999</v>
      </c>
      <c r="AK3451" t="s">
        <v>811</v>
      </c>
      <c r="AL3451">
        <v>-82.260411000000005</v>
      </c>
      <c r="AM3451">
        <v>100</v>
      </c>
      <c r="AN3451">
        <v>2200</v>
      </c>
      <c r="AO3451" t="s">
        <v>118</v>
      </c>
      <c r="AP3451">
        <v>32</v>
      </c>
      <c r="AQ3451">
        <v>137</v>
      </c>
      <c r="AR3451">
        <v>-64</v>
      </c>
      <c r="AZ3451">
        <v>1200</v>
      </c>
      <c r="BA3451">
        <v>1</v>
      </c>
      <c r="BB3451" t="str">
        <f t="shared" si="1589"/>
        <v xml:space="preserve">N711JA  </v>
      </c>
      <c r="BC3451">
        <v>1</v>
      </c>
      <c r="BE3451">
        <v>0</v>
      </c>
      <c r="BF3451">
        <v>0</v>
      </c>
      <c r="BG3451">
        <v>0</v>
      </c>
      <c r="BH3451">
        <v>2250</v>
      </c>
      <c r="BI3451">
        <v>1</v>
      </c>
      <c r="BJ3451">
        <v>1</v>
      </c>
      <c r="BK3451">
        <v>0</v>
      </c>
      <c r="BL3451">
        <v>0</v>
      </c>
      <c r="BO3451">
        <v>0</v>
      </c>
      <c r="BP3451">
        <v>0</v>
      </c>
      <c r="BW3451" t="str">
        <f t="shared" si="1603"/>
        <v>14:47:27.728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6</v>
      </c>
      <c r="CP3451" t="s">
        <v>119</v>
      </c>
      <c r="CQ3451">
        <v>56</v>
      </c>
      <c r="CR3451">
        <v>2</v>
      </c>
      <c r="CW3451">
        <v>5011480</v>
      </c>
      <c r="CY3451">
        <v>1</v>
      </c>
      <c r="CZ3451">
        <v>0</v>
      </c>
      <c r="DA3451">
        <v>1</v>
      </c>
      <c r="DB3451">
        <v>0</v>
      </c>
      <c r="DC3451">
        <v>0</v>
      </c>
      <c r="DD3451">
        <v>1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 t="shared" si="1600"/>
        <v>05/12/2020 14:47:09.895</v>
      </c>
      <c r="C3452" t="str">
        <f t="shared" si="1588"/>
        <v>FFDFD3C0</v>
      </c>
      <c r="D3452" t="s">
        <v>134</v>
      </c>
      <c r="E3452">
        <v>12</v>
      </c>
      <c r="H3452">
        <v>64</v>
      </c>
      <c r="I3452" t="s">
        <v>135</v>
      </c>
      <c r="J3452" t="s">
        <v>136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si="1601"/>
        <v>14:47:27.727</v>
      </c>
      <c r="T3452" t="str">
        <f t="shared" si="1602"/>
        <v>14:47:27.427</v>
      </c>
      <c r="U3452" t="str">
        <f t="shared" si="1580"/>
        <v>A9808D</v>
      </c>
      <c r="V3452">
        <v>0</v>
      </c>
      <c r="W3452">
        <v>0</v>
      </c>
      <c r="X3452">
        <v>1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3</v>
      </c>
      <c r="AG3452">
        <v>2</v>
      </c>
      <c r="AH3452">
        <v>0</v>
      </c>
      <c r="AI3452" t="s">
        <v>604</v>
      </c>
      <c r="AJ3452">
        <v>28.255075999999999</v>
      </c>
      <c r="AK3452" t="s">
        <v>811</v>
      </c>
      <c r="AL3452">
        <v>-82.260411000000005</v>
      </c>
      <c r="AM3452">
        <v>100</v>
      </c>
      <c r="AN3452">
        <v>2200</v>
      </c>
      <c r="AO3452" t="s">
        <v>118</v>
      </c>
      <c r="AP3452">
        <v>32</v>
      </c>
      <c r="AQ3452">
        <v>137</v>
      </c>
      <c r="AR3452">
        <v>-64</v>
      </c>
      <c r="AZ3452">
        <v>1200</v>
      </c>
      <c r="BA3452">
        <v>1</v>
      </c>
      <c r="BB3452" t="str">
        <f t="shared" si="1589"/>
        <v xml:space="preserve">N711JA  </v>
      </c>
      <c r="BC3452">
        <v>1</v>
      </c>
      <c r="BE3452">
        <v>0</v>
      </c>
      <c r="BF3452">
        <v>0</v>
      </c>
      <c r="BG3452">
        <v>0</v>
      </c>
      <c r="BH3452">
        <v>2250</v>
      </c>
      <c r="BI3452">
        <v>1</v>
      </c>
      <c r="BJ3452">
        <v>1</v>
      </c>
      <c r="BK3452">
        <v>0</v>
      </c>
      <c r="BL3452">
        <v>0</v>
      </c>
      <c r="BO3452">
        <v>0</v>
      </c>
      <c r="BP3452">
        <v>0</v>
      </c>
      <c r="BW3452" t="str">
        <f t="shared" si="1603"/>
        <v>14:47:27.728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6</v>
      </c>
      <c r="CP3452" t="s">
        <v>119</v>
      </c>
      <c r="CQ3452">
        <v>358</v>
      </c>
      <c r="CR3452">
        <v>0</v>
      </c>
      <c r="CW3452">
        <v>4986690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1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 t="shared" si="1600"/>
        <v>05/12/2020 14:47:09.895</v>
      </c>
      <c r="C3453" t="str">
        <f t="shared" si="1588"/>
        <v>FFDFD3C0</v>
      </c>
      <c r="D3453" t="s">
        <v>138</v>
      </c>
      <c r="E3453">
        <v>3</v>
      </c>
      <c r="H3453">
        <v>9</v>
      </c>
      <c r="I3453" t="s">
        <v>140</v>
      </c>
      <c r="J3453" t="s">
        <v>136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601"/>
        <v>14:47:27.727</v>
      </c>
      <c r="T3453" t="str">
        <f t="shared" si="1602"/>
        <v>14:47:27.427</v>
      </c>
      <c r="U3453" t="str">
        <f t="shared" si="1580"/>
        <v>A9808D</v>
      </c>
      <c r="V3453">
        <v>0</v>
      </c>
      <c r="W3453">
        <v>0</v>
      </c>
      <c r="X3453">
        <v>1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0</v>
      </c>
      <c r="AI3453" t="s">
        <v>604</v>
      </c>
      <c r="AJ3453">
        <v>28.255075999999999</v>
      </c>
      <c r="AK3453" t="s">
        <v>811</v>
      </c>
      <c r="AL3453">
        <v>-82.260411000000005</v>
      </c>
      <c r="AM3453">
        <v>100</v>
      </c>
      <c r="AN3453">
        <v>2200</v>
      </c>
      <c r="AO3453" t="s">
        <v>118</v>
      </c>
      <c r="AP3453">
        <v>32</v>
      </c>
      <c r="AQ3453">
        <v>137</v>
      </c>
      <c r="AR3453">
        <v>-64</v>
      </c>
      <c r="AZ3453">
        <v>1200</v>
      </c>
      <c r="BA3453">
        <v>1</v>
      </c>
      <c r="BB3453" t="str">
        <f t="shared" si="1589"/>
        <v xml:space="preserve">N711JA  </v>
      </c>
      <c r="BC3453">
        <v>1</v>
      </c>
      <c r="BE3453">
        <v>0</v>
      </c>
      <c r="BF3453">
        <v>0</v>
      </c>
      <c r="BG3453">
        <v>0</v>
      </c>
      <c r="BH3453">
        <v>2250</v>
      </c>
      <c r="BI3453">
        <v>1</v>
      </c>
      <c r="BJ3453">
        <v>1</v>
      </c>
      <c r="BK3453">
        <v>0</v>
      </c>
      <c r="BL3453">
        <v>0</v>
      </c>
      <c r="BO3453">
        <v>0</v>
      </c>
      <c r="BP3453">
        <v>0</v>
      </c>
      <c r="BW3453" t="str">
        <f t="shared" si="1603"/>
        <v>14:47:27.728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6</v>
      </c>
      <c r="CP3453" t="s">
        <v>119</v>
      </c>
      <c r="CQ3453">
        <v>358</v>
      </c>
      <c r="CR3453">
        <v>0</v>
      </c>
      <c r="CW3453">
        <v>4986690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1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 t="shared" si="1600"/>
        <v>05/12/2020 14:47:09.895</v>
      </c>
      <c r="C3454" t="str">
        <f t="shared" si="1588"/>
        <v>FFDFD3C0</v>
      </c>
      <c r="D3454" t="s">
        <v>138</v>
      </c>
      <c r="E3454">
        <v>2</v>
      </c>
      <c r="H3454">
        <v>8</v>
      </c>
      <c r="I3454" t="s">
        <v>139</v>
      </c>
      <c r="J3454" t="s">
        <v>136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601"/>
        <v>14:47:27.727</v>
      </c>
      <c r="T3454" t="str">
        <f t="shared" si="1602"/>
        <v>14:47:27.427</v>
      </c>
      <c r="U3454" t="str">
        <f t="shared" si="1580"/>
        <v>A9808D</v>
      </c>
      <c r="V3454">
        <v>0</v>
      </c>
      <c r="W3454">
        <v>0</v>
      </c>
      <c r="X3454">
        <v>1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0</v>
      </c>
      <c r="AI3454" t="s">
        <v>604</v>
      </c>
      <c r="AJ3454">
        <v>28.255075999999999</v>
      </c>
      <c r="AK3454" t="s">
        <v>811</v>
      </c>
      <c r="AL3454">
        <v>-82.260411000000005</v>
      </c>
      <c r="AM3454">
        <v>100</v>
      </c>
      <c r="AN3454">
        <v>2200</v>
      </c>
      <c r="AO3454" t="s">
        <v>118</v>
      </c>
      <c r="AP3454">
        <v>32</v>
      </c>
      <c r="AQ3454">
        <v>137</v>
      </c>
      <c r="AR3454">
        <v>-64</v>
      </c>
      <c r="AZ3454">
        <v>1200</v>
      </c>
      <c r="BA3454">
        <v>1</v>
      </c>
      <c r="BB3454" t="str">
        <f t="shared" si="1589"/>
        <v xml:space="preserve">N711JA  </v>
      </c>
      <c r="BC3454">
        <v>1</v>
      </c>
      <c r="BE3454">
        <v>0</v>
      </c>
      <c r="BF3454">
        <v>0</v>
      </c>
      <c r="BG3454">
        <v>0</v>
      </c>
      <c r="BH3454">
        <v>2250</v>
      </c>
      <c r="BI3454">
        <v>1</v>
      </c>
      <c r="BJ3454">
        <v>1</v>
      </c>
      <c r="BK3454">
        <v>0</v>
      </c>
      <c r="BL3454">
        <v>0</v>
      </c>
      <c r="BO3454">
        <v>0</v>
      </c>
      <c r="BP3454">
        <v>0</v>
      </c>
      <c r="BW3454" t="str">
        <f t="shared" si="1603"/>
        <v>14:47:27.728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6</v>
      </c>
      <c r="CP3454" t="s">
        <v>119</v>
      </c>
      <c r="CQ3454">
        <v>56</v>
      </c>
      <c r="CR3454">
        <v>2</v>
      </c>
      <c r="CW3454">
        <v>5011480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1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 t="shared" ref="A3455:A3463" si="1604">"05/12/2020 14:47:11.054"</f>
        <v>05/12/2020 14:47:11.054</v>
      </c>
      <c r="C3455" t="str">
        <f t="shared" si="1588"/>
        <v>FFDFD3C0</v>
      </c>
      <c r="D3455" t="s">
        <v>126</v>
      </c>
      <c r="E3455">
        <v>6</v>
      </c>
      <c r="F3455">
        <v>1006</v>
      </c>
      <c r="G3455" t="s">
        <v>114</v>
      </c>
      <c r="J3455" t="s">
        <v>128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ref="S3455:S3463" si="1605">"14:47:28.898"</f>
        <v>14:47:28.898</v>
      </c>
      <c r="T3455" t="str">
        <f t="shared" ref="T3455:T3463" si="1606">"14:47:28.798"</f>
        <v>14:47:28.798</v>
      </c>
      <c r="U3455" t="str">
        <f t="shared" si="1580"/>
        <v>A9808D</v>
      </c>
      <c r="V3455">
        <v>0</v>
      </c>
      <c r="W3455">
        <v>0</v>
      </c>
      <c r="X3455">
        <v>1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0</v>
      </c>
      <c r="AI3455" t="s">
        <v>812</v>
      </c>
      <c r="AJ3455">
        <v>28.255849000000001</v>
      </c>
      <c r="AK3455" t="s">
        <v>813</v>
      </c>
      <c r="AL3455">
        <v>-82.260238999999999</v>
      </c>
      <c r="AM3455">
        <v>100</v>
      </c>
      <c r="AN3455">
        <v>2200</v>
      </c>
      <c r="AO3455" t="s">
        <v>118</v>
      </c>
      <c r="AP3455">
        <v>22</v>
      </c>
      <c r="AQ3455">
        <v>139</v>
      </c>
      <c r="AR3455">
        <v>128</v>
      </c>
      <c r="AZ3455">
        <v>1200</v>
      </c>
      <c r="BA3455">
        <v>1</v>
      </c>
      <c r="BB3455" t="str">
        <f t="shared" si="1589"/>
        <v xml:space="preserve">N711JA  </v>
      </c>
      <c r="BC3455">
        <v>1</v>
      </c>
      <c r="BE3455">
        <v>0</v>
      </c>
      <c r="BF3455">
        <v>0</v>
      </c>
      <c r="BG3455">
        <v>0</v>
      </c>
      <c r="BH3455">
        <v>2250</v>
      </c>
      <c r="BI3455">
        <v>1</v>
      </c>
      <c r="BJ3455">
        <v>1</v>
      </c>
      <c r="BK3455">
        <v>0</v>
      </c>
      <c r="BL3455">
        <v>0</v>
      </c>
      <c r="BO3455">
        <v>0</v>
      </c>
      <c r="BP3455">
        <v>0</v>
      </c>
      <c r="BW3455" t="str">
        <f t="shared" ref="BW3455:BW3463" si="1607">"14:47:28.900"</f>
        <v>14:47:28.900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6</v>
      </c>
      <c r="CP3455" t="s">
        <v>119</v>
      </c>
      <c r="CQ3455">
        <v>56</v>
      </c>
      <c r="CR3455">
        <v>2</v>
      </c>
      <c r="CW3455">
        <v>5012985</v>
      </c>
      <c r="CY3455">
        <v>1</v>
      </c>
      <c r="CZ3455">
        <v>0</v>
      </c>
      <c r="DA3455">
        <v>0</v>
      </c>
      <c r="DB3455">
        <v>0</v>
      </c>
      <c r="DC3455">
        <v>0</v>
      </c>
      <c r="DD3455">
        <v>1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 t="shared" si="1604"/>
        <v>05/12/2020 14:47:11.054</v>
      </c>
      <c r="C3456" t="str">
        <f t="shared" si="1588"/>
        <v>FFDFD3C0</v>
      </c>
      <c r="D3456" t="s">
        <v>134</v>
      </c>
      <c r="E3456">
        <v>12</v>
      </c>
      <c r="H3456">
        <v>64</v>
      </c>
      <c r="I3456" t="s">
        <v>135</v>
      </c>
      <c r="J3456" t="s">
        <v>136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605"/>
        <v>14:47:28.898</v>
      </c>
      <c r="T3456" t="str">
        <f t="shared" si="1606"/>
        <v>14:47:28.798</v>
      </c>
      <c r="U3456" t="str">
        <f t="shared" si="1580"/>
        <v>A9808D</v>
      </c>
      <c r="V3456">
        <v>0</v>
      </c>
      <c r="W3456">
        <v>0</v>
      </c>
      <c r="X3456">
        <v>1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0</v>
      </c>
      <c r="AI3456" t="s">
        <v>812</v>
      </c>
      <c r="AJ3456">
        <v>28.255849000000001</v>
      </c>
      <c r="AK3456" t="s">
        <v>813</v>
      </c>
      <c r="AL3456">
        <v>-82.260238999999999</v>
      </c>
      <c r="AM3456">
        <v>100</v>
      </c>
      <c r="AN3456">
        <v>2200</v>
      </c>
      <c r="AO3456" t="s">
        <v>118</v>
      </c>
      <c r="AP3456">
        <v>22</v>
      </c>
      <c r="AQ3456">
        <v>139</v>
      </c>
      <c r="AR3456">
        <v>128</v>
      </c>
      <c r="AZ3456">
        <v>1200</v>
      </c>
      <c r="BA3456">
        <v>1</v>
      </c>
      <c r="BB3456" t="str">
        <f t="shared" si="1589"/>
        <v xml:space="preserve">N711JA  </v>
      </c>
      <c r="BC3456">
        <v>1</v>
      </c>
      <c r="BE3456">
        <v>0</v>
      </c>
      <c r="BF3456">
        <v>0</v>
      </c>
      <c r="BG3456">
        <v>0</v>
      </c>
      <c r="BH3456">
        <v>2250</v>
      </c>
      <c r="BI3456">
        <v>1</v>
      </c>
      <c r="BJ3456">
        <v>1</v>
      </c>
      <c r="BK3456">
        <v>0</v>
      </c>
      <c r="BL3456">
        <v>0</v>
      </c>
      <c r="BO3456">
        <v>0</v>
      </c>
      <c r="BP3456">
        <v>0</v>
      </c>
      <c r="BW3456" t="str">
        <f t="shared" si="1607"/>
        <v>14:47:28.900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5</v>
      </c>
      <c r="CP3456" t="s">
        <v>119</v>
      </c>
      <c r="CQ3456">
        <v>358</v>
      </c>
      <c r="CR3456">
        <v>0</v>
      </c>
      <c r="CW3456">
        <v>4988098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1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 t="shared" si="1604"/>
        <v>05/12/2020 14:47:11.054</v>
      </c>
      <c r="C3457" t="str">
        <f t="shared" si="1588"/>
        <v>FFDFD3C0</v>
      </c>
      <c r="D3457" t="s">
        <v>138</v>
      </c>
      <c r="E3457">
        <v>3</v>
      </c>
      <c r="H3457">
        <v>9</v>
      </c>
      <c r="I3457" t="s">
        <v>140</v>
      </c>
      <c r="J3457" t="s">
        <v>136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605"/>
        <v>14:47:28.898</v>
      </c>
      <c r="T3457" t="str">
        <f t="shared" si="1606"/>
        <v>14:47:28.798</v>
      </c>
      <c r="U3457" t="str">
        <f t="shared" si="1580"/>
        <v>A9808D</v>
      </c>
      <c r="V3457">
        <v>0</v>
      </c>
      <c r="W3457">
        <v>0</v>
      </c>
      <c r="X3457">
        <v>1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0</v>
      </c>
      <c r="AI3457" t="s">
        <v>812</v>
      </c>
      <c r="AJ3457">
        <v>28.255849000000001</v>
      </c>
      <c r="AK3457" t="s">
        <v>813</v>
      </c>
      <c r="AL3457">
        <v>-82.260238999999999</v>
      </c>
      <c r="AM3457">
        <v>100</v>
      </c>
      <c r="AN3457">
        <v>2200</v>
      </c>
      <c r="AO3457" t="s">
        <v>118</v>
      </c>
      <c r="AP3457">
        <v>22</v>
      </c>
      <c r="AQ3457">
        <v>139</v>
      </c>
      <c r="AR3457">
        <v>128</v>
      </c>
      <c r="AZ3457">
        <v>1200</v>
      </c>
      <c r="BA3457">
        <v>1</v>
      </c>
      <c r="BB3457" t="str">
        <f t="shared" si="1589"/>
        <v xml:space="preserve">N711JA  </v>
      </c>
      <c r="BC3457">
        <v>1</v>
      </c>
      <c r="BE3457">
        <v>0</v>
      </c>
      <c r="BF3457">
        <v>0</v>
      </c>
      <c r="BG3457">
        <v>0</v>
      </c>
      <c r="BH3457">
        <v>2250</v>
      </c>
      <c r="BI3457">
        <v>1</v>
      </c>
      <c r="BJ3457">
        <v>1</v>
      </c>
      <c r="BK3457">
        <v>0</v>
      </c>
      <c r="BL3457">
        <v>0</v>
      </c>
      <c r="BO3457">
        <v>0</v>
      </c>
      <c r="BP3457">
        <v>0</v>
      </c>
      <c r="BW3457" t="str">
        <f t="shared" si="1607"/>
        <v>14:47:28.900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6</v>
      </c>
      <c r="CP3457" t="s">
        <v>119</v>
      </c>
      <c r="CQ3457">
        <v>56</v>
      </c>
      <c r="CR3457">
        <v>2</v>
      </c>
      <c r="CW3457">
        <v>5012985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1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 t="shared" si="1604"/>
        <v>05/12/2020 14:47:11.054</v>
      </c>
      <c r="C3458" t="str">
        <f t="shared" si="1588"/>
        <v>FFDFD3C0</v>
      </c>
      <c r="D3458" t="s">
        <v>138</v>
      </c>
      <c r="E3458">
        <v>2</v>
      </c>
      <c r="H3458">
        <v>8</v>
      </c>
      <c r="I3458" t="s">
        <v>139</v>
      </c>
      <c r="J3458" t="s">
        <v>136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si="1605"/>
        <v>14:47:28.898</v>
      </c>
      <c r="T3458" t="str">
        <f t="shared" si="1606"/>
        <v>14:47:28.798</v>
      </c>
      <c r="U3458" t="str">
        <f t="shared" ref="U3458:U3521" si="1608">"A9808D"</f>
        <v>A9808D</v>
      </c>
      <c r="V3458">
        <v>0</v>
      </c>
      <c r="W3458">
        <v>0</v>
      </c>
      <c r="X3458">
        <v>1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3</v>
      </c>
      <c r="AG3458">
        <v>2</v>
      </c>
      <c r="AH3458">
        <v>0</v>
      </c>
      <c r="AI3458" t="s">
        <v>812</v>
      </c>
      <c r="AJ3458">
        <v>28.255849000000001</v>
      </c>
      <c r="AK3458" t="s">
        <v>813</v>
      </c>
      <c r="AL3458">
        <v>-82.260238999999999</v>
      </c>
      <c r="AM3458">
        <v>100</v>
      </c>
      <c r="AN3458">
        <v>2200</v>
      </c>
      <c r="AO3458" t="s">
        <v>118</v>
      </c>
      <c r="AP3458">
        <v>22</v>
      </c>
      <c r="AQ3458">
        <v>139</v>
      </c>
      <c r="AR3458">
        <v>128</v>
      </c>
      <c r="AZ3458">
        <v>1200</v>
      </c>
      <c r="BA3458">
        <v>1</v>
      </c>
      <c r="BB3458" t="str">
        <f t="shared" si="1589"/>
        <v xml:space="preserve">N711JA  </v>
      </c>
      <c r="BC3458">
        <v>1</v>
      </c>
      <c r="BE3458">
        <v>0</v>
      </c>
      <c r="BF3458">
        <v>0</v>
      </c>
      <c r="BG3458">
        <v>0</v>
      </c>
      <c r="BH3458">
        <v>2250</v>
      </c>
      <c r="BI3458">
        <v>1</v>
      </c>
      <c r="BJ3458">
        <v>1</v>
      </c>
      <c r="BK3458">
        <v>0</v>
      </c>
      <c r="BL3458">
        <v>0</v>
      </c>
      <c r="BO3458">
        <v>0</v>
      </c>
      <c r="BP3458">
        <v>0</v>
      </c>
      <c r="BW3458" t="str">
        <f t="shared" si="1607"/>
        <v>14:47:28.900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6</v>
      </c>
      <c r="CP3458" t="s">
        <v>119</v>
      </c>
      <c r="CQ3458">
        <v>56</v>
      </c>
      <c r="CR3458">
        <v>2</v>
      </c>
      <c r="CW3458">
        <v>5012985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1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 t="shared" si="1604"/>
        <v>05/12/2020 14:47:11.054</v>
      </c>
      <c r="C3459" t="str">
        <f t="shared" si="1588"/>
        <v>FFDFD3C0</v>
      </c>
      <c r="D3459" t="s">
        <v>126</v>
      </c>
      <c r="E3459">
        <v>7</v>
      </c>
      <c r="F3459">
        <v>1007</v>
      </c>
      <c r="G3459" t="s">
        <v>127</v>
      </c>
      <c r="J3459" t="s">
        <v>128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605"/>
        <v>14:47:28.898</v>
      </c>
      <c r="T3459" t="str">
        <f t="shared" si="1606"/>
        <v>14:47:28.798</v>
      </c>
      <c r="U3459" t="str">
        <f t="shared" si="1608"/>
        <v>A9808D</v>
      </c>
      <c r="V3459">
        <v>0</v>
      </c>
      <c r="W3459">
        <v>0</v>
      </c>
      <c r="X3459">
        <v>1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0</v>
      </c>
      <c r="AI3459" t="s">
        <v>812</v>
      </c>
      <c r="AJ3459">
        <v>28.255849000000001</v>
      </c>
      <c r="AK3459" t="s">
        <v>813</v>
      </c>
      <c r="AL3459">
        <v>-82.260238999999999</v>
      </c>
      <c r="AM3459">
        <v>100</v>
      </c>
      <c r="AN3459">
        <v>2200</v>
      </c>
      <c r="AO3459" t="s">
        <v>118</v>
      </c>
      <c r="AP3459">
        <v>22</v>
      </c>
      <c r="AQ3459">
        <v>139</v>
      </c>
      <c r="AR3459">
        <v>128</v>
      </c>
      <c r="AZ3459">
        <v>1200</v>
      </c>
      <c r="BA3459">
        <v>1</v>
      </c>
      <c r="BB3459" t="str">
        <f t="shared" si="1589"/>
        <v xml:space="preserve">N711JA  </v>
      </c>
      <c r="BC3459">
        <v>1</v>
      </c>
      <c r="BE3459">
        <v>0</v>
      </c>
      <c r="BF3459">
        <v>0</v>
      </c>
      <c r="BG3459">
        <v>0</v>
      </c>
      <c r="BH3459">
        <v>2250</v>
      </c>
      <c r="BI3459">
        <v>1</v>
      </c>
      <c r="BJ3459">
        <v>1</v>
      </c>
      <c r="BK3459">
        <v>0</v>
      </c>
      <c r="BL3459">
        <v>0</v>
      </c>
      <c r="BO3459">
        <v>0</v>
      </c>
      <c r="BP3459">
        <v>0</v>
      </c>
      <c r="BW3459" t="str">
        <f t="shared" si="1607"/>
        <v>14:47:28.900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6</v>
      </c>
      <c r="CP3459" t="s">
        <v>119</v>
      </c>
      <c r="CQ3459">
        <v>56</v>
      </c>
      <c r="CR3459">
        <v>2</v>
      </c>
      <c r="CW3459">
        <v>5012985</v>
      </c>
      <c r="CY3459">
        <v>1</v>
      </c>
      <c r="CZ3459">
        <v>0</v>
      </c>
      <c r="DA3459">
        <v>1</v>
      </c>
      <c r="DB3459">
        <v>0</v>
      </c>
      <c r="DC3459">
        <v>0</v>
      </c>
      <c r="DD3459">
        <v>1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 t="shared" si="1604"/>
        <v>05/12/2020 14:47:11.054</v>
      </c>
      <c r="C3460" t="str">
        <f t="shared" si="1588"/>
        <v>FFDFD3C0</v>
      </c>
      <c r="D3460" t="s">
        <v>131</v>
      </c>
      <c r="E3460">
        <v>10</v>
      </c>
      <c r="F3460">
        <v>2010</v>
      </c>
      <c r="G3460" t="s">
        <v>132</v>
      </c>
      <c r="J3460" t="s">
        <v>133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605"/>
        <v>14:47:28.898</v>
      </c>
      <c r="T3460" t="str">
        <f t="shared" si="1606"/>
        <v>14:47:28.798</v>
      </c>
      <c r="U3460" t="str">
        <f t="shared" si="1608"/>
        <v>A9808D</v>
      </c>
      <c r="V3460">
        <v>0</v>
      </c>
      <c r="W3460">
        <v>0</v>
      </c>
      <c r="X3460">
        <v>1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0</v>
      </c>
      <c r="AI3460" t="s">
        <v>812</v>
      </c>
      <c r="AJ3460">
        <v>28.255849000000001</v>
      </c>
      <c r="AK3460" t="s">
        <v>813</v>
      </c>
      <c r="AL3460">
        <v>-82.260238999999999</v>
      </c>
      <c r="AM3460">
        <v>100</v>
      </c>
      <c r="AN3460">
        <v>2200</v>
      </c>
      <c r="AO3460" t="s">
        <v>118</v>
      </c>
      <c r="AP3460">
        <v>22</v>
      </c>
      <c r="AQ3460">
        <v>139</v>
      </c>
      <c r="AR3460">
        <v>128</v>
      </c>
      <c r="AZ3460">
        <v>1200</v>
      </c>
      <c r="BA3460">
        <v>1</v>
      </c>
      <c r="BB3460" t="str">
        <f t="shared" si="1589"/>
        <v xml:space="preserve">N711JA  </v>
      </c>
      <c r="BC3460">
        <v>1</v>
      </c>
      <c r="BE3460">
        <v>0</v>
      </c>
      <c r="BF3460">
        <v>0</v>
      </c>
      <c r="BG3460">
        <v>0</v>
      </c>
      <c r="BH3460">
        <v>2250</v>
      </c>
      <c r="BI3460">
        <v>1</v>
      </c>
      <c r="BJ3460">
        <v>1</v>
      </c>
      <c r="BK3460">
        <v>0</v>
      </c>
      <c r="BL3460">
        <v>0</v>
      </c>
      <c r="BO3460">
        <v>0</v>
      </c>
      <c r="BP3460">
        <v>0</v>
      </c>
      <c r="BW3460" t="str">
        <f t="shared" si="1607"/>
        <v>14:47:28.900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6</v>
      </c>
      <c r="CP3460" t="s">
        <v>119</v>
      </c>
      <c r="CQ3460">
        <v>56</v>
      </c>
      <c r="CR3460">
        <v>2</v>
      </c>
      <c r="CW3460">
        <v>5012985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1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 t="shared" si="1604"/>
        <v>05/12/2020 14:47:11.054</v>
      </c>
      <c r="C3461" t="str">
        <f t="shared" si="1588"/>
        <v>FFDFD3C0</v>
      </c>
      <c r="D3461" t="s">
        <v>131</v>
      </c>
      <c r="E3461">
        <v>12</v>
      </c>
      <c r="F3461">
        <v>2012</v>
      </c>
      <c r="G3461" t="s">
        <v>137</v>
      </c>
      <c r="J3461" t="s">
        <v>133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605"/>
        <v>14:47:28.898</v>
      </c>
      <c r="T3461" t="str">
        <f t="shared" si="1606"/>
        <v>14:47:28.798</v>
      </c>
      <c r="U3461" t="str">
        <f t="shared" si="1608"/>
        <v>A9808D</v>
      </c>
      <c r="V3461">
        <v>0</v>
      </c>
      <c r="W3461">
        <v>0</v>
      </c>
      <c r="X3461">
        <v>1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0</v>
      </c>
      <c r="AI3461" t="s">
        <v>812</v>
      </c>
      <c r="AJ3461">
        <v>28.255849000000001</v>
      </c>
      <c r="AK3461" t="s">
        <v>813</v>
      </c>
      <c r="AL3461">
        <v>-82.260238999999999</v>
      </c>
      <c r="AM3461">
        <v>100</v>
      </c>
      <c r="AN3461">
        <v>2200</v>
      </c>
      <c r="AO3461" t="s">
        <v>118</v>
      </c>
      <c r="AP3461">
        <v>22</v>
      </c>
      <c r="AQ3461">
        <v>139</v>
      </c>
      <c r="AR3461">
        <v>128</v>
      </c>
      <c r="AZ3461">
        <v>1200</v>
      </c>
      <c r="BA3461">
        <v>1</v>
      </c>
      <c r="BB3461" t="str">
        <f t="shared" si="1589"/>
        <v xml:space="preserve">N711JA  </v>
      </c>
      <c r="BC3461">
        <v>1</v>
      </c>
      <c r="BE3461">
        <v>0</v>
      </c>
      <c r="BF3461">
        <v>0</v>
      </c>
      <c r="BG3461">
        <v>0</v>
      </c>
      <c r="BH3461">
        <v>2250</v>
      </c>
      <c r="BI3461">
        <v>1</v>
      </c>
      <c r="BJ3461">
        <v>1</v>
      </c>
      <c r="BK3461">
        <v>0</v>
      </c>
      <c r="BL3461">
        <v>0</v>
      </c>
      <c r="BO3461">
        <v>0</v>
      </c>
      <c r="BP3461">
        <v>0</v>
      </c>
      <c r="BW3461" t="str">
        <f t="shared" si="1607"/>
        <v>14:47:28.900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6</v>
      </c>
      <c r="CP3461" t="s">
        <v>119</v>
      </c>
      <c r="CQ3461">
        <v>56</v>
      </c>
      <c r="CR3461">
        <v>2</v>
      </c>
      <c r="CW3461">
        <v>5012985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1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 t="shared" si="1604"/>
        <v>05/12/2020 14:47:11.054</v>
      </c>
      <c r="C3462" t="str">
        <f t="shared" si="1588"/>
        <v>FFDFD3C0</v>
      </c>
      <c r="D3462" t="s">
        <v>131</v>
      </c>
      <c r="E3462">
        <v>18</v>
      </c>
      <c r="F3462">
        <v>2018</v>
      </c>
      <c r="G3462" t="s">
        <v>161</v>
      </c>
      <c r="J3462" t="s">
        <v>133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605"/>
        <v>14:47:28.898</v>
      </c>
      <c r="T3462" t="str">
        <f t="shared" si="1606"/>
        <v>14:47:28.798</v>
      </c>
      <c r="U3462" t="str">
        <f t="shared" si="1608"/>
        <v>A9808D</v>
      </c>
      <c r="V3462">
        <v>0</v>
      </c>
      <c r="W3462">
        <v>0</v>
      </c>
      <c r="X3462">
        <v>1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0</v>
      </c>
      <c r="AI3462" t="s">
        <v>812</v>
      </c>
      <c r="AJ3462">
        <v>28.255849000000001</v>
      </c>
      <c r="AK3462" t="s">
        <v>813</v>
      </c>
      <c r="AL3462">
        <v>-82.260238999999999</v>
      </c>
      <c r="AM3462">
        <v>100</v>
      </c>
      <c r="AN3462">
        <v>2200</v>
      </c>
      <c r="AO3462" t="s">
        <v>118</v>
      </c>
      <c r="AP3462">
        <v>22</v>
      </c>
      <c r="AQ3462">
        <v>139</v>
      </c>
      <c r="AR3462">
        <v>128</v>
      </c>
      <c r="AZ3462">
        <v>1200</v>
      </c>
      <c r="BA3462">
        <v>1</v>
      </c>
      <c r="BB3462" t="str">
        <f t="shared" si="1589"/>
        <v xml:space="preserve">N711JA  </v>
      </c>
      <c r="BC3462">
        <v>1</v>
      </c>
      <c r="BE3462">
        <v>0</v>
      </c>
      <c r="BF3462">
        <v>0</v>
      </c>
      <c r="BG3462">
        <v>0</v>
      </c>
      <c r="BH3462">
        <v>2250</v>
      </c>
      <c r="BI3462">
        <v>1</v>
      </c>
      <c r="BJ3462">
        <v>1</v>
      </c>
      <c r="BK3462">
        <v>0</v>
      </c>
      <c r="BL3462">
        <v>0</v>
      </c>
      <c r="BO3462">
        <v>0</v>
      </c>
      <c r="BP3462">
        <v>0</v>
      </c>
      <c r="BW3462" t="str">
        <f t="shared" si="1607"/>
        <v>14:47:28.900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6</v>
      </c>
      <c r="CP3462" t="s">
        <v>119</v>
      </c>
      <c r="CQ3462">
        <v>56</v>
      </c>
      <c r="CR3462">
        <v>2</v>
      </c>
      <c r="CW3462">
        <v>5012985</v>
      </c>
      <c r="CY3462">
        <v>1</v>
      </c>
      <c r="CZ3462">
        <v>0</v>
      </c>
      <c r="DA3462">
        <v>1</v>
      </c>
      <c r="DB3462">
        <v>0</v>
      </c>
      <c r="DC3462">
        <v>0</v>
      </c>
      <c r="DD3462">
        <v>1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 t="shared" si="1604"/>
        <v>05/12/2020 14:47:11.054</v>
      </c>
      <c r="C3463" t="str">
        <f t="shared" si="1588"/>
        <v>FFDFD3C0</v>
      </c>
      <c r="D3463" t="s">
        <v>113</v>
      </c>
      <c r="E3463">
        <v>3</v>
      </c>
      <c r="H3463">
        <v>164</v>
      </c>
      <c r="I3463" t="s">
        <v>114</v>
      </c>
      <c r="J3463" t="s">
        <v>115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605"/>
        <v>14:47:28.898</v>
      </c>
      <c r="T3463" t="str">
        <f t="shared" si="1606"/>
        <v>14:47:28.798</v>
      </c>
      <c r="U3463" t="str">
        <f t="shared" si="1608"/>
        <v>A9808D</v>
      </c>
      <c r="V3463">
        <v>0</v>
      </c>
      <c r="W3463">
        <v>0</v>
      </c>
      <c r="X3463">
        <v>1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0</v>
      </c>
      <c r="AI3463" t="s">
        <v>812</v>
      </c>
      <c r="AJ3463">
        <v>28.255849000000001</v>
      </c>
      <c r="AK3463" t="s">
        <v>813</v>
      </c>
      <c r="AL3463">
        <v>-82.260238999999999</v>
      </c>
      <c r="AM3463">
        <v>100</v>
      </c>
      <c r="AN3463">
        <v>2200</v>
      </c>
      <c r="AO3463" t="s">
        <v>118</v>
      </c>
      <c r="AP3463">
        <v>22</v>
      </c>
      <c r="AQ3463">
        <v>139</v>
      </c>
      <c r="AR3463">
        <v>128</v>
      </c>
      <c r="AZ3463">
        <v>1200</v>
      </c>
      <c r="BA3463">
        <v>1</v>
      </c>
      <c r="BB3463" t="str">
        <f t="shared" si="1589"/>
        <v xml:space="preserve">N711JA  </v>
      </c>
      <c r="BC3463">
        <v>1</v>
      </c>
      <c r="BE3463">
        <v>0</v>
      </c>
      <c r="BF3463">
        <v>0</v>
      </c>
      <c r="BG3463">
        <v>0</v>
      </c>
      <c r="BH3463">
        <v>2250</v>
      </c>
      <c r="BI3463">
        <v>1</v>
      </c>
      <c r="BJ3463">
        <v>1</v>
      </c>
      <c r="BK3463">
        <v>0</v>
      </c>
      <c r="BL3463">
        <v>0</v>
      </c>
      <c r="BO3463">
        <v>0</v>
      </c>
      <c r="BP3463">
        <v>0</v>
      </c>
      <c r="BW3463" t="str">
        <f t="shared" si="1607"/>
        <v>14:47:28.900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6</v>
      </c>
      <c r="CP3463" t="s">
        <v>119</v>
      </c>
      <c r="CQ3463">
        <v>56</v>
      </c>
      <c r="CR3463">
        <v>2</v>
      </c>
      <c r="CW3463">
        <v>5012985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1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 t="shared" ref="A3464:A3472" si="1609">"05/12/2020 14:47:12.157"</f>
        <v>05/12/2020 14:47:12.157</v>
      </c>
      <c r="C3464" t="str">
        <f t="shared" si="1588"/>
        <v>FFDFD3C0</v>
      </c>
      <c r="D3464" t="s">
        <v>113</v>
      </c>
      <c r="E3464">
        <v>3</v>
      </c>
      <c r="H3464">
        <v>164</v>
      </c>
      <c r="I3464" t="s">
        <v>114</v>
      </c>
      <c r="J3464" t="s">
        <v>115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ref="S3464:S3472" si="1610">"14:47:29.977"</f>
        <v>14:47:29.977</v>
      </c>
      <c r="T3464" t="str">
        <f t="shared" ref="T3464:T3472" si="1611">"14:47:29.777"</f>
        <v>14:47:29.777</v>
      </c>
      <c r="U3464" t="str">
        <f t="shared" si="1608"/>
        <v>A9808D</v>
      </c>
      <c r="V3464">
        <v>0</v>
      </c>
      <c r="W3464">
        <v>0</v>
      </c>
      <c r="X3464">
        <v>1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0</v>
      </c>
      <c r="AI3464" t="s">
        <v>814</v>
      </c>
      <c r="AJ3464">
        <v>28.256513999999999</v>
      </c>
      <c r="AK3464" t="s">
        <v>815</v>
      </c>
      <c r="AL3464">
        <v>-82.260195999999993</v>
      </c>
      <c r="AM3464">
        <v>100</v>
      </c>
      <c r="AN3464">
        <v>2200</v>
      </c>
      <c r="AO3464" t="s">
        <v>118</v>
      </c>
      <c r="AP3464">
        <v>15</v>
      </c>
      <c r="AQ3464">
        <v>140</v>
      </c>
      <c r="AR3464">
        <v>320</v>
      </c>
      <c r="AZ3464">
        <v>1200</v>
      </c>
      <c r="BA3464">
        <v>1</v>
      </c>
      <c r="BB3464" t="str">
        <f t="shared" si="1589"/>
        <v xml:space="preserve">N711JA  </v>
      </c>
      <c r="BC3464">
        <v>1</v>
      </c>
      <c r="BE3464">
        <v>0</v>
      </c>
      <c r="BF3464">
        <v>0</v>
      </c>
      <c r="BG3464">
        <v>0</v>
      </c>
      <c r="BH3464">
        <v>2250</v>
      </c>
      <c r="BI3464">
        <v>1</v>
      </c>
      <c r="BJ3464">
        <v>1</v>
      </c>
      <c r="BK3464">
        <v>0</v>
      </c>
      <c r="BL3464">
        <v>0</v>
      </c>
      <c r="BO3464">
        <v>0</v>
      </c>
      <c r="BP3464">
        <v>0</v>
      </c>
      <c r="BW3464" t="str">
        <f t="shared" ref="BW3464:BW3472" si="1612">"14:47:29.982"</f>
        <v>14:47:29.982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6</v>
      </c>
      <c r="CP3464" t="s">
        <v>119</v>
      </c>
      <c r="CQ3464">
        <v>56</v>
      </c>
      <c r="CR3464">
        <v>2</v>
      </c>
      <c r="CW3464">
        <v>5014381</v>
      </c>
      <c r="CY3464">
        <v>1</v>
      </c>
      <c r="CZ3464">
        <v>0</v>
      </c>
      <c r="DA3464">
        <v>0</v>
      </c>
      <c r="DB3464">
        <v>0</v>
      </c>
      <c r="DC3464">
        <v>0</v>
      </c>
      <c r="DD3464">
        <v>1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 t="shared" si="1609"/>
        <v>05/12/2020 14:47:12.157</v>
      </c>
      <c r="C3465" t="str">
        <f t="shared" si="1588"/>
        <v>FFDFD3C0</v>
      </c>
      <c r="D3465" t="s">
        <v>126</v>
      </c>
      <c r="E3465">
        <v>6</v>
      </c>
      <c r="F3465">
        <v>1006</v>
      </c>
      <c r="G3465" t="s">
        <v>114</v>
      </c>
      <c r="J3465" t="s">
        <v>128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610"/>
        <v>14:47:29.977</v>
      </c>
      <c r="T3465" t="str">
        <f t="shared" si="1611"/>
        <v>14:47:29.777</v>
      </c>
      <c r="U3465" t="str">
        <f t="shared" si="1608"/>
        <v>A9808D</v>
      </c>
      <c r="V3465">
        <v>0</v>
      </c>
      <c r="W3465">
        <v>0</v>
      </c>
      <c r="X3465">
        <v>1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3</v>
      </c>
      <c r="AG3465">
        <v>2</v>
      </c>
      <c r="AH3465">
        <v>0</v>
      </c>
      <c r="AI3465" t="s">
        <v>814</v>
      </c>
      <c r="AJ3465">
        <v>28.256513999999999</v>
      </c>
      <c r="AK3465" t="s">
        <v>815</v>
      </c>
      <c r="AL3465">
        <v>-82.260195999999993</v>
      </c>
      <c r="AM3465">
        <v>100</v>
      </c>
      <c r="AN3465">
        <v>2200</v>
      </c>
      <c r="AO3465" t="s">
        <v>118</v>
      </c>
      <c r="AP3465">
        <v>15</v>
      </c>
      <c r="AQ3465">
        <v>140</v>
      </c>
      <c r="AR3465">
        <v>320</v>
      </c>
      <c r="AZ3465">
        <v>1200</v>
      </c>
      <c r="BA3465">
        <v>1</v>
      </c>
      <c r="BB3465" t="str">
        <f t="shared" si="1589"/>
        <v xml:space="preserve">N711JA  </v>
      </c>
      <c r="BC3465">
        <v>1</v>
      </c>
      <c r="BE3465">
        <v>0</v>
      </c>
      <c r="BF3465">
        <v>0</v>
      </c>
      <c r="BG3465">
        <v>0</v>
      </c>
      <c r="BH3465">
        <v>2250</v>
      </c>
      <c r="BI3465">
        <v>1</v>
      </c>
      <c r="BJ3465">
        <v>1</v>
      </c>
      <c r="BK3465">
        <v>0</v>
      </c>
      <c r="BL3465">
        <v>0</v>
      </c>
      <c r="BO3465">
        <v>0</v>
      </c>
      <c r="BP3465">
        <v>0</v>
      </c>
      <c r="BW3465" t="str">
        <f t="shared" si="1612"/>
        <v>14:47:29.982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6</v>
      </c>
      <c r="CP3465" t="s">
        <v>119</v>
      </c>
      <c r="CQ3465">
        <v>56</v>
      </c>
      <c r="CR3465">
        <v>2</v>
      </c>
      <c r="CW3465">
        <v>5014381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1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 t="shared" si="1609"/>
        <v>05/12/2020 14:47:12.157</v>
      </c>
      <c r="C3466" t="str">
        <f t="shared" si="1588"/>
        <v>FFDFD3C0</v>
      </c>
      <c r="D3466" t="s">
        <v>134</v>
      </c>
      <c r="E3466">
        <v>12</v>
      </c>
      <c r="H3466">
        <v>64</v>
      </c>
      <c r="I3466" t="s">
        <v>135</v>
      </c>
      <c r="J3466" t="s">
        <v>136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si="1610"/>
        <v>14:47:29.977</v>
      </c>
      <c r="T3466" t="str">
        <f t="shared" si="1611"/>
        <v>14:47:29.777</v>
      </c>
      <c r="U3466" t="str">
        <f t="shared" si="1608"/>
        <v>A9808D</v>
      </c>
      <c r="V3466">
        <v>0</v>
      </c>
      <c r="W3466">
        <v>0</v>
      </c>
      <c r="X3466">
        <v>1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0</v>
      </c>
      <c r="AI3466" t="s">
        <v>814</v>
      </c>
      <c r="AJ3466">
        <v>28.256513999999999</v>
      </c>
      <c r="AK3466" t="s">
        <v>815</v>
      </c>
      <c r="AL3466">
        <v>-82.260195999999993</v>
      </c>
      <c r="AM3466">
        <v>100</v>
      </c>
      <c r="AN3466">
        <v>2200</v>
      </c>
      <c r="AO3466" t="s">
        <v>118</v>
      </c>
      <c r="AP3466">
        <v>15</v>
      </c>
      <c r="AQ3466">
        <v>140</v>
      </c>
      <c r="AR3466">
        <v>320</v>
      </c>
      <c r="AZ3466">
        <v>1200</v>
      </c>
      <c r="BA3466">
        <v>1</v>
      </c>
      <c r="BB3466" t="str">
        <f t="shared" si="1589"/>
        <v xml:space="preserve">N711JA  </v>
      </c>
      <c r="BC3466">
        <v>1</v>
      </c>
      <c r="BE3466">
        <v>0</v>
      </c>
      <c r="BF3466">
        <v>0</v>
      </c>
      <c r="BG3466">
        <v>0</v>
      </c>
      <c r="BH3466">
        <v>2250</v>
      </c>
      <c r="BI3466">
        <v>1</v>
      </c>
      <c r="BJ3466">
        <v>1</v>
      </c>
      <c r="BK3466">
        <v>0</v>
      </c>
      <c r="BL3466">
        <v>0</v>
      </c>
      <c r="BO3466">
        <v>0</v>
      </c>
      <c r="BP3466">
        <v>0</v>
      </c>
      <c r="BW3466" t="str">
        <f t="shared" si="1612"/>
        <v>14:47:29.982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5</v>
      </c>
      <c r="CP3466" t="s">
        <v>119</v>
      </c>
      <c r="CQ3466">
        <v>358</v>
      </c>
      <c r="CR3466">
        <v>0</v>
      </c>
      <c r="CW3466">
        <v>4989503</v>
      </c>
      <c r="CY3466">
        <v>1</v>
      </c>
      <c r="CZ3466">
        <v>0</v>
      </c>
      <c r="DA3466">
        <v>1</v>
      </c>
      <c r="DB3466">
        <v>0</v>
      </c>
      <c r="DC3466">
        <v>0</v>
      </c>
      <c r="DD3466">
        <v>1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 t="shared" si="1609"/>
        <v>05/12/2020 14:47:12.157</v>
      </c>
      <c r="C3467" t="str">
        <f t="shared" si="1588"/>
        <v>FFDFD3C0</v>
      </c>
      <c r="D3467" t="s">
        <v>138</v>
      </c>
      <c r="E3467">
        <v>3</v>
      </c>
      <c r="H3467">
        <v>9</v>
      </c>
      <c r="I3467" t="s">
        <v>140</v>
      </c>
      <c r="J3467" t="s">
        <v>136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si="1610"/>
        <v>14:47:29.977</v>
      </c>
      <c r="T3467" t="str">
        <f t="shared" si="1611"/>
        <v>14:47:29.777</v>
      </c>
      <c r="U3467" t="str">
        <f t="shared" si="1608"/>
        <v>A9808D</v>
      </c>
      <c r="V3467">
        <v>0</v>
      </c>
      <c r="W3467">
        <v>0</v>
      </c>
      <c r="X3467">
        <v>1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0</v>
      </c>
      <c r="AI3467" t="s">
        <v>814</v>
      </c>
      <c r="AJ3467">
        <v>28.256513999999999</v>
      </c>
      <c r="AK3467" t="s">
        <v>815</v>
      </c>
      <c r="AL3467">
        <v>-82.260195999999993</v>
      </c>
      <c r="AM3467">
        <v>100</v>
      </c>
      <c r="AN3467">
        <v>2200</v>
      </c>
      <c r="AO3467" t="s">
        <v>118</v>
      </c>
      <c r="AP3467">
        <v>15</v>
      </c>
      <c r="AQ3467">
        <v>140</v>
      </c>
      <c r="AR3467">
        <v>320</v>
      </c>
      <c r="AZ3467">
        <v>1200</v>
      </c>
      <c r="BA3467">
        <v>1</v>
      </c>
      <c r="BB3467" t="str">
        <f t="shared" si="1589"/>
        <v xml:space="preserve">N711JA  </v>
      </c>
      <c r="BC3467">
        <v>1</v>
      </c>
      <c r="BE3467">
        <v>0</v>
      </c>
      <c r="BF3467">
        <v>0</v>
      </c>
      <c r="BG3467">
        <v>0</v>
      </c>
      <c r="BH3467">
        <v>2250</v>
      </c>
      <c r="BI3467">
        <v>1</v>
      </c>
      <c r="BJ3467">
        <v>1</v>
      </c>
      <c r="BK3467">
        <v>0</v>
      </c>
      <c r="BL3467">
        <v>0</v>
      </c>
      <c r="BO3467">
        <v>0</v>
      </c>
      <c r="BP3467">
        <v>0</v>
      </c>
      <c r="BW3467" t="str">
        <f t="shared" si="1612"/>
        <v>14:47:29.982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6</v>
      </c>
      <c r="CP3467" t="s">
        <v>119</v>
      </c>
      <c r="CQ3467">
        <v>56</v>
      </c>
      <c r="CR3467">
        <v>2</v>
      </c>
      <c r="CW3467">
        <v>5014381</v>
      </c>
      <c r="CY3467">
        <v>1</v>
      </c>
      <c r="CZ3467">
        <v>0</v>
      </c>
      <c r="DA3467">
        <v>1</v>
      </c>
      <c r="DB3467">
        <v>0</v>
      </c>
      <c r="DC3467">
        <v>0</v>
      </c>
      <c r="DD3467">
        <v>1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 t="shared" si="1609"/>
        <v>05/12/2020 14:47:12.157</v>
      </c>
      <c r="C3468" t="str">
        <f t="shared" si="1588"/>
        <v>FFDFD3C0</v>
      </c>
      <c r="D3468" t="s">
        <v>138</v>
      </c>
      <c r="E3468">
        <v>2</v>
      </c>
      <c r="H3468">
        <v>8</v>
      </c>
      <c r="I3468" t="s">
        <v>139</v>
      </c>
      <c r="J3468" t="s">
        <v>136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610"/>
        <v>14:47:29.977</v>
      </c>
      <c r="T3468" t="str">
        <f t="shared" si="1611"/>
        <v>14:47:29.777</v>
      </c>
      <c r="U3468" t="str">
        <f t="shared" si="1608"/>
        <v>A9808D</v>
      </c>
      <c r="V3468">
        <v>0</v>
      </c>
      <c r="W3468">
        <v>0</v>
      </c>
      <c r="X3468">
        <v>1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0</v>
      </c>
      <c r="AI3468" t="s">
        <v>814</v>
      </c>
      <c r="AJ3468">
        <v>28.256513999999999</v>
      </c>
      <c r="AK3468" t="s">
        <v>815</v>
      </c>
      <c r="AL3468">
        <v>-82.260195999999993</v>
      </c>
      <c r="AM3468">
        <v>100</v>
      </c>
      <c r="AN3468">
        <v>2200</v>
      </c>
      <c r="AO3468" t="s">
        <v>118</v>
      </c>
      <c r="AP3468">
        <v>15</v>
      </c>
      <c r="AQ3468">
        <v>140</v>
      </c>
      <c r="AR3468">
        <v>320</v>
      </c>
      <c r="AZ3468">
        <v>1200</v>
      </c>
      <c r="BA3468">
        <v>1</v>
      </c>
      <c r="BB3468" t="str">
        <f t="shared" si="1589"/>
        <v xml:space="preserve">N711JA  </v>
      </c>
      <c r="BC3468">
        <v>1</v>
      </c>
      <c r="BE3468">
        <v>0</v>
      </c>
      <c r="BF3468">
        <v>0</v>
      </c>
      <c r="BG3468">
        <v>0</v>
      </c>
      <c r="BH3468">
        <v>2250</v>
      </c>
      <c r="BI3468">
        <v>1</v>
      </c>
      <c r="BJ3468">
        <v>1</v>
      </c>
      <c r="BK3468">
        <v>0</v>
      </c>
      <c r="BL3468">
        <v>0</v>
      </c>
      <c r="BO3468">
        <v>0</v>
      </c>
      <c r="BP3468">
        <v>0</v>
      </c>
      <c r="BW3468" t="str">
        <f t="shared" si="1612"/>
        <v>14:47:29.982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6</v>
      </c>
      <c r="CP3468" t="s">
        <v>119</v>
      </c>
      <c r="CQ3468">
        <v>56</v>
      </c>
      <c r="CR3468">
        <v>2</v>
      </c>
      <c r="CW3468">
        <v>5014381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1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 t="shared" si="1609"/>
        <v>05/12/2020 14:47:12.157</v>
      </c>
      <c r="C3469" t="str">
        <f t="shared" si="1588"/>
        <v>FFDFD3C0</v>
      </c>
      <c r="D3469" t="s">
        <v>126</v>
      </c>
      <c r="E3469">
        <v>7</v>
      </c>
      <c r="F3469">
        <v>1007</v>
      </c>
      <c r="G3469" t="s">
        <v>127</v>
      </c>
      <c r="J3469" t="s">
        <v>128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610"/>
        <v>14:47:29.977</v>
      </c>
      <c r="T3469" t="str">
        <f t="shared" si="1611"/>
        <v>14:47:29.777</v>
      </c>
      <c r="U3469" t="str">
        <f t="shared" si="1608"/>
        <v>A9808D</v>
      </c>
      <c r="V3469">
        <v>0</v>
      </c>
      <c r="W3469">
        <v>0</v>
      </c>
      <c r="X3469">
        <v>1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0</v>
      </c>
      <c r="AI3469" t="s">
        <v>814</v>
      </c>
      <c r="AJ3469">
        <v>28.256513999999999</v>
      </c>
      <c r="AK3469" t="s">
        <v>815</v>
      </c>
      <c r="AL3469">
        <v>-82.260195999999993</v>
      </c>
      <c r="AM3469">
        <v>100</v>
      </c>
      <c r="AN3469">
        <v>2200</v>
      </c>
      <c r="AO3469" t="s">
        <v>118</v>
      </c>
      <c r="AP3469">
        <v>15</v>
      </c>
      <c r="AQ3469">
        <v>140</v>
      </c>
      <c r="AR3469">
        <v>320</v>
      </c>
      <c r="AZ3469">
        <v>1200</v>
      </c>
      <c r="BA3469">
        <v>1</v>
      </c>
      <c r="BB3469" t="str">
        <f t="shared" si="1589"/>
        <v xml:space="preserve">N711JA  </v>
      </c>
      <c r="BC3469">
        <v>1</v>
      </c>
      <c r="BE3469">
        <v>0</v>
      </c>
      <c r="BF3469">
        <v>0</v>
      </c>
      <c r="BG3469">
        <v>0</v>
      </c>
      <c r="BH3469">
        <v>2250</v>
      </c>
      <c r="BI3469">
        <v>1</v>
      </c>
      <c r="BJ3469">
        <v>1</v>
      </c>
      <c r="BK3469">
        <v>0</v>
      </c>
      <c r="BL3469">
        <v>0</v>
      </c>
      <c r="BO3469">
        <v>0</v>
      </c>
      <c r="BP3469">
        <v>0</v>
      </c>
      <c r="BW3469" t="str">
        <f t="shared" si="1612"/>
        <v>14:47:29.982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6</v>
      </c>
      <c r="CP3469" t="s">
        <v>119</v>
      </c>
      <c r="CQ3469">
        <v>56</v>
      </c>
      <c r="CR3469">
        <v>2</v>
      </c>
      <c r="CW3469">
        <v>5014381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1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 t="shared" si="1609"/>
        <v>05/12/2020 14:47:12.157</v>
      </c>
      <c r="C3470" t="str">
        <f t="shared" si="1588"/>
        <v>FFDFD3C0</v>
      </c>
      <c r="D3470" t="s">
        <v>131</v>
      </c>
      <c r="E3470">
        <v>12</v>
      </c>
      <c r="F3470">
        <v>2012</v>
      </c>
      <c r="G3470" t="s">
        <v>137</v>
      </c>
      <c r="J3470" t="s">
        <v>133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610"/>
        <v>14:47:29.977</v>
      </c>
      <c r="T3470" t="str">
        <f t="shared" si="1611"/>
        <v>14:47:29.777</v>
      </c>
      <c r="U3470" t="str">
        <f t="shared" si="1608"/>
        <v>A9808D</v>
      </c>
      <c r="V3470">
        <v>0</v>
      </c>
      <c r="W3470">
        <v>0</v>
      </c>
      <c r="X3470">
        <v>1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0</v>
      </c>
      <c r="AI3470" t="s">
        <v>814</v>
      </c>
      <c r="AJ3470">
        <v>28.256513999999999</v>
      </c>
      <c r="AK3470" t="s">
        <v>815</v>
      </c>
      <c r="AL3470">
        <v>-82.260195999999993</v>
      </c>
      <c r="AM3470">
        <v>100</v>
      </c>
      <c r="AN3470">
        <v>2200</v>
      </c>
      <c r="AO3470" t="s">
        <v>118</v>
      </c>
      <c r="AP3470">
        <v>15</v>
      </c>
      <c r="AQ3470">
        <v>140</v>
      </c>
      <c r="AR3470">
        <v>320</v>
      </c>
      <c r="AZ3470">
        <v>1200</v>
      </c>
      <c r="BA3470">
        <v>1</v>
      </c>
      <c r="BB3470" t="str">
        <f t="shared" si="1589"/>
        <v xml:space="preserve">N711JA  </v>
      </c>
      <c r="BC3470">
        <v>1</v>
      </c>
      <c r="BE3470">
        <v>0</v>
      </c>
      <c r="BF3470">
        <v>0</v>
      </c>
      <c r="BG3470">
        <v>0</v>
      </c>
      <c r="BH3470">
        <v>2250</v>
      </c>
      <c r="BI3470">
        <v>1</v>
      </c>
      <c r="BJ3470">
        <v>1</v>
      </c>
      <c r="BK3470">
        <v>0</v>
      </c>
      <c r="BL3470">
        <v>0</v>
      </c>
      <c r="BO3470">
        <v>0</v>
      </c>
      <c r="BP3470">
        <v>0</v>
      </c>
      <c r="BW3470" t="str">
        <f t="shared" si="1612"/>
        <v>14:47:29.982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6</v>
      </c>
      <c r="CP3470" t="s">
        <v>119</v>
      </c>
      <c r="CQ3470">
        <v>56</v>
      </c>
      <c r="CR3470">
        <v>2</v>
      </c>
      <c r="CW3470">
        <v>5014381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1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 t="shared" si="1609"/>
        <v>05/12/2020 14:47:12.157</v>
      </c>
      <c r="C3471" t="str">
        <f t="shared" si="1588"/>
        <v>FFDFD3C0</v>
      </c>
      <c r="D3471" t="s">
        <v>131</v>
      </c>
      <c r="E3471">
        <v>10</v>
      </c>
      <c r="F3471">
        <v>2010</v>
      </c>
      <c r="G3471" t="s">
        <v>132</v>
      </c>
      <c r="J3471" t="s">
        <v>133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610"/>
        <v>14:47:29.977</v>
      </c>
      <c r="T3471" t="str">
        <f t="shared" si="1611"/>
        <v>14:47:29.777</v>
      </c>
      <c r="U3471" t="str">
        <f t="shared" si="1608"/>
        <v>A9808D</v>
      </c>
      <c r="V3471">
        <v>0</v>
      </c>
      <c r="W3471">
        <v>0</v>
      </c>
      <c r="X3471">
        <v>1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0</v>
      </c>
      <c r="AI3471" t="s">
        <v>814</v>
      </c>
      <c r="AJ3471">
        <v>28.256513999999999</v>
      </c>
      <c r="AK3471" t="s">
        <v>815</v>
      </c>
      <c r="AL3471">
        <v>-82.260195999999993</v>
      </c>
      <c r="AM3471">
        <v>100</v>
      </c>
      <c r="AN3471">
        <v>2200</v>
      </c>
      <c r="AO3471" t="s">
        <v>118</v>
      </c>
      <c r="AP3471">
        <v>15</v>
      </c>
      <c r="AQ3471">
        <v>140</v>
      </c>
      <c r="AR3471">
        <v>320</v>
      </c>
      <c r="AZ3471">
        <v>1200</v>
      </c>
      <c r="BA3471">
        <v>1</v>
      </c>
      <c r="BB3471" t="str">
        <f t="shared" si="1589"/>
        <v xml:space="preserve">N711JA  </v>
      </c>
      <c r="BC3471">
        <v>1</v>
      </c>
      <c r="BE3471">
        <v>0</v>
      </c>
      <c r="BF3471">
        <v>0</v>
      </c>
      <c r="BG3471">
        <v>0</v>
      </c>
      <c r="BH3471">
        <v>2250</v>
      </c>
      <c r="BI3471">
        <v>1</v>
      </c>
      <c r="BJ3471">
        <v>1</v>
      </c>
      <c r="BK3471">
        <v>0</v>
      </c>
      <c r="BL3471">
        <v>0</v>
      </c>
      <c r="BO3471">
        <v>0</v>
      </c>
      <c r="BP3471">
        <v>0</v>
      </c>
      <c r="BW3471" t="str">
        <f t="shared" si="1612"/>
        <v>14:47:29.982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6</v>
      </c>
      <c r="CP3471" t="s">
        <v>119</v>
      </c>
      <c r="CQ3471">
        <v>56</v>
      </c>
      <c r="CR3471">
        <v>2</v>
      </c>
      <c r="CW3471">
        <v>5014381</v>
      </c>
      <c r="CY3471">
        <v>1</v>
      </c>
      <c r="CZ3471">
        <v>0</v>
      </c>
      <c r="DA3471">
        <v>1</v>
      </c>
      <c r="DB3471">
        <v>0</v>
      </c>
      <c r="DC3471">
        <v>0</v>
      </c>
      <c r="DD3471">
        <v>1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 t="shared" si="1609"/>
        <v>05/12/2020 14:47:12.157</v>
      </c>
      <c r="C3472" t="str">
        <f t="shared" si="1588"/>
        <v>FFDFD3C0</v>
      </c>
      <c r="D3472" t="s">
        <v>131</v>
      </c>
      <c r="E3472">
        <v>18</v>
      </c>
      <c r="F3472">
        <v>2018</v>
      </c>
      <c r="G3472" t="s">
        <v>161</v>
      </c>
      <c r="J3472" t="s">
        <v>133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si="1610"/>
        <v>14:47:29.977</v>
      </c>
      <c r="T3472" t="str">
        <f t="shared" si="1611"/>
        <v>14:47:29.777</v>
      </c>
      <c r="U3472" t="str">
        <f t="shared" si="1608"/>
        <v>A9808D</v>
      </c>
      <c r="V3472">
        <v>0</v>
      </c>
      <c r="W3472">
        <v>0</v>
      </c>
      <c r="X3472">
        <v>1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0</v>
      </c>
      <c r="AI3472" t="s">
        <v>814</v>
      </c>
      <c r="AJ3472">
        <v>28.256513999999999</v>
      </c>
      <c r="AK3472" t="s">
        <v>815</v>
      </c>
      <c r="AL3472">
        <v>-82.260195999999993</v>
      </c>
      <c r="AM3472">
        <v>100</v>
      </c>
      <c r="AN3472">
        <v>2200</v>
      </c>
      <c r="AO3472" t="s">
        <v>118</v>
      </c>
      <c r="AP3472">
        <v>15</v>
      </c>
      <c r="AQ3472">
        <v>140</v>
      </c>
      <c r="AR3472">
        <v>320</v>
      </c>
      <c r="AZ3472">
        <v>1200</v>
      </c>
      <c r="BA3472">
        <v>1</v>
      </c>
      <c r="BB3472" t="str">
        <f t="shared" si="1589"/>
        <v xml:space="preserve">N711JA  </v>
      </c>
      <c r="BC3472">
        <v>1</v>
      </c>
      <c r="BE3472">
        <v>0</v>
      </c>
      <c r="BF3472">
        <v>0</v>
      </c>
      <c r="BG3472">
        <v>0</v>
      </c>
      <c r="BH3472">
        <v>2250</v>
      </c>
      <c r="BI3472">
        <v>1</v>
      </c>
      <c r="BJ3472">
        <v>1</v>
      </c>
      <c r="BK3472">
        <v>0</v>
      </c>
      <c r="BL3472">
        <v>0</v>
      </c>
      <c r="BO3472">
        <v>0</v>
      </c>
      <c r="BP3472">
        <v>0</v>
      </c>
      <c r="BW3472" t="str">
        <f t="shared" si="1612"/>
        <v>14:47:29.982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6</v>
      </c>
      <c r="CP3472" t="s">
        <v>119</v>
      </c>
      <c r="CQ3472">
        <v>56</v>
      </c>
      <c r="CR3472">
        <v>2</v>
      </c>
      <c r="CW3472">
        <v>5014381</v>
      </c>
      <c r="CY3472">
        <v>1</v>
      </c>
      <c r="CZ3472">
        <v>0</v>
      </c>
      <c r="DA3472">
        <v>1</v>
      </c>
      <c r="DB3472">
        <v>0</v>
      </c>
      <c r="DC3472">
        <v>0</v>
      </c>
      <c r="DD3472">
        <v>1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 t="shared" ref="A3473:A3479" si="1613">"05/12/2020 14:47:13.278"</f>
        <v>05/12/2020 14:47:13.278</v>
      </c>
      <c r="C3473" t="str">
        <f t="shared" si="1588"/>
        <v>FFDFD3C0</v>
      </c>
      <c r="D3473" t="s">
        <v>134</v>
      </c>
      <c r="E3473">
        <v>12</v>
      </c>
      <c r="H3473">
        <v>64</v>
      </c>
      <c r="I3473" t="s">
        <v>135</v>
      </c>
      <c r="J3473" t="s">
        <v>136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ref="S3473:S3479" si="1614">"14:47:31.102"</f>
        <v>14:47:31.102</v>
      </c>
      <c r="T3473" t="str">
        <f t="shared" ref="T3473:T3479" si="1615">"14:47:30.902"</f>
        <v>14:47:30.902</v>
      </c>
      <c r="U3473" t="str">
        <f t="shared" si="1608"/>
        <v>A9808D</v>
      </c>
      <c r="V3473">
        <v>0</v>
      </c>
      <c r="W3473">
        <v>0</v>
      </c>
      <c r="X3473">
        <v>1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3</v>
      </c>
      <c r="AG3473">
        <v>2</v>
      </c>
      <c r="AH3473">
        <v>0</v>
      </c>
      <c r="AI3473" t="s">
        <v>816</v>
      </c>
      <c r="AJ3473">
        <v>28.257265</v>
      </c>
      <c r="AK3473" t="s">
        <v>817</v>
      </c>
      <c r="AL3473">
        <v>-82.260131999999999</v>
      </c>
      <c r="AM3473">
        <v>100</v>
      </c>
      <c r="AN3473">
        <v>2200</v>
      </c>
      <c r="AO3473" t="s">
        <v>118</v>
      </c>
      <c r="AP3473">
        <v>7</v>
      </c>
      <c r="AQ3473">
        <v>140</v>
      </c>
      <c r="AR3473">
        <v>448</v>
      </c>
      <c r="AZ3473">
        <v>1200</v>
      </c>
      <c r="BA3473">
        <v>1</v>
      </c>
      <c r="BB3473" t="str">
        <f t="shared" si="1589"/>
        <v xml:space="preserve">N711JA  </v>
      </c>
      <c r="BC3473">
        <v>1</v>
      </c>
      <c r="BE3473">
        <v>0</v>
      </c>
      <c r="BF3473">
        <v>0</v>
      </c>
      <c r="BG3473">
        <v>0</v>
      </c>
      <c r="BH3473">
        <v>2250</v>
      </c>
      <c r="BI3473">
        <v>1</v>
      </c>
      <c r="BJ3473">
        <v>1</v>
      </c>
      <c r="BK3473">
        <v>0</v>
      </c>
      <c r="BL3473">
        <v>0</v>
      </c>
      <c r="BO3473">
        <v>0</v>
      </c>
      <c r="BP3473">
        <v>0</v>
      </c>
      <c r="BW3473" t="str">
        <f>"14:47:31.105"</f>
        <v>14:47:31.105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6</v>
      </c>
      <c r="CP3473" t="s">
        <v>119</v>
      </c>
      <c r="CQ3473">
        <v>358</v>
      </c>
      <c r="CR3473">
        <v>0</v>
      </c>
      <c r="CW3473">
        <v>4990885</v>
      </c>
      <c r="CY3473">
        <v>1</v>
      </c>
      <c r="CZ3473">
        <v>0</v>
      </c>
      <c r="DA3473">
        <v>0</v>
      </c>
      <c r="DB3473">
        <v>0</v>
      </c>
      <c r="DC3473">
        <v>0</v>
      </c>
      <c r="DD3473">
        <v>1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 t="shared" si="1613"/>
        <v>05/12/2020 14:47:13.278</v>
      </c>
      <c r="C3474" t="str">
        <f t="shared" si="1588"/>
        <v>FFDFD3C0</v>
      </c>
      <c r="D3474" t="s">
        <v>138</v>
      </c>
      <c r="E3474">
        <v>3</v>
      </c>
      <c r="H3474">
        <v>9</v>
      </c>
      <c r="I3474" t="s">
        <v>140</v>
      </c>
      <c r="J3474" t="s">
        <v>136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614"/>
        <v>14:47:31.102</v>
      </c>
      <c r="T3474" t="str">
        <f t="shared" si="1615"/>
        <v>14:47:30.902</v>
      </c>
      <c r="U3474" t="str">
        <f t="shared" si="1608"/>
        <v>A9808D</v>
      </c>
      <c r="V3474">
        <v>0</v>
      </c>
      <c r="W3474">
        <v>0</v>
      </c>
      <c r="X3474">
        <v>1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0</v>
      </c>
      <c r="AI3474" t="s">
        <v>816</v>
      </c>
      <c r="AJ3474">
        <v>28.257265</v>
      </c>
      <c r="AK3474" t="s">
        <v>817</v>
      </c>
      <c r="AL3474">
        <v>-82.260131999999999</v>
      </c>
      <c r="AM3474">
        <v>100</v>
      </c>
      <c r="AN3474">
        <v>2200</v>
      </c>
      <c r="AO3474" t="s">
        <v>118</v>
      </c>
      <c r="AP3474">
        <v>7</v>
      </c>
      <c r="AQ3474">
        <v>140</v>
      </c>
      <c r="AR3474">
        <v>448</v>
      </c>
      <c r="AZ3474">
        <v>1200</v>
      </c>
      <c r="BA3474">
        <v>1</v>
      </c>
      <c r="BB3474" t="str">
        <f t="shared" si="1589"/>
        <v xml:space="preserve">N711JA  </v>
      </c>
      <c r="BC3474">
        <v>1</v>
      </c>
      <c r="BE3474">
        <v>0</v>
      </c>
      <c r="BF3474">
        <v>0</v>
      </c>
      <c r="BG3474">
        <v>0</v>
      </c>
      <c r="BH3474">
        <v>2250</v>
      </c>
      <c r="BI3474">
        <v>1</v>
      </c>
      <c r="BJ3474">
        <v>1</v>
      </c>
      <c r="BK3474">
        <v>0</v>
      </c>
      <c r="BL3474">
        <v>0</v>
      </c>
      <c r="BO3474">
        <v>0</v>
      </c>
      <c r="BP3474">
        <v>0</v>
      </c>
      <c r="BW3474" t="str">
        <f>"14:47:31.105"</f>
        <v>14:47:31.105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6</v>
      </c>
      <c r="CP3474" t="s">
        <v>119</v>
      </c>
      <c r="CQ3474">
        <v>358</v>
      </c>
      <c r="CR3474">
        <v>0</v>
      </c>
      <c r="CW3474">
        <v>4990885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1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 t="shared" si="1613"/>
        <v>05/12/2020 14:47:13.278</v>
      </c>
      <c r="C3475" t="str">
        <f t="shared" si="1588"/>
        <v>FFDFD3C0</v>
      </c>
      <c r="D3475" t="s">
        <v>126</v>
      </c>
      <c r="E3475">
        <v>7</v>
      </c>
      <c r="F3475">
        <v>1007</v>
      </c>
      <c r="G3475" t="s">
        <v>127</v>
      </c>
      <c r="J3475" t="s">
        <v>128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614"/>
        <v>14:47:31.102</v>
      </c>
      <c r="T3475" t="str">
        <f t="shared" si="1615"/>
        <v>14:47:30.902</v>
      </c>
      <c r="U3475" t="str">
        <f t="shared" si="1608"/>
        <v>A9808D</v>
      </c>
      <c r="V3475">
        <v>0</v>
      </c>
      <c r="W3475">
        <v>0</v>
      </c>
      <c r="X3475">
        <v>1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0</v>
      </c>
      <c r="AI3475" t="s">
        <v>816</v>
      </c>
      <c r="AJ3475">
        <v>28.257265</v>
      </c>
      <c r="AK3475" t="s">
        <v>817</v>
      </c>
      <c r="AL3475">
        <v>-82.260131999999999</v>
      </c>
      <c r="AM3475">
        <v>100</v>
      </c>
      <c r="AN3475">
        <v>2200</v>
      </c>
      <c r="AO3475" t="s">
        <v>118</v>
      </c>
      <c r="AP3475">
        <v>7</v>
      </c>
      <c r="AQ3475">
        <v>140</v>
      </c>
      <c r="AR3475">
        <v>448</v>
      </c>
      <c r="AZ3475">
        <v>1200</v>
      </c>
      <c r="BA3475">
        <v>1</v>
      </c>
      <c r="BB3475" t="str">
        <f t="shared" si="1589"/>
        <v xml:space="preserve">N711JA  </v>
      </c>
      <c r="BC3475">
        <v>1</v>
      </c>
      <c r="BE3475">
        <v>0</v>
      </c>
      <c r="BF3475">
        <v>0</v>
      </c>
      <c r="BG3475">
        <v>0</v>
      </c>
      <c r="BH3475">
        <v>2250</v>
      </c>
      <c r="BI3475">
        <v>1</v>
      </c>
      <c r="BJ3475">
        <v>1</v>
      </c>
      <c r="BK3475">
        <v>0</v>
      </c>
      <c r="BL3475">
        <v>0</v>
      </c>
      <c r="BO3475">
        <v>0</v>
      </c>
      <c r="BP3475">
        <v>0</v>
      </c>
      <c r="BW3475" t="str">
        <f>"14:47:31.105"</f>
        <v>14:47:31.105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6</v>
      </c>
      <c r="CP3475" t="s">
        <v>119</v>
      </c>
      <c r="CQ3475">
        <v>358</v>
      </c>
      <c r="CR3475">
        <v>0</v>
      </c>
      <c r="CW3475">
        <v>4990885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1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 t="shared" si="1613"/>
        <v>05/12/2020 14:47:13.278</v>
      </c>
      <c r="C3476" t="str">
        <f t="shared" si="1588"/>
        <v>FFDFD3C0</v>
      </c>
      <c r="D3476" t="s">
        <v>131</v>
      </c>
      <c r="E3476">
        <v>10</v>
      </c>
      <c r="F3476">
        <v>2010</v>
      </c>
      <c r="G3476" t="s">
        <v>132</v>
      </c>
      <c r="J3476" t="s">
        <v>133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si="1614"/>
        <v>14:47:31.102</v>
      </c>
      <c r="T3476" t="str">
        <f t="shared" si="1615"/>
        <v>14:47:30.902</v>
      </c>
      <c r="U3476" t="str">
        <f t="shared" si="1608"/>
        <v>A9808D</v>
      </c>
      <c r="V3476">
        <v>0</v>
      </c>
      <c r="W3476">
        <v>0</v>
      </c>
      <c r="X3476">
        <v>1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0</v>
      </c>
      <c r="AI3476" t="s">
        <v>816</v>
      </c>
      <c r="AJ3476">
        <v>28.257265</v>
      </c>
      <c r="AK3476" t="s">
        <v>817</v>
      </c>
      <c r="AL3476">
        <v>-82.260131999999999</v>
      </c>
      <c r="AM3476">
        <v>100</v>
      </c>
      <c r="AN3476">
        <v>2200</v>
      </c>
      <c r="AO3476" t="s">
        <v>118</v>
      </c>
      <c r="AP3476">
        <v>7</v>
      </c>
      <c r="AQ3476">
        <v>140</v>
      </c>
      <c r="AR3476">
        <v>448</v>
      </c>
      <c r="AZ3476">
        <v>1200</v>
      </c>
      <c r="BA3476">
        <v>1</v>
      </c>
      <c r="BB3476" t="str">
        <f t="shared" si="1589"/>
        <v xml:space="preserve">N711JA  </v>
      </c>
      <c r="BC3476">
        <v>1</v>
      </c>
      <c r="BE3476">
        <v>0</v>
      </c>
      <c r="BF3476">
        <v>0</v>
      </c>
      <c r="BG3476">
        <v>0</v>
      </c>
      <c r="BH3476">
        <v>2250</v>
      </c>
      <c r="BI3476">
        <v>1</v>
      </c>
      <c r="BJ3476">
        <v>1</v>
      </c>
      <c r="BK3476">
        <v>0</v>
      </c>
      <c r="BL3476">
        <v>0</v>
      </c>
      <c r="BO3476">
        <v>0</v>
      </c>
      <c r="BP3476">
        <v>0</v>
      </c>
      <c r="BW3476" t="str">
        <f>"14:47:31.105"</f>
        <v>14:47:31.105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6</v>
      </c>
      <c r="CP3476" t="s">
        <v>119</v>
      </c>
      <c r="CQ3476">
        <v>358</v>
      </c>
      <c r="CR3476">
        <v>0</v>
      </c>
      <c r="CW3476">
        <v>4990885</v>
      </c>
      <c r="CY3476">
        <v>1</v>
      </c>
      <c r="CZ3476">
        <v>0</v>
      </c>
      <c r="DA3476">
        <v>1</v>
      </c>
      <c r="DB3476">
        <v>0</v>
      </c>
      <c r="DC3476">
        <v>0</v>
      </c>
      <c r="DD3476">
        <v>1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 t="shared" si="1613"/>
        <v>05/12/2020 14:47:13.278</v>
      </c>
      <c r="C3477" t="str">
        <f t="shared" si="1588"/>
        <v>FFDFD3C0</v>
      </c>
      <c r="D3477" t="s">
        <v>131</v>
      </c>
      <c r="E3477">
        <v>18</v>
      </c>
      <c r="F3477">
        <v>2018</v>
      </c>
      <c r="G3477" t="s">
        <v>161</v>
      </c>
      <c r="J3477" t="s">
        <v>133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614"/>
        <v>14:47:31.102</v>
      </c>
      <c r="T3477" t="str">
        <f t="shared" si="1615"/>
        <v>14:47:30.902</v>
      </c>
      <c r="U3477" t="str">
        <f t="shared" si="1608"/>
        <v>A9808D</v>
      </c>
      <c r="V3477">
        <v>0</v>
      </c>
      <c r="W3477">
        <v>0</v>
      </c>
      <c r="X3477">
        <v>1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0</v>
      </c>
      <c r="AI3477" t="s">
        <v>816</v>
      </c>
      <c r="AJ3477">
        <v>28.257265</v>
      </c>
      <c r="AK3477" t="s">
        <v>817</v>
      </c>
      <c r="AL3477">
        <v>-82.260131999999999</v>
      </c>
      <c r="AM3477">
        <v>100</v>
      </c>
      <c r="AN3477">
        <v>2200</v>
      </c>
      <c r="AO3477" t="s">
        <v>118</v>
      </c>
      <c r="AP3477">
        <v>7</v>
      </c>
      <c r="AQ3477">
        <v>140</v>
      </c>
      <c r="AR3477">
        <v>448</v>
      </c>
      <c r="AZ3477">
        <v>1200</v>
      </c>
      <c r="BA3477">
        <v>1</v>
      </c>
      <c r="BB3477" t="str">
        <f t="shared" si="1589"/>
        <v xml:space="preserve">N711JA  </v>
      </c>
      <c r="BC3477">
        <v>1</v>
      </c>
      <c r="BE3477">
        <v>0</v>
      </c>
      <c r="BF3477">
        <v>0</v>
      </c>
      <c r="BG3477">
        <v>0</v>
      </c>
      <c r="BH3477">
        <v>2250</v>
      </c>
      <c r="BI3477">
        <v>1</v>
      </c>
      <c r="BJ3477">
        <v>1</v>
      </c>
      <c r="BK3477">
        <v>0</v>
      </c>
      <c r="BL3477">
        <v>0</v>
      </c>
      <c r="BO3477">
        <v>0</v>
      </c>
      <c r="BP3477">
        <v>0</v>
      </c>
      <c r="BW3477" t="str">
        <f>"14:47:31.106"</f>
        <v>14:47:31.106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3</v>
      </c>
      <c r="CP3477" t="s">
        <v>119</v>
      </c>
      <c r="CQ3477">
        <v>62</v>
      </c>
      <c r="CR3477">
        <v>2</v>
      </c>
      <c r="CW3477">
        <v>13761755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1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 t="shared" si="1613"/>
        <v>05/12/2020 14:47:13.278</v>
      </c>
      <c r="C3478" t="str">
        <f t="shared" ref="C3478:C3541" si="1616">"FFDFD3C0"</f>
        <v>FFDFD3C0</v>
      </c>
      <c r="D3478" t="s">
        <v>126</v>
      </c>
      <c r="E3478">
        <v>6</v>
      </c>
      <c r="F3478">
        <v>1006</v>
      </c>
      <c r="G3478" t="s">
        <v>114</v>
      </c>
      <c r="J3478" t="s">
        <v>128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si="1614"/>
        <v>14:47:31.102</v>
      </c>
      <c r="T3478" t="str">
        <f t="shared" si="1615"/>
        <v>14:47:30.902</v>
      </c>
      <c r="U3478" t="str">
        <f t="shared" si="1608"/>
        <v>A9808D</v>
      </c>
      <c r="V3478">
        <v>0</v>
      </c>
      <c r="W3478">
        <v>0</v>
      </c>
      <c r="X3478">
        <v>1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0</v>
      </c>
      <c r="AI3478" t="s">
        <v>816</v>
      </c>
      <c r="AJ3478">
        <v>28.257265</v>
      </c>
      <c r="AK3478" t="s">
        <v>817</v>
      </c>
      <c r="AL3478">
        <v>-82.260131999999999</v>
      </c>
      <c r="AM3478">
        <v>100</v>
      </c>
      <c r="AN3478">
        <v>2200</v>
      </c>
      <c r="AO3478" t="s">
        <v>118</v>
      </c>
      <c r="AP3478">
        <v>7</v>
      </c>
      <c r="AQ3478">
        <v>140</v>
      </c>
      <c r="AR3478">
        <v>448</v>
      </c>
      <c r="AZ3478">
        <v>1200</v>
      </c>
      <c r="BA3478">
        <v>1</v>
      </c>
      <c r="BB3478" t="str">
        <f t="shared" ref="BB3478:BB3541" si="1617">"N711JA  "</f>
        <v xml:space="preserve">N711JA  </v>
      </c>
      <c r="BC3478">
        <v>1</v>
      </c>
      <c r="BE3478">
        <v>0</v>
      </c>
      <c r="BF3478">
        <v>0</v>
      </c>
      <c r="BG3478">
        <v>0</v>
      </c>
      <c r="BH3478">
        <v>2250</v>
      </c>
      <c r="BI3478">
        <v>1</v>
      </c>
      <c r="BJ3478">
        <v>1</v>
      </c>
      <c r="BK3478">
        <v>0</v>
      </c>
      <c r="BL3478">
        <v>0</v>
      </c>
      <c r="BO3478">
        <v>0</v>
      </c>
      <c r="BP3478">
        <v>0</v>
      </c>
      <c r="BW3478" t="str">
        <f>"14:47:31.105"</f>
        <v>14:47:31.105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6</v>
      </c>
      <c r="CP3478" t="s">
        <v>119</v>
      </c>
      <c r="CQ3478">
        <v>358</v>
      </c>
      <c r="CR3478">
        <v>0</v>
      </c>
      <c r="CW3478">
        <v>4990885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1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 t="shared" si="1613"/>
        <v>05/12/2020 14:47:13.278</v>
      </c>
      <c r="C3479" t="str">
        <f t="shared" si="1616"/>
        <v>FFDFD3C0</v>
      </c>
      <c r="D3479" t="s">
        <v>113</v>
      </c>
      <c r="E3479">
        <v>3</v>
      </c>
      <c r="H3479">
        <v>164</v>
      </c>
      <c r="I3479" t="s">
        <v>114</v>
      </c>
      <c r="J3479" t="s">
        <v>115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si="1614"/>
        <v>14:47:31.102</v>
      </c>
      <c r="T3479" t="str">
        <f t="shared" si="1615"/>
        <v>14:47:30.902</v>
      </c>
      <c r="U3479" t="str">
        <f t="shared" si="1608"/>
        <v>A9808D</v>
      </c>
      <c r="V3479">
        <v>0</v>
      </c>
      <c r="W3479">
        <v>0</v>
      </c>
      <c r="X3479">
        <v>1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0</v>
      </c>
      <c r="AI3479" t="s">
        <v>816</v>
      </c>
      <c r="AJ3479">
        <v>28.257265</v>
      </c>
      <c r="AK3479" t="s">
        <v>817</v>
      </c>
      <c r="AL3479">
        <v>-82.260131999999999</v>
      </c>
      <c r="AM3479">
        <v>100</v>
      </c>
      <c r="AN3479">
        <v>2200</v>
      </c>
      <c r="AO3479" t="s">
        <v>118</v>
      </c>
      <c r="AP3479">
        <v>7</v>
      </c>
      <c r="AQ3479">
        <v>140</v>
      </c>
      <c r="AR3479">
        <v>448</v>
      </c>
      <c r="AZ3479">
        <v>1200</v>
      </c>
      <c r="BA3479">
        <v>1</v>
      </c>
      <c r="BB3479" t="str">
        <f t="shared" si="1617"/>
        <v xml:space="preserve">N711JA  </v>
      </c>
      <c r="BC3479">
        <v>1</v>
      </c>
      <c r="BE3479">
        <v>0</v>
      </c>
      <c r="BF3479">
        <v>0</v>
      </c>
      <c r="BG3479">
        <v>0</v>
      </c>
      <c r="BH3479">
        <v>2250</v>
      </c>
      <c r="BI3479">
        <v>1</v>
      </c>
      <c r="BJ3479">
        <v>1</v>
      </c>
      <c r="BK3479">
        <v>0</v>
      </c>
      <c r="BL3479">
        <v>0</v>
      </c>
      <c r="BO3479">
        <v>0</v>
      </c>
      <c r="BP3479">
        <v>0</v>
      </c>
      <c r="BW3479" t="str">
        <f>"14:47:31.106"</f>
        <v>14:47:31.106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3</v>
      </c>
      <c r="CP3479" t="s">
        <v>119</v>
      </c>
      <c r="CQ3479">
        <v>62</v>
      </c>
      <c r="CR3479">
        <v>2</v>
      </c>
      <c r="CW3479">
        <v>13761755</v>
      </c>
      <c r="CY3479">
        <v>1</v>
      </c>
      <c r="CZ3479">
        <v>0</v>
      </c>
      <c r="DA3479">
        <v>1</v>
      </c>
      <c r="DB3479">
        <v>0</v>
      </c>
      <c r="DC3479">
        <v>0</v>
      </c>
      <c r="DD3479">
        <v>1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 t="shared" ref="A3480:A3488" si="1618">"05/12/2020 14:47:14.365"</f>
        <v>05/12/2020 14:47:14.365</v>
      </c>
      <c r="C3480" t="str">
        <f t="shared" si="1616"/>
        <v>FFDFD3C0</v>
      </c>
      <c r="D3480" t="s">
        <v>131</v>
      </c>
      <c r="E3480">
        <v>10</v>
      </c>
      <c r="F3480">
        <v>2010</v>
      </c>
      <c r="G3480" t="s">
        <v>132</v>
      </c>
      <c r="J3480" t="s">
        <v>133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ref="S3480:S3488" si="1619">"14:47:32.211"</f>
        <v>14:47:32.211</v>
      </c>
      <c r="T3480" t="str">
        <f>"14:47:31.811"</f>
        <v>14:47:31.811</v>
      </c>
      <c r="U3480" t="str">
        <f t="shared" si="1608"/>
        <v>A9808D</v>
      </c>
      <c r="V3480">
        <v>0</v>
      </c>
      <c r="W3480">
        <v>0</v>
      </c>
      <c r="X3480">
        <v>1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0</v>
      </c>
      <c r="AI3480" t="s">
        <v>818</v>
      </c>
      <c r="AJ3480">
        <v>28.257973</v>
      </c>
      <c r="AK3480" t="s">
        <v>817</v>
      </c>
      <c r="AL3480">
        <v>-82.260131999999999</v>
      </c>
      <c r="AM3480">
        <v>100</v>
      </c>
      <c r="AN3480">
        <v>2300</v>
      </c>
      <c r="AO3480" t="s">
        <v>118</v>
      </c>
      <c r="AP3480">
        <v>2</v>
      </c>
      <c r="AQ3480">
        <v>139</v>
      </c>
      <c r="AR3480">
        <v>576</v>
      </c>
      <c r="AZ3480">
        <v>1200</v>
      </c>
      <c r="BA3480">
        <v>1</v>
      </c>
      <c r="BB3480" t="str">
        <f t="shared" si="1617"/>
        <v xml:space="preserve">N711JA  </v>
      </c>
      <c r="BC3480">
        <v>1</v>
      </c>
      <c r="BE3480">
        <v>0</v>
      </c>
      <c r="BF3480">
        <v>0</v>
      </c>
      <c r="BG3480">
        <v>0</v>
      </c>
      <c r="BH3480">
        <v>2275</v>
      </c>
      <c r="BI3480">
        <v>1</v>
      </c>
      <c r="BJ3480">
        <v>1</v>
      </c>
      <c r="BK3480">
        <v>0</v>
      </c>
      <c r="BL3480">
        <v>0</v>
      </c>
      <c r="BO3480">
        <v>0</v>
      </c>
      <c r="BP3480">
        <v>0</v>
      </c>
      <c r="BW3480" t="str">
        <f t="shared" ref="BW3480:BW3488" si="1620">"14:47:32.213"</f>
        <v>14:47:32.213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5</v>
      </c>
      <c r="CP3480" t="s">
        <v>119</v>
      </c>
      <c r="CQ3480">
        <v>358</v>
      </c>
      <c r="CR3480">
        <v>0</v>
      </c>
      <c r="CW3480">
        <v>4992172</v>
      </c>
      <c r="CY3480">
        <v>1</v>
      </c>
      <c r="CZ3480">
        <v>0</v>
      </c>
      <c r="DA3480">
        <v>0</v>
      </c>
      <c r="DB3480">
        <v>0</v>
      </c>
      <c r="DC3480">
        <v>0</v>
      </c>
      <c r="DD3480">
        <v>1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 t="shared" si="1618"/>
        <v>05/12/2020 14:47:14.365</v>
      </c>
      <c r="C3481" t="str">
        <f t="shared" si="1616"/>
        <v>FFDFD3C0</v>
      </c>
      <c r="D3481" t="s">
        <v>131</v>
      </c>
      <c r="E3481">
        <v>12</v>
      </c>
      <c r="F3481">
        <v>2012</v>
      </c>
      <c r="G3481" t="s">
        <v>137</v>
      </c>
      <c r="J3481" t="s">
        <v>133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619"/>
        <v>14:47:32.211</v>
      </c>
      <c r="T3481" t="str">
        <f>"14:47:31.811"</f>
        <v>14:47:31.811</v>
      </c>
      <c r="U3481" t="str">
        <f t="shared" si="1608"/>
        <v>A9808D</v>
      </c>
      <c r="V3481">
        <v>0</v>
      </c>
      <c r="W3481">
        <v>0</v>
      </c>
      <c r="X3481">
        <v>1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0</v>
      </c>
      <c r="AI3481" t="s">
        <v>818</v>
      </c>
      <c r="AJ3481">
        <v>28.257973</v>
      </c>
      <c r="AK3481" t="s">
        <v>817</v>
      </c>
      <c r="AL3481">
        <v>-82.260131999999999</v>
      </c>
      <c r="AM3481">
        <v>100</v>
      </c>
      <c r="AN3481">
        <v>2300</v>
      </c>
      <c r="AO3481" t="s">
        <v>118</v>
      </c>
      <c r="AP3481">
        <v>2</v>
      </c>
      <c r="AQ3481">
        <v>139</v>
      </c>
      <c r="AR3481">
        <v>576</v>
      </c>
      <c r="AZ3481">
        <v>1200</v>
      </c>
      <c r="BA3481">
        <v>1</v>
      </c>
      <c r="BB3481" t="str">
        <f t="shared" si="1617"/>
        <v xml:space="preserve">N711JA  </v>
      </c>
      <c r="BC3481">
        <v>1</v>
      </c>
      <c r="BE3481">
        <v>0</v>
      </c>
      <c r="BF3481">
        <v>0</v>
      </c>
      <c r="BG3481">
        <v>0</v>
      </c>
      <c r="BH3481">
        <v>2275</v>
      </c>
      <c r="BI3481">
        <v>1</v>
      </c>
      <c r="BJ3481">
        <v>1</v>
      </c>
      <c r="BK3481">
        <v>0</v>
      </c>
      <c r="BL3481">
        <v>0</v>
      </c>
      <c r="BO3481">
        <v>0</v>
      </c>
      <c r="BP3481">
        <v>0</v>
      </c>
      <c r="BW3481" t="str">
        <f t="shared" si="1620"/>
        <v>14:47:32.213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2</v>
      </c>
      <c r="CP3481" t="s">
        <v>675</v>
      </c>
      <c r="CQ3481">
        <v>363</v>
      </c>
      <c r="CR3481">
        <v>0</v>
      </c>
      <c r="CW3481">
        <v>6519333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1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 t="shared" si="1618"/>
        <v>05/12/2020 14:47:14.365</v>
      </c>
      <c r="C3482" t="str">
        <f t="shared" si="1616"/>
        <v>FFDFD3C0</v>
      </c>
      <c r="D3482" t="s">
        <v>131</v>
      </c>
      <c r="E3482">
        <v>18</v>
      </c>
      <c r="F3482">
        <v>2018</v>
      </c>
      <c r="G3482" t="s">
        <v>161</v>
      </c>
      <c r="J3482" t="s">
        <v>133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619"/>
        <v>14:47:32.211</v>
      </c>
      <c r="T3482" t="str">
        <f>"14:47:31.311"</f>
        <v>14:47:31.311</v>
      </c>
      <c r="U3482" t="str">
        <f t="shared" si="1608"/>
        <v>A9808D</v>
      </c>
      <c r="V3482">
        <v>0</v>
      </c>
      <c r="W3482">
        <v>0</v>
      </c>
      <c r="X3482">
        <v>1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0</v>
      </c>
      <c r="AI3482" t="s">
        <v>818</v>
      </c>
      <c r="AJ3482">
        <v>28.257973</v>
      </c>
      <c r="AK3482" t="s">
        <v>817</v>
      </c>
      <c r="AL3482">
        <v>-82.260131999999999</v>
      </c>
      <c r="AM3482">
        <v>100</v>
      </c>
      <c r="AN3482">
        <v>2300</v>
      </c>
      <c r="AO3482" t="s">
        <v>118</v>
      </c>
      <c r="AP3482">
        <v>5</v>
      </c>
      <c r="AQ3482">
        <v>140</v>
      </c>
      <c r="AR3482">
        <v>512</v>
      </c>
      <c r="AZ3482">
        <v>1200</v>
      </c>
      <c r="BA3482">
        <v>1</v>
      </c>
      <c r="BB3482" t="str">
        <f t="shared" si="1617"/>
        <v xml:space="preserve">N711JA  </v>
      </c>
      <c r="BC3482">
        <v>1</v>
      </c>
      <c r="BE3482">
        <v>0</v>
      </c>
      <c r="BF3482">
        <v>0</v>
      </c>
      <c r="BG3482">
        <v>0</v>
      </c>
      <c r="BH3482">
        <v>2250</v>
      </c>
      <c r="BI3482">
        <v>1</v>
      </c>
      <c r="BJ3482">
        <v>1</v>
      </c>
      <c r="BK3482">
        <v>0</v>
      </c>
      <c r="BL3482">
        <v>0</v>
      </c>
      <c r="BO3482">
        <v>0</v>
      </c>
      <c r="BP3482">
        <v>0</v>
      </c>
      <c r="BW3482" t="str">
        <f t="shared" si="1620"/>
        <v>14:47:32.213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4</v>
      </c>
      <c r="CP3482" t="s">
        <v>119</v>
      </c>
      <c r="CQ3482">
        <v>62</v>
      </c>
      <c r="CR3482">
        <v>1</v>
      </c>
      <c r="CW3482">
        <v>12928275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1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 t="shared" si="1618"/>
        <v>05/12/2020 14:47:14.365</v>
      </c>
      <c r="C3483" t="str">
        <f t="shared" si="1616"/>
        <v>FFDFD3C0</v>
      </c>
      <c r="D3483" t="s">
        <v>126</v>
      </c>
      <c r="E3483">
        <v>6</v>
      </c>
      <c r="F3483">
        <v>1006</v>
      </c>
      <c r="G3483" t="s">
        <v>114</v>
      </c>
      <c r="J3483" t="s">
        <v>128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si="1619"/>
        <v>14:47:32.211</v>
      </c>
      <c r="T3483" t="str">
        <f t="shared" ref="T3483:T3488" si="1621">"14:47:31.811"</f>
        <v>14:47:31.811</v>
      </c>
      <c r="U3483" t="str">
        <f t="shared" si="1608"/>
        <v>A9808D</v>
      </c>
      <c r="V3483">
        <v>0</v>
      </c>
      <c r="W3483">
        <v>0</v>
      </c>
      <c r="X3483">
        <v>1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0</v>
      </c>
      <c r="AI3483" t="s">
        <v>818</v>
      </c>
      <c r="AJ3483">
        <v>28.257973</v>
      </c>
      <c r="AK3483" t="s">
        <v>817</v>
      </c>
      <c r="AL3483">
        <v>-82.260131999999999</v>
      </c>
      <c r="AM3483">
        <v>100</v>
      </c>
      <c r="AN3483">
        <v>2300</v>
      </c>
      <c r="AO3483" t="s">
        <v>118</v>
      </c>
      <c r="AP3483">
        <v>2</v>
      </c>
      <c r="AQ3483">
        <v>139</v>
      </c>
      <c r="AR3483">
        <v>576</v>
      </c>
      <c r="AZ3483">
        <v>1200</v>
      </c>
      <c r="BA3483">
        <v>1</v>
      </c>
      <c r="BB3483" t="str">
        <f t="shared" si="1617"/>
        <v xml:space="preserve">N711JA  </v>
      </c>
      <c r="BC3483">
        <v>1</v>
      </c>
      <c r="BE3483">
        <v>0</v>
      </c>
      <c r="BF3483">
        <v>0</v>
      </c>
      <c r="BG3483">
        <v>0</v>
      </c>
      <c r="BH3483">
        <v>2275</v>
      </c>
      <c r="BI3483">
        <v>1</v>
      </c>
      <c r="BJ3483">
        <v>1</v>
      </c>
      <c r="BK3483">
        <v>0</v>
      </c>
      <c r="BL3483">
        <v>0</v>
      </c>
      <c r="BO3483">
        <v>0</v>
      </c>
      <c r="BP3483">
        <v>0</v>
      </c>
      <c r="BW3483" t="str">
        <f t="shared" si="1620"/>
        <v>14:47:32.213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5</v>
      </c>
      <c r="CP3483" t="s">
        <v>119</v>
      </c>
      <c r="CQ3483">
        <v>358</v>
      </c>
      <c r="CR3483">
        <v>0</v>
      </c>
      <c r="CW3483">
        <v>4992172</v>
      </c>
      <c r="CY3483">
        <v>1</v>
      </c>
      <c r="CZ3483">
        <v>0</v>
      </c>
      <c r="DA3483">
        <v>1</v>
      </c>
      <c r="DB3483">
        <v>0</v>
      </c>
      <c r="DC3483">
        <v>0</v>
      </c>
      <c r="DD3483">
        <v>1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 t="shared" si="1618"/>
        <v>05/12/2020 14:47:14.365</v>
      </c>
      <c r="C3484" t="str">
        <f t="shared" si="1616"/>
        <v>FFDFD3C0</v>
      </c>
      <c r="D3484" t="s">
        <v>113</v>
      </c>
      <c r="E3484">
        <v>3</v>
      </c>
      <c r="H3484">
        <v>164</v>
      </c>
      <c r="I3484" t="s">
        <v>114</v>
      </c>
      <c r="J3484" t="s">
        <v>115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si="1619"/>
        <v>14:47:32.211</v>
      </c>
      <c r="T3484" t="str">
        <f t="shared" si="1621"/>
        <v>14:47:31.811</v>
      </c>
      <c r="U3484" t="str">
        <f t="shared" si="1608"/>
        <v>A9808D</v>
      </c>
      <c r="V3484">
        <v>0</v>
      </c>
      <c r="W3484">
        <v>0</v>
      </c>
      <c r="X3484">
        <v>1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0</v>
      </c>
      <c r="AI3484" t="s">
        <v>818</v>
      </c>
      <c r="AJ3484">
        <v>28.257973</v>
      </c>
      <c r="AK3484" t="s">
        <v>817</v>
      </c>
      <c r="AL3484">
        <v>-82.260131999999999</v>
      </c>
      <c r="AM3484">
        <v>100</v>
      </c>
      <c r="AN3484">
        <v>2300</v>
      </c>
      <c r="AO3484" t="s">
        <v>118</v>
      </c>
      <c r="AP3484">
        <v>2</v>
      </c>
      <c r="AQ3484">
        <v>139</v>
      </c>
      <c r="AR3484">
        <v>576</v>
      </c>
      <c r="AZ3484">
        <v>1200</v>
      </c>
      <c r="BA3484">
        <v>1</v>
      </c>
      <c r="BB3484" t="str">
        <f t="shared" si="1617"/>
        <v xml:space="preserve">N711JA  </v>
      </c>
      <c r="BC3484">
        <v>1</v>
      </c>
      <c r="BE3484">
        <v>0</v>
      </c>
      <c r="BF3484">
        <v>0</v>
      </c>
      <c r="BG3484">
        <v>0</v>
      </c>
      <c r="BH3484">
        <v>2275</v>
      </c>
      <c r="BI3484">
        <v>1</v>
      </c>
      <c r="BJ3484">
        <v>1</v>
      </c>
      <c r="BK3484">
        <v>0</v>
      </c>
      <c r="BL3484">
        <v>0</v>
      </c>
      <c r="BO3484">
        <v>0</v>
      </c>
      <c r="BP3484">
        <v>0</v>
      </c>
      <c r="BW3484" t="str">
        <f t="shared" si="1620"/>
        <v>14:47:32.213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4</v>
      </c>
      <c r="CP3484" t="s">
        <v>119</v>
      </c>
      <c r="CQ3484">
        <v>9</v>
      </c>
      <c r="CR3484">
        <v>0</v>
      </c>
      <c r="CW3484">
        <v>12838587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1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 t="shared" si="1618"/>
        <v>05/12/2020 14:47:14.365</v>
      </c>
      <c r="C3485" t="str">
        <f t="shared" si="1616"/>
        <v>FFDFD3C0</v>
      </c>
      <c r="D3485" t="s">
        <v>134</v>
      </c>
      <c r="E3485">
        <v>12</v>
      </c>
      <c r="H3485">
        <v>64</v>
      </c>
      <c r="I3485" t="s">
        <v>135</v>
      </c>
      <c r="J3485" t="s">
        <v>136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619"/>
        <v>14:47:32.211</v>
      </c>
      <c r="T3485" t="str">
        <f t="shared" si="1621"/>
        <v>14:47:31.811</v>
      </c>
      <c r="U3485" t="str">
        <f t="shared" si="1608"/>
        <v>A9808D</v>
      </c>
      <c r="V3485">
        <v>0</v>
      </c>
      <c r="W3485">
        <v>0</v>
      </c>
      <c r="X3485">
        <v>1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0</v>
      </c>
      <c r="AI3485" t="s">
        <v>818</v>
      </c>
      <c r="AJ3485">
        <v>28.257973</v>
      </c>
      <c r="AK3485" t="s">
        <v>817</v>
      </c>
      <c r="AL3485">
        <v>-82.260131999999999</v>
      </c>
      <c r="AM3485">
        <v>100</v>
      </c>
      <c r="AN3485">
        <v>2300</v>
      </c>
      <c r="AO3485" t="s">
        <v>118</v>
      </c>
      <c r="AP3485">
        <v>2</v>
      </c>
      <c r="AQ3485">
        <v>139</v>
      </c>
      <c r="AR3485">
        <v>576</v>
      </c>
      <c r="AZ3485">
        <v>1200</v>
      </c>
      <c r="BA3485">
        <v>1</v>
      </c>
      <c r="BB3485" t="str">
        <f t="shared" si="1617"/>
        <v xml:space="preserve">N711JA  </v>
      </c>
      <c r="BC3485">
        <v>1</v>
      </c>
      <c r="BE3485">
        <v>0</v>
      </c>
      <c r="BF3485">
        <v>0</v>
      </c>
      <c r="BG3485">
        <v>0</v>
      </c>
      <c r="BH3485">
        <v>2275</v>
      </c>
      <c r="BI3485">
        <v>1</v>
      </c>
      <c r="BJ3485">
        <v>1</v>
      </c>
      <c r="BK3485">
        <v>0</v>
      </c>
      <c r="BL3485">
        <v>0</v>
      </c>
      <c r="BO3485">
        <v>0</v>
      </c>
      <c r="BP3485">
        <v>0</v>
      </c>
      <c r="BW3485" t="str">
        <f t="shared" si="1620"/>
        <v>14:47:32.213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5</v>
      </c>
      <c r="CP3485" t="s">
        <v>119</v>
      </c>
      <c r="CQ3485">
        <v>358</v>
      </c>
      <c r="CR3485">
        <v>0</v>
      </c>
      <c r="CW3485">
        <v>4992172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1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 t="shared" si="1618"/>
        <v>05/12/2020 14:47:14.365</v>
      </c>
      <c r="C3486" t="str">
        <f t="shared" si="1616"/>
        <v>FFDFD3C0</v>
      </c>
      <c r="D3486" t="s">
        <v>138</v>
      </c>
      <c r="E3486">
        <v>2</v>
      </c>
      <c r="H3486">
        <v>8</v>
      </c>
      <c r="I3486" t="s">
        <v>139</v>
      </c>
      <c r="J3486" t="s">
        <v>136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si="1619"/>
        <v>14:47:32.211</v>
      </c>
      <c r="T3486" t="str">
        <f t="shared" si="1621"/>
        <v>14:47:31.811</v>
      </c>
      <c r="U3486" t="str">
        <f t="shared" si="1608"/>
        <v>A9808D</v>
      </c>
      <c r="V3486">
        <v>0</v>
      </c>
      <c r="W3486">
        <v>0</v>
      </c>
      <c r="X3486">
        <v>1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0</v>
      </c>
      <c r="AI3486" t="s">
        <v>818</v>
      </c>
      <c r="AJ3486">
        <v>28.257973</v>
      </c>
      <c r="AK3486" t="s">
        <v>817</v>
      </c>
      <c r="AL3486">
        <v>-82.260131999999999</v>
      </c>
      <c r="AM3486">
        <v>100</v>
      </c>
      <c r="AN3486">
        <v>2300</v>
      </c>
      <c r="AO3486" t="s">
        <v>118</v>
      </c>
      <c r="AP3486">
        <v>2</v>
      </c>
      <c r="AQ3486">
        <v>139</v>
      </c>
      <c r="AR3486">
        <v>576</v>
      </c>
      <c r="AZ3486">
        <v>1200</v>
      </c>
      <c r="BA3486">
        <v>1</v>
      </c>
      <c r="BB3486" t="str">
        <f t="shared" si="1617"/>
        <v xml:space="preserve">N711JA  </v>
      </c>
      <c r="BC3486">
        <v>1</v>
      </c>
      <c r="BE3486">
        <v>0</v>
      </c>
      <c r="BF3486">
        <v>0</v>
      </c>
      <c r="BG3486">
        <v>0</v>
      </c>
      <c r="BH3486">
        <v>2275</v>
      </c>
      <c r="BI3486">
        <v>1</v>
      </c>
      <c r="BJ3486">
        <v>1</v>
      </c>
      <c r="BK3486">
        <v>0</v>
      </c>
      <c r="BL3486">
        <v>0</v>
      </c>
      <c r="BO3486">
        <v>0</v>
      </c>
      <c r="BP3486">
        <v>0</v>
      </c>
      <c r="BW3486" t="str">
        <f t="shared" si="1620"/>
        <v>14:47:32.213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2</v>
      </c>
      <c r="CP3486" t="s">
        <v>675</v>
      </c>
      <c r="CQ3486">
        <v>363</v>
      </c>
      <c r="CR3486">
        <v>0</v>
      </c>
      <c r="CW3486">
        <v>6519333</v>
      </c>
      <c r="CY3486">
        <v>1</v>
      </c>
      <c r="CZ3486">
        <v>0</v>
      </c>
      <c r="DA3486">
        <v>1</v>
      </c>
      <c r="DB3486">
        <v>0</v>
      </c>
      <c r="DC3486">
        <v>0</v>
      </c>
      <c r="DD3486">
        <v>1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 t="shared" si="1618"/>
        <v>05/12/2020 14:47:14.365</v>
      </c>
      <c r="C3487" t="str">
        <f t="shared" si="1616"/>
        <v>FFDFD3C0</v>
      </c>
      <c r="D3487" t="s">
        <v>138</v>
      </c>
      <c r="E3487">
        <v>3</v>
      </c>
      <c r="H3487">
        <v>9</v>
      </c>
      <c r="I3487" t="s">
        <v>140</v>
      </c>
      <c r="J3487" t="s">
        <v>136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si="1619"/>
        <v>14:47:32.211</v>
      </c>
      <c r="T3487" t="str">
        <f t="shared" si="1621"/>
        <v>14:47:31.811</v>
      </c>
      <c r="U3487" t="str">
        <f t="shared" si="1608"/>
        <v>A9808D</v>
      </c>
      <c r="V3487">
        <v>0</v>
      </c>
      <c r="W3487">
        <v>0</v>
      </c>
      <c r="X3487">
        <v>1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0</v>
      </c>
      <c r="AI3487" t="s">
        <v>818</v>
      </c>
      <c r="AJ3487">
        <v>28.257973</v>
      </c>
      <c r="AK3487" t="s">
        <v>817</v>
      </c>
      <c r="AL3487">
        <v>-82.260131999999999</v>
      </c>
      <c r="AM3487">
        <v>100</v>
      </c>
      <c r="AN3487">
        <v>2300</v>
      </c>
      <c r="AO3487" t="s">
        <v>118</v>
      </c>
      <c r="AP3487">
        <v>2</v>
      </c>
      <c r="AQ3487">
        <v>139</v>
      </c>
      <c r="AR3487">
        <v>576</v>
      </c>
      <c r="AZ3487">
        <v>1200</v>
      </c>
      <c r="BA3487">
        <v>1</v>
      </c>
      <c r="BB3487" t="str">
        <f t="shared" si="1617"/>
        <v xml:space="preserve">N711JA  </v>
      </c>
      <c r="BC3487">
        <v>1</v>
      </c>
      <c r="BE3487">
        <v>0</v>
      </c>
      <c r="BF3487">
        <v>0</v>
      </c>
      <c r="BG3487">
        <v>0</v>
      </c>
      <c r="BH3487">
        <v>2275</v>
      </c>
      <c r="BI3487">
        <v>1</v>
      </c>
      <c r="BJ3487">
        <v>1</v>
      </c>
      <c r="BK3487">
        <v>0</v>
      </c>
      <c r="BL3487">
        <v>0</v>
      </c>
      <c r="BO3487">
        <v>0</v>
      </c>
      <c r="BP3487">
        <v>0</v>
      </c>
      <c r="BW3487" t="str">
        <f t="shared" si="1620"/>
        <v>14:47:32.213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5</v>
      </c>
      <c r="CP3487" t="s">
        <v>119</v>
      </c>
      <c r="CQ3487">
        <v>358</v>
      </c>
      <c r="CR3487">
        <v>0</v>
      </c>
      <c r="CW3487">
        <v>4992172</v>
      </c>
      <c r="CY3487">
        <v>1</v>
      </c>
      <c r="CZ3487">
        <v>0</v>
      </c>
      <c r="DA3487">
        <v>1</v>
      </c>
      <c r="DB3487">
        <v>0</v>
      </c>
      <c r="DC3487">
        <v>0</v>
      </c>
      <c r="DD3487">
        <v>1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 t="shared" si="1618"/>
        <v>05/12/2020 14:47:14.365</v>
      </c>
      <c r="C3488" t="str">
        <f t="shared" si="1616"/>
        <v>FFDFD3C0</v>
      </c>
      <c r="D3488" t="s">
        <v>126</v>
      </c>
      <c r="E3488">
        <v>7</v>
      </c>
      <c r="F3488">
        <v>1007</v>
      </c>
      <c r="G3488" t="s">
        <v>127</v>
      </c>
      <c r="J3488" t="s">
        <v>128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si="1619"/>
        <v>14:47:32.211</v>
      </c>
      <c r="T3488" t="str">
        <f t="shared" si="1621"/>
        <v>14:47:31.811</v>
      </c>
      <c r="U3488" t="str">
        <f t="shared" si="1608"/>
        <v>A9808D</v>
      </c>
      <c r="V3488">
        <v>0</v>
      </c>
      <c r="W3488">
        <v>0</v>
      </c>
      <c r="X3488">
        <v>1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0</v>
      </c>
      <c r="AI3488" t="s">
        <v>818</v>
      </c>
      <c r="AJ3488">
        <v>28.257973</v>
      </c>
      <c r="AK3488" t="s">
        <v>817</v>
      </c>
      <c r="AL3488">
        <v>-82.260131999999999</v>
      </c>
      <c r="AM3488">
        <v>100</v>
      </c>
      <c r="AN3488">
        <v>2300</v>
      </c>
      <c r="AO3488" t="s">
        <v>118</v>
      </c>
      <c r="AP3488">
        <v>2</v>
      </c>
      <c r="AQ3488">
        <v>139</v>
      </c>
      <c r="AR3488">
        <v>576</v>
      </c>
      <c r="AZ3488">
        <v>1200</v>
      </c>
      <c r="BA3488">
        <v>1</v>
      </c>
      <c r="BB3488" t="str">
        <f t="shared" si="1617"/>
        <v xml:space="preserve">N711JA  </v>
      </c>
      <c r="BC3488">
        <v>1</v>
      </c>
      <c r="BE3488">
        <v>0</v>
      </c>
      <c r="BF3488">
        <v>0</v>
      </c>
      <c r="BG3488">
        <v>0</v>
      </c>
      <c r="BH3488">
        <v>2275</v>
      </c>
      <c r="BI3488">
        <v>1</v>
      </c>
      <c r="BJ3488">
        <v>1</v>
      </c>
      <c r="BK3488">
        <v>0</v>
      </c>
      <c r="BL3488">
        <v>0</v>
      </c>
      <c r="BO3488">
        <v>0</v>
      </c>
      <c r="BP3488">
        <v>0</v>
      </c>
      <c r="BW3488" t="str">
        <f t="shared" si="1620"/>
        <v>14:47:32.213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5</v>
      </c>
      <c r="CP3488" t="s">
        <v>119</v>
      </c>
      <c r="CQ3488">
        <v>358</v>
      </c>
      <c r="CR3488">
        <v>0</v>
      </c>
      <c r="CW3488">
        <v>4992172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1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 t="shared" ref="A3489:A3497" si="1622">"05/12/2020 14:47:15.382"</f>
        <v>05/12/2020 14:47:15.382</v>
      </c>
      <c r="C3489" t="str">
        <f t="shared" si="1616"/>
        <v>FFDFD3C0</v>
      </c>
      <c r="D3489" t="s">
        <v>126</v>
      </c>
      <c r="E3489">
        <v>6</v>
      </c>
      <c r="F3489">
        <v>1006</v>
      </c>
      <c r="G3489" t="s">
        <v>114</v>
      </c>
      <c r="J3489" t="s">
        <v>128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ref="S3489:S3497" si="1623">"14:47:33.219"</f>
        <v>14:47:33.219</v>
      </c>
      <c r="T3489" t="str">
        <f t="shared" ref="T3489:T3497" si="1624">"14:47:32.819"</f>
        <v>14:47:32.819</v>
      </c>
      <c r="U3489" t="str">
        <f t="shared" si="1608"/>
        <v>A9808D</v>
      </c>
      <c r="V3489">
        <v>0</v>
      </c>
      <c r="W3489">
        <v>0</v>
      </c>
      <c r="X3489">
        <v>1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0</v>
      </c>
      <c r="AI3489" t="s">
        <v>819</v>
      </c>
      <c r="AJ3489">
        <v>28.258617000000001</v>
      </c>
      <c r="AK3489" t="s">
        <v>820</v>
      </c>
      <c r="AL3489">
        <v>-82.260175000000004</v>
      </c>
      <c r="AM3489">
        <v>100</v>
      </c>
      <c r="AN3489">
        <v>2300</v>
      </c>
      <c r="AO3489" t="s">
        <v>118</v>
      </c>
      <c r="AP3489">
        <v>-5</v>
      </c>
      <c r="AQ3489">
        <v>138</v>
      </c>
      <c r="AR3489">
        <v>704</v>
      </c>
      <c r="AZ3489">
        <v>1200</v>
      </c>
      <c r="BA3489">
        <v>1</v>
      </c>
      <c r="BB3489" t="str">
        <f t="shared" si="1617"/>
        <v xml:space="preserve">N711JA  </v>
      </c>
      <c r="BC3489">
        <v>1</v>
      </c>
      <c r="BE3489">
        <v>0</v>
      </c>
      <c r="BF3489">
        <v>0</v>
      </c>
      <c r="BG3489">
        <v>0</v>
      </c>
      <c r="BH3489">
        <v>2275</v>
      </c>
      <c r="BI3489">
        <v>1</v>
      </c>
      <c r="BJ3489">
        <v>1</v>
      </c>
      <c r="BK3489">
        <v>0</v>
      </c>
      <c r="BL3489">
        <v>0</v>
      </c>
      <c r="BO3489">
        <v>0</v>
      </c>
      <c r="BP3489">
        <v>0</v>
      </c>
      <c r="BW3489" t="str">
        <f t="shared" ref="BW3489:BW3497" si="1625">"14:47:33.219"</f>
        <v>14:47:33.219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5</v>
      </c>
      <c r="CP3489" t="s">
        <v>119</v>
      </c>
      <c r="CQ3489">
        <v>358</v>
      </c>
      <c r="CR3489">
        <v>0</v>
      </c>
      <c r="CW3489">
        <v>4993389</v>
      </c>
      <c r="CY3489">
        <v>1</v>
      </c>
      <c r="CZ3489">
        <v>0</v>
      </c>
      <c r="DA3489">
        <v>0</v>
      </c>
      <c r="DB3489">
        <v>0</v>
      </c>
      <c r="DC3489">
        <v>0</v>
      </c>
      <c r="DD3489">
        <v>1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 t="shared" si="1622"/>
        <v>05/12/2020 14:47:15.382</v>
      </c>
      <c r="C3490" t="str">
        <f t="shared" si="1616"/>
        <v>FFDFD3C0</v>
      </c>
      <c r="D3490" t="s">
        <v>113</v>
      </c>
      <c r="E3490">
        <v>3</v>
      </c>
      <c r="H3490">
        <v>164</v>
      </c>
      <c r="I3490" t="s">
        <v>114</v>
      </c>
      <c r="J3490" t="s">
        <v>115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si="1623"/>
        <v>14:47:33.219</v>
      </c>
      <c r="T3490" t="str">
        <f t="shared" si="1624"/>
        <v>14:47:32.819</v>
      </c>
      <c r="U3490" t="str">
        <f t="shared" si="1608"/>
        <v>A9808D</v>
      </c>
      <c r="V3490">
        <v>0</v>
      </c>
      <c r="W3490">
        <v>0</v>
      </c>
      <c r="X3490">
        <v>1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0</v>
      </c>
      <c r="AI3490" t="s">
        <v>819</v>
      </c>
      <c r="AJ3490">
        <v>28.258617000000001</v>
      </c>
      <c r="AK3490" t="s">
        <v>820</v>
      </c>
      <c r="AL3490">
        <v>-82.260175000000004</v>
      </c>
      <c r="AM3490">
        <v>100</v>
      </c>
      <c r="AN3490">
        <v>2300</v>
      </c>
      <c r="AO3490" t="s">
        <v>118</v>
      </c>
      <c r="AP3490">
        <v>-5</v>
      </c>
      <c r="AQ3490">
        <v>138</v>
      </c>
      <c r="AR3490">
        <v>704</v>
      </c>
      <c r="AZ3490">
        <v>1200</v>
      </c>
      <c r="BA3490">
        <v>1</v>
      </c>
      <c r="BB3490" t="str">
        <f t="shared" si="1617"/>
        <v xml:space="preserve">N711JA  </v>
      </c>
      <c r="BC3490">
        <v>1</v>
      </c>
      <c r="BE3490">
        <v>0</v>
      </c>
      <c r="BF3490">
        <v>0</v>
      </c>
      <c r="BG3490">
        <v>0</v>
      </c>
      <c r="BH3490">
        <v>2275</v>
      </c>
      <c r="BI3490">
        <v>1</v>
      </c>
      <c r="BJ3490">
        <v>1</v>
      </c>
      <c r="BK3490">
        <v>0</v>
      </c>
      <c r="BL3490">
        <v>0</v>
      </c>
      <c r="BO3490">
        <v>0</v>
      </c>
      <c r="BP3490">
        <v>0</v>
      </c>
      <c r="BW3490" t="str">
        <f t="shared" si="1625"/>
        <v>14:47:33.219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5</v>
      </c>
      <c r="CP3490" t="s">
        <v>119</v>
      </c>
      <c r="CQ3490">
        <v>62</v>
      </c>
      <c r="CR3490">
        <v>1</v>
      </c>
      <c r="CW3490">
        <v>12929417</v>
      </c>
      <c r="CY3490">
        <v>1</v>
      </c>
      <c r="CZ3490">
        <v>0</v>
      </c>
      <c r="DA3490">
        <v>1</v>
      </c>
      <c r="DB3490">
        <v>0</v>
      </c>
      <c r="DC3490">
        <v>0</v>
      </c>
      <c r="DD3490">
        <v>1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 t="shared" si="1622"/>
        <v>05/12/2020 14:47:15.382</v>
      </c>
      <c r="C3491" t="str">
        <f t="shared" si="1616"/>
        <v>FFDFD3C0</v>
      </c>
      <c r="D3491" t="s">
        <v>134</v>
      </c>
      <c r="E3491">
        <v>12</v>
      </c>
      <c r="H3491">
        <v>64</v>
      </c>
      <c r="I3491" t="s">
        <v>135</v>
      </c>
      <c r="J3491" t="s">
        <v>136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623"/>
        <v>14:47:33.219</v>
      </c>
      <c r="T3491" t="str">
        <f t="shared" si="1624"/>
        <v>14:47:32.819</v>
      </c>
      <c r="U3491" t="str">
        <f t="shared" si="1608"/>
        <v>A9808D</v>
      </c>
      <c r="V3491">
        <v>0</v>
      </c>
      <c r="W3491">
        <v>0</v>
      </c>
      <c r="X3491">
        <v>1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0</v>
      </c>
      <c r="AI3491" t="s">
        <v>819</v>
      </c>
      <c r="AJ3491">
        <v>28.258617000000001</v>
      </c>
      <c r="AK3491" t="s">
        <v>820</v>
      </c>
      <c r="AL3491">
        <v>-82.260175000000004</v>
      </c>
      <c r="AM3491">
        <v>100</v>
      </c>
      <c r="AN3491">
        <v>2300</v>
      </c>
      <c r="AO3491" t="s">
        <v>118</v>
      </c>
      <c r="AP3491">
        <v>-5</v>
      </c>
      <c r="AQ3491">
        <v>138</v>
      </c>
      <c r="AR3491">
        <v>704</v>
      </c>
      <c r="AZ3491">
        <v>1200</v>
      </c>
      <c r="BA3491">
        <v>1</v>
      </c>
      <c r="BB3491" t="str">
        <f t="shared" si="1617"/>
        <v xml:space="preserve">N711JA  </v>
      </c>
      <c r="BC3491">
        <v>1</v>
      </c>
      <c r="BE3491">
        <v>0</v>
      </c>
      <c r="BF3491">
        <v>0</v>
      </c>
      <c r="BG3491">
        <v>0</v>
      </c>
      <c r="BH3491">
        <v>2275</v>
      </c>
      <c r="BI3491">
        <v>1</v>
      </c>
      <c r="BJ3491">
        <v>1</v>
      </c>
      <c r="BK3491">
        <v>0</v>
      </c>
      <c r="BL3491">
        <v>0</v>
      </c>
      <c r="BO3491">
        <v>0</v>
      </c>
      <c r="BP3491">
        <v>0</v>
      </c>
      <c r="BW3491" t="str">
        <f t="shared" si="1625"/>
        <v>14:47:33.219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5</v>
      </c>
      <c r="CP3491" t="s">
        <v>119</v>
      </c>
      <c r="CQ3491">
        <v>358</v>
      </c>
      <c r="CR3491">
        <v>0</v>
      </c>
      <c r="CW3491">
        <v>4993389</v>
      </c>
      <c r="CY3491">
        <v>1</v>
      </c>
      <c r="CZ3491">
        <v>0</v>
      </c>
      <c r="DA3491">
        <v>1</v>
      </c>
      <c r="DB3491">
        <v>0</v>
      </c>
      <c r="DC3491">
        <v>0</v>
      </c>
      <c r="DD3491">
        <v>1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 t="shared" si="1622"/>
        <v>05/12/2020 14:47:15.382</v>
      </c>
      <c r="C3492" t="str">
        <f t="shared" si="1616"/>
        <v>FFDFD3C0</v>
      </c>
      <c r="D3492" t="s">
        <v>138</v>
      </c>
      <c r="E3492">
        <v>2</v>
      </c>
      <c r="H3492">
        <v>8</v>
      </c>
      <c r="I3492" t="s">
        <v>139</v>
      </c>
      <c r="J3492" t="s">
        <v>136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si="1623"/>
        <v>14:47:33.219</v>
      </c>
      <c r="T3492" t="str">
        <f t="shared" si="1624"/>
        <v>14:47:32.819</v>
      </c>
      <c r="U3492" t="str">
        <f t="shared" si="1608"/>
        <v>A9808D</v>
      </c>
      <c r="V3492">
        <v>0</v>
      </c>
      <c r="W3492">
        <v>0</v>
      </c>
      <c r="X3492">
        <v>1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0</v>
      </c>
      <c r="AI3492" t="s">
        <v>819</v>
      </c>
      <c r="AJ3492">
        <v>28.258617000000001</v>
      </c>
      <c r="AK3492" t="s">
        <v>820</v>
      </c>
      <c r="AL3492">
        <v>-82.260175000000004</v>
      </c>
      <c r="AM3492">
        <v>100</v>
      </c>
      <c r="AN3492">
        <v>2300</v>
      </c>
      <c r="AO3492" t="s">
        <v>118</v>
      </c>
      <c r="AP3492">
        <v>-5</v>
      </c>
      <c r="AQ3492">
        <v>138</v>
      </c>
      <c r="AR3492">
        <v>704</v>
      </c>
      <c r="AZ3492">
        <v>1200</v>
      </c>
      <c r="BA3492">
        <v>1</v>
      </c>
      <c r="BB3492" t="str">
        <f t="shared" si="1617"/>
        <v xml:space="preserve">N711JA  </v>
      </c>
      <c r="BC3492">
        <v>1</v>
      </c>
      <c r="BE3492">
        <v>0</v>
      </c>
      <c r="BF3492">
        <v>0</v>
      </c>
      <c r="BG3492">
        <v>0</v>
      </c>
      <c r="BH3492">
        <v>2275</v>
      </c>
      <c r="BI3492">
        <v>1</v>
      </c>
      <c r="BJ3492">
        <v>1</v>
      </c>
      <c r="BK3492">
        <v>0</v>
      </c>
      <c r="BL3492">
        <v>0</v>
      </c>
      <c r="BO3492">
        <v>0</v>
      </c>
      <c r="BP3492">
        <v>0</v>
      </c>
      <c r="BW3492" t="str">
        <f t="shared" si="1625"/>
        <v>14:47:33.219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2</v>
      </c>
      <c r="CP3492" t="s">
        <v>119</v>
      </c>
      <c r="CQ3492">
        <v>11</v>
      </c>
      <c r="CR3492">
        <v>2</v>
      </c>
      <c r="CW3492">
        <v>16091910</v>
      </c>
      <c r="CY3492">
        <v>1</v>
      </c>
      <c r="CZ3492">
        <v>0</v>
      </c>
      <c r="DA3492">
        <v>1</v>
      </c>
      <c r="DB3492">
        <v>0</v>
      </c>
      <c r="DC3492">
        <v>0</v>
      </c>
      <c r="DD3492">
        <v>1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 t="shared" si="1622"/>
        <v>05/12/2020 14:47:15.382</v>
      </c>
      <c r="C3493" t="str">
        <f t="shared" si="1616"/>
        <v>FFDFD3C0</v>
      </c>
      <c r="D3493" t="s">
        <v>138</v>
      </c>
      <c r="E3493">
        <v>3</v>
      </c>
      <c r="H3493">
        <v>9</v>
      </c>
      <c r="I3493" t="s">
        <v>140</v>
      </c>
      <c r="J3493" t="s">
        <v>136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623"/>
        <v>14:47:33.219</v>
      </c>
      <c r="T3493" t="str">
        <f t="shared" si="1624"/>
        <v>14:47:32.819</v>
      </c>
      <c r="U3493" t="str">
        <f t="shared" si="1608"/>
        <v>A9808D</v>
      </c>
      <c r="V3493">
        <v>0</v>
      </c>
      <c r="W3493">
        <v>0</v>
      </c>
      <c r="X3493">
        <v>1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0</v>
      </c>
      <c r="AI3493" t="s">
        <v>819</v>
      </c>
      <c r="AJ3493">
        <v>28.258617000000001</v>
      </c>
      <c r="AK3493" t="s">
        <v>820</v>
      </c>
      <c r="AL3493">
        <v>-82.260175000000004</v>
      </c>
      <c r="AM3493">
        <v>100</v>
      </c>
      <c r="AN3493">
        <v>2300</v>
      </c>
      <c r="AO3493" t="s">
        <v>118</v>
      </c>
      <c r="AP3493">
        <v>-5</v>
      </c>
      <c r="AQ3493">
        <v>138</v>
      </c>
      <c r="AR3493">
        <v>704</v>
      </c>
      <c r="AZ3493">
        <v>1200</v>
      </c>
      <c r="BA3493">
        <v>1</v>
      </c>
      <c r="BB3493" t="str">
        <f t="shared" si="1617"/>
        <v xml:space="preserve">N711JA  </v>
      </c>
      <c r="BC3493">
        <v>1</v>
      </c>
      <c r="BE3493">
        <v>0</v>
      </c>
      <c r="BF3493">
        <v>0</v>
      </c>
      <c r="BG3493">
        <v>0</v>
      </c>
      <c r="BH3493">
        <v>2275</v>
      </c>
      <c r="BI3493">
        <v>1</v>
      </c>
      <c r="BJ3493">
        <v>1</v>
      </c>
      <c r="BK3493">
        <v>0</v>
      </c>
      <c r="BL3493">
        <v>0</v>
      </c>
      <c r="BO3493">
        <v>0</v>
      </c>
      <c r="BP3493">
        <v>0</v>
      </c>
      <c r="BW3493" t="str">
        <f t="shared" si="1625"/>
        <v>14:47:33.219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5</v>
      </c>
      <c r="CP3493" t="s">
        <v>119</v>
      </c>
      <c r="CQ3493">
        <v>358</v>
      </c>
      <c r="CR3493">
        <v>0</v>
      </c>
      <c r="CW3493">
        <v>4993389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1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 t="shared" si="1622"/>
        <v>05/12/2020 14:47:15.382</v>
      </c>
      <c r="C3494" t="str">
        <f t="shared" si="1616"/>
        <v>FFDFD3C0</v>
      </c>
      <c r="D3494" t="s">
        <v>126</v>
      </c>
      <c r="E3494">
        <v>7</v>
      </c>
      <c r="F3494">
        <v>1007</v>
      </c>
      <c r="G3494" t="s">
        <v>127</v>
      </c>
      <c r="J3494" t="s">
        <v>128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si="1623"/>
        <v>14:47:33.219</v>
      </c>
      <c r="T3494" t="str">
        <f t="shared" si="1624"/>
        <v>14:47:32.819</v>
      </c>
      <c r="U3494" t="str">
        <f t="shared" si="1608"/>
        <v>A9808D</v>
      </c>
      <c r="V3494">
        <v>0</v>
      </c>
      <c r="W3494">
        <v>0</v>
      </c>
      <c r="X3494">
        <v>1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0</v>
      </c>
      <c r="AI3494" t="s">
        <v>819</v>
      </c>
      <c r="AJ3494">
        <v>28.258617000000001</v>
      </c>
      <c r="AK3494" t="s">
        <v>820</v>
      </c>
      <c r="AL3494">
        <v>-82.260175000000004</v>
      </c>
      <c r="AM3494">
        <v>100</v>
      </c>
      <c r="AN3494">
        <v>2300</v>
      </c>
      <c r="AO3494" t="s">
        <v>118</v>
      </c>
      <c r="AP3494">
        <v>-5</v>
      </c>
      <c r="AQ3494">
        <v>138</v>
      </c>
      <c r="AR3494">
        <v>704</v>
      </c>
      <c r="AZ3494">
        <v>1200</v>
      </c>
      <c r="BA3494">
        <v>1</v>
      </c>
      <c r="BB3494" t="str">
        <f t="shared" si="1617"/>
        <v xml:space="preserve">N711JA  </v>
      </c>
      <c r="BC3494">
        <v>1</v>
      </c>
      <c r="BE3494">
        <v>0</v>
      </c>
      <c r="BF3494">
        <v>0</v>
      </c>
      <c r="BG3494">
        <v>0</v>
      </c>
      <c r="BH3494">
        <v>2275</v>
      </c>
      <c r="BI3494">
        <v>1</v>
      </c>
      <c r="BJ3494">
        <v>1</v>
      </c>
      <c r="BK3494">
        <v>0</v>
      </c>
      <c r="BL3494">
        <v>0</v>
      </c>
      <c r="BO3494">
        <v>0</v>
      </c>
      <c r="BP3494">
        <v>0</v>
      </c>
      <c r="BW3494" t="str">
        <f t="shared" si="1625"/>
        <v>14:47:33.219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5</v>
      </c>
      <c r="CP3494" t="s">
        <v>119</v>
      </c>
      <c r="CQ3494">
        <v>358</v>
      </c>
      <c r="CR3494">
        <v>0</v>
      </c>
      <c r="CW3494">
        <v>4993389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1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 t="shared" si="1622"/>
        <v>05/12/2020 14:47:15.382</v>
      </c>
      <c r="C3495" t="str">
        <f t="shared" si="1616"/>
        <v>FFDFD3C0</v>
      </c>
      <c r="D3495" t="s">
        <v>131</v>
      </c>
      <c r="E3495">
        <v>10</v>
      </c>
      <c r="F3495">
        <v>2010</v>
      </c>
      <c r="G3495" t="s">
        <v>132</v>
      </c>
      <c r="J3495" t="s">
        <v>133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623"/>
        <v>14:47:33.219</v>
      </c>
      <c r="T3495" t="str">
        <f t="shared" si="1624"/>
        <v>14:47:32.819</v>
      </c>
      <c r="U3495" t="str">
        <f t="shared" si="1608"/>
        <v>A9808D</v>
      </c>
      <c r="V3495">
        <v>0</v>
      </c>
      <c r="W3495">
        <v>0</v>
      </c>
      <c r="X3495">
        <v>1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0</v>
      </c>
      <c r="AI3495" t="s">
        <v>819</v>
      </c>
      <c r="AJ3495">
        <v>28.258617000000001</v>
      </c>
      <c r="AK3495" t="s">
        <v>820</v>
      </c>
      <c r="AL3495">
        <v>-82.260175000000004</v>
      </c>
      <c r="AM3495">
        <v>100</v>
      </c>
      <c r="AN3495">
        <v>2300</v>
      </c>
      <c r="AO3495" t="s">
        <v>118</v>
      </c>
      <c r="AP3495">
        <v>-5</v>
      </c>
      <c r="AQ3495">
        <v>138</v>
      </c>
      <c r="AR3495">
        <v>704</v>
      </c>
      <c r="AZ3495">
        <v>1200</v>
      </c>
      <c r="BA3495">
        <v>1</v>
      </c>
      <c r="BB3495" t="str">
        <f t="shared" si="1617"/>
        <v xml:space="preserve">N711JA  </v>
      </c>
      <c r="BC3495">
        <v>1</v>
      </c>
      <c r="BE3495">
        <v>0</v>
      </c>
      <c r="BF3495">
        <v>0</v>
      </c>
      <c r="BG3495">
        <v>0</v>
      </c>
      <c r="BH3495">
        <v>2275</v>
      </c>
      <c r="BI3495">
        <v>1</v>
      </c>
      <c r="BJ3495">
        <v>1</v>
      </c>
      <c r="BK3495">
        <v>0</v>
      </c>
      <c r="BL3495">
        <v>0</v>
      </c>
      <c r="BO3495">
        <v>0</v>
      </c>
      <c r="BP3495">
        <v>0</v>
      </c>
      <c r="BW3495" t="str">
        <f t="shared" si="1625"/>
        <v>14:47:33.219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5</v>
      </c>
      <c r="CP3495" t="s">
        <v>119</v>
      </c>
      <c r="CQ3495">
        <v>358</v>
      </c>
      <c r="CR3495">
        <v>0</v>
      </c>
      <c r="CW3495">
        <v>4993389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1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 t="shared" si="1622"/>
        <v>05/12/2020 14:47:15.382</v>
      </c>
      <c r="C3496" t="str">
        <f t="shared" si="1616"/>
        <v>FFDFD3C0</v>
      </c>
      <c r="D3496" t="s">
        <v>131</v>
      </c>
      <c r="E3496">
        <v>12</v>
      </c>
      <c r="F3496">
        <v>2012</v>
      </c>
      <c r="G3496" t="s">
        <v>137</v>
      </c>
      <c r="J3496" t="s">
        <v>133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si="1623"/>
        <v>14:47:33.219</v>
      </c>
      <c r="T3496" t="str">
        <f t="shared" si="1624"/>
        <v>14:47:32.819</v>
      </c>
      <c r="U3496" t="str">
        <f t="shared" si="1608"/>
        <v>A9808D</v>
      </c>
      <c r="V3496">
        <v>0</v>
      </c>
      <c r="W3496">
        <v>0</v>
      </c>
      <c r="X3496">
        <v>1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0</v>
      </c>
      <c r="AI3496" t="s">
        <v>819</v>
      </c>
      <c r="AJ3496">
        <v>28.258617000000001</v>
      </c>
      <c r="AK3496" t="s">
        <v>820</v>
      </c>
      <c r="AL3496">
        <v>-82.260175000000004</v>
      </c>
      <c r="AM3496">
        <v>100</v>
      </c>
      <c r="AN3496">
        <v>2300</v>
      </c>
      <c r="AO3496" t="s">
        <v>118</v>
      </c>
      <c r="AP3496">
        <v>-5</v>
      </c>
      <c r="AQ3496">
        <v>138</v>
      </c>
      <c r="AR3496">
        <v>704</v>
      </c>
      <c r="AZ3496">
        <v>1200</v>
      </c>
      <c r="BA3496">
        <v>1</v>
      </c>
      <c r="BB3496" t="str">
        <f t="shared" si="1617"/>
        <v xml:space="preserve">N711JA  </v>
      </c>
      <c r="BC3496">
        <v>1</v>
      </c>
      <c r="BE3496">
        <v>0</v>
      </c>
      <c r="BF3496">
        <v>0</v>
      </c>
      <c r="BG3496">
        <v>0</v>
      </c>
      <c r="BH3496">
        <v>2275</v>
      </c>
      <c r="BI3496">
        <v>1</v>
      </c>
      <c r="BJ3496">
        <v>1</v>
      </c>
      <c r="BK3496">
        <v>0</v>
      </c>
      <c r="BL3496">
        <v>0</v>
      </c>
      <c r="BO3496">
        <v>0</v>
      </c>
      <c r="BP3496">
        <v>0</v>
      </c>
      <c r="BW3496" t="str">
        <f t="shared" si="1625"/>
        <v>14:47:33.219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2</v>
      </c>
      <c r="CP3496" t="s">
        <v>119</v>
      </c>
      <c r="CQ3496">
        <v>11</v>
      </c>
      <c r="CR3496">
        <v>2</v>
      </c>
      <c r="CW3496">
        <v>16091910</v>
      </c>
      <c r="CY3496">
        <v>1</v>
      </c>
      <c r="CZ3496">
        <v>0</v>
      </c>
      <c r="DA3496">
        <v>1</v>
      </c>
      <c r="DB3496">
        <v>0</v>
      </c>
      <c r="DC3496">
        <v>0</v>
      </c>
      <c r="DD3496">
        <v>1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 t="shared" si="1622"/>
        <v>05/12/2020 14:47:15.382</v>
      </c>
      <c r="C3497" t="str">
        <f t="shared" si="1616"/>
        <v>FFDFD3C0</v>
      </c>
      <c r="D3497" t="s">
        <v>131</v>
      </c>
      <c r="E3497">
        <v>18</v>
      </c>
      <c r="F3497">
        <v>2018</v>
      </c>
      <c r="G3497" t="s">
        <v>161</v>
      </c>
      <c r="J3497" t="s">
        <v>133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si="1623"/>
        <v>14:47:33.219</v>
      </c>
      <c r="T3497" t="str">
        <f t="shared" si="1624"/>
        <v>14:47:32.819</v>
      </c>
      <c r="U3497" t="str">
        <f t="shared" si="1608"/>
        <v>A9808D</v>
      </c>
      <c r="V3497">
        <v>0</v>
      </c>
      <c r="W3497">
        <v>0</v>
      </c>
      <c r="X3497">
        <v>1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0</v>
      </c>
      <c r="AI3497" t="s">
        <v>819</v>
      </c>
      <c r="AJ3497">
        <v>28.258617000000001</v>
      </c>
      <c r="AK3497" t="s">
        <v>820</v>
      </c>
      <c r="AL3497">
        <v>-82.260175000000004</v>
      </c>
      <c r="AM3497">
        <v>100</v>
      </c>
      <c r="AN3497">
        <v>2300</v>
      </c>
      <c r="AO3497" t="s">
        <v>118</v>
      </c>
      <c r="AP3497">
        <v>-5</v>
      </c>
      <c r="AQ3497">
        <v>138</v>
      </c>
      <c r="AR3497">
        <v>704</v>
      </c>
      <c r="AZ3497">
        <v>1200</v>
      </c>
      <c r="BA3497">
        <v>1</v>
      </c>
      <c r="BB3497" t="str">
        <f t="shared" si="1617"/>
        <v xml:space="preserve">N711JA  </v>
      </c>
      <c r="BC3497">
        <v>1</v>
      </c>
      <c r="BE3497">
        <v>0</v>
      </c>
      <c r="BF3497">
        <v>0</v>
      </c>
      <c r="BG3497">
        <v>0</v>
      </c>
      <c r="BH3497">
        <v>2275</v>
      </c>
      <c r="BI3497">
        <v>1</v>
      </c>
      <c r="BJ3497">
        <v>1</v>
      </c>
      <c r="BK3497">
        <v>0</v>
      </c>
      <c r="BL3497">
        <v>0</v>
      </c>
      <c r="BO3497">
        <v>0</v>
      </c>
      <c r="BP3497">
        <v>0</v>
      </c>
      <c r="BW3497" t="str">
        <f t="shared" si="1625"/>
        <v>14:47:33.219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5</v>
      </c>
      <c r="CP3497" t="s">
        <v>119</v>
      </c>
      <c r="CQ3497">
        <v>62</v>
      </c>
      <c r="CR3497">
        <v>1</v>
      </c>
      <c r="CW3497">
        <v>12929417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1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 t="shared" ref="A3498:A3506" si="1626">"05/12/2020 14:47:16.237"</f>
        <v>05/12/2020 14:47:16.237</v>
      </c>
      <c r="C3498" t="str">
        <f t="shared" si="1616"/>
        <v>FFDFD3C0</v>
      </c>
      <c r="D3498" t="s">
        <v>126</v>
      </c>
      <c r="E3498">
        <v>6</v>
      </c>
      <c r="F3498">
        <v>1006</v>
      </c>
      <c r="G3498" t="s">
        <v>114</v>
      </c>
      <c r="J3498" t="s">
        <v>128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ref="S3498:S3506" si="1627">"14:47:34.078"</f>
        <v>14:47:34.078</v>
      </c>
      <c r="T3498" t="str">
        <f>"14:47:33.878"</f>
        <v>14:47:33.878</v>
      </c>
      <c r="U3498" t="str">
        <f t="shared" si="1608"/>
        <v>A9808D</v>
      </c>
      <c r="V3498">
        <v>0</v>
      </c>
      <c r="W3498">
        <v>0</v>
      </c>
      <c r="X3498">
        <v>1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0</v>
      </c>
      <c r="AI3498" t="s">
        <v>821</v>
      </c>
      <c r="AJ3498">
        <v>28.259132000000001</v>
      </c>
      <c r="AK3498" t="s">
        <v>813</v>
      </c>
      <c r="AL3498">
        <v>-82.260238999999999</v>
      </c>
      <c r="AM3498">
        <v>100</v>
      </c>
      <c r="AN3498">
        <v>2300</v>
      </c>
      <c r="AO3498" t="s">
        <v>118</v>
      </c>
      <c r="AP3498">
        <v>-10</v>
      </c>
      <c r="AQ3498">
        <v>137</v>
      </c>
      <c r="AR3498">
        <v>832</v>
      </c>
      <c r="AZ3498">
        <v>1200</v>
      </c>
      <c r="BA3498">
        <v>1</v>
      </c>
      <c r="BB3498" t="str">
        <f t="shared" si="1617"/>
        <v xml:space="preserve">N711JA  </v>
      </c>
      <c r="BC3498">
        <v>1</v>
      </c>
      <c r="BE3498">
        <v>0</v>
      </c>
      <c r="BF3498">
        <v>0</v>
      </c>
      <c r="BG3498">
        <v>0</v>
      </c>
      <c r="BH3498">
        <v>2300</v>
      </c>
      <c r="BI3498">
        <v>1</v>
      </c>
      <c r="BJ3498">
        <v>1</v>
      </c>
      <c r="BK3498">
        <v>0</v>
      </c>
      <c r="BL3498">
        <v>0</v>
      </c>
      <c r="BO3498">
        <v>0</v>
      </c>
      <c r="BP3498">
        <v>0</v>
      </c>
      <c r="BW3498" t="str">
        <f t="shared" ref="BW3498:BW3506" si="1628">"14:47:34.085"</f>
        <v>14:47:34.085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5</v>
      </c>
      <c r="CP3498" t="s">
        <v>119</v>
      </c>
      <c r="CQ3498">
        <v>62</v>
      </c>
      <c r="CR3498">
        <v>1</v>
      </c>
      <c r="CW3498">
        <v>12930387</v>
      </c>
      <c r="CY3498">
        <v>1</v>
      </c>
      <c r="CZ3498">
        <v>0</v>
      </c>
      <c r="DA3498">
        <v>0</v>
      </c>
      <c r="DB3498">
        <v>0</v>
      </c>
      <c r="DC3498">
        <v>0</v>
      </c>
      <c r="DD3498">
        <v>1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 t="shared" si="1626"/>
        <v>05/12/2020 14:47:16.237</v>
      </c>
      <c r="C3499" t="str">
        <f t="shared" si="1616"/>
        <v>FFDFD3C0</v>
      </c>
      <c r="D3499" t="s">
        <v>113</v>
      </c>
      <c r="E3499">
        <v>3</v>
      </c>
      <c r="H3499">
        <v>164</v>
      </c>
      <c r="I3499" t="s">
        <v>114</v>
      </c>
      <c r="J3499" t="s">
        <v>115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1627"/>
        <v>14:47:34.078</v>
      </c>
      <c r="T3499" t="str">
        <f>"14:47:33.878"</f>
        <v>14:47:33.878</v>
      </c>
      <c r="U3499" t="str">
        <f t="shared" si="1608"/>
        <v>A9808D</v>
      </c>
      <c r="V3499">
        <v>0</v>
      </c>
      <c r="W3499">
        <v>0</v>
      </c>
      <c r="X3499">
        <v>1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0</v>
      </c>
      <c r="AI3499" t="s">
        <v>821</v>
      </c>
      <c r="AJ3499">
        <v>28.259132000000001</v>
      </c>
      <c r="AK3499" t="s">
        <v>813</v>
      </c>
      <c r="AL3499">
        <v>-82.260238999999999</v>
      </c>
      <c r="AM3499">
        <v>100</v>
      </c>
      <c r="AN3499">
        <v>2300</v>
      </c>
      <c r="AO3499" t="s">
        <v>118</v>
      </c>
      <c r="AP3499">
        <v>-10</v>
      </c>
      <c r="AQ3499">
        <v>137</v>
      </c>
      <c r="AR3499">
        <v>832</v>
      </c>
      <c r="AZ3499">
        <v>1200</v>
      </c>
      <c r="BA3499">
        <v>1</v>
      </c>
      <c r="BB3499" t="str">
        <f t="shared" si="1617"/>
        <v xml:space="preserve">N711JA  </v>
      </c>
      <c r="BC3499">
        <v>1</v>
      </c>
      <c r="BE3499">
        <v>0</v>
      </c>
      <c r="BF3499">
        <v>0</v>
      </c>
      <c r="BG3499">
        <v>0</v>
      </c>
      <c r="BH3499">
        <v>2300</v>
      </c>
      <c r="BI3499">
        <v>1</v>
      </c>
      <c r="BJ3499">
        <v>1</v>
      </c>
      <c r="BK3499">
        <v>0</v>
      </c>
      <c r="BL3499">
        <v>0</v>
      </c>
      <c r="BO3499">
        <v>0</v>
      </c>
      <c r="BP3499">
        <v>0</v>
      </c>
      <c r="BW3499" t="str">
        <f t="shared" si="1628"/>
        <v>14:47:34.085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5</v>
      </c>
      <c r="CP3499" t="s">
        <v>119</v>
      </c>
      <c r="CQ3499">
        <v>62</v>
      </c>
      <c r="CR3499">
        <v>1</v>
      </c>
      <c r="CW3499">
        <v>12930387</v>
      </c>
      <c r="CY3499">
        <v>1</v>
      </c>
      <c r="CZ3499">
        <v>0</v>
      </c>
      <c r="DA3499">
        <v>1</v>
      </c>
      <c r="DB3499">
        <v>0</v>
      </c>
      <c r="DC3499">
        <v>0</v>
      </c>
      <c r="DD3499">
        <v>1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 t="shared" si="1626"/>
        <v>05/12/2020 14:47:16.237</v>
      </c>
      <c r="C3500" t="str">
        <f t="shared" si="1616"/>
        <v>FFDFD3C0</v>
      </c>
      <c r="D3500" t="s">
        <v>134</v>
      </c>
      <c r="E3500">
        <v>12</v>
      </c>
      <c r="H3500">
        <v>64</v>
      </c>
      <c r="I3500" t="s">
        <v>135</v>
      </c>
      <c r="J3500" t="s">
        <v>136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1627"/>
        <v>14:47:34.078</v>
      </c>
      <c r="T3500" t="str">
        <f>"14:47:33.478"</f>
        <v>14:47:33.478</v>
      </c>
      <c r="U3500" t="str">
        <f t="shared" si="1608"/>
        <v>A9808D</v>
      </c>
      <c r="V3500">
        <v>0</v>
      </c>
      <c r="W3500">
        <v>0</v>
      </c>
      <c r="X3500">
        <v>1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0</v>
      </c>
      <c r="AI3500" t="s">
        <v>821</v>
      </c>
      <c r="AJ3500">
        <v>28.259132000000001</v>
      </c>
      <c r="AK3500" t="s">
        <v>813</v>
      </c>
      <c r="AL3500">
        <v>-82.260238999999999</v>
      </c>
      <c r="AM3500">
        <v>100</v>
      </c>
      <c r="AN3500">
        <v>2300</v>
      </c>
      <c r="AO3500" t="s">
        <v>118</v>
      </c>
      <c r="AP3500">
        <v>-7</v>
      </c>
      <c r="AQ3500">
        <v>138</v>
      </c>
      <c r="AR3500">
        <v>768</v>
      </c>
      <c r="AZ3500">
        <v>1200</v>
      </c>
      <c r="BA3500">
        <v>1</v>
      </c>
      <c r="BB3500" t="str">
        <f t="shared" si="1617"/>
        <v xml:space="preserve">N711JA  </v>
      </c>
      <c r="BC3500">
        <v>1</v>
      </c>
      <c r="BE3500">
        <v>0</v>
      </c>
      <c r="BF3500">
        <v>0</v>
      </c>
      <c r="BG3500">
        <v>0</v>
      </c>
      <c r="BH3500">
        <v>2275</v>
      </c>
      <c r="BI3500">
        <v>1</v>
      </c>
      <c r="BJ3500">
        <v>1</v>
      </c>
      <c r="BK3500">
        <v>0</v>
      </c>
      <c r="BL3500">
        <v>0</v>
      </c>
      <c r="BO3500">
        <v>0</v>
      </c>
      <c r="BP3500">
        <v>0</v>
      </c>
      <c r="BW3500" t="str">
        <f t="shared" si="1628"/>
        <v>14:47:34.085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5</v>
      </c>
      <c r="CP3500" t="s">
        <v>119</v>
      </c>
      <c r="CQ3500">
        <v>358</v>
      </c>
      <c r="CR3500">
        <v>0</v>
      </c>
      <c r="CW3500">
        <v>4994507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1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 t="shared" si="1626"/>
        <v>05/12/2020 14:47:16.237</v>
      </c>
      <c r="C3501" t="str">
        <f t="shared" si="1616"/>
        <v>FFDFD3C0</v>
      </c>
      <c r="D3501" t="s">
        <v>138</v>
      </c>
      <c r="E3501">
        <v>2</v>
      </c>
      <c r="H3501">
        <v>8</v>
      </c>
      <c r="I3501" t="s">
        <v>139</v>
      </c>
      <c r="J3501" t="s">
        <v>136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1627"/>
        <v>14:47:34.078</v>
      </c>
      <c r="T3501" t="str">
        <f>"14:47:33.478"</f>
        <v>14:47:33.478</v>
      </c>
      <c r="U3501" t="str">
        <f t="shared" si="1608"/>
        <v>A9808D</v>
      </c>
      <c r="V3501">
        <v>0</v>
      </c>
      <c r="W3501">
        <v>0</v>
      </c>
      <c r="X3501">
        <v>1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0</v>
      </c>
      <c r="AI3501" t="s">
        <v>821</v>
      </c>
      <c r="AJ3501">
        <v>28.259132000000001</v>
      </c>
      <c r="AK3501" t="s">
        <v>813</v>
      </c>
      <c r="AL3501">
        <v>-82.260238999999999</v>
      </c>
      <c r="AM3501">
        <v>100</v>
      </c>
      <c r="AN3501">
        <v>2300</v>
      </c>
      <c r="AO3501" t="s">
        <v>118</v>
      </c>
      <c r="AP3501">
        <v>-7</v>
      </c>
      <c r="AQ3501">
        <v>138</v>
      </c>
      <c r="AR3501">
        <v>768</v>
      </c>
      <c r="AZ3501">
        <v>1200</v>
      </c>
      <c r="BA3501">
        <v>1</v>
      </c>
      <c r="BB3501" t="str">
        <f t="shared" si="1617"/>
        <v xml:space="preserve">N711JA  </v>
      </c>
      <c r="BC3501">
        <v>1</v>
      </c>
      <c r="BE3501">
        <v>0</v>
      </c>
      <c r="BF3501">
        <v>0</v>
      </c>
      <c r="BG3501">
        <v>0</v>
      </c>
      <c r="BH3501">
        <v>2275</v>
      </c>
      <c r="BI3501">
        <v>1</v>
      </c>
      <c r="BJ3501">
        <v>1</v>
      </c>
      <c r="BK3501">
        <v>0</v>
      </c>
      <c r="BL3501">
        <v>0</v>
      </c>
      <c r="BO3501">
        <v>0</v>
      </c>
      <c r="BP3501">
        <v>0</v>
      </c>
      <c r="BW3501" t="str">
        <f t="shared" si="1628"/>
        <v>14:47:34.085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2</v>
      </c>
      <c r="CP3501" t="s">
        <v>675</v>
      </c>
      <c r="CQ3501">
        <v>363</v>
      </c>
      <c r="CR3501">
        <v>0</v>
      </c>
      <c r="CW3501">
        <v>6521928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1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 t="shared" si="1626"/>
        <v>05/12/2020 14:47:16.237</v>
      </c>
      <c r="C3502" t="str">
        <f t="shared" si="1616"/>
        <v>FFDFD3C0</v>
      </c>
      <c r="D3502" t="s">
        <v>138</v>
      </c>
      <c r="E3502">
        <v>3</v>
      </c>
      <c r="H3502">
        <v>9</v>
      </c>
      <c r="I3502" t="s">
        <v>140</v>
      </c>
      <c r="J3502" t="s">
        <v>136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si="1627"/>
        <v>14:47:34.078</v>
      </c>
      <c r="T3502" t="str">
        <f>"14:47:33.478"</f>
        <v>14:47:33.478</v>
      </c>
      <c r="U3502" t="str">
        <f t="shared" si="1608"/>
        <v>A9808D</v>
      </c>
      <c r="V3502">
        <v>0</v>
      </c>
      <c r="W3502">
        <v>0</v>
      </c>
      <c r="X3502">
        <v>1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0</v>
      </c>
      <c r="AI3502" t="s">
        <v>821</v>
      </c>
      <c r="AJ3502">
        <v>28.259132000000001</v>
      </c>
      <c r="AK3502" t="s">
        <v>813</v>
      </c>
      <c r="AL3502">
        <v>-82.260238999999999</v>
      </c>
      <c r="AM3502">
        <v>100</v>
      </c>
      <c r="AN3502">
        <v>2300</v>
      </c>
      <c r="AO3502" t="s">
        <v>118</v>
      </c>
      <c r="AP3502">
        <v>-7</v>
      </c>
      <c r="AQ3502">
        <v>138</v>
      </c>
      <c r="AR3502">
        <v>768</v>
      </c>
      <c r="AZ3502">
        <v>1200</v>
      </c>
      <c r="BA3502">
        <v>1</v>
      </c>
      <c r="BB3502" t="str">
        <f t="shared" si="1617"/>
        <v xml:space="preserve">N711JA  </v>
      </c>
      <c r="BC3502">
        <v>1</v>
      </c>
      <c r="BE3502">
        <v>0</v>
      </c>
      <c r="BF3502">
        <v>0</v>
      </c>
      <c r="BG3502">
        <v>0</v>
      </c>
      <c r="BH3502">
        <v>2275</v>
      </c>
      <c r="BI3502">
        <v>1</v>
      </c>
      <c r="BJ3502">
        <v>1</v>
      </c>
      <c r="BK3502">
        <v>0</v>
      </c>
      <c r="BL3502">
        <v>0</v>
      </c>
      <c r="BO3502">
        <v>0</v>
      </c>
      <c r="BP3502">
        <v>0</v>
      </c>
      <c r="BW3502" t="str">
        <f t="shared" si="1628"/>
        <v>14:47:34.085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5</v>
      </c>
      <c r="CP3502" t="s">
        <v>119</v>
      </c>
      <c r="CQ3502">
        <v>358</v>
      </c>
      <c r="CR3502">
        <v>0</v>
      </c>
      <c r="CW3502">
        <v>4994507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1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 t="shared" si="1626"/>
        <v>05/12/2020 14:47:16.237</v>
      </c>
      <c r="C3503" t="str">
        <f t="shared" si="1616"/>
        <v>FFDFD3C0</v>
      </c>
      <c r="D3503" t="s">
        <v>126</v>
      </c>
      <c r="E3503">
        <v>7</v>
      </c>
      <c r="F3503">
        <v>1007</v>
      </c>
      <c r="G3503" t="s">
        <v>127</v>
      </c>
      <c r="J3503" t="s">
        <v>128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627"/>
        <v>14:47:34.078</v>
      </c>
      <c r="T3503" t="str">
        <f>"14:47:33.878"</f>
        <v>14:47:33.878</v>
      </c>
      <c r="U3503" t="str">
        <f t="shared" si="1608"/>
        <v>A9808D</v>
      </c>
      <c r="V3503">
        <v>0</v>
      </c>
      <c r="W3503">
        <v>0</v>
      </c>
      <c r="X3503">
        <v>1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0</v>
      </c>
      <c r="AI3503" t="s">
        <v>821</v>
      </c>
      <c r="AJ3503">
        <v>28.259132000000001</v>
      </c>
      <c r="AK3503" t="s">
        <v>813</v>
      </c>
      <c r="AL3503">
        <v>-82.260238999999999</v>
      </c>
      <c r="AM3503">
        <v>100</v>
      </c>
      <c r="AN3503">
        <v>2300</v>
      </c>
      <c r="AO3503" t="s">
        <v>118</v>
      </c>
      <c r="AP3503">
        <v>-10</v>
      </c>
      <c r="AQ3503">
        <v>137</v>
      </c>
      <c r="AR3503">
        <v>832</v>
      </c>
      <c r="AZ3503">
        <v>1200</v>
      </c>
      <c r="BA3503">
        <v>1</v>
      </c>
      <c r="BB3503" t="str">
        <f t="shared" si="1617"/>
        <v xml:space="preserve">N711JA  </v>
      </c>
      <c r="BC3503">
        <v>1</v>
      </c>
      <c r="BE3503">
        <v>0</v>
      </c>
      <c r="BF3503">
        <v>0</v>
      </c>
      <c r="BG3503">
        <v>0</v>
      </c>
      <c r="BH3503">
        <v>2300</v>
      </c>
      <c r="BI3503">
        <v>1</v>
      </c>
      <c r="BJ3503">
        <v>1</v>
      </c>
      <c r="BK3503">
        <v>0</v>
      </c>
      <c r="BL3503">
        <v>0</v>
      </c>
      <c r="BO3503">
        <v>0</v>
      </c>
      <c r="BP3503">
        <v>0</v>
      </c>
      <c r="BW3503" t="str">
        <f t="shared" si="1628"/>
        <v>14:47:34.085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5</v>
      </c>
      <c r="CP3503" t="s">
        <v>119</v>
      </c>
      <c r="CQ3503">
        <v>62</v>
      </c>
      <c r="CR3503">
        <v>1</v>
      </c>
      <c r="CW3503">
        <v>12930387</v>
      </c>
      <c r="CY3503">
        <v>1</v>
      </c>
      <c r="CZ3503">
        <v>0</v>
      </c>
      <c r="DA3503">
        <v>1</v>
      </c>
      <c r="DB3503">
        <v>0</v>
      </c>
      <c r="DC3503">
        <v>0</v>
      </c>
      <c r="DD3503">
        <v>1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 t="shared" si="1626"/>
        <v>05/12/2020 14:47:16.237</v>
      </c>
      <c r="C3504" t="str">
        <f t="shared" si="1616"/>
        <v>FFDFD3C0</v>
      </c>
      <c r="D3504" t="s">
        <v>131</v>
      </c>
      <c r="E3504">
        <v>12</v>
      </c>
      <c r="F3504">
        <v>2012</v>
      </c>
      <c r="G3504" t="s">
        <v>137</v>
      </c>
      <c r="J3504" t="s">
        <v>133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627"/>
        <v>14:47:34.078</v>
      </c>
      <c r="T3504" t="str">
        <f>"14:47:33.478"</f>
        <v>14:47:33.478</v>
      </c>
      <c r="U3504" t="str">
        <f t="shared" si="1608"/>
        <v>A9808D</v>
      </c>
      <c r="V3504">
        <v>0</v>
      </c>
      <c r="W3504">
        <v>0</v>
      </c>
      <c r="X3504">
        <v>1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0</v>
      </c>
      <c r="AI3504" t="s">
        <v>821</v>
      </c>
      <c r="AJ3504">
        <v>28.259132000000001</v>
      </c>
      <c r="AK3504" t="s">
        <v>813</v>
      </c>
      <c r="AL3504">
        <v>-82.260238999999999</v>
      </c>
      <c r="AM3504">
        <v>100</v>
      </c>
      <c r="AN3504">
        <v>2300</v>
      </c>
      <c r="AO3504" t="s">
        <v>118</v>
      </c>
      <c r="AP3504">
        <v>-7</v>
      </c>
      <c r="AQ3504">
        <v>138</v>
      </c>
      <c r="AR3504">
        <v>768</v>
      </c>
      <c r="AZ3504">
        <v>1200</v>
      </c>
      <c r="BA3504">
        <v>1</v>
      </c>
      <c r="BB3504" t="str">
        <f t="shared" si="1617"/>
        <v xml:space="preserve">N711JA  </v>
      </c>
      <c r="BC3504">
        <v>1</v>
      </c>
      <c r="BE3504">
        <v>0</v>
      </c>
      <c r="BF3504">
        <v>0</v>
      </c>
      <c r="BG3504">
        <v>0</v>
      </c>
      <c r="BH3504">
        <v>2275</v>
      </c>
      <c r="BI3504">
        <v>1</v>
      </c>
      <c r="BJ3504">
        <v>1</v>
      </c>
      <c r="BK3504">
        <v>0</v>
      </c>
      <c r="BL3504">
        <v>0</v>
      </c>
      <c r="BO3504">
        <v>0</v>
      </c>
      <c r="BP3504">
        <v>0</v>
      </c>
      <c r="BW3504" t="str">
        <f t="shared" si="1628"/>
        <v>14:47:34.085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2</v>
      </c>
      <c r="CP3504" t="s">
        <v>675</v>
      </c>
      <c r="CQ3504">
        <v>363</v>
      </c>
      <c r="CR3504">
        <v>0</v>
      </c>
      <c r="CW3504">
        <v>6521928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1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 t="shared" si="1626"/>
        <v>05/12/2020 14:47:16.237</v>
      </c>
      <c r="C3505" t="str">
        <f t="shared" si="1616"/>
        <v>FFDFD3C0</v>
      </c>
      <c r="D3505" t="s">
        <v>131</v>
      </c>
      <c r="E3505">
        <v>10</v>
      </c>
      <c r="F3505">
        <v>2010</v>
      </c>
      <c r="G3505" t="s">
        <v>132</v>
      </c>
      <c r="J3505" t="s">
        <v>133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627"/>
        <v>14:47:34.078</v>
      </c>
      <c r="T3505" t="str">
        <f>"14:47:33.478"</f>
        <v>14:47:33.478</v>
      </c>
      <c r="U3505" t="str">
        <f t="shared" si="1608"/>
        <v>A9808D</v>
      </c>
      <c r="V3505">
        <v>0</v>
      </c>
      <c r="W3505">
        <v>0</v>
      </c>
      <c r="X3505">
        <v>1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0</v>
      </c>
      <c r="AI3505" t="s">
        <v>821</v>
      </c>
      <c r="AJ3505">
        <v>28.259132000000001</v>
      </c>
      <c r="AK3505" t="s">
        <v>813</v>
      </c>
      <c r="AL3505">
        <v>-82.260238999999999</v>
      </c>
      <c r="AM3505">
        <v>100</v>
      </c>
      <c r="AN3505">
        <v>2300</v>
      </c>
      <c r="AO3505" t="s">
        <v>118</v>
      </c>
      <c r="AP3505">
        <v>-7</v>
      </c>
      <c r="AQ3505">
        <v>138</v>
      </c>
      <c r="AR3505">
        <v>768</v>
      </c>
      <c r="AZ3505">
        <v>1200</v>
      </c>
      <c r="BA3505">
        <v>1</v>
      </c>
      <c r="BB3505" t="str">
        <f t="shared" si="1617"/>
        <v xml:space="preserve">N711JA  </v>
      </c>
      <c r="BC3505">
        <v>1</v>
      </c>
      <c r="BE3505">
        <v>0</v>
      </c>
      <c r="BF3505">
        <v>0</v>
      </c>
      <c r="BG3505">
        <v>0</v>
      </c>
      <c r="BH3505">
        <v>2275</v>
      </c>
      <c r="BI3505">
        <v>1</v>
      </c>
      <c r="BJ3505">
        <v>1</v>
      </c>
      <c r="BK3505">
        <v>0</v>
      </c>
      <c r="BL3505">
        <v>0</v>
      </c>
      <c r="BO3505">
        <v>0</v>
      </c>
      <c r="BP3505">
        <v>0</v>
      </c>
      <c r="BW3505" t="str">
        <f t="shared" si="1628"/>
        <v>14:47:34.085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5</v>
      </c>
      <c r="CP3505" t="s">
        <v>119</v>
      </c>
      <c r="CQ3505">
        <v>358</v>
      </c>
      <c r="CR3505">
        <v>0</v>
      </c>
      <c r="CW3505">
        <v>4994507</v>
      </c>
      <c r="CY3505">
        <v>1</v>
      </c>
      <c r="CZ3505">
        <v>0</v>
      </c>
      <c r="DA3505">
        <v>1</v>
      </c>
      <c r="DB3505">
        <v>0</v>
      </c>
      <c r="DC3505">
        <v>0</v>
      </c>
      <c r="DD3505">
        <v>1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 t="shared" si="1626"/>
        <v>05/12/2020 14:47:16.237</v>
      </c>
      <c r="C3506" t="str">
        <f t="shared" si="1616"/>
        <v>FFDFD3C0</v>
      </c>
      <c r="D3506" t="s">
        <v>131</v>
      </c>
      <c r="E3506">
        <v>18</v>
      </c>
      <c r="F3506">
        <v>2018</v>
      </c>
      <c r="G3506" t="s">
        <v>161</v>
      </c>
      <c r="J3506" t="s">
        <v>133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si="1627"/>
        <v>14:47:34.078</v>
      </c>
      <c r="T3506" t="str">
        <f>"14:47:33.878"</f>
        <v>14:47:33.878</v>
      </c>
      <c r="U3506" t="str">
        <f t="shared" si="1608"/>
        <v>A9808D</v>
      </c>
      <c r="V3506">
        <v>0</v>
      </c>
      <c r="W3506">
        <v>0</v>
      </c>
      <c r="X3506">
        <v>1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0</v>
      </c>
      <c r="AI3506" t="s">
        <v>821</v>
      </c>
      <c r="AJ3506">
        <v>28.259132000000001</v>
      </c>
      <c r="AK3506" t="s">
        <v>813</v>
      </c>
      <c r="AL3506">
        <v>-82.260238999999999</v>
      </c>
      <c r="AM3506">
        <v>100</v>
      </c>
      <c r="AN3506">
        <v>2300</v>
      </c>
      <c r="AO3506" t="s">
        <v>118</v>
      </c>
      <c r="AP3506">
        <v>-10</v>
      </c>
      <c r="AQ3506">
        <v>137</v>
      </c>
      <c r="AR3506">
        <v>832</v>
      </c>
      <c r="AZ3506">
        <v>1200</v>
      </c>
      <c r="BA3506">
        <v>1</v>
      </c>
      <c r="BB3506" t="str">
        <f t="shared" si="1617"/>
        <v xml:space="preserve">N711JA  </v>
      </c>
      <c r="BC3506">
        <v>1</v>
      </c>
      <c r="BE3506">
        <v>0</v>
      </c>
      <c r="BF3506">
        <v>0</v>
      </c>
      <c r="BG3506">
        <v>0</v>
      </c>
      <c r="BH3506">
        <v>2300</v>
      </c>
      <c r="BI3506">
        <v>1</v>
      </c>
      <c r="BJ3506">
        <v>1</v>
      </c>
      <c r="BK3506">
        <v>0</v>
      </c>
      <c r="BL3506">
        <v>0</v>
      </c>
      <c r="BO3506">
        <v>0</v>
      </c>
      <c r="BP3506">
        <v>0</v>
      </c>
      <c r="BW3506" t="str">
        <f t="shared" si="1628"/>
        <v>14:47:34.085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5</v>
      </c>
      <c r="CP3506" t="s">
        <v>119</v>
      </c>
      <c r="CQ3506">
        <v>62</v>
      </c>
      <c r="CR3506">
        <v>1</v>
      </c>
      <c r="CW3506">
        <v>12930387</v>
      </c>
      <c r="CY3506">
        <v>1</v>
      </c>
      <c r="CZ3506">
        <v>0</v>
      </c>
      <c r="DA3506">
        <v>1</v>
      </c>
      <c r="DB3506">
        <v>0</v>
      </c>
      <c r="DC3506">
        <v>0</v>
      </c>
      <c r="DD3506">
        <v>1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 t="shared" ref="A3507:A3515" si="1629">"05/12/2020 14:47:17.236"</f>
        <v>05/12/2020 14:47:17.236</v>
      </c>
      <c r="C3507" t="str">
        <f t="shared" si="1616"/>
        <v>FFDFD3C0</v>
      </c>
      <c r="D3507" t="s">
        <v>131</v>
      </c>
      <c r="E3507">
        <v>18</v>
      </c>
      <c r="F3507">
        <v>2018</v>
      </c>
      <c r="G3507" t="s">
        <v>161</v>
      </c>
      <c r="J3507" t="s">
        <v>133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ref="S3507:S3515" si="1630">"14:47:35.039"</f>
        <v>14:47:35.039</v>
      </c>
      <c r="T3507" t="str">
        <f>"14:47:33.939"</f>
        <v>14:47:33.939</v>
      </c>
      <c r="U3507" t="str">
        <f t="shared" si="1608"/>
        <v>A9808D</v>
      </c>
      <c r="V3507">
        <v>0</v>
      </c>
      <c r="W3507">
        <v>0</v>
      </c>
      <c r="X3507">
        <v>1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0</v>
      </c>
      <c r="AI3507" t="s">
        <v>822</v>
      </c>
      <c r="AJ3507">
        <v>28.259775999999999</v>
      </c>
      <c r="AK3507" t="s">
        <v>823</v>
      </c>
      <c r="AL3507">
        <v>-82.260282000000004</v>
      </c>
      <c r="AM3507">
        <v>100</v>
      </c>
      <c r="AN3507">
        <v>2300</v>
      </c>
      <c r="AO3507" t="s">
        <v>118</v>
      </c>
      <c r="AP3507">
        <v>-10</v>
      </c>
      <c r="AQ3507">
        <v>137</v>
      </c>
      <c r="AR3507">
        <v>832</v>
      </c>
      <c r="AZ3507">
        <v>1200</v>
      </c>
      <c r="BA3507">
        <v>1</v>
      </c>
      <c r="BB3507" t="str">
        <f t="shared" si="1617"/>
        <v xml:space="preserve">N711JA  </v>
      </c>
      <c r="BC3507">
        <v>1</v>
      </c>
      <c r="BE3507">
        <v>0</v>
      </c>
      <c r="BF3507">
        <v>0</v>
      </c>
      <c r="BG3507">
        <v>0</v>
      </c>
      <c r="BH3507">
        <v>2300</v>
      </c>
      <c r="BI3507">
        <v>1</v>
      </c>
      <c r="BJ3507">
        <v>1</v>
      </c>
      <c r="BK3507">
        <v>0</v>
      </c>
      <c r="BL3507">
        <v>0</v>
      </c>
      <c r="BO3507">
        <v>0</v>
      </c>
      <c r="BP3507">
        <v>0</v>
      </c>
      <c r="BW3507" t="str">
        <f>"14:47:35.045"</f>
        <v>14:47:35.045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5</v>
      </c>
      <c r="CP3507" t="s">
        <v>119</v>
      </c>
      <c r="CQ3507">
        <v>62</v>
      </c>
      <c r="CR3507">
        <v>1</v>
      </c>
      <c r="CW3507">
        <v>12931404</v>
      </c>
      <c r="CY3507">
        <v>1</v>
      </c>
      <c r="CZ3507">
        <v>0</v>
      </c>
      <c r="DA3507">
        <v>0</v>
      </c>
      <c r="DB3507">
        <v>0</v>
      </c>
      <c r="DC3507">
        <v>0</v>
      </c>
      <c r="DD3507">
        <v>1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 t="shared" si="1629"/>
        <v>05/12/2020 14:47:17.236</v>
      </c>
      <c r="C3508" t="str">
        <f t="shared" si="1616"/>
        <v>FFDFD3C0</v>
      </c>
      <c r="D3508" t="s">
        <v>126</v>
      </c>
      <c r="E3508">
        <v>6</v>
      </c>
      <c r="F3508">
        <v>1006</v>
      </c>
      <c r="G3508" t="s">
        <v>114</v>
      </c>
      <c r="J3508" t="s">
        <v>128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si="1630"/>
        <v>14:47:35.039</v>
      </c>
      <c r="T3508" t="str">
        <f>"14:47:34.939"</f>
        <v>14:47:34.939</v>
      </c>
      <c r="U3508" t="str">
        <f t="shared" si="1608"/>
        <v>A9808D</v>
      </c>
      <c r="V3508">
        <v>0</v>
      </c>
      <c r="W3508">
        <v>0</v>
      </c>
      <c r="X3508">
        <v>1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0</v>
      </c>
      <c r="AI3508" t="s">
        <v>822</v>
      </c>
      <c r="AJ3508">
        <v>28.259775999999999</v>
      </c>
      <c r="AK3508" t="s">
        <v>823</v>
      </c>
      <c r="AL3508">
        <v>-82.260282000000004</v>
      </c>
      <c r="AM3508">
        <v>100</v>
      </c>
      <c r="AN3508">
        <v>2300</v>
      </c>
      <c r="AO3508" t="s">
        <v>118</v>
      </c>
      <c r="AP3508">
        <v>-16</v>
      </c>
      <c r="AQ3508">
        <v>135</v>
      </c>
      <c r="AR3508">
        <v>960</v>
      </c>
      <c r="AZ3508">
        <v>1200</v>
      </c>
      <c r="BA3508">
        <v>1</v>
      </c>
      <c r="BB3508" t="str">
        <f t="shared" si="1617"/>
        <v xml:space="preserve">N711JA  </v>
      </c>
      <c r="BC3508">
        <v>1</v>
      </c>
      <c r="BE3508">
        <v>0</v>
      </c>
      <c r="BF3508">
        <v>0</v>
      </c>
      <c r="BG3508">
        <v>0</v>
      </c>
      <c r="BH3508">
        <v>2300</v>
      </c>
      <c r="BI3508">
        <v>1</v>
      </c>
      <c r="BJ3508">
        <v>1</v>
      </c>
      <c r="BK3508">
        <v>0</v>
      </c>
      <c r="BL3508">
        <v>0</v>
      </c>
      <c r="BO3508">
        <v>0</v>
      </c>
      <c r="BP3508">
        <v>0</v>
      </c>
      <c r="BW3508" t="str">
        <f>"14:47:35.044"</f>
        <v>14:47:35.044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5</v>
      </c>
      <c r="CP3508" t="s">
        <v>119</v>
      </c>
      <c r="CQ3508">
        <v>358</v>
      </c>
      <c r="CR3508">
        <v>0</v>
      </c>
      <c r="CW3508">
        <v>4995656</v>
      </c>
      <c r="CY3508">
        <v>1</v>
      </c>
      <c r="CZ3508">
        <v>0</v>
      </c>
      <c r="DA3508">
        <v>1</v>
      </c>
      <c r="DB3508">
        <v>0</v>
      </c>
      <c r="DC3508">
        <v>0</v>
      </c>
      <c r="DD3508">
        <v>1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 t="shared" si="1629"/>
        <v>05/12/2020 14:47:17.236</v>
      </c>
      <c r="C3509" t="str">
        <f t="shared" si="1616"/>
        <v>FFDFD3C0</v>
      </c>
      <c r="D3509" t="s">
        <v>113</v>
      </c>
      <c r="E3509">
        <v>3</v>
      </c>
      <c r="H3509">
        <v>164</v>
      </c>
      <c r="I3509" t="s">
        <v>114</v>
      </c>
      <c r="J3509" t="s">
        <v>115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630"/>
        <v>14:47:35.039</v>
      </c>
      <c r="T3509" t="str">
        <f>"14:47:34.439"</f>
        <v>14:47:34.439</v>
      </c>
      <c r="U3509" t="str">
        <f t="shared" si="1608"/>
        <v>A9808D</v>
      </c>
      <c r="V3509">
        <v>0</v>
      </c>
      <c r="W3509">
        <v>0</v>
      </c>
      <c r="X3509">
        <v>1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0</v>
      </c>
      <c r="AI3509" t="s">
        <v>822</v>
      </c>
      <c r="AJ3509">
        <v>28.259775999999999</v>
      </c>
      <c r="AK3509" t="s">
        <v>823</v>
      </c>
      <c r="AL3509">
        <v>-82.260282000000004</v>
      </c>
      <c r="AM3509">
        <v>100</v>
      </c>
      <c r="AN3509">
        <v>2300</v>
      </c>
      <c r="AO3509" t="s">
        <v>118</v>
      </c>
      <c r="AP3509">
        <v>-12</v>
      </c>
      <c r="AQ3509">
        <v>136</v>
      </c>
      <c r="AR3509">
        <v>896</v>
      </c>
      <c r="AZ3509">
        <v>1200</v>
      </c>
      <c r="BA3509">
        <v>1</v>
      </c>
      <c r="BB3509" t="str">
        <f t="shared" si="1617"/>
        <v xml:space="preserve">N711JA  </v>
      </c>
      <c r="BC3509">
        <v>1</v>
      </c>
      <c r="BE3509">
        <v>0</v>
      </c>
      <c r="BF3509">
        <v>0</v>
      </c>
      <c r="BG3509">
        <v>0</v>
      </c>
      <c r="BH3509">
        <v>2300</v>
      </c>
      <c r="BI3509">
        <v>1</v>
      </c>
      <c r="BJ3509">
        <v>1</v>
      </c>
      <c r="BK3509">
        <v>0</v>
      </c>
      <c r="BL3509">
        <v>0</v>
      </c>
      <c r="BO3509">
        <v>0</v>
      </c>
      <c r="BP3509">
        <v>0</v>
      </c>
      <c r="BW3509" t="str">
        <f>"14:47:35.045"</f>
        <v>14:47:35.045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2</v>
      </c>
      <c r="CP3509" t="s">
        <v>119</v>
      </c>
      <c r="CQ3509">
        <v>11</v>
      </c>
      <c r="CR3509">
        <v>2</v>
      </c>
      <c r="CW3509">
        <v>16094677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1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 t="shared" si="1629"/>
        <v>05/12/2020 14:47:17.236</v>
      </c>
      <c r="C3510" t="str">
        <f t="shared" si="1616"/>
        <v>FFDFD3C0</v>
      </c>
      <c r="D3510" t="s">
        <v>134</v>
      </c>
      <c r="E3510">
        <v>12</v>
      </c>
      <c r="H3510">
        <v>64</v>
      </c>
      <c r="I3510" t="s">
        <v>135</v>
      </c>
      <c r="J3510" t="s">
        <v>136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630"/>
        <v>14:47:35.039</v>
      </c>
      <c r="T3510" t="str">
        <f>"14:47:34.939"</f>
        <v>14:47:34.939</v>
      </c>
      <c r="U3510" t="str">
        <f t="shared" si="1608"/>
        <v>A9808D</v>
      </c>
      <c r="V3510">
        <v>0</v>
      </c>
      <c r="W3510">
        <v>0</v>
      </c>
      <c r="X3510">
        <v>1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0</v>
      </c>
      <c r="AI3510" t="s">
        <v>822</v>
      </c>
      <c r="AJ3510">
        <v>28.259775999999999</v>
      </c>
      <c r="AK3510" t="s">
        <v>823</v>
      </c>
      <c r="AL3510">
        <v>-82.260282000000004</v>
      </c>
      <c r="AM3510">
        <v>100</v>
      </c>
      <c r="AN3510">
        <v>2300</v>
      </c>
      <c r="AO3510" t="s">
        <v>118</v>
      </c>
      <c r="AP3510">
        <v>-16</v>
      </c>
      <c r="AQ3510">
        <v>135</v>
      </c>
      <c r="AR3510">
        <v>960</v>
      </c>
      <c r="AZ3510">
        <v>1200</v>
      </c>
      <c r="BA3510">
        <v>1</v>
      </c>
      <c r="BB3510" t="str">
        <f t="shared" si="1617"/>
        <v xml:space="preserve">N711JA  </v>
      </c>
      <c r="BC3510">
        <v>1</v>
      </c>
      <c r="BE3510">
        <v>0</v>
      </c>
      <c r="BF3510">
        <v>0</v>
      </c>
      <c r="BG3510">
        <v>0</v>
      </c>
      <c r="BH3510">
        <v>2300</v>
      </c>
      <c r="BI3510">
        <v>1</v>
      </c>
      <c r="BJ3510">
        <v>1</v>
      </c>
      <c r="BK3510">
        <v>0</v>
      </c>
      <c r="BL3510">
        <v>0</v>
      </c>
      <c r="BO3510">
        <v>0</v>
      </c>
      <c r="BP3510">
        <v>0</v>
      </c>
      <c r="BW3510" t="str">
        <f>"14:47:35.044"</f>
        <v>14:47:35.044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5</v>
      </c>
      <c r="CP3510" t="s">
        <v>119</v>
      </c>
      <c r="CQ3510">
        <v>358</v>
      </c>
      <c r="CR3510">
        <v>0</v>
      </c>
      <c r="CW3510">
        <v>4995656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1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 t="shared" si="1629"/>
        <v>05/12/2020 14:47:17.236</v>
      </c>
      <c r="C3511" t="str">
        <f t="shared" si="1616"/>
        <v>FFDFD3C0</v>
      </c>
      <c r="D3511" t="s">
        <v>126</v>
      </c>
      <c r="E3511">
        <v>7</v>
      </c>
      <c r="F3511">
        <v>1007</v>
      </c>
      <c r="G3511" t="s">
        <v>127</v>
      </c>
      <c r="J3511" t="s">
        <v>128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si="1630"/>
        <v>14:47:35.039</v>
      </c>
      <c r="T3511" t="str">
        <f>"14:47:34.939"</f>
        <v>14:47:34.939</v>
      </c>
      <c r="U3511" t="str">
        <f t="shared" si="1608"/>
        <v>A9808D</v>
      </c>
      <c r="V3511">
        <v>0</v>
      </c>
      <c r="W3511">
        <v>0</v>
      </c>
      <c r="X3511">
        <v>1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0</v>
      </c>
      <c r="AI3511" t="s">
        <v>822</v>
      </c>
      <c r="AJ3511">
        <v>28.259775999999999</v>
      </c>
      <c r="AK3511" t="s">
        <v>823</v>
      </c>
      <c r="AL3511">
        <v>-82.260282000000004</v>
      </c>
      <c r="AM3511">
        <v>100</v>
      </c>
      <c r="AN3511">
        <v>2300</v>
      </c>
      <c r="AO3511" t="s">
        <v>118</v>
      </c>
      <c r="AP3511">
        <v>-16</v>
      </c>
      <c r="AQ3511">
        <v>135</v>
      </c>
      <c r="AR3511">
        <v>960</v>
      </c>
      <c r="AZ3511">
        <v>1200</v>
      </c>
      <c r="BA3511">
        <v>1</v>
      </c>
      <c r="BB3511" t="str">
        <f t="shared" si="1617"/>
        <v xml:space="preserve">N711JA  </v>
      </c>
      <c r="BC3511">
        <v>1</v>
      </c>
      <c r="BE3511">
        <v>0</v>
      </c>
      <c r="BF3511">
        <v>0</v>
      </c>
      <c r="BG3511">
        <v>0</v>
      </c>
      <c r="BH3511">
        <v>2300</v>
      </c>
      <c r="BI3511">
        <v>1</v>
      </c>
      <c r="BJ3511">
        <v>1</v>
      </c>
      <c r="BK3511">
        <v>0</v>
      </c>
      <c r="BL3511">
        <v>0</v>
      </c>
      <c r="BO3511">
        <v>0</v>
      </c>
      <c r="BP3511">
        <v>0</v>
      </c>
      <c r="BW3511" t="str">
        <f>"14:47:35.044"</f>
        <v>14:47:35.044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5</v>
      </c>
      <c r="CP3511" t="s">
        <v>119</v>
      </c>
      <c r="CQ3511">
        <v>358</v>
      </c>
      <c r="CR3511">
        <v>0</v>
      </c>
      <c r="CW3511">
        <v>4995656</v>
      </c>
      <c r="CY3511">
        <v>1</v>
      </c>
      <c r="CZ3511">
        <v>0</v>
      </c>
      <c r="DA3511">
        <v>1</v>
      </c>
      <c r="DB3511">
        <v>0</v>
      </c>
      <c r="DC3511">
        <v>0</v>
      </c>
      <c r="DD3511">
        <v>1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 t="shared" si="1629"/>
        <v>05/12/2020 14:47:17.236</v>
      </c>
      <c r="C3512" t="str">
        <f t="shared" si="1616"/>
        <v>FFDFD3C0</v>
      </c>
      <c r="D3512" t="s">
        <v>138</v>
      </c>
      <c r="E3512">
        <v>2</v>
      </c>
      <c r="H3512">
        <v>8</v>
      </c>
      <c r="I3512" t="s">
        <v>139</v>
      </c>
      <c r="J3512" t="s">
        <v>136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630"/>
        <v>14:47:35.039</v>
      </c>
      <c r="T3512" t="str">
        <f>"14:47:34.439"</f>
        <v>14:47:34.439</v>
      </c>
      <c r="U3512" t="str">
        <f t="shared" si="1608"/>
        <v>A9808D</v>
      </c>
      <c r="V3512">
        <v>0</v>
      </c>
      <c r="W3512">
        <v>0</v>
      </c>
      <c r="X3512">
        <v>1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0</v>
      </c>
      <c r="AI3512" t="s">
        <v>822</v>
      </c>
      <c r="AJ3512">
        <v>28.259775999999999</v>
      </c>
      <c r="AK3512" t="s">
        <v>823</v>
      </c>
      <c r="AL3512">
        <v>-82.260282000000004</v>
      </c>
      <c r="AM3512">
        <v>100</v>
      </c>
      <c r="AN3512">
        <v>2300</v>
      </c>
      <c r="AO3512" t="s">
        <v>118</v>
      </c>
      <c r="AP3512">
        <v>-12</v>
      </c>
      <c r="AQ3512">
        <v>136</v>
      </c>
      <c r="AR3512">
        <v>896</v>
      </c>
      <c r="AZ3512">
        <v>1200</v>
      </c>
      <c r="BA3512">
        <v>1</v>
      </c>
      <c r="BB3512" t="str">
        <f t="shared" si="1617"/>
        <v xml:space="preserve">N711JA  </v>
      </c>
      <c r="BC3512">
        <v>1</v>
      </c>
      <c r="BE3512">
        <v>0</v>
      </c>
      <c r="BF3512">
        <v>0</v>
      </c>
      <c r="BG3512">
        <v>0</v>
      </c>
      <c r="BH3512">
        <v>2300</v>
      </c>
      <c r="BI3512">
        <v>1</v>
      </c>
      <c r="BJ3512">
        <v>1</v>
      </c>
      <c r="BK3512">
        <v>0</v>
      </c>
      <c r="BL3512">
        <v>0</v>
      </c>
      <c r="BO3512">
        <v>0</v>
      </c>
      <c r="BP3512">
        <v>0</v>
      </c>
      <c r="BW3512" t="str">
        <f>"14:47:35.045"</f>
        <v>14:47:35.045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3</v>
      </c>
      <c r="CP3512" t="s">
        <v>675</v>
      </c>
      <c r="CQ3512">
        <v>363</v>
      </c>
      <c r="CR3512">
        <v>0</v>
      </c>
      <c r="CW3512">
        <v>6523221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1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 t="shared" si="1629"/>
        <v>05/12/2020 14:47:17.236</v>
      </c>
      <c r="C3513" t="str">
        <f t="shared" si="1616"/>
        <v>FFDFD3C0</v>
      </c>
      <c r="D3513" t="s">
        <v>138</v>
      </c>
      <c r="E3513">
        <v>3</v>
      </c>
      <c r="H3513">
        <v>9</v>
      </c>
      <c r="I3513" t="s">
        <v>140</v>
      </c>
      <c r="J3513" t="s">
        <v>136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si="1630"/>
        <v>14:47:35.039</v>
      </c>
      <c r="T3513" t="str">
        <f>"14:47:34.939"</f>
        <v>14:47:34.939</v>
      </c>
      <c r="U3513" t="str">
        <f t="shared" si="1608"/>
        <v>A9808D</v>
      </c>
      <c r="V3513">
        <v>0</v>
      </c>
      <c r="W3513">
        <v>0</v>
      </c>
      <c r="X3513">
        <v>1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0</v>
      </c>
      <c r="AI3513" t="s">
        <v>822</v>
      </c>
      <c r="AJ3513">
        <v>28.259775999999999</v>
      </c>
      <c r="AK3513" t="s">
        <v>823</v>
      </c>
      <c r="AL3513">
        <v>-82.260282000000004</v>
      </c>
      <c r="AM3513">
        <v>100</v>
      </c>
      <c r="AN3513">
        <v>2300</v>
      </c>
      <c r="AO3513" t="s">
        <v>118</v>
      </c>
      <c r="AP3513">
        <v>-16</v>
      </c>
      <c r="AQ3513">
        <v>135</v>
      </c>
      <c r="AR3513">
        <v>960</v>
      </c>
      <c r="AZ3513">
        <v>1200</v>
      </c>
      <c r="BA3513">
        <v>1</v>
      </c>
      <c r="BB3513" t="str">
        <f t="shared" si="1617"/>
        <v xml:space="preserve">N711JA  </v>
      </c>
      <c r="BC3513">
        <v>1</v>
      </c>
      <c r="BE3513">
        <v>0</v>
      </c>
      <c r="BF3513">
        <v>0</v>
      </c>
      <c r="BG3513">
        <v>0</v>
      </c>
      <c r="BH3513">
        <v>2300</v>
      </c>
      <c r="BI3513">
        <v>1</v>
      </c>
      <c r="BJ3513">
        <v>1</v>
      </c>
      <c r="BK3513">
        <v>0</v>
      </c>
      <c r="BL3513">
        <v>0</v>
      </c>
      <c r="BO3513">
        <v>0</v>
      </c>
      <c r="BP3513">
        <v>0</v>
      </c>
      <c r="BW3513" t="str">
        <f>"14:47:35.044"</f>
        <v>14:47:35.044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5</v>
      </c>
      <c r="CP3513" t="s">
        <v>119</v>
      </c>
      <c r="CQ3513">
        <v>358</v>
      </c>
      <c r="CR3513">
        <v>0</v>
      </c>
      <c r="CW3513">
        <v>4995656</v>
      </c>
      <c r="CY3513">
        <v>1</v>
      </c>
      <c r="CZ3513">
        <v>0</v>
      </c>
      <c r="DA3513">
        <v>1</v>
      </c>
      <c r="DB3513">
        <v>0</v>
      </c>
      <c r="DC3513">
        <v>0</v>
      </c>
      <c r="DD3513">
        <v>1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 t="shared" si="1629"/>
        <v>05/12/2020 14:47:17.236</v>
      </c>
      <c r="C3514" t="str">
        <f t="shared" si="1616"/>
        <v>FFDFD3C0</v>
      </c>
      <c r="D3514" t="s">
        <v>131</v>
      </c>
      <c r="E3514">
        <v>10</v>
      </c>
      <c r="F3514">
        <v>2010</v>
      </c>
      <c r="G3514" t="s">
        <v>132</v>
      </c>
      <c r="J3514" t="s">
        <v>133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si="1630"/>
        <v>14:47:35.039</v>
      </c>
      <c r="T3514" t="str">
        <f>"14:47:34.939"</f>
        <v>14:47:34.939</v>
      </c>
      <c r="U3514" t="str">
        <f t="shared" si="1608"/>
        <v>A9808D</v>
      </c>
      <c r="V3514">
        <v>0</v>
      </c>
      <c r="W3514">
        <v>0</v>
      </c>
      <c r="X3514">
        <v>1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0</v>
      </c>
      <c r="AI3514" t="s">
        <v>822</v>
      </c>
      <c r="AJ3514">
        <v>28.259775999999999</v>
      </c>
      <c r="AK3514" t="s">
        <v>823</v>
      </c>
      <c r="AL3514">
        <v>-82.260282000000004</v>
      </c>
      <c r="AM3514">
        <v>100</v>
      </c>
      <c r="AN3514">
        <v>2300</v>
      </c>
      <c r="AO3514" t="s">
        <v>118</v>
      </c>
      <c r="AP3514">
        <v>-16</v>
      </c>
      <c r="AQ3514">
        <v>135</v>
      </c>
      <c r="AR3514">
        <v>960</v>
      </c>
      <c r="AZ3514">
        <v>1200</v>
      </c>
      <c r="BA3514">
        <v>1</v>
      </c>
      <c r="BB3514" t="str">
        <f t="shared" si="1617"/>
        <v xml:space="preserve">N711JA  </v>
      </c>
      <c r="BC3514">
        <v>1</v>
      </c>
      <c r="BE3514">
        <v>0</v>
      </c>
      <c r="BF3514">
        <v>0</v>
      </c>
      <c r="BG3514">
        <v>0</v>
      </c>
      <c r="BH3514">
        <v>2300</v>
      </c>
      <c r="BI3514">
        <v>1</v>
      </c>
      <c r="BJ3514">
        <v>1</v>
      </c>
      <c r="BK3514">
        <v>0</v>
      </c>
      <c r="BL3514">
        <v>0</v>
      </c>
      <c r="BO3514">
        <v>0</v>
      </c>
      <c r="BP3514">
        <v>0</v>
      </c>
      <c r="BW3514" t="str">
        <f>"14:47:35.044"</f>
        <v>14:47:35.044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5</v>
      </c>
      <c r="CP3514" t="s">
        <v>119</v>
      </c>
      <c r="CQ3514">
        <v>358</v>
      </c>
      <c r="CR3514">
        <v>0</v>
      </c>
      <c r="CW3514">
        <v>4995656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1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 t="shared" si="1629"/>
        <v>05/12/2020 14:47:17.236</v>
      </c>
      <c r="C3515" t="str">
        <f t="shared" si="1616"/>
        <v>FFDFD3C0</v>
      </c>
      <c r="D3515" t="s">
        <v>131</v>
      </c>
      <c r="E3515">
        <v>12</v>
      </c>
      <c r="F3515">
        <v>2012</v>
      </c>
      <c r="G3515" t="s">
        <v>137</v>
      </c>
      <c r="J3515" t="s">
        <v>133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si="1630"/>
        <v>14:47:35.039</v>
      </c>
      <c r="T3515" t="str">
        <f>"14:47:34.439"</f>
        <v>14:47:34.439</v>
      </c>
      <c r="U3515" t="str">
        <f t="shared" si="1608"/>
        <v>A9808D</v>
      </c>
      <c r="V3515">
        <v>0</v>
      </c>
      <c r="W3515">
        <v>0</v>
      </c>
      <c r="X3515">
        <v>1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0</v>
      </c>
      <c r="AI3515" t="s">
        <v>822</v>
      </c>
      <c r="AJ3515">
        <v>28.259775999999999</v>
      </c>
      <c r="AK3515" t="s">
        <v>823</v>
      </c>
      <c r="AL3515">
        <v>-82.260282000000004</v>
      </c>
      <c r="AM3515">
        <v>100</v>
      </c>
      <c r="AN3515">
        <v>2300</v>
      </c>
      <c r="AO3515" t="s">
        <v>118</v>
      </c>
      <c r="AP3515">
        <v>-12</v>
      </c>
      <c r="AQ3515">
        <v>136</v>
      </c>
      <c r="AR3515">
        <v>896</v>
      </c>
      <c r="AZ3515">
        <v>1200</v>
      </c>
      <c r="BA3515">
        <v>1</v>
      </c>
      <c r="BB3515" t="str">
        <f t="shared" si="1617"/>
        <v xml:space="preserve">N711JA  </v>
      </c>
      <c r="BC3515">
        <v>1</v>
      </c>
      <c r="BE3515">
        <v>0</v>
      </c>
      <c r="BF3515">
        <v>0</v>
      </c>
      <c r="BG3515">
        <v>0</v>
      </c>
      <c r="BH3515">
        <v>2300</v>
      </c>
      <c r="BI3515">
        <v>1</v>
      </c>
      <c r="BJ3515">
        <v>1</v>
      </c>
      <c r="BK3515">
        <v>0</v>
      </c>
      <c r="BL3515">
        <v>0</v>
      </c>
      <c r="BO3515">
        <v>0</v>
      </c>
      <c r="BP3515">
        <v>0</v>
      </c>
      <c r="BW3515" t="str">
        <f>"14:47:35.045"</f>
        <v>14:47:35.045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3</v>
      </c>
      <c r="CP3515" t="s">
        <v>675</v>
      </c>
      <c r="CQ3515">
        <v>363</v>
      </c>
      <c r="CR3515">
        <v>0</v>
      </c>
      <c r="CW3515">
        <v>6523221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1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 t="shared" ref="A3516:A3524" si="1631">"05/12/2020 14:47:18.185"</f>
        <v>05/12/2020 14:47:18.185</v>
      </c>
      <c r="C3516" t="str">
        <f t="shared" si="1616"/>
        <v>FFDFD3C0</v>
      </c>
      <c r="D3516" t="s">
        <v>134</v>
      </c>
      <c r="E3516">
        <v>12</v>
      </c>
      <c r="H3516">
        <v>64</v>
      </c>
      <c r="I3516" t="s">
        <v>135</v>
      </c>
      <c r="J3516" t="s">
        <v>136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ref="S3516:S3524" si="1632">"14:47:35.984"</f>
        <v>14:47:35.984</v>
      </c>
      <c r="T3516" t="str">
        <f t="shared" ref="T3516:T3524" si="1633">"14:47:35.584"</f>
        <v>14:47:35.584</v>
      </c>
      <c r="U3516" t="str">
        <f t="shared" si="1608"/>
        <v>A9808D</v>
      </c>
      <c r="V3516">
        <v>0</v>
      </c>
      <c r="W3516">
        <v>0</v>
      </c>
      <c r="X3516">
        <v>1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0</v>
      </c>
      <c r="AI3516" t="s">
        <v>824</v>
      </c>
      <c r="AJ3516">
        <v>28.260334</v>
      </c>
      <c r="AK3516" t="s">
        <v>811</v>
      </c>
      <c r="AL3516">
        <v>-82.260411000000005</v>
      </c>
      <c r="AM3516">
        <v>100</v>
      </c>
      <c r="AN3516">
        <v>2300</v>
      </c>
      <c r="AO3516" t="s">
        <v>118</v>
      </c>
      <c r="AP3516">
        <v>-19</v>
      </c>
      <c r="AQ3516">
        <v>134</v>
      </c>
      <c r="AR3516">
        <v>960</v>
      </c>
      <c r="AZ3516">
        <v>1200</v>
      </c>
      <c r="BA3516">
        <v>1</v>
      </c>
      <c r="BB3516" t="str">
        <f t="shared" si="1617"/>
        <v xml:space="preserve">N711JA  </v>
      </c>
      <c r="BC3516">
        <v>1</v>
      </c>
      <c r="BE3516">
        <v>0</v>
      </c>
      <c r="BF3516">
        <v>0</v>
      </c>
      <c r="BG3516">
        <v>0</v>
      </c>
      <c r="BH3516">
        <v>2325</v>
      </c>
      <c r="BI3516">
        <v>1</v>
      </c>
      <c r="BJ3516">
        <v>1</v>
      </c>
      <c r="BK3516">
        <v>0</v>
      </c>
      <c r="BL3516">
        <v>0</v>
      </c>
      <c r="BO3516">
        <v>0</v>
      </c>
      <c r="BP3516">
        <v>0</v>
      </c>
      <c r="BW3516" t="str">
        <f t="shared" ref="BW3516:BW3524" si="1634">"14:47:35.990"</f>
        <v>14:47:35.990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6</v>
      </c>
      <c r="CP3516" t="s">
        <v>119</v>
      </c>
      <c r="CQ3516">
        <v>358</v>
      </c>
      <c r="CR3516">
        <v>0</v>
      </c>
      <c r="CW3516">
        <v>4996825</v>
      </c>
      <c r="CY3516">
        <v>1</v>
      </c>
      <c r="CZ3516">
        <v>0</v>
      </c>
      <c r="DA3516">
        <v>0</v>
      </c>
      <c r="DB3516">
        <v>0</v>
      </c>
      <c r="DC3516">
        <v>0</v>
      </c>
      <c r="DD3516">
        <v>1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 t="shared" si="1631"/>
        <v>05/12/2020 14:47:18.185</v>
      </c>
      <c r="C3517" t="str">
        <f t="shared" si="1616"/>
        <v>FFDFD3C0</v>
      </c>
      <c r="D3517" t="s">
        <v>113</v>
      </c>
      <c r="E3517">
        <v>3</v>
      </c>
      <c r="H3517">
        <v>164</v>
      </c>
      <c r="I3517" t="s">
        <v>114</v>
      </c>
      <c r="J3517" t="s">
        <v>115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632"/>
        <v>14:47:35.984</v>
      </c>
      <c r="T3517" t="str">
        <f t="shared" si="1633"/>
        <v>14:47:35.584</v>
      </c>
      <c r="U3517" t="str">
        <f t="shared" si="1608"/>
        <v>A9808D</v>
      </c>
      <c r="V3517">
        <v>0</v>
      </c>
      <c r="W3517">
        <v>0</v>
      </c>
      <c r="X3517">
        <v>1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0</v>
      </c>
      <c r="AI3517" t="s">
        <v>824</v>
      </c>
      <c r="AJ3517">
        <v>28.260334</v>
      </c>
      <c r="AK3517" t="s">
        <v>811</v>
      </c>
      <c r="AL3517">
        <v>-82.260411000000005</v>
      </c>
      <c r="AM3517">
        <v>100</v>
      </c>
      <c r="AN3517">
        <v>2300</v>
      </c>
      <c r="AO3517" t="s">
        <v>118</v>
      </c>
      <c r="AP3517">
        <v>-19</v>
      </c>
      <c r="AQ3517">
        <v>134</v>
      </c>
      <c r="AR3517">
        <v>960</v>
      </c>
      <c r="AZ3517">
        <v>1200</v>
      </c>
      <c r="BA3517">
        <v>1</v>
      </c>
      <c r="BB3517" t="str">
        <f t="shared" si="1617"/>
        <v xml:space="preserve">N711JA  </v>
      </c>
      <c r="BC3517">
        <v>1</v>
      </c>
      <c r="BE3517">
        <v>0</v>
      </c>
      <c r="BF3517">
        <v>0</v>
      </c>
      <c r="BG3517">
        <v>0</v>
      </c>
      <c r="BH3517">
        <v>2325</v>
      </c>
      <c r="BI3517">
        <v>1</v>
      </c>
      <c r="BJ3517">
        <v>1</v>
      </c>
      <c r="BK3517">
        <v>0</v>
      </c>
      <c r="BL3517">
        <v>0</v>
      </c>
      <c r="BO3517">
        <v>0</v>
      </c>
      <c r="BP3517">
        <v>0</v>
      </c>
      <c r="BW3517" t="str">
        <f t="shared" si="1634"/>
        <v>14:47:35.990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5</v>
      </c>
      <c r="CP3517" t="s">
        <v>119</v>
      </c>
      <c r="CQ3517">
        <v>56</v>
      </c>
      <c r="CR3517">
        <v>3</v>
      </c>
      <c r="CW3517">
        <v>12337474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1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 t="shared" si="1631"/>
        <v>05/12/2020 14:47:18.185</v>
      </c>
      <c r="C3518" t="str">
        <f t="shared" si="1616"/>
        <v>FFDFD3C0</v>
      </c>
      <c r="D3518" t="s">
        <v>126</v>
      </c>
      <c r="E3518">
        <v>7</v>
      </c>
      <c r="F3518">
        <v>1007</v>
      </c>
      <c r="G3518" t="s">
        <v>127</v>
      </c>
      <c r="J3518" t="s">
        <v>128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si="1632"/>
        <v>14:47:35.984</v>
      </c>
      <c r="T3518" t="str">
        <f t="shared" si="1633"/>
        <v>14:47:35.584</v>
      </c>
      <c r="U3518" t="str">
        <f t="shared" si="1608"/>
        <v>A9808D</v>
      </c>
      <c r="V3518">
        <v>0</v>
      </c>
      <c r="W3518">
        <v>0</v>
      </c>
      <c r="X3518">
        <v>1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0</v>
      </c>
      <c r="AI3518" t="s">
        <v>824</v>
      </c>
      <c r="AJ3518">
        <v>28.260334</v>
      </c>
      <c r="AK3518" t="s">
        <v>811</v>
      </c>
      <c r="AL3518">
        <v>-82.260411000000005</v>
      </c>
      <c r="AM3518">
        <v>100</v>
      </c>
      <c r="AN3518">
        <v>2300</v>
      </c>
      <c r="AO3518" t="s">
        <v>118</v>
      </c>
      <c r="AP3518">
        <v>-19</v>
      </c>
      <c r="AQ3518">
        <v>134</v>
      </c>
      <c r="AR3518">
        <v>960</v>
      </c>
      <c r="AZ3518">
        <v>1200</v>
      </c>
      <c r="BA3518">
        <v>1</v>
      </c>
      <c r="BB3518" t="str">
        <f t="shared" si="1617"/>
        <v xml:space="preserve">N711JA  </v>
      </c>
      <c r="BC3518">
        <v>1</v>
      </c>
      <c r="BE3518">
        <v>0</v>
      </c>
      <c r="BF3518">
        <v>0</v>
      </c>
      <c r="BG3518">
        <v>0</v>
      </c>
      <c r="BH3518">
        <v>2325</v>
      </c>
      <c r="BI3518">
        <v>1</v>
      </c>
      <c r="BJ3518">
        <v>1</v>
      </c>
      <c r="BK3518">
        <v>0</v>
      </c>
      <c r="BL3518">
        <v>0</v>
      </c>
      <c r="BO3518">
        <v>0</v>
      </c>
      <c r="BP3518">
        <v>0</v>
      </c>
      <c r="BW3518" t="str">
        <f t="shared" si="1634"/>
        <v>14:47:35.990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6</v>
      </c>
      <c r="CP3518" t="s">
        <v>119</v>
      </c>
      <c r="CQ3518">
        <v>358</v>
      </c>
      <c r="CR3518">
        <v>0</v>
      </c>
      <c r="CW3518">
        <v>4996825</v>
      </c>
      <c r="CY3518">
        <v>1</v>
      </c>
      <c r="CZ3518">
        <v>0</v>
      </c>
      <c r="DA3518">
        <v>1</v>
      </c>
      <c r="DB3518">
        <v>0</v>
      </c>
      <c r="DC3518">
        <v>0</v>
      </c>
      <c r="DD3518">
        <v>1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 t="shared" si="1631"/>
        <v>05/12/2020 14:47:18.185</v>
      </c>
      <c r="C3519" t="str">
        <f t="shared" si="1616"/>
        <v>FFDFD3C0</v>
      </c>
      <c r="D3519" t="s">
        <v>131</v>
      </c>
      <c r="E3519">
        <v>10</v>
      </c>
      <c r="F3519">
        <v>2010</v>
      </c>
      <c r="G3519" t="s">
        <v>132</v>
      </c>
      <c r="J3519" t="s">
        <v>133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632"/>
        <v>14:47:35.984</v>
      </c>
      <c r="T3519" t="str">
        <f t="shared" si="1633"/>
        <v>14:47:35.584</v>
      </c>
      <c r="U3519" t="str">
        <f t="shared" si="1608"/>
        <v>A9808D</v>
      </c>
      <c r="V3519">
        <v>0</v>
      </c>
      <c r="W3519">
        <v>0</v>
      </c>
      <c r="X3519">
        <v>1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0</v>
      </c>
      <c r="AI3519" t="s">
        <v>824</v>
      </c>
      <c r="AJ3519">
        <v>28.260334</v>
      </c>
      <c r="AK3519" t="s">
        <v>811</v>
      </c>
      <c r="AL3519">
        <v>-82.260411000000005</v>
      </c>
      <c r="AM3519">
        <v>100</v>
      </c>
      <c r="AN3519">
        <v>2300</v>
      </c>
      <c r="AO3519" t="s">
        <v>118</v>
      </c>
      <c r="AP3519">
        <v>-19</v>
      </c>
      <c r="AQ3519">
        <v>134</v>
      </c>
      <c r="AR3519">
        <v>960</v>
      </c>
      <c r="AZ3519">
        <v>1200</v>
      </c>
      <c r="BA3519">
        <v>1</v>
      </c>
      <c r="BB3519" t="str">
        <f t="shared" si="1617"/>
        <v xml:space="preserve">N711JA  </v>
      </c>
      <c r="BC3519">
        <v>1</v>
      </c>
      <c r="BE3519">
        <v>0</v>
      </c>
      <c r="BF3519">
        <v>0</v>
      </c>
      <c r="BG3519">
        <v>0</v>
      </c>
      <c r="BH3519">
        <v>2325</v>
      </c>
      <c r="BI3519">
        <v>1</v>
      </c>
      <c r="BJ3519">
        <v>1</v>
      </c>
      <c r="BK3519">
        <v>0</v>
      </c>
      <c r="BL3519">
        <v>0</v>
      </c>
      <c r="BO3519">
        <v>0</v>
      </c>
      <c r="BP3519">
        <v>0</v>
      </c>
      <c r="BW3519" t="str">
        <f t="shared" si="1634"/>
        <v>14:47:35.990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6</v>
      </c>
      <c r="CP3519" t="s">
        <v>119</v>
      </c>
      <c r="CQ3519">
        <v>358</v>
      </c>
      <c r="CR3519">
        <v>0</v>
      </c>
      <c r="CW3519">
        <v>4996825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1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 t="shared" si="1631"/>
        <v>05/12/2020 14:47:18.185</v>
      </c>
      <c r="C3520" t="str">
        <f t="shared" si="1616"/>
        <v>FFDFD3C0</v>
      </c>
      <c r="D3520" t="s">
        <v>131</v>
      </c>
      <c r="E3520">
        <v>12</v>
      </c>
      <c r="F3520">
        <v>2012</v>
      </c>
      <c r="G3520" t="s">
        <v>137</v>
      </c>
      <c r="J3520" t="s">
        <v>133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si="1632"/>
        <v>14:47:35.984</v>
      </c>
      <c r="T3520" t="str">
        <f t="shared" si="1633"/>
        <v>14:47:35.584</v>
      </c>
      <c r="U3520" t="str">
        <f t="shared" si="1608"/>
        <v>A9808D</v>
      </c>
      <c r="V3520">
        <v>0</v>
      </c>
      <c r="W3520">
        <v>0</v>
      </c>
      <c r="X3520">
        <v>1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0</v>
      </c>
      <c r="AI3520" t="s">
        <v>824</v>
      </c>
      <c r="AJ3520">
        <v>28.260334</v>
      </c>
      <c r="AK3520" t="s">
        <v>811</v>
      </c>
      <c r="AL3520">
        <v>-82.260411000000005</v>
      </c>
      <c r="AM3520">
        <v>100</v>
      </c>
      <c r="AN3520">
        <v>2300</v>
      </c>
      <c r="AO3520" t="s">
        <v>118</v>
      </c>
      <c r="AP3520">
        <v>-19</v>
      </c>
      <c r="AQ3520">
        <v>134</v>
      </c>
      <c r="AR3520">
        <v>960</v>
      </c>
      <c r="AZ3520">
        <v>1200</v>
      </c>
      <c r="BA3520">
        <v>1</v>
      </c>
      <c r="BB3520" t="str">
        <f t="shared" si="1617"/>
        <v xml:space="preserve">N711JA  </v>
      </c>
      <c r="BC3520">
        <v>1</v>
      </c>
      <c r="BE3520">
        <v>0</v>
      </c>
      <c r="BF3520">
        <v>0</v>
      </c>
      <c r="BG3520">
        <v>0</v>
      </c>
      <c r="BH3520">
        <v>2325</v>
      </c>
      <c r="BI3520">
        <v>1</v>
      </c>
      <c r="BJ3520">
        <v>1</v>
      </c>
      <c r="BK3520">
        <v>0</v>
      </c>
      <c r="BL3520">
        <v>0</v>
      </c>
      <c r="BO3520">
        <v>0</v>
      </c>
      <c r="BP3520">
        <v>0</v>
      </c>
      <c r="BW3520" t="str">
        <f t="shared" si="1634"/>
        <v>14:47:35.990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5</v>
      </c>
      <c r="CP3520" t="s">
        <v>119</v>
      </c>
      <c r="CQ3520">
        <v>56</v>
      </c>
      <c r="CR3520">
        <v>3</v>
      </c>
      <c r="CW3520">
        <v>12337474</v>
      </c>
      <c r="CY3520">
        <v>1</v>
      </c>
      <c r="CZ3520">
        <v>0</v>
      </c>
      <c r="DA3520">
        <v>1</v>
      </c>
      <c r="DB3520">
        <v>0</v>
      </c>
      <c r="DC3520">
        <v>0</v>
      </c>
      <c r="DD3520">
        <v>1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 t="shared" si="1631"/>
        <v>05/12/2020 14:47:18.185</v>
      </c>
      <c r="C3521" t="str">
        <f t="shared" si="1616"/>
        <v>FFDFD3C0</v>
      </c>
      <c r="D3521" t="s">
        <v>131</v>
      </c>
      <c r="E3521">
        <v>18</v>
      </c>
      <c r="F3521">
        <v>2018</v>
      </c>
      <c r="G3521" t="s">
        <v>161</v>
      </c>
      <c r="J3521" t="s">
        <v>133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632"/>
        <v>14:47:35.984</v>
      </c>
      <c r="T3521" t="str">
        <f t="shared" si="1633"/>
        <v>14:47:35.584</v>
      </c>
      <c r="U3521" t="str">
        <f t="shared" si="1608"/>
        <v>A9808D</v>
      </c>
      <c r="V3521">
        <v>0</v>
      </c>
      <c r="W3521">
        <v>0</v>
      </c>
      <c r="X3521">
        <v>1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0</v>
      </c>
      <c r="AI3521" t="s">
        <v>824</v>
      </c>
      <c r="AJ3521">
        <v>28.260334</v>
      </c>
      <c r="AK3521" t="s">
        <v>811</v>
      </c>
      <c r="AL3521">
        <v>-82.260411000000005</v>
      </c>
      <c r="AM3521">
        <v>100</v>
      </c>
      <c r="AN3521">
        <v>2300</v>
      </c>
      <c r="AO3521" t="s">
        <v>118</v>
      </c>
      <c r="AP3521">
        <v>-19</v>
      </c>
      <c r="AQ3521">
        <v>134</v>
      </c>
      <c r="AR3521">
        <v>960</v>
      </c>
      <c r="AZ3521">
        <v>1200</v>
      </c>
      <c r="BA3521">
        <v>1</v>
      </c>
      <c r="BB3521" t="str">
        <f t="shared" si="1617"/>
        <v xml:space="preserve">N711JA  </v>
      </c>
      <c r="BC3521">
        <v>1</v>
      </c>
      <c r="BE3521">
        <v>0</v>
      </c>
      <c r="BF3521">
        <v>0</v>
      </c>
      <c r="BG3521">
        <v>0</v>
      </c>
      <c r="BH3521">
        <v>2325</v>
      </c>
      <c r="BI3521">
        <v>1</v>
      </c>
      <c r="BJ3521">
        <v>1</v>
      </c>
      <c r="BK3521">
        <v>0</v>
      </c>
      <c r="BL3521">
        <v>0</v>
      </c>
      <c r="BO3521">
        <v>0</v>
      </c>
      <c r="BP3521">
        <v>0</v>
      </c>
      <c r="BW3521" t="str">
        <f t="shared" si="1634"/>
        <v>14:47:35.990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5</v>
      </c>
      <c r="CP3521" t="s">
        <v>119</v>
      </c>
      <c r="CQ3521">
        <v>56</v>
      </c>
      <c r="CR3521">
        <v>3</v>
      </c>
      <c r="CW3521">
        <v>12337474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1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 t="shared" si="1631"/>
        <v>05/12/2020 14:47:18.185</v>
      </c>
      <c r="C3522" t="str">
        <f t="shared" si="1616"/>
        <v>FFDFD3C0</v>
      </c>
      <c r="D3522" t="s">
        <v>138</v>
      </c>
      <c r="E3522">
        <v>3</v>
      </c>
      <c r="H3522">
        <v>9</v>
      </c>
      <c r="I3522" t="s">
        <v>140</v>
      </c>
      <c r="J3522" t="s">
        <v>136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1632"/>
        <v>14:47:35.984</v>
      </c>
      <c r="T3522" t="str">
        <f t="shared" si="1633"/>
        <v>14:47:35.584</v>
      </c>
      <c r="U3522" t="str">
        <f t="shared" ref="U3522:U3585" si="1635">"A9808D"</f>
        <v>A9808D</v>
      </c>
      <c r="V3522">
        <v>0</v>
      </c>
      <c r="W3522">
        <v>0</v>
      </c>
      <c r="X3522">
        <v>1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0</v>
      </c>
      <c r="AI3522" t="s">
        <v>824</v>
      </c>
      <c r="AJ3522">
        <v>28.260334</v>
      </c>
      <c r="AK3522" t="s">
        <v>811</v>
      </c>
      <c r="AL3522">
        <v>-82.260411000000005</v>
      </c>
      <c r="AM3522">
        <v>100</v>
      </c>
      <c r="AN3522">
        <v>2300</v>
      </c>
      <c r="AO3522" t="s">
        <v>118</v>
      </c>
      <c r="AP3522">
        <v>-19</v>
      </c>
      <c r="AQ3522">
        <v>134</v>
      </c>
      <c r="AR3522">
        <v>960</v>
      </c>
      <c r="AZ3522">
        <v>1200</v>
      </c>
      <c r="BA3522">
        <v>1</v>
      </c>
      <c r="BB3522" t="str">
        <f t="shared" si="1617"/>
        <v xml:space="preserve">N711JA  </v>
      </c>
      <c r="BC3522">
        <v>1</v>
      </c>
      <c r="BE3522">
        <v>0</v>
      </c>
      <c r="BF3522">
        <v>0</v>
      </c>
      <c r="BG3522">
        <v>0</v>
      </c>
      <c r="BH3522">
        <v>2325</v>
      </c>
      <c r="BI3522">
        <v>1</v>
      </c>
      <c r="BJ3522">
        <v>1</v>
      </c>
      <c r="BK3522">
        <v>0</v>
      </c>
      <c r="BL3522">
        <v>0</v>
      </c>
      <c r="BO3522">
        <v>0</v>
      </c>
      <c r="BP3522">
        <v>0</v>
      </c>
      <c r="BW3522" t="str">
        <f t="shared" si="1634"/>
        <v>14:47:35.990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6</v>
      </c>
      <c r="CP3522" t="s">
        <v>119</v>
      </c>
      <c r="CQ3522">
        <v>358</v>
      </c>
      <c r="CR3522">
        <v>0</v>
      </c>
      <c r="CW3522">
        <v>4996825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1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 t="shared" si="1631"/>
        <v>05/12/2020 14:47:18.185</v>
      </c>
      <c r="C3523" t="str">
        <f t="shared" si="1616"/>
        <v>FFDFD3C0</v>
      </c>
      <c r="D3523" t="s">
        <v>138</v>
      </c>
      <c r="E3523">
        <v>2</v>
      </c>
      <c r="H3523">
        <v>8</v>
      </c>
      <c r="I3523" t="s">
        <v>139</v>
      </c>
      <c r="J3523" t="s">
        <v>136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632"/>
        <v>14:47:35.984</v>
      </c>
      <c r="T3523" t="str">
        <f t="shared" si="1633"/>
        <v>14:47:35.584</v>
      </c>
      <c r="U3523" t="str">
        <f t="shared" si="1635"/>
        <v>A9808D</v>
      </c>
      <c r="V3523">
        <v>0</v>
      </c>
      <c r="W3523">
        <v>0</v>
      </c>
      <c r="X3523">
        <v>1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0</v>
      </c>
      <c r="AI3523" t="s">
        <v>824</v>
      </c>
      <c r="AJ3523">
        <v>28.260334</v>
      </c>
      <c r="AK3523" t="s">
        <v>811</v>
      </c>
      <c r="AL3523">
        <v>-82.260411000000005</v>
      </c>
      <c r="AM3523">
        <v>100</v>
      </c>
      <c r="AN3523">
        <v>2300</v>
      </c>
      <c r="AO3523" t="s">
        <v>118</v>
      </c>
      <c r="AP3523">
        <v>-19</v>
      </c>
      <c r="AQ3523">
        <v>134</v>
      </c>
      <c r="AR3523">
        <v>960</v>
      </c>
      <c r="AZ3523">
        <v>1200</v>
      </c>
      <c r="BA3523">
        <v>1</v>
      </c>
      <c r="BB3523" t="str">
        <f t="shared" si="1617"/>
        <v xml:space="preserve">N711JA  </v>
      </c>
      <c r="BC3523">
        <v>1</v>
      </c>
      <c r="BE3523">
        <v>0</v>
      </c>
      <c r="BF3523">
        <v>0</v>
      </c>
      <c r="BG3523">
        <v>0</v>
      </c>
      <c r="BH3523">
        <v>2325</v>
      </c>
      <c r="BI3523">
        <v>1</v>
      </c>
      <c r="BJ3523">
        <v>1</v>
      </c>
      <c r="BK3523">
        <v>0</v>
      </c>
      <c r="BL3523">
        <v>0</v>
      </c>
      <c r="BO3523">
        <v>0</v>
      </c>
      <c r="BP3523">
        <v>0</v>
      </c>
      <c r="BW3523" t="str">
        <f t="shared" si="1634"/>
        <v>14:47:35.990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5</v>
      </c>
      <c r="CP3523" t="s">
        <v>119</v>
      </c>
      <c r="CQ3523">
        <v>56</v>
      </c>
      <c r="CR3523">
        <v>3</v>
      </c>
      <c r="CW3523">
        <v>12337474</v>
      </c>
      <c r="CY3523">
        <v>1</v>
      </c>
      <c r="CZ3523">
        <v>0</v>
      </c>
      <c r="DA3523">
        <v>1</v>
      </c>
      <c r="DB3523">
        <v>0</v>
      </c>
      <c r="DC3523">
        <v>0</v>
      </c>
      <c r="DD3523">
        <v>1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 t="shared" si="1631"/>
        <v>05/12/2020 14:47:18.185</v>
      </c>
      <c r="C3524" t="str">
        <f t="shared" si="1616"/>
        <v>FFDFD3C0</v>
      </c>
      <c r="D3524" t="s">
        <v>126</v>
      </c>
      <c r="E3524">
        <v>6</v>
      </c>
      <c r="F3524">
        <v>1006</v>
      </c>
      <c r="G3524" t="s">
        <v>114</v>
      </c>
      <c r="J3524" t="s">
        <v>128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632"/>
        <v>14:47:35.984</v>
      </c>
      <c r="T3524" t="str">
        <f t="shared" si="1633"/>
        <v>14:47:35.584</v>
      </c>
      <c r="U3524" t="str">
        <f t="shared" si="1635"/>
        <v>A9808D</v>
      </c>
      <c r="V3524">
        <v>0</v>
      </c>
      <c r="W3524">
        <v>0</v>
      </c>
      <c r="X3524">
        <v>1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0</v>
      </c>
      <c r="AI3524" t="s">
        <v>824</v>
      </c>
      <c r="AJ3524">
        <v>28.260334</v>
      </c>
      <c r="AK3524" t="s">
        <v>811</v>
      </c>
      <c r="AL3524">
        <v>-82.260411000000005</v>
      </c>
      <c r="AM3524">
        <v>100</v>
      </c>
      <c r="AN3524">
        <v>2300</v>
      </c>
      <c r="AO3524" t="s">
        <v>118</v>
      </c>
      <c r="AP3524">
        <v>-19</v>
      </c>
      <c r="AQ3524">
        <v>134</v>
      </c>
      <c r="AR3524">
        <v>960</v>
      </c>
      <c r="AZ3524">
        <v>1200</v>
      </c>
      <c r="BA3524">
        <v>1</v>
      </c>
      <c r="BB3524" t="str">
        <f t="shared" si="1617"/>
        <v xml:space="preserve">N711JA  </v>
      </c>
      <c r="BC3524">
        <v>1</v>
      </c>
      <c r="BE3524">
        <v>0</v>
      </c>
      <c r="BF3524">
        <v>0</v>
      </c>
      <c r="BG3524">
        <v>0</v>
      </c>
      <c r="BH3524">
        <v>2325</v>
      </c>
      <c r="BI3524">
        <v>1</v>
      </c>
      <c r="BJ3524">
        <v>1</v>
      </c>
      <c r="BK3524">
        <v>0</v>
      </c>
      <c r="BL3524">
        <v>0</v>
      </c>
      <c r="BO3524">
        <v>0</v>
      </c>
      <c r="BP3524">
        <v>0</v>
      </c>
      <c r="BW3524" t="str">
        <f t="shared" si="1634"/>
        <v>14:47:35.990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6</v>
      </c>
      <c r="CP3524" t="s">
        <v>119</v>
      </c>
      <c r="CQ3524">
        <v>358</v>
      </c>
      <c r="CR3524">
        <v>0</v>
      </c>
      <c r="CW3524">
        <v>4996825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1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 t="shared" ref="A3525:A3533" si="1636">"05/12/2020 14:47:19.243"</f>
        <v>05/12/2020 14:47:19.243</v>
      </c>
      <c r="C3525" t="str">
        <f t="shared" si="1616"/>
        <v>FFDFD3C0</v>
      </c>
      <c r="D3525" t="s">
        <v>126</v>
      </c>
      <c r="E3525">
        <v>7</v>
      </c>
      <c r="F3525">
        <v>1007</v>
      </c>
      <c r="G3525" t="s">
        <v>127</v>
      </c>
      <c r="J3525" t="s">
        <v>128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ref="S3525:S3533" si="1637">"14:47:37.031"</f>
        <v>14:47:37.031</v>
      </c>
      <c r="T3525" t="str">
        <f t="shared" ref="T3525:T3533" si="1638">"14:47:36.631"</f>
        <v>14:47:36.631</v>
      </c>
      <c r="U3525" t="str">
        <f t="shared" si="1635"/>
        <v>A9808D</v>
      </c>
      <c r="V3525">
        <v>0</v>
      </c>
      <c r="W3525">
        <v>0</v>
      </c>
      <c r="X3525">
        <v>1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0</v>
      </c>
      <c r="AI3525" t="s">
        <v>825</v>
      </c>
      <c r="AJ3525">
        <v>28.260999000000002</v>
      </c>
      <c r="AK3525" t="s">
        <v>810</v>
      </c>
      <c r="AL3525">
        <v>-82.260560999999996</v>
      </c>
      <c r="AM3525">
        <v>100</v>
      </c>
      <c r="AN3525">
        <v>2300</v>
      </c>
      <c r="AO3525" t="s">
        <v>118</v>
      </c>
      <c r="AP3525">
        <v>-24</v>
      </c>
      <c r="AQ3525">
        <v>132</v>
      </c>
      <c r="AR3525">
        <v>1024</v>
      </c>
      <c r="AZ3525">
        <v>1200</v>
      </c>
      <c r="BA3525">
        <v>1</v>
      </c>
      <c r="BB3525" t="str">
        <f t="shared" si="1617"/>
        <v xml:space="preserve">N711JA  </v>
      </c>
      <c r="BC3525">
        <v>1</v>
      </c>
      <c r="BE3525">
        <v>0</v>
      </c>
      <c r="BF3525">
        <v>0</v>
      </c>
      <c r="BG3525">
        <v>0</v>
      </c>
      <c r="BH3525">
        <v>2325</v>
      </c>
      <c r="BI3525">
        <v>1</v>
      </c>
      <c r="BJ3525">
        <v>1</v>
      </c>
      <c r="BK3525">
        <v>0</v>
      </c>
      <c r="BL3525">
        <v>0</v>
      </c>
      <c r="BO3525">
        <v>0</v>
      </c>
      <c r="BP3525">
        <v>0</v>
      </c>
      <c r="BW3525" t="str">
        <f t="shared" ref="BW3525:BW3533" si="1639">"14:47:37.038"</f>
        <v>14:47:37.038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6</v>
      </c>
      <c r="CP3525" t="s">
        <v>119</v>
      </c>
      <c r="CQ3525">
        <v>358</v>
      </c>
      <c r="CR3525">
        <v>0</v>
      </c>
      <c r="CW3525">
        <v>4998077</v>
      </c>
      <c r="CY3525">
        <v>1</v>
      </c>
      <c r="CZ3525">
        <v>0</v>
      </c>
      <c r="DA3525">
        <v>0</v>
      </c>
      <c r="DB3525">
        <v>0</v>
      </c>
      <c r="DC3525">
        <v>0</v>
      </c>
      <c r="DD3525">
        <v>1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 t="shared" si="1636"/>
        <v>05/12/2020 14:47:19.243</v>
      </c>
      <c r="C3526" t="str">
        <f t="shared" si="1616"/>
        <v>FFDFD3C0</v>
      </c>
      <c r="D3526" t="s">
        <v>113</v>
      </c>
      <c r="E3526">
        <v>3</v>
      </c>
      <c r="H3526">
        <v>164</v>
      </c>
      <c r="I3526" t="s">
        <v>114</v>
      </c>
      <c r="J3526" t="s">
        <v>115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si="1637"/>
        <v>14:47:37.031</v>
      </c>
      <c r="T3526" t="str">
        <f t="shared" si="1638"/>
        <v>14:47:36.631</v>
      </c>
      <c r="U3526" t="str">
        <f t="shared" si="1635"/>
        <v>A9808D</v>
      </c>
      <c r="V3526">
        <v>0</v>
      </c>
      <c r="W3526">
        <v>0</v>
      </c>
      <c r="X3526">
        <v>1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0</v>
      </c>
      <c r="AI3526" t="s">
        <v>825</v>
      </c>
      <c r="AJ3526">
        <v>28.260999000000002</v>
      </c>
      <c r="AK3526" t="s">
        <v>810</v>
      </c>
      <c r="AL3526">
        <v>-82.260560999999996</v>
      </c>
      <c r="AM3526">
        <v>100</v>
      </c>
      <c r="AN3526">
        <v>2300</v>
      </c>
      <c r="AO3526" t="s">
        <v>118</v>
      </c>
      <c r="AP3526">
        <v>-24</v>
      </c>
      <c r="AQ3526">
        <v>132</v>
      </c>
      <c r="AR3526">
        <v>1024</v>
      </c>
      <c r="AZ3526">
        <v>1200</v>
      </c>
      <c r="BA3526">
        <v>1</v>
      </c>
      <c r="BB3526" t="str">
        <f t="shared" si="1617"/>
        <v xml:space="preserve">N711JA  </v>
      </c>
      <c r="BC3526">
        <v>1</v>
      </c>
      <c r="BE3526">
        <v>0</v>
      </c>
      <c r="BF3526">
        <v>0</v>
      </c>
      <c r="BG3526">
        <v>0</v>
      </c>
      <c r="BH3526">
        <v>2325</v>
      </c>
      <c r="BI3526">
        <v>1</v>
      </c>
      <c r="BJ3526">
        <v>1</v>
      </c>
      <c r="BK3526">
        <v>0</v>
      </c>
      <c r="BL3526">
        <v>0</v>
      </c>
      <c r="BO3526">
        <v>0</v>
      </c>
      <c r="BP3526">
        <v>0</v>
      </c>
      <c r="BW3526" t="str">
        <f t="shared" si="1639"/>
        <v>14:47:37.038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5</v>
      </c>
      <c r="CP3526" t="s">
        <v>119</v>
      </c>
      <c r="CQ3526">
        <v>62</v>
      </c>
      <c r="CR3526">
        <v>1</v>
      </c>
      <c r="CW3526">
        <v>12933568</v>
      </c>
      <c r="CY3526">
        <v>1</v>
      </c>
      <c r="CZ3526">
        <v>0</v>
      </c>
      <c r="DA3526">
        <v>1</v>
      </c>
      <c r="DB3526">
        <v>0</v>
      </c>
      <c r="DC3526">
        <v>0</v>
      </c>
      <c r="DD3526">
        <v>1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 t="shared" si="1636"/>
        <v>05/12/2020 14:47:19.243</v>
      </c>
      <c r="C3527" t="str">
        <f t="shared" si="1616"/>
        <v>FFDFD3C0</v>
      </c>
      <c r="D3527" t="s">
        <v>131</v>
      </c>
      <c r="E3527">
        <v>10</v>
      </c>
      <c r="F3527">
        <v>2010</v>
      </c>
      <c r="G3527" t="s">
        <v>132</v>
      </c>
      <c r="J3527" t="s">
        <v>133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si="1637"/>
        <v>14:47:37.031</v>
      </c>
      <c r="T3527" t="str">
        <f t="shared" si="1638"/>
        <v>14:47:36.631</v>
      </c>
      <c r="U3527" t="str">
        <f t="shared" si="1635"/>
        <v>A9808D</v>
      </c>
      <c r="V3527">
        <v>0</v>
      </c>
      <c r="W3527">
        <v>0</v>
      </c>
      <c r="X3527">
        <v>1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0</v>
      </c>
      <c r="AI3527" t="s">
        <v>825</v>
      </c>
      <c r="AJ3527">
        <v>28.260999000000002</v>
      </c>
      <c r="AK3527" t="s">
        <v>810</v>
      </c>
      <c r="AL3527">
        <v>-82.260560999999996</v>
      </c>
      <c r="AM3527">
        <v>100</v>
      </c>
      <c r="AN3527">
        <v>2300</v>
      </c>
      <c r="AO3527" t="s">
        <v>118</v>
      </c>
      <c r="AP3527">
        <v>-24</v>
      </c>
      <c r="AQ3527">
        <v>132</v>
      </c>
      <c r="AR3527">
        <v>1024</v>
      </c>
      <c r="AZ3527">
        <v>1200</v>
      </c>
      <c r="BA3527">
        <v>1</v>
      </c>
      <c r="BB3527" t="str">
        <f t="shared" si="1617"/>
        <v xml:space="preserve">N711JA  </v>
      </c>
      <c r="BC3527">
        <v>1</v>
      </c>
      <c r="BE3527">
        <v>0</v>
      </c>
      <c r="BF3527">
        <v>0</v>
      </c>
      <c r="BG3527">
        <v>0</v>
      </c>
      <c r="BH3527">
        <v>2325</v>
      </c>
      <c r="BI3527">
        <v>1</v>
      </c>
      <c r="BJ3527">
        <v>1</v>
      </c>
      <c r="BK3527">
        <v>0</v>
      </c>
      <c r="BL3527">
        <v>0</v>
      </c>
      <c r="BO3527">
        <v>0</v>
      </c>
      <c r="BP3527">
        <v>0</v>
      </c>
      <c r="BW3527" t="str">
        <f t="shared" si="1639"/>
        <v>14:47:37.038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6</v>
      </c>
      <c r="CP3527" t="s">
        <v>119</v>
      </c>
      <c r="CQ3527">
        <v>358</v>
      </c>
      <c r="CR3527">
        <v>0</v>
      </c>
      <c r="CW3527">
        <v>4998077</v>
      </c>
      <c r="CY3527">
        <v>1</v>
      </c>
      <c r="CZ3527">
        <v>0</v>
      </c>
      <c r="DA3527">
        <v>1</v>
      </c>
      <c r="DB3527">
        <v>0</v>
      </c>
      <c r="DC3527">
        <v>0</v>
      </c>
      <c r="DD3527">
        <v>1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 t="shared" si="1636"/>
        <v>05/12/2020 14:47:19.243</v>
      </c>
      <c r="C3528" t="str">
        <f t="shared" si="1616"/>
        <v>FFDFD3C0</v>
      </c>
      <c r="D3528" t="s">
        <v>131</v>
      </c>
      <c r="E3528">
        <v>12</v>
      </c>
      <c r="F3528">
        <v>2012</v>
      </c>
      <c r="G3528" t="s">
        <v>137</v>
      </c>
      <c r="J3528" t="s">
        <v>133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637"/>
        <v>14:47:37.031</v>
      </c>
      <c r="T3528" t="str">
        <f t="shared" si="1638"/>
        <v>14:47:36.631</v>
      </c>
      <c r="U3528" t="str">
        <f t="shared" si="1635"/>
        <v>A9808D</v>
      </c>
      <c r="V3528">
        <v>0</v>
      </c>
      <c r="W3528">
        <v>0</v>
      </c>
      <c r="X3528">
        <v>1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0</v>
      </c>
      <c r="AI3528" t="s">
        <v>825</v>
      </c>
      <c r="AJ3528">
        <v>28.260999000000002</v>
      </c>
      <c r="AK3528" t="s">
        <v>810</v>
      </c>
      <c r="AL3528">
        <v>-82.260560999999996</v>
      </c>
      <c r="AM3528">
        <v>100</v>
      </c>
      <c r="AN3528">
        <v>2300</v>
      </c>
      <c r="AO3528" t="s">
        <v>118</v>
      </c>
      <c r="AP3528">
        <v>-24</v>
      </c>
      <c r="AQ3528">
        <v>132</v>
      </c>
      <c r="AR3528">
        <v>1024</v>
      </c>
      <c r="AZ3528">
        <v>1200</v>
      </c>
      <c r="BA3528">
        <v>1</v>
      </c>
      <c r="BB3528" t="str">
        <f t="shared" si="1617"/>
        <v xml:space="preserve">N711JA  </v>
      </c>
      <c r="BC3528">
        <v>1</v>
      </c>
      <c r="BE3528">
        <v>0</v>
      </c>
      <c r="BF3528">
        <v>0</v>
      </c>
      <c r="BG3528">
        <v>0</v>
      </c>
      <c r="BH3528">
        <v>2325</v>
      </c>
      <c r="BI3528">
        <v>1</v>
      </c>
      <c r="BJ3528">
        <v>1</v>
      </c>
      <c r="BK3528">
        <v>0</v>
      </c>
      <c r="BL3528">
        <v>0</v>
      </c>
      <c r="BO3528">
        <v>0</v>
      </c>
      <c r="BP3528">
        <v>0</v>
      </c>
      <c r="BW3528" t="str">
        <f t="shared" si="1639"/>
        <v>14:47:37.038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5</v>
      </c>
      <c r="CP3528" t="s">
        <v>119</v>
      </c>
      <c r="CQ3528">
        <v>56</v>
      </c>
      <c r="CR3528">
        <v>3</v>
      </c>
      <c r="CW3528">
        <v>12338894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1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 t="shared" si="1636"/>
        <v>05/12/2020 14:47:19.243</v>
      </c>
      <c r="C3529" t="str">
        <f t="shared" si="1616"/>
        <v>FFDFD3C0</v>
      </c>
      <c r="D3529" t="s">
        <v>134</v>
      </c>
      <c r="E3529">
        <v>12</v>
      </c>
      <c r="H3529">
        <v>64</v>
      </c>
      <c r="I3529" t="s">
        <v>135</v>
      </c>
      <c r="J3529" t="s">
        <v>136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si="1637"/>
        <v>14:47:37.031</v>
      </c>
      <c r="T3529" t="str">
        <f t="shared" si="1638"/>
        <v>14:47:36.631</v>
      </c>
      <c r="U3529" t="str">
        <f t="shared" si="1635"/>
        <v>A9808D</v>
      </c>
      <c r="V3529">
        <v>0</v>
      </c>
      <c r="W3529">
        <v>0</v>
      </c>
      <c r="X3529">
        <v>1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0</v>
      </c>
      <c r="AI3529" t="s">
        <v>825</v>
      </c>
      <c r="AJ3529">
        <v>28.260999000000002</v>
      </c>
      <c r="AK3529" t="s">
        <v>810</v>
      </c>
      <c r="AL3529">
        <v>-82.260560999999996</v>
      </c>
      <c r="AM3529">
        <v>100</v>
      </c>
      <c r="AN3529">
        <v>2300</v>
      </c>
      <c r="AO3529" t="s">
        <v>118</v>
      </c>
      <c r="AP3529">
        <v>-24</v>
      </c>
      <c r="AQ3529">
        <v>132</v>
      </c>
      <c r="AR3529">
        <v>1024</v>
      </c>
      <c r="AZ3529">
        <v>1200</v>
      </c>
      <c r="BA3529">
        <v>1</v>
      </c>
      <c r="BB3529" t="str">
        <f t="shared" si="1617"/>
        <v xml:space="preserve">N711JA  </v>
      </c>
      <c r="BC3529">
        <v>1</v>
      </c>
      <c r="BE3529">
        <v>0</v>
      </c>
      <c r="BF3529">
        <v>0</v>
      </c>
      <c r="BG3529">
        <v>0</v>
      </c>
      <c r="BH3529">
        <v>2325</v>
      </c>
      <c r="BI3529">
        <v>1</v>
      </c>
      <c r="BJ3529">
        <v>1</v>
      </c>
      <c r="BK3529">
        <v>0</v>
      </c>
      <c r="BL3529">
        <v>0</v>
      </c>
      <c r="BO3529">
        <v>0</v>
      </c>
      <c r="BP3529">
        <v>0</v>
      </c>
      <c r="BW3529" t="str">
        <f t="shared" si="1639"/>
        <v>14:47:37.038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6</v>
      </c>
      <c r="CP3529" t="s">
        <v>119</v>
      </c>
      <c r="CQ3529">
        <v>358</v>
      </c>
      <c r="CR3529">
        <v>0</v>
      </c>
      <c r="CW3529">
        <v>4998077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1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 t="shared" si="1636"/>
        <v>05/12/2020 14:47:19.243</v>
      </c>
      <c r="C3530" t="str">
        <f t="shared" si="1616"/>
        <v>FFDFD3C0</v>
      </c>
      <c r="D3530" t="s">
        <v>131</v>
      </c>
      <c r="E3530">
        <v>18</v>
      </c>
      <c r="F3530">
        <v>2018</v>
      </c>
      <c r="G3530" t="s">
        <v>161</v>
      </c>
      <c r="J3530" t="s">
        <v>133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637"/>
        <v>14:47:37.031</v>
      </c>
      <c r="T3530" t="str">
        <f t="shared" si="1638"/>
        <v>14:47:36.631</v>
      </c>
      <c r="U3530" t="str">
        <f t="shared" si="1635"/>
        <v>A9808D</v>
      </c>
      <c r="V3530">
        <v>0</v>
      </c>
      <c r="W3530">
        <v>0</v>
      </c>
      <c r="X3530">
        <v>1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0</v>
      </c>
      <c r="AI3530" t="s">
        <v>825</v>
      </c>
      <c r="AJ3530">
        <v>28.260999000000002</v>
      </c>
      <c r="AK3530" t="s">
        <v>810</v>
      </c>
      <c r="AL3530">
        <v>-82.260560999999996</v>
      </c>
      <c r="AM3530">
        <v>100</v>
      </c>
      <c r="AN3530">
        <v>2300</v>
      </c>
      <c r="AO3530" t="s">
        <v>118</v>
      </c>
      <c r="AP3530">
        <v>-24</v>
      </c>
      <c r="AQ3530">
        <v>132</v>
      </c>
      <c r="AR3530">
        <v>1024</v>
      </c>
      <c r="AZ3530">
        <v>1200</v>
      </c>
      <c r="BA3530">
        <v>1</v>
      </c>
      <c r="BB3530" t="str">
        <f t="shared" si="1617"/>
        <v xml:space="preserve">N711JA  </v>
      </c>
      <c r="BC3530">
        <v>1</v>
      </c>
      <c r="BE3530">
        <v>0</v>
      </c>
      <c r="BF3530">
        <v>0</v>
      </c>
      <c r="BG3530">
        <v>0</v>
      </c>
      <c r="BH3530">
        <v>2325</v>
      </c>
      <c r="BI3530">
        <v>1</v>
      </c>
      <c r="BJ3530">
        <v>1</v>
      </c>
      <c r="BK3530">
        <v>0</v>
      </c>
      <c r="BL3530">
        <v>0</v>
      </c>
      <c r="BO3530">
        <v>0</v>
      </c>
      <c r="BP3530">
        <v>0</v>
      </c>
      <c r="BW3530" t="str">
        <f t="shared" si="1639"/>
        <v>14:47:37.038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5</v>
      </c>
      <c r="CP3530" t="s">
        <v>119</v>
      </c>
      <c r="CQ3530">
        <v>62</v>
      </c>
      <c r="CR3530">
        <v>1</v>
      </c>
      <c r="CW3530">
        <v>12933568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1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 t="shared" si="1636"/>
        <v>05/12/2020 14:47:19.243</v>
      </c>
      <c r="C3531" t="str">
        <f t="shared" si="1616"/>
        <v>FFDFD3C0</v>
      </c>
      <c r="D3531" t="s">
        <v>126</v>
      </c>
      <c r="E3531">
        <v>6</v>
      </c>
      <c r="F3531">
        <v>1006</v>
      </c>
      <c r="G3531" t="s">
        <v>114</v>
      </c>
      <c r="J3531" t="s">
        <v>128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637"/>
        <v>14:47:37.031</v>
      </c>
      <c r="T3531" t="str">
        <f t="shared" si="1638"/>
        <v>14:47:36.631</v>
      </c>
      <c r="U3531" t="str">
        <f t="shared" si="1635"/>
        <v>A9808D</v>
      </c>
      <c r="V3531">
        <v>0</v>
      </c>
      <c r="W3531">
        <v>0</v>
      </c>
      <c r="X3531">
        <v>1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0</v>
      </c>
      <c r="AI3531" t="s">
        <v>825</v>
      </c>
      <c r="AJ3531">
        <v>28.260999000000002</v>
      </c>
      <c r="AK3531" t="s">
        <v>810</v>
      </c>
      <c r="AL3531">
        <v>-82.260560999999996</v>
      </c>
      <c r="AM3531">
        <v>100</v>
      </c>
      <c r="AN3531">
        <v>2300</v>
      </c>
      <c r="AO3531" t="s">
        <v>118</v>
      </c>
      <c r="AP3531">
        <v>-24</v>
      </c>
      <c r="AQ3531">
        <v>132</v>
      </c>
      <c r="AR3531">
        <v>1024</v>
      </c>
      <c r="AZ3531">
        <v>1200</v>
      </c>
      <c r="BA3531">
        <v>1</v>
      </c>
      <c r="BB3531" t="str">
        <f t="shared" si="1617"/>
        <v xml:space="preserve">N711JA  </v>
      </c>
      <c r="BC3531">
        <v>1</v>
      </c>
      <c r="BE3531">
        <v>0</v>
      </c>
      <c r="BF3531">
        <v>0</v>
      </c>
      <c r="BG3531">
        <v>0</v>
      </c>
      <c r="BH3531">
        <v>2325</v>
      </c>
      <c r="BI3531">
        <v>1</v>
      </c>
      <c r="BJ3531">
        <v>1</v>
      </c>
      <c r="BK3531">
        <v>0</v>
      </c>
      <c r="BL3531">
        <v>0</v>
      </c>
      <c r="BO3531">
        <v>0</v>
      </c>
      <c r="BP3531">
        <v>0</v>
      </c>
      <c r="BW3531" t="str">
        <f t="shared" si="1639"/>
        <v>14:47:37.038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6</v>
      </c>
      <c r="CP3531" t="s">
        <v>119</v>
      </c>
      <c r="CQ3531">
        <v>358</v>
      </c>
      <c r="CR3531">
        <v>0</v>
      </c>
      <c r="CW3531">
        <v>4998077</v>
      </c>
      <c r="CY3531">
        <v>1</v>
      </c>
      <c r="CZ3531">
        <v>0</v>
      </c>
      <c r="DA3531">
        <v>1</v>
      </c>
      <c r="DB3531">
        <v>0</v>
      </c>
      <c r="DC3531">
        <v>0</v>
      </c>
      <c r="DD3531">
        <v>1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 t="shared" si="1636"/>
        <v>05/12/2020 14:47:19.243</v>
      </c>
      <c r="C3532" t="str">
        <f t="shared" si="1616"/>
        <v>FFDFD3C0</v>
      </c>
      <c r="D3532" t="s">
        <v>138</v>
      </c>
      <c r="E3532">
        <v>2</v>
      </c>
      <c r="H3532">
        <v>8</v>
      </c>
      <c r="I3532" t="s">
        <v>139</v>
      </c>
      <c r="J3532" t="s">
        <v>136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si="1637"/>
        <v>14:47:37.031</v>
      </c>
      <c r="T3532" t="str">
        <f t="shared" si="1638"/>
        <v>14:47:36.631</v>
      </c>
      <c r="U3532" t="str">
        <f t="shared" si="1635"/>
        <v>A9808D</v>
      </c>
      <c r="V3532">
        <v>0</v>
      </c>
      <c r="W3532">
        <v>0</v>
      </c>
      <c r="X3532">
        <v>1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0</v>
      </c>
      <c r="AI3532" t="s">
        <v>825</v>
      </c>
      <c r="AJ3532">
        <v>28.260999000000002</v>
      </c>
      <c r="AK3532" t="s">
        <v>810</v>
      </c>
      <c r="AL3532">
        <v>-82.260560999999996</v>
      </c>
      <c r="AM3532">
        <v>100</v>
      </c>
      <c r="AN3532">
        <v>2300</v>
      </c>
      <c r="AO3532" t="s">
        <v>118</v>
      </c>
      <c r="AP3532">
        <v>-24</v>
      </c>
      <c r="AQ3532">
        <v>132</v>
      </c>
      <c r="AR3532">
        <v>1024</v>
      </c>
      <c r="AZ3532">
        <v>1200</v>
      </c>
      <c r="BA3532">
        <v>1</v>
      </c>
      <c r="BB3532" t="str">
        <f t="shared" si="1617"/>
        <v xml:space="preserve">N711JA  </v>
      </c>
      <c r="BC3532">
        <v>1</v>
      </c>
      <c r="BE3532">
        <v>0</v>
      </c>
      <c r="BF3532">
        <v>0</v>
      </c>
      <c r="BG3532">
        <v>0</v>
      </c>
      <c r="BH3532">
        <v>2325</v>
      </c>
      <c r="BI3532">
        <v>1</v>
      </c>
      <c r="BJ3532">
        <v>1</v>
      </c>
      <c r="BK3532">
        <v>0</v>
      </c>
      <c r="BL3532">
        <v>0</v>
      </c>
      <c r="BO3532">
        <v>0</v>
      </c>
      <c r="BP3532">
        <v>0</v>
      </c>
      <c r="BW3532" t="str">
        <f t="shared" si="1639"/>
        <v>14:47:37.038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5</v>
      </c>
      <c r="CP3532" t="s">
        <v>119</v>
      </c>
      <c r="CQ3532">
        <v>56</v>
      </c>
      <c r="CR3532">
        <v>3</v>
      </c>
      <c r="CW3532">
        <v>12338894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1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 t="shared" si="1636"/>
        <v>05/12/2020 14:47:19.243</v>
      </c>
      <c r="C3533" t="str">
        <f t="shared" si="1616"/>
        <v>FFDFD3C0</v>
      </c>
      <c r="D3533" t="s">
        <v>138</v>
      </c>
      <c r="E3533">
        <v>3</v>
      </c>
      <c r="H3533">
        <v>9</v>
      </c>
      <c r="I3533" t="s">
        <v>140</v>
      </c>
      <c r="J3533" t="s">
        <v>136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637"/>
        <v>14:47:37.031</v>
      </c>
      <c r="T3533" t="str">
        <f t="shared" si="1638"/>
        <v>14:47:36.631</v>
      </c>
      <c r="U3533" t="str">
        <f t="shared" si="1635"/>
        <v>A9808D</v>
      </c>
      <c r="V3533">
        <v>0</v>
      </c>
      <c r="W3533">
        <v>0</v>
      </c>
      <c r="X3533">
        <v>1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0</v>
      </c>
      <c r="AI3533" t="s">
        <v>825</v>
      </c>
      <c r="AJ3533">
        <v>28.260999000000002</v>
      </c>
      <c r="AK3533" t="s">
        <v>810</v>
      </c>
      <c r="AL3533">
        <v>-82.260560999999996</v>
      </c>
      <c r="AM3533">
        <v>100</v>
      </c>
      <c r="AN3533">
        <v>2300</v>
      </c>
      <c r="AO3533" t="s">
        <v>118</v>
      </c>
      <c r="AP3533">
        <v>-24</v>
      </c>
      <c r="AQ3533">
        <v>132</v>
      </c>
      <c r="AR3533">
        <v>1024</v>
      </c>
      <c r="AZ3533">
        <v>1200</v>
      </c>
      <c r="BA3533">
        <v>1</v>
      </c>
      <c r="BB3533" t="str">
        <f t="shared" si="1617"/>
        <v xml:space="preserve">N711JA  </v>
      </c>
      <c r="BC3533">
        <v>1</v>
      </c>
      <c r="BE3533">
        <v>0</v>
      </c>
      <c r="BF3533">
        <v>0</v>
      </c>
      <c r="BG3533">
        <v>0</v>
      </c>
      <c r="BH3533">
        <v>2325</v>
      </c>
      <c r="BI3533">
        <v>1</v>
      </c>
      <c r="BJ3533">
        <v>1</v>
      </c>
      <c r="BK3533">
        <v>0</v>
      </c>
      <c r="BL3533">
        <v>0</v>
      </c>
      <c r="BO3533">
        <v>0</v>
      </c>
      <c r="BP3533">
        <v>0</v>
      </c>
      <c r="BW3533" t="str">
        <f t="shared" si="1639"/>
        <v>14:47:37.038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6</v>
      </c>
      <c r="CP3533" t="s">
        <v>119</v>
      </c>
      <c r="CQ3533">
        <v>358</v>
      </c>
      <c r="CR3533">
        <v>0</v>
      </c>
      <c r="CW3533">
        <v>4998077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1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 t="shared" ref="A3534:A3542" si="1640">"05/12/2020 14:47:20.154"</f>
        <v>05/12/2020 14:47:20.154</v>
      </c>
      <c r="C3534" t="str">
        <f t="shared" si="1616"/>
        <v>FFDFD3C0</v>
      </c>
      <c r="D3534" t="s">
        <v>131</v>
      </c>
      <c r="E3534">
        <v>18</v>
      </c>
      <c r="F3534">
        <v>2018</v>
      </c>
      <c r="G3534" t="s">
        <v>161</v>
      </c>
      <c r="J3534" t="s">
        <v>133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ref="S3534:S3542" si="1641">"14:47:37.992"</f>
        <v>14:47:37.992</v>
      </c>
      <c r="T3534" t="str">
        <f t="shared" ref="T3534:T3542" si="1642">"14:47:37.492"</f>
        <v>14:47:37.492</v>
      </c>
      <c r="U3534" t="str">
        <f t="shared" si="1635"/>
        <v>A9808D</v>
      </c>
      <c r="V3534">
        <v>0</v>
      </c>
      <c r="W3534">
        <v>0</v>
      </c>
      <c r="X3534">
        <v>1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0</v>
      </c>
      <c r="AI3534" t="s">
        <v>826</v>
      </c>
      <c r="AJ3534">
        <v>28.261578</v>
      </c>
      <c r="AK3534" t="s">
        <v>827</v>
      </c>
      <c r="AL3534">
        <v>-82.260667999999995</v>
      </c>
      <c r="AM3534">
        <v>100</v>
      </c>
      <c r="AN3534">
        <v>2300</v>
      </c>
      <c r="AO3534" t="s">
        <v>118</v>
      </c>
      <c r="AP3534">
        <v>-28</v>
      </c>
      <c r="AQ3534">
        <v>130</v>
      </c>
      <c r="AR3534">
        <v>1024</v>
      </c>
      <c r="AZ3534">
        <v>1200</v>
      </c>
      <c r="BA3534">
        <v>1</v>
      </c>
      <c r="BB3534" t="str">
        <f t="shared" si="1617"/>
        <v xml:space="preserve">N711JA  </v>
      </c>
      <c r="BC3534">
        <v>1</v>
      </c>
      <c r="BE3534">
        <v>0</v>
      </c>
      <c r="BF3534">
        <v>0</v>
      </c>
      <c r="BG3534">
        <v>0</v>
      </c>
      <c r="BH3534">
        <v>2350</v>
      </c>
      <c r="BI3534">
        <v>1</v>
      </c>
      <c r="BJ3534">
        <v>1</v>
      </c>
      <c r="BK3534">
        <v>0</v>
      </c>
      <c r="BL3534">
        <v>0</v>
      </c>
      <c r="BO3534">
        <v>0</v>
      </c>
      <c r="BP3534">
        <v>0</v>
      </c>
      <c r="BW3534" t="str">
        <f t="shared" ref="BW3534:BW3542" si="1643">"14:47:37.996"</f>
        <v>14:47:37.996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6</v>
      </c>
      <c r="CP3534" t="s">
        <v>119</v>
      </c>
      <c r="CQ3534">
        <v>56</v>
      </c>
      <c r="CR3534">
        <v>2</v>
      </c>
      <c r="CW3534">
        <v>5024532</v>
      </c>
      <c r="CY3534">
        <v>1</v>
      </c>
      <c r="CZ3534">
        <v>0</v>
      </c>
      <c r="DA3534">
        <v>0</v>
      </c>
      <c r="DB3534">
        <v>0</v>
      </c>
      <c r="DC3534">
        <v>0</v>
      </c>
      <c r="DD3534">
        <v>1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 t="shared" si="1640"/>
        <v>05/12/2020 14:47:20.154</v>
      </c>
      <c r="C3535" t="str">
        <f t="shared" si="1616"/>
        <v>FFDFD3C0</v>
      </c>
      <c r="D3535" t="s">
        <v>113</v>
      </c>
      <c r="E3535">
        <v>3</v>
      </c>
      <c r="H3535">
        <v>164</v>
      </c>
      <c r="I3535" t="s">
        <v>114</v>
      </c>
      <c r="J3535" t="s">
        <v>115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641"/>
        <v>14:47:37.992</v>
      </c>
      <c r="T3535" t="str">
        <f t="shared" si="1642"/>
        <v>14:47:37.492</v>
      </c>
      <c r="U3535" t="str">
        <f t="shared" si="1635"/>
        <v>A9808D</v>
      </c>
      <c r="V3535">
        <v>0</v>
      </c>
      <c r="W3535">
        <v>0</v>
      </c>
      <c r="X3535">
        <v>1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0</v>
      </c>
      <c r="AI3535" t="s">
        <v>826</v>
      </c>
      <c r="AJ3535">
        <v>28.261578</v>
      </c>
      <c r="AK3535" t="s">
        <v>827</v>
      </c>
      <c r="AL3535">
        <v>-82.260667999999995</v>
      </c>
      <c r="AM3535">
        <v>100</v>
      </c>
      <c r="AN3535">
        <v>2300</v>
      </c>
      <c r="AO3535" t="s">
        <v>118</v>
      </c>
      <c r="AP3535">
        <v>-28</v>
      </c>
      <c r="AQ3535">
        <v>130</v>
      </c>
      <c r="AR3535">
        <v>1024</v>
      </c>
      <c r="AZ3535">
        <v>1200</v>
      </c>
      <c r="BA3535">
        <v>1</v>
      </c>
      <c r="BB3535" t="str">
        <f t="shared" si="1617"/>
        <v xml:space="preserve">N711JA  </v>
      </c>
      <c r="BC3535">
        <v>1</v>
      </c>
      <c r="BE3535">
        <v>0</v>
      </c>
      <c r="BF3535">
        <v>0</v>
      </c>
      <c r="BG3535">
        <v>0</v>
      </c>
      <c r="BH3535">
        <v>2350</v>
      </c>
      <c r="BI3535">
        <v>1</v>
      </c>
      <c r="BJ3535">
        <v>1</v>
      </c>
      <c r="BK3535">
        <v>0</v>
      </c>
      <c r="BL3535">
        <v>0</v>
      </c>
      <c r="BO3535">
        <v>0</v>
      </c>
      <c r="BP3535">
        <v>0</v>
      </c>
      <c r="BW3535" t="str">
        <f t="shared" si="1643"/>
        <v>14:47:37.996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6</v>
      </c>
      <c r="CP3535" t="s">
        <v>119</v>
      </c>
      <c r="CQ3535">
        <v>56</v>
      </c>
      <c r="CR3535">
        <v>2</v>
      </c>
      <c r="CW3535">
        <v>5024532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1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 t="shared" si="1640"/>
        <v>05/12/2020 14:47:20.154</v>
      </c>
      <c r="C3536" t="str">
        <f t="shared" si="1616"/>
        <v>FFDFD3C0</v>
      </c>
      <c r="D3536" t="s">
        <v>134</v>
      </c>
      <c r="E3536">
        <v>12</v>
      </c>
      <c r="H3536">
        <v>64</v>
      </c>
      <c r="I3536" t="s">
        <v>135</v>
      </c>
      <c r="J3536" t="s">
        <v>136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si="1641"/>
        <v>14:47:37.992</v>
      </c>
      <c r="T3536" t="str">
        <f t="shared" si="1642"/>
        <v>14:47:37.492</v>
      </c>
      <c r="U3536" t="str">
        <f t="shared" si="1635"/>
        <v>A9808D</v>
      </c>
      <c r="V3536">
        <v>0</v>
      </c>
      <c r="W3536">
        <v>0</v>
      </c>
      <c r="X3536">
        <v>1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0</v>
      </c>
      <c r="AI3536" t="s">
        <v>826</v>
      </c>
      <c r="AJ3536">
        <v>28.261578</v>
      </c>
      <c r="AK3536" t="s">
        <v>827</v>
      </c>
      <c r="AL3536">
        <v>-82.260667999999995</v>
      </c>
      <c r="AM3536">
        <v>100</v>
      </c>
      <c r="AN3536">
        <v>2300</v>
      </c>
      <c r="AO3536" t="s">
        <v>118</v>
      </c>
      <c r="AP3536">
        <v>-28</v>
      </c>
      <c r="AQ3536">
        <v>130</v>
      </c>
      <c r="AR3536">
        <v>1024</v>
      </c>
      <c r="AZ3536">
        <v>1200</v>
      </c>
      <c r="BA3536">
        <v>1</v>
      </c>
      <c r="BB3536" t="str">
        <f t="shared" si="1617"/>
        <v xml:space="preserve">N711JA  </v>
      </c>
      <c r="BC3536">
        <v>1</v>
      </c>
      <c r="BE3536">
        <v>0</v>
      </c>
      <c r="BF3536">
        <v>0</v>
      </c>
      <c r="BG3536">
        <v>0</v>
      </c>
      <c r="BH3536">
        <v>2350</v>
      </c>
      <c r="BI3536">
        <v>1</v>
      </c>
      <c r="BJ3536">
        <v>1</v>
      </c>
      <c r="BK3536">
        <v>0</v>
      </c>
      <c r="BL3536">
        <v>0</v>
      </c>
      <c r="BO3536">
        <v>0</v>
      </c>
      <c r="BP3536">
        <v>0</v>
      </c>
      <c r="BW3536" t="str">
        <f t="shared" si="1643"/>
        <v>14:47:37.996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5</v>
      </c>
      <c r="CP3536" t="s">
        <v>119</v>
      </c>
      <c r="CQ3536">
        <v>358</v>
      </c>
      <c r="CR3536">
        <v>0</v>
      </c>
      <c r="CW3536">
        <v>4999234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1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 t="shared" si="1640"/>
        <v>05/12/2020 14:47:20.154</v>
      </c>
      <c r="C3537" t="str">
        <f t="shared" si="1616"/>
        <v>FFDFD3C0</v>
      </c>
      <c r="D3537" t="s">
        <v>126</v>
      </c>
      <c r="E3537">
        <v>6</v>
      </c>
      <c r="F3537">
        <v>1006</v>
      </c>
      <c r="G3537" t="s">
        <v>114</v>
      </c>
      <c r="J3537" t="s">
        <v>128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si="1641"/>
        <v>14:47:37.992</v>
      </c>
      <c r="T3537" t="str">
        <f t="shared" si="1642"/>
        <v>14:47:37.492</v>
      </c>
      <c r="U3537" t="str">
        <f t="shared" si="1635"/>
        <v>A9808D</v>
      </c>
      <c r="V3537">
        <v>0</v>
      </c>
      <c r="W3537">
        <v>0</v>
      </c>
      <c r="X3537">
        <v>1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0</v>
      </c>
      <c r="AI3537" t="s">
        <v>826</v>
      </c>
      <c r="AJ3537">
        <v>28.261578</v>
      </c>
      <c r="AK3537" t="s">
        <v>827</v>
      </c>
      <c r="AL3537">
        <v>-82.260667999999995</v>
      </c>
      <c r="AM3537">
        <v>100</v>
      </c>
      <c r="AN3537">
        <v>2300</v>
      </c>
      <c r="AO3537" t="s">
        <v>118</v>
      </c>
      <c r="AP3537">
        <v>-28</v>
      </c>
      <c r="AQ3537">
        <v>130</v>
      </c>
      <c r="AR3537">
        <v>1024</v>
      </c>
      <c r="AZ3537">
        <v>1200</v>
      </c>
      <c r="BA3537">
        <v>1</v>
      </c>
      <c r="BB3537" t="str">
        <f t="shared" si="1617"/>
        <v xml:space="preserve">N711JA  </v>
      </c>
      <c r="BC3537">
        <v>1</v>
      </c>
      <c r="BE3537">
        <v>0</v>
      </c>
      <c r="BF3537">
        <v>0</v>
      </c>
      <c r="BG3537">
        <v>0</v>
      </c>
      <c r="BH3537">
        <v>2350</v>
      </c>
      <c r="BI3537">
        <v>1</v>
      </c>
      <c r="BJ3537">
        <v>1</v>
      </c>
      <c r="BK3537">
        <v>0</v>
      </c>
      <c r="BL3537">
        <v>0</v>
      </c>
      <c r="BO3537">
        <v>0</v>
      </c>
      <c r="BP3537">
        <v>0</v>
      </c>
      <c r="BW3537" t="str">
        <f t="shared" si="1643"/>
        <v>14:47:37.996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6</v>
      </c>
      <c r="CP3537" t="s">
        <v>119</v>
      </c>
      <c r="CQ3537">
        <v>56</v>
      </c>
      <c r="CR3537">
        <v>2</v>
      </c>
      <c r="CW3537">
        <v>5024532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1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 t="shared" si="1640"/>
        <v>05/12/2020 14:47:20.154</v>
      </c>
      <c r="C3538" t="str">
        <f t="shared" si="1616"/>
        <v>FFDFD3C0</v>
      </c>
      <c r="D3538" t="s">
        <v>138</v>
      </c>
      <c r="E3538">
        <v>2</v>
      </c>
      <c r="H3538">
        <v>8</v>
      </c>
      <c r="I3538" t="s">
        <v>139</v>
      </c>
      <c r="J3538" t="s">
        <v>136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si="1641"/>
        <v>14:47:37.992</v>
      </c>
      <c r="T3538" t="str">
        <f t="shared" si="1642"/>
        <v>14:47:37.492</v>
      </c>
      <c r="U3538" t="str">
        <f t="shared" si="1635"/>
        <v>A9808D</v>
      </c>
      <c r="V3538">
        <v>0</v>
      </c>
      <c r="W3538">
        <v>0</v>
      </c>
      <c r="X3538">
        <v>1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0</v>
      </c>
      <c r="AI3538" t="s">
        <v>826</v>
      </c>
      <c r="AJ3538">
        <v>28.261578</v>
      </c>
      <c r="AK3538" t="s">
        <v>827</v>
      </c>
      <c r="AL3538">
        <v>-82.260667999999995</v>
      </c>
      <c r="AM3538">
        <v>100</v>
      </c>
      <c r="AN3538">
        <v>2300</v>
      </c>
      <c r="AO3538" t="s">
        <v>118</v>
      </c>
      <c r="AP3538">
        <v>-28</v>
      </c>
      <c r="AQ3538">
        <v>130</v>
      </c>
      <c r="AR3538">
        <v>1024</v>
      </c>
      <c r="AZ3538">
        <v>1200</v>
      </c>
      <c r="BA3538">
        <v>1</v>
      </c>
      <c r="BB3538" t="str">
        <f t="shared" si="1617"/>
        <v xml:space="preserve">N711JA  </v>
      </c>
      <c r="BC3538">
        <v>1</v>
      </c>
      <c r="BE3538">
        <v>0</v>
      </c>
      <c r="BF3538">
        <v>0</v>
      </c>
      <c r="BG3538">
        <v>0</v>
      </c>
      <c r="BH3538">
        <v>2350</v>
      </c>
      <c r="BI3538">
        <v>1</v>
      </c>
      <c r="BJ3538">
        <v>1</v>
      </c>
      <c r="BK3538">
        <v>0</v>
      </c>
      <c r="BL3538">
        <v>0</v>
      </c>
      <c r="BO3538">
        <v>0</v>
      </c>
      <c r="BP3538">
        <v>0</v>
      </c>
      <c r="BW3538" t="str">
        <f t="shared" si="1643"/>
        <v>14:47:37.996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6</v>
      </c>
      <c r="CP3538" t="s">
        <v>119</v>
      </c>
      <c r="CQ3538">
        <v>56</v>
      </c>
      <c r="CR3538">
        <v>2</v>
      </c>
      <c r="CW3538">
        <v>5024532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1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 t="shared" si="1640"/>
        <v>05/12/2020 14:47:20.154</v>
      </c>
      <c r="C3539" t="str">
        <f t="shared" si="1616"/>
        <v>FFDFD3C0</v>
      </c>
      <c r="D3539" t="s">
        <v>138</v>
      </c>
      <c r="E3539">
        <v>3</v>
      </c>
      <c r="H3539">
        <v>9</v>
      </c>
      <c r="I3539" t="s">
        <v>140</v>
      </c>
      <c r="J3539" t="s">
        <v>136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si="1641"/>
        <v>14:47:37.992</v>
      </c>
      <c r="T3539" t="str">
        <f t="shared" si="1642"/>
        <v>14:47:37.492</v>
      </c>
      <c r="U3539" t="str">
        <f t="shared" si="1635"/>
        <v>A9808D</v>
      </c>
      <c r="V3539">
        <v>0</v>
      </c>
      <c r="W3539">
        <v>0</v>
      </c>
      <c r="X3539">
        <v>1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0</v>
      </c>
      <c r="AI3539" t="s">
        <v>826</v>
      </c>
      <c r="AJ3539">
        <v>28.261578</v>
      </c>
      <c r="AK3539" t="s">
        <v>827</v>
      </c>
      <c r="AL3539">
        <v>-82.260667999999995</v>
      </c>
      <c r="AM3539">
        <v>100</v>
      </c>
      <c r="AN3539">
        <v>2300</v>
      </c>
      <c r="AO3539" t="s">
        <v>118</v>
      </c>
      <c r="AP3539">
        <v>-28</v>
      </c>
      <c r="AQ3539">
        <v>130</v>
      </c>
      <c r="AR3539">
        <v>1024</v>
      </c>
      <c r="AZ3539">
        <v>1200</v>
      </c>
      <c r="BA3539">
        <v>1</v>
      </c>
      <c r="BB3539" t="str">
        <f t="shared" si="1617"/>
        <v xml:space="preserve">N711JA  </v>
      </c>
      <c r="BC3539">
        <v>1</v>
      </c>
      <c r="BE3539">
        <v>0</v>
      </c>
      <c r="BF3539">
        <v>0</v>
      </c>
      <c r="BG3539">
        <v>0</v>
      </c>
      <c r="BH3539">
        <v>2350</v>
      </c>
      <c r="BI3539">
        <v>1</v>
      </c>
      <c r="BJ3539">
        <v>1</v>
      </c>
      <c r="BK3539">
        <v>0</v>
      </c>
      <c r="BL3539">
        <v>0</v>
      </c>
      <c r="BO3539">
        <v>0</v>
      </c>
      <c r="BP3539">
        <v>0</v>
      </c>
      <c r="BW3539" t="str">
        <f t="shared" si="1643"/>
        <v>14:47:37.996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6</v>
      </c>
      <c r="CP3539" t="s">
        <v>119</v>
      </c>
      <c r="CQ3539">
        <v>56</v>
      </c>
      <c r="CR3539">
        <v>2</v>
      </c>
      <c r="CW3539">
        <v>5024532</v>
      </c>
      <c r="CY3539">
        <v>1</v>
      </c>
      <c r="CZ3539">
        <v>0</v>
      </c>
      <c r="DA3539">
        <v>1</v>
      </c>
      <c r="DB3539">
        <v>0</v>
      </c>
      <c r="DC3539">
        <v>0</v>
      </c>
      <c r="DD3539">
        <v>1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 t="shared" si="1640"/>
        <v>05/12/2020 14:47:20.154</v>
      </c>
      <c r="C3540" t="str">
        <f t="shared" si="1616"/>
        <v>FFDFD3C0</v>
      </c>
      <c r="D3540" t="s">
        <v>126</v>
      </c>
      <c r="E3540">
        <v>7</v>
      </c>
      <c r="F3540">
        <v>1007</v>
      </c>
      <c r="G3540" t="s">
        <v>127</v>
      </c>
      <c r="J3540" t="s">
        <v>128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641"/>
        <v>14:47:37.992</v>
      </c>
      <c r="T3540" t="str">
        <f t="shared" si="1642"/>
        <v>14:47:37.492</v>
      </c>
      <c r="U3540" t="str">
        <f t="shared" si="1635"/>
        <v>A9808D</v>
      </c>
      <c r="V3540">
        <v>0</v>
      </c>
      <c r="W3540">
        <v>0</v>
      </c>
      <c r="X3540">
        <v>1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0</v>
      </c>
      <c r="AI3540" t="s">
        <v>826</v>
      </c>
      <c r="AJ3540">
        <v>28.261578</v>
      </c>
      <c r="AK3540" t="s">
        <v>827</v>
      </c>
      <c r="AL3540">
        <v>-82.260667999999995</v>
      </c>
      <c r="AM3540">
        <v>100</v>
      </c>
      <c r="AN3540">
        <v>2300</v>
      </c>
      <c r="AO3540" t="s">
        <v>118</v>
      </c>
      <c r="AP3540">
        <v>-28</v>
      </c>
      <c r="AQ3540">
        <v>130</v>
      </c>
      <c r="AR3540">
        <v>1024</v>
      </c>
      <c r="AZ3540">
        <v>1200</v>
      </c>
      <c r="BA3540">
        <v>1</v>
      </c>
      <c r="BB3540" t="str">
        <f t="shared" si="1617"/>
        <v xml:space="preserve">N711JA  </v>
      </c>
      <c r="BC3540">
        <v>1</v>
      </c>
      <c r="BE3540">
        <v>0</v>
      </c>
      <c r="BF3540">
        <v>0</v>
      </c>
      <c r="BG3540">
        <v>0</v>
      </c>
      <c r="BH3540">
        <v>2350</v>
      </c>
      <c r="BI3540">
        <v>1</v>
      </c>
      <c r="BJ3540">
        <v>1</v>
      </c>
      <c r="BK3540">
        <v>0</v>
      </c>
      <c r="BL3540">
        <v>0</v>
      </c>
      <c r="BO3540">
        <v>0</v>
      </c>
      <c r="BP3540">
        <v>0</v>
      </c>
      <c r="BW3540" t="str">
        <f t="shared" si="1643"/>
        <v>14:47:37.996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6</v>
      </c>
      <c r="CP3540" t="s">
        <v>119</v>
      </c>
      <c r="CQ3540">
        <v>56</v>
      </c>
      <c r="CR3540">
        <v>2</v>
      </c>
      <c r="CW3540">
        <v>5024532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1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 t="shared" si="1640"/>
        <v>05/12/2020 14:47:20.154</v>
      </c>
      <c r="C3541" t="str">
        <f t="shared" si="1616"/>
        <v>FFDFD3C0</v>
      </c>
      <c r="D3541" t="s">
        <v>131</v>
      </c>
      <c r="E3541">
        <v>10</v>
      </c>
      <c r="F3541">
        <v>2010</v>
      </c>
      <c r="G3541" t="s">
        <v>132</v>
      </c>
      <c r="J3541" t="s">
        <v>133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si="1641"/>
        <v>14:47:37.992</v>
      </c>
      <c r="T3541" t="str">
        <f t="shared" si="1642"/>
        <v>14:47:37.492</v>
      </c>
      <c r="U3541" t="str">
        <f t="shared" si="1635"/>
        <v>A9808D</v>
      </c>
      <c r="V3541">
        <v>0</v>
      </c>
      <c r="W3541">
        <v>0</v>
      </c>
      <c r="X3541">
        <v>1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0</v>
      </c>
      <c r="AI3541" t="s">
        <v>826</v>
      </c>
      <c r="AJ3541">
        <v>28.261578</v>
      </c>
      <c r="AK3541" t="s">
        <v>827</v>
      </c>
      <c r="AL3541">
        <v>-82.260667999999995</v>
      </c>
      <c r="AM3541">
        <v>100</v>
      </c>
      <c r="AN3541">
        <v>2300</v>
      </c>
      <c r="AO3541" t="s">
        <v>118</v>
      </c>
      <c r="AP3541">
        <v>-28</v>
      </c>
      <c r="AQ3541">
        <v>130</v>
      </c>
      <c r="AR3541">
        <v>1024</v>
      </c>
      <c r="AZ3541">
        <v>1200</v>
      </c>
      <c r="BA3541">
        <v>1</v>
      </c>
      <c r="BB3541" t="str">
        <f t="shared" si="1617"/>
        <v xml:space="preserve">N711JA  </v>
      </c>
      <c r="BC3541">
        <v>1</v>
      </c>
      <c r="BE3541">
        <v>0</v>
      </c>
      <c r="BF3541">
        <v>0</v>
      </c>
      <c r="BG3541">
        <v>0</v>
      </c>
      <c r="BH3541">
        <v>2350</v>
      </c>
      <c r="BI3541">
        <v>1</v>
      </c>
      <c r="BJ3541">
        <v>1</v>
      </c>
      <c r="BK3541">
        <v>0</v>
      </c>
      <c r="BL3541">
        <v>0</v>
      </c>
      <c r="BO3541">
        <v>0</v>
      </c>
      <c r="BP3541">
        <v>0</v>
      </c>
      <c r="BW3541" t="str">
        <f t="shared" si="1643"/>
        <v>14:47:37.996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6</v>
      </c>
      <c r="CP3541" t="s">
        <v>119</v>
      </c>
      <c r="CQ3541">
        <v>56</v>
      </c>
      <c r="CR3541">
        <v>2</v>
      </c>
      <c r="CW3541">
        <v>5024532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1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 t="shared" si="1640"/>
        <v>05/12/2020 14:47:20.154</v>
      </c>
      <c r="C3542" t="str">
        <f t="shared" ref="C3542:C3605" si="1644">"FFDFD3C0"</f>
        <v>FFDFD3C0</v>
      </c>
      <c r="D3542" t="s">
        <v>131</v>
      </c>
      <c r="E3542">
        <v>12</v>
      </c>
      <c r="F3542">
        <v>2012</v>
      </c>
      <c r="G3542" t="s">
        <v>137</v>
      </c>
      <c r="J3542" t="s">
        <v>133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641"/>
        <v>14:47:37.992</v>
      </c>
      <c r="T3542" t="str">
        <f t="shared" si="1642"/>
        <v>14:47:37.492</v>
      </c>
      <c r="U3542" t="str">
        <f t="shared" si="1635"/>
        <v>A9808D</v>
      </c>
      <c r="V3542">
        <v>0</v>
      </c>
      <c r="W3542">
        <v>0</v>
      </c>
      <c r="X3542">
        <v>1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0</v>
      </c>
      <c r="AI3542" t="s">
        <v>826</v>
      </c>
      <c r="AJ3542">
        <v>28.261578</v>
      </c>
      <c r="AK3542" t="s">
        <v>827</v>
      </c>
      <c r="AL3542">
        <v>-82.260667999999995</v>
      </c>
      <c r="AM3542">
        <v>100</v>
      </c>
      <c r="AN3542">
        <v>2300</v>
      </c>
      <c r="AO3542" t="s">
        <v>118</v>
      </c>
      <c r="AP3542">
        <v>-28</v>
      </c>
      <c r="AQ3542">
        <v>130</v>
      </c>
      <c r="AR3542">
        <v>1024</v>
      </c>
      <c r="AZ3542">
        <v>1200</v>
      </c>
      <c r="BA3542">
        <v>1</v>
      </c>
      <c r="BB3542" t="str">
        <f t="shared" ref="BB3542:BB3605" si="1645">"N711JA  "</f>
        <v xml:space="preserve">N711JA  </v>
      </c>
      <c r="BC3542">
        <v>1</v>
      </c>
      <c r="BE3542">
        <v>0</v>
      </c>
      <c r="BF3542">
        <v>0</v>
      </c>
      <c r="BG3542">
        <v>0</v>
      </c>
      <c r="BH3542">
        <v>2350</v>
      </c>
      <c r="BI3542">
        <v>1</v>
      </c>
      <c r="BJ3542">
        <v>1</v>
      </c>
      <c r="BK3542">
        <v>0</v>
      </c>
      <c r="BL3542">
        <v>0</v>
      </c>
      <c r="BO3542">
        <v>0</v>
      </c>
      <c r="BP3542">
        <v>0</v>
      </c>
      <c r="BW3542" t="str">
        <f t="shared" si="1643"/>
        <v>14:47:37.996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6</v>
      </c>
      <c r="CP3542" t="s">
        <v>119</v>
      </c>
      <c r="CQ3542">
        <v>56</v>
      </c>
      <c r="CR3542">
        <v>2</v>
      </c>
      <c r="CW3542">
        <v>5024532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1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 t="shared" ref="A3543:A3551" si="1646">"05/12/2020 14:47:21.337"</f>
        <v>05/12/2020 14:47:21.337</v>
      </c>
      <c r="C3543" t="str">
        <f t="shared" si="1644"/>
        <v>FFDFD3C0</v>
      </c>
      <c r="D3543" t="s">
        <v>138</v>
      </c>
      <c r="E3543">
        <v>3</v>
      </c>
      <c r="H3543">
        <v>9</v>
      </c>
      <c r="I3543" t="s">
        <v>140</v>
      </c>
      <c r="J3543" t="s">
        <v>136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ref="S3543:S3551" si="1647">"14:47:39.148"</f>
        <v>14:47:39.148</v>
      </c>
      <c r="T3543" t="str">
        <f>"14:47:39.048"</f>
        <v>14:47:39.048</v>
      </c>
      <c r="U3543" t="str">
        <f t="shared" si="1635"/>
        <v>A9808D</v>
      </c>
      <c r="V3543">
        <v>0</v>
      </c>
      <c r="W3543">
        <v>0</v>
      </c>
      <c r="X3543">
        <v>1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0</v>
      </c>
      <c r="AI3543" t="s">
        <v>828</v>
      </c>
      <c r="AJ3543">
        <v>28.262243000000002</v>
      </c>
      <c r="AK3543" t="s">
        <v>829</v>
      </c>
      <c r="AL3543">
        <v>-82.260883000000007</v>
      </c>
      <c r="AM3543">
        <v>100</v>
      </c>
      <c r="AN3543">
        <v>2300</v>
      </c>
      <c r="AO3543" t="s">
        <v>118</v>
      </c>
      <c r="AP3543">
        <v>-35</v>
      </c>
      <c r="AQ3543">
        <v>127</v>
      </c>
      <c r="AR3543">
        <v>1280</v>
      </c>
      <c r="AZ3543">
        <v>1200</v>
      </c>
      <c r="BA3543">
        <v>1</v>
      </c>
      <c r="BB3543" t="str">
        <f t="shared" si="1645"/>
        <v xml:space="preserve">N711JA  </v>
      </c>
      <c r="BC3543">
        <v>1</v>
      </c>
      <c r="BE3543">
        <v>0</v>
      </c>
      <c r="BF3543">
        <v>0</v>
      </c>
      <c r="BG3543">
        <v>0</v>
      </c>
      <c r="BH3543">
        <v>2375</v>
      </c>
      <c r="BI3543">
        <v>1</v>
      </c>
      <c r="BJ3543">
        <v>1</v>
      </c>
      <c r="BK3543">
        <v>0</v>
      </c>
      <c r="BL3543">
        <v>0</v>
      </c>
      <c r="BO3543">
        <v>0</v>
      </c>
      <c r="BP3543">
        <v>0</v>
      </c>
      <c r="BW3543" t="str">
        <f>"14:47:39.155"</f>
        <v>14:47:39.155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6</v>
      </c>
      <c r="CP3543" t="s">
        <v>119</v>
      </c>
      <c r="CQ3543">
        <v>358</v>
      </c>
      <c r="CR3543">
        <v>0</v>
      </c>
      <c r="CW3543">
        <v>5000665</v>
      </c>
      <c r="CY3543">
        <v>1</v>
      </c>
      <c r="CZ3543">
        <v>0</v>
      </c>
      <c r="DA3543">
        <v>0</v>
      </c>
      <c r="DB3543">
        <v>0</v>
      </c>
      <c r="DC3543">
        <v>0</v>
      </c>
      <c r="DD3543">
        <v>1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 t="shared" si="1646"/>
        <v>05/12/2020 14:47:21.337</v>
      </c>
      <c r="C3544" t="str">
        <f t="shared" si="1644"/>
        <v>FFDFD3C0</v>
      </c>
      <c r="D3544" t="s">
        <v>138</v>
      </c>
      <c r="E3544">
        <v>2</v>
      </c>
      <c r="H3544">
        <v>8</v>
      </c>
      <c r="I3544" t="s">
        <v>139</v>
      </c>
      <c r="J3544" t="s">
        <v>136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si="1647"/>
        <v>14:47:39.148</v>
      </c>
      <c r="T3544" t="str">
        <f>"14:47:38.548"</f>
        <v>14:47:38.548</v>
      </c>
      <c r="U3544" t="str">
        <f t="shared" si="1635"/>
        <v>A9808D</v>
      </c>
      <c r="V3544">
        <v>0</v>
      </c>
      <c r="W3544">
        <v>0</v>
      </c>
      <c r="X3544">
        <v>1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0</v>
      </c>
      <c r="AI3544" t="s">
        <v>828</v>
      </c>
      <c r="AJ3544">
        <v>28.262243000000002</v>
      </c>
      <c r="AK3544" t="s">
        <v>829</v>
      </c>
      <c r="AL3544">
        <v>-82.260883000000007</v>
      </c>
      <c r="AM3544">
        <v>100</v>
      </c>
      <c r="AN3544">
        <v>2300</v>
      </c>
      <c r="AO3544" t="s">
        <v>118</v>
      </c>
      <c r="AP3544">
        <v>-32</v>
      </c>
      <c r="AQ3544">
        <v>128</v>
      </c>
      <c r="AR3544">
        <v>1088</v>
      </c>
      <c r="AZ3544">
        <v>1200</v>
      </c>
      <c r="BA3544">
        <v>1</v>
      </c>
      <c r="BB3544" t="str">
        <f t="shared" si="1645"/>
        <v xml:space="preserve">N711JA  </v>
      </c>
      <c r="BC3544">
        <v>1</v>
      </c>
      <c r="BE3544">
        <v>0</v>
      </c>
      <c r="BF3544">
        <v>0</v>
      </c>
      <c r="BG3544">
        <v>0</v>
      </c>
      <c r="BH3544">
        <v>2375</v>
      </c>
      <c r="BI3544">
        <v>1</v>
      </c>
      <c r="BJ3544">
        <v>1</v>
      </c>
      <c r="BK3544">
        <v>0</v>
      </c>
      <c r="BL3544">
        <v>0</v>
      </c>
      <c r="BO3544">
        <v>0</v>
      </c>
      <c r="BP3544">
        <v>0</v>
      </c>
      <c r="BW3544" t="str">
        <f>"14:47:39.156"</f>
        <v>14:47:39.156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5</v>
      </c>
      <c r="CP3544" t="s">
        <v>119</v>
      </c>
      <c r="CQ3544">
        <v>56</v>
      </c>
      <c r="CR3544">
        <v>2</v>
      </c>
      <c r="CW3544">
        <v>5026004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1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 t="shared" si="1646"/>
        <v>05/12/2020 14:47:21.337</v>
      </c>
      <c r="C3545" t="str">
        <f t="shared" si="1644"/>
        <v>FFDFD3C0</v>
      </c>
      <c r="D3545" t="s">
        <v>126</v>
      </c>
      <c r="E3545">
        <v>7</v>
      </c>
      <c r="F3545">
        <v>1007</v>
      </c>
      <c r="G3545" t="s">
        <v>127</v>
      </c>
      <c r="J3545" t="s">
        <v>128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647"/>
        <v>14:47:39.148</v>
      </c>
      <c r="T3545" t="str">
        <f>"14:47:39.048"</f>
        <v>14:47:39.048</v>
      </c>
      <c r="U3545" t="str">
        <f t="shared" si="1635"/>
        <v>A9808D</v>
      </c>
      <c r="V3545">
        <v>0</v>
      </c>
      <c r="W3545">
        <v>0</v>
      </c>
      <c r="X3545">
        <v>1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0</v>
      </c>
      <c r="AI3545" t="s">
        <v>828</v>
      </c>
      <c r="AJ3545">
        <v>28.262243000000002</v>
      </c>
      <c r="AK3545" t="s">
        <v>829</v>
      </c>
      <c r="AL3545">
        <v>-82.260883000000007</v>
      </c>
      <c r="AM3545">
        <v>100</v>
      </c>
      <c r="AN3545">
        <v>2300</v>
      </c>
      <c r="AO3545" t="s">
        <v>118</v>
      </c>
      <c r="AP3545">
        <v>-35</v>
      </c>
      <c r="AQ3545">
        <v>127</v>
      </c>
      <c r="AR3545">
        <v>1280</v>
      </c>
      <c r="AZ3545">
        <v>1200</v>
      </c>
      <c r="BA3545">
        <v>1</v>
      </c>
      <c r="BB3545" t="str">
        <f t="shared" si="1645"/>
        <v xml:space="preserve">N711JA  </v>
      </c>
      <c r="BC3545">
        <v>1</v>
      </c>
      <c r="BE3545">
        <v>0</v>
      </c>
      <c r="BF3545">
        <v>0</v>
      </c>
      <c r="BG3545">
        <v>0</v>
      </c>
      <c r="BH3545">
        <v>2375</v>
      </c>
      <c r="BI3545">
        <v>1</v>
      </c>
      <c r="BJ3545">
        <v>1</v>
      </c>
      <c r="BK3545">
        <v>0</v>
      </c>
      <c r="BL3545">
        <v>0</v>
      </c>
      <c r="BO3545">
        <v>0</v>
      </c>
      <c r="BP3545">
        <v>0</v>
      </c>
      <c r="BW3545" t="str">
        <f>"14:47:39.155"</f>
        <v>14:47:39.155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6</v>
      </c>
      <c r="CP3545" t="s">
        <v>119</v>
      </c>
      <c r="CQ3545">
        <v>358</v>
      </c>
      <c r="CR3545">
        <v>0</v>
      </c>
      <c r="CW3545">
        <v>5000665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1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 t="shared" si="1646"/>
        <v>05/12/2020 14:47:21.337</v>
      </c>
      <c r="C3546" t="str">
        <f t="shared" si="1644"/>
        <v>FFDFD3C0</v>
      </c>
      <c r="D3546" t="s">
        <v>131</v>
      </c>
      <c r="E3546">
        <v>10</v>
      </c>
      <c r="F3546">
        <v>2010</v>
      </c>
      <c r="G3546" t="s">
        <v>132</v>
      </c>
      <c r="J3546" t="s">
        <v>133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1647"/>
        <v>14:47:39.148</v>
      </c>
      <c r="T3546" t="str">
        <f>"14:47:39.048"</f>
        <v>14:47:39.048</v>
      </c>
      <c r="U3546" t="str">
        <f t="shared" si="1635"/>
        <v>A9808D</v>
      </c>
      <c r="V3546">
        <v>0</v>
      </c>
      <c r="W3546">
        <v>0</v>
      </c>
      <c r="X3546">
        <v>1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0</v>
      </c>
      <c r="AI3546" t="s">
        <v>828</v>
      </c>
      <c r="AJ3546">
        <v>28.262243000000002</v>
      </c>
      <c r="AK3546" t="s">
        <v>829</v>
      </c>
      <c r="AL3546">
        <v>-82.260883000000007</v>
      </c>
      <c r="AM3546">
        <v>100</v>
      </c>
      <c r="AN3546">
        <v>2300</v>
      </c>
      <c r="AO3546" t="s">
        <v>118</v>
      </c>
      <c r="AP3546">
        <v>-35</v>
      </c>
      <c r="AQ3546">
        <v>127</v>
      </c>
      <c r="AR3546">
        <v>1280</v>
      </c>
      <c r="AZ3546">
        <v>1200</v>
      </c>
      <c r="BA3546">
        <v>1</v>
      </c>
      <c r="BB3546" t="str">
        <f t="shared" si="1645"/>
        <v xml:space="preserve">N711JA  </v>
      </c>
      <c r="BC3546">
        <v>1</v>
      </c>
      <c r="BE3546">
        <v>0</v>
      </c>
      <c r="BF3546">
        <v>0</v>
      </c>
      <c r="BG3546">
        <v>0</v>
      </c>
      <c r="BH3546">
        <v>2375</v>
      </c>
      <c r="BI3546">
        <v>1</v>
      </c>
      <c r="BJ3546">
        <v>1</v>
      </c>
      <c r="BK3546">
        <v>0</v>
      </c>
      <c r="BL3546">
        <v>0</v>
      </c>
      <c r="BO3546">
        <v>0</v>
      </c>
      <c r="BP3546">
        <v>0</v>
      </c>
      <c r="BW3546" t="str">
        <f>"14:47:39.155"</f>
        <v>14:47:39.155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6</v>
      </c>
      <c r="CP3546" t="s">
        <v>119</v>
      </c>
      <c r="CQ3546">
        <v>358</v>
      </c>
      <c r="CR3546">
        <v>0</v>
      </c>
      <c r="CW3546">
        <v>5000665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1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 t="shared" si="1646"/>
        <v>05/12/2020 14:47:21.337</v>
      </c>
      <c r="C3547" t="str">
        <f t="shared" si="1644"/>
        <v>FFDFD3C0</v>
      </c>
      <c r="D3547" t="s">
        <v>131</v>
      </c>
      <c r="E3547">
        <v>12</v>
      </c>
      <c r="F3547">
        <v>2012</v>
      </c>
      <c r="G3547" t="s">
        <v>137</v>
      </c>
      <c r="J3547" t="s">
        <v>133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647"/>
        <v>14:47:39.148</v>
      </c>
      <c r="T3547" t="str">
        <f>"14:47:38.548"</f>
        <v>14:47:38.548</v>
      </c>
      <c r="U3547" t="str">
        <f t="shared" si="1635"/>
        <v>A9808D</v>
      </c>
      <c r="V3547">
        <v>0</v>
      </c>
      <c r="W3547">
        <v>0</v>
      </c>
      <c r="X3547">
        <v>1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0</v>
      </c>
      <c r="AI3547" t="s">
        <v>828</v>
      </c>
      <c r="AJ3547">
        <v>28.262243000000002</v>
      </c>
      <c r="AK3547" t="s">
        <v>829</v>
      </c>
      <c r="AL3547">
        <v>-82.260883000000007</v>
      </c>
      <c r="AM3547">
        <v>100</v>
      </c>
      <c r="AN3547">
        <v>2300</v>
      </c>
      <c r="AO3547" t="s">
        <v>118</v>
      </c>
      <c r="AP3547">
        <v>-32</v>
      </c>
      <c r="AQ3547">
        <v>128</v>
      </c>
      <c r="AR3547">
        <v>1088</v>
      </c>
      <c r="AZ3547">
        <v>1200</v>
      </c>
      <c r="BA3547">
        <v>1</v>
      </c>
      <c r="BB3547" t="str">
        <f t="shared" si="1645"/>
        <v xml:space="preserve">N711JA  </v>
      </c>
      <c r="BC3547">
        <v>1</v>
      </c>
      <c r="BE3547">
        <v>0</v>
      </c>
      <c r="BF3547">
        <v>0</v>
      </c>
      <c r="BG3547">
        <v>0</v>
      </c>
      <c r="BH3547">
        <v>2375</v>
      </c>
      <c r="BI3547">
        <v>1</v>
      </c>
      <c r="BJ3547">
        <v>1</v>
      </c>
      <c r="BK3547">
        <v>0</v>
      </c>
      <c r="BL3547">
        <v>0</v>
      </c>
      <c r="BO3547">
        <v>0</v>
      </c>
      <c r="BP3547">
        <v>0</v>
      </c>
      <c r="BW3547" t="str">
        <f>"14:47:39.156"</f>
        <v>14:47:39.156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5</v>
      </c>
      <c r="CP3547" t="s">
        <v>119</v>
      </c>
      <c r="CQ3547">
        <v>56</v>
      </c>
      <c r="CR3547">
        <v>2</v>
      </c>
      <c r="CW3547">
        <v>5026004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1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 t="shared" si="1646"/>
        <v>05/12/2020 14:47:21.337</v>
      </c>
      <c r="C3548" t="str">
        <f t="shared" si="1644"/>
        <v>FFDFD3C0</v>
      </c>
      <c r="D3548" t="s">
        <v>131</v>
      </c>
      <c r="E3548">
        <v>18</v>
      </c>
      <c r="F3548">
        <v>2018</v>
      </c>
      <c r="G3548" t="s">
        <v>161</v>
      </c>
      <c r="J3548" t="s">
        <v>133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1647"/>
        <v>14:47:39.148</v>
      </c>
      <c r="T3548" t="str">
        <f>"14:47:39.048"</f>
        <v>14:47:39.048</v>
      </c>
      <c r="U3548" t="str">
        <f t="shared" si="1635"/>
        <v>A9808D</v>
      </c>
      <c r="V3548">
        <v>0</v>
      </c>
      <c r="W3548">
        <v>0</v>
      </c>
      <c r="X3548">
        <v>1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0</v>
      </c>
      <c r="AI3548" t="s">
        <v>828</v>
      </c>
      <c r="AJ3548">
        <v>28.262243000000002</v>
      </c>
      <c r="AK3548" t="s">
        <v>829</v>
      </c>
      <c r="AL3548">
        <v>-82.260883000000007</v>
      </c>
      <c r="AM3548">
        <v>100</v>
      </c>
      <c r="AN3548">
        <v>2300</v>
      </c>
      <c r="AO3548" t="s">
        <v>118</v>
      </c>
      <c r="AP3548">
        <v>-35</v>
      </c>
      <c r="AQ3548">
        <v>127</v>
      </c>
      <c r="AR3548">
        <v>1280</v>
      </c>
      <c r="AZ3548">
        <v>1200</v>
      </c>
      <c r="BA3548">
        <v>1</v>
      </c>
      <c r="BB3548" t="str">
        <f t="shared" si="1645"/>
        <v xml:space="preserve">N711JA  </v>
      </c>
      <c r="BC3548">
        <v>1</v>
      </c>
      <c r="BE3548">
        <v>0</v>
      </c>
      <c r="BF3548">
        <v>0</v>
      </c>
      <c r="BG3548">
        <v>0</v>
      </c>
      <c r="BH3548">
        <v>2375</v>
      </c>
      <c r="BI3548">
        <v>1</v>
      </c>
      <c r="BJ3548">
        <v>1</v>
      </c>
      <c r="BK3548">
        <v>0</v>
      </c>
      <c r="BL3548">
        <v>0</v>
      </c>
      <c r="BO3548">
        <v>0</v>
      </c>
      <c r="BP3548">
        <v>0</v>
      </c>
      <c r="BW3548" t="str">
        <f>"14:47:39.156"</f>
        <v>14:47:39.156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5</v>
      </c>
      <c r="CP3548" t="s">
        <v>119</v>
      </c>
      <c r="CQ3548">
        <v>62</v>
      </c>
      <c r="CR3548">
        <v>1</v>
      </c>
      <c r="CW3548">
        <v>12936016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1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 t="shared" si="1646"/>
        <v>05/12/2020 14:47:21.337</v>
      </c>
      <c r="C3549" t="str">
        <f t="shared" si="1644"/>
        <v>FFDFD3C0</v>
      </c>
      <c r="D3549" t="s">
        <v>126</v>
      </c>
      <c r="E3549">
        <v>6</v>
      </c>
      <c r="F3549">
        <v>1006</v>
      </c>
      <c r="G3549" t="s">
        <v>114</v>
      </c>
      <c r="J3549" t="s">
        <v>128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1647"/>
        <v>14:47:39.148</v>
      </c>
      <c r="T3549" t="str">
        <f>"14:47:39.048"</f>
        <v>14:47:39.048</v>
      </c>
      <c r="U3549" t="str">
        <f t="shared" si="1635"/>
        <v>A9808D</v>
      </c>
      <c r="V3549">
        <v>0</v>
      </c>
      <c r="W3549">
        <v>0</v>
      </c>
      <c r="X3549">
        <v>1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0</v>
      </c>
      <c r="AI3549" t="s">
        <v>828</v>
      </c>
      <c r="AJ3549">
        <v>28.262243000000002</v>
      </c>
      <c r="AK3549" t="s">
        <v>829</v>
      </c>
      <c r="AL3549">
        <v>-82.260883000000007</v>
      </c>
      <c r="AM3549">
        <v>100</v>
      </c>
      <c r="AN3549">
        <v>2300</v>
      </c>
      <c r="AO3549" t="s">
        <v>118</v>
      </c>
      <c r="AP3549">
        <v>-35</v>
      </c>
      <c r="AQ3549">
        <v>127</v>
      </c>
      <c r="AR3549">
        <v>1280</v>
      </c>
      <c r="AZ3549">
        <v>1200</v>
      </c>
      <c r="BA3549">
        <v>1</v>
      </c>
      <c r="BB3549" t="str">
        <f t="shared" si="1645"/>
        <v xml:space="preserve">N711JA  </v>
      </c>
      <c r="BC3549">
        <v>1</v>
      </c>
      <c r="BE3549">
        <v>0</v>
      </c>
      <c r="BF3549">
        <v>0</v>
      </c>
      <c r="BG3549">
        <v>0</v>
      </c>
      <c r="BH3549">
        <v>2375</v>
      </c>
      <c r="BI3549">
        <v>1</v>
      </c>
      <c r="BJ3549">
        <v>1</v>
      </c>
      <c r="BK3549">
        <v>0</v>
      </c>
      <c r="BL3549">
        <v>0</v>
      </c>
      <c r="BO3549">
        <v>0</v>
      </c>
      <c r="BP3549">
        <v>0</v>
      </c>
      <c r="BW3549" t="str">
        <f>"14:47:39.155"</f>
        <v>14:47:39.155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6</v>
      </c>
      <c r="CP3549" t="s">
        <v>119</v>
      </c>
      <c r="CQ3549">
        <v>358</v>
      </c>
      <c r="CR3549">
        <v>0</v>
      </c>
      <c r="CW3549">
        <v>5000665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1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 t="shared" si="1646"/>
        <v>05/12/2020 14:47:21.337</v>
      </c>
      <c r="C3550" t="str">
        <f t="shared" si="1644"/>
        <v>FFDFD3C0</v>
      </c>
      <c r="D3550" t="s">
        <v>113</v>
      </c>
      <c r="E3550">
        <v>3</v>
      </c>
      <c r="H3550">
        <v>164</v>
      </c>
      <c r="I3550" t="s">
        <v>114</v>
      </c>
      <c r="J3550" t="s">
        <v>115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si="1647"/>
        <v>14:47:39.148</v>
      </c>
      <c r="T3550" t="str">
        <f>"14:47:39.048"</f>
        <v>14:47:39.048</v>
      </c>
      <c r="U3550" t="str">
        <f t="shared" si="1635"/>
        <v>A9808D</v>
      </c>
      <c r="V3550">
        <v>0</v>
      </c>
      <c r="W3550">
        <v>0</v>
      </c>
      <c r="X3550">
        <v>1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0</v>
      </c>
      <c r="AI3550" t="s">
        <v>828</v>
      </c>
      <c r="AJ3550">
        <v>28.262243000000002</v>
      </c>
      <c r="AK3550" t="s">
        <v>829</v>
      </c>
      <c r="AL3550">
        <v>-82.260883000000007</v>
      </c>
      <c r="AM3550">
        <v>100</v>
      </c>
      <c r="AN3550">
        <v>2300</v>
      </c>
      <c r="AO3550" t="s">
        <v>118</v>
      </c>
      <c r="AP3550">
        <v>-35</v>
      </c>
      <c r="AQ3550">
        <v>127</v>
      </c>
      <c r="AR3550">
        <v>1280</v>
      </c>
      <c r="AZ3550">
        <v>1200</v>
      </c>
      <c r="BA3550">
        <v>1</v>
      </c>
      <c r="BB3550" t="str">
        <f t="shared" si="1645"/>
        <v xml:space="preserve">N711JA  </v>
      </c>
      <c r="BC3550">
        <v>1</v>
      </c>
      <c r="BE3550">
        <v>0</v>
      </c>
      <c r="BF3550">
        <v>0</v>
      </c>
      <c r="BG3550">
        <v>0</v>
      </c>
      <c r="BH3550">
        <v>2375</v>
      </c>
      <c r="BI3550">
        <v>1</v>
      </c>
      <c r="BJ3550">
        <v>1</v>
      </c>
      <c r="BK3550">
        <v>0</v>
      </c>
      <c r="BL3550">
        <v>0</v>
      </c>
      <c r="BO3550">
        <v>0</v>
      </c>
      <c r="BP3550">
        <v>0</v>
      </c>
      <c r="BW3550" t="str">
        <f>"14:47:39.156"</f>
        <v>14:47:39.156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5</v>
      </c>
      <c r="CP3550" t="s">
        <v>119</v>
      </c>
      <c r="CQ3550">
        <v>62</v>
      </c>
      <c r="CR3550">
        <v>1</v>
      </c>
      <c r="CW3550">
        <v>12936016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1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 t="shared" si="1646"/>
        <v>05/12/2020 14:47:21.337</v>
      </c>
      <c r="C3551" t="str">
        <f t="shared" si="1644"/>
        <v>FFDFD3C0</v>
      </c>
      <c r="D3551" t="s">
        <v>134</v>
      </c>
      <c r="E3551">
        <v>12</v>
      </c>
      <c r="H3551">
        <v>64</v>
      </c>
      <c r="I3551" t="s">
        <v>135</v>
      </c>
      <c r="J3551" t="s">
        <v>136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647"/>
        <v>14:47:39.148</v>
      </c>
      <c r="T3551" t="str">
        <f>"14:47:39.048"</f>
        <v>14:47:39.048</v>
      </c>
      <c r="U3551" t="str">
        <f t="shared" si="1635"/>
        <v>A9808D</v>
      </c>
      <c r="V3551">
        <v>0</v>
      </c>
      <c r="W3551">
        <v>0</v>
      </c>
      <c r="X3551">
        <v>1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0</v>
      </c>
      <c r="AI3551" t="s">
        <v>828</v>
      </c>
      <c r="AJ3551">
        <v>28.262243000000002</v>
      </c>
      <c r="AK3551" t="s">
        <v>829</v>
      </c>
      <c r="AL3551">
        <v>-82.260883000000007</v>
      </c>
      <c r="AM3551">
        <v>100</v>
      </c>
      <c r="AN3551">
        <v>2300</v>
      </c>
      <c r="AO3551" t="s">
        <v>118</v>
      </c>
      <c r="AP3551">
        <v>-35</v>
      </c>
      <c r="AQ3551">
        <v>127</v>
      </c>
      <c r="AR3551">
        <v>1280</v>
      </c>
      <c r="AZ3551">
        <v>1200</v>
      </c>
      <c r="BA3551">
        <v>1</v>
      </c>
      <c r="BB3551" t="str">
        <f t="shared" si="1645"/>
        <v xml:space="preserve">N711JA  </v>
      </c>
      <c r="BC3551">
        <v>1</v>
      </c>
      <c r="BE3551">
        <v>0</v>
      </c>
      <c r="BF3551">
        <v>0</v>
      </c>
      <c r="BG3551">
        <v>0</v>
      </c>
      <c r="BH3551">
        <v>2375</v>
      </c>
      <c r="BI3551">
        <v>1</v>
      </c>
      <c r="BJ3551">
        <v>1</v>
      </c>
      <c r="BK3551">
        <v>0</v>
      </c>
      <c r="BL3551">
        <v>0</v>
      </c>
      <c r="BO3551">
        <v>0</v>
      </c>
      <c r="BP3551">
        <v>0</v>
      </c>
      <c r="BW3551" t="str">
        <f>"14:47:39.155"</f>
        <v>14:47:39.155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358</v>
      </c>
      <c r="CR3551">
        <v>0</v>
      </c>
      <c r="CW3551">
        <v>5000665</v>
      </c>
      <c r="CY3551">
        <v>1</v>
      </c>
      <c r="CZ3551">
        <v>0</v>
      </c>
      <c r="DA3551">
        <v>1</v>
      </c>
      <c r="DB3551">
        <v>0</v>
      </c>
      <c r="DC3551">
        <v>0</v>
      </c>
      <c r="DD3551">
        <v>1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 t="shared" ref="A3552:A3560" si="1648">"05/12/2020 14:47:22.275"</f>
        <v>05/12/2020 14:47:22.275</v>
      </c>
      <c r="C3552" t="str">
        <f t="shared" si="1644"/>
        <v>FFDFD3C0</v>
      </c>
      <c r="D3552" t="s">
        <v>126</v>
      </c>
      <c r="E3552">
        <v>6</v>
      </c>
      <c r="F3552">
        <v>1006</v>
      </c>
      <c r="G3552" t="s">
        <v>114</v>
      </c>
      <c r="J3552" t="s">
        <v>128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ref="S3552:S3560" si="1649">"14:47:40.102"</f>
        <v>14:47:40.102</v>
      </c>
      <c r="T3552" t="str">
        <f t="shared" ref="T3552:T3560" si="1650">"14:47:40.002"</f>
        <v>14:47:40.002</v>
      </c>
      <c r="U3552" t="str">
        <f t="shared" si="1635"/>
        <v>A9808D</v>
      </c>
      <c r="V3552">
        <v>0</v>
      </c>
      <c r="W3552">
        <v>0</v>
      </c>
      <c r="X3552">
        <v>1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0</v>
      </c>
      <c r="AI3552" t="s">
        <v>830</v>
      </c>
      <c r="AJ3552">
        <v>28.262844000000001</v>
      </c>
      <c r="AK3552" t="s">
        <v>831</v>
      </c>
      <c r="AL3552">
        <v>-82.261097000000007</v>
      </c>
      <c r="AM3552">
        <v>100</v>
      </c>
      <c r="AN3552">
        <v>2300</v>
      </c>
      <c r="AO3552" t="s">
        <v>118</v>
      </c>
      <c r="AP3552">
        <v>-37</v>
      </c>
      <c r="AQ3552">
        <v>125</v>
      </c>
      <c r="AR3552">
        <v>1024</v>
      </c>
      <c r="AZ3552">
        <v>1200</v>
      </c>
      <c r="BA3552">
        <v>1</v>
      </c>
      <c r="BB3552" t="str">
        <f t="shared" si="1645"/>
        <v xml:space="preserve">N711JA  </v>
      </c>
      <c r="BC3552">
        <v>1</v>
      </c>
      <c r="BE3552">
        <v>0</v>
      </c>
      <c r="BF3552">
        <v>0</v>
      </c>
      <c r="BG3552">
        <v>0</v>
      </c>
      <c r="BH3552">
        <v>2400</v>
      </c>
      <c r="BI3552">
        <v>1</v>
      </c>
      <c r="BJ3552">
        <v>1</v>
      </c>
      <c r="BK3552">
        <v>0</v>
      </c>
      <c r="BL3552">
        <v>0</v>
      </c>
      <c r="BO3552">
        <v>0</v>
      </c>
      <c r="BP3552">
        <v>0</v>
      </c>
      <c r="BW3552" t="str">
        <f t="shared" ref="BW3552:BW3560" si="1651">"14:47:40.109"</f>
        <v>14:47:40.109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5</v>
      </c>
      <c r="CP3552" t="s">
        <v>119</v>
      </c>
      <c r="CQ3552">
        <v>56</v>
      </c>
      <c r="CR3552">
        <v>2</v>
      </c>
      <c r="CW3552">
        <v>5027113</v>
      </c>
      <c r="CY3552">
        <v>1</v>
      </c>
      <c r="CZ3552">
        <v>0</v>
      </c>
      <c r="DA3552">
        <v>0</v>
      </c>
      <c r="DB3552">
        <v>0</v>
      </c>
      <c r="DC3552">
        <v>0</v>
      </c>
      <c r="DD3552">
        <v>1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 t="shared" si="1648"/>
        <v>05/12/2020 14:47:22.275</v>
      </c>
      <c r="C3553" t="str">
        <f t="shared" si="1644"/>
        <v>FFDFD3C0</v>
      </c>
      <c r="D3553" t="s">
        <v>134</v>
      </c>
      <c r="E3553">
        <v>12</v>
      </c>
      <c r="H3553">
        <v>64</v>
      </c>
      <c r="I3553" t="s">
        <v>135</v>
      </c>
      <c r="J3553" t="s">
        <v>136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1649"/>
        <v>14:47:40.102</v>
      </c>
      <c r="T3553" t="str">
        <f t="shared" si="1650"/>
        <v>14:47:40.002</v>
      </c>
      <c r="U3553" t="str">
        <f t="shared" si="1635"/>
        <v>A9808D</v>
      </c>
      <c r="V3553">
        <v>0</v>
      </c>
      <c r="W3553">
        <v>0</v>
      </c>
      <c r="X3553">
        <v>1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0</v>
      </c>
      <c r="AI3553" t="s">
        <v>830</v>
      </c>
      <c r="AJ3553">
        <v>28.262844000000001</v>
      </c>
      <c r="AK3553" t="s">
        <v>831</v>
      </c>
      <c r="AL3553">
        <v>-82.261097000000007</v>
      </c>
      <c r="AM3553">
        <v>100</v>
      </c>
      <c r="AN3553">
        <v>2300</v>
      </c>
      <c r="AO3553" t="s">
        <v>118</v>
      </c>
      <c r="AP3553">
        <v>-37</v>
      </c>
      <c r="AQ3553">
        <v>125</v>
      </c>
      <c r="AR3553">
        <v>1024</v>
      </c>
      <c r="AZ3553">
        <v>1200</v>
      </c>
      <c r="BA3553">
        <v>1</v>
      </c>
      <c r="BB3553" t="str">
        <f t="shared" si="1645"/>
        <v xml:space="preserve">N711JA  </v>
      </c>
      <c r="BC3553">
        <v>1</v>
      </c>
      <c r="BE3553">
        <v>0</v>
      </c>
      <c r="BF3553">
        <v>0</v>
      </c>
      <c r="BG3553">
        <v>0</v>
      </c>
      <c r="BH3553">
        <v>2400</v>
      </c>
      <c r="BI3553">
        <v>1</v>
      </c>
      <c r="BJ3553">
        <v>1</v>
      </c>
      <c r="BK3553">
        <v>0</v>
      </c>
      <c r="BL3553">
        <v>0</v>
      </c>
      <c r="BO3553">
        <v>0</v>
      </c>
      <c r="BP3553">
        <v>0</v>
      </c>
      <c r="BW3553" t="str">
        <f t="shared" si="1651"/>
        <v>14:47:40.109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5</v>
      </c>
      <c r="CP3553" t="s">
        <v>119</v>
      </c>
      <c r="CQ3553">
        <v>358</v>
      </c>
      <c r="CR3553">
        <v>0</v>
      </c>
      <c r="CW3553">
        <v>5001832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1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 t="shared" si="1648"/>
        <v>05/12/2020 14:47:22.275</v>
      </c>
      <c r="C3554" t="str">
        <f t="shared" si="1644"/>
        <v>FFDFD3C0</v>
      </c>
      <c r="D3554" t="s">
        <v>138</v>
      </c>
      <c r="E3554">
        <v>2</v>
      </c>
      <c r="H3554">
        <v>8</v>
      </c>
      <c r="I3554" t="s">
        <v>139</v>
      </c>
      <c r="J3554" t="s">
        <v>136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649"/>
        <v>14:47:40.102</v>
      </c>
      <c r="T3554" t="str">
        <f t="shared" si="1650"/>
        <v>14:47:40.002</v>
      </c>
      <c r="U3554" t="str">
        <f t="shared" si="1635"/>
        <v>A9808D</v>
      </c>
      <c r="V3554">
        <v>0</v>
      </c>
      <c r="W3554">
        <v>0</v>
      </c>
      <c r="X3554">
        <v>1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0</v>
      </c>
      <c r="AI3554" t="s">
        <v>830</v>
      </c>
      <c r="AJ3554">
        <v>28.262844000000001</v>
      </c>
      <c r="AK3554" t="s">
        <v>831</v>
      </c>
      <c r="AL3554">
        <v>-82.261097000000007</v>
      </c>
      <c r="AM3554">
        <v>100</v>
      </c>
      <c r="AN3554">
        <v>2300</v>
      </c>
      <c r="AO3554" t="s">
        <v>118</v>
      </c>
      <c r="AP3554">
        <v>-37</v>
      </c>
      <c r="AQ3554">
        <v>125</v>
      </c>
      <c r="AR3554">
        <v>1024</v>
      </c>
      <c r="AZ3554">
        <v>1200</v>
      </c>
      <c r="BA3554">
        <v>1</v>
      </c>
      <c r="BB3554" t="str">
        <f t="shared" si="1645"/>
        <v xml:space="preserve">N711JA  </v>
      </c>
      <c r="BC3554">
        <v>1</v>
      </c>
      <c r="BE3554">
        <v>0</v>
      </c>
      <c r="BF3554">
        <v>0</v>
      </c>
      <c r="BG3554">
        <v>0</v>
      </c>
      <c r="BH3554">
        <v>2400</v>
      </c>
      <c r="BI3554">
        <v>1</v>
      </c>
      <c r="BJ3554">
        <v>1</v>
      </c>
      <c r="BK3554">
        <v>0</v>
      </c>
      <c r="BL3554">
        <v>0</v>
      </c>
      <c r="BO3554">
        <v>0</v>
      </c>
      <c r="BP3554">
        <v>0</v>
      </c>
      <c r="BW3554" t="str">
        <f t="shared" si="1651"/>
        <v>14:47:40.109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5</v>
      </c>
      <c r="CP3554" t="s">
        <v>119</v>
      </c>
      <c r="CQ3554">
        <v>56</v>
      </c>
      <c r="CR3554">
        <v>2</v>
      </c>
      <c r="CW3554">
        <v>5027113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1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 t="shared" si="1648"/>
        <v>05/12/2020 14:47:22.275</v>
      </c>
      <c r="C3555" t="str">
        <f t="shared" si="1644"/>
        <v>FFDFD3C0</v>
      </c>
      <c r="D3555" t="s">
        <v>138</v>
      </c>
      <c r="E3555">
        <v>3</v>
      </c>
      <c r="H3555">
        <v>9</v>
      </c>
      <c r="I3555" t="s">
        <v>140</v>
      </c>
      <c r="J3555" t="s">
        <v>136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649"/>
        <v>14:47:40.102</v>
      </c>
      <c r="T3555" t="str">
        <f t="shared" si="1650"/>
        <v>14:47:40.002</v>
      </c>
      <c r="U3555" t="str">
        <f t="shared" si="1635"/>
        <v>A9808D</v>
      </c>
      <c r="V3555">
        <v>0</v>
      </c>
      <c r="W3555">
        <v>0</v>
      </c>
      <c r="X3555">
        <v>1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0</v>
      </c>
      <c r="AI3555" t="s">
        <v>830</v>
      </c>
      <c r="AJ3555">
        <v>28.262844000000001</v>
      </c>
      <c r="AK3555" t="s">
        <v>831</v>
      </c>
      <c r="AL3555">
        <v>-82.261097000000007</v>
      </c>
      <c r="AM3555">
        <v>100</v>
      </c>
      <c r="AN3555">
        <v>2300</v>
      </c>
      <c r="AO3555" t="s">
        <v>118</v>
      </c>
      <c r="AP3555">
        <v>-37</v>
      </c>
      <c r="AQ3555">
        <v>125</v>
      </c>
      <c r="AR3555">
        <v>1024</v>
      </c>
      <c r="AZ3555">
        <v>1200</v>
      </c>
      <c r="BA3555">
        <v>1</v>
      </c>
      <c r="BB3555" t="str">
        <f t="shared" si="1645"/>
        <v xml:space="preserve">N711JA  </v>
      </c>
      <c r="BC3555">
        <v>1</v>
      </c>
      <c r="BE3555">
        <v>0</v>
      </c>
      <c r="BF3555">
        <v>0</v>
      </c>
      <c r="BG3555">
        <v>0</v>
      </c>
      <c r="BH3555">
        <v>2400</v>
      </c>
      <c r="BI3555">
        <v>1</v>
      </c>
      <c r="BJ3555">
        <v>1</v>
      </c>
      <c r="BK3555">
        <v>0</v>
      </c>
      <c r="BL3555">
        <v>0</v>
      </c>
      <c r="BO3555">
        <v>0</v>
      </c>
      <c r="BP3555">
        <v>0</v>
      </c>
      <c r="BW3555" t="str">
        <f t="shared" si="1651"/>
        <v>14:47:40.109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5</v>
      </c>
      <c r="CP3555" t="s">
        <v>119</v>
      </c>
      <c r="CQ3555">
        <v>56</v>
      </c>
      <c r="CR3555">
        <v>2</v>
      </c>
      <c r="CW3555">
        <v>5027113</v>
      </c>
      <c r="CY3555">
        <v>1</v>
      </c>
      <c r="CZ3555">
        <v>0</v>
      </c>
      <c r="DA3555">
        <v>1</v>
      </c>
      <c r="DB3555">
        <v>0</v>
      </c>
      <c r="DC3555">
        <v>0</v>
      </c>
      <c r="DD3555">
        <v>1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 t="shared" si="1648"/>
        <v>05/12/2020 14:47:22.275</v>
      </c>
      <c r="C3556" t="str">
        <f t="shared" si="1644"/>
        <v>FFDFD3C0</v>
      </c>
      <c r="D3556" t="s">
        <v>113</v>
      </c>
      <c r="E3556">
        <v>3</v>
      </c>
      <c r="H3556">
        <v>164</v>
      </c>
      <c r="I3556" t="s">
        <v>114</v>
      </c>
      <c r="J3556" t="s">
        <v>115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649"/>
        <v>14:47:40.102</v>
      </c>
      <c r="T3556" t="str">
        <f t="shared" si="1650"/>
        <v>14:47:40.002</v>
      </c>
      <c r="U3556" t="str">
        <f t="shared" si="1635"/>
        <v>A9808D</v>
      </c>
      <c r="V3556">
        <v>0</v>
      </c>
      <c r="W3556">
        <v>0</v>
      </c>
      <c r="X3556">
        <v>1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0</v>
      </c>
      <c r="AI3556" t="s">
        <v>830</v>
      </c>
      <c r="AJ3556">
        <v>28.262844000000001</v>
      </c>
      <c r="AK3556" t="s">
        <v>831</v>
      </c>
      <c r="AL3556">
        <v>-82.261097000000007</v>
      </c>
      <c r="AM3556">
        <v>100</v>
      </c>
      <c r="AN3556">
        <v>2300</v>
      </c>
      <c r="AO3556" t="s">
        <v>118</v>
      </c>
      <c r="AP3556">
        <v>-37</v>
      </c>
      <c r="AQ3556">
        <v>125</v>
      </c>
      <c r="AR3556">
        <v>1024</v>
      </c>
      <c r="AZ3556">
        <v>1200</v>
      </c>
      <c r="BA3556">
        <v>1</v>
      </c>
      <c r="BB3556" t="str">
        <f t="shared" si="1645"/>
        <v xml:space="preserve">N711JA  </v>
      </c>
      <c r="BC3556">
        <v>1</v>
      </c>
      <c r="BE3556">
        <v>0</v>
      </c>
      <c r="BF3556">
        <v>0</v>
      </c>
      <c r="BG3556">
        <v>0</v>
      </c>
      <c r="BH3556">
        <v>2400</v>
      </c>
      <c r="BI3556">
        <v>1</v>
      </c>
      <c r="BJ3556">
        <v>1</v>
      </c>
      <c r="BK3556">
        <v>0</v>
      </c>
      <c r="BL3556">
        <v>0</v>
      </c>
      <c r="BO3556">
        <v>0</v>
      </c>
      <c r="BP3556">
        <v>0</v>
      </c>
      <c r="BW3556" t="str">
        <f t="shared" si="1651"/>
        <v>14:47:40.109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5</v>
      </c>
      <c r="CP3556" t="s">
        <v>119</v>
      </c>
      <c r="CQ3556">
        <v>56</v>
      </c>
      <c r="CR3556">
        <v>2</v>
      </c>
      <c r="CW3556">
        <v>5027113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1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 t="shared" si="1648"/>
        <v>05/12/2020 14:47:22.275</v>
      </c>
      <c r="C3557" t="str">
        <f t="shared" si="1644"/>
        <v>FFDFD3C0</v>
      </c>
      <c r="D3557" t="s">
        <v>126</v>
      </c>
      <c r="E3557">
        <v>7</v>
      </c>
      <c r="F3557">
        <v>1007</v>
      </c>
      <c r="G3557" t="s">
        <v>127</v>
      </c>
      <c r="J3557" t="s">
        <v>128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649"/>
        <v>14:47:40.102</v>
      </c>
      <c r="T3557" t="str">
        <f t="shared" si="1650"/>
        <v>14:47:40.002</v>
      </c>
      <c r="U3557" t="str">
        <f t="shared" si="1635"/>
        <v>A9808D</v>
      </c>
      <c r="V3557">
        <v>0</v>
      </c>
      <c r="W3557">
        <v>0</v>
      </c>
      <c r="X3557">
        <v>1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0</v>
      </c>
      <c r="AI3557" t="s">
        <v>830</v>
      </c>
      <c r="AJ3557">
        <v>28.262844000000001</v>
      </c>
      <c r="AK3557" t="s">
        <v>831</v>
      </c>
      <c r="AL3557">
        <v>-82.261097000000007</v>
      </c>
      <c r="AM3557">
        <v>100</v>
      </c>
      <c r="AN3557">
        <v>2300</v>
      </c>
      <c r="AO3557" t="s">
        <v>118</v>
      </c>
      <c r="AP3557">
        <v>-37</v>
      </c>
      <c r="AQ3557">
        <v>125</v>
      </c>
      <c r="AR3557">
        <v>1024</v>
      </c>
      <c r="AZ3557">
        <v>1200</v>
      </c>
      <c r="BA3557">
        <v>1</v>
      </c>
      <c r="BB3557" t="str">
        <f t="shared" si="1645"/>
        <v xml:space="preserve">N711JA  </v>
      </c>
      <c r="BC3557">
        <v>1</v>
      </c>
      <c r="BE3557">
        <v>0</v>
      </c>
      <c r="BF3557">
        <v>0</v>
      </c>
      <c r="BG3557">
        <v>0</v>
      </c>
      <c r="BH3557">
        <v>2400</v>
      </c>
      <c r="BI3557">
        <v>1</v>
      </c>
      <c r="BJ3557">
        <v>1</v>
      </c>
      <c r="BK3557">
        <v>0</v>
      </c>
      <c r="BL3557">
        <v>0</v>
      </c>
      <c r="BO3557">
        <v>0</v>
      </c>
      <c r="BP3557">
        <v>0</v>
      </c>
      <c r="BW3557" t="str">
        <f t="shared" si="1651"/>
        <v>14:47:40.109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5</v>
      </c>
      <c r="CP3557" t="s">
        <v>119</v>
      </c>
      <c r="CQ3557">
        <v>56</v>
      </c>
      <c r="CR3557">
        <v>2</v>
      </c>
      <c r="CW3557">
        <v>5027113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1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 t="shared" si="1648"/>
        <v>05/12/2020 14:47:22.275</v>
      </c>
      <c r="C3558" t="str">
        <f t="shared" si="1644"/>
        <v>FFDFD3C0</v>
      </c>
      <c r="D3558" t="s">
        <v>131</v>
      </c>
      <c r="E3558">
        <v>10</v>
      </c>
      <c r="F3558">
        <v>2010</v>
      </c>
      <c r="G3558" t="s">
        <v>132</v>
      </c>
      <c r="J3558" t="s">
        <v>133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649"/>
        <v>14:47:40.102</v>
      </c>
      <c r="T3558" t="str">
        <f t="shared" si="1650"/>
        <v>14:47:40.002</v>
      </c>
      <c r="U3558" t="str">
        <f t="shared" si="1635"/>
        <v>A9808D</v>
      </c>
      <c r="V3558">
        <v>0</v>
      </c>
      <c r="W3558">
        <v>0</v>
      </c>
      <c r="X3558">
        <v>1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0</v>
      </c>
      <c r="AI3558" t="s">
        <v>830</v>
      </c>
      <c r="AJ3558">
        <v>28.262844000000001</v>
      </c>
      <c r="AK3558" t="s">
        <v>831</v>
      </c>
      <c r="AL3558">
        <v>-82.261097000000007</v>
      </c>
      <c r="AM3558">
        <v>100</v>
      </c>
      <c r="AN3558">
        <v>2300</v>
      </c>
      <c r="AO3558" t="s">
        <v>118</v>
      </c>
      <c r="AP3558">
        <v>-37</v>
      </c>
      <c r="AQ3558">
        <v>125</v>
      </c>
      <c r="AR3558">
        <v>1024</v>
      </c>
      <c r="AZ3558">
        <v>1200</v>
      </c>
      <c r="BA3558">
        <v>1</v>
      </c>
      <c r="BB3558" t="str">
        <f t="shared" si="1645"/>
        <v xml:space="preserve">N711JA  </v>
      </c>
      <c r="BC3558">
        <v>1</v>
      </c>
      <c r="BE3558">
        <v>0</v>
      </c>
      <c r="BF3558">
        <v>0</v>
      </c>
      <c r="BG3558">
        <v>0</v>
      </c>
      <c r="BH3558">
        <v>2400</v>
      </c>
      <c r="BI3558">
        <v>1</v>
      </c>
      <c r="BJ3558">
        <v>1</v>
      </c>
      <c r="BK3558">
        <v>0</v>
      </c>
      <c r="BL3558">
        <v>0</v>
      </c>
      <c r="BO3558">
        <v>0</v>
      </c>
      <c r="BP3558">
        <v>0</v>
      </c>
      <c r="BW3558" t="str">
        <f t="shared" si="1651"/>
        <v>14:47:40.109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5</v>
      </c>
      <c r="CP3558" t="s">
        <v>119</v>
      </c>
      <c r="CQ3558">
        <v>56</v>
      </c>
      <c r="CR3558">
        <v>2</v>
      </c>
      <c r="CW3558">
        <v>5027113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1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 t="shared" si="1648"/>
        <v>05/12/2020 14:47:22.275</v>
      </c>
      <c r="C3559" t="str">
        <f t="shared" si="1644"/>
        <v>FFDFD3C0</v>
      </c>
      <c r="D3559" t="s">
        <v>131</v>
      </c>
      <c r="E3559">
        <v>12</v>
      </c>
      <c r="F3559">
        <v>2012</v>
      </c>
      <c r="G3559" t="s">
        <v>137</v>
      </c>
      <c r="J3559" t="s">
        <v>133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649"/>
        <v>14:47:40.102</v>
      </c>
      <c r="T3559" t="str">
        <f t="shared" si="1650"/>
        <v>14:47:40.002</v>
      </c>
      <c r="U3559" t="str">
        <f t="shared" si="1635"/>
        <v>A9808D</v>
      </c>
      <c r="V3559">
        <v>0</v>
      </c>
      <c r="W3559">
        <v>0</v>
      </c>
      <c r="X3559">
        <v>1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0</v>
      </c>
      <c r="AI3559" t="s">
        <v>830</v>
      </c>
      <c r="AJ3559">
        <v>28.262844000000001</v>
      </c>
      <c r="AK3559" t="s">
        <v>831</v>
      </c>
      <c r="AL3559">
        <v>-82.261097000000007</v>
      </c>
      <c r="AM3559">
        <v>100</v>
      </c>
      <c r="AN3559">
        <v>2300</v>
      </c>
      <c r="AO3559" t="s">
        <v>118</v>
      </c>
      <c r="AP3559">
        <v>-37</v>
      </c>
      <c r="AQ3559">
        <v>125</v>
      </c>
      <c r="AR3559">
        <v>1024</v>
      </c>
      <c r="AZ3559">
        <v>1200</v>
      </c>
      <c r="BA3559">
        <v>1</v>
      </c>
      <c r="BB3559" t="str">
        <f t="shared" si="1645"/>
        <v xml:space="preserve">N711JA  </v>
      </c>
      <c r="BC3559">
        <v>1</v>
      </c>
      <c r="BE3559">
        <v>0</v>
      </c>
      <c r="BF3559">
        <v>0</v>
      </c>
      <c r="BG3559">
        <v>0</v>
      </c>
      <c r="BH3559">
        <v>2400</v>
      </c>
      <c r="BI3559">
        <v>1</v>
      </c>
      <c r="BJ3559">
        <v>1</v>
      </c>
      <c r="BK3559">
        <v>0</v>
      </c>
      <c r="BL3559">
        <v>0</v>
      </c>
      <c r="BO3559">
        <v>0</v>
      </c>
      <c r="BP3559">
        <v>0</v>
      </c>
      <c r="BW3559" t="str">
        <f t="shared" si="1651"/>
        <v>14:47:40.109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5</v>
      </c>
      <c r="CP3559" t="s">
        <v>119</v>
      </c>
      <c r="CQ3559">
        <v>56</v>
      </c>
      <c r="CR3559">
        <v>2</v>
      </c>
      <c r="CW3559">
        <v>5027113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1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 t="shared" si="1648"/>
        <v>05/12/2020 14:47:22.275</v>
      </c>
      <c r="C3560" t="str">
        <f t="shared" si="1644"/>
        <v>FFDFD3C0</v>
      </c>
      <c r="D3560" t="s">
        <v>131</v>
      </c>
      <c r="E3560">
        <v>18</v>
      </c>
      <c r="F3560">
        <v>2018</v>
      </c>
      <c r="G3560" t="s">
        <v>161</v>
      </c>
      <c r="J3560" t="s">
        <v>133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si="1649"/>
        <v>14:47:40.102</v>
      </c>
      <c r="T3560" t="str">
        <f t="shared" si="1650"/>
        <v>14:47:40.002</v>
      </c>
      <c r="U3560" t="str">
        <f t="shared" si="1635"/>
        <v>A9808D</v>
      </c>
      <c r="V3560">
        <v>0</v>
      </c>
      <c r="W3560">
        <v>0</v>
      </c>
      <c r="X3560">
        <v>1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0</v>
      </c>
      <c r="AI3560" t="s">
        <v>830</v>
      </c>
      <c r="AJ3560">
        <v>28.262844000000001</v>
      </c>
      <c r="AK3560" t="s">
        <v>831</v>
      </c>
      <c r="AL3560">
        <v>-82.261097000000007</v>
      </c>
      <c r="AM3560">
        <v>100</v>
      </c>
      <c r="AN3560">
        <v>2300</v>
      </c>
      <c r="AO3560" t="s">
        <v>118</v>
      </c>
      <c r="AP3560">
        <v>-37</v>
      </c>
      <c r="AQ3560">
        <v>125</v>
      </c>
      <c r="AR3560">
        <v>1024</v>
      </c>
      <c r="AZ3560">
        <v>1200</v>
      </c>
      <c r="BA3560">
        <v>1</v>
      </c>
      <c r="BB3560" t="str">
        <f t="shared" si="1645"/>
        <v xml:space="preserve">N711JA  </v>
      </c>
      <c r="BC3560">
        <v>1</v>
      </c>
      <c r="BE3560">
        <v>0</v>
      </c>
      <c r="BF3560">
        <v>0</v>
      </c>
      <c r="BG3560">
        <v>0</v>
      </c>
      <c r="BH3560">
        <v>2400</v>
      </c>
      <c r="BI3560">
        <v>1</v>
      </c>
      <c r="BJ3560">
        <v>1</v>
      </c>
      <c r="BK3560">
        <v>0</v>
      </c>
      <c r="BL3560">
        <v>0</v>
      </c>
      <c r="BO3560">
        <v>0</v>
      </c>
      <c r="BP3560">
        <v>0</v>
      </c>
      <c r="BW3560" t="str">
        <f t="shared" si="1651"/>
        <v>14:47:40.109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5</v>
      </c>
      <c r="CP3560" t="s">
        <v>119</v>
      </c>
      <c r="CQ3560">
        <v>56</v>
      </c>
      <c r="CR3560">
        <v>2</v>
      </c>
      <c r="CW3560">
        <v>5027113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1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 t="shared" ref="A3561:A3569" si="1652">"05/12/2020 14:47:23.298"</f>
        <v>05/12/2020 14:47:23.298</v>
      </c>
      <c r="C3561" t="str">
        <f t="shared" si="1644"/>
        <v>FFDFD3C0</v>
      </c>
      <c r="D3561" t="s">
        <v>134</v>
      </c>
      <c r="E3561">
        <v>12</v>
      </c>
      <c r="H3561">
        <v>64</v>
      </c>
      <c r="I3561" t="s">
        <v>135</v>
      </c>
      <c r="J3561" t="s">
        <v>136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ref="S3561:T3569" si="1653">"14:47:41.109"</f>
        <v>14:47:41.109</v>
      </c>
      <c r="T3561" t="str">
        <f t="shared" si="1653"/>
        <v>14:47:41.109</v>
      </c>
      <c r="U3561" t="str">
        <f t="shared" si="1635"/>
        <v>A9808D</v>
      </c>
      <c r="V3561">
        <v>0</v>
      </c>
      <c r="W3561">
        <v>0</v>
      </c>
      <c r="X3561">
        <v>1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0</v>
      </c>
      <c r="AI3561" t="s">
        <v>832</v>
      </c>
      <c r="AJ3561">
        <v>28.263401999999999</v>
      </c>
      <c r="AK3561" t="s">
        <v>833</v>
      </c>
      <c r="AL3561">
        <v>-82.261312000000004</v>
      </c>
      <c r="AM3561">
        <v>100</v>
      </c>
      <c r="AN3561">
        <v>2400</v>
      </c>
      <c r="AO3561" t="s">
        <v>118</v>
      </c>
      <c r="AP3561">
        <v>-42</v>
      </c>
      <c r="AQ3561">
        <v>122</v>
      </c>
      <c r="AR3561">
        <v>832</v>
      </c>
      <c r="AZ3561">
        <v>1200</v>
      </c>
      <c r="BA3561">
        <v>1</v>
      </c>
      <c r="BB3561" t="str">
        <f t="shared" si="1645"/>
        <v xml:space="preserve">N711JA  </v>
      </c>
      <c r="BC3561">
        <v>1</v>
      </c>
      <c r="BE3561">
        <v>0</v>
      </c>
      <c r="BF3561">
        <v>0</v>
      </c>
      <c r="BG3561">
        <v>0</v>
      </c>
      <c r="BH3561">
        <v>2325</v>
      </c>
      <c r="BI3561">
        <v>1</v>
      </c>
      <c r="BJ3561">
        <v>1</v>
      </c>
      <c r="BK3561">
        <v>0</v>
      </c>
      <c r="BL3561">
        <v>0</v>
      </c>
      <c r="BO3561">
        <v>0</v>
      </c>
      <c r="BP3561">
        <v>0</v>
      </c>
      <c r="BW3561" t="str">
        <f t="shared" ref="BW3561:BW3569" si="1654">"14:47:41.111"</f>
        <v>14:47:41.111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6</v>
      </c>
      <c r="CP3561" t="s">
        <v>119</v>
      </c>
      <c r="CQ3561">
        <v>358</v>
      </c>
      <c r="CR3561">
        <v>0</v>
      </c>
      <c r="CW3561">
        <v>5003056</v>
      </c>
      <c r="CY3561">
        <v>1</v>
      </c>
      <c r="CZ3561">
        <v>0</v>
      </c>
      <c r="DA3561">
        <v>0</v>
      </c>
      <c r="DB3561">
        <v>0</v>
      </c>
      <c r="DC3561">
        <v>0</v>
      </c>
      <c r="DD3561">
        <v>1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 t="shared" si="1652"/>
        <v>05/12/2020 14:47:23.298</v>
      </c>
      <c r="C3562" t="str">
        <f t="shared" si="1644"/>
        <v>FFDFD3C0</v>
      </c>
      <c r="D3562" t="s">
        <v>113</v>
      </c>
      <c r="E3562">
        <v>3</v>
      </c>
      <c r="H3562">
        <v>164</v>
      </c>
      <c r="I3562" t="s">
        <v>114</v>
      </c>
      <c r="J3562" t="s">
        <v>115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si="1653"/>
        <v>14:47:41.109</v>
      </c>
      <c r="T3562" t="str">
        <f t="shared" si="1653"/>
        <v>14:47:41.109</v>
      </c>
      <c r="U3562" t="str">
        <f t="shared" si="1635"/>
        <v>A9808D</v>
      </c>
      <c r="V3562">
        <v>0</v>
      </c>
      <c r="W3562">
        <v>0</v>
      </c>
      <c r="X3562">
        <v>1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0</v>
      </c>
      <c r="AI3562" t="s">
        <v>832</v>
      </c>
      <c r="AJ3562">
        <v>28.263401999999999</v>
      </c>
      <c r="AK3562" t="s">
        <v>833</v>
      </c>
      <c r="AL3562">
        <v>-82.261312000000004</v>
      </c>
      <c r="AM3562">
        <v>100</v>
      </c>
      <c r="AN3562">
        <v>2400</v>
      </c>
      <c r="AO3562" t="s">
        <v>118</v>
      </c>
      <c r="AP3562">
        <v>-42</v>
      </c>
      <c r="AQ3562">
        <v>122</v>
      </c>
      <c r="AR3562">
        <v>832</v>
      </c>
      <c r="AZ3562">
        <v>1200</v>
      </c>
      <c r="BA3562">
        <v>1</v>
      </c>
      <c r="BB3562" t="str">
        <f t="shared" si="1645"/>
        <v xml:space="preserve">N711JA  </v>
      </c>
      <c r="BC3562">
        <v>1</v>
      </c>
      <c r="BE3562">
        <v>0</v>
      </c>
      <c r="BF3562">
        <v>0</v>
      </c>
      <c r="BG3562">
        <v>0</v>
      </c>
      <c r="BH3562">
        <v>2325</v>
      </c>
      <c r="BI3562">
        <v>1</v>
      </c>
      <c r="BJ3562">
        <v>1</v>
      </c>
      <c r="BK3562">
        <v>0</v>
      </c>
      <c r="BL3562">
        <v>0</v>
      </c>
      <c r="BO3562">
        <v>0</v>
      </c>
      <c r="BP3562">
        <v>0</v>
      </c>
      <c r="BW3562" t="str">
        <f t="shared" si="1654"/>
        <v>14:47:41.111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5</v>
      </c>
      <c r="CP3562" t="s">
        <v>119</v>
      </c>
      <c r="CQ3562">
        <v>56</v>
      </c>
      <c r="CR3562">
        <v>2</v>
      </c>
      <c r="CW3562">
        <v>5028359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1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 t="shared" si="1652"/>
        <v>05/12/2020 14:47:23.298</v>
      </c>
      <c r="C3563" t="str">
        <f t="shared" si="1644"/>
        <v>FFDFD3C0</v>
      </c>
      <c r="D3563" t="s">
        <v>138</v>
      </c>
      <c r="E3563">
        <v>2</v>
      </c>
      <c r="H3563">
        <v>8</v>
      </c>
      <c r="I3563" t="s">
        <v>139</v>
      </c>
      <c r="J3563" t="s">
        <v>136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653"/>
        <v>14:47:41.109</v>
      </c>
      <c r="T3563" t="str">
        <f t="shared" si="1653"/>
        <v>14:47:41.109</v>
      </c>
      <c r="U3563" t="str">
        <f t="shared" si="1635"/>
        <v>A9808D</v>
      </c>
      <c r="V3563">
        <v>0</v>
      </c>
      <c r="W3563">
        <v>0</v>
      </c>
      <c r="X3563">
        <v>1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0</v>
      </c>
      <c r="AI3563" t="s">
        <v>832</v>
      </c>
      <c r="AJ3563">
        <v>28.263401999999999</v>
      </c>
      <c r="AK3563" t="s">
        <v>833</v>
      </c>
      <c r="AL3563">
        <v>-82.261312000000004</v>
      </c>
      <c r="AM3563">
        <v>100</v>
      </c>
      <c r="AN3563">
        <v>2400</v>
      </c>
      <c r="AO3563" t="s">
        <v>118</v>
      </c>
      <c r="AP3563">
        <v>-42</v>
      </c>
      <c r="AQ3563">
        <v>122</v>
      </c>
      <c r="AR3563">
        <v>832</v>
      </c>
      <c r="AZ3563">
        <v>1200</v>
      </c>
      <c r="BA3563">
        <v>1</v>
      </c>
      <c r="BB3563" t="str">
        <f t="shared" si="1645"/>
        <v xml:space="preserve">N711JA  </v>
      </c>
      <c r="BC3563">
        <v>1</v>
      </c>
      <c r="BE3563">
        <v>0</v>
      </c>
      <c r="BF3563">
        <v>0</v>
      </c>
      <c r="BG3563">
        <v>0</v>
      </c>
      <c r="BH3563">
        <v>2325</v>
      </c>
      <c r="BI3563">
        <v>1</v>
      </c>
      <c r="BJ3563">
        <v>1</v>
      </c>
      <c r="BK3563">
        <v>0</v>
      </c>
      <c r="BL3563">
        <v>0</v>
      </c>
      <c r="BO3563">
        <v>0</v>
      </c>
      <c r="BP3563">
        <v>0</v>
      </c>
      <c r="BW3563" t="str">
        <f t="shared" si="1654"/>
        <v>14:47:41.111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5</v>
      </c>
      <c r="CP3563" t="s">
        <v>119</v>
      </c>
      <c r="CQ3563">
        <v>56</v>
      </c>
      <c r="CR3563">
        <v>2</v>
      </c>
      <c r="CW3563">
        <v>5028359</v>
      </c>
      <c r="CY3563">
        <v>1</v>
      </c>
      <c r="CZ3563">
        <v>0</v>
      </c>
      <c r="DA3563">
        <v>1</v>
      </c>
      <c r="DB3563">
        <v>0</v>
      </c>
      <c r="DC3563">
        <v>0</v>
      </c>
      <c r="DD3563">
        <v>1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 t="shared" si="1652"/>
        <v>05/12/2020 14:47:23.298</v>
      </c>
      <c r="C3564" t="str">
        <f t="shared" si="1644"/>
        <v>FFDFD3C0</v>
      </c>
      <c r="D3564" t="s">
        <v>138</v>
      </c>
      <c r="E3564">
        <v>3</v>
      </c>
      <c r="H3564">
        <v>9</v>
      </c>
      <c r="I3564" t="s">
        <v>140</v>
      </c>
      <c r="J3564" t="s">
        <v>136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si="1653"/>
        <v>14:47:41.109</v>
      </c>
      <c r="T3564" t="str">
        <f t="shared" si="1653"/>
        <v>14:47:41.109</v>
      </c>
      <c r="U3564" t="str">
        <f t="shared" si="1635"/>
        <v>A9808D</v>
      </c>
      <c r="V3564">
        <v>0</v>
      </c>
      <c r="W3564">
        <v>0</v>
      </c>
      <c r="X3564">
        <v>1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0</v>
      </c>
      <c r="AI3564" t="s">
        <v>832</v>
      </c>
      <c r="AJ3564">
        <v>28.263401999999999</v>
      </c>
      <c r="AK3564" t="s">
        <v>833</v>
      </c>
      <c r="AL3564">
        <v>-82.261312000000004</v>
      </c>
      <c r="AM3564">
        <v>100</v>
      </c>
      <c r="AN3564">
        <v>2400</v>
      </c>
      <c r="AO3564" t="s">
        <v>118</v>
      </c>
      <c r="AP3564">
        <v>-42</v>
      </c>
      <c r="AQ3564">
        <v>122</v>
      </c>
      <c r="AR3564">
        <v>832</v>
      </c>
      <c r="AZ3564">
        <v>1200</v>
      </c>
      <c r="BA3564">
        <v>1</v>
      </c>
      <c r="BB3564" t="str">
        <f t="shared" si="1645"/>
        <v xml:space="preserve">N711JA  </v>
      </c>
      <c r="BC3564">
        <v>1</v>
      </c>
      <c r="BE3564">
        <v>0</v>
      </c>
      <c r="BF3564">
        <v>0</v>
      </c>
      <c r="BG3564">
        <v>0</v>
      </c>
      <c r="BH3564">
        <v>2325</v>
      </c>
      <c r="BI3564">
        <v>1</v>
      </c>
      <c r="BJ3564">
        <v>1</v>
      </c>
      <c r="BK3564">
        <v>0</v>
      </c>
      <c r="BL3564">
        <v>0</v>
      </c>
      <c r="BO3564">
        <v>0</v>
      </c>
      <c r="BP3564">
        <v>0</v>
      </c>
      <c r="BW3564" t="str">
        <f t="shared" si="1654"/>
        <v>14:47:41.111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6</v>
      </c>
      <c r="CP3564" t="s">
        <v>119</v>
      </c>
      <c r="CQ3564">
        <v>358</v>
      </c>
      <c r="CR3564">
        <v>0</v>
      </c>
      <c r="CW3564">
        <v>5003056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1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 t="shared" si="1652"/>
        <v>05/12/2020 14:47:23.298</v>
      </c>
      <c r="C3565" t="str">
        <f t="shared" si="1644"/>
        <v>FFDFD3C0</v>
      </c>
      <c r="D3565" t="s">
        <v>126</v>
      </c>
      <c r="E3565">
        <v>7</v>
      </c>
      <c r="F3565">
        <v>1007</v>
      </c>
      <c r="G3565" t="s">
        <v>127</v>
      </c>
      <c r="J3565" t="s">
        <v>128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653"/>
        <v>14:47:41.109</v>
      </c>
      <c r="T3565" t="str">
        <f t="shared" si="1653"/>
        <v>14:47:41.109</v>
      </c>
      <c r="U3565" t="str">
        <f t="shared" si="1635"/>
        <v>A9808D</v>
      </c>
      <c r="V3565">
        <v>0</v>
      </c>
      <c r="W3565">
        <v>0</v>
      </c>
      <c r="X3565">
        <v>1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0</v>
      </c>
      <c r="AI3565" t="s">
        <v>832</v>
      </c>
      <c r="AJ3565">
        <v>28.263401999999999</v>
      </c>
      <c r="AK3565" t="s">
        <v>833</v>
      </c>
      <c r="AL3565">
        <v>-82.261312000000004</v>
      </c>
      <c r="AM3565">
        <v>100</v>
      </c>
      <c r="AN3565">
        <v>2400</v>
      </c>
      <c r="AO3565" t="s">
        <v>118</v>
      </c>
      <c r="AP3565">
        <v>-42</v>
      </c>
      <c r="AQ3565">
        <v>122</v>
      </c>
      <c r="AR3565">
        <v>832</v>
      </c>
      <c r="AZ3565">
        <v>1200</v>
      </c>
      <c r="BA3565">
        <v>1</v>
      </c>
      <c r="BB3565" t="str">
        <f t="shared" si="1645"/>
        <v xml:space="preserve">N711JA  </v>
      </c>
      <c r="BC3565">
        <v>1</v>
      </c>
      <c r="BE3565">
        <v>0</v>
      </c>
      <c r="BF3565">
        <v>0</v>
      </c>
      <c r="BG3565">
        <v>0</v>
      </c>
      <c r="BH3565">
        <v>2325</v>
      </c>
      <c r="BI3565">
        <v>1</v>
      </c>
      <c r="BJ3565">
        <v>1</v>
      </c>
      <c r="BK3565">
        <v>0</v>
      </c>
      <c r="BL3565">
        <v>0</v>
      </c>
      <c r="BO3565">
        <v>0</v>
      </c>
      <c r="BP3565">
        <v>0</v>
      </c>
      <c r="BW3565" t="str">
        <f t="shared" si="1654"/>
        <v>14:47:41.111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6</v>
      </c>
      <c r="CP3565" t="s">
        <v>119</v>
      </c>
      <c r="CQ3565">
        <v>358</v>
      </c>
      <c r="CR3565">
        <v>0</v>
      </c>
      <c r="CW3565">
        <v>5003056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1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 t="shared" si="1652"/>
        <v>05/12/2020 14:47:23.298</v>
      </c>
      <c r="C3566" t="str">
        <f t="shared" si="1644"/>
        <v>FFDFD3C0</v>
      </c>
      <c r="D3566" t="s">
        <v>131</v>
      </c>
      <c r="E3566">
        <v>10</v>
      </c>
      <c r="F3566">
        <v>2010</v>
      </c>
      <c r="G3566" t="s">
        <v>132</v>
      </c>
      <c r="J3566" t="s">
        <v>133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653"/>
        <v>14:47:41.109</v>
      </c>
      <c r="T3566" t="str">
        <f t="shared" si="1653"/>
        <v>14:47:41.109</v>
      </c>
      <c r="U3566" t="str">
        <f t="shared" si="1635"/>
        <v>A9808D</v>
      </c>
      <c r="V3566">
        <v>0</v>
      </c>
      <c r="W3566">
        <v>0</v>
      </c>
      <c r="X3566">
        <v>1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0</v>
      </c>
      <c r="AI3566" t="s">
        <v>832</v>
      </c>
      <c r="AJ3566">
        <v>28.263401999999999</v>
      </c>
      <c r="AK3566" t="s">
        <v>833</v>
      </c>
      <c r="AL3566">
        <v>-82.261312000000004</v>
      </c>
      <c r="AM3566">
        <v>100</v>
      </c>
      <c r="AN3566">
        <v>2400</v>
      </c>
      <c r="AO3566" t="s">
        <v>118</v>
      </c>
      <c r="AP3566">
        <v>-42</v>
      </c>
      <c r="AQ3566">
        <v>122</v>
      </c>
      <c r="AR3566">
        <v>832</v>
      </c>
      <c r="AZ3566">
        <v>1200</v>
      </c>
      <c r="BA3566">
        <v>1</v>
      </c>
      <c r="BB3566" t="str">
        <f t="shared" si="1645"/>
        <v xml:space="preserve">N711JA  </v>
      </c>
      <c r="BC3566">
        <v>1</v>
      </c>
      <c r="BE3566">
        <v>0</v>
      </c>
      <c r="BF3566">
        <v>0</v>
      </c>
      <c r="BG3566">
        <v>0</v>
      </c>
      <c r="BH3566">
        <v>2325</v>
      </c>
      <c r="BI3566">
        <v>1</v>
      </c>
      <c r="BJ3566">
        <v>1</v>
      </c>
      <c r="BK3566">
        <v>0</v>
      </c>
      <c r="BL3566">
        <v>0</v>
      </c>
      <c r="BO3566">
        <v>0</v>
      </c>
      <c r="BP3566">
        <v>0</v>
      </c>
      <c r="BW3566" t="str">
        <f t="shared" si="1654"/>
        <v>14:47:41.111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6</v>
      </c>
      <c r="CP3566" t="s">
        <v>119</v>
      </c>
      <c r="CQ3566">
        <v>358</v>
      </c>
      <c r="CR3566">
        <v>0</v>
      </c>
      <c r="CW3566">
        <v>5003056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1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 t="shared" si="1652"/>
        <v>05/12/2020 14:47:23.298</v>
      </c>
      <c r="C3567" t="str">
        <f t="shared" si="1644"/>
        <v>FFDFD3C0</v>
      </c>
      <c r="D3567" t="s">
        <v>131</v>
      </c>
      <c r="E3567">
        <v>12</v>
      </c>
      <c r="F3567">
        <v>2012</v>
      </c>
      <c r="G3567" t="s">
        <v>137</v>
      </c>
      <c r="J3567" t="s">
        <v>133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653"/>
        <v>14:47:41.109</v>
      </c>
      <c r="T3567" t="str">
        <f t="shared" si="1653"/>
        <v>14:47:41.109</v>
      </c>
      <c r="U3567" t="str">
        <f t="shared" si="1635"/>
        <v>A9808D</v>
      </c>
      <c r="V3567">
        <v>0</v>
      </c>
      <c r="W3567">
        <v>0</v>
      </c>
      <c r="X3567">
        <v>1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0</v>
      </c>
      <c r="AI3567" t="s">
        <v>832</v>
      </c>
      <c r="AJ3567">
        <v>28.263401999999999</v>
      </c>
      <c r="AK3567" t="s">
        <v>833</v>
      </c>
      <c r="AL3567">
        <v>-82.261312000000004</v>
      </c>
      <c r="AM3567">
        <v>100</v>
      </c>
      <c r="AN3567">
        <v>2400</v>
      </c>
      <c r="AO3567" t="s">
        <v>118</v>
      </c>
      <c r="AP3567">
        <v>-42</v>
      </c>
      <c r="AQ3567">
        <v>122</v>
      </c>
      <c r="AR3567">
        <v>832</v>
      </c>
      <c r="AZ3567">
        <v>1200</v>
      </c>
      <c r="BA3567">
        <v>1</v>
      </c>
      <c r="BB3567" t="str">
        <f t="shared" si="1645"/>
        <v xml:space="preserve">N711JA  </v>
      </c>
      <c r="BC3567">
        <v>1</v>
      </c>
      <c r="BE3567">
        <v>0</v>
      </c>
      <c r="BF3567">
        <v>0</v>
      </c>
      <c r="BG3567">
        <v>0</v>
      </c>
      <c r="BH3567">
        <v>2325</v>
      </c>
      <c r="BI3567">
        <v>1</v>
      </c>
      <c r="BJ3567">
        <v>1</v>
      </c>
      <c r="BK3567">
        <v>0</v>
      </c>
      <c r="BL3567">
        <v>0</v>
      </c>
      <c r="BO3567">
        <v>0</v>
      </c>
      <c r="BP3567">
        <v>0</v>
      </c>
      <c r="BW3567" t="str">
        <f t="shared" si="1654"/>
        <v>14:47:41.111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5</v>
      </c>
      <c r="CP3567" t="s">
        <v>119</v>
      </c>
      <c r="CQ3567">
        <v>56</v>
      </c>
      <c r="CR3567">
        <v>2</v>
      </c>
      <c r="CW3567">
        <v>5028359</v>
      </c>
      <c r="CY3567">
        <v>1</v>
      </c>
      <c r="CZ3567">
        <v>0</v>
      </c>
      <c r="DA3567">
        <v>1</v>
      </c>
      <c r="DB3567">
        <v>0</v>
      </c>
      <c r="DC3567">
        <v>0</v>
      </c>
      <c r="DD3567">
        <v>1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 t="shared" si="1652"/>
        <v>05/12/2020 14:47:23.298</v>
      </c>
      <c r="C3568" t="str">
        <f t="shared" si="1644"/>
        <v>FFDFD3C0</v>
      </c>
      <c r="D3568" t="s">
        <v>131</v>
      </c>
      <c r="E3568">
        <v>18</v>
      </c>
      <c r="F3568">
        <v>2018</v>
      </c>
      <c r="G3568" t="s">
        <v>161</v>
      </c>
      <c r="J3568" t="s">
        <v>133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653"/>
        <v>14:47:41.109</v>
      </c>
      <c r="T3568" t="str">
        <f t="shared" si="1653"/>
        <v>14:47:41.109</v>
      </c>
      <c r="U3568" t="str">
        <f t="shared" si="1635"/>
        <v>A9808D</v>
      </c>
      <c r="V3568">
        <v>0</v>
      </c>
      <c r="W3568">
        <v>0</v>
      </c>
      <c r="X3568">
        <v>1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0</v>
      </c>
      <c r="AI3568" t="s">
        <v>832</v>
      </c>
      <c r="AJ3568">
        <v>28.263401999999999</v>
      </c>
      <c r="AK3568" t="s">
        <v>833</v>
      </c>
      <c r="AL3568">
        <v>-82.261312000000004</v>
      </c>
      <c r="AM3568">
        <v>100</v>
      </c>
      <c r="AN3568">
        <v>2400</v>
      </c>
      <c r="AO3568" t="s">
        <v>118</v>
      </c>
      <c r="AP3568">
        <v>-42</v>
      </c>
      <c r="AQ3568">
        <v>122</v>
      </c>
      <c r="AR3568">
        <v>832</v>
      </c>
      <c r="AZ3568">
        <v>1200</v>
      </c>
      <c r="BA3568">
        <v>1</v>
      </c>
      <c r="BB3568" t="str">
        <f t="shared" si="1645"/>
        <v xml:space="preserve">N711JA  </v>
      </c>
      <c r="BC3568">
        <v>1</v>
      </c>
      <c r="BE3568">
        <v>0</v>
      </c>
      <c r="BF3568">
        <v>0</v>
      </c>
      <c r="BG3568">
        <v>0</v>
      </c>
      <c r="BH3568">
        <v>2325</v>
      </c>
      <c r="BI3568">
        <v>1</v>
      </c>
      <c r="BJ3568">
        <v>1</v>
      </c>
      <c r="BK3568">
        <v>0</v>
      </c>
      <c r="BL3568">
        <v>0</v>
      </c>
      <c r="BO3568">
        <v>0</v>
      </c>
      <c r="BP3568">
        <v>0</v>
      </c>
      <c r="BW3568" t="str">
        <f t="shared" si="1654"/>
        <v>14:47:41.111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5</v>
      </c>
      <c r="CP3568" t="s">
        <v>119</v>
      </c>
      <c r="CQ3568">
        <v>56</v>
      </c>
      <c r="CR3568">
        <v>2</v>
      </c>
      <c r="CW3568">
        <v>5028359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1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 t="shared" si="1652"/>
        <v>05/12/2020 14:47:23.298</v>
      </c>
      <c r="C3569" t="str">
        <f t="shared" si="1644"/>
        <v>FFDFD3C0</v>
      </c>
      <c r="D3569" t="s">
        <v>126</v>
      </c>
      <c r="E3569">
        <v>6</v>
      </c>
      <c r="F3569">
        <v>1006</v>
      </c>
      <c r="G3569" t="s">
        <v>114</v>
      </c>
      <c r="J3569" t="s">
        <v>128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653"/>
        <v>14:47:41.109</v>
      </c>
      <c r="T3569" t="str">
        <f t="shared" si="1653"/>
        <v>14:47:41.109</v>
      </c>
      <c r="U3569" t="str">
        <f t="shared" si="1635"/>
        <v>A9808D</v>
      </c>
      <c r="V3569">
        <v>0</v>
      </c>
      <c r="W3569">
        <v>0</v>
      </c>
      <c r="X3569">
        <v>1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0</v>
      </c>
      <c r="AI3569" t="s">
        <v>832</v>
      </c>
      <c r="AJ3569">
        <v>28.263401999999999</v>
      </c>
      <c r="AK3569" t="s">
        <v>833</v>
      </c>
      <c r="AL3569">
        <v>-82.261312000000004</v>
      </c>
      <c r="AM3569">
        <v>100</v>
      </c>
      <c r="AN3569">
        <v>2400</v>
      </c>
      <c r="AO3569" t="s">
        <v>118</v>
      </c>
      <c r="AP3569">
        <v>-42</v>
      </c>
      <c r="AQ3569">
        <v>122</v>
      </c>
      <c r="AR3569">
        <v>832</v>
      </c>
      <c r="AZ3569">
        <v>1200</v>
      </c>
      <c r="BA3569">
        <v>1</v>
      </c>
      <c r="BB3569" t="str">
        <f t="shared" si="1645"/>
        <v xml:space="preserve">N711JA  </v>
      </c>
      <c r="BC3569">
        <v>1</v>
      </c>
      <c r="BE3569">
        <v>0</v>
      </c>
      <c r="BF3569">
        <v>0</v>
      </c>
      <c r="BG3569">
        <v>0</v>
      </c>
      <c r="BH3569">
        <v>2325</v>
      </c>
      <c r="BI3569">
        <v>1</v>
      </c>
      <c r="BJ3569">
        <v>1</v>
      </c>
      <c r="BK3569">
        <v>0</v>
      </c>
      <c r="BL3569">
        <v>0</v>
      </c>
      <c r="BO3569">
        <v>0</v>
      </c>
      <c r="BP3569">
        <v>0</v>
      </c>
      <c r="BW3569" t="str">
        <f t="shared" si="1654"/>
        <v>14:47:41.111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6</v>
      </c>
      <c r="CP3569" t="s">
        <v>119</v>
      </c>
      <c r="CQ3569">
        <v>358</v>
      </c>
      <c r="CR3569">
        <v>0</v>
      </c>
      <c r="CW3569">
        <v>5003056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1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 t="shared" ref="A3570:A3578" si="1655">"05/12/2020 14:47:24.256"</f>
        <v>05/12/2020 14:47:24.256</v>
      </c>
      <c r="C3570" t="str">
        <f t="shared" si="1644"/>
        <v>FFDFD3C0</v>
      </c>
      <c r="D3570" t="s">
        <v>113</v>
      </c>
      <c r="E3570">
        <v>3</v>
      </c>
      <c r="H3570">
        <v>164</v>
      </c>
      <c r="I3570" t="s">
        <v>114</v>
      </c>
      <c r="J3570" t="s">
        <v>115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"14:47:42.078"</f>
        <v>14:47:42.078</v>
      </c>
      <c r="T3570" t="str">
        <f>"14:47:42.078"</f>
        <v>14:47:42.078</v>
      </c>
      <c r="U3570" t="str">
        <f t="shared" si="1635"/>
        <v>A9808D</v>
      </c>
      <c r="V3570">
        <v>0</v>
      </c>
      <c r="W3570">
        <v>0</v>
      </c>
      <c r="X3570">
        <v>1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0</v>
      </c>
      <c r="AI3570" t="s">
        <v>834</v>
      </c>
      <c r="AJ3570">
        <v>28.263895999999999</v>
      </c>
      <c r="AK3570" t="s">
        <v>835</v>
      </c>
      <c r="AL3570">
        <v>-82.261505</v>
      </c>
      <c r="AM3570">
        <v>100</v>
      </c>
      <c r="AN3570">
        <v>2400</v>
      </c>
      <c r="AO3570" t="s">
        <v>118</v>
      </c>
      <c r="AP3570">
        <v>-45</v>
      </c>
      <c r="AQ3570">
        <v>120</v>
      </c>
      <c r="AR3570">
        <v>832</v>
      </c>
      <c r="AZ3570">
        <v>1200</v>
      </c>
      <c r="BA3570">
        <v>1</v>
      </c>
      <c r="BB3570" t="str">
        <f t="shared" si="1645"/>
        <v xml:space="preserve">N711JA  </v>
      </c>
      <c r="BC3570">
        <v>1</v>
      </c>
      <c r="BE3570">
        <v>0</v>
      </c>
      <c r="BF3570">
        <v>0</v>
      </c>
      <c r="BG3570">
        <v>0</v>
      </c>
      <c r="BH3570">
        <v>2425</v>
      </c>
      <c r="BI3570">
        <v>1</v>
      </c>
      <c r="BJ3570">
        <v>1</v>
      </c>
      <c r="BK3570">
        <v>0</v>
      </c>
      <c r="BL3570">
        <v>0</v>
      </c>
      <c r="BO3570">
        <v>0</v>
      </c>
      <c r="BP3570">
        <v>0</v>
      </c>
      <c r="BW3570" t="str">
        <f t="shared" ref="BW3570:BW3578" si="1656">"14:47:42.083"</f>
        <v>14:47:42.083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6</v>
      </c>
      <c r="CP3570" t="s">
        <v>119</v>
      </c>
      <c r="CQ3570">
        <v>56</v>
      </c>
      <c r="CR3570">
        <v>2</v>
      </c>
      <c r="CW3570">
        <v>5029621</v>
      </c>
      <c r="CY3570">
        <v>1</v>
      </c>
      <c r="CZ3570">
        <v>0</v>
      </c>
      <c r="DA3570">
        <v>0</v>
      </c>
      <c r="DB3570">
        <v>0</v>
      </c>
      <c r="DC3570">
        <v>0</v>
      </c>
      <c r="DD3570">
        <v>1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 t="shared" si="1655"/>
        <v>05/12/2020 14:47:24.256</v>
      </c>
      <c r="C3571" t="str">
        <f t="shared" si="1644"/>
        <v>FFDFD3C0</v>
      </c>
      <c r="D3571" t="s">
        <v>134</v>
      </c>
      <c r="E3571">
        <v>12</v>
      </c>
      <c r="H3571">
        <v>64</v>
      </c>
      <c r="I3571" t="s">
        <v>135</v>
      </c>
      <c r="J3571" t="s">
        <v>136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ref="S3571:S3578" si="1657">"14:47:42.078"</f>
        <v>14:47:42.078</v>
      </c>
      <c r="T3571" t="str">
        <f>"14:47:41.678"</f>
        <v>14:47:41.678</v>
      </c>
      <c r="U3571" t="str">
        <f t="shared" si="1635"/>
        <v>A9808D</v>
      </c>
      <c r="V3571">
        <v>0</v>
      </c>
      <c r="W3571">
        <v>0</v>
      </c>
      <c r="X3571">
        <v>1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0</v>
      </c>
      <c r="AI3571" t="s">
        <v>834</v>
      </c>
      <c r="AJ3571">
        <v>28.263895999999999</v>
      </c>
      <c r="AK3571" t="s">
        <v>835</v>
      </c>
      <c r="AL3571">
        <v>-82.261505</v>
      </c>
      <c r="AM3571">
        <v>100</v>
      </c>
      <c r="AN3571">
        <v>2400</v>
      </c>
      <c r="AO3571" t="s">
        <v>118</v>
      </c>
      <c r="AP3571">
        <v>-43</v>
      </c>
      <c r="AQ3571">
        <v>122</v>
      </c>
      <c r="AR3571">
        <v>832</v>
      </c>
      <c r="AZ3571">
        <v>1200</v>
      </c>
      <c r="BA3571">
        <v>1</v>
      </c>
      <c r="BB3571" t="str">
        <f t="shared" si="1645"/>
        <v xml:space="preserve">N711JA  </v>
      </c>
      <c r="BC3571">
        <v>1</v>
      </c>
      <c r="BE3571">
        <v>0</v>
      </c>
      <c r="BF3571">
        <v>0</v>
      </c>
      <c r="BG3571">
        <v>0</v>
      </c>
      <c r="BH3571">
        <v>2425</v>
      </c>
      <c r="BI3571">
        <v>1</v>
      </c>
      <c r="BJ3571">
        <v>1</v>
      </c>
      <c r="BK3571">
        <v>0</v>
      </c>
      <c r="BL3571">
        <v>0</v>
      </c>
      <c r="BO3571">
        <v>0</v>
      </c>
      <c r="BP3571">
        <v>0</v>
      </c>
      <c r="BW3571" t="str">
        <f t="shared" si="1656"/>
        <v>14:47:42.083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5</v>
      </c>
      <c r="CP3571" t="s">
        <v>119</v>
      </c>
      <c r="CQ3571">
        <v>358</v>
      </c>
      <c r="CR3571">
        <v>0</v>
      </c>
      <c r="CW3571">
        <v>5004248</v>
      </c>
      <c r="CY3571">
        <v>1</v>
      </c>
      <c r="CZ3571">
        <v>0</v>
      </c>
      <c r="DA3571">
        <v>1</v>
      </c>
      <c r="DB3571">
        <v>0</v>
      </c>
      <c r="DC3571">
        <v>0</v>
      </c>
      <c r="DD3571">
        <v>1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 t="shared" si="1655"/>
        <v>05/12/2020 14:47:24.256</v>
      </c>
      <c r="C3572" t="str">
        <f t="shared" si="1644"/>
        <v>FFDFD3C0</v>
      </c>
      <c r="D3572" t="s">
        <v>126</v>
      </c>
      <c r="E3572">
        <v>7</v>
      </c>
      <c r="F3572">
        <v>1007</v>
      </c>
      <c r="G3572" t="s">
        <v>127</v>
      </c>
      <c r="J3572" t="s">
        <v>128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 t="shared" si="1657"/>
        <v>14:47:42.078</v>
      </c>
      <c r="T3572" t="str">
        <f t="shared" ref="T3572:T3578" si="1658">"14:47:42.078"</f>
        <v>14:47:42.078</v>
      </c>
      <c r="U3572" t="str">
        <f t="shared" si="1635"/>
        <v>A9808D</v>
      </c>
      <c r="V3572">
        <v>0</v>
      </c>
      <c r="W3572">
        <v>0</v>
      </c>
      <c r="X3572">
        <v>1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0</v>
      </c>
      <c r="AI3572" t="s">
        <v>834</v>
      </c>
      <c r="AJ3572">
        <v>28.263895999999999</v>
      </c>
      <c r="AK3572" t="s">
        <v>835</v>
      </c>
      <c r="AL3572">
        <v>-82.261505</v>
      </c>
      <c r="AM3572">
        <v>100</v>
      </c>
      <c r="AN3572">
        <v>2400</v>
      </c>
      <c r="AO3572" t="s">
        <v>118</v>
      </c>
      <c r="AP3572">
        <v>-45</v>
      </c>
      <c r="AQ3572">
        <v>120</v>
      </c>
      <c r="AR3572">
        <v>832</v>
      </c>
      <c r="AZ3572">
        <v>1200</v>
      </c>
      <c r="BA3572">
        <v>1</v>
      </c>
      <c r="BB3572" t="str">
        <f t="shared" si="1645"/>
        <v xml:space="preserve">N711JA  </v>
      </c>
      <c r="BC3572">
        <v>1</v>
      </c>
      <c r="BE3572">
        <v>0</v>
      </c>
      <c r="BF3572">
        <v>0</v>
      </c>
      <c r="BG3572">
        <v>0</v>
      </c>
      <c r="BH3572">
        <v>2425</v>
      </c>
      <c r="BI3572">
        <v>1</v>
      </c>
      <c r="BJ3572">
        <v>1</v>
      </c>
      <c r="BK3572">
        <v>0</v>
      </c>
      <c r="BL3572">
        <v>0</v>
      </c>
      <c r="BO3572">
        <v>0</v>
      </c>
      <c r="BP3572">
        <v>0</v>
      </c>
      <c r="BW3572" t="str">
        <f t="shared" si="1656"/>
        <v>14:47:42.083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6</v>
      </c>
      <c r="CP3572" t="s">
        <v>119</v>
      </c>
      <c r="CQ3572">
        <v>56</v>
      </c>
      <c r="CR3572">
        <v>2</v>
      </c>
      <c r="CW3572">
        <v>5029621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1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 t="shared" si="1655"/>
        <v>05/12/2020 14:47:24.256</v>
      </c>
      <c r="C3573" t="str">
        <f t="shared" si="1644"/>
        <v>FFDFD3C0</v>
      </c>
      <c r="D3573" t="s">
        <v>138</v>
      </c>
      <c r="E3573">
        <v>2</v>
      </c>
      <c r="H3573">
        <v>8</v>
      </c>
      <c r="I3573" t="s">
        <v>139</v>
      </c>
      <c r="J3573" t="s">
        <v>136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 t="shared" si="1657"/>
        <v>14:47:42.078</v>
      </c>
      <c r="T3573" t="str">
        <f t="shared" si="1658"/>
        <v>14:47:42.078</v>
      </c>
      <c r="U3573" t="str">
        <f t="shared" si="1635"/>
        <v>A9808D</v>
      </c>
      <c r="V3573">
        <v>0</v>
      </c>
      <c r="W3573">
        <v>0</v>
      </c>
      <c r="X3573">
        <v>1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0</v>
      </c>
      <c r="AI3573" t="s">
        <v>834</v>
      </c>
      <c r="AJ3573">
        <v>28.263895999999999</v>
      </c>
      <c r="AK3573" t="s">
        <v>835</v>
      </c>
      <c r="AL3573">
        <v>-82.261505</v>
      </c>
      <c r="AM3573">
        <v>100</v>
      </c>
      <c r="AN3573">
        <v>2400</v>
      </c>
      <c r="AO3573" t="s">
        <v>118</v>
      </c>
      <c r="AP3573">
        <v>-45</v>
      </c>
      <c r="AQ3573">
        <v>120</v>
      </c>
      <c r="AR3573">
        <v>832</v>
      </c>
      <c r="AZ3573">
        <v>1200</v>
      </c>
      <c r="BA3573">
        <v>1</v>
      </c>
      <c r="BB3573" t="str">
        <f t="shared" si="1645"/>
        <v xml:space="preserve">N711JA  </v>
      </c>
      <c r="BC3573">
        <v>1</v>
      </c>
      <c r="BE3573">
        <v>0</v>
      </c>
      <c r="BF3573">
        <v>0</v>
      </c>
      <c r="BG3573">
        <v>0</v>
      </c>
      <c r="BH3573">
        <v>2425</v>
      </c>
      <c r="BI3573">
        <v>1</v>
      </c>
      <c r="BJ3573">
        <v>1</v>
      </c>
      <c r="BK3573">
        <v>0</v>
      </c>
      <c r="BL3573">
        <v>0</v>
      </c>
      <c r="BO3573">
        <v>0</v>
      </c>
      <c r="BP3573">
        <v>0</v>
      </c>
      <c r="BW3573" t="str">
        <f t="shared" si="1656"/>
        <v>14:47:42.083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6</v>
      </c>
      <c r="CP3573" t="s">
        <v>119</v>
      </c>
      <c r="CQ3573">
        <v>56</v>
      </c>
      <c r="CR3573">
        <v>2</v>
      </c>
      <c r="CW3573">
        <v>5029621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1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 t="shared" si="1655"/>
        <v>05/12/2020 14:47:24.256</v>
      </c>
      <c r="C3574" t="str">
        <f t="shared" si="1644"/>
        <v>FFDFD3C0</v>
      </c>
      <c r="D3574" t="s">
        <v>131</v>
      </c>
      <c r="E3574">
        <v>10</v>
      </c>
      <c r="F3574">
        <v>2010</v>
      </c>
      <c r="G3574" t="s">
        <v>132</v>
      </c>
      <c r="J3574" t="s">
        <v>133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 t="shared" si="1657"/>
        <v>14:47:42.078</v>
      </c>
      <c r="T3574" t="str">
        <f t="shared" si="1658"/>
        <v>14:47:42.078</v>
      </c>
      <c r="U3574" t="str">
        <f t="shared" si="1635"/>
        <v>A9808D</v>
      </c>
      <c r="V3574">
        <v>0</v>
      </c>
      <c r="W3574">
        <v>0</v>
      </c>
      <c r="X3574">
        <v>1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0</v>
      </c>
      <c r="AI3574" t="s">
        <v>834</v>
      </c>
      <c r="AJ3574">
        <v>28.263895999999999</v>
      </c>
      <c r="AK3574" t="s">
        <v>835</v>
      </c>
      <c r="AL3574">
        <v>-82.261505</v>
      </c>
      <c r="AM3574">
        <v>100</v>
      </c>
      <c r="AN3574">
        <v>2400</v>
      </c>
      <c r="AO3574" t="s">
        <v>118</v>
      </c>
      <c r="AP3574">
        <v>-45</v>
      </c>
      <c r="AQ3574">
        <v>120</v>
      </c>
      <c r="AR3574">
        <v>832</v>
      </c>
      <c r="AZ3574">
        <v>1200</v>
      </c>
      <c r="BA3574">
        <v>1</v>
      </c>
      <c r="BB3574" t="str">
        <f t="shared" si="1645"/>
        <v xml:space="preserve">N711JA  </v>
      </c>
      <c r="BC3574">
        <v>1</v>
      </c>
      <c r="BE3574">
        <v>0</v>
      </c>
      <c r="BF3574">
        <v>0</v>
      </c>
      <c r="BG3574">
        <v>0</v>
      </c>
      <c r="BH3574">
        <v>2425</v>
      </c>
      <c r="BI3574">
        <v>1</v>
      </c>
      <c r="BJ3574">
        <v>1</v>
      </c>
      <c r="BK3574">
        <v>0</v>
      </c>
      <c r="BL3574">
        <v>0</v>
      </c>
      <c r="BO3574">
        <v>0</v>
      </c>
      <c r="BP3574">
        <v>0</v>
      </c>
      <c r="BW3574" t="str">
        <f t="shared" si="1656"/>
        <v>14:47:42.083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6</v>
      </c>
      <c r="CP3574" t="s">
        <v>119</v>
      </c>
      <c r="CQ3574">
        <v>56</v>
      </c>
      <c r="CR3574">
        <v>2</v>
      </c>
      <c r="CW3574">
        <v>5029621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1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 t="shared" si="1655"/>
        <v>05/12/2020 14:47:24.256</v>
      </c>
      <c r="C3575" t="str">
        <f t="shared" si="1644"/>
        <v>FFDFD3C0</v>
      </c>
      <c r="D3575" t="s">
        <v>131</v>
      </c>
      <c r="E3575">
        <v>12</v>
      </c>
      <c r="F3575">
        <v>2012</v>
      </c>
      <c r="G3575" t="s">
        <v>137</v>
      </c>
      <c r="J3575" t="s">
        <v>133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 t="shared" si="1657"/>
        <v>14:47:42.078</v>
      </c>
      <c r="T3575" t="str">
        <f t="shared" si="1658"/>
        <v>14:47:42.078</v>
      </c>
      <c r="U3575" t="str">
        <f t="shared" si="1635"/>
        <v>A9808D</v>
      </c>
      <c r="V3575">
        <v>0</v>
      </c>
      <c r="W3575">
        <v>0</v>
      </c>
      <c r="X3575">
        <v>1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0</v>
      </c>
      <c r="AI3575" t="s">
        <v>834</v>
      </c>
      <c r="AJ3575">
        <v>28.263895999999999</v>
      </c>
      <c r="AK3575" t="s">
        <v>835</v>
      </c>
      <c r="AL3575">
        <v>-82.261505</v>
      </c>
      <c r="AM3575">
        <v>100</v>
      </c>
      <c r="AN3575">
        <v>2400</v>
      </c>
      <c r="AO3575" t="s">
        <v>118</v>
      </c>
      <c r="AP3575">
        <v>-45</v>
      </c>
      <c r="AQ3575">
        <v>120</v>
      </c>
      <c r="AR3575">
        <v>832</v>
      </c>
      <c r="AZ3575">
        <v>1200</v>
      </c>
      <c r="BA3575">
        <v>1</v>
      </c>
      <c r="BB3575" t="str">
        <f t="shared" si="1645"/>
        <v xml:space="preserve">N711JA  </v>
      </c>
      <c r="BC3575">
        <v>1</v>
      </c>
      <c r="BE3575">
        <v>0</v>
      </c>
      <c r="BF3575">
        <v>0</v>
      </c>
      <c r="BG3575">
        <v>0</v>
      </c>
      <c r="BH3575">
        <v>2425</v>
      </c>
      <c r="BI3575">
        <v>1</v>
      </c>
      <c r="BJ3575">
        <v>1</v>
      </c>
      <c r="BK3575">
        <v>0</v>
      </c>
      <c r="BL3575">
        <v>0</v>
      </c>
      <c r="BO3575">
        <v>0</v>
      </c>
      <c r="BP3575">
        <v>0</v>
      </c>
      <c r="BW3575" t="str">
        <f t="shared" si="1656"/>
        <v>14:47:42.083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6</v>
      </c>
      <c r="CP3575" t="s">
        <v>119</v>
      </c>
      <c r="CQ3575">
        <v>56</v>
      </c>
      <c r="CR3575">
        <v>2</v>
      </c>
      <c r="CW3575">
        <v>5029621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1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 t="shared" si="1655"/>
        <v>05/12/2020 14:47:24.256</v>
      </c>
      <c r="C3576" t="str">
        <f t="shared" si="1644"/>
        <v>FFDFD3C0</v>
      </c>
      <c r="D3576" t="s">
        <v>138</v>
      </c>
      <c r="E3576">
        <v>3</v>
      </c>
      <c r="H3576">
        <v>9</v>
      </c>
      <c r="I3576" t="s">
        <v>140</v>
      </c>
      <c r="J3576" t="s">
        <v>136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 t="shared" si="1657"/>
        <v>14:47:42.078</v>
      </c>
      <c r="T3576" t="str">
        <f t="shared" si="1658"/>
        <v>14:47:42.078</v>
      </c>
      <c r="U3576" t="str">
        <f t="shared" si="1635"/>
        <v>A9808D</v>
      </c>
      <c r="V3576">
        <v>0</v>
      </c>
      <c r="W3576">
        <v>0</v>
      </c>
      <c r="X3576">
        <v>1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0</v>
      </c>
      <c r="AI3576" t="s">
        <v>834</v>
      </c>
      <c r="AJ3576">
        <v>28.263895999999999</v>
      </c>
      <c r="AK3576" t="s">
        <v>835</v>
      </c>
      <c r="AL3576">
        <v>-82.261505</v>
      </c>
      <c r="AM3576">
        <v>100</v>
      </c>
      <c r="AN3576">
        <v>2400</v>
      </c>
      <c r="AO3576" t="s">
        <v>118</v>
      </c>
      <c r="AP3576">
        <v>-45</v>
      </c>
      <c r="AQ3576">
        <v>120</v>
      </c>
      <c r="AR3576">
        <v>832</v>
      </c>
      <c r="AZ3576">
        <v>1200</v>
      </c>
      <c r="BA3576">
        <v>1</v>
      </c>
      <c r="BB3576" t="str">
        <f t="shared" si="1645"/>
        <v xml:space="preserve">N711JA  </v>
      </c>
      <c r="BC3576">
        <v>1</v>
      </c>
      <c r="BE3576">
        <v>0</v>
      </c>
      <c r="BF3576">
        <v>0</v>
      </c>
      <c r="BG3576">
        <v>0</v>
      </c>
      <c r="BH3576">
        <v>2425</v>
      </c>
      <c r="BI3576">
        <v>1</v>
      </c>
      <c r="BJ3576">
        <v>1</v>
      </c>
      <c r="BK3576">
        <v>0</v>
      </c>
      <c r="BL3576">
        <v>0</v>
      </c>
      <c r="BO3576">
        <v>0</v>
      </c>
      <c r="BP3576">
        <v>0</v>
      </c>
      <c r="BW3576" t="str">
        <f t="shared" si="1656"/>
        <v>14:47:42.083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6</v>
      </c>
      <c r="CP3576" t="s">
        <v>119</v>
      </c>
      <c r="CQ3576">
        <v>56</v>
      </c>
      <c r="CR3576">
        <v>2</v>
      </c>
      <c r="CW3576">
        <v>5029621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1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 t="shared" si="1655"/>
        <v>05/12/2020 14:47:24.256</v>
      </c>
      <c r="C3577" t="str">
        <f t="shared" si="1644"/>
        <v>FFDFD3C0</v>
      </c>
      <c r="D3577" t="s">
        <v>131</v>
      </c>
      <c r="E3577">
        <v>18</v>
      </c>
      <c r="F3577">
        <v>2018</v>
      </c>
      <c r="G3577" t="s">
        <v>161</v>
      </c>
      <c r="J3577" t="s">
        <v>133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si="1657"/>
        <v>14:47:42.078</v>
      </c>
      <c r="T3577" t="str">
        <f t="shared" si="1658"/>
        <v>14:47:42.078</v>
      </c>
      <c r="U3577" t="str">
        <f t="shared" si="1635"/>
        <v>A9808D</v>
      </c>
      <c r="V3577">
        <v>0</v>
      </c>
      <c r="W3577">
        <v>0</v>
      </c>
      <c r="X3577">
        <v>1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0</v>
      </c>
      <c r="AI3577" t="s">
        <v>834</v>
      </c>
      <c r="AJ3577">
        <v>28.263895999999999</v>
      </c>
      <c r="AK3577" t="s">
        <v>835</v>
      </c>
      <c r="AL3577">
        <v>-82.261505</v>
      </c>
      <c r="AM3577">
        <v>100</v>
      </c>
      <c r="AN3577">
        <v>2400</v>
      </c>
      <c r="AO3577" t="s">
        <v>118</v>
      </c>
      <c r="AP3577">
        <v>-45</v>
      </c>
      <c r="AQ3577">
        <v>120</v>
      </c>
      <c r="AR3577">
        <v>832</v>
      </c>
      <c r="AZ3577">
        <v>1200</v>
      </c>
      <c r="BA3577">
        <v>1</v>
      </c>
      <c r="BB3577" t="str">
        <f t="shared" si="1645"/>
        <v xml:space="preserve">N711JA  </v>
      </c>
      <c r="BC3577">
        <v>1</v>
      </c>
      <c r="BE3577">
        <v>0</v>
      </c>
      <c r="BF3577">
        <v>0</v>
      </c>
      <c r="BG3577">
        <v>0</v>
      </c>
      <c r="BH3577">
        <v>2425</v>
      </c>
      <c r="BI3577">
        <v>1</v>
      </c>
      <c r="BJ3577">
        <v>1</v>
      </c>
      <c r="BK3577">
        <v>0</v>
      </c>
      <c r="BL3577">
        <v>0</v>
      </c>
      <c r="BO3577">
        <v>0</v>
      </c>
      <c r="BP3577">
        <v>0</v>
      </c>
      <c r="BW3577" t="str">
        <f t="shared" si="1656"/>
        <v>14:47:42.083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6</v>
      </c>
      <c r="CP3577" t="s">
        <v>119</v>
      </c>
      <c r="CQ3577">
        <v>56</v>
      </c>
      <c r="CR3577">
        <v>2</v>
      </c>
      <c r="CW3577">
        <v>5029621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1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 t="shared" si="1655"/>
        <v>05/12/2020 14:47:24.256</v>
      </c>
      <c r="C3578" t="str">
        <f t="shared" si="1644"/>
        <v>FFDFD3C0</v>
      </c>
      <c r="D3578" t="s">
        <v>126</v>
      </c>
      <c r="E3578">
        <v>6</v>
      </c>
      <c r="F3578">
        <v>1006</v>
      </c>
      <c r="G3578" t="s">
        <v>114</v>
      </c>
      <c r="J3578" t="s">
        <v>128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si="1657"/>
        <v>14:47:42.078</v>
      </c>
      <c r="T3578" t="str">
        <f t="shared" si="1658"/>
        <v>14:47:42.078</v>
      </c>
      <c r="U3578" t="str">
        <f t="shared" si="1635"/>
        <v>A9808D</v>
      </c>
      <c r="V3578">
        <v>0</v>
      </c>
      <c r="W3578">
        <v>0</v>
      </c>
      <c r="X3578">
        <v>1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0</v>
      </c>
      <c r="AI3578" t="s">
        <v>834</v>
      </c>
      <c r="AJ3578">
        <v>28.263895999999999</v>
      </c>
      <c r="AK3578" t="s">
        <v>835</v>
      </c>
      <c r="AL3578">
        <v>-82.261505</v>
      </c>
      <c r="AM3578">
        <v>100</v>
      </c>
      <c r="AN3578">
        <v>2400</v>
      </c>
      <c r="AO3578" t="s">
        <v>118</v>
      </c>
      <c r="AP3578">
        <v>-45</v>
      </c>
      <c r="AQ3578">
        <v>120</v>
      </c>
      <c r="AR3578">
        <v>832</v>
      </c>
      <c r="AZ3578">
        <v>1200</v>
      </c>
      <c r="BA3578">
        <v>1</v>
      </c>
      <c r="BB3578" t="str">
        <f t="shared" si="1645"/>
        <v xml:space="preserve">N711JA  </v>
      </c>
      <c r="BC3578">
        <v>1</v>
      </c>
      <c r="BE3578">
        <v>0</v>
      </c>
      <c r="BF3578">
        <v>0</v>
      </c>
      <c r="BG3578">
        <v>0</v>
      </c>
      <c r="BH3578">
        <v>2425</v>
      </c>
      <c r="BI3578">
        <v>1</v>
      </c>
      <c r="BJ3578">
        <v>1</v>
      </c>
      <c r="BK3578">
        <v>0</v>
      </c>
      <c r="BL3578">
        <v>0</v>
      </c>
      <c r="BO3578">
        <v>0</v>
      </c>
      <c r="BP3578">
        <v>0</v>
      </c>
      <c r="BW3578" t="str">
        <f t="shared" si="1656"/>
        <v>14:47:42.083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6</v>
      </c>
      <c r="CP3578" t="s">
        <v>119</v>
      </c>
      <c r="CQ3578">
        <v>56</v>
      </c>
      <c r="CR3578">
        <v>2</v>
      </c>
      <c r="CW3578">
        <v>5029621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1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 t="shared" ref="A3579:A3585" si="1659">"05/12/2020 14:47:25.219"</f>
        <v>05/12/2020 14:47:25.219</v>
      </c>
      <c r="C3579" t="str">
        <f t="shared" si="1644"/>
        <v>FFDFD3C0</v>
      </c>
      <c r="D3579" t="s">
        <v>113</v>
      </c>
      <c r="E3579">
        <v>3</v>
      </c>
      <c r="H3579">
        <v>164</v>
      </c>
      <c r="I3579" t="s">
        <v>114</v>
      </c>
      <c r="J3579" t="s">
        <v>115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"14:47:43.055"</f>
        <v>14:47:43.055</v>
      </c>
      <c r="T3579" t="str">
        <f>"14:47:42.655"</f>
        <v>14:47:42.655</v>
      </c>
      <c r="U3579" t="str">
        <f t="shared" si="1635"/>
        <v>A9808D</v>
      </c>
      <c r="V3579">
        <v>0</v>
      </c>
      <c r="W3579">
        <v>0</v>
      </c>
      <c r="X3579">
        <v>1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0</v>
      </c>
      <c r="AI3579" t="s">
        <v>836</v>
      </c>
      <c r="AJ3579">
        <v>28.264431999999999</v>
      </c>
      <c r="AK3579" t="s">
        <v>837</v>
      </c>
      <c r="AL3579">
        <v>-82.261763000000002</v>
      </c>
      <c r="AM3579">
        <v>100</v>
      </c>
      <c r="AN3579">
        <v>2400</v>
      </c>
      <c r="AO3579" t="s">
        <v>118</v>
      </c>
      <c r="AP3579">
        <v>-47</v>
      </c>
      <c r="AQ3579">
        <v>119</v>
      </c>
      <c r="AR3579">
        <v>768</v>
      </c>
      <c r="AZ3579">
        <v>1200</v>
      </c>
      <c r="BA3579">
        <v>1</v>
      </c>
      <c r="BB3579" t="str">
        <f t="shared" si="1645"/>
        <v xml:space="preserve">N711JA  </v>
      </c>
      <c r="BC3579">
        <v>1</v>
      </c>
      <c r="BE3579">
        <v>0</v>
      </c>
      <c r="BF3579">
        <v>0</v>
      </c>
      <c r="BG3579">
        <v>0</v>
      </c>
      <c r="BH3579">
        <v>2425</v>
      </c>
      <c r="BI3579">
        <v>1</v>
      </c>
      <c r="BJ3579">
        <v>1</v>
      </c>
      <c r="BK3579">
        <v>0</v>
      </c>
      <c r="BL3579">
        <v>0</v>
      </c>
      <c r="BO3579">
        <v>0</v>
      </c>
      <c r="BP3579">
        <v>0</v>
      </c>
      <c r="BW3579" t="str">
        <f t="shared" ref="BW3579:BW3585" si="1660">"14:47:43.055"</f>
        <v>14:47:43.055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5</v>
      </c>
      <c r="CP3579" t="s">
        <v>119</v>
      </c>
      <c r="CQ3579">
        <v>62</v>
      </c>
      <c r="CR3579">
        <v>1</v>
      </c>
      <c r="CW3579">
        <v>12940374</v>
      </c>
      <c r="CY3579">
        <v>1</v>
      </c>
      <c r="CZ3579">
        <v>0</v>
      </c>
      <c r="DA3579">
        <v>0</v>
      </c>
      <c r="DB3579">
        <v>0</v>
      </c>
      <c r="DC3579">
        <v>0</v>
      </c>
      <c r="DD3579">
        <v>1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 t="shared" si="1659"/>
        <v>05/12/2020 14:47:25.219</v>
      </c>
      <c r="C3580" t="str">
        <f t="shared" si="1644"/>
        <v>FFDFD3C0</v>
      </c>
      <c r="D3580" t="s">
        <v>134</v>
      </c>
      <c r="E3580">
        <v>12</v>
      </c>
      <c r="H3580">
        <v>64</v>
      </c>
      <c r="I3580" t="s">
        <v>135</v>
      </c>
      <c r="J3580" t="s">
        <v>136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"14:47:43.047"</f>
        <v>14:47:43.047</v>
      </c>
      <c r="T3580" t="str">
        <f>"14:47:42.647"</f>
        <v>14:47:42.647</v>
      </c>
      <c r="U3580" t="str">
        <f t="shared" si="1635"/>
        <v>A9808D</v>
      </c>
      <c r="V3580">
        <v>0</v>
      </c>
      <c r="W3580">
        <v>0</v>
      </c>
      <c r="X3580">
        <v>1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0</v>
      </c>
      <c r="AI3580" t="s">
        <v>836</v>
      </c>
      <c r="AJ3580">
        <v>28.264431999999999</v>
      </c>
      <c r="AK3580" t="s">
        <v>837</v>
      </c>
      <c r="AL3580">
        <v>-82.261763000000002</v>
      </c>
      <c r="AM3580">
        <v>100</v>
      </c>
      <c r="AN3580">
        <v>2400</v>
      </c>
      <c r="AO3580" t="s">
        <v>118</v>
      </c>
      <c r="AP3580">
        <v>-47</v>
      </c>
      <c r="AQ3580">
        <v>119</v>
      </c>
      <c r="AR3580">
        <v>768</v>
      </c>
      <c r="AZ3580">
        <v>1200</v>
      </c>
      <c r="BA3580">
        <v>1</v>
      </c>
      <c r="BB3580" t="str">
        <f t="shared" si="1645"/>
        <v xml:space="preserve">N711JA  </v>
      </c>
      <c r="BC3580">
        <v>1</v>
      </c>
      <c r="BE3580">
        <v>0</v>
      </c>
      <c r="BF3580">
        <v>0</v>
      </c>
      <c r="BG3580">
        <v>0</v>
      </c>
      <c r="BH3580">
        <v>2425</v>
      </c>
      <c r="BI3580">
        <v>1</v>
      </c>
      <c r="BJ3580">
        <v>1</v>
      </c>
      <c r="BK3580">
        <v>0</v>
      </c>
      <c r="BL3580">
        <v>0</v>
      </c>
      <c r="BO3580">
        <v>0</v>
      </c>
      <c r="BP3580">
        <v>0</v>
      </c>
      <c r="BW3580" t="str">
        <f t="shared" si="1660"/>
        <v>14:47:43.055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5</v>
      </c>
      <c r="CP3580" t="s">
        <v>119</v>
      </c>
      <c r="CQ3580">
        <v>358</v>
      </c>
      <c r="CR3580">
        <v>0</v>
      </c>
      <c r="CW3580">
        <v>5005497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1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 t="shared" si="1659"/>
        <v>05/12/2020 14:47:25.219</v>
      </c>
      <c r="C3581" t="str">
        <f t="shared" si="1644"/>
        <v>FFDFD3C0</v>
      </c>
      <c r="D3581" t="s">
        <v>126</v>
      </c>
      <c r="E3581">
        <v>7</v>
      </c>
      <c r="F3581">
        <v>1007</v>
      </c>
      <c r="G3581" t="s">
        <v>127</v>
      </c>
      <c r="J3581" t="s">
        <v>128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"14:47:43.047"</f>
        <v>14:47:43.047</v>
      </c>
      <c r="T3581" t="str">
        <f>"14:47:42.647"</f>
        <v>14:47:42.647</v>
      </c>
      <c r="U3581" t="str">
        <f t="shared" si="1635"/>
        <v>A9808D</v>
      </c>
      <c r="V3581">
        <v>0</v>
      </c>
      <c r="W3581">
        <v>0</v>
      </c>
      <c r="X3581">
        <v>1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0</v>
      </c>
      <c r="AI3581" t="s">
        <v>836</v>
      </c>
      <c r="AJ3581">
        <v>28.264431999999999</v>
      </c>
      <c r="AK3581" t="s">
        <v>837</v>
      </c>
      <c r="AL3581">
        <v>-82.261763000000002</v>
      </c>
      <c r="AM3581">
        <v>100</v>
      </c>
      <c r="AN3581">
        <v>2400</v>
      </c>
      <c r="AO3581" t="s">
        <v>118</v>
      </c>
      <c r="AP3581">
        <v>-47</v>
      </c>
      <c r="AQ3581">
        <v>119</v>
      </c>
      <c r="AR3581">
        <v>768</v>
      </c>
      <c r="AZ3581">
        <v>1200</v>
      </c>
      <c r="BA3581">
        <v>1</v>
      </c>
      <c r="BB3581" t="str">
        <f t="shared" si="1645"/>
        <v xml:space="preserve">N711JA  </v>
      </c>
      <c r="BC3581">
        <v>1</v>
      </c>
      <c r="BE3581">
        <v>0</v>
      </c>
      <c r="BF3581">
        <v>0</v>
      </c>
      <c r="BG3581">
        <v>0</v>
      </c>
      <c r="BH3581">
        <v>2425</v>
      </c>
      <c r="BI3581">
        <v>1</v>
      </c>
      <c r="BJ3581">
        <v>1</v>
      </c>
      <c r="BK3581">
        <v>0</v>
      </c>
      <c r="BL3581">
        <v>0</v>
      </c>
      <c r="BO3581">
        <v>0</v>
      </c>
      <c r="BP3581">
        <v>0</v>
      </c>
      <c r="BW3581" t="str">
        <f t="shared" si="1660"/>
        <v>14:47:43.055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5</v>
      </c>
      <c r="CP3581" t="s">
        <v>119</v>
      </c>
      <c r="CQ3581">
        <v>358</v>
      </c>
      <c r="CR3581">
        <v>0</v>
      </c>
      <c r="CW3581">
        <v>5005497</v>
      </c>
      <c r="CY3581">
        <v>1</v>
      </c>
      <c r="CZ3581">
        <v>0</v>
      </c>
      <c r="DA3581">
        <v>1</v>
      </c>
      <c r="DB3581">
        <v>0</v>
      </c>
      <c r="DC3581">
        <v>0</v>
      </c>
      <c r="DD3581">
        <v>1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 t="shared" si="1659"/>
        <v>05/12/2020 14:47:25.219</v>
      </c>
      <c r="C3582" t="str">
        <f t="shared" si="1644"/>
        <v>FFDFD3C0</v>
      </c>
      <c r="D3582" t="s">
        <v>131</v>
      </c>
      <c r="E3582">
        <v>18</v>
      </c>
      <c r="F3582">
        <v>2018</v>
      </c>
      <c r="G3582" t="s">
        <v>161</v>
      </c>
      <c r="J3582" t="s">
        <v>133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"14:47:43.055"</f>
        <v>14:47:43.055</v>
      </c>
      <c r="T3582" t="str">
        <f>"14:47:42.655"</f>
        <v>14:47:42.655</v>
      </c>
      <c r="U3582" t="str">
        <f t="shared" si="1635"/>
        <v>A9808D</v>
      </c>
      <c r="V3582">
        <v>0</v>
      </c>
      <c r="W3582">
        <v>0</v>
      </c>
      <c r="X3582">
        <v>1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0</v>
      </c>
      <c r="AI3582" t="s">
        <v>836</v>
      </c>
      <c r="AJ3582">
        <v>28.264431999999999</v>
      </c>
      <c r="AK3582" t="s">
        <v>837</v>
      </c>
      <c r="AL3582">
        <v>-82.261763000000002</v>
      </c>
      <c r="AM3582">
        <v>100</v>
      </c>
      <c r="AN3582">
        <v>2400</v>
      </c>
      <c r="AO3582" t="s">
        <v>118</v>
      </c>
      <c r="AP3582">
        <v>-47</v>
      </c>
      <c r="AQ3582">
        <v>119</v>
      </c>
      <c r="AR3582">
        <v>768</v>
      </c>
      <c r="AZ3582">
        <v>1200</v>
      </c>
      <c r="BA3582">
        <v>1</v>
      </c>
      <c r="BB3582" t="str">
        <f t="shared" si="1645"/>
        <v xml:space="preserve">N711JA  </v>
      </c>
      <c r="BC3582">
        <v>1</v>
      </c>
      <c r="BE3582">
        <v>0</v>
      </c>
      <c r="BF3582">
        <v>0</v>
      </c>
      <c r="BG3582">
        <v>0</v>
      </c>
      <c r="BH3582">
        <v>2425</v>
      </c>
      <c r="BI3582">
        <v>1</v>
      </c>
      <c r="BJ3582">
        <v>1</v>
      </c>
      <c r="BK3582">
        <v>0</v>
      </c>
      <c r="BL3582">
        <v>0</v>
      </c>
      <c r="BO3582">
        <v>0</v>
      </c>
      <c r="BP3582">
        <v>0</v>
      </c>
      <c r="BW3582" t="str">
        <f t="shared" si="1660"/>
        <v>14:47:43.055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5</v>
      </c>
      <c r="CP3582" t="s">
        <v>119</v>
      </c>
      <c r="CQ3582">
        <v>62</v>
      </c>
      <c r="CR3582">
        <v>1</v>
      </c>
      <c r="CW3582">
        <v>12940374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1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 t="shared" si="1659"/>
        <v>05/12/2020 14:47:25.219</v>
      </c>
      <c r="C3583" t="str">
        <f t="shared" si="1644"/>
        <v>FFDFD3C0</v>
      </c>
      <c r="D3583" t="s">
        <v>138</v>
      </c>
      <c r="E3583">
        <v>3</v>
      </c>
      <c r="H3583">
        <v>9</v>
      </c>
      <c r="I3583" t="s">
        <v>140</v>
      </c>
      <c r="J3583" t="s">
        <v>136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"14:47:43.047"</f>
        <v>14:47:43.047</v>
      </c>
      <c r="T3583" t="str">
        <f>"14:47:42.647"</f>
        <v>14:47:42.647</v>
      </c>
      <c r="U3583" t="str">
        <f t="shared" si="1635"/>
        <v>A9808D</v>
      </c>
      <c r="V3583">
        <v>0</v>
      </c>
      <c r="W3583">
        <v>0</v>
      </c>
      <c r="X3583">
        <v>1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0</v>
      </c>
      <c r="AI3583" t="s">
        <v>836</v>
      </c>
      <c r="AJ3583">
        <v>28.264431999999999</v>
      </c>
      <c r="AK3583" t="s">
        <v>837</v>
      </c>
      <c r="AL3583">
        <v>-82.261763000000002</v>
      </c>
      <c r="AM3583">
        <v>100</v>
      </c>
      <c r="AN3583">
        <v>2400</v>
      </c>
      <c r="AO3583" t="s">
        <v>118</v>
      </c>
      <c r="AP3583">
        <v>-47</v>
      </c>
      <c r="AQ3583">
        <v>119</v>
      </c>
      <c r="AR3583">
        <v>768</v>
      </c>
      <c r="AZ3583">
        <v>1200</v>
      </c>
      <c r="BA3583">
        <v>1</v>
      </c>
      <c r="BB3583" t="str">
        <f t="shared" si="1645"/>
        <v xml:space="preserve">N711JA  </v>
      </c>
      <c r="BC3583">
        <v>1</v>
      </c>
      <c r="BE3583">
        <v>0</v>
      </c>
      <c r="BF3583">
        <v>0</v>
      </c>
      <c r="BG3583">
        <v>0</v>
      </c>
      <c r="BH3583">
        <v>2425</v>
      </c>
      <c r="BI3583">
        <v>1</v>
      </c>
      <c r="BJ3583">
        <v>1</v>
      </c>
      <c r="BK3583">
        <v>0</v>
      </c>
      <c r="BL3583">
        <v>0</v>
      </c>
      <c r="BO3583">
        <v>0</v>
      </c>
      <c r="BP3583">
        <v>0</v>
      </c>
      <c r="BW3583" t="str">
        <f t="shared" si="1660"/>
        <v>14:47:43.055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5</v>
      </c>
      <c r="CP3583" t="s">
        <v>119</v>
      </c>
      <c r="CQ3583">
        <v>358</v>
      </c>
      <c r="CR3583">
        <v>0</v>
      </c>
      <c r="CW3583">
        <v>5005497</v>
      </c>
      <c r="CY3583">
        <v>1</v>
      </c>
      <c r="CZ3583">
        <v>0</v>
      </c>
      <c r="DA3583">
        <v>1</v>
      </c>
      <c r="DB3583">
        <v>0</v>
      </c>
      <c r="DC3583">
        <v>0</v>
      </c>
      <c r="DD3583">
        <v>1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 t="shared" si="1659"/>
        <v>05/12/2020 14:47:25.219</v>
      </c>
      <c r="C3584" t="str">
        <f t="shared" si="1644"/>
        <v>FFDFD3C0</v>
      </c>
      <c r="D3584" t="s">
        <v>131</v>
      </c>
      <c r="E3584">
        <v>10</v>
      </c>
      <c r="F3584">
        <v>2010</v>
      </c>
      <c r="G3584" t="s">
        <v>132</v>
      </c>
      <c r="J3584" t="s">
        <v>133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"14:47:43.047"</f>
        <v>14:47:43.047</v>
      </c>
      <c r="T3584" t="str">
        <f>"14:47:42.647"</f>
        <v>14:47:42.647</v>
      </c>
      <c r="U3584" t="str">
        <f t="shared" si="1635"/>
        <v>A9808D</v>
      </c>
      <c r="V3584">
        <v>0</v>
      </c>
      <c r="W3584">
        <v>0</v>
      </c>
      <c r="X3584">
        <v>1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0</v>
      </c>
      <c r="AI3584" t="s">
        <v>836</v>
      </c>
      <c r="AJ3584">
        <v>28.264431999999999</v>
      </c>
      <c r="AK3584" t="s">
        <v>837</v>
      </c>
      <c r="AL3584">
        <v>-82.261763000000002</v>
      </c>
      <c r="AM3584">
        <v>100</v>
      </c>
      <c r="AN3584">
        <v>2400</v>
      </c>
      <c r="AO3584" t="s">
        <v>118</v>
      </c>
      <c r="AP3584">
        <v>-47</v>
      </c>
      <c r="AQ3584">
        <v>119</v>
      </c>
      <c r="AR3584">
        <v>768</v>
      </c>
      <c r="AZ3584">
        <v>1200</v>
      </c>
      <c r="BA3584">
        <v>1</v>
      </c>
      <c r="BB3584" t="str">
        <f t="shared" si="1645"/>
        <v xml:space="preserve">N711JA  </v>
      </c>
      <c r="BC3584">
        <v>1</v>
      </c>
      <c r="BE3584">
        <v>0</v>
      </c>
      <c r="BF3584">
        <v>0</v>
      </c>
      <c r="BG3584">
        <v>0</v>
      </c>
      <c r="BH3584">
        <v>2425</v>
      </c>
      <c r="BI3584">
        <v>1</v>
      </c>
      <c r="BJ3584">
        <v>1</v>
      </c>
      <c r="BK3584">
        <v>0</v>
      </c>
      <c r="BL3584">
        <v>0</v>
      </c>
      <c r="BO3584">
        <v>0</v>
      </c>
      <c r="BP3584">
        <v>0</v>
      </c>
      <c r="BW3584" t="str">
        <f t="shared" si="1660"/>
        <v>14:47:43.055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5</v>
      </c>
      <c r="CP3584" t="s">
        <v>119</v>
      </c>
      <c r="CQ3584">
        <v>358</v>
      </c>
      <c r="CR3584">
        <v>0</v>
      </c>
      <c r="CW3584">
        <v>5005497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1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 t="shared" si="1659"/>
        <v>05/12/2020 14:47:25.219</v>
      </c>
      <c r="C3585" t="str">
        <f t="shared" si="1644"/>
        <v>FFDFD3C0</v>
      </c>
      <c r="D3585" t="s">
        <v>126</v>
      </c>
      <c r="E3585">
        <v>6</v>
      </c>
      <c r="F3585">
        <v>1006</v>
      </c>
      <c r="G3585" t="s">
        <v>114</v>
      </c>
      <c r="J3585" t="s">
        <v>128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"14:47:43.047"</f>
        <v>14:47:43.047</v>
      </c>
      <c r="T3585" t="str">
        <f>"14:47:42.647"</f>
        <v>14:47:42.647</v>
      </c>
      <c r="U3585" t="str">
        <f t="shared" si="1635"/>
        <v>A9808D</v>
      </c>
      <c r="V3585">
        <v>0</v>
      </c>
      <c r="W3585">
        <v>0</v>
      </c>
      <c r="X3585">
        <v>1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0</v>
      </c>
      <c r="AI3585" t="s">
        <v>836</v>
      </c>
      <c r="AJ3585">
        <v>28.264431999999999</v>
      </c>
      <c r="AK3585" t="s">
        <v>837</v>
      </c>
      <c r="AL3585">
        <v>-82.261763000000002</v>
      </c>
      <c r="AM3585">
        <v>100</v>
      </c>
      <c r="AN3585">
        <v>2400</v>
      </c>
      <c r="AO3585" t="s">
        <v>118</v>
      </c>
      <c r="AP3585">
        <v>-47</v>
      </c>
      <c r="AQ3585">
        <v>119</v>
      </c>
      <c r="AR3585">
        <v>768</v>
      </c>
      <c r="AZ3585">
        <v>1200</v>
      </c>
      <c r="BA3585">
        <v>1</v>
      </c>
      <c r="BB3585" t="str">
        <f t="shared" si="1645"/>
        <v xml:space="preserve">N711JA  </v>
      </c>
      <c r="BC3585">
        <v>1</v>
      </c>
      <c r="BE3585">
        <v>0</v>
      </c>
      <c r="BF3585">
        <v>0</v>
      </c>
      <c r="BG3585">
        <v>0</v>
      </c>
      <c r="BH3585">
        <v>2425</v>
      </c>
      <c r="BI3585">
        <v>1</v>
      </c>
      <c r="BJ3585">
        <v>1</v>
      </c>
      <c r="BK3585">
        <v>0</v>
      </c>
      <c r="BL3585">
        <v>0</v>
      </c>
      <c r="BO3585">
        <v>0</v>
      </c>
      <c r="BP3585">
        <v>0</v>
      </c>
      <c r="BW3585" t="str">
        <f t="shared" si="1660"/>
        <v>14:47:43.055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5</v>
      </c>
      <c r="CP3585" t="s">
        <v>119</v>
      </c>
      <c r="CQ3585">
        <v>358</v>
      </c>
      <c r="CR3585">
        <v>0</v>
      </c>
      <c r="CW3585">
        <v>5005497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1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 t="shared" ref="A3586:A3592" si="1661">"05/12/2020 14:47:26.198"</f>
        <v>05/12/2020 14:47:26.198</v>
      </c>
      <c r="C3586" t="str">
        <f t="shared" si="1644"/>
        <v>FFDFD3C0</v>
      </c>
      <c r="D3586" t="s">
        <v>138</v>
      </c>
      <c r="E3586">
        <v>3</v>
      </c>
      <c r="H3586">
        <v>9</v>
      </c>
      <c r="I3586" t="s">
        <v>140</v>
      </c>
      <c r="J3586" t="s">
        <v>136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ref="S3586:T3592" si="1662">"14:47:44.039"</f>
        <v>14:47:44.039</v>
      </c>
      <c r="T3586" t="str">
        <f t="shared" si="1662"/>
        <v>14:47:44.039</v>
      </c>
      <c r="U3586" t="str">
        <f t="shared" ref="U3586:U3649" si="1663">"A9808D"</f>
        <v>A9808D</v>
      </c>
      <c r="V3586">
        <v>0</v>
      </c>
      <c r="W3586">
        <v>0</v>
      </c>
      <c r="X3586">
        <v>1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0</v>
      </c>
      <c r="AI3586" t="s">
        <v>838</v>
      </c>
      <c r="AJ3586">
        <v>28.264990000000001</v>
      </c>
      <c r="AK3586" t="s">
        <v>839</v>
      </c>
      <c r="AL3586">
        <v>-82.262041999999994</v>
      </c>
      <c r="AM3586">
        <v>100</v>
      </c>
      <c r="AN3586">
        <v>2400</v>
      </c>
      <c r="AO3586" t="s">
        <v>118</v>
      </c>
      <c r="AP3586">
        <v>-52</v>
      </c>
      <c r="AQ3586">
        <v>117</v>
      </c>
      <c r="AR3586">
        <v>448</v>
      </c>
      <c r="AZ3586">
        <v>1200</v>
      </c>
      <c r="BA3586">
        <v>1</v>
      </c>
      <c r="BB3586" t="str">
        <f t="shared" si="1645"/>
        <v xml:space="preserve">N711JA  </v>
      </c>
      <c r="BC3586">
        <v>1</v>
      </c>
      <c r="BE3586">
        <v>0</v>
      </c>
      <c r="BF3586">
        <v>0</v>
      </c>
      <c r="BG3586">
        <v>0</v>
      </c>
      <c r="BH3586">
        <v>2450</v>
      </c>
      <c r="BI3586">
        <v>1</v>
      </c>
      <c r="BJ3586">
        <v>1</v>
      </c>
      <c r="BK3586">
        <v>0</v>
      </c>
      <c r="BL3586">
        <v>0</v>
      </c>
      <c r="BO3586">
        <v>0</v>
      </c>
      <c r="BP3586">
        <v>0</v>
      </c>
      <c r="BW3586" t="str">
        <f>"14:47:44.040"</f>
        <v>14:47:44.040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5</v>
      </c>
      <c r="CP3586" t="s">
        <v>119</v>
      </c>
      <c r="CQ3586">
        <v>358</v>
      </c>
      <c r="CR3586">
        <v>0</v>
      </c>
      <c r="CW3586">
        <v>5006737</v>
      </c>
      <c r="CY3586">
        <v>1</v>
      </c>
      <c r="CZ3586">
        <v>0</v>
      </c>
      <c r="DA3586">
        <v>0</v>
      </c>
      <c r="DB3586">
        <v>0</v>
      </c>
      <c r="DC3586">
        <v>0</v>
      </c>
      <c r="DD3586">
        <v>1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 t="shared" si="1661"/>
        <v>05/12/2020 14:47:26.198</v>
      </c>
      <c r="C3587" t="str">
        <f t="shared" si="1644"/>
        <v>FFDFD3C0</v>
      </c>
      <c r="D3587" t="s">
        <v>126</v>
      </c>
      <c r="E3587">
        <v>6</v>
      </c>
      <c r="F3587">
        <v>1006</v>
      </c>
      <c r="G3587" t="s">
        <v>114</v>
      </c>
      <c r="J3587" t="s">
        <v>128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662"/>
        <v>14:47:44.039</v>
      </c>
      <c r="T3587" t="str">
        <f t="shared" si="1662"/>
        <v>14:47:44.039</v>
      </c>
      <c r="U3587" t="str">
        <f t="shared" si="1663"/>
        <v>A9808D</v>
      </c>
      <c r="V3587">
        <v>0</v>
      </c>
      <c r="W3587">
        <v>0</v>
      </c>
      <c r="X3587">
        <v>1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3</v>
      </c>
      <c r="AG3587">
        <v>2</v>
      </c>
      <c r="AH3587">
        <v>0</v>
      </c>
      <c r="AI3587" t="s">
        <v>838</v>
      </c>
      <c r="AJ3587">
        <v>28.264990000000001</v>
      </c>
      <c r="AK3587" t="s">
        <v>839</v>
      </c>
      <c r="AL3587">
        <v>-82.262041999999994</v>
      </c>
      <c r="AM3587">
        <v>100</v>
      </c>
      <c r="AN3587">
        <v>2400</v>
      </c>
      <c r="AO3587" t="s">
        <v>118</v>
      </c>
      <c r="AP3587">
        <v>-52</v>
      </c>
      <c r="AQ3587">
        <v>117</v>
      </c>
      <c r="AR3587">
        <v>448</v>
      </c>
      <c r="AZ3587">
        <v>1200</v>
      </c>
      <c r="BA3587">
        <v>1</v>
      </c>
      <c r="BB3587" t="str">
        <f t="shared" si="1645"/>
        <v xml:space="preserve">N711JA  </v>
      </c>
      <c r="BC3587">
        <v>1</v>
      </c>
      <c r="BE3587">
        <v>0</v>
      </c>
      <c r="BF3587">
        <v>0</v>
      </c>
      <c r="BG3587">
        <v>0</v>
      </c>
      <c r="BH3587">
        <v>2450</v>
      </c>
      <c r="BI3587">
        <v>1</v>
      </c>
      <c r="BJ3587">
        <v>1</v>
      </c>
      <c r="BK3587">
        <v>0</v>
      </c>
      <c r="BL3587">
        <v>0</v>
      </c>
      <c r="BO3587">
        <v>0</v>
      </c>
      <c r="BP3587">
        <v>0</v>
      </c>
      <c r="BW3587" t="str">
        <f>"14:47:44.040"</f>
        <v>14:47:44.040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5</v>
      </c>
      <c r="CP3587" t="s">
        <v>119</v>
      </c>
      <c r="CQ3587">
        <v>358</v>
      </c>
      <c r="CR3587">
        <v>0</v>
      </c>
      <c r="CW3587">
        <v>5006737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1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 t="shared" si="1661"/>
        <v>05/12/2020 14:47:26.198</v>
      </c>
      <c r="C3588" t="str">
        <f t="shared" si="1644"/>
        <v>FFDFD3C0</v>
      </c>
      <c r="D3588" t="s">
        <v>126</v>
      </c>
      <c r="E3588">
        <v>7</v>
      </c>
      <c r="F3588">
        <v>1007</v>
      </c>
      <c r="G3588" t="s">
        <v>127</v>
      </c>
      <c r="J3588" t="s">
        <v>128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si="1662"/>
        <v>14:47:44.039</v>
      </c>
      <c r="T3588" t="str">
        <f t="shared" si="1662"/>
        <v>14:47:44.039</v>
      </c>
      <c r="U3588" t="str">
        <f t="shared" si="1663"/>
        <v>A9808D</v>
      </c>
      <c r="V3588">
        <v>0</v>
      </c>
      <c r="W3588">
        <v>0</v>
      </c>
      <c r="X3588">
        <v>1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0</v>
      </c>
      <c r="AI3588" t="s">
        <v>838</v>
      </c>
      <c r="AJ3588">
        <v>28.264990000000001</v>
      </c>
      <c r="AK3588" t="s">
        <v>839</v>
      </c>
      <c r="AL3588">
        <v>-82.262041999999994</v>
      </c>
      <c r="AM3588">
        <v>100</v>
      </c>
      <c r="AN3588">
        <v>2400</v>
      </c>
      <c r="AO3588" t="s">
        <v>118</v>
      </c>
      <c r="AP3588">
        <v>-52</v>
      </c>
      <c r="AQ3588">
        <v>117</v>
      </c>
      <c r="AR3588">
        <v>448</v>
      </c>
      <c r="AZ3588">
        <v>1200</v>
      </c>
      <c r="BA3588">
        <v>1</v>
      </c>
      <c r="BB3588" t="str">
        <f t="shared" si="1645"/>
        <v xml:space="preserve">N711JA  </v>
      </c>
      <c r="BC3588">
        <v>1</v>
      </c>
      <c r="BE3588">
        <v>0</v>
      </c>
      <c r="BF3588">
        <v>0</v>
      </c>
      <c r="BG3588">
        <v>0</v>
      </c>
      <c r="BH3588">
        <v>2450</v>
      </c>
      <c r="BI3588">
        <v>1</v>
      </c>
      <c r="BJ3588">
        <v>1</v>
      </c>
      <c r="BK3588">
        <v>0</v>
      </c>
      <c r="BL3588">
        <v>0</v>
      </c>
      <c r="BO3588">
        <v>0</v>
      </c>
      <c r="BP3588">
        <v>0</v>
      </c>
      <c r="BW3588" t="str">
        <f>"14:47:44.040"</f>
        <v>14:47:44.040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5</v>
      </c>
      <c r="CP3588" t="s">
        <v>119</v>
      </c>
      <c r="CQ3588">
        <v>358</v>
      </c>
      <c r="CR3588">
        <v>0</v>
      </c>
      <c r="CW3588">
        <v>5006737</v>
      </c>
      <c r="CY3588">
        <v>1</v>
      </c>
      <c r="CZ3588">
        <v>0</v>
      </c>
      <c r="DA3588">
        <v>1</v>
      </c>
      <c r="DB3588">
        <v>0</v>
      </c>
      <c r="DC3588">
        <v>0</v>
      </c>
      <c r="DD3588">
        <v>1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 t="shared" si="1661"/>
        <v>05/12/2020 14:47:26.198</v>
      </c>
      <c r="C3589" t="str">
        <f t="shared" si="1644"/>
        <v>FFDFD3C0</v>
      </c>
      <c r="D3589" t="s">
        <v>131</v>
      </c>
      <c r="E3589">
        <v>10</v>
      </c>
      <c r="F3589">
        <v>2010</v>
      </c>
      <c r="G3589" t="s">
        <v>132</v>
      </c>
      <c r="J3589" t="s">
        <v>133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si="1662"/>
        <v>14:47:44.039</v>
      </c>
      <c r="T3589" t="str">
        <f t="shared" si="1662"/>
        <v>14:47:44.039</v>
      </c>
      <c r="U3589" t="str">
        <f t="shared" si="1663"/>
        <v>A9808D</v>
      </c>
      <c r="V3589">
        <v>0</v>
      </c>
      <c r="W3589">
        <v>0</v>
      </c>
      <c r="X3589">
        <v>1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3</v>
      </c>
      <c r="AG3589">
        <v>2</v>
      </c>
      <c r="AH3589">
        <v>0</v>
      </c>
      <c r="AI3589" t="s">
        <v>838</v>
      </c>
      <c r="AJ3589">
        <v>28.264990000000001</v>
      </c>
      <c r="AK3589" t="s">
        <v>839</v>
      </c>
      <c r="AL3589">
        <v>-82.262041999999994</v>
      </c>
      <c r="AM3589">
        <v>100</v>
      </c>
      <c r="AN3589">
        <v>2400</v>
      </c>
      <c r="AO3589" t="s">
        <v>118</v>
      </c>
      <c r="AP3589">
        <v>-52</v>
      </c>
      <c r="AQ3589">
        <v>117</v>
      </c>
      <c r="AR3589">
        <v>448</v>
      </c>
      <c r="AZ3589">
        <v>1200</v>
      </c>
      <c r="BA3589">
        <v>1</v>
      </c>
      <c r="BB3589" t="str">
        <f t="shared" si="1645"/>
        <v xml:space="preserve">N711JA  </v>
      </c>
      <c r="BC3589">
        <v>1</v>
      </c>
      <c r="BE3589">
        <v>0</v>
      </c>
      <c r="BF3589">
        <v>0</v>
      </c>
      <c r="BG3589">
        <v>0</v>
      </c>
      <c r="BH3589">
        <v>2450</v>
      </c>
      <c r="BI3589">
        <v>1</v>
      </c>
      <c r="BJ3589">
        <v>1</v>
      </c>
      <c r="BK3589">
        <v>0</v>
      </c>
      <c r="BL3589">
        <v>0</v>
      </c>
      <c r="BO3589">
        <v>0</v>
      </c>
      <c r="BP3589">
        <v>0</v>
      </c>
      <c r="BW3589" t="str">
        <f>"14:47:44.040"</f>
        <v>14:47:44.040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5</v>
      </c>
      <c r="CP3589" t="s">
        <v>119</v>
      </c>
      <c r="CQ3589">
        <v>358</v>
      </c>
      <c r="CR3589">
        <v>0</v>
      </c>
      <c r="CW3589">
        <v>5006737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1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 t="shared" si="1661"/>
        <v>05/12/2020 14:47:26.198</v>
      </c>
      <c r="C3590" t="str">
        <f t="shared" si="1644"/>
        <v>FFDFD3C0</v>
      </c>
      <c r="D3590" t="s">
        <v>134</v>
      </c>
      <c r="E3590">
        <v>12</v>
      </c>
      <c r="H3590">
        <v>64</v>
      </c>
      <c r="I3590" t="s">
        <v>135</v>
      </c>
      <c r="J3590" t="s">
        <v>136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si="1662"/>
        <v>14:47:44.039</v>
      </c>
      <c r="T3590" t="str">
        <f t="shared" si="1662"/>
        <v>14:47:44.039</v>
      </c>
      <c r="U3590" t="str">
        <f t="shared" si="1663"/>
        <v>A9808D</v>
      </c>
      <c r="V3590">
        <v>0</v>
      </c>
      <c r="W3590">
        <v>0</v>
      </c>
      <c r="X3590">
        <v>1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0</v>
      </c>
      <c r="AI3590" t="s">
        <v>838</v>
      </c>
      <c r="AJ3590">
        <v>28.264990000000001</v>
      </c>
      <c r="AK3590" t="s">
        <v>839</v>
      </c>
      <c r="AL3590">
        <v>-82.262041999999994</v>
      </c>
      <c r="AM3590">
        <v>100</v>
      </c>
      <c r="AN3590">
        <v>2400</v>
      </c>
      <c r="AO3590" t="s">
        <v>118</v>
      </c>
      <c r="AP3590">
        <v>-52</v>
      </c>
      <c r="AQ3590">
        <v>117</v>
      </c>
      <c r="AR3590">
        <v>448</v>
      </c>
      <c r="AZ3590">
        <v>1200</v>
      </c>
      <c r="BA3590">
        <v>1</v>
      </c>
      <c r="BB3590" t="str">
        <f t="shared" si="1645"/>
        <v xml:space="preserve">N711JA  </v>
      </c>
      <c r="BC3590">
        <v>1</v>
      </c>
      <c r="BE3590">
        <v>0</v>
      </c>
      <c r="BF3590">
        <v>0</v>
      </c>
      <c r="BG3590">
        <v>0</v>
      </c>
      <c r="BH3590">
        <v>2450</v>
      </c>
      <c r="BI3590">
        <v>1</v>
      </c>
      <c r="BJ3590">
        <v>1</v>
      </c>
      <c r="BK3590">
        <v>0</v>
      </c>
      <c r="BL3590">
        <v>0</v>
      </c>
      <c r="BO3590">
        <v>0</v>
      </c>
      <c r="BP3590">
        <v>0</v>
      </c>
      <c r="BW3590" t="str">
        <f>"14:47:44.040"</f>
        <v>14:47:44.040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5</v>
      </c>
      <c r="CP3590" t="s">
        <v>119</v>
      </c>
      <c r="CQ3590">
        <v>358</v>
      </c>
      <c r="CR3590">
        <v>0</v>
      </c>
      <c r="CW3590">
        <v>5006737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1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 t="shared" si="1661"/>
        <v>05/12/2020 14:47:26.198</v>
      </c>
      <c r="C3591" t="str">
        <f t="shared" si="1644"/>
        <v>FFDFD3C0</v>
      </c>
      <c r="D3591" t="s">
        <v>113</v>
      </c>
      <c r="E3591">
        <v>3</v>
      </c>
      <c r="H3591">
        <v>164</v>
      </c>
      <c r="I3591" t="s">
        <v>114</v>
      </c>
      <c r="J3591" t="s">
        <v>115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662"/>
        <v>14:47:44.039</v>
      </c>
      <c r="T3591" t="str">
        <f t="shared" si="1662"/>
        <v>14:47:44.039</v>
      </c>
      <c r="U3591" t="str">
        <f t="shared" si="1663"/>
        <v>A9808D</v>
      </c>
      <c r="V3591">
        <v>0</v>
      </c>
      <c r="W3591">
        <v>0</v>
      </c>
      <c r="X3591">
        <v>1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0</v>
      </c>
      <c r="AI3591" t="s">
        <v>838</v>
      </c>
      <c r="AJ3591">
        <v>28.264990000000001</v>
      </c>
      <c r="AK3591" t="s">
        <v>839</v>
      </c>
      <c r="AL3591">
        <v>-82.262041999999994</v>
      </c>
      <c r="AM3591">
        <v>100</v>
      </c>
      <c r="AN3591">
        <v>2400</v>
      </c>
      <c r="AO3591" t="s">
        <v>118</v>
      </c>
      <c r="AP3591">
        <v>-52</v>
      </c>
      <c r="AQ3591">
        <v>117</v>
      </c>
      <c r="AR3591">
        <v>448</v>
      </c>
      <c r="AZ3591">
        <v>1200</v>
      </c>
      <c r="BA3591">
        <v>1</v>
      </c>
      <c r="BB3591" t="str">
        <f t="shared" si="1645"/>
        <v xml:space="preserve">N711JA  </v>
      </c>
      <c r="BC3591">
        <v>1</v>
      </c>
      <c r="BE3591">
        <v>0</v>
      </c>
      <c r="BF3591">
        <v>0</v>
      </c>
      <c r="BG3591">
        <v>0</v>
      </c>
      <c r="BH3591">
        <v>2450</v>
      </c>
      <c r="BI3591">
        <v>1</v>
      </c>
      <c r="BJ3591">
        <v>1</v>
      </c>
      <c r="BK3591">
        <v>0</v>
      </c>
      <c r="BL3591">
        <v>0</v>
      </c>
      <c r="BO3591">
        <v>0</v>
      </c>
      <c r="BP3591">
        <v>0</v>
      </c>
      <c r="BW3591" t="str">
        <f>"14:47:44.041"</f>
        <v>14:47:44.041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4</v>
      </c>
      <c r="CP3591" t="s">
        <v>119</v>
      </c>
      <c r="CQ3591">
        <v>62</v>
      </c>
      <c r="CR3591">
        <v>1</v>
      </c>
      <c r="CW3591">
        <v>12941452</v>
      </c>
      <c r="CY3591">
        <v>1</v>
      </c>
      <c r="CZ3591">
        <v>0</v>
      </c>
      <c r="DA3591">
        <v>1</v>
      </c>
      <c r="DB3591">
        <v>0</v>
      </c>
      <c r="DC3591">
        <v>0</v>
      </c>
      <c r="DD3591">
        <v>1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 t="shared" si="1661"/>
        <v>05/12/2020 14:47:26.198</v>
      </c>
      <c r="C3592" t="str">
        <f t="shared" si="1644"/>
        <v>FFDFD3C0</v>
      </c>
      <c r="D3592" t="s">
        <v>131</v>
      </c>
      <c r="E3592">
        <v>18</v>
      </c>
      <c r="F3592">
        <v>2018</v>
      </c>
      <c r="G3592" t="s">
        <v>161</v>
      </c>
      <c r="J3592" t="s">
        <v>133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si="1662"/>
        <v>14:47:44.039</v>
      </c>
      <c r="T3592" t="str">
        <f t="shared" si="1662"/>
        <v>14:47:44.039</v>
      </c>
      <c r="U3592" t="str">
        <f t="shared" si="1663"/>
        <v>A9808D</v>
      </c>
      <c r="V3592">
        <v>0</v>
      </c>
      <c r="W3592">
        <v>0</v>
      </c>
      <c r="X3592">
        <v>1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0</v>
      </c>
      <c r="AI3592" t="s">
        <v>838</v>
      </c>
      <c r="AJ3592">
        <v>28.264990000000001</v>
      </c>
      <c r="AK3592" t="s">
        <v>839</v>
      </c>
      <c r="AL3592">
        <v>-82.262041999999994</v>
      </c>
      <c r="AM3592">
        <v>100</v>
      </c>
      <c r="AN3592">
        <v>2400</v>
      </c>
      <c r="AO3592" t="s">
        <v>118</v>
      </c>
      <c r="AP3592">
        <v>-52</v>
      </c>
      <c r="AQ3592">
        <v>117</v>
      </c>
      <c r="AR3592">
        <v>448</v>
      </c>
      <c r="AZ3592">
        <v>1200</v>
      </c>
      <c r="BA3592">
        <v>1</v>
      </c>
      <c r="BB3592" t="str">
        <f t="shared" si="1645"/>
        <v xml:space="preserve">N711JA  </v>
      </c>
      <c r="BC3592">
        <v>1</v>
      </c>
      <c r="BE3592">
        <v>0</v>
      </c>
      <c r="BF3592">
        <v>0</v>
      </c>
      <c r="BG3592">
        <v>0</v>
      </c>
      <c r="BH3592">
        <v>2450</v>
      </c>
      <c r="BI3592">
        <v>1</v>
      </c>
      <c r="BJ3592">
        <v>1</v>
      </c>
      <c r="BK3592">
        <v>0</v>
      </c>
      <c r="BL3592">
        <v>0</v>
      </c>
      <c r="BO3592">
        <v>0</v>
      </c>
      <c r="BP3592">
        <v>0</v>
      </c>
      <c r="BW3592" t="str">
        <f>"14:47:44.041"</f>
        <v>14:47:44.041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4</v>
      </c>
      <c r="CP3592" t="s">
        <v>119</v>
      </c>
      <c r="CQ3592">
        <v>62</v>
      </c>
      <c r="CR3592">
        <v>1</v>
      </c>
      <c r="CW3592">
        <v>12941452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1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 t="shared" ref="A3593:A3601" si="1664">"05/12/2020 14:47:27.259"</f>
        <v>05/12/2020 14:47:27.259</v>
      </c>
      <c r="C3593" t="str">
        <f t="shared" si="1644"/>
        <v>FFDFD3C0</v>
      </c>
      <c r="D3593" t="s">
        <v>138</v>
      </c>
      <c r="E3593">
        <v>3</v>
      </c>
      <c r="H3593">
        <v>9</v>
      </c>
      <c r="I3593" t="s">
        <v>140</v>
      </c>
      <c r="J3593" t="s">
        <v>136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ref="S3593:S3601" si="1665">"14:47:45.070"</f>
        <v>14:47:45.070</v>
      </c>
      <c r="T3593" t="str">
        <f t="shared" ref="T3593:T3601" si="1666">"14:47:44.670"</f>
        <v>14:47:44.670</v>
      </c>
      <c r="U3593" t="str">
        <f t="shared" si="1663"/>
        <v>A9808D</v>
      </c>
      <c r="V3593">
        <v>0</v>
      </c>
      <c r="W3593">
        <v>0</v>
      </c>
      <c r="X3593">
        <v>1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0</v>
      </c>
      <c r="AI3593" t="s">
        <v>304</v>
      </c>
      <c r="AJ3593">
        <v>28.265526000000001</v>
      </c>
      <c r="AK3593" t="s">
        <v>840</v>
      </c>
      <c r="AL3593">
        <v>-82.262298999999999</v>
      </c>
      <c r="AM3593">
        <v>100</v>
      </c>
      <c r="AN3593">
        <v>2400</v>
      </c>
      <c r="AO3593" t="s">
        <v>118</v>
      </c>
      <c r="AP3593">
        <v>-53</v>
      </c>
      <c r="AQ3593">
        <v>116</v>
      </c>
      <c r="AR3593">
        <v>384</v>
      </c>
      <c r="AZ3593">
        <v>1200</v>
      </c>
      <c r="BA3593">
        <v>1</v>
      </c>
      <c r="BB3593" t="str">
        <f t="shared" si="1645"/>
        <v xml:space="preserve">N711JA  </v>
      </c>
      <c r="BC3593">
        <v>1</v>
      </c>
      <c r="BE3593">
        <v>0</v>
      </c>
      <c r="BF3593">
        <v>0</v>
      </c>
      <c r="BG3593">
        <v>0</v>
      </c>
      <c r="BH3593">
        <v>2450</v>
      </c>
      <c r="BI3593">
        <v>1</v>
      </c>
      <c r="BJ3593">
        <v>1</v>
      </c>
      <c r="BK3593">
        <v>0</v>
      </c>
      <c r="BL3593">
        <v>0</v>
      </c>
      <c r="BO3593">
        <v>0</v>
      </c>
      <c r="BP3593">
        <v>0</v>
      </c>
      <c r="BW3593" t="str">
        <f t="shared" ref="BW3593:BW3601" si="1667">"14:47:45.076"</f>
        <v>14:47:45.076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5</v>
      </c>
      <c r="CP3593" t="s">
        <v>119</v>
      </c>
      <c r="CQ3593">
        <v>358</v>
      </c>
      <c r="CR3593">
        <v>0</v>
      </c>
      <c r="CW3593">
        <v>5008037</v>
      </c>
      <c r="CY3593">
        <v>1</v>
      </c>
      <c r="CZ3593">
        <v>0</v>
      </c>
      <c r="DA3593">
        <v>0</v>
      </c>
      <c r="DB3593">
        <v>0</v>
      </c>
      <c r="DC3593">
        <v>0</v>
      </c>
      <c r="DD3593">
        <v>1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 t="shared" si="1664"/>
        <v>05/12/2020 14:47:27.259</v>
      </c>
      <c r="C3594" t="str">
        <f t="shared" si="1644"/>
        <v>FFDFD3C0</v>
      </c>
      <c r="D3594" t="s">
        <v>138</v>
      </c>
      <c r="E3594">
        <v>2</v>
      </c>
      <c r="H3594">
        <v>8</v>
      </c>
      <c r="I3594" t="s">
        <v>139</v>
      </c>
      <c r="J3594" t="s">
        <v>136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665"/>
        <v>14:47:45.070</v>
      </c>
      <c r="T3594" t="str">
        <f t="shared" si="1666"/>
        <v>14:47:44.670</v>
      </c>
      <c r="U3594" t="str">
        <f t="shared" si="1663"/>
        <v>A9808D</v>
      </c>
      <c r="V3594">
        <v>0</v>
      </c>
      <c r="W3594">
        <v>0</v>
      </c>
      <c r="X3594">
        <v>1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0</v>
      </c>
      <c r="AI3594" t="s">
        <v>304</v>
      </c>
      <c r="AJ3594">
        <v>28.265526000000001</v>
      </c>
      <c r="AK3594" t="s">
        <v>840</v>
      </c>
      <c r="AL3594">
        <v>-82.262298999999999</v>
      </c>
      <c r="AM3594">
        <v>100</v>
      </c>
      <c r="AN3594">
        <v>2400</v>
      </c>
      <c r="AO3594" t="s">
        <v>118</v>
      </c>
      <c r="AP3594">
        <v>-53</v>
      </c>
      <c r="AQ3594">
        <v>116</v>
      </c>
      <c r="AR3594">
        <v>384</v>
      </c>
      <c r="AZ3594">
        <v>1200</v>
      </c>
      <c r="BA3594">
        <v>1</v>
      </c>
      <c r="BB3594" t="str">
        <f t="shared" si="1645"/>
        <v xml:space="preserve">N711JA  </v>
      </c>
      <c r="BC3594">
        <v>1</v>
      </c>
      <c r="BE3594">
        <v>0</v>
      </c>
      <c r="BF3594">
        <v>0</v>
      </c>
      <c r="BG3594">
        <v>0</v>
      </c>
      <c r="BH3594">
        <v>2450</v>
      </c>
      <c r="BI3594">
        <v>1</v>
      </c>
      <c r="BJ3594">
        <v>1</v>
      </c>
      <c r="BK3594">
        <v>0</v>
      </c>
      <c r="BL3594">
        <v>0</v>
      </c>
      <c r="BO3594">
        <v>0</v>
      </c>
      <c r="BP3594">
        <v>0</v>
      </c>
      <c r="BW3594" t="str">
        <f t="shared" si="1667"/>
        <v>14:47:45.076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3</v>
      </c>
      <c r="CP3594" t="s">
        <v>119</v>
      </c>
      <c r="CQ3594">
        <v>11</v>
      </c>
      <c r="CR3594">
        <v>2</v>
      </c>
      <c r="CW3594">
        <v>16109651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1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 t="shared" si="1664"/>
        <v>05/12/2020 14:47:27.259</v>
      </c>
      <c r="C3595" t="str">
        <f t="shared" si="1644"/>
        <v>FFDFD3C0</v>
      </c>
      <c r="D3595" t="s">
        <v>113</v>
      </c>
      <c r="E3595">
        <v>3</v>
      </c>
      <c r="H3595">
        <v>164</v>
      </c>
      <c r="I3595" t="s">
        <v>114</v>
      </c>
      <c r="J3595" t="s">
        <v>115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si="1665"/>
        <v>14:47:45.070</v>
      </c>
      <c r="T3595" t="str">
        <f t="shared" si="1666"/>
        <v>14:47:44.670</v>
      </c>
      <c r="U3595" t="str">
        <f t="shared" si="1663"/>
        <v>A9808D</v>
      </c>
      <c r="V3595">
        <v>0</v>
      </c>
      <c r="W3595">
        <v>0</v>
      </c>
      <c r="X3595">
        <v>1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0</v>
      </c>
      <c r="AI3595" t="s">
        <v>304</v>
      </c>
      <c r="AJ3595">
        <v>28.265526000000001</v>
      </c>
      <c r="AK3595" t="s">
        <v>840</v>
      </c>
      <c r="AL3595">
        <v>-82.262298999999999</v>
      </c>
      <c r="AM3595">
        <v>100</v>
      </c>
      <c r="AN3595">
        <v>2400</v>
      </c>
      <c r="AO3595" t="s">
        <v>118</v>
      </c>
      <c r="AP3595">
        <v>-53</v>
      </c>
      <c r="AQ3595">
        <v>116</v>
      </c>
      <c r="AR3595">
        <v>384</v>
      </c>
      <c r="AZ3595">
        <v>1200</v>
      </c>
      <c r="BA3595">
        <v>1</v>
      </c>
      <c r="BB3595" t="str">
        <f t="shared" si="1645"/>
        <v xml:space="preserve">N711JA  </v>
      </c>
      <c r="BC3595">
        <v>1</v>
      </c>
      <c r="BE3595">
        <v>0</v>
      </c>
      <c r="BF3595">
        <v>0</v>
      </c>
      <c r="BG3595">
        <v>0</v>
      </c>
      <c r="BH3595">
        <v>2450</v>
      </c>
      <c r="BI3595">
        <v>1</v>
      </c>
      <c r="BJ3595">
        <v>1</v>
      </c>
      <c r="BK3595">
        <v>0</v>
      </c>
      <c r="BL3595">
        <v>0</v>
      </c>
      <c r="BO3595">
        <v>0</v>
      </c>
      <c r="BP3595">
        <v>0</v>
      </c>
      <c r="BW3595" t="str">
        <f t="shared" si="1667"/>
        <v>14:47:45.076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4</v>
      </c>
      <c r="CP3595" t="s">
        <v>119</v>
      </c>
      <c r="CQ3595">
        <v>62</v>
      </c>
      <c r="CR3595">
        <v>1</v>
      </c>
      <c r="CW3595">
        <v>12942600</v>
      </c>
      <c r="CY3595">
        <v>1</v>
      </c>
      <c r="CZ3595">
        <v>0</v>
      </c>
      <c r="DA3595">
        <v>1</v>
      </c>
      <c r="DB3595">
        <v>0</v>
      </c>
      <c r="DC3595">
        <v>0</v>
      </c>
      <c r="DD3595">
        <v>1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 t="shared" si="1664"/>
        <v>05/12/2020 14:47:27.259</v>
      </c>
      <c r="C3596" t="str">
        <f t="shared" si="1644"/>
        <v>FFDFD3C0</v>
      </c>
      <c r="D3596" t="s">
        <v>126</v>
      </c>
      <c r="E3596">
        <v>6</v>
      </c>
      <c r="F3596">
        <v>1006</v>
      </c>
      <c r="G3596" t="s">
        <v>114</v>
      </c>
      <c r="J3596" t="s">
        <v>128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665"/>
        <v>14:47:45.070</v>
      </c>
      <c r="T3596" t="str">
        <f t="shared" si="1666"/>
        <v>14:47:44.670</v>
      </c>
      <c r="U3596" t="str">
        <f t="shared" si="1663"/>
        <v>A9808D</v>
      </c>
      <c r="V3596">
        <v>0</v>
      </c>
      <c r="W3596">
        <v>0</v>
      </c>
      <c r="X3596">
        <v>1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3</v>
      </c>
      <c r="AG3596">
        <v>2</v>
      </c>
      <c r="AH3596">
        <v>0</v>
      </c>
      <c r="AI3596" t="s">
        <v>304</v>
      </c>
      <c r="AJ3596">
        <v>28.265526000000001</v>
      </c>
      <c r="AK3596" t="s">
        <v>840</v>
      </c>
      <c r="AL3596">
        <v>-82.262298999999999</v>
      </c>
      <c r="AM3596">
        <v>100</v>
      </c>
      <c r="AN3596">
        <v>2400</v>
      </c>
      <c r="AO3596" t="s">
        <v>118</v>
      </c>
      <c r="AP3596">
        <v>-53</v>
      </c>
      <c r="AQ3596">
        <v>116</v>
      </c>
      <c r="AR3596">
        <v>384</v>
      </c>
      <c r="AZ3596">
        <v>1200</v>
      </c>
      <c r="BA3596">
        <v>1</v>
      </c>
      <c r="BB3596" t="str">
        <f t="shared" si="1645"/>
        <v xml:space="preserve">N711JA  </v>
      </c>
      <c r="BC3596">
        <v>1</v>
      </c>
      <c r="BE3596">
        <v>0</v>
      </c>
      <c r="BF3596">
        <v>0</v>
      </c>
      <c r="BG3596">
        <v>0</v>
      </c>
      <c r="BH3596">
        <v>2450</v>
      </c>
      <c r="BI3596">
        <v>1</v>
      </c>
      <c r="BJ3596">
        <v>1</v>
      </c>
      <c r="BK3596">
        <v>0</v>
      </c>
      <c r="BL3596">
        <v>0</v>
      </c>
      <c r="BO3596">
        <v>0</v>
      </c>
      <c r="BP3596">
        <v>0</v>
      </c>
      <c r="BW3596" t="str">
        <f t="shared" si="1667"/>
        <v>14:47:45.076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5</v>
      </c>
      <c r="CP3596" t="s">
        <v>119</v>
      </c>
      <c r="CQ3596">
        <v>358</v>
      </c>
      <c r="CR3596">
        <v>0</v>
      </c>
      <c r="CW3596">
        <v>5008037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1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 t="shared" si="1664"/>
        <v>05/12/2020 14:47:27.259</v>
      </c>
      <c r="C3597" t="str">
        <f t="shared" si="1644"/>
        <v>FFDFD3C0</v>
      </c>
      <c r="D3597" t="s">
        <v>126</v>
      </c>
      <c r="E3597">
        <v>7</v>
      </c>
      <c r="F3597">
        <v>1007</v>
      </c>
      <c r="G3597" t="s">
        <v>127</v>
      </c>
      <c r="J3597" t="s">
        <v>128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si="1665"/>
        <v>14:47:45.070</v>
      </c>
      <c r="T3597" t="str">
        <f t="shared" si="1666"/>
        <v>14:47:44.670</v>
      </c>
      <c r="U3597" t="str">
        <f t="shared" si="1663"/>
        <v>A9808D</v>
      </c>
      <c r="V3597">
        <v>0</v>
      </c>
      <c r="W3597">
        <v>0</v>
      </c>
      <c r="X3597">
        <v>1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0</v>
      </c>
      <c r="AI3597" t="s">
        <v>304</v>
      </c>
      <c r="AJ3597">
        <v>28.265526000000001</v>
      </c>
      <c r="AK3597" t="s">
        <v>840</v>
      </c>
      <c r="AL3597">
        <v>-82.262298999999999</v>
      </c>
      <c r="AM3597">
        <v>100</v>
      </c>
      <c r="AN3597">
        <v>2400</v>
      </c>
      <c r="AO3597" t="s">
        <v>118</v>
      </c>
      <c r="AP3597">
        <v>-53</v>
      </c>
      <c r="AQ3597">
        <v>116</v>
      </c>
      <c r="AR3597">
        <v>384</v>
      </c>
      <c r="AZ3597">
        <v>1200</v>
      </c>
      <c r="BA3597">
        <v>1</v>
      </c>
      <c r="BB3597" t="str">
        <f t="shared" si="1645"/>
        <v xml:space="preserve">N711JA  </v>
      </c>
      <c r="BC3597">
        <v>1</v>
      </c>
      <c r="BE3597">
        <v>0</v>
      </c>
      <c r="BF3597">
        <v>0</v>
      </c>
      <c r="BG3597">
        <v>0</v>
      </c>
      <c r="BH3597">
        <v>2450</v>
      </c>
      <c r="BI3597">
        <v>1</v>
      </c>
      <c r="BJ3597">
        <v>1</v>
      </c>
      <c r="BK3597">
        <v>0</v>
      </c>
      <c r="BL3597">
        <v>0</v>
      </c>
      <c r="BO3597">
        <v>0</v>
      </c>
      <c r="BP3597">
        <v>0</v>
      </c>
      <c r="BW3597" t="str">
        <f t="shared" si="1667"/>
        <v>14:47:45.076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5</v>
      </c>
      <c r="CP3597" t="s">
        <v>119</v>
      </c>
      <c r="CQ3597">
        <v>358</v>
      </c>
      <c r="CR3597">
        <v>0</v>
      </c>
      <c r="CW3597">
        <v>5008037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1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 t="shared" si="1664"/>
        <v>05/12/2020 14:47:27.259</v>
      </c>
      <c r="C3598" t="str">
        <f t="shared" si="1644"/>
        <v>FFDFD3C0</v>
      </c>
      <c r="D3598" t="s">
        <v>131</v>
      </c>
      <c r="E3598">
        <v>10</v>
      </c>
      <c r="F3598">
        <v>2010</v>
      </c>
      <c r="G3598" t="s">
        <v>132</v>
      </c>
      <c r="J3598" t="s">
        <v>133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si="1665"/>
        <v>14:47:45.070</v>
      </c>
      <c r="T3598" t="str">
        <f t="shared" si="1666"/>
        <v>14:47:44.670</v>
      </c>
      <c r="U3598" t="str">
        <f t="shared" si="1663"/>
        <v>A9808D</v>
      </c>
      <c r="V3598">
        <v>0</v>
      </c>
      <c r="W3598">
        <v>0</v>
      </c>
      <c r="X3598">
        <v>1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0</v>
      </c>
      <c r="AI3598" t="s">
        <v>304</v>
      </c>
      <c r="AJ3598">
        <v>28.265526000000001</v>
      </c>
      <c r="AK3598" t="s">
        <v>840</v>
      </c>
      <c r="AL3598">
        <v>-82.262298999999999</v>
      </c>
      <c r="AM3598">
        <v>100</v>
      </c>
      <c r="AN3598">
        <v>2400</v>
      </c>
      <c r="AO3598" t="s">
        <v>118</v>
      </c>
      <c r="AP3598">
        <v>-53</v>
      </c>
      <c r="AQ3598">
        <v>116</v>
      </c>
      <c r="AR3598">
        <v>384</v>
      </c>
      <c r="AZ3598">
        <v>1200</v>
      </c>
      <c r="BA3598">
        <v>1</v>
      </c>
      <c r="BB3598" t="str">
        <f t="shared" si="1645"/>
        <v xml:space="preserve">N711JA  </v>
      </c>
      <c r="BC3598">
        <v>1</v>
      </c>
      <c r="BE3598">
        <v>0</v>
      </c>
      <c r="BF3598">
        <v>0</v>
      </c>
      <c r="BG3598">
        <v>0</v>
      </c>
      <c r="BH3598">
        <v>2450</v>
      </c>
      <c r="BI3598">
        <v>1</v>
      </c>
      <c r="BJ3598">
        <v>1</v>
      </c>
      <c r="BK3598">
        <v>0</v>
      </c>
      <c r="BL3598">
        <v>0</v>
      </c>
      <c r="BO3598">
        <v>0</v>
      </c>
      <c r="BP3598">
        <v>0</v>
      </c>
      <c r="BW3598" t="str">
        <f t="shared" si="1667"/>
        <v>14:47:45.076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5</v>
      </c>
      <c r="CP3598" t="s">
        <v>119</v>
      </c>
      <c r="CQ3598">
        <v>358</v>
      </c>
      <c r="CR3598">
        <v>0</v>
      </c>
      <c r="CW3598">
        <v>5008037</v>
      </c>
      <c r="CY3598">
        <v>1</v>
      </c>
      <c r="CZ3598">
        <v>0</v>
      </c>
      <c r="DA3598">
        <v>1</v>
      </c>
      <c r="DB3598">
        <v>0</v>
      </c>
      <c r="DC3598">
        <v>0</v>
      </c>
      <c r="DD3598">
        <v>1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 t="shared" si="1664"/>
        <v>05/12/2020 14:47:27.259</v>
      </c>
      <c r="C3599" t="str">
        <f t="shared" si="1644"/>
        <v>FFDFD3C0</v>
      </c>
      <c r="D3599" t="s">
        <v>131</v>
      </c>
      <c r="E3599">
        <v>12</v>
      </c>
      <c r="F3599">
        <v>2012</v>
      </c>
      <c r="G3599" t="s">
        <v>137</v>
      </c>
      <c r="J3599" t="s">
        <v>133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si="1665"/>
        <v>14:47:45.070</v>
      </c>
      <c r="T3599" t="str">
        <f t="shared" si="1666"/>
        <v>14:47:44.670</v>
      </c>
      <c r="U3599" t="str">
        <f t="shared" si="1663"/>
        <v>A9808D</v>
      </c>
      <c r="V3599">
        <v>0</v>
      </c>
      <c r="W3599">
        <v>0</v>
      </c>
      <c r="X3599">
        <v>1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0</v>
      </c>
      <c r="AI3599" t="s">
        <v>304</v>
      </c>
      <c r="AJ3599">
        <v>28.265526000000001</v>
      </c>
      <c r="AK3599" t="s">
        <v>840</v>
      </c>
      <c r="AL3599">
        <v>-82.262298999999999</v>
      </c>
      <c r="AM3599">
        <v>100</v>
      </c>
      <c r="AN3599">
        <v>2400</v>
      </c>
      <c r="AO3599" t="s">
        <v>118</v>
      </c>
      <c r="AP3599">
        <v>-53</v>
      </c>
      <c r="AQ3599">
        <v>116</v>
      </c>
      <c r="AR3599">
        <v>384</v>
      </c>
      <c r="AZ3599">
        <v>1200</v>
      </c>
      <c r="BA3599">
        <v>1</v>
      </c>
      <c r="BB3599" t="str">
        <f t="shared" si="1645"/>
        <v xml:space="preserve">N711JA  </v>
      </c>
      <c r="BC3599">
        <v>1</v>
      </c>
      <c r="BE3599">
        <v>0</v>
      </c>
      <c r="BF3599">
        <v>0</v>
      </c>
      <c r="BG3599">
        <v>0</v>
      </c>
      <c r="BH3599">
        <v>2450</v>
      </c>
      <c r="BI3599">
        <v>1</v>
      </c>
      <c r="BJ3599">
        <v>1</v>
      </c>
      <c r="BK3599">
        <v>0</v>
      </c>
      <c r="BL3599">
        <v>0</v>
      </c>
      <c r="BO3599">
        <v>0</v>
      </c>
      <c r="BP3599">
        <v>0</v>
      </c>
      <c r="BW3599" t="str">
        <f t="shared" si="1667"/>
        <v>14:47:45.076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3</v>
      </c>
      <c r="CP3599" t="s">
        <v>119</v>
      </c>
      <c r="CQ3599">
        <v>11</v>
      </c>
      <c r="CR3599">
        <v>2</v>
      </c>
      <c r="CW3599">
        <v>16109651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1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 t="shared" si="1664"/>
        <v>05/12/2020 14:47:27.259</v>
      </c>
      <c r="C3600" t="str">
        <f t="shared" si="1644"/>
        <v>FFDFD3C0</v>
      </c>
      <c r="D3600" t="s">
        <v>131</v>
      </c>
      <c r="E3600">
        <v>18</v>
      </c>
      <c r="F3600">
        <v>2018</v>
      </c>
      <c r="G3600" t="s">
        <v>161</v>
      </c>
      <c r="J3600" t="s">
        <v>133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1665"/>
        <v>14:47:45.070</v>
      </c>
      <c r="T3600" t="str">
        <f t="shared" si="1666"/>
        <v>14:47:44.670</v>
      </c>
      <c r="U3600" t="str">
        <f t="shared" si="1663"/>
        <v>A9808D</v>
      </c>
      <c r="V3600">
        <v>0</v>
      </c>
      <c r="W3600">
        <v>0</v>
      </c>
      <c r="X3600">
        <v>1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0</v>
      </c>
      <c r="AI3600" t="s">
        <v>304</v>
      </c>
      <c r="AJ3600">
        <v>28.265526000000001</v>
      </c>
      <c r="AK3600" t="s">
        <v>840</v>
      </c>
      <c r="AL3600">
        <v>-82.262298999999999</v>
      </c>
      <c r="AM3600">
        <v>100</v>
      </c>
      <c r="AN3600">
        <v>2400</v>
      </c>
      <c r="AO3600" t="s">
        <v>118</v>
      </c>
      <c r="AP3600">
        <v>-53</v>
      </c>
      <c r="AQ3600">
        <v>116</v>
      </c>
      <c r="AR3600">
        <v>384</v>
      </c>
      <c r="AZ3600">
        <v>1200</v>
      </c>
      <c r="BA3600">
        <v>1</v>
      </c>
      <c r="BB3600" t="str">
        <f t="shared" si="1645"/>
        <v xml:space="preserve">N711JA  </v>
      </c>
      <c r="BC3600">
        <v>1</v>
      </c>
      <c r="BE3600">
        <v>0</v>
      </c>
      <c r="BF3600">
        <v>0</v>
      </c>
      <c r="BG3600">
        <v>0</v>
      </c>
      <c r="BH3600">
        <v>2450</v>
      </c>
      <c r="BI3600">
        <v>1</v>
      </c>
      <c r="BJ3600">
        <v>1</v>
      </c>
      <c r="BK3600">
        <v>0</v>
      </c>
      <c r="BL3600">
        <v>0</v>
      </c>
      <c r="BO3600">
        <v>0</v>
      </c>
      <c r="BP3600">
        <v>0</v>
      </c>
      <c r="BW3600" t="str">
        <f t="shared" si="1667"/>
        <v>14:47:45.076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4</v>
      </c>
      <c r="CP3600" t="s">
        <v>119</v>
      </c>
      <c r="CQ3600">
        <v>62</v>
      </c>
      <c r="CR3600">
        <v>1</v>
      </c>
      <c r="CW3600">
        <v>12942600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1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 t="shared" si="1664"/>
        <v>05/12/2020 14:47:27.259</v>
      </c>
      <c r="C3601" t="str">
        <f t="shared" si="1644"/>
        <v>FFDFD3C0</v>
      </c>
      <c r="D3601" t="s">
        <v>134</v>
      </c>
      <c r="E3601">
        <v>12</v>
      </c>
      <c r="H3601">
        <v>64</v>
      </c>
      <c r="I3601" t="s">
        <v>135</v>
      </c>
      <c r="J3601" t="s">
        <v>136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si="1665"/>
        <v>14:47:45.070</v>
      </c>
      <c r="T3601" t="str">
        <f t="shared" si="1666"/>
        <v>14:47:44.670</v>
      </c>
      <c r="U3601" t="str">
        <f t="shared" si="1663"/>
        <v>A9808D</v>
      </c>
      <c r="V3601">
        <v>0</v>
      </c>
      <c r="W3601">
        <v>0</v>
      </c>
      <c r="X3601">
        <v>1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0</v>
      </c>
      <c r="AI3601" t="s">
        <v>304</v>
      </c>
      <c r="AJ3601">
        <v>28.265526000000001</v>
      </c>
      <c r="AK3601" t="s">
        <v>840</v>
      </c>
      <c r="AL3601">
        <v>-82.262298999999999</v>
      </c>
      <c r="AM3601">
        <v>100</v>
      </c>
      <c r="AN3601">
        <v>2400</v>
      </c>
      <c r="AO3601" t="s">
        <v>118</v>
      </c>
      <c r="AP3601">
        <v>-53</v>
      </c>
      <c r="AQ3601">
        <v>116</v>
      </c>
      <c r="AR3601">
        <v>384</v>
      </c>
      <c r="AZ3601">
        <v>1200</v>
      </c>
      <c r="BA3601">
        <v>1</v>
      </c>
      <c r="BB3601" t="str">
        <f t="shared" si="1645"/>
        <v xml:space="preserve">N711JA  </v>
      </c>
      <c r="BC3601">
        <v>1</v>
      </c>
      <c r="BE3601">
        <v>0</v>
      </c>
      <c r="BF3601">
        <v>0</v>
      </c>
      <c r="BG3601">
        <v>0</v>
      </c>
      <c r="BH3601">
        <v>2450</v>
      </c>
      <c r="BI3601">
        <v>1</v>
      </c>
      <c r="BJ3601">
        <v>1</v>
      </c>
      <c r="BK3601">
        <v>0</v>
      </c>
      <c r="BL3601">
        <v>0</v>
      </c>
      <c r="BO3601">
        <v>0</v>
      </c>
      <c r="BP3601">
        <v>0</v>
      </c>
      <c r="BW3601" t="str">
        <f t="shared" si="1667"/>
        <v>14:47:45.076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5</v>
      </c>
      <c r="CP3601" t="s">
        <v>119</v>
      </c>
      <c r="CQ3601">
        <v>358</v>
      </c>
      <c r="CR3601">
        <v>0</v>
      </c>
      <c r="CW3601">
        <v>5008037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1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 t="shared" ref="A3602:A3610" si="1668">"05/12/2020 14:47:28.243"</f>
        <v>05/12/2020 14:47:28.243</v>
      </c>
      <c r="C3602" t="str">
        <f t="shared" si="1644"/>
        <v>FFDFD3C0</v>
      </c>
      <c r="D3602" t="s">
        <v>126</v>
      </c>
      <c r="E3602">
        <v>7</v>
      </c>
      <c r="F3602">
        <v>1007</v>
      </c>
      <c r="G3602" t="s">
        <v>127</v>
      </c>
      <c r="J3602" t="s">
        <v>128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ref="S3602:S3610" si="1669">"14:47:46.086"</f>
        <v>14:47:46.086</v>
      </c>
      <c r="T3602" t="str">
        <f t="shared" ref="T3602:T3610" si="1670">"14:47:45.786"</f>
        <v>14:47:45.786</v>
      </c>
      <c r="U3602" t="str">
        <f t="shared" si="1663"/>
        <v>A9808D</v>
      </c>
      <c r="V3602">
        <v>0</v>
      </c>
      <c r="W3602">
        <v>0</v>
      </c>
      <c r="X3602">
        <v>1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0</v>
      </c>
      <c r="AI3602" t="s">
        <v>841</v>
      </c>
      <c r="AJ3602">
        <v>28.266041000000001</v>
      </c>
      <c r="AK3602" t="s">
        <v>842</v>
      </c>
      <c r="AL3602">
        <v>-82.262620999999996</v>
      </c>
      <c r="AM3602">
        <v>100</v>
      </c>
      <c r="AN3602">
        <v>2400</v>
      </c>
      <c r="AO3602" t="s">
        <v>118</v>
      </c>
      <c r="AP3602">
        <v>-56</v>
      </c>
      <c r="AQ3602">
        <v>114</v>
      </c>
      <c r="AR3602">
        <v>192</v>
      </c>
      <c r="AZ3602">
        <v>1200</v>
      </c>
      <c r="BA3602">
        <v>1</v>
      </c>
      <c r="BB3602" t="str">
        <f t="shared" si="1645"/>
        <v xml:space="preserve">N711JA  </v>
      </c>
      <c r="BC3602">
        <v>1</v>
      </c>
      <c r="BE3602">
        <v>0</v>
      </c>
      <c r="BF3602">
        <v>0</v>
      </c>
      <c r="BG3602">
        <v>0</v>
      </c>
      <c r="BH3602">
        <v>2450</v>
      </c>
      <c r="BI3602">
        <v>1</v>
      </c>
      <c r="BJ3602">
        <v>1</v>
      </c>
      <c r="BK3602">
        <v>0</v>
      </c>
      <c r="BL3602">
        <v>0</v>
      </c>
      <c r="BO3602">
        <v>0</v>
      </c>
      <c r="BP3602">
        <v>0</v>
      </c>
      <c r="BW3602" t="str">
        <f t="shared" ref="BW3602:BW3610" si="1671">"14:47:46.088"</f>
        <v>14:47:46.088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6</v>
      </c>
      <c r="CP3602" t="s">
        <v>119</v>
      </c>
      <c r="CQ3602">
        <v>358</v>
      </c>
      <c r="CR3602">
        <v>0</v>
      </c>
      <c r="CW3602">
        <v>5009209</v>
      </c>
      <c r="CY3602">
        <v>1</v>
      </c>
      <c r="CZ3602">
        <v>0</v>
      </c>
      <c r="DA3602">
        <v>0</v>
      </c>
      <c r="DB3602">
        <v>0</v>
      </c>
      <c r="DC3602">
        <v>0</v>
      </c>
      <c r="DD3602">
        <v>1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 t="shared" si="1668"/>
        <v>05/12/2020 14:47:28.243</v>
      </c>
      <c r="C3603" t="str">
        <f t="shared" si="1644"/>
        <v>FFDFD3C0</v>
      </c>
      <c r="D3603" t="s">
        <v>131</v>
      </c>
      <c r="E3603">
        <v>10</v>
      </c>
      <c r="F3603">
        <v>2010</v>
      </c>
      <c r="G3603" t="s">
        <v>132</v>
      </c>
      <c r="J3603" t="s">
        <v>133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1669"/>
        <v>14:47:46.086</v>
      </c>
      <c r="T3603" t="str">
        <f t="shared" si="1670"/>
        <v>14:47:45.786</v>
      </c>
      <c r="U3603" t="str">
        <f t="shared" si="1663"/>
        <v>A9808D</v>
      </c>
      <c r="V3603">
        <v>0</v>
      </c>
      <c r="W3603">
        <v>0</v>
      </c>
      <c r="X3603">
        <v>1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0</v>
      </c>
      <c r="AI3603" t="s">
        <v>841</v>
      </c>
      <c r="AJ3603">
        <v>28.266041000000001</v>
      </c>
      <c r="AK3603" t="s">
        <v>842</v>
      </c>
      <c r="AL3603">
        <v>-82.262620999999996</v>
      </c>
      <c r="AM3603">
        <v>100</v>
      </c>
      <c r="AN3603">
        <v>2400</v>
      </c>
      <c r="AO3603" t="s">
        <v>118</v>
      </c>
      <c r="AP3603">
        <v>-56</v>
      </c>
      <c r="AQ3603">
        <v>114</v>
      </c>
      <c r="AR3603">
        <v>192</v>
      </c>
      <c r="AZ3603">
        <v>1200</v>
      </c>
      <c r="BA3603">
        <v>1</v>
      </c>
      <c r="BB3603" t="str">
        <f t="shared" si="1645"/>
        <v xml:space="preserve">N711JA  </v>
      </c>
      <c r="BC3603">
        <v>1</v>
      </c>
      <c r="BE3603">
        <v>0</v>
      </c>
      <c r="BF3603">
        <v>0</v>
      </c>
      <c r="BG3603">
        <v>0</v>
      </c>
      <c r="BH3603">
        <v>2450</v>
      </c>
      <c r="BI3603">
        <v>1</v>
      </c>
      <c r="BJ3603">
        <v>1</v>
      </c>
      <c r="BK3603">
        <v>0</v>
      </c>
      <c r="BL3603">
        <v>0</v>
      </c>
      <c r="BO3603">
        <v>0</v>
      </c>
      <c r="BP3603">
        <v>0</v>
      </c>
      <c r="BW3603" t="str">
        <f t="shared" si="1671"/>
        <v>14:47:46.088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6</v>
      </c>
      <c r="CP3603" t="s">
        <v>119</v>
      </c>
      <c r="CQ3603">
        <v>358</v>
      </c>
      <c r="CR3603">
        <v>0</v>
      </c>
      <c r="CW3603">
        <v>5009209</v>
      </c>
      <c r="CY3603">
        <v>1</v>
      </c>
      <c r="CZ3603">
        <v>0</v>
      </c>
      <c r="DA3603">
        <v>1</v>
      </c>
      <c r="DB3603">
        <v>0</v>
      </c>
      <c r="DC3603">
        <v>0</v>
      </c>
      <c r="DD3603">
        <v>1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 t="shared" si="1668"/>
        <v>05/12/2020 14:47:28.243</v>
      </c>
      <c r="C3604" t="str">
        <f t="shared" si="1644"/>
        <v>FFDFD3C0</v>
      </c>
      <c r="D3604" t="s">
        <v>131</v>
      </c>
      <c r="E3604">
        <v>12</v>
      </c>
      <c r="F3604">
        <v>2012</v>
      </c>
      <c r="G3604" t="s">
        <v>137</v>
      </c>
      <c r="J3604" t="s">
        <v>133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si="1669"/>
        <v>14:47:46.086</v>
      </c>
      <c r="T3604" t="str">
        <f t="shared" si="1670"/>
        <v>14:47:45.786</v>
      </c>
      <c r="U3604" t="str">
        <f t="shared" si="1663"/>
        <v>A9808D</v>
      </c>
      <c r="V3604">
        <v>0</v>
      </c>
      <c r="W3604">
        <v>0</v>
      </c>
      <c r="X3604">
        <v>1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3</v>
      </c>
      <c r="AG3604">
        <v>2</v>
      </c>
      <c r="AH3604">
        <v>0</v>
      </c>
      <c r="AI3604" t="s">
        <v>841</v>
      </c>
      <c r="AJ3604">
        <v>28.266041000000001</v>
      </c>
      <c r="AK3604" t="s">
        <v>842</v>
      </c>
      <c r="AL3604">
        <v>-82.262620999999996</v>
      </c>
      <c r="AM3604">
        <v>100</v>
      </c>
      <c r="AN3604">
        <v>2400</v>
      </c>
      <c r="AO3604" t="s">
        <v>118</v>
      </c>
      <c r="AP3604">
        <v>-56</v>
      </c>
      <c r="AQ3604">
        <v>114</v>
      </c>
      <c r="AR3604">
        <v>192</v>
      </c>
      <c r="AZ3604">
        <v>1200</v>
      </c>
      <c r="BA3604">
        <v>1</v>
      </c>
      <c r="BB3604" t="str">
        <f t="shared" si="1645"/>
        <v xml:space="preserve">N711JA  </v>
      </c>
      <c r="BC3604">
        <v>1</v>
      </c>
      <c r="BE3604">
        <v>0</v>
      </c>
      <c r="BF3604">
        <v>0</v>
      </c>
      <c r="BG3604">
        <v>0</v>
      </c>
      <c r="BH3604">
        <v>2450</v>
      </c>
      <c r="BI3604">
        <v>1</v>
      </c>
      <c r="BJ3604">
        <v>1</v>
      </c>
      <c r="BK3604">
        <v>0</v>
      </c>
      <c r="BL3604">
        <v>0</v>
      </c>
      <c r="BO3604">
        <v>0</v>
      </c>
      <c r="BP3604">
        <v>0</v>
      </c>
      <c r="BW3604" t="str">
        <f t="shared" si="1671"/>
        <v>14:47:46.088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3</v>
      </c>
      <c r="CP3604" t="s">
        <v>119</v>
      </c>
      <c r="CQ3604">
        <v>11</v>
      </c>
      <c r="CR3604">
        <v>2</v>
      </c>
      <c r="CW3604">
        <v>16111060</v>
      </c>
      <c r="CY3604">
        <v>1</v>
      </c>
      <c r="CZ3604">
        <v>0</v>
      </c>
      <c r="DA3604">
        <v>1</v>
      </c>
      <c r="DB3604">
        <v>0</v>
      </c>
      <c r="DC3604">
        <v>0</v>
      </c>
      <c r="DD3604">
        <v>1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 t="shared" si="1668"/>
        <v>05/12/2020 14:47:28.243</v>
      </c>
      <c r="C3605" t="str">
        <f t="shared" si="1644"/>
        <v>FFDFD3C0</v>
      </c>
      <c r="D3605" t="s">
        <v>131</v>
      </c>
      <c r="E3605">
        <v>18</v>
      </c>
      <c r="F3605">
        <v>2018</v>
      </c>
      <c r="G3605" t="s">
        <v>161</v>
      </c>
      <c r="J3605" t="s">
        <v>133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1669"/>
        <v>14:47:46.086</v>
      </c>
      <c r="T3605" t="str">
        <f t="shared" si="1670"/>
        <v>14:47:45.786</v>
      </c>
      <c r="U3605" t="str">
        <f t="shared" si="1663"/>
        <v>A9808D</v>
      </c>
      <c r="V3605">
        <v>0</v>
      </c>
      <c r="W3605">
        <v>0</v>
      </c>
      <c r="X3605">
        <v>1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0</v>
      </c>
      <c r="AI3605" t="s">
        <v>841</v>
      </c>
      <c r="AJ3605">
        <v>28.266041000000001</v>
      </c>
      <c r="AK3605" t="s">
        <v>842</v>
      </c>
      <c r="AL3605">
        <v>-82.262620999999996</v>
      </c>
      <c r="AM3605">
        <v>100</v>
      </c>
      <c r="AN3605">
        <v>2400</v>
      </c>
      <c r="AO3605" t="s">
        <v>118</v>
      </c>
      <c r="AP3605">
        <v>-56</v>
      </c>
      <c r="AQ3605">
        <v>114</v>
      </c>
      <c r="AR3605">
        <v>192</v>
      </c>
      <c r="AZ3605">
        <v>1200</v>
      </c>
      <c r="BA3605">
        <v>1</v>
      </c>
      <c r="BB3605" t="str">
        <f t="shared" si="1645"/>
        <v xml:space="preserve">N711JA  </v>
      </c>
      <c r="BC3605">
        <v>1</v>
      </c>
      <c r="BE3605">
        <v>0</v>
      </c>
      <c r="BF3605">
        <v>0</v>
      </c>
      <c r="BG3605">
        <v>0</v>
      </c>
      <c r="BH3605">
        <v>2450</v>
      </c>
      <c r="BI3605">
        <v>1</v>
      </c>
      <c r="BJ3605">
        <v>1</v>
      </c>
      <c r="BK3605">
        <v>0</v>
      </c>
      <c r="BL3605">
        <v>0</v>
      </c>
      <c r="BO3605">
        <v>0</v>
      </c>
      <c r="BP3605">
        <v>0</v>
      </c>
      <c r="BW3605" t="str">
        <f t="shared" si="1671"/>
        <v>14:47:46.088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5</v>
      </c>
      <c r="CP3605" t="s">
        <v>119</v>
      </c>
      <c r="CQ3605">
        <v>62</v>
      </c>
      <c r="CR3605">
        <v>1</v>
      </c>
      <c r="CW3605">
        <v>12943675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1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3">
      <c r="A3606" t="str">
        <f t="shared" si="1668"/>
        <v>05/12/2020 14:47:28.243</v>
      </c>
      <c r="C3606" t="str">
        <f t="shared" ref="C3606:C3669" si="1672">"FFDFD3C0"</f>
        <v>FFDFD3C0</v>
      </c>
      <c r="D3606" t="s">
        <v>134</v>
      </c>
      <c r="E3606">
        <v>12</v>
      </c>
      <c r="H3606">
        <v>64</v>
      </c>
      <c r="I3606" t="s">
        <v>135</v>
      </c>
      <c r="J3606" t="s">
        <v>136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si="1669"/>
        <v>14:47:46.086</v>
      </c>
      <c r="T3606" t="str">
        <f t="shared" si="1670"/>
        <v>14:47:45.786</v>
      </c>
      <c r="U3606" t="str">
        <f t="shared" si="1663"/>
        <v>A9808D</v>
      </c>
      <c r="V3606">
        <v>0</v>
      </c>
      <c r="W3606">
        <v>0</v>
      </c>
      <c r="X3606">
        <v>1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0</v>
      </c>
      <c r="AI3606" t="s">
        <v>841</v>
      </c>
      <c r="AJ3606">
        <v>28.266041000000001</v>
      </c>
      <c r="AK3606" t="s">
        <v>842</v>
      </c>
      <c r="AL3606">
        <v>-82.262620999999996</v>
      </c>
      <c r="AM3606">
        <v>100</v>
      </c>
      <c r="AN3606">
        <v>2400</v>
      </c>
      <c r="AO3606" t="s">
        <v>118</v>
      </c>
      <c r="AP3606">
        <v>-56</v>
      </c>
      <c r="AQ3606">
        <v>114</v>
      </c>
      <c r="AR3606">
        <v>192</v>
      </c>
      <c r="AZ3606">
        <v>1200</v>
      </c>
      <c r="BA3606">
        <v>1</v>
      </c>
      <c r="BB3606" t="str">
        <f t="shared" ref="BB3606:BB3669" si="1673">"N711JA  "</f>
        <v xml:space="preserve">N711JA  </v>
      </c>
      <c r="BC3606">
        <v>1</v>
      </c>
      <c r="BE3606">
        <v>0</v>
      </c>
      <c r="BF3606">
        <v>0</v>
      </c>
      <c r="BG3606">
        <v>0</v>
      </c>
      <c r="BH3606">
        <v>2450</v>
      </c>
      <c r="BI3606">
        <v>1</v>
      </c>
      <c r="BJ3606">
        <v>1</v>
      </c>
      <c r="BK3606">
        <v>0</v>
      </c>
      <c r="BL3606">
        <v>0</v>
      </c>
      <c r="BO3606">
        <v>0</v>
      </c>
      <c r="BP3606">
        <v>0</v>
      </c>
      <c r="BW3606" t="str">
        <f t="shared" si="1671"/>
        <v>14:47:46.088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6</v>
      </c>
      <c r="CP3606" t="s">
        <v>119</v>
      </c>
      <c r="CQ3606">
        <v>358</v>
      </c>
      <c r="CR3606">
        <v>0</v>
      </c>
      <c r="CW3606">
        <v>5009209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1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3">
      <c r="A3607" t="str">
        <f t="shared" si="1668"/>
        <v>05/12/2020 14:47:28.243</v>
      </c>
      <c r="C3607" t="str">
        <f t="shared" si="1672"/>
        <v>FFDFD3C0</v>
      </c>
      <c r="D3607" t="s">
        <v>113</v>
      </c>
      <c r="E3607">
        <v>3</v>
      </c>
      <c r="H3607">
        <v>164</v>
      </c>
      <c r="I3607" t="s">
        <v>114</v>
      </c>
      <c r="J3607" t="s">
        <v>115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1669"/>
        <v>14:47:46.086</v>
      </c>
      <c r="T3607" t="str">
        <f t="shared" si="1670"/>
        <v>14:47:45.786</v>
      </c>
      <c r="U3607" t="str">
        <f t="shared" si="1663"/>
        <v>A9808D</v>
      </c>
      <c r="V3607">
        <v>0</v>
      </c>
      <c r="W3607">
        <v>0</v>
      </c>
      <c r="X3607">
        <v>1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0</v>
      </c>
      <c r="AI3607" t="s">
        <v>841</v>
      </c>
      <c r="AJ3607">
        <v>28.266041000000001</v>
      </c>
      <c r="AK3607" t="s">
        <v>842</v>
      </c>
      <c r="AL3607">
        <v>-82.262620999999996</v>
      </c>
      <c r="AM3607">
        <v>100</v>
      </c>
      <c r="AN3607">
        <v>2400</v>
      </c>
      <c r="AO3607" t="s">
        <v>118</v>
      </c>
      <c r="AP3607">
        <v>-56</v>
      </c>
      <c r="AQ3607">
        <v>114</v>
      </c>
      <c r="AR3607">
        <v>192</v>
      </c>
      <c r="AZ3607">
        <v>1200</v>
      </c>
      <c r="BA3607">
        <v>1</v>
      </c>
      <c r="BB3607" t="str">
        <f t="shared" si="1673"/>
        <v xml:space="preserve">N711JA  </v>
      </c>
      <c r="BC3607">
        <v>1</v>
      </c>
      <c r="BE3607">
        <v>0</v>
      </c>
      <c r="BF3607">
        <v>0</v>
      </c>
      <c r="BG3607">
        <v>0</v>
      </c>
      <c r="BH3607">
        <v>2450</v>
      </c>
      <c r="BI3607">
        <v>1</v>
      </c>
      <c r="BJ3607">
        <v>1</v>
      </c>
      <c r="BK3607">
        <v>0</v>
      </c>
      <c r="BL3607">
        <v>0</v>
      </c>
      <c r="BO3607">
        <v>0</v>
      </c>
      <c r="BP3607">
        <v>0</v>
      </c>
      <c r="BW3607" t="str">
        <f t="shared" si="1671"/>
        <v>14:47:46.088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5</v>
      </c>
      <c r="CP3607" t="s">
        <v>119</v>
      </c>
      <c r="CQ3607">
        <v>62</v>
      </c>
      <c r="CR3607">
        <v>1</v>
      </c>
      <c r="CW3607">
        <v>12943675</v>
      </c>
      <c r="CY3607">
        <v>1</v>
      </c>
      <c r="CZ3607">
        <v>0</v>
      </c>
      <c r="DA3607">
        <v>1</v>
      </c>
      <c r="DB3607">
        <v>0</v>
      </c>
      <c r="DC3607">
        <v>0</v>
      </c>
      <c r="DD3607">
        <v>1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3">
      <c r="A3608" t="str">
        <f t="shared" si="1668"/>
        <v>05/12/2020 14:47:28.243</v>
      </c>
      <c r="C3608" t="str">
        <f t="shared" si="1672"/>
        <v>FFDFD3C0</v>
      </c>
      <c r="D3608" t="s">
        <v>126</v>
      </c>
      <c r="E3608">
        <v>6</v>
      </c>
      <c r="F3608">
        <v>1006</v>
      </c>
      <c r="G3608" t="s">
        <v>114</v>
      </c>
      <c r="J3608" t="s">
        <v>128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1669"/>
        <v>14:47:46.086</v>
      </c>
      <c r="T3608" t="str">
        <f t="shared" si="1670"/>
        <v>14:47:45.786</v>
      </c>
      <c r="U3608" t="str">
        <f t="shared" si="1663"/>
        <v>A9808D</v>
      </c>
      <c r="V3608">
        <v>0</v>
      </c>
      <c r="W3608">
        <v>0</v>
      </c>
      <c r="X3608">
        <v>1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0</v>
      </c>
      <c r="AI3608" t="s">
        <v>841</v>
      </c>
      <c r="AJ3608">
        <v>28.266041000000001</v>
      </c>
      <c r="AK3608" t="s">
        <v>842</v>
      </c>
      <c r="AL3608">
        <v>-82.262620999999996</v>
      </c>
      <c r="AM3608">
        <v>100</v>
      </c>
      <c r="AN3608">
        <v>2400</v>
      </c>
      <c r="AO3608" t="s">
        <v>118</v>
      </c>
      <c r="AP3608">
        <v>-56</v>
      </c>
      <c r="AQ3608">
        <v>114</v>
      </c>
      <c r="AR3608">
        <v>192</v>
      </c>
      <c r="AZ3608">
        <v>1200</v>
      </c>
      <c r="BA3608">
        <v>1</v>
      </c>
      <c r="BB3608" t="str">
        <f t="shared" si="1673"/>
        <v xml:space="preserve">N711JA  </v>
      </c>
      <c r="BC3608">
        <v>1</v>
      </c>
      <c r="BE3608">
        <v>0</v>
      </c>
      <c r="BF3608">
        <v>0</v>
      </c>
      <c r="BG3608">
        <v>0</v>
      </c>
      <c r="BH3608">
        <v>2450</v>
      </c>
      <c r="BI3608">
        <v>1</v>
      </c>
      <c r="BJ3608">
        <v>1</v>
      </c>
      <c r="BK3608">
        <v>0</v>
      </c>
      <c r="BL3608">
        <v>0</v>
      </c>
      <c r="BO3608">
        <v>0</v>
      </c>
      <c r="BP3608">
        <v>0</v>
      </c>
      <c r="BW3608" t="str">
        <f t="shared" si="1671"/>
        <v>14:47:46.088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6</v>
      </c>
      <c r="CP3608" t="s">
        <v>119</v>
      </c>
      <c r="CQ3608">
        <v>358</v>
      </c>
      <c r="CR3608">
        <v>0</v>
      </c>
      <c r="CW3608">
        <v>5009209</v>
      </c>
      <c r="CY3608">
        <v>1</v>
      </c>
      <c r="CZ3608">
        <v>0</v>
      </c>
      <c r="DA3608">
        <v>1</v>
      </c>
      <c r="DB3608">
        <v>0</v>
      </c>
      <c r="DC3608">
        <v>0</v>
      </c>
      <c r="DD3608">
        <v>1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3">
      <c r="A3609" t="str">
        <f t="shared" si="1668"/>
        <v>05/12/2020 14:47:28.243</v>
      </c>
      <c r="C3609" t="str">
        <f t="shared" si="1672"/>
        <v>FFDFD3C0</v>
      </c>
      <c r="D3609" t="s">
        <v>138</v>
      </c>
      <c r="E3609">
        <v>2</v>
      </c>
      <c r="H3609">
        <v>8</v>
      </c>
      <c r="I3609" t="s">
        <v>139</v>
      </c>
      <c r="J3609" t="s">
        <v>136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si="1669"/>
        <v>14:47:46.086</v>
      </c>
      <c r="T3609" t="str">
        <f t="shared" si="1670"/>
        <v>14:47:45.786</v>
      </c>
      <c r="U3609" t="str">
        <f t="shared" si="1663"/>
        <v>A9808D</v>
      </c>
      <c r="V3609">
        <v>0</v>
      </c>
      <c r="W3609">
        <v>0</v>
      </c>
      <c r="X3609">
        <v>1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0</v>
      </c>
      <c r="AI3609" t="s">
        <v>841</v>
      </c>
      <c r="AJ3609">
        <v>28.266041000000001</v>
      </c>
      <c r="AK3609" t="s">
        <v>842</v>
      </c>
      <c r="AL3609">
        <v>-82.262620999999996</v>
      </c>
      <c r="AM3609">
        <v>100</v>
      </c>
      <c r="AN3609">
        <v>2400</v>
      </c>
      <c r="AO3609" t="s">
        <v>118</v>
      </c>
      <c r="AP3609">
        <v>-56</v>
      </c>
      <c r="AQ3609">
        <v>114</v>
      </c>
      <c r="AR3609">
        <v>192</v>
      </c>
      <c r="AZ3609">
        <v>1200</v>
      </c>
      <c r="BA3609">
        <v>1</v>
      </c>
      <c r="BB3609" t="str">
        <f t="shared" si="1673"/>
        <v xml:space="preserve">N711JA  </v>
      </c>
      <c r="BC3609">
        <v>1</v>
      </c>
      <c r="BE3609">
        <v>0</v>
      </c>
      <c r="BF3609">
        <v>0</v>
      </c>
      <c r="BG3609">
        <v>0</v>
      </c>
      <c r="BH3609">
        <v>2450</v>
      </c>
      <c r="BI3609">
        <v>1</v>
      </c>
      <c r="BJ3609">
        <v>1</v>
      </c>
      <c r="BK3609">
        <v>0</v>
      </c>
      <c r="BL3609">
        <v>0</v>
      </c>
      <c r="BO3609">
        <v>0</v>
      </c>
      <c r="BP3609">
        <v>0</v>
      </c>
      <c r="BW3609" t="str">
        <f t="shared" si="1671"/>
        <v>14:47:46.088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3</v>
      </c>
      <c r="CP3609" t="s">
        <v>119</v>
      </c>
      <c r="CQ3609">
        <v>11</v>
      </c>
      <c r="CR3609">
        <v>2</v>
      </c>
      <c r="CW3609">
        <v>16111060</v>
      </c>
      <c r="CY3609">
        <v>1</v>
      </c>
      <c r="CZ3609">
        <v>0</v>
      </c>
      <c r="DA3609">
        <v>1</v>
      </c>
      <c r="DB3609">
        <v>0</v>
      </c>
      <c r="DC3609">
        <v>0</v>
      </c>
      <c r="DD3609">
        <v>1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3">
      <c r="A3610" t="str">
        <f t="shared" si="1668"/>
        <v>05/12/2020 14:47:28.243</v>
      </c>
      <c r="C3610" t="str">
        <f t="shared" si="1672"/>
        <v>FFDFD3C0</v>
      </c>
      <c r="D3610" t="s">
        <v>138</v>
      </c>
      <c r="E3610">
        <v>3</v>
      </c>
      <c r="H3610">
        <v>9</v>
      </c>
      <c r="I3610" t="s">
        <v>140</v>
      </c>
      <c r="J3610" t="s">
        <v>136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si="1669"/>
        <v>14:47:46.086</v>
      </c>
      <c r="T3610" t="str">
        <f t="shared" si="1670"/>
        <v>14:47:45.786</v>
      </c>
      <c r="U3610" t="str">
        <f t="shared" si="1663"/>
        <v>A9808D</v>
      </c>
      <c r="V3610">
        <v>0</v>
      </c>
      <c r="W3610">
        <v>0</v>
      </c>
      <c r="X3610">
        <v>1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3</v>
      </c>
      <c r="AG3610">
        <v>2</v>
      </c>
      <c r="AH3610">
        <v>0</v>
      </c>
      <c r="AI3610" t="s">
        <v>841</v>
      </c>
      <c r="AJ3610">
        <v>28.266041000000001</v>
      </c>
      <c r="AK3610" t="s">
        <v>842</v>
      </c>
      <c r="AL3610">
        <v>-82.262620999999996</v>
      </c>
      <c r="AM3610">
        <v>100</v>
      </c>
      <c r="AN3610">
        <v>2400</v>
      </c>
      <c r="AO3610" t="s">
        <v>118</v>
      </c>
      <c r="AP3610">
        <v>-56</v>
      </c>
      <c r="AQ3610">
        <v>114</v>
      </c>
      <c r="AR3610">
        <v>192</v>
      </c>
      <c r="AZ3610">
        <v>1200</v>
      </c>
      <c r="BA3610">
        <v>1</v>
      </c>
      <c r="BB3610" t="str">
        <f t="shared" si="1673"/>
        <v xml:space="preserve">N711JA  </v>
      </c>
      <c r="BC3610">
        <v>1</v>
      </c>
      <c r="BE3610">
        <v>0</v>
      </c>
      <c r="BF3610">
        <v>0</v>
      </c>
      <c r="BG3610">
        <v>0</v>
      </c>
      <c r="BH3610">
        <v>2450</v>
      </c>
      <c r="BI3610">
        <v>1</v>
      </c>
      <c r="BJ3610">
        <v>1</v>
      </c>
      <c r="BK3610">
        <v>0</v>
      </c>
      <c r="BL3610">
        <v>0</v>
      </c>
      <c r="BO3610">
        <v>0</v>
      </c>
      <c r="BP3610">
        <v>0</v>
      </c>
      <c r="BW3610" t="str">
        <f t="shared" si="1671"/>
        <v>14:47:46.088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6</v>
      </c>
      <c r="CP3610" t="s">
        <v>119</v>
      </c>
      <c r="CQ3610">
        <v>358</v>
      </c>
      <c r="CR3610">
        <v>0</v>
      </c>
      <c r="CW3610">
        <v>5009209</v>
      </c>
      <c r="CY3610">
        <v>1</v>
      </c>
      <c r="CZ3610">
        <v>0</v>
      </c>
      <c r="DA3610">
        <v>1</v>
      </c>
      <c r="DB3610">
        <v>0</v>
      </c>
      <c r="DC3610">
        <v>0</v>
      </c>
      <c r="DD3610">
        <v>1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3">
      <c r="A3611" t="str">
        <f>"05/12/2020 14:47:29.250"</f>
        <v>05/12/2020 14:47:29.250</v>
      </c>
      <c r="C3611" t="str">
        <f t="shared" si="1672"/>
        <v>FFDFD3C0</v>
      </c>
      <c r="D3611" t="s">
        <v>126</v>
      </c>
      <c r="E3611">
        <v>7</v>
      </c>
      <c r="F3611">
        <v>1007</v>
      </c>
      <c r="G3611" t="s">
        <v>127</v>
      </c>
      <c r="J3611" t="s">
        <v>128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"14:47:47.086"</f>
        <v>14:47:47.086</v>
      </c>
      <c r="T3611" t="str">
        <f>"14:47:46.786"</f>
        <v>14:47:46.786</v>
      </c>
      <c r="U3611" t="str">
        <f t="shared" si="1663"/>
        <v>A9808D</v>
      </c>
      <c r="V3611">
        <v>0</v>
      </c>
      <c r="W3611">
        <v>0</v>
      </c>
      <c r="X3611">
        <v>1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0</v>
      </c>
      <c r="AI3611" t="s">
        <v>843</v>
      </c>
      <c r="AJ3611">
        <v>28.266577999999999</v>
      </c>
      <c r="AK3611" t="s">
        <v>844</v>
      </c>
      <c r="AL3611">
        <v>-82.262921000000006</v>
      </c>
      <c r="AM3611">
        <v>100</v>
      </c>
      <c r="AN3611">
        <v>2400</v>
      </c>
      <c r="AO3611" t="s">
        <v>118</v>
      </c>
      <c r="AP3611">
        <v>-60</v>
      </c>
      <c r="AQ3611">
        <v>113</v>
      </c>
      <c r="AR3611">
        <v>128</v>
      </c>
      <c r="AZ3611">
        <v>1200</v>
      </c>
      <c r="BA3611">
        <v>1</v>
      </c>
      <c r="BB3611" t="str">
        <f t="shared" si="1673"/>
        <v xml:space="preserve">N711JA  </v>
      </c>
      <c r="BC3611">
        <v>1</v>
      </c>
      <c r="BE3611">
        <v>0</v>
      </c>
      <c r="BF3611">
        <v>0</v>
      </c>
      <c r="BG3611">
        <v>0</v>
      </c>
      <c r="BH3611">
        <v>2450</v>
      </c>
      <c r="BI3611">
        <v>1</v>
      </c>
      <c r="BJ3611">
        <v>1</v>
      </c>
      <c r="BK3611">
        <v>0</v>
      </c>
      <c r="BL3611">
        <v>0</v>
      </c>
      <c r="BO3611">
        <v>0</v>
      </c>
      <c r="BP3611">
        <v>0</v>
      </c>
      <c r="BW3611" t="str">
        <f>"14:47:47.088"</f>
        <v>14:47:47.088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5</v>
      </c>
      <c r="CP3611" t="s">
        <v>119</v>
      </c>
      <c r="CQ3611">
        <v>62</v>
      </c>
      <c r="CR3611">
        <v>1</v>
      </c>
      <c r="CW3611">
        <v>12944822</v>
      </c>
      <c r="CY3611">
        <v>1</v>
      </c>
      <c r="CZ3611">
        <v>0</v>
      </c>
      <c r="DA3611">
        <v>0</v>
      </c>
      <c r="DB3611">
        <v>0</v>
      </c>
      <c r="DC3611">
        <v>0</v>
      </c>
      <c r="DD3611">
        <v>1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3">
      <c r="A3612" t="str">
        <f>"05/12/2020 14:47:29.250"</f>
        <v>05/12/2020 14:47:29.250</v>
      </c>
      <c r="C3612" t="str">
        <f t="shared" si="1672"/>
        <v>FFDFD3C0</v>
      </c>
      <c r="D3612" t="s">
        <v>131</v>
      </c>
      <c r="E3612">
        <v>18</v>
      </c>
      <c r="F3612">
        <v>2018</v>
      </c>
      <c r="G3612" t="s">
        <v>161</v>
      </c>
      <c r="J3612" t="s">
        <v>133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"14:47:47.086"</f>
        <v>14:47:47.086</v>
      </c>
      <c r="T3612" t="str">
        <f>"14:47:46.786"</f>
        <v>14:47:46.786</v>
      </c>
      <c r="U3612" t="str">
        <f t="shared" si="1663"/>
        <v>A9808D</v>
      </c>
      <c r="V3612">
        <v>0</v>
      </c>
      <c r="W3612">
        <v>0</v>
      </c>
      <c r="X3612">
        <v>1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0</v>
      </c>
      <c r="AI3612" t="s">
        <v>843</v>
      </c>
      <c r="AJ3612">
        <v>28.266577999999999</v>
      </c>
      <c r="AK3612" t="s">
        <v>844</v>
      </c>
      <c r="AL3612">
        <v>-82.262921000000006</v>
      </c>
      <c r="AM3612">
        <v>100</v>
      </c>
      <c r="AN3612">
        <v>2400</v>
      </c>
      <c r="AO3612" t="s">
        <v>118</v>
      </c>
      <c r="AP3612">
        <v>-60</v>
      </c>
      <c r="AQ3612">
        <v>113</v>
      </c>
      <c r="AR3612">
        <v>128</v>
      </c>
      <c r="AZ3612">
        <v>1200</v>
      </c>
      <c r="BA3612">
        <v>1</v>
      </c>
      <c r="BB3612" t="str">
        <f t="shared" si="1673"/>
        <v xml:space="preserve">N711JA  </v>
      </c>
      <c r="BC3612">
        <v>1</v>
      </c>
      <c r="BE3612">
        <v>0</v>
      </c>
      <c r="BF3612">
        <v>0</v>
      </c>
      <c r="BG3612">
        <v>0</v>
      </c>
      <c r="BH3612">
        <v>2450</v>
      </c>
      <c r="BI3612">
        <v>1</v>
      </c>
      <c r="BJ3612">
        <v>1</v>
      </c>
      <c r="BK3612">
        <v>0</v>
      </c>
      <c r="BL3612">
        <v>0</v>
      </c>
      <c r="BO3612">
        <v>0</v>
      </c>
      <c r="BP3612">
        <v>0</v>
      </c>
      <c r="BW3612" t="str">
        <f>"14:47:47.088"</f>
        <v>14:47:47.088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5</v>
      </c>
      <c r="CP3612" t="s">
        <v>119</v>
      </c>
      <c r="CQ3612">
        <v>62</v>
      </c>
      <c r="CR3612">
        <v>1</v>
      </c>
      <c r="CW3612">
        <v>12944822</v>
      </c>
      <c r="CY3612">
        <v>1</v>
      </c>
      <c r="CZ3612">
        <v>0</v>
      </c>
      <c r="DA3612">
        <v>1</v>
      </c>
      <c r="DB3612">
        <v>0</v>
      </c>
      <c r="DC3612">
        <v>0</v>
      </c>
      <c r="DD3612">
        <v>1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3">
      <c r="A3613" t="str">
        <f>"05/12/2020 14:47:29.250"</f>
        <v>05/12/2020 14:47:29.250</v>
      </c>
      <c r="C3613" t="str">
        <f t="shared" si="1672"/>
        <v>FFDFD3C0</v>
      </c>
      <c r="D3613" t="s">
        <v>126</v>
      </c>
      <c r="E3613">
        <v>6</v>
      </c>
      <c r="F3613">
        <v>1006</v>
      </c>
      <c r="G3613" t="s">
        <v>114</v>
      </c>
      <c r="J3613" t="s">
        <v>128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"14:47:47.086"</f>
        <v>14:47:47.086</v>
      </c>
      <c r="T3613" t="str">
        <f>"14:47:46.786"</f>
        <v>14:47:46.786</v>
      </c>
      <c r="U3613" t="str">
        <f t="shared" si="1663"/>
        <v>A9808D</v>
      </c>
      <c r="V3613">
        <v>0</v>
      </c>
      <c r="W3613">
        <v>0</v>
      </c>
      <c r="X3613">
        <v>1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0</v>
      </c>
      <c r="AI3613" t="s">
        <v>843</v>
      </c>
      <c r="AJ3613">
        <v>28.266577999999999</v>
      </c>
      <c r="AK3613" t="s">
        <v>844</v>
      </c>
      <c r="AL3613">
        <v>-82.262921000000006</v>
      </c>
      <c r="AM3613">
        <v>100</v>
      </c>
      <c r="AN3613">
        <v>2400</v>
      </c>
      <c r="AO3613" t="s">
        <v>118</v>
      </c>
      <c r="AP3613">
        <v>-60</v>
      </c>
      <c r="AQ3613">
        <v>113</v>
      </c>
      <c r="AR3613">
        <v>128</v>
      </c>
      <c r="AZ3613">
        <v>1200</v>
      </c>
      <c r="BA3613">
        <v>1</v>
      </c>
      <c r="BB3613" t="str">
        <f t="shared" si="1673"/>
        <v xml:space="preserve">N711JA  </v>
      </c>
      <c r="BC3613">
        <v>1</v>
      </c>
      <c r="BE3613">
        <v>0</v>
      </c>
      <c r="BF3613">
        <v>0</v>
      </c>
      <c r="BG3613">
        <v>0</v>
      </c>
      <c r="BH3613">
        <v>2450</v>
      </c>
      <c r="BI3613">
        <v>1</v>
      </c>
      <c r="BJ3613">
        <v>1</v>
      </c>
      <c r="BK3613">
        <v>0</v>
      </c>
      <c r="BL3613">
        <v>0</v>
      </c>
      <c r="BO3613">
        <v>0</v>
      </c>
      <c r="BP3613">
        <v>0</v>
      </c>
      <c r="BW3613" t="str">
        <f>"14:47:47.088"</f>
        <v>14:47:47.088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5</v>
      </c>
      <c r="CP3613" t="s">
        <v>119</v>
      </c>
      <c r="CQ3613">
        <v>62</v>
      </c>
      <c r="CR3613">
        <v>1</v>
      </c>
      <c r="CW3613">
        <v>12944822</v>
      </c>
      <c r="CY3613">
        <v>1</v>
      </c>
      <c r="CZ3613">
        <v>0</v>
      </c>
      <c r="DA3613">
        <v>1</v>
      </c>
      <c r="DB3613">
        <v>0</v>
      </c>
      <c r="DC3613">
        <v>0</v>
      </c>
      <c r="DD3613">
        <v>1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3">
      <c r="A3614" t="str">
        <f>"05/12/2020 14:47:29.250"</f>
        <v>05/12/2020 14:47:29.250</v>
      </c>
      <c r="C3614" t="str">
        <f t="shared" si="1672"/>
        <v>FFDFD3C0</v>
      </c>
      <c r="D3614" t="s">
        <v>113</v>
      </c>
      <c r="E3614">
        <v>3</v>
      </c>
      <c r="H3614">
        <v>164</v>
      </c>
      <c r="I3614" t="s">
        <v>114</v>
      </c>
      <c r="J3614" t="s">
        <v>115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"14:47:47.086"</f>
        <v>14:47:47.086</v>
      </c>
      <c r="T3614" t="str">
        <f>"14:47:46.786"</f>
        <v>14:47:46.786</v>
      </c>
      <c r="U3614" t="str">
        <f t="shared" si="1663"/>
        <v>A9808D</v>
      </c>
      <c r="V3614">
        <v>0</v>
      </c>
      <c r="W3614">
        <v>0</v>
      </c>
      <c r="X3614">
        <v>1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0</v>
      </c>
      <c r="AI3614" t="s">
        <v>843</v>
      </c>
      <c r="AJ3614">
        <v>28.266577999999999</v>
      </c>
      <c r="AK3614" t="s">
        <v>844</v>
      </c>
      <c r="AL3614">
        <v>-82.262921000000006</v>
      </c>
      <c r="AM3614">
        <v>100</v>
      </c>
      <c r="AN3614">
        <v>2400</v>
      </c>
      <c r="AO3614" t="s">
        <v>118</v>
      </c>
      <c r="AP3614">
        <v>-60</v>
      </c>
      <c r="AQ3614">
        <v>113</v>
      </c>
      <c r="AR3614">
        <v>128</v>
      </c>
      <c r="AZ3614">
        <v>1200</v>
      </c>
      <c r="BA3614">
        <v>1</v>
      </c>
      <c r="BB3614" t="str">
        <f t="shared" si="1673"/>
        <v xml:space="preserve">N711JA  </v>
      </c>
      <c r="BC3614">
        <v>1</v>
      </c>
      <c r="BE3614">
        <v>0</v>
      </c>
      <c r="BF3614">
        <v>0</v>
      </c>
      <c r="BG3614">
        <v>0</v>
      </c>
      <c r="BH3614">
        <v>2450</v>
      </c>
      <c r="BI3614">
        <v>1</v>
      </c>
      <c r="BJ3614">
        <v>1</v>
      </c>
      <c r="BK3614">
        <v>0</v>
      </c>
      <c r="BL3614">
        <v>0</v>
      </c>
      <c r="BO3614">
        <v>0</v>
      </c>
      <c r="BP3614">
        <v>0</v>
      </c>
      <c r="BW3614" t="str">
        <f>"14:47:47.088"</f>
        <v>14:47:47.088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5</v>
      </c>
      <c r="CP3614" t="s">
        <v>119</v>
      </c>
      <c r="CQ3614">
        <v>62</v>
      </c>
      <c r="CR3614">
        <v>1</v>
      </c>
      <c r="CW3614">
        <v>12944822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1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3">
      <c r="A3615" t="str">
        <f t="shared" ref="A3615:A3623" si="1674">"05/12/2020 14:47:30.245"</f>
        <v>05/12/2020 14:47:30.245</v>
      </c>
      <c r="C3615" t="str">
        <f t="shared" si="1672"/>
        <v>FFDFD3C0</v>
      </c>
      <c r="D3615" t="s">
        <v>138</v>
      </c>
      <c r="E3615">
        <v>3</v>
      </c>
      <c r="H3615">
        <v>9</v>
      </c>
      <c r="I3615" t="s">
        <v>140</v>
      </c>
      <c r="J3615" t="s">
        <v>136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 t="shared" ref="S3615:S3623" si="1675">"14:47:48.078"</f>
        <v>14:47:48.078</v>
      </c>
      <c r="T3615" t="str">
        <f>"14:47:47.878"</f>
        <v>14:47:47.878</v>
      </c>
      <c r="U3615" t="str">
        <f t="shared" si="1663"/>
        <v>A9808D</v>
      </c>
      <c r="V3615">
        <v>0</v>
      </c>
      <c r="W3615">
        <v>0</v>
      </c>
      <c r="X3615">
        <v>1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0</v>
      </c>
      <c r="AI3615" t="s">
        <v>845</v>
      </c>
      <c r="AJ3615">
        <v>28.267092999999999</v>
      </c>
      <c r="AK3615" t="s">
        <v>846</v>
      </c>
      <c r="AL3615">
        <v>-82.263243000000003</v>
      </c>
      <c r="AM3615">
        <v>100</v>
      </c>
      <c r="AN3615">
        <v>2400</v>
      </c>
      <c r="AO3615" t="s">
        <v>118</v>
      </c>
      <c r="AP3615">
        <v>-62</v>
      </c>
      <c r="AQ3615">
        <v>111</v>
      </c>
      <c r="AR3615">
        <v>0</v>
      </c>
      <c r="AZ3615">
        <v>1200</v>
      </c>
      <c r="BA3615">
        <v>1</v>
      </c>
      <c r="BB3615" t="str">
        <f t="shared" si="1673"/>
        <v xml:space="preserve">N711JA  </v>
      </c>
      <c r="BC3615">
        <v>1</v>
      </c>
      <c r="BE3615">
        <v>0</v>
      </c>
      <c r="BF3615">
        <v>0</v>
      </c>
      <c r="BG3615">
        <v>0</v>
      </c>
      <c r="BH3615">
        <v>2450</v>
      </c>
      <c r="BI3615">
        <v>1</v>
      </c>
      <c r="BJ3615">
        <v>1</v>
      </c>
      <c r="BK3615">
        <v>0</v>
      </c>
      <c r="BL3615">
        <v>0</v>
      </c>
      <c r="BO3615">
        <v>0</v>
      </c>
      <c r="BP3615">
        <v>0</v>
      </c>
      <c r="BW3615" t="str">
        <f>"14:47:48.085"</f>
        <v>14:47:48.085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6</v>
      </c>
      <c r="CP3615" t="s">
        <v>119</v>
      </c>
      <c r="CQ3615">
        <v>358</v>
      </c>
      <c r="CR3615">
        <v>0</v>
      </c>
      <c r="CW3615">
        <v>5011741</v>
      </c>
      <c r="CY3615">
        <v>1</v>
      </c>
      <c r="CZ3615">
        <v>0</v>
      </c>
      <c r="DA3615">
        <v>0</v>
      </c>
      <c r="DB3615">
        <v>0</v>
      </c>
      <c r="DC3615">
        <v>0</v>
      </c>
      <c r="DD3615">
        <v>1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3">
      <c r="A3616" t="str">
        <f t="shared" si="1674"/>
        <v>05/12/2020 14:47:30.245</v>
      </c>
      <c r="C3616" t="str">
        <f t="shared" si="1672"/>
        <v>FFDFD3C0</v>
      </c>
      <c r="D3616" t="s">
        <v>138</v>
      </c>
      <c r="E3616">
        <v>2</v>
      </c>
      <c r="H3616">
        <v>8</v>
      </c>
      <c r="I3616" t="s">
        <v>139</v>
      </c>
      <c r="J3616" t="s">
        <v>136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 t="shared" si="1675"/>
        <v>14:47:48.078</v>
      </c>
      <c r="T3616" t="str">
        <f>"14:47:47.378"</f>
        <v>14:47:47.378</v>
      </c>
      <c r="U3616" t="str">
        <f t="shared" si="1663"/>
        <v>A9808D</v>
      </c>
      <c r="V3616">
        <v>0</v>
      </c>
      <c r="W3616">
        <v>0</v>
      </c>
      <c r="X3616">
        <v>1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0</v>
      </c>
      <c r="AI3616" t="s">
        <v>845</v>
      </c>
      <c r="AJ3616">
        <v>28.267092999999999</v>
      </c>
      <c r="AK3616" t="s">
        <v>846</v>
      </c>
      <c r="AL3616">
        <v>-82.263243000000003</v>
      </c>
      <c r="AM3616">
        <v>100</v>
      </c>
      <c r="AN3616">
        <v>2400</v>
      </c>
      <c r="AO3616" t="s">
        <v>118</v>
      </c>
      <c r="AP3616">
        <v>-61</v>
      </c>
      <c r="AQ3616">
        <v>112</v>
      </c>
      <c r="AR3616">
        <v>0</v>
      </c>
      <c r="AZ3616">
        <v>1200</v>
      </c>
      <c r="BA3616">
        <v>1</v>
      </c>
      <c r="BB3616" t="str">
        <f t="shared" si="1673"/>
        <v xml:space="preserve">N711JA  </v>
      </c>
      <c r="BC3616">
        <v>1</v>
      </c>
      <c r="BE3616">
        <v>0</v>
      </c>
      <c r="BF3616">
        <v>0</v>
      </c>
      <c r="BG3616">
        <v>0</v>
      </c>
      <c r="BH3616">
        <v>2450</v>
      </c>
      <c r="BI3616">
        <v>1</v>
      </c>
      <c r="BJ3616">
        <v>1</v>
      </c>
      <c r="BK3616">
        <v>0</v>
      </c>
      <c r="BL3616">
        <v>0</v>
      </c>
      <c r="BO3616">
        <v>0</v>
      </c>
      <c r="BP3616">
        <v>0</v>
      </c>
      <c r="BW3616" t="str">
        <f>"14:47:48.086"</f>
        <v>14:47:48.086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4</v>
      </c>
      <c r="CP3616" t="s">
        <v>119</v>
      </c>
      <c r="CQ3616">
        <v>11</v>
      </c>
      <c r="CR3616">
        <v>2</v>
      </c>
      <c r="CW3616">
        <v>16114072</v>
      </c>
      <c r="CY3616">
        <v>1</v>
      </c>
      <c r="CZ3616">
        <v>0</v>
      </c>
      <c r="DA3616">
        <v>1</v>
      </c>
      <c r="DB3616">
        <v>0</v>
      </c>
      <c r="DC3616">
        <v>0</v>
      </c>
      <c r="DD3616">
        <v>1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3">
      <c r="A3617" t="str">
        <f t="shared" si="1674"/>
        <v>05/12/2020 14:47:30.245</v>
      </c>
      <c r="C3617" t="str">
        <f t="shared" si="1672"/>
        <v>FFDFD3C0</v>
      </c>
      <c r="D3617" t="s">
        <v>113</v>
      </c>
      <c r="E3617">
        <v>3</v>
      </c>
      <c r="H3617">
        <v>164</v>
      </c>
      <c r="I3617" t="s">
        <v>114</v>
      </c>
      <c r="J3617" t="s">
        <v>115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 t="shared" si="1675"/>
        <v>14:47:48.078</v>
      </c>
      <c r="T3617" t="str">
        <f>"14:47:47.878"</f>
        <v>14:47:47.878</v>
      </c>
      <c r="U3617" t="str">
        <f t="shared" si="1663"/>
        <v>A9808D</v>
      </c>
      <c r="V3617">
        <v>0</v>
      </c>
      <c r="W3617">
        <v>0</v>
      </c>
      <c r="X3617">
        <v>1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0</v>
      </c>
      <c r="AI3617" t="s">
        <v>845</v>
      </c>
      <c r="AJ3617">
        <v>28.267092999999999</v>
      </c>
      <c r="AK3617" t="s">
        <v>846</v>
      </c>
      <c r="AL3617">
        <v>-82.263243000000003</v>
      </c>
      <c r="AM3617">
        <v>100</v>
      </c>
      <c r="AN3617">
        <v>2400</v>
      </c>
      <c r="AO3617" t="s">
        <v>118</v>
      </c>
      <c r="AP3617">
        <v>-62</v>
      </c>
      <c r="AQ3617">
        <v>111</v>
      </c>
      <c r="AR3617">
        <v>0</v>
      </c>
      <c r="AZ3617">
        <v>1200</v>
      </c>
      <c r="BA3617">
        <v>1</v>
      </c>
      <c r="BB3617" t="str">
        <f t="shared" si="1673"/>
        <v xml:space="preserve">N711JA  </v>
      </c>
      <c r="BC3617">
        <v>1</v>
      </c>
      <c r="BE3617">
        <v>0</v>
      </c>
      <c r="BF3617">
        <v>0</v>
      </c>
      <c r="BG3617">
        <v>0</v>
      </c>
      <c r="BH3617">
        <v>2450</v>
      </c>
      <c r="BI3617">
        <v>1</v>
      </c>
      <c r="BJ3617">
        <v>1</v>
      </c>
      <c r="BK3617">
        <v>0</v>
      </c>
      <c r="BL3617">
        <v>0</v>
      </c>
      <c r="BO3617">
        <v>0</v>
      </c>
      <c r="BP3617">
        <v>0</v>
      </c>
      <c r="BW3617" t="str">
        <f>"14:47:48.086"</f>
        <v>14:47:48.086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5</v>
      </c>
      <c r="CP3617" t="s">
        <v>119</v>
      </c>
      <c r="CQ3617">
        <v>62</v>
      </c>
      <c r="CR3617">
        <v>1</v>
      </c>
      <c r="CW3617">
        <v>12945943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1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3">
      <c r="A3618" t="str">
        <f t="shared" si="1674"/>
        <v>05/12/2020 14:47:30.245</v>
      </c>
      <c r="C3618" t="str">
        <f t="shared" si="1672"/>
        <v>FFDFD3C0</v>
      </c>
      <c r="D3618" t="s">
        <v>126</v>
      </c>
      <c r="E3618">
        <v>7</v>
      </c>
      <c r="F3618">
        <v>1007</v>
      </c>
      <c r="G3618" t="s">
        <v>127</v>
      </c>
      <c r="J3618" t="s">
        <v>128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 t="shared" si="1675"/>
        <v>14:47:48.078</v>
      </c>
      <c r="T3618" t="str">
        <f>"14:47:47.878"</f>
        <v>14:47:47.878</v>
      </c>
      <c r="U3618" t="str">
        <f t="shared" si="1663"/>
        <v>A9808D</v>
      </c>
      <c r="V3618">
        <v>0</v>
      </c>
      <c r="W3618">
        <v>0</v>
      </c>
      <c r="X3618">
        <v>1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0</v>
      </c>
      <c r="AI3618" t="s">
        <v>845</v>
      </c>
      <c r="AJ3618">
        <v>28.267092999999999</v>
      </c>
      <c r="AK3618" t="s">
        <v>846</v>
      </c>
      <c r="AL3618">
        <v>-82.263243000000003</v>
      </c>
      <c r="AM3618">
        <v>100</v>
      </c>
      <c r="AN3618">
        <v>2400</v>
      </c>
      <c r="AO3618" t="s">
        <v>118</v>
      </c>
      <c r="AP3618">
        <v>-62</v>
      </c>
      <c r="AQ3618">
        <v>111</v>
      </c>
      <c r="AR3618">
        <v>0</v>
      </c>
      <c r="AZ3618">
        <v>1200</v>
      </c>
      <c r="BA3618">
        <v>1</v>
      </c>
      <c r="BB3618" t="str">
        <f t="shared" si="1673"/>
        <v xml:space="preserve">N711JA  </v>
      </c>
      <c r="BC3618">
        <v>1</v>
      </c>
      <c r="BE3618">
        <v>0</v>
      </c>
      <c r="BF3618">
        <v>0</v>
      </c>
      <c r="BG3618">
        <v>0</v>
      </c>
      <c r="BH3618">
        <v>2450</v>
      </c>
      <c r="BI3618">
        <v>1</v>
      </c>
      <c r="BJ3618">
        <v>1</v>
      </c>
      <c r="BK3618">
        <v>0</v>
      </c>
      <c r="BL3618">
        <v>0</v>
      </c>
      <c r="BO3618">
        <v>0</v>
      </c>
      <c r="BP3618">
        <v>0</v>
      </c>
      <c r="BW3618" t="str">
        <f>"14:47:48.085"</f>
        <v>14:47:48.085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6</v>
      </c>
      <c r="CP3618" t="s">
        <v>119</v>
      </c>
      <c r="CQ3618">
        <v>358</v>
      </c>
      <c r="CR3618">
        <v>0</v>
      </c>
      <c r="CW3618">
        <v>5011741</v>
      </c>
      <c r="CY3618">
        <v>1</v>
      </c>
      <c r="CZ3618">
        <v>0</v>
      </c>
      <c r="DA3618">
        <v>1</v>
      </c>
      <c r="DB3618">
        <v>0</v>
      </c>
      <c r="DC3618">
        <v>0</v>
      </c>
      <c r="DD3618">
        <v>1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3">
      <c r="A3619" t="str">
        <f t="shared" si="1674"/>
        <v>05/12/2020 14:47:30.245</v>
      </c>
      <c r="C3619" t="str">
        <f t="shared" si="1672"/>
        <v>FFDFD3C0</v>
      </c>
      <c r="D3619" t="s">
        <v>131</v>
      </c>
      <c r="E3619">
        <v>10</v>
      </c>
      <c r="F3619">
        <v>2010</v>
      </c>
      <c r="G3619" t="s">
        <v>132</v>
      </c>
      <c r="J3619" t="s">
        <v>133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 t="shared" si="1675"/>
        <v>14:47:48.078</v>
      </c>
      <c r="T3619" t="str">
        <f>"14:47:47.878"</f>
        <v>14:47:47.878</v>
      </c>
      <c r="U3619" t="str">
        <f t="shared" si="1663"/>
        <v>A9808D</v>
      </c>
      <c r="V3619">
        <v>0</v>
      </c>
      <c r="W3619">
        <v>0</v>
      </c>
      <c r="X3619">
        <v>1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3</v>
      </c>
      <c r="AG3619">
        <v>2</v>
      </c>
      <c r="AH3619">
        <v>0</v>
      </c>
      <c r="AI3619" t="s">
        <v>845</v>
      </c>
      <c r="AJ3619">
        <v>28.267092999999999</v>
      </c>
      <c r="AK3619" t="s">
        <v>846</v>
      </c>
      <c r="AL3619">
        <v>-82.263243000000003</v>
      </c>
      <c r="AM3619">
        <v>100</v>
      </c>
      <c r="AN3619">
        <v>2400</v>
      </c>
      <c r="AO3619" t="s">
        <v>118</v>
      </c>
      <c r="AP3619">
        <v>-62</v>
      </c>
      <c r="AQ3619">
        <v>111</v>
      </c>
      <c r="AR3619">
        <v>0</v>
      </c>
      <c r="AZ3619">
        <v>1200</v>
      </c>
      <c r="BA3619">
        <v>1</v>
      </c>
      <c r="BB3619" t="str">
        <f t="shared" si="1673"/>
        <v xml:space="preserve">N711JA  </v>
      </c>
      <c r="BC3619">
        <v>1</v>
      </c>
      <c r="BE3619">
        <v>0</v>
      </c>
      <c r="BF3619">
        <v>0</v>
      </c>
      <c r="BG3619">
        <v>0</v>
      </c>
      <c r="BH3619">
        <v>2450</v>
      </c>
      <c r="BI3619">
        <v>1</v>
      </c>
      <c r="BJ3619">
        <v>1</v>
      </c>
      <c r="BK3619">
        <v>0</v>
      </c>
      <c r="BL3619">
        <v>0</v>
      </c>
      <c r="BO3619">
        <v>0</v>
      </c>
      <c r="BP3619">
        <v>0</v>
      </c>
      <c r="BW3619" t="str">
        <f>"14:47:48.085"</f>
        <v>14:47:48.085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6</v>
      </c>
      <c r="CP3619" t="s">
        <v>119</v>
      </c>
      <c r="CQ3619">
        <v>358</v>
      </c>
      <c r="CR3619">
        <v>0</v>
      </c>
      <c r="CW3619">
        <v>5011741</v>
      </c>
      <c r="CY3619">
        <v>1</v>
      </c>
      <c r="CZ3619">
        <v>0</v>
      </c>
      <c r="DA3619">
        <v>1</v>
      </c>
      <c r="DB3619">
        <v>0</v>
      </c>
      <c r="DC3619">
        <v>0</v>
      </c>
      <c r="DD3619">
        <v>1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3">
      <c r="A3620" t="str">
        <f t="shared" si="1674"/>
        <v>05/12/2020 14:47:30.245</v>
      </c>
      <c r="C3620" t="str">
        <f t="shared" si="1672"/>
        <v>FFDFD3C0</v>
      </c>
      <c r="D3620" t="s">
        <v>131</v>
      </c>
      <c r="E3620">
        <v>12</v>
      </c>
      <c r="F3620">
        <v>2012</v>
      </c>
      <c r="G3620" t="s">
        <v>137</v>
      </c>
      <c r="J3620" t="s">
        <v>133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 t="shared" si="1675"/>
        <v>14:47:48.078</v>
      </c>
      <c r="T3620" t="str">
        <f>"14:47:47.378"</f>
        <v>14:47:47.378</v>
      </c>
      <c r="U3620" t="str">
        <f t="shared" si="1663"/>
        <v>A9808D</v>
      </c>
      <c r="V3620">
        <v>0</v>
      </c>
      <c r="W3620">
        <v>0</v>
      </c>
      <c r="X3620">
        <v>1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0</v>
      </c>
      <c r="AI3620" t="s">
        <v>845</v>
      </c>
      <c r="AJ3620">
        <v>28.267092999999999</v>
      </c>
      <c r="AK3620" t="s">
        <v>846</v>
      </c>
      <c r="AL3620">
        <v>-82.263243000000003</v>
      </c>
      <c r="AM3620">
        <v>100</v>
      </c>
      <c r="AN3620">
        <v>2400</v>
      </c>
      <c r="AO3620" t="s">
        <v>118</v>
      </c>
      <c r="AP3620">
        <v>-61</v>
      </c>
      <c r="AQ3620">
        <v>112</v>
      </c>
      <c r="AR3620">
        <v>0</v>
      </c>
      <c r="AZ3620">
        <v>1200</v>
      </c>
      <c r="BA3620">
        <v>1</v>
      </c>
      <c r="BB3620" t="str">
        <f t="shared" si="1673"/>
        <v xml:space="preserve">N711JA  </v>
      </c>
      <c r="BC3620">
        <v>1</v>
      </c>
      <c r="BE3620">
        <v>0</v>
      </c>
      <c r="BF3620">
        <v>0</v>
      </c>
      <c r="BG3620">
        <v>0</v>
      </c>
      <c r="BH3620">
        <v>2450</v>
      </c>
      <c r="BI3620">
        <v>1</v>
      </c>
      <c r="BJ3620">
        <v>1</v>
      </c>
      <c r="BK3620">
        <v>0</v>
      </c>
      <c r="BL3620">
        <v>0</v>
      </c>
      <c r="BO3620">
        <v>0</v>
      </c>
      <c r="BP3620">
        <v>0</v>
      </c>
      <c r="BW3620" t="str">
        <f>"14:47:48.086"</f>
        <v>14:47:48.086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4</v>
      </c>
      <c r="CP3620" t="s">
        <v>119</v>
      </c>
      <c r="CQ3620">
        <v>11</v>
      </c>
      <c r="CR3620">
        <v>2</v>
      </c>
      <c r="CW3620">
        <v>16114072</v>
      </c>
      <c r="CY3620">
        <v>1</v>
      </c>
      <c r="CZ3620">
        <v>0</v>
      </c>
      <c r="DA3620">
        <v>1</v>
      </c>
      <c r="DB3620">
        <v>0</v>
      </c>
      <c r="DC3620">
        <v>0</v>
      </c>
      <c r="DD3620">
        <v>1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3">
      <c r="A3621" t="str">
        <f t="shared" si="1674"/>
        <v>05/12/2020 14:47:30.245</v>
      </c>
      <c r="C3621" t="str">
        <f t="shared" si="1672"/>
        <v>FFDFD3C0</v>
      </c>
      <c r="D3621" t="s">
        <v>131</v>
      </c>
      <c r="E3621">
        <v>18</v>
      </c>
      <c r="F3621">
        <v>2018</v>
      </c>
      <c r="G3621" t="s">
        <v>161</v>
      </c>
      <c r="J3621" t="s">
        <v>133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 t="shared" si="1675"/>
        <v>14:47:48.078</v>
      </c>
      <c r="T3621" t="str">
        <f>"14:47:47.878"</f>
        <v>14:47:47.878</v>
      </c>
      <c r="U3621" t="str">
        <f t="shared" si="1663"/>
        <v>A9808D</v>
      </c>
      <c r="V3621">
        <v>0</v>
      </c>
      <c r="W3621">
        <v>0</v>
      </c>
      <c r="X3621">
        <v>1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0</v>
      </c>
      <c r="AI3621" t="s">
        <v>845</v>
      </c>
      <c r="AJ3621">
        <v>28.267092999999999</v>
      </c>
      <c r="AK3621" t="s">
        <v>846</v>
      </c>
      <c r="AL3621">
        <v>-82.263243000000003</v>
      </c>
      <c r="AM3621">
        <v>100</v>
      </c>
      <c r="AN3621">
        <v>2400</v>
      </c>
      <c r="AO3621" t="s">
        <v>118</v>
      </c>
      <c r="AP3621">
        <v>-62</v>
      </c>
      <c r="AQ3621">
        <v>111</v>
      </c>
      <c r="AR3621">
        <v>0</v>
      </c>
      <c r="AZ3621">
        <v>1200</v>
      </c>
      <c r="BA3621">
        <v>1</v>
      </c>
      <c r="BB3621" t="str">
        <f t="shared" si="1673"/>
        <v xml:space="preserve">N711JA  </v>
      </c>
      <c r="BC3621">
        <v>1</v>
      </c>
      <c r="BE3621">
        <v>0</v>
      </c>
      <c r="BF3621">
        <v>0</v>
      </c>
      <c r="BG3621">
        <v>0</v>
      </c>
      <c r="BH3621">
        <v>2450</v>
      </c>
      <c r="BI3621">
        <v>1</v>
      </c>
      <c r="BJ3621">
        <v>1</v>
      </c>
      <c r="BK3621">
        <v>0</v>
      </c>
      <c r="BL3621">
        <v>0</v>
      </c>
      <c r="BO3621">
        <v>0</v>
      </c>
      <c r="BP3621">
        <v>0</v>
      </c>
      <c r="BW3621" t="str">
        <f>"14:47:48.086"</f>
        <v>14:47:48.086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5</v>
      </c>
      <c r="CP3621" t="s">
        <v>119</v>
      </c>
      <c r="CQ3621">
        <v>62</v>
      </c>
      <c r="CR3621">
        <v>1</v>
      </c>
      <c r="CW3621">
        <v>12945943</v>
      </c>
      <c r="CY3621">
        <v>1</v>
      </c>
      <c r="CZ3621">
        <v>0</v>
      </c>
      <c r="DA3621">
        <v>1</v>
      </c>
      <c r="DB3621">
        <v>0</v>
      </c>
      <c r="DC3621">
        <v>0</v>
      </c>
      <c r="DD3621">
        <v>1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3">
      <c r="A3622" t="str">
        <f t="shared" si="1674"/>
        <v>05/12/2020 14:47:30.245</v>
      </c>
      <c r="C3622" t="str">
        <f t="shared" si="1672"/>
        <v>FFDFD3C0</v>
      </c>
      <c r="D3622" t="s">
        <v>134</v>
      </c>
      <c r="E3622">
        <v>12</v>
      </c>
      <c r="H3622">
        <v>64</v>
      </c>
      <c r="I3622" t="s">
        <v>135</v>
      </c>
      <c r="J3622" t="s">
        <v>136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si="1675"/>
        <v>14:47:48.078</v>
      </c>
      <c r="T3622" t="str">
        <f>"14:47:47.878"</f>
        <v>14:47:47.878</v>
      </c>
      <c r="U3622" t="str">
        <f t="shared" si="1663"/>
        <v>A9808D</v>
      </c>
      <c r="V3622">
        <v>0</v>
      </c>
      <c r="W3622">
        <v>0</v>
      </c>
      <c r="X3622">
        <v>1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0</v>
      </c>
      <c r="AI3622" t="s">
        <v>845</v>
      </c>
      <c r="AJ3622">
        <v>28.267092999999999</v>
      </c>
      <c r="AK3622" t="s">
        <v>846</v>
      </c>
      <c r="AL3622">
        <v>-82.263243000000003</v>
      </c>
      <c r="AM3622">
        <v>100</v>
      </c>
      <c r="AN3622">
        <v>2400</v>
      </c>
      <c r="AO3622" t="s">
        <v>118</v>
      </c>
      <c r="AP3622">
        <v>-62</v>
      </c>
      <c r="AQ3622">
        <v>111</v>
      </c>
      <c r="AR3622">
        <v>0</v>
      </c>
      <c r="AZ3622">
        <v>1200</v>
      </c>
      <c r="BA3622">
        <v>1</v>
      </c>
      <c r="BB3622" t="str">
        <f t="shared" si="1673"/>
        <v xml:space="preserve">N711JA  </v>
      </c>
      <c r="BC3622">
        <v>1</v>
      </c>
      <c r="BE3622">
        <v>0</v>
      </c>
      <c r="BF3622">
        <v>0</v>
      </c>
      <c r="BG3622">
        <v>0</v>
      </c>
      <c r="BH3622">
        <v>2450</v>
      </c>
      <c r="BI3622">
        <v>1</v>
      </c>
      <c r="BJ3622">
        <v>1</v>
      </c>
      <c r="BK3622">
        <v>0</v>
      </c>
      <c r="BL3622">
        <v>0</v>
      </c>
      <c r="BO3622">
        <v>0</v>
      </c>
      <c r="BP3622">
        <v>0</v>
      </c>
      <c r="BW3622" t="str">
        <f>"14:47:48.085"</f>
        <v>14:47:48.085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6</v>
      </c>
      <c r="CP3622" t="s">
        <v>119</v>
      </c>
      <c r="CQ3622">
        <v>358</v>
      </c>
      <c r="CR3622">
        <v>0</v>
      </c>
      <c r="CW3622">
        <v>5011741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1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3">
      <c r="A3623" t="str">
        <f t="shared" si="1674"/>
        <v>05/12/2020 14:47:30.245</v>
      </c>
      <c r="C3623" t="str">
        <f t="shared" si="1672"/>
        <v>FFDFD3C0</v>
      </c>
      <c r="D3623" t="s">
        <v>126</v>
      </c>
      <c r="E3623">
        <v>6</v>
      </c>
      <c r="F3623">
        <v>1006</v>
      </c>
      <c r="G3623" t="s">
        <v>114</v>
      </c>
      <c r="J3623" t="s">
        <v>128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1675"/>
        <v>14:47:48.078</v>
      </c>
      <c r="T3623" t="str">
        <f>"14:47:47.878"</f>
        <v>14:47:47.878</v>
      </c>
      <c r="U3623" t="str">
        <f t="shared" si="1663"/>
        <v>A9808D</v>
      </c>
      <c r="V3623">
        <v>0</v>
      </c>
      <c r="W3623">
        <v>0</v>
      </c>
      <c r="X3623">
        <v>1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3</v>
      </c>
      <c r="AG3623">
        <v>2</v>
      </c>
      <c r="AH3623">
        <v>0</v>
      </c>
      <c r="AI3623" t="s">
        <v>845</v>
      </c>
      <c r="AJ3623">
        <v>28.267092999999999</v>
      </c>
      <c r="AK3623" t="s">
        <v>846</v>
      </c>
      <c r="AL3623">
        <v>-82.263243000000003</v>
      </c>
      <c r="AM3623">
        <v>100</v>
      </c>
      <c r="AN3623">
        <v>2400</v>
      </c>
      <c r="AO3623" t="s">
        <v>118</v>
      </c>
      <c r="AP3623">
        <v>-62</v>
      </c>
      <c r="AQ3623">
        <v>111</v>
      </c>
      <c r="AR3623">
        <v>0</v>
      </c>
      <c r="AZ3623">
        <v>1200</v>
      </c>
      <c r="BA3623">
        <v>1</v>
      </c>
      <c r="BB3623" t="str">
        <f t="shared" si="1673"/>
        <v xml:space="preserve">N711JA  </v>
      </c>
      <c r="BC3623">
        <v>1</v>
      </c>
      <c r="BE3623">
        <v>0</v>
      </c>
      <c r="BF3623">
        <v>0</v>
      </c>
      <c r="BG3623">
        <v>0</v>
      </c>
      <c r="BH3623">
        <v>2450</v>
      </c>
      <c r="BI3623">
        <v>1</v>
      </c>
      <c r="BJ3623">
        <v>1</v>
      </c>
      <c r="BK3623">
        <v>0</v>
      </c>
      <c r="BL3623">
        <v>0</v>
      </c>
      <c r="BO3623">
        <v>0</v>
      </c>
      <c r="BP3623">
        <v>0</v>
      </c>
      <c r="BW3623" t="str">
        <f>"14:47:48.085"</f>
        <v>14:47:48.085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6</v>
      </c>
      <c r="CP3623" t="s">
        <v>119</v>
      </c>
      <c r="CQ3623">
        <v>358</v>
      </c>
      <c r="CR3623">
        <v>0</v>
      </c>
      <c r="CW3623">
        <v>5011741</v>
      </c>
      <c r="CY3623">
        <v>1</v>
      </c>
      <c r="CZ3623">
        <v>0</v>
      </c>
      <c r="DA3623">
        <v>1</v>
      </c>
      <c r="DB3623">
        <v>0</v>
      </c>
      <c r="DC3623">
        <v>0</v>
      </c>
      <c r="DD3623">
        <v>1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3">
      <c r="A3624" t="str">
        <f t="shared" ref="A3624:A3632" si="1676">"05/12/2020 14:47:31.137"</f>
        <v>05/12/2020 14:47:31.137</v>
      </c>
      <c r="C3624" t="str">
        <f t="shared" si="1672"/>
        <v>FFDFD3C0</v>
      </c>
      <c r="D3624" t="s">
        <v>134</v>
      </c>
      <c r="E3624">
        <v>12</v>
      </c>
      <c r="H3624">
        <v>64</v>
      </c>
      <c r="I3624" t="s">
        <v>135</v>
      </c>
      <c r="J3624" t="s">
        <v>136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ref="S3624:S3632" si="1677">"14:47:48.977"</f>
        <v>14:47:48.977</v>
      </c>
      <c r="T3624" t="str">
        <f t="shared" ref="T3624:T3631" si="1678">"14:47:48.877"</f>
        <v>14:47:48.877</v>
      </c>
      <c r="U3624" t="str">
        <f t="shared" si="1663"/>
        <v>A9808D</v>
      </c>
      <c r="V3624">
        <v>0</v>
      </c>
      <c r="W3624">
        <v>0</v>
      </c>
      <c r="X3624">
        <v>1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0</v>
      </c>
      <c r="AI3624" t="s">
        <v>309</v>
      </c>
      <c r="AJ3624">
        <v>28.267543</v>
      </c>
      <c r="AK3624" t="s">
        <v>847</v>
      </c>
      <c r="AL3624">
        <v>-82.263587000000001</v>
      </c>
      <c r="AM3624">
        <v>100</v>
      </c>
      <c r="AN3624">
        <v>2400</v>
      </c>
      <c r="AO3624" t="s">
        <v>118</v>
      </c>
      <c r="AP3624">
        <v>-65</v>
      </c>
      <c r="AQ3624">
        <v>110</v>
      </c>
      <c r="AR3624">
        <v>-128</v>
      </c>
      <c r="AZ3624">
        <v>1200</v>
      </c>
      <c r="BA3624">
        <v>1</v>
      </c>
      <c r="BB3624" t="str">
        <f t="shared" si="1673"/>
        <v xml:space="preserve">N711JA  </v>
      </c>
      <c r="BC3624">
        <v>1</v>
      </c>
      <c r="BE3624">
        <v>0</v>
      </c>
      <c r="BF3624">
        <v>0</v>
      </c>
      <c r="BG3624">
        <v>0</v>
      </c>
      <c r="BH3624">
        <v>2450</v>
      </c>
      <c r="BI3624">
        <v>1</v>
      </c>
      <c r="BJ3624">
        <v>1</v>
      </c>
      <c r="BK3624">
        <v>0</v>
      </c>
      <c r="BL3624">
        <v>0</v>
      </c>
      <c r="BO3624">
        <v>0</v>
      </c>
      <c r="BP3624">
        <v>0</v>
      </c>
      <c r="BW3624" t="str">
        <f t="shared" ref="BW3624:BW3632" si="1679">"14:47:48.979"</f>
        <v>14:47:48.979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6</v>
      </c>
      <c r="CP3624" t="s">
        <v>119</v>
      </c>
      <c r="CQ3624">
        <v>358</v>
      </c>
      <c r="CR3624">
        <v>0</v>
      </c>
      <c r="CW3624">
        <v>5012878</v>
      </c>
      <c r="CY3624">
        <v>1</v>
      </c>
      <c r="CZ3624">
        <v>0</v>
      </c>
      <c r="DA3624">
        <v>0</v>
      </c>
      <c r="DB3624">
        <v>0</v>
      </c>
      <c r="DC3624">
        <v>0</v>
      </c>
      <c r="DD3624">
        <v>1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3">
      <c r="A3625" t="str">
        <f t="shared" si="1676"/>
        <v>05/12/2020 14:47:31.137</v>
      </c>
      <c r="C3625" t="str">
        <f t="shared" si="1672"/>
        <v>FFDFD3C0</v>
      </c>
      <c r="D3625" t="s">
        <v>126</v>
      </c>
      <c r="E3625">
        <v>6</v>
      </c>
      <c r="F3625">
        <v>1006</v>
      </c>
      <c r="G3625" t="s">
        <v>114</v>
      </c>
      <c r="J3625" t="s">
        <v>128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si="1677"/>
        <v>14:47:48.977</v>
      </c>
      <c r="T3625" t="str">
        <f t="shared" si="1678"/>
        <v>14:47:48.877</v>
      </c>
      <c r="U3625" t="str">
        <f t="shared" si="1663"/>
        <v>A9808D</v>
      </c>
      <c r="V3625">
        <v>0</v>
      </c>
      <c r="W3625">
        <v>0</v>
      </c>
      <c r="X3625">
        <v>1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0</v>
      </c>
      <c r="AI3625" t="s">
        <v>309</v>
      </c>
      <c r="AJ3625">
        <v>28.267543</v>
      </c>
      <c r="AK3625" t="s">
        <v>847</v>
      </c>
      <c r="AL3625">
        <v>-82.263587000000001</v>
      </c>
      <c r="AM3625">
        <v>100</v>
      </c>
      <c r="AN3625">
        <v>2400</v>
      </c>
      <c r="AO3625" t="s">
        <v>118</v>
      </c>
      <c r="AP3625">
        <v>-65</v>
      </c>
      <c r="AQ3625">
        <v>110</v>
      </c>
      <c r="AR3625">
        <v>-128</v>
      </c>
      <c r="AZ3625">
        <v>1200</v>
      </c>
      <c r="BA3625">
        <v>1</v>
      </c>
      <c r="BB3625" t="str">
        <f t="shared" si="1673"/>
        <v xml:space="preserve">N711JA  </v>
      </c>
      <c r="BC3625">
        <v>1</v>
      </c>
      <c r="BE3625">
        <v>0</v>
      </c>
      <c r="BF3625">
        <v>0</v>
      </c>
      <c r="BG3625">
        <v>0</v>
      </c>
      <c r="BH3625">
        <v>2450</v>
      </c>
      <c r="BI3625">
        <v>1</v>
      </c>
      <c r="BJ3625">
        <v>1</v>
      </c>
      <c r="BK3625">
        <v>0</v>
      </c>
      <c r="BL3625">
        <v>0</v>
      </c>
      <c r="BO3625">
        <v>0</v>
      </c>
      <c r="BP3625">
        <v>0</v>
      </c>
      <c r="BW3625" t="str">
        <f t="shared" si="1679"/>
        <v>14:47:48.979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6</v>
      </c>
      <c r="CP3625" t="s">
        <v>119</v>
      </c>
      <c r="CQ3625">
        <v>358</v>
      </c>
      <c r="CR3625">
        <v>0</v>
      </c>
      <c r="CW3625">
        <v>5012878</v>
      </c>
      <c r="CY3625">
        <v>1</v>
      </c>
      <c r="CZ3625">
        <v>0</v>
      </c>
      <c r="DA3625">
        <v>1</v>
      </c>
      <c r="DB3625">
        <v>0</v>
      </c>
      <c r="DC3625">
        <v>0</v>
      </c>
      <c r="DD3625">
        <v>1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3">
      <c r="A3626" t="str">
        <f t="shared" si="1676"/>
        <v>05/12/2020 14:47:31.137</v>
      </c>
      <c r="C3626" t="str">
        <f t="shared" si="1672"/>
        <v>FFDFD3C0</v>
      </c>
      <c r="D3626" t="s">
        <v>113</v>
      </c>
      <c r="E3626">
        <v>3</v>
      </c>
      <c r="H3626">
        <v>164</v>
      </c>
      <c r="I3626" t="s">
        <v>114</v>
      </c>
      <c r="J3626" t="s">
        <v>115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1677"/>
        <v>14:47:48.977</v>
      </c>
      <c r="T3626" t="str">
        <f t="shared" si="1678"/>
        <v>14:47:48.877</v>
      </c>
      <c r="U3626" t="str">
        <f t="shared" si="1663"/>
        <v>A9808D</v>
      </c>
      <c r="V3626">
        <v>0</v>
      </c>
      <c r="W3626">
        <v>0</v>
      </c>
      <c r="X3626">
        <v>1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0</v>
      </c>
      <c r="AI3626" t="s">
        <v>309</v>
      </c>
      <c r="AJ3626">
        <v>28.267543</v>
      </c>
      <c r="AK3626" t="s">
        <v>847</v>
      </c>
      <c r="AL3626">
        <v>-82.263587000000001</v>
      </c>
      <c r="AM3626">
        <v>100</v>
      </c>
      <c r="AN3626">
        <v>2400</v>
      </c>
      <c r="AO3626" t="s">
        <v>118</v>
      </c>
      <c r="AP3626">
        <v>-65</v>
      </c>
      <c r="AQ3626">
        <v>110</v>
      </c>
      <c r="AR3626">
        <v>-128</v>
      </c>
      <c r="AZ3626">
        <v>1200</v>
      </c>
      <c r="BA3626">
        <v>1</v>
      </c>
      <c r="BB3626" t="str">
        <f t="shared" si="1673"/>
        <v xml:space="preserve">N711JA  </v>
      </c>
      <c r="BC3626">
        <v>1</v>
      </c>
      <c r="BE3626">
        <v>0</v>
      </c>
      <c r="BF3626">
        <v>0</v>
      </c>
      <c r="BG3626">
        <v>0</v>
      </c>
      <c r="BH3626">
        <v>2450</v>
      </c>
      <c r="BI3626">
        <v>1</v>
      </c>
      <c r="BJ3626">
        <v>1</v>
      </c>
      <c r="BK3626">
        <v>0</v>
      </c>
      <c r="BL3626">
        <v>0</v>
      </c>
      <c r="BO3626">
        <v>0</v>
      </c>
      <c r="BP3626">
        <v>0</v>
      </c>
      <c r="BW3626" t="str">
        <f t="shared" si="1679"/>
        <v>14:47:48.979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4</v>
      </c>
      <c r="CP3626" t="s">
        <v>119</v>
      </c>
      <c r="CQ3626">
        <v>11</v>
      </c>
      <c r="CR3626">
        <v>2</v>
      </c>
      <c r="CW3626">
        <v>16115375</v>
      </c>
      <c r="CY3626">
        <v>1</v>
      </c>
      <c r="CZ3626">
        <v>0</v>
      </c>
      <c r="DA3626">
        <v>1</v>
      </c>
      <c r="DB3626">
        <v>0</v>
      </c>
      <c r="DC3626">
        <v>0</v>
      </c>
      <c r="DD3626">
        <v>1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3">
      <c r="A3627" t="str">
        <f t="shared" si="1676"/>
        <v>05/12/2020 14:47:31.137</v>
      </c>
      <c r="C3627" t="str">
        <f t="shared" si="1672"/>
        <v>FFDFD3C0</v>
      </c>
      <c r="D3627" t="s">
        <v>138</v>
      </c>
      <c r="E3627">
        <v>2</v>
      </c>
      <c r="H3627">
        <v>8</v>
      </c>
      <c r="I3627" t="s">
        <v>139</v>
      </c>
      <c r="J3627" t="s">
        <v>136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si="1677"/>
        <v>14:47:48.977</v>
      </c>
      <c r="T3627" t="str">
        <f t="shared" si="1678"/>
        <v>14:47:48.877</v>
      </c>
      <c r="U3627" t="str">
        <f t="shared" si="1663"/>
        <v>A9808D</v>
      </c>
      <c r="V3627">
        <v>0</v>
      </c>
      <c r="W3627">
        <v>0</v>
      </c>
      <c r="X3627">
        <v>1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0</v>
      </c>
      <c r="AI3627" t="s">
        <v>309</v>
      </c>
      <c r="AJ3627">
        <v>28.267543</v>
      </c>
      <c r="AK3627" t="s">
        <v>847</v>
      </c>
      <c r="AL3627">
        <v>-82.263587000000001</v>
      </c>
      <c r="AM3627">
        <v>100</v>
      </c>
      <c r="AN3627">
        <v>2400</v>
      </c>
      <c r="AO3627" t="s">
        <v>118</v>
      </c>
      <c r="AP3627">
        <v>-65</v>
      </c>
      <c r="AQ3627">
        <v>110</v>
      </c>
      <c r="AR3627">
        <v>-128</v>
      </c>
      <c r="AZ3627">
        <v>1200</v>
      </c>
      <c r="BA3627">
        <v>1</v>
      </c>
      <c r="BB3627" t="str">
        <f t="shared" si="1673"/>
        <v xml:space="preserve">N711JA  </v>
      </c>
      <c r="BC3627">
        <v>1</v>
      </c>
      <c r="BE3627">
        <v>0</v>
      </c>
      <c r="BF3627">
        <v>0</v>
      </c>
      <c r="BG3627">
        <v>0</v>
      </c>
      <c r="BH3627">
        <v>2450</v>
      </c>
      <c r="BI3627">
        <v>1</v>
      </c>
      <c r="BJ3627">
        <v>1</v>
      </c>
      <c r="BK3627">
        <v>0</v>
      </c>
      <c r="BL3627">
        <v>0</v>
      </c>
      <c r="BO3627">
        <v>0</v>
      </c>
      <c r="BP3627">
        <v>0</v>
      </c>
      <c r="BW3627" t="str">
        <f t="shared" si="1679"/>
        <v>14:47:48.979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4</v>
      </c>
      <c r="CP3627" t="s">
        <v>119</v>
      </c>
      <c r="CQ3627">
        <v>11</v>
      </c>
      <c r="CR3627">
        <v>2</v>
      </c>
      <c r="CW3627">
        <v>16115375</v>
      </c>
      <c r="CY3627">
        <v>1</v>
      </c>
      <c r="CZ3627">
        <v>0</v>
      </c>
      <c r="DA3627">
        <v>1</v>
      </c>
      <c r="DB3627">
        <v>0</v>
      </c>
      <c r="DC3627">
        <v>0</v>
      </c>
      <c r="DD3627">
        <v>1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3">
      <c r="A3628" t="str">
        <f t="shared" si="1676"/>
        <v>05/12/2020 14:47:31.137</v>
      </c>
      <c r="C3628" t="str">
        <f t="shared" si="1672"/>
        <v>FFDFD3C0</v>
      </c>
      <c r="D3628" t="s">
        <v>138</v>
      </c>
      <c r="E3628">
        <v>3</v>
      </c>
      <c r="H3628">
        <v>9</v>
      </c>
      <c r="I3628" t="s">
        <v>140</v>
      </c>
      <c r="J3628" t="s">
        <v>136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si="1677"/>
        <v>14:47:48.977</v>
      </c>
      <c r="T3628" t="str">
        <f t="shared" si="1678"/>
        <v>14:47:48.877</v>
      </c>
      <c r="U3628" t="str">
        <f t="shared" si="1663"/>
        <v>A9808D</v>
      </c>
      <c r="V3628">
        <v>0</v>
      </c>
      <c r="W3628">
        <v>0</v>
      </c>
      <c r="X3628">
        <v>1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0</v>
      </c>
      <c r="AI3628" t="s">
        <v>309</v>
      </c>
      <c r="AJ3628">
        <v>28.267543</v>
      </c>
      <c r="AK3628" t="s">
        <v>847</v>
      </c>
      <c r="AL3628">
        <v>-82.263587000000001</v>
      </c>
      <c r="AM3628">
        <v>100</v>
      </c>
      <c r="AN3628">
        <v>2400</v>
      </c>
      <c r="AO3628" t="s">
        <v>118</v>
      </c>
      <c r="AP3628">
        <v>-65</v>
      </c>
      <c r="AQ3628">
        <v>110</v>
      </c>
      <c r="AR3628">
        <v>-128</v>
      </c>
      <c r="AZ3628">
        <v>1200</v>
      </c>
      <c r="BA3628">
        <v>1</v>
      </c>
      <c r="BB3628" t="str">
        <f t="shared" si="1673"/>
        <v xml:space="preserve">N711JA  </v>
      </c>
      <c r="BC3628">
        <v>1</v>
      </c>
      <c r="BE3628">
        <v>0</v>
      </c>
      <c r="BF3628">
        <v>0</v>
      </c>
      <c r="BG3628">
        <v>0</v>
      </c>
      <c r="BH3628">
        <v>2450</v>
      </c>
      <c r="BI3628">
        <v>1</v>
      </c>
      <c r="BJ3628">
        <v>1</v>
      </c>
      <c r="BK3628">
        <v>0</v>
      </c>
      <c r="BL3628">
        <v>0</v>
      </c>
      <c r="BO3628">
        <v>0</v>
      </c>
      <c r="BP3628">
        <v>0</v>
      </c>
      <c r="BW3628" t="str">
        <f t="shared" si="1679"/>
        <v>14:47:48.979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6</v>
      </c>
      <c r="CP3628" t="s">
        <v>119</v>
      </c>
      <c r="CQ3628">
        <v>358</v>
      </c>
      <c r="CR3628">
        <v>0</v>
      </c>
      <c r="CW3628">
        <v>5012878</v>
      </c>
      <c r="CY3628">
        <v>1</v>
      </c>
      <c r="CZ3628">
        <v>0</v>
      </c>
      <c r="DA3628">
        <v>1</v>
      </c>
      <c r="DB3628">
        <v>0</v>
      </c>
      <c r="DC3628">
        <v>0</v>
      </c>
      <c r="DD3628">
        <v>1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3">
      <c r="A3629" t="str">
        <f t="shared" si="1676"/>
        <v>05/12/2020 14:47:31.137</v>
      </c>
      <c r="C3629" t="str">
        <f t="shared" si="1672"/>
        <v>FFDFD3C0</v>
      </c>
      <c r="D3629" t="s">
        <v>126</v>
      </c>
      <c r="E3629">
        <v>7</v>
      </c>
      <c r="F3629">
        <v>1007</v>
      </c>
      <c r="G3629" t="s">
        <v>127</v>
      </c>
      <c r="J3629" t="s">
        <v>128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1677"/>
        <v>14:47:48.977</v>
      </c>
      <c r="T3629" t="str">
        <f t="shared" si="1678"/>
        <v>14:47:48.877</v>
      </c>
      <c r="U3629" t="str">
        <f t="shared" si="1663"/>
        <v>A9808D</v>
      </c>
      <c r="V3629">
        <v>0</v>
      </c>
      <c r="W3629">
        <v>0</v>
      </c>
      <c r="X3629">
        <v>1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3</v>
      </c>
      <c r="AG3629">
        <v>2</v>
      </c>
      <c r="AH3629">
        <v>0</v>
      </c>
      <c r="AI3629" t="s">
        <v>309</v>
      </c>
      <c r="AJ3629">
        <v>28.267543</v>
      </c>
      <c r="AK3629" t="s">
        <v>847</v>
      </c>
      <c r="AL3629">
        <v>-82.263587000000001</v>
      </c>
      <c r="AM3629">
        <v>100</v>
      </c>
      <c r="AN3629">
        <v>2400</v>
      </c>
      <c r="AO3629" t="s">
        <v>118</v>
      </c>
      <c r="AP3629">
        <v>-65</v>
      </c>
      <c r="AQ3629">
        <v>110</v>
      </c>
      <c r="AR3629">
        <v>-128</v>
      </c>
      <c r="AZ3629">
        <v>1200</v>
      </c>
      <c r="BA3629">
        <v>1</v>
      </c>
      <c r="BB3629" t="str">
        <f t="shared" si="1673"/>
        <v xml:space="preserve">N711JA  </v>
      </c>
      <c r="BC3629">
        <v>1</v>
      </c>
      <c r="BE3629">
        <v>0</v>
      </c>
      <c r="BF3629">
        <v>0</v>
      </c>
      <c r="BG3629">
        <v>0</v>
      </c>
      <c r="BH3629">
        <v>2450</v>
      </c>
      <c r="BI3629">
        <v>1</v>
      </c>
      <c r="BJ3629">
        <v>1</v>
      </c>
      <c r="BK3629">
        <v>0</v>
      </c>
      <c r="BL3629">
        <v>0</v>
      </c>
      <c r="BO3629">
        <v>0</v>
      </c>
      <c r="BP3629">
        <v>0</v>
      </c>
      <c r="BW3629" t="str">
        <f t="shared" si="1679"/>
        <v>14:47:48.979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6</v>
      </c>
      <c r="CP3629" t="s">
        <v>119</v>
      </c>
      <c r="CQ3629">
        <v>358</v>
      </c>
      <c r="CR3629">
        <v>0</v>
      </c>
      <c r="CW3629">
        <v>5012878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1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3">
      <c r="A3630" t="str">
        <f t="shared" si="1676"/>
        <v>05/12/2020 14:47:31.137</v>
      </c>
      <c r="C3630" t="str">
        <f t="shared" si="1672"/>
        <v>FFDFD3C0</v>
      </c>
      <c r="D3630" t="s">
        <v>131</v>
      </c>
      <c r="E3630">
        <v>10</v>
      </c>
      <c r="F3630">
        <v>2010</v>
      </c>
      <c r="G3630" t="s">
        <v>132</v>
      </c>
      <c r="J3630" t="s">
        <v>133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1677"/>
        <v>14:47:48.977</v>
      </c>
      <c r="T3630" t="str">
        <f t="shared" si="1678"/>
        <v>14:47:48.877</v>
      </c>
      <c r="U3630" t="str">
        <f t="shared" si="1663"/>
        <v>A9808D</v>
      </c>
      <c r="V3630">
        <v>0</v>
      </c>
      <c r="W3630">
        <v>0</v>
      </c>
      <c r="X3630">
        <v>1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0</v>
      </c>
      <c r="AI3630" t="s">
        <v>309</v>
      </c>
      <c r="AJ3630">
        <v>28.267543</v>
      </c>
      <c r="AK3630" t="s">
        <v>847</v>
      </c>
      <c r="AL3630">
        <v>-82.263587000000001</v>
      </c>
      <c r="AM3630">
        <v>100</v>
      </c>
      <c r="AN3630">
        <v>2400</v>
      </c>
      <c r="AO3630" t="s">
        <v>118</v>
      </c>
      <c r="AP3630">
        <v>-65</v>
      </c>
      <c r="AQ3630">
        <v>110</v>
      </c>
      <c r="AR3630">
        <v>-128</v>
      </c>
      <c r="AZ3630">
        <v>1200</v>
      </c>
      <c r="BA3630">
        <v>1</v>
      </c>
      <c r="BB3630" t="str">
        <f t="shared" si="1673"/>
        <v xml:space="preserve">N711JA  </v>
      </c>
      <c r="BC3630">
        <v>1</v>
      </c>
      <c r="BE3630">
        <v>0</v>
      </c>
      <c r="BF3630">
        <v>0</v>
      </c>
      <c r="BG3630">
        <v>0</v>
      </c>
      <c r="BH3630">
        <v>2450</v>
      </c>
      <c r="BI3630">
        <v>1</v>
      </c>
      <c r="BJ3630">
        <v>1</v>
      </c>
      <c r="BK3630">
        <v>0</v>
      </c>
      <c r="BL3630">
        <v>0</v>
      </c>
      <c r="BO3630">
        <v>0</v>
      </c>
      <c r="BP3630">
        <v>0</v>
      </c>
      <c r="BW3630" t="str">
        <f t="shared" si="1679"/>
        <v>14:47:48.979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6</v>
      </c>
      <c r="CP3630" t="s">
        <v>119</v>
      </c>
      <c r="CQ3630">
        <v>358</v>
      </c>
      <c r="CR3630">
        <v>0</v>
      </c>
      <c r="CW3630">
        <v>5012878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1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3">
      <c r="A3631" t="str">
        <f t="shared" si="1676"/>
        <v>05/12/2020 14:47:31.137</v>
      </c>
      <c r="C3631" t="str">
        <f t="shared" si="1672"/>
        <v>FFDFD3C0</v>
      </c>
      <c r="D3631" t="s">
        <v>131</v>
      </c>
      <c r="E3631">
        <v>12</v>
      </c>
      <c r="F3631">
        <v>2012</v>
      </c>
      <c r="G3631" t="s">
        <v>137</v>
      </c>
      <c r="J3631" t="s">
        <v>133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si="1677"/>
        <v>14:47:48.977</v>
      </c>
      <c r="T3631" t="str">
        <f t="shared" si="1678"/>
        <v>14:47:48.877</v>
      </c>
      <c r="U3631" t="str">
        <f t="shared" si="1663"/>
        <v>A9808D</v>
      </c>
      <c r="V3631">
        <v>0</v>
      </c>
      <c r="W3631">
        <v>0</v>
      </c>
      <c r="X3631">
        <v>1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0</v>
      </c>
      <c r="AI3631" t="s">
        <v>309</v>
      </c>
      <c r="AJ3631">
        <v>28.267543</v>
      </c>
      <c r="AK3631" t="s">
        <v>847</v>
      </c>
      <c r="AL3631">
        <v>-82.263587000000001</v>
      </c>
      <c r="AM3631">
        <v>100</v>
      </c>
      <c r="AN3631">
        <v>2400</v>
      </c>
      <c r="AO3631" t="s">
        <v>118</v>
      </c>
      <c r="AP3631">
        <v>-65</v>
      </c>
      <c r="AQ3631">
        <v>110</v>
      </c>
      <c r="AR3631">
        <v>-128</v>
      </c>
      <c r="AZ3631">
        <v>1200</v>
      </c>
      <c r="BA3631">
        <v>1</v>
      </c>
      <c r="BB3631" t="str">
        <f t="shared" si="1673"/>
        <v xml:space="preserve">N711JA  </v>
      </c>
      <c r="BC3631">
        <v>1</v>
      </c>
      <c r="BE3631">
        <v>0</v>
      </c>
      <c r="BF3631">
        <v>0</v>
      </c>
      <c r="BG3631">
        <v>0</v>
      </c>
      <c r="BH3631">
        <v>2450</v>
      </c>
      <c r="BI3631">
        <v>1</v>
      </c>
      <c r="BJ3631">
        <v>1</v>
      </c>
      <c r="BK3631">
        <v>0</v>
      </c>
      <c r="BL3631">
        <v>0</v>
      </c>
      <c r="BO3631">
        <v>0</v>
      </c>
      <c r="BP3631">
        <v>0</v>
      </c>
      <c r="BW3631" t="str">
        <f t="shared" si="1679"/>
        <v>14:47:48.979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4</v>
      </c>
      <c r="CP3631" t="s">
        <v>119</v>
      </c>
      <c r="CQ3631">
        <v>11</v>
      </c>
      <c r="CR3631">
        <v>2</v>
      </c>
      <c r="CW3631">
        <v>16115375</v>
      </c>
      <c r="CY3631">
        <v>1</v>
      </c>
      <c r="CZ3631">
        <v>0</v>
      </c>
      <c r="DA3631">
        <v>1</v>
      </c>
      <c r="DB3631">
        <v>0</v>
      </c>
      <c r="DC3631">
        <v>0</v>
      </c>
      <c r="DD3631">
        <v>1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3">
      <c r="A3632" t="str">
        <f t="shared" si="1676"/>
        <v>05/12/2020 14:47:31.137</v>
      </c>
      <c r="C3632" t="str">
        <f t="shared" si="1672"/>
        <v>FFDFD3C0</v>
      </c>
      <c r="D3632" t="s">
        <v>131</v>
      </c>
      <c r="E3632">
        <v>18</v>
      </c>
      <c r="F3632">
        <v>2018</v>
      </c>
      <c r="G3632" t="s">
        <v>161</v>
      </c>
      <c r="J3632" t="s">
        <v>133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si="1677"/>
        <v>14:47:48.977</v>
      </c>
      <c r="T3632" t="str">
        <f>"14:47:48.277"</f>
        <v>14:47:48.277</v>
      </c>
      <c r="U3632" t="str">
        <f t="shared" si="1663"/>
        <v>A9808D</v>
      </c>
      <c r="V3632">
        <v>0</v>
      </c>
      <c r="W3632">
        <v>0</v>
      </c>
      <c r="X3632">
        <v>1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0</v>
      </c>
      <c r="AI3632" t="s">
        <v>309</v>
      </c>
      <c r="AJ3632">
        <v>28.267543</v>
      </c>
      <c r="AK3632" t="s">
        <v>847</v>
      </c>
      <c r="AL3632">
        <v>-82.263587000000001</v>
      </c>
      <c r="AM3632">
        <v>100</v>
      </c>
      <c r="AN3632">
        <v>2400</v>
      </c>
      <c r="AO3632" t="s">
        <v>118</v>
      </c>
      <c r="AP3632">
        <v>-64</v>
      </c>
      <c r="AQ3632">
        <v>111</v>
      </c>
      <c r="AR3632">
        <v>-128</v>
      </c>
      <c r="AZ3632">
        <v>1200</v>
      </c>
      <c r="BA3632">
        <v>1</v>
      </c>
      <c r="BB3632" t="str">
        <f t="shared" si="1673"/>
        <v xml:space="preserve">N711JA  </v>
      </c>
      <c r="BC3632">
        <v>1</v>
      </c>
      <c r="BE3632">
        <v>0</v>
      </c>
      <c r="BF3632">
        <v>0</v>
      </c>
      <c r="BG3632">
        <v>0</v>
      </c>
      <c r="BH3632">
        <v>2450</v>
      </c>
      <c r="BI3632">
        <v>1</v>
      </c>
      <c r="BJ3632">
        <v>1</v>
      </c>
      <c r="BK3632">
        <v>0</v>
      </c>
      <c r="BL3632">
        <v>0</v>
      </c>
      <c r="BO3632">
        <v>0</v>
      </c>
      <c r="BP3632">
        <v>0</v>
      </c>
      <c r="BW3632" t="str">
        <f t="shared" si="1679"/>
        <v>14:47:48.979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4</v>
      </c>
      <c r="CP3632" t="s">
        <v>119</v>
      </c>
      <c r="CQ3632">
        <v>62</v>
      </c>
      <c r="CR3632">
        <v>1</v>
      </c>
      <c r="CW3632">
        <v>12946946</v>
      </c>
      <c r="CY3632">
        <v>1</v>
      </c>
      <c r="CZ3632">
        <v>0</v>
      </c>
      <c r="DA3632">
        <v>1</v>
      </c>
      <c r="DB3632">
        <v>0</v>
      </c>
      <c r="DC3632">
        <v>0</v>
      </c>
      <c r="DD3632">
        <v>1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3">
      <c r="A3633" t="str">
        <f t="shared" ref="A3633:A3640" si="1680">"05/12/2020 14:47:32.203"</f>
        <v>05/12/2020 14:47:32.203</v>
      </c>
      <c r="C3633" t="str">
        <f t="shared" si="1672"/>
        <v>FFDFD3C0</v>
      </c>
      <c r="D3633" t="s">
        <v>134</v>
      </c>
      <c r="E3633">
        <v>12</v>
      </c>
      <c r="H3633">
        <v>64</v>
      </c>
      <c r="I3633" t="s">
        <v>135</v>
      </c>
      <c r="J3633" t="s">
        <v>136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ref="S3633:S3640" si="1681">"14:47:50.023"</f>
        <v>14:47:50.023</v>
      </c>
      <c r="T3633" t="str">
        <f>"14:47:48.823"</f>
        <v>14:47:48.823</v>
      </c>
      <c r="U3633" t="str">
        <f t="shared" si="1663"/>
        <v>A9808D</v>
      </c>
      <c r="V3633">
        <v>0</v>
      </c>
      <c r="W3633">
        <v>0</v>
      </c>
      <c r="X3633">
        <v>1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0</v>
      </c>
      <c r="AI3633" t="s">
        <v>848</v>
      </c>
      <c r="AJ3633">
        <v>28.268101000000001</v>
      </c>
      <c r="AK3633" t="s">
        <v>849</v>
      </c>
      <c r="AL3633">
        <v>-82.263993999999997</v>
      </c>
      <c r="AM3633">
        <v>100</v>
      </c>
      <c r="AN3633">
        <v>2400</v>
      </c>
      <c r="AO3633" t="s">
        <v>118</v>
      </c>
      <c r="AP3633">
        <v>-65</v>
      </c>
      <c r="AQ3633">
        <v>110</v>
      </c>
      <c r="AR3633">
        <v>-128</v>
      </c>
      <c r="AZ3633">
        <v>1200</v>
      </c>
      <c r="BA3633">
        <v>1</v>
      </c>
      <c r="BB3633" t="str">
        <f t="shared" si="1673"/>
        <v xml:space="preserve">N711JA  </v>
      </c>
      <c r="BC3633">
        <v>1</v>
      </c>
      <c r="BE3633">
        <v>0</v>
      </c>
      <c r="BF3633">
        <v>0</v>
      </c>
      <c r="BG3633">
        <v>0</v>
      </c>
      <c r="BH3633">
        <v>2450</v>
      </c>
      <c r="BI3633">
        <v>1</v>
      </c>
      <c r="BJ3633">
        <v>1</v>
      </c>
      <c r="BK3633">
        <v>0</v>
      </c>
      <c r="BL3633">
        <v>0</v>
      </c>
      <c r="BO3633">
        <v>0</v>
      </c>
      <c r="BP3633">
        <v>0</v>
      </c>
      <c r="BW3633" t="str">
        <f t="shared" ref="BW3633:BW3640" si="1682">"14:47:50.025"</f>
        <v>14:47:50.025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5</v>
      </c>
      <c r="CP3633" t="s">
        <v>119</v>
      </c>
      <c r="CQ3633">
        <v>358</v>
      </c>
      <c r="CR3633">
        <v>0</v>
      </c>
      <c r="CW3633">
        <v>5014105</v>
      </c>
      <c r="CY3633">
        <v>1</v>
      </c>
      <c r="CZ3633">
        <v>0</v>
      </c>
      <c r="DA3633">
        <v>0</v>
      </c>
      <c r="DB3633">
        <v>0</v>
      </c>
      <c r="DC3633">
        <v>0</v>
      </c>
      <c r="DD3633">
        <v>1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3">
      <c r="A3634" t="str">
        <f t="shared" si="1680"/>
        <v>05/12/2020 14:47:32.203</v>
      </c>
      <c r="C3634" t="str">
        <f t="shared" si="1672"/>
        <v>FFDFD3C0</v>
      </c>
      <c r="D3634" t="s">
        <v>113</v>
      </c>
      <c r="E3634">
        <v>3</v>
      </c>
      <c r="H3634">
        <v>164</v>
      </c>
      <c r="I3634" t="s">
        <v>114</v>
      </c>
      <c r="J3634" t="s">
        <v>115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si="1681"/>
        <v>14:47:50.023</v>
      </c>
      <c r="T3634" t="str">
        <f>"14:47:49.923"</f>
        <v>14:47:49.923</v>
      </c>
      <c r="U3634" t="str">
        <f t="shared" si="1663"/>
        <v>A9808D</v>
      </c>
      <c r="V3634">
        <v>0</v>
      </c>
      <c r="W3634">
        <v>0</v>
      </c>
      <c r="X3634">
        <v>1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0</v>
      </c>
      <c r="AI3634" t="s">
        <v>848</v>
      </c>
      <c r="AJ3634">
        <v>28.268101000000001</v>
      </c>
      <c r="AK3634" t="s">
        <v>849</v>
      </c>
      <c r="AL3634">
        <v>-82.263993999999997</v>
      </c>
      <c r="AM3634">
        <v>100</v>
      </c>
      <c r="AN3634">
        <v>2400</v>
      </c>
      <c r="AO3634" t="s">
        <v>118</v>
      </c>
      <c r="AP3634">
        <v>-70</v>
      </c>
      <c r="AQ3634">
        <v>109</v>
      </c>
      <c r="AR3634">
        <v>-256</v>
      </c>
      <c r="AZ3634">
        <v>1200</v>
      </c>
      <c r="BA3634">
        <v>1</v>
      </c>
      <c r="BB3634" t="str">
        <f t="shared" si="1673"/>
        <v xml:space="preserve">N711JA  </v>
      </c>
      <c r="BC3634">
        <v>1</v>
      </c>
      <c r="BE3634">
        <v>0</v>
      </c>
      <c r="BF3634">
        <v>0</v>
      </c>
      <c r="BG3634">
        <v>0</v>
      </c>
      <c r="BH3634">
        <v>2450</v>
      </c>
      <c r="BI3634">
        <v>1</v>
      </c>
      <c r="BJ3634">
        <v>1</v>
      </c>
      <c r="BK3634">
        <v>0</v>
      </c>
      <c r="BL3634">
        <v>0</v>
      </c>
      <c r="BO3634">
        <v>0</v>
      </c>
      <c r="BP3634">
        <v>0</v>
      </c>
      <c r="BW3634" t="str">
        <f t="shared" si="1682"/>
        <v>14:47:50.025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2</v>
      </c>
      <c r="CP3634" t="s">
        <v>119</v>
      </c>
      <c r="CQ3634">
        <v>11</v>
      </c>
      <c r="CR3634">
        <v>2</v>
      </c>
      <c r="CW3634">
        <v>16116876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1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3">
      <c r="A3635" t="str">
        <f t="shared" si="1680"/>
        <v>05/12/2020 14:47:32.203</v>
      </c>
      <c r="C3635" t="str">
        <f t="shared" si="1672"/>
        <v>FFDFD3C0</v>
      </c>
      <c r="D3635" t="s">
        <v>138</v>
      </c>
      <c r="E3635">
        <v>2</v>
      </c>
      <c r="H3635">
        <v>8</v>
      </c>
      <c r="I3635" t="s">
        <v>139</v>
      </c>
      <c r="J3635" t="s">
        <v>136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 t="shared" si="1681"/>
        <v>14:47:50.023</v>
      </c>
      <c r="T3635" t="str">
        <f>"14:47:49.923"</f>
        <v>14:47:49.923</v>
      </c>
      <c r="U3635" t="str">
        <f t="shared" si="1663"/>
        <v>A9808D</v>
      </c>
      <c r="V3635">
        <v>0</v>
      </c>
      <c r="W3635">
        <v>0</v>
      </c>
      <c r="X3635">
        <v>1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0</v>
      </c>
      <c r="AI3635" t="s">
        <v>848</v>
      </c>
      <c r="AJ3635">
        <v>28.268101000000001</v>
      </c>
      <c r="AK3635" t="s">
        <v>849</v>
      </c>
      <c r="AL3635">
        <v>-82.263993999999997</v>
      </c>
      <c r="AM3635">
        <v>100</v>
      </c>
      <c r="AN3635">
        <v>2400</v>
      </c>
      <c r="AO3635" t="s">
        <v>118</v>
      </c>
      <c r="AP3635">
        <v>-70</v>
      </c>
      <c r="AQ3635">
        <v>109</v>
      </c>
      <c r="AR3635">
        <v>-256</v>
      </c>
      <c r="AZ3635">
        <v>1200</v>
      </c>
      <c r="BA3635">
        <v>1</v>
      </c>
      <c r="BB3635" t="str">
        <f t="shared" si="1673"/>
        <v xml:space="preserve">N711JA  </v>
      </c>
      <c r="BC3635">
        <v>1</v>
      </c>
      <c r="BE3635">
        <v>0</v>
      </c>
      <c r="BF3635">
        <v>0</v>
      </c>
      <c r="BG3635">
        <v>0</v>
      </c>
      <c r="BH3635">
        <v>2450</v>
      </c>
      <c r="BI3635">
        <v>1</v>
      </c>
      <c r="BJ3635">
        <v>1</v>
      </c>
      <c r="BK3635">
        <v>0</v>
      </c>
      <c r="BL3635">
        <v>0</v>
      </c>
      <c r="BO3635">
        <v>0</v>
      </c>
      <c r="BP3635">
        <v>0</v>
      </c>
      <c r="BW3635" t="str">
        <f t="shared" si="1682"/>
        <v>14:47:50.025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2</v>
      </c>
      <c r="CP3635" t="s">
        <v>119</v>
      </c>
      <c r="CQ3635">
        <v>11</v>
      </c>
      <c r="CR3635">
        <v>2</v>
      </c>
      <c r="CW3635">
        <v>16116876</v>
      </c>
      <c r="CY3635">
        <v>1</v>
      </c>
      <c r="CZ3635">
        <v>0</v>
      </c>
      <c r="DA3635">
        <v>1</v>
      </c>
      <c r="DB3635">
        <v>0</v>
      </c>
      <c r="DC3635">
        <v>0</v>
      </c>
      <c r="DD3635">
        <v>1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3">
      <c r="A3636" t="str">
        <f t="shared" si="1680"/>
        <v>05/12/2020 14:47:32.203</v>
      </c>
      <c r="C3636" t="str">
        <f t="shared" si="1672"/>
        <v>FFDFD3C0</v>
      </c>
      <c r="D3636" t="s">
        <v>138</v>
      </c>
      <c r="E3636">
        <v>3</v>
      </c>
      <c r="H3636">
        <v>9</v>
      </c>
      <c r="I3636" t="s">
        <v>140</v>
      </c>
      <c r="J3636" t="s">
        <v>136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 t="shared" si="1681"/>
        <v>14:47:50.023</v>
      </c>
      <c r="T3636" t="str">
        <f>"14:47:48.823"</f>
        <v>14:47:48.823</v>
      </c>
      <c r="U3636" t="str">
        <f t="shared" si="1663"/>
        <v>A9808D</v>
      </c>
      <c r="V3636">
        <v>0</v>
      </c>
      <c r="W3636">
        <v>0</v>
      </c>
      <c r="X3636">
        <v>1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0</v>
      </c>
      <c r="AI3636" t="s">
        <v>848</v>
      </c>
      <c r="AJ3636">
        <v>28.268101000000001</v>
      </c>
      <c r="AK3636" t="s">
        <v>849</v>
      </c>
      <c r="AL3636">
        <v>-82.263993999999997</v>
      </c>
      <c r="AM3636">
        <v>100</v>
      </c>
      <c r="AN3636">
        <v>2400</v>
      </c>
      <c r="AO3636" t="s">
        <v>118</v>
      </c>
      <c r="AP3636">
        <v>-65</v>
      </c>
      <c r="AQ3636">
        <v>110</v>
      </c>
      <c r="AR3636">
        <v>-128</v>
      </c>
      <c r="AZ3636">
        <v>1200</v>
      </c>
      <c r="BA3636">
        <v>1</v>
      </c>
      <c r="BB3636" t="str">
        <f t="shared" si="1673"/>
        <v xml:space="preserve">N711JA  </v>
      </c>
      <c r="BC3636">
        <v>1</v>
      </c>
      <c r="BE3636">
        <v>0</v>
      </c>
      <c r="BF3636">
        <v>0</v>
      </c>
      <c r="BG3636">
        <v>0</v>
      </c>
      <c r="BH3636">
        <v>2450</v>
      </c>
      <c r="BI3636">
        <v>1</v>
      </c>
      <c r="BJ3636">
        <v>1</v>
      </c>
      <c r="BK3636">
        <v>0</v>
      </c>
      <c r="BL3636">
        <v>0</v>
      </c>
      <c r="BO3636">
        <v>0</v>
      </c>
      <c r="BP3636">
        <v>0</v>
      </c>
      <c r="BW3636" t="str">
        <f t="shared" si="1682"/>
        <v>14:47:50.025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5</v>
      </c>
      <c r="CP3636" t="s">
        <v>119</v>
      </c>
      <c r="CQ3636">
        <v>358</v>
      </c>
      <c r="CR3636">
        <v>0</v>
      </c>
      <c r="CW3636">
        <v>5014105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1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3">
      <c r="A3637" t="str">
        <f t="shared" si="1680"/>
        <v>05/12/2020 14:47:32.203</v>
      </c>
      <c r="C3637" t="str">
        <f t="shared" si="1672"/>
        <v>FFDFD3C0</v>
      </c>
      <c r="D3637" t="s">
        <v>126</v>
      </c>
      <c r="E3637">
        <v>7</v>
      </c>
      <c r="F3637">
        <v>1007</v>
      </c>
      <c r="G3637" t="s">
        <v>127</v>
      </c>
      <c r="J3637" t="s">
        <v>128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 t="shared" si="1681"/>
        <v>14:47:50.023</v>
      </c>
      <c r="T3637" t="str">
        <f>"14:47:49.923"</f>
        <v>14:47:49.923</v>
      </c>
      <c r="U3637" t="str">
        <f t="shared" si="1663"/>
        <v>A9808D</v>
      </c>
      <c r="V3637">
        <v>0</v>
      </c>
      <c r="W3637">
        <v>0</v>
      </c>
      <c r="X3637">
        <v>1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3</v>
      </c>
      <c r="AG3637">
        <v>2</v>
      </c>
      <c r="AH3637">
        <v>0</v>
      </c>
      <c r="AI3637" t="s">
        <v>848</v>
      </c>
      <c r="AJ3637">
        <v>28.268101000000001</v>
      </c>
      <c r="AK3637" t="s">
        <v>849</v>
      </c>
      <c r="AL3637">
        <v>-82.263993999999997</v>
      </c>
      <c r="AM3637">
        <v>100</v>
      </c>
      <c r="AN3637">
        <v>2400</v>
      </c>
      <c r="AO3637" t="s">
        <v>118</v>
      </c>
      <c r="AP3637">
        <v>-70</v>
      </c>
      <c r="AQ3637">
        <v>109</v>
      </c>
      <c r="AR3637">
        <v>-256</v>
      </c>
      <c r="AZ3637">
        <v>1200</v>
      </c>
      <c r="BA3637">
        <v>1</v>
      </c>
      <c r="BB3637" t="str">
        <f t="shared" si="1673"/>
        <v xml:space="preserve">N711JA  </v>
      </c>
      <c r="BC3637">
        <v>1</v>
      </c>
      <c r="BE3637">
        <v>0</v>
      </c>
      <c r="BF3637">
        <v>0</v>
      </c>
      <c r="BG3637">
        <v>0</v>
      </c>
      <c r="BH3637">
        <v>2450</v>
      </c>
      <c r="BI3637">
        <v>1</v>
      </c>
      <c r="BJ3637">
        <v>1</v>
      </c>
      <c r="BK3637">
        <v>0</v>
      </c>
      <c r="BL3637">
        <v>0</v>
      </c>
      <c r="BO3637">
        <v>0</v>
      </c>
      <c r="BP3637">
        <v>0</v>
      </c>
      <c r="BW3637" t="str">
        <f t="shared" si="1682"/>
        <v>14:47:50.025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2</v>
      </c>
      <c r="CP3637" t="s">
        <v>119</v>
      </c>
      <c r="CQ3637">
        <v>11</v>
      </c>
      <c r="CR3637">
        <v>2</v>
      </c>
      <c r="CW3637">
        <v>16116876</v>
      </c>
      <c r="CY3637">
        <v>1</v>
      </c>
      <c r="CZ3637">
        <v>0</v>
      </c>
      <c r="DA3637">
        <v>1</v>
      </c>
      <c r="DB3637">
        <v>0</v>
      </c>
      <c r="DC3637">
        <v>0</v>
      </c>
      <c r="DD3637">
        <v>1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3">
      <c r="A3638" t="str">
        <f t="shared" si="1680"/>
        <v>05/12/2020 14:47:32.203</v>
      </c>
      <c r="C3638" t="str">
        <f t="shared" si="1672"/>
        <v>FFDFD3C0</v>
      </c>
      <c r="D3638" t="s">
        <v>131</v>
      </c>
      <c r="E3638">
        <v>12</v>
      </c>
      <c r="F3638">
        <v>2012</v>
      </c>
      <c r="G3638" t="s">
        <v>137</v>
      </c>
      <c r="J3638" t="s">
        <v>133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 t="shared" si="1681"/>
        <v>14:47:50.023</v>
      </c>
      <c r="T3638" t="str">
        <f>"14:47:49.923"</f>
        <v>14:47:49.923</v>
      </c>
      <c r="U3638" t="str">
        <f t="shared" si="1663"/>
        <v>A9808D</v>
      </c>
      <c r="V3638">
        <v>0</v>
      </c>
      <c r="W3638">
        <v>0</v>
      </c>
      <c r="X3638">
        <v>1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0</v>
      </c>
      <c r="AI3638" t="s">
        <v>848</v>
      </c>
      <c r="AJ3638">
        <v>28.268101000000001</v>
      </c>
      <c r="AK3638" t="s">
        <v>849</v>
      </c>
      <c r="AL3638">
        <v>-82.263993999999997</v>
      </c>
      <c r="AM3638">
        <v>100</v>
      </c>
      <c r="AN3638">
        <v>2400</v>
      </c>
      <c r="AO3638" t="s">
        <v>118</v>
      </c>
      <c r="AP3638">
        <v>-70</v>
      </c>
      <c r="AQ3638">
        <v>109</v>
      </c>
      <c r="AR3638">
        <v>-256</v>
      </c>
      <c r="AZ3638">
        <v>1200</v>
      </c>
      <c r="BA3638">
        <v>1</v>
      </c>
      <c r="BB3638" t="str">
        <f t="shared" si="1673"/>
        <v xml:space="preserve">N711JA  </v>
      </c>
      <c r="BC3638">
        <v>1</v>
      </c>
      <c r="BE3638">
        <v>0</v>
      </c>
      <c r="BF3638">
        <v>0</v>
      </c>
      <c r="BG3638">
        <v>0</v>
      </c>
      <c r="BH3638">
        <v>2450</v>
      </c>
      <c r="BI3638">
        <v>1</v>
      </c>
      <c r="BJ3638">
        <v>1</v>
      </c>
      <c r="BK3638">
        <v>0</v>
      </c>
      <c r="BL3638">
        <v>0</v>
      </c>
      <c r="BO3638">
        <v>0</v>
      </c>
      <c r="BP3638">
        <v>0</v>
      </c>
      <c r="BW3638" t="str">
        <f t="shared" si="1682"/>
        <v>14:47:50.025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2</v>
      </c>
      <c r="CP3638" t="s">
        <v>119</v>
      </c>
      <c r="CQ3638">
        <v>11</v>
      </c>
      <c r="CR3638">
        <v>2</v>
      </c>
      <c r="CW3638">
        <v>16116876</v>
      </c>
      <c r="CY3638">
        <v>1</v>
      </c>
      <c r="CZ3638">
        <v>0</v>
      </c>
      <c r="DA3638">
        <v>1</v>
      </c>
      <c r="DB3638">
        <v>0</v>
      </c>
      <c r="DC3638">
        <v>0</v>
      </c>
      <c r="DD3638">
        <v>1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3">
      <c r="A3639" t="str">
        <f t="shared" si="1680"/>
        <v>05/12/2020 14:47:32.203</v>
      </c>
      <c r="C3639" t="str">
        <f t="shared" si="1672"/>
        <v>FFDFD3C0</v>
      </c>
      <c r="D3639" t="s">
        <v>131</v>
      </c>
      <c r="E3639">
        <v>10</v>
      </c>
      <c r="F3639">
        <v>2010</v>
      </c>
      <c r="G3639" t="s">
        <v>132</v>
      </c>
      <c r="J3639" t="s">
        <v>133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 t="shared" si="1681"/>
        <v>14:47:50.023</v>
      </c>
      <c r="T3639" t="str">
        <f>"14:47:48.823"</f>
        <v>14:47:48.823</v>
      </c>
      <c r="U3639" t="str">
        <f t="shared" si="1663"/>
        <v>A9808D</v>
      </c>
      <c r="V3639">
        <v>0</v>
      </c>
      <c r="W3639">
        <v>0</v>
      </c>
      <c r="X3639">
        <v>1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0</v>
      </c>
      <c r="AI3639" t="s">
        <v>848</v>
      </c>
      <c r="AJ3639">
        <v>28.268101000000001</v>
      </c>
      <c r="AK3639" t="s">
        <v>849</v>
      </c>
      <c r="AL3639">
        <v>-82.263993999999997</v>
      </c>
      <c r="AM3639">
        <v>100</v>
      </c>
      <c r="AN3639">
        <v>2400</v>
      </c>
      <c r="AO3639" t="s">
        <v>118</v>
      </c>
      <c r="AP3639">
        <v>-65</v>
      </c>
      <c r="AQ3639">
        <v>110</v>
      </c>
      <c r="AR3639">
        <v>-128</v>
      </c>
      <c r="AZ3639">
        <v>1200</v>
      </c>
      <c r="BA3639">
        <v>1</v>
      </c>
      <c r="BB3639" t="str">
        <f t="shared" si="1673"/>
        <v xml:space="preserve">N711JA  </v>
      </c>
      <c r="BC3639">
        <v>1</v>
      </c>
      <c r="BE3639">
        <v>0</v>
      </c>
      <c r="BF3639">
        <v>0</v>
      </c>
      <c r="BG3639">
        <v>0</v>
      </c>
      <c r="BH3639">
        <v>2450</v>
      </c>
      <c r="BI3639">
        <v>1</v>
      </c>
      <c r="BJ3639">
        <v>1</v>
      </c>
      <c r="BK3639">
        <v>0</v>
      </c>
      <c r="BL3639">
        <v>0</v>
      </c>
      <c r="BO3639">
        <v>0</v>
      </c>
      <c r="BP3639">
        <v>0</v>
      </c>
      <c r="BW3639" t="str">
        <f t="shared" si="1682"/>
        <v>14:47:50.025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5</v>
      </c>
      <c r="CP3639" t="s">
        <v>119</v>
      </c>
      <c r="CQ3639">
        <v>358</v>
      </c>
      <c r="CR3639">
        <v>0</v>
      </c>
      <c r="CW3639">
        <v>5014105</v>
      </c>
      <c r="CY3639">
        <v>1</v>
      </c>
      <c r="CZ3639">
        <v>0</v>
      </c>
      <c r="DA3639">
        <v>1</v>
      </c>
      <c r="DB3639">
        <v>0</v>
      </c>
      <c r="DC3639">
        <v>0</v>
      </c>
      <c r="DD3639">
        <v>1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3">
      <c r="A3640" t="str">
        <f t="shared" si="1680"/>
        <v>05/12/2020 14:47:32.203</v>
      </c>
      <c r="C3640" t="str">
        <f t="shared" si="1672"/>
        <v>FFDFD3C0</v>
      </c>
      <c r="D3640" t="s">
        <v>126</v>
      </c>
      <c r="E3640">
        <v>6</v>
      </c>
      <c r="F3640">
        <v>1006</v>
      </c>
      <c r="G3640" t="s">
        <v>114</v>
      </c>
      <c r="J3640" t="s">
        <v>128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 t="shared" si="1681"/>
        <v>14:47:50.023</v>
      </c>
      <c r="T3640" t="str">
        <f>"14:47:49.923"</f>
        <v>14:47:49.923</v>
      </c>
      <c r="U3640" t="str">
        <f t="shared" si="1663"/>
        <v>A9808D</v>
      </c>
      <c r="V3640">
        <v>0</v>
      </c>
      <c r="W3640">
        <v>0</v>
      </c>
      <c r="X3640">
        <v>1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3</v>
      </c>
      <c r="AG3640">
        <v>2</v>
      </c>
      <c r="AH3640">
        <v>0</v>
      </c>
      <c r="AI3640" t="s">
        <v>848</v>
      </c>
      <c r="AJ3640">
        <v>28.268101000000001</v>
      </c>
      <c r="AK3640" t="s">
        <v>849</v>
      </c>
      <c r="AL3640">
        <v>-82.263993999999997</v>
      </c>
      <c r="AM3640">
        <v>100</v>
      </c>
      <c r="AN3640">
        <v>2400</v>
      </c>
      <c r="AO3640" t="s">
        <v>118</v>
      </c>
      <c r="AP3640">
        <v>-70</v>
      </c>
      <c r="AQ3640">
        <v>109</v>
      </c>
      <c r="AR3640">
        <v>-256</v>
      </c>
      <c r="AZ3640">
        <v>1200</v>
      </c>
      <c r="BA3640">
        <v>1</v>
      </c>
      <c r="BB3640" t="str">
        <f t="shared" si="1673"/>
        <v xml:space="preserve">N711JA  </v>
      </c>
      <c r="BC3640">
        <v>1</v>
      </c>
      <c r="BE3640">
        <v>0</v>
      </c>
      <c r="BF3640">
        <v>0</v>
      </c>
      <c r="BG3640">
        <v>0</v>
      </c>
      <c r="BH3640">
        <v>2450</v>
      </c>
      <c r="BI3640">
        <v>1</v>
      </c>
      <c r="BJ3640">
        <v>1</v>
      </c>
      <c r="BK3640">
        <v>0</v>
      </c>
      <c r="BL3640">
        <v>0</v>
      </c>
      <c r="BO3640">
        <v>0</v>
      </c>
      <c r="BP3640">
        <v>0</v>
      </c>
      <c r="BW3640" t="str">
        <f t="shared" si="1682"/>
        <v>14:47:50.025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2</v>
      </c>
      <c r="CP3640" t="s">
        <v>119</v>
      </c>
      <c r="CQ3640">
        <v>11</v>
      </c>
      <c r="CR3640">
        <v>2</v>
      </c>
      <c r="CW3640">
        <v>16116876</v>
      </c>
      <c r="CY3640">
        <v>1</v>
      </c>
      <c r="CZ3640">
        <v>0</v>
      </c>
      <c r="DA3640">
        <v>1</v>
      </c>
      <c r="DB3640">
        <v>0</v>
      </c>
      <c r="DC3640">
        <v>0</v>
      </c>
      <c r="DD3640">
        <v>1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3">
      <c r="A3641" t="str">
        <f t="shared" ref="A3641:A3648" si="1683">"05/12/2020 14:47:33.223"</f>
        <v>05/12/2020 14:47:33.223</v>
      </c>
      <c r="C3641" t="str">
        <f t="shared" si="1672"/>
        <v>FFDFD3C0</v>
      </c>
      <c r="D3641" t="s">
        <v>131</v>
      </c>
      <c r="E3641">
        <v>10</v>
      </c>
      <c r="F3641">
        <v>2010</v>
      </c>
      <c r="G3641" t="s">
        <v>132</v>
      </c>
      <c r="J3641" t="s">
        <v>133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 t="shared" ref="S3641:S3648" si="1684">"14:47:51.031"</f>
        <v>14:47:51.031</v>
      </c>
      <c r="T3641" t="str">
        <f>"14:47:50.531"</f>
        <v>14:47:50.531</v>
      </c>
      <c r="U3641" t="str">
        <f t="shared" si="1663"/>
        <v>A9808D</v>
      </c>
      <c r="V3641">
        <v>0</v>
      </c>
      <c r="W3641">
        <v>0</v>
      </c>
      <c r="X3641">
        <v>1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0</v>
      </c>
      <c r="AI3641" t="s">
        <v>850</v>
      </c>
      <c r="AJ3641">
        <v>28.268595000000001</v>
      </c>
      <c r="AK3641" t="s">
        <v>851</v>
      </c>
      <c r="AL3641">
        <v>-82.264358999999999</v>
      </c>
      <c r="AM3641">
        <v>100</v>
      </c>
      <c r="AN3641">
        <v>2400</v>
      </c>
      <c r="AO3641" t="s">
        <v>118</v>
      </c>
      <c r="AP3641">
        <v>-72</v>
      </c>
      <c r="AQ3641">
        <v>107</v>
      </c>
      <c r="AR3641">
        <v>-320</v>
      </c>
      <c r="AZ3641">
        <v>1200</v>
      </c>
      <c r="BA3641">
        <v>1</v>
      </c>
      <c r="BB3641" t="str">
        <f t="shared" si="1673"/>
        <v xml:space="preserve">N711JA  </v>
      </c>
      <c r="BC3641">
        <v>1</v>
      </c>
      <c r="BE3641">
        <v>0</v>
      </c>
      <c r="BF3641">
        <v>0</v>
      </c>
      <c r="BG3641">
        <v>0</v>
      </c>
      <c r="BH3641">
        <v>2450</v>
      </c>
      <c r="BI3641">
        <v>1</v>
      </c>
      <c r="BJ3641">
        <v>1</v>
      </c>
      <c r="BK3641">
        <v>0</v>
      </c>
      <c r="BL3641">
        <v>0</v>
      </c>
      <c r="BO3641">
        <v>0</v>
      </c>
      <c r="BP3641">
        <v>0</v>
      </c>
      <c r="BW3641" t="str">
        <f t="shared" ref="BW3641:BW3648" si="1685">"14:47:51.037"</f>
        <v>14:47:51.037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6</v>
      </c>
      <c r="CP3641" t="s">
        <v>119</v>
      </c>
      <c r="CQ3641">
        <v>56</v>
      </c>
      <c r="CR3641">
        <v>2</v>
      </c>
      <c r="CW3641">
        <v>5040940</v>
      </c>
      <c r="CY3641">
        <v>1</v>
      </c>
      <c r="CZ3641">
        <v>0</v>
      </c>
      <c r="DA3641">
        <v>0</v>
      </c>
      <c r="DB3641">
        <v>0</v>
      </c>
      <c r="DC3641">
        <v>0</v>
      </c>
      <c r="DD3641">
        <v>1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3">
      <c r="A3642" t="str">
        <f t="shared" si="1683"/>
        <v>05/12/2020 14:47:33.223</v>
      </c>
      <c r="C3642" t="str">
        <f t="shared" si="1672"/>
        <v>FFDFD3C0</v>
      </c>
      <c r="D3642" t="s">
        <v>126</v>
      </c>
      <c r="E3642">
        <v>6</v>
      </c>
      <c r="F3642">
        <v>1006</v>
      </c>
      <c r="G3642" t="s">
        <v>114</v>
      </c>
      <c r="J3642" t="s">
        <v>128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 t="shared" si="1684"/>
        <v>14:47:51.031</v>
      </c>
      <c r="T3642" t="str">
        <f t="shared" ref="T3642:T3647" si="1686">"14:47:51.031"</f>
        <v>14:47:51.031</v>
      </c>
      <c r="U3642" t="str">
        <f t="shared" si="1663"/>
        <v>A9808D</v>
      </c>
      <c r="V3642">
        <v>0</v>
      </c>
      <c r="W3642">
        <v>0</v>
      </c>
      <c r="X3642">
        <v>1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0</v>
      </c>
      <c r="AI3642" t="s">
        <v>850</v>
      </c>
      <c r="AJ3642">
        <v>28.268595000000001</v>
      </c>
      <c r="AK3642" t="s">
        <v>851</v>
      </c>
      <c r="AL3642">
        <v>-82.264358999999999</v>
      </c>
      <c r="AM3642">
        <v>100</v>
      </c>
      <c r="AN3642">
        <v>2400</v>
      </c>
      <c r="AO3642" t="s">
        <v>118</v>
      </c>
      <c r="AP3642">
        <v>-75</v>
      </c>
      <c r="AQ3642">
        <v>106</v>
      </c>
      <c r="AR3642">
        <v>-384</v>
      </c>
      <c r="AZ3642">
        <v>1200</v>
      </c>
      <c r="BA3642">
        <v>1</v>
      </c>
      <c r="BB3642" t="str">
        <f t="shared" si="1673"/>
        <v xml:space="preserve">N711JA  </v>
      </c>
      <c r="BC3642">
        <v>1</v>
      </c>
      <c r="BE3642">
        <v>0</v>
      </c>
      <c r="BF3642">
        <v>0</v>
      </c>
      <c r="BG3642">
        <v>0</v>
      </c>
      <c r="BH3642">
        <v>2450</v>
      </c>
      <c r="BI3642">
        <v>1</v>
      </c>
      <c r="BJ3642">
        <v>1</v>
      </c>
      <c r="BK3642">
        <v>0</v>
      </c>
      <c r="BL3642">
        <v>0</v>
      </c>
      <c r="BO3642">
        <v>0</v>
      </c>
      <c r="BP3642">
        <v>0</v>
      </c>
      <c r="BW3642" t="str">
        <f t="shared" si="1685"/>
        <v>14:47:51.037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5</v>
      </c>
      <c r="CP3642" t="s">
        <v>119</v>
      </c>
      <c r="CQ3642">
        <v>62</v>
      </c>
      <c r="CR3642">
        <v>1</v>
      </c>
      <c r="CW3642">
        <v>12949170</v>
      </c>
      <c r="CY3642">
        <v>1</v>
      </c>
      <c r="CZ3642">
        <v>0</v>
      </c>
      <c r="DA3642">
        <v>1</v>
      </c>
      <c r="DB3642">
        <v>0</v>
      </c>
      <c r="DC3642">
        <v>0</v>
      </c>
      <c r="DD3642">
        <v>1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3">
      <c r="A3643" t="str">
        <f t="shared" si="1683"/>
        <v>05/12/2020 14:47:33.223</v>
      </c>
      <c r="C3643" t="str">
        <f t="shared" si="1672"/>
        <v>FFDFD3C0</v>
      </c>
      <c r="D3643" t="s">
        <v>131</v>
      </c>
      <c r="E3643">
        <v>12</v>
      </c>
      <c r="F3643">
        <v>2012</v>
      </c>
      <c r="G3643" t="s">
        <v>137</v>
      </c>
      <c r="J3643" t="s">
        <v>133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 t="shared" si="1684"/>
        <v>14:47:51.031</v>
      </c>
      <c r="T3643" t="str">
        <f t="shared" si="1686"/>
        <v>14:47:51.031</v>
      </c>
      <c r="U3643" t="str">
        <f t="shared" si="1663"/>
        <v>A9808D</v>
      </c>
      <c r="V3643">
        <v>0</v>
      </c>
      <c r="W3643">
        <v>0</v>
      </c>
      <c r="X3643">
        <v>1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0</v>
      </c>
      <c r="AI3643" t="s">
        <v>850</v>
      </c>
      <c r="AJ3643">
        <v>28.268595000000001</v>
      </c>
      <c r="AK3643" t="s">
        <v>851</v>
      </c>
      <c r="AL3643">
        <v>-82.264358999999999</v>
      </c>
      <c r="AM3643">
        <v>100</v>
      </c>
      <c r="AN3643">
        <v>2400</v>
      </c>
      <c r="AO3643" t="s">
        <v>118</v>
      </c>
      <c r="AP3643">
        <v>-75</v>
      </c>
      <c r="AQ3643">
        <v>106</v>
      </c>
      <c r="AR3643">
        <v>-384</v>
      </c>
      <c r="AZ3643">
        <v>1200</v>
      </c>
      <c r="BA3643">
        <v>1</v>
      </c>
      <c r="BB3643" t="str">
        <f t="shared" si="1673"/>
        <v xml:space="preserve">N711JA  </v>
      </c>
      <c r="BC3643">
        <v>1</v>
      </c>
      <c r="BE3643">
        <v>0</v>
      </c>
      <c r="BF3643">
        <v>0</v>
      </c>
      <c r="BG3643">
        <v>0</v>
      </c>
      <c r="BH3643">
        <v>2450</v>
      </c>
      <c r="BI3643">
        <v>1</v>
      </c>
      <c r="BJ3643">
        <v>1</v>
      </c>
      <c r="BK3643">
        <v>0</v>
      </c>
      <c r="BL3643">
        <v>0</v>
      </c>
      <c r="BO3643">
        <v>0</v>
      </c>
      <c r="BP3643">
        <v>0</v>
      </c>
      <c r="BW3643" t="str">
        <f t="shared" si="1685"/>
        <v>14:47:51.037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3</v>
      </c>
      <c r="CP3643" t="s">
        <v>675</v>
      </c>
      <c r="CQ3643">
        <v>363</v>
      </c>
      <c r="CR3643">
        <v>0</v>
      </c>
      <c r="CW3643">
        <v>6545328</v>
      </c>
      <c r="CY3643">
        <v>1</v>
      </c>
      <c r="CZ3643">
        <v>0</v>
      </c>
      <c r="DA3643">
        <v>1</v>
      </c>
      <c r="DB3643">
        <v>0</v>
      </c>
      <c r="DC3643">
        <v>0</v>
      </c>
      <c r="DD3643">
        <v>1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3">
      <c r="A3644" t="str">
        <f t="shared" si="1683"/>
        <v>05/12/2020 14:47:33.223</v>
      </c>
      <c r="C3644" t="str">
        <f t="shared" si="1672"/>
        <v>FFDFD3C0</v>
      </c>
      <c r="D3644" t="s">
        <v>126</v>
      </c>
      <c r="E3644">
        <v>7</v>
      </c>
      <c r="F3644">
        <v>1007</v>
      </c>
      <c r="G3644" t="s">
        <v>127</v>
      </c>
      <c r="J3644" t="s">
        <v>128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 t="shared" si="1684"/>
        <v>14:47:51.031</v>
      </c>
      <c r="T3644" t="str">
        <f t="shared" si="1686"/>
        <v>14:47:51.031</v>
      </c>
      <c r="U3644" t="str">
        <f t="shared" si="1663"/>
        <v>A9808D</v>
      </c>
      <c r="V3644">
        <v>0</v>
      </c>
      <c r="W3644">
        <v>0</v>
      </c>
      <c r="X3644">
        <v>1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0</v>
      </c>
      <c r="AI3644" t="s">
        <v>850</v>
      </c>
      <c r="AJ3644">
        <v>28.268595000000001</v>
      </c>
      <c r="AK3644" t="s">
        <v>851</v>
      </c>
      <c r="AL3644">
        <v>-82.264358999999999</v>
      </c>
      <c r="AM3644">
        <v>100</v>
      </c>
      <c r="AN3644">
        <v>2400</v>
      </c>
      <c r="AO3644" t="s">
        <v>118</v>
      </c>
      <c r="AP3644">
        <v>-75</v>
      </c>
      <c r="AQ3644">
        <v>106</v>
      </c>
      <c r="AR3644">
        <v>-384</v>
      </c>
      <c r="AZ3644">
        <v>1200</v>
      </c>
      <c r="BA3644">
        <v>1</v>
      </c>
      <c r="BB3644" t="str">
        <f t="shared" si="1673"/>
        <v xml:space="preserve">N711JA  </v>
      </c>
      <c r="BC3644">
        <v>1</v>
      </c>
      <c r="BE3644">
        <v>0</v>
      </c>
      <c r="BF3644">
        <v>0</v>
      </c>
      <c r="BG3644">
        <v>0</v>
      </c>
      <c r="BH3644">
        <v>2450</v>
      </c>
      <c r="BI3644">
        <v>1</v>
      </c>
      <c r="BJ3644">
        <v>1</v>
      </c>
      <c r="BK3644">
        <v>0</v>
      </c>
      <c r="BL3644">
        <v>0</v>
      </c>
      <c r="BO3644">
        <v>0</v>
      </c>
      <c r="BP3644">
        <v>0</v>
      </c>
      <c r="BW3644" t="str">
        <f t="shared" si="1685"/>
        <v>14:47:51.037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5</v>
      </c>
      <c r="CP3644" t="s">
        <v>119</v>
      </c>
      <c r="CQ3644">
        <v>62</v>
      </c>
      <c r="CR3644">
        <v>1</v>
      </c>
      <c r="CW3644">
        <v>12949170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1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3">
      <c r="A3645" t="str">
        <f t="shared" si="1683"/>
        <v>05/12/2020 14:47:33.223</v>
      </c>
      <c r="C3645" t="str">
        <f t="shared" si="1672"/>
        <v>FFDFD3C0</v>
      </c>
      <c r="D3645" t="s">
        <v>131</v>
      </c>
      <c r="E3645">
        <v>18</v>
      </c>
      <c r="F3645">
        <v>2018</v>
      </c>
      <c r="G3645" t="s">
        <v>161</v>
      </c>
      <c r="J3645" t="s">
        <v>133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 t="shared" si="1684"/>
        <v>14:47:51.031</v>
      </c>
      <c r="T3645" t="str">
        <f t="shared" si="1686"/>
        <v>14:47:51.031</v>
      </c>
      <c r="U3645" t="str">
        <f t="shared" si="1663"/>
        <v>A9808D</v>
      </c>
      <c r="V3645">
        <v>0</v>
      </c>
      <c r="W3645">
        <v>0</v>
      </c>
      <c r="X3645">
        <v>1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0</v>
      </c>
      <c r="AI3645" t="s">
        <v>850</v>
      </c>
      <c r="AJ3645">
        <v>28.268595000000001</v>
      </c>
      <c r="AK3645" t="s">
        <v>851</v>
      </c>
      <c r="AL3645">
        <v>-82.264358999999999</v>
      </c>
      <c r="AM3645">
        <v>100</v>
      </c>
      <c r="AN3645">
        <v>2400</v>
      </c>
      <c r="AO3645" t="s">
        <v>118</v>
      </c>
      <c r="AP3645">
        <v>-75</v>
      </c>
      <c r="AQ3645">
        <v>106</v>
      </c>
      <c r="AR3645">
        <v>-384</v>
      </c>
      <c r="AZ3645">
        <v>1200</v>
      </c>
      <c r="BA3645">
        <v>1</v>
      </c>
      <c r="BB3645" t="str">
        <f t="shared" si="1673"/>
        <v xml:space="preserve">N711JA  </v>
      </c>
      <c r="BC3645">
        <v>1</v>
      </c>
      <c r="BE3645">
        <v>0</v>
      </c>
      <c r="BF3645">
        <v>0</v>
      </c>
      <c r="BG3645">
        <v>0</v>
      </c>
      <c r="BH3645">
        <v>2450</v>
      </c>
      <c r="BI3645">
        <v>1</v>
      </c>
      <c r="BJ3645">
        <v>1</v>
      </c>
      <c r="BK3645">
        <v>0</v>
      </c>
      <c r="BL3645">
        <v>0</v>
      </c>
      <c r="BO3645">
        <v>0</v>
      </c>
      <c r="BP3645">
        <v>0</v>
      </c>
      <c r="BW3645" t="str">
        <f t="shared" si="1685"/>
        <v>14:47:51.037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5</v>
      </c>
      <c r="CP3645" t="s">
        <v>119</v>
      </c>
      <c r="CQ3645">
        <v>62</v>
      </c>
      <c r="CR3645">
        <v>1</v>
      </c>
      <c r="CW3645">
        <v>12949170</v>
      </c>
      <c r="CY3645">
        <v>1</v>
      </c>
      <c r="CZ3645">
        <v>0</v>
      </c>
      <c r="DA3645">
        <v>1</v>
      </c>
      <c r="DB3645">
        <v>0</v>
      </c>
      <c r="DC3645">
        <v>0</v>
      </c>
      <c r="DD3645">
        <v>1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3">
      <c r="A3646" t="str">
        <f t="shared" si="1683"/>
        <v>05/12/2020 14:47:33.223</v>
      </c>
      <c r="C3646" t="str">
        <f t="shared" si="1672"/>
        <v>FFDFD3C0</v>
      </c>
      <c r="D3646" t="s">
        <v>113</v>
      </c>
      <c r="E3646">
        <v>3</v>
      </c>
      <c r="H3646">
        <v>164</v>
      </c>
      <c r="I3646" t="s">
        <v>114</v>
      </c>
      <c r="J3646" t="s">
        <v>115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 t="shared" si="1684"/>
        <v>14:47:51.031</v>
      </c>
      <c r="T3646" t="str">
        <f t="shared" si="1686"/>
        <v>14:47:51.031</v>
      </c>
      <c r="U3646" t="str">
        <f t="shared" si="1663"/>
        <v>A9808D</v>
      </c>
      <c r="V3646">
        <v>0</v>
      </c>
      <c r="W3646">
        <v>0</v>
      </c>
      <c r="X3646">
        <v>1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0</v>
      </c>
      <c r="AI3646" t="s">
        <v>850</v>
      </c>
      <c r="AJ3646">
        <v>28.268595000000001</v>
      </c>
      <c r="AK3646" t="s">
        <v>851</v>
      </c>
      <c r="AL3646">
        <v>-82.264358999999999</v>
      </c>
      <c r="AM3646">
        <v>100</v>
      </c>
      <c r="AN3646">
        <v>2400</v>
      </c>
      <c r="AO3646" t="s">
        <v>118</v>
      </c>
      <c r="AP3646">
        <v>-75</v>
      </c>
      <c r="AQ3646">
        <v>106</v>
      </c>
      <c r="AR3646">
        <v>-384</v>
      </c>
      <c r="AZ3646">
        <v>1200</v>
      </c>
      <c r="BA3646">
        <v>1</v>
      </c>
      <c r="BB3646" t="str">
        <f t="shared" si="1673"/>
        <v xml:space="preserve">N711JA  </v>
      </c>
      <c r="BC3646">
        <v>1</v>
      </c>
      <c r="BE3646">
        <v>0</v>
      </c>
      <c r="BF3646">
        <v>0</v>
      </c>
      <c r="BG3646">
        <v>0</v>
      </c>
      <c r="BH3646">
        <v>2450</v>
      </c>
      <c r="BI3646">
        <v>1</v>
      </c>
      <c r="BJ3646">
        <v>1</v>
      </c>
      <c r="BK3646">
        <v>0</v>
      </c>
      <c r="BL3646">
        <v>0</v>
      </c>
      <c r="BO3646">
        <v>0</v>
      </c>
      <c r="BP3646">
        <v>0</v>
      </c>
      <c r="BW3646" t="str">
        <f t="shared" si="1685"/>
        <v>14:47:51.037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5</v>
      </c>
      <c r="CP3646" t="s">
        <v>119</v>
      </c>
      <c r="CQ3646">
        <v>62</v>
      </c>
      <c r="CR3646">
        <v>1</v>
      </c>
      <c r="CW3646">
        <v>12949170</v>
      </c>
      <c r="CY3646">
        <v>1</v>
      </c>
      <c r="CZ3646">
        <v>0</v>
      </c>
      <c r="DA3646">
        <v>1</v>
      </c>
      <c r="DB3646">
        <v>0</v>
      </c>
      <c r="DC3646">
        <v>0</v>
      </c>
      <c r="DD3646">
        <v>1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3">
      <c r="A3647" t="str">
        <f t="shared" si="1683"/>
        <v>05/12/2020 14:47:33.223</v>
      </c>
      <c r="C3647" t="str">
        <f t="shared" si="1672"/>
        <v>FFDFD3C0</v>
      </c>
      <c r="D3647" t="s">
        <v>138</v>
      </c>
      <c r="E3647">
        <v>2</v>
      </c>
      <c r="H3647">
        <v>8</v>
      </c>
      <c r="I3647" t="s">
        <v>139</v>
      </c>
      <c r="J3647" t="s">
        <v>136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 t="shared" si="1684"/>
        <v>14:47:51.031</v>
      </c>
      <c r="T3647" t="str">
        <f t="shared" si="1686"/>
        <v>14:47:51.031</v>
      </c>
      <c r="U3647" t="str">
        <f t="shared" si="1663"/>
        <v>A9808D</v>
      </c>
      <c r="V3647">
        <v>0</v>
      </c>
      <c r="W3647">
        <v>0</v>
      </c>
      <c r="X3647">
        <v>1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0</v>
      </c>
      <c r="AI3647" t="s">
        <v>850</v>
      </c>
      <c r="AJ3647">
        <v>28.268595000000001</v>
      </c>
      <c r="AK3647" t="s">
        <v>851</v>
      </c>
      <c r="AL3647">
        <v>-82.264358999999999</v>
      </c>
      <c r="AM3647">
        <v>100</v>
      </c>
      <c r="AN3647">
        <v>2400</v>
      </c>
      <c r="AO3647" t="s">
        <v>118</v>
      </c>
      <c r="AP3647">
        <v>-75</v>
      </c>
      <c r="AQ3647">
        <v>106</v>
      </c>
      <c r="AR3647">
        <v>-384</v>
      </c>
      <c r="AZ3647">
        <v>1200</v>
      </c>
      <c r="BA3647">
        <v>1</v>
      </c>
      <c r="BB3647" t="str">
        <f t="shared" si="1673"/>
        <v xml:space="preserve">N711JA  </v>
      </c>
      <c r="BC3647">
        <v>1</v>
      </c>
      <c r="BE3647">
        <v>0</v>
      </c>
      <c r="BF3647">
        <v>0</v>
      </c>
      <c r="BG3647">
        <v>0</v>
      </c>
      <c r="BH3647">
        <v>2450</v>
      </c>
      <c r="BI3647">
        <v>1</v>
      </c>
      <c r="BJ3647">
        <v>1</v>
      </c>
      <c r="BK3647">
        <v>0</v>
      </c>
      <c r="BL3647">
        <v>0</v>
      </c>
      <c r="BO3647">
        <v>0</v>
      </c>
      <c r="BP3647">
        <v>0</v>
      </c>
      <c r="BW3647" t="str">
        <f t="shared" si="1685"/>
        <v>14:47:51.037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3</v>
      </c>
      <c r="CP3647" t="s">
        <v>675</v>
      </c>
      <c r="CQ3647">
        <v>363</v>
      </c>
      <c r="CR3647">
        <v>0</v>
      </c>
      <c r="CW3647">
        <v>6545328</v>
      </c>
      <c r="CY3647">
        <v>1</v>
      </c>
      <c r="CZ3647">
        <v>0</v>
      </c>
      <c r="DA3647">
        <v>1</v>
      </c>
      <c r="DB3647">
        <v>0</v>
      </c>
      <c r="DC3647">
        <v>0</v>
      </c>
      <c r="DD3647">
        <v>1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3">
      <c r="A3648" t="str">
        <f t="shared" si="1683"/>
        <v>05/12/2020 14:47:33.223</v>
      </c>
      <c r="C3648" t="str">
        <f t="shared" si="1672"/>
        <v>FFDFD3C0</v>
      </c>
      <c r="D3648" t="s">
        <v>138</v>
      </c>
      <c r="E3648">
        <v>3</v>
      </c>
      <c r="H3648">
        <v>9</v>
      </c>
      <c r="I3648" t="s">
        <v>140</v>
      </c>
      <c r="J3648" t="s">
        <v>136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 t="shared" si="1684"/>
        <v>14:47:51.031</v>
      </c>
      <c r="T3648" t="str">
        <f>"14:47:50.531"</f>
        <v>14:47:50.531</v>
      </c>
      <c r="U3648" t="str">
        <f t="shared" si="1663"/>
        <v>A9808D</v>
      </c>
      <c r="V3648">
        <v>0</v>
      </c>
      <c r="W3648">
        <v>0</v>
      </c>
      <c r="X3648">
        <v>1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3</v>
      </c>
      <c r="AG3648">
        <v>2</v>
      </c>
      <c r="AH3648">
        <v>0</v>
      </c>
      <c r="AI3648" t="s">
        <v>850</v>
      </c>
      <c r="AJ3648">
        <v>28.268595000000001</v>
      </c>
      <c r="AK3648" t="s">
        <v>851</v>
      </c>
      <c r="AL3648">
        <v>-82.264358999999999</v>
      </c>
      <c r="AM3648">
        <v>100</v>
      </c>
      <c r="AN3648">
        <v>2400</v>
      </c>
      <c r="AO3648" t="s">
        <v>118</v>
      </c>
      <c r="AP3648">
        <v>-72</v>
      </c>
      <c r="AQ3648">
        <v>107</v>
      </c>
      <c r="AR3648">
        <v>-320</v>
      </c>
      <c r="AZ3648">
        <v>1200</v>
      </c>
      <c r="BA3648">
        <v>1</v>
      </c>
      <c r="BB3648" t="str">
        <f t="shared" si="1673"/>
        <v xml:space="preserve">N711JA  </v>
      </c>
      <c r="BC3648">
        <v>1</v>
      </c>
      <c r="BE3648">
        <v>0</v>
      </c>
      <c r="BF3648">
        <v>0</v>
      </c>
      <c r="BG3648">
        <v>0</v>
      </c>
      <c r="BH3648">
        <v>2450</v>
      </c>
      <c r="BI3648">
        <v>1</v>
      </c>
      <c r="BJ3648">
        <v>1</v>
      </c>
      <c r="BK3648">
        <v>0</v>
      </c>
      <c r="BL3648">
        <v>0</v>
      </c>
      <c r="BO3648">
        <v>0</v>
      </c>
      <c r="BP3648">
        <v>0</v>
      </c>
      <c r="BW3648" t="str">
        <f t="shared" si="1685"/>
        <v>14:47:51.037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6</v>
      </c>
      <c r="CP3648" t="s">
        <v>119</v>
      </c>
      <c r="CQ3648">
        <v>56</v>
      </c>
      <c r="CR3648">
        <v>2</v>
      </c>
      <c r="CW3648">
        <v>5040940</v>
      </c>
      <c r="CY3648">
        <v>1</v>
      </c>
      <c r="CZ3648">
        <v>0</v>
      </c>
      <c r="DA3648">
        <v>1</v>
      </c>
      <c r="DB3648">
        <v>0</v>
      </c>
      <c r="DC3648">
        <v>0</v>
      </c>
      <c r="DD3648">
        <v>1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3">
      <c r="A3649" t="str">
        <f t="shared" ref="A3649:A3657" si="1687">"05/12/2020 14:47:34.334"</f>
        <v>05/12/2020 14:47:34.334</v>
      </c>
      <c r="C3649" t="str">
        <f t="shared" si="1672"/>
        <v>FFDFD3C0</v>
      </c>
      <c r="D3649" t="s">
        <v>131</v>
      </c>
      <c r="E3649">
        <v>18</v>
      </c>
      <c r="F3649">
        <v>2018</v>
      </c>
      <c r="G3649" t="s">
        <v>161</v>
      </c>
      <c r="J3649" t="s">
        <v>133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 t="shared" ref="S3649:S3657" si="1688">"14:47:52.164"</f>
        <v>14:47:52.164</v>
      </c>
      <c r="T3649" t="str">
        <f t="shared" ref="T3649:T3656" si="1689">"14:47:52.064"</f>
        <v>14:47:52.064</v>
      </c>
      <c r="U3649" t="str">
        <f t="shared" si="1663"/>
        <v>A9808D</v>
      </c>
      <c r="V3649">
        <v>0</v>
      </c>
      <c r="W3649">
        <v>0</v>
      </c>
      <c r="X3649">
        <v>1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0</v>
      </c>
      <c r="AI3649" t="s">
        <v>852</v>
      </c>
      <c r="AJ3649">
        <v>28.269131000000002</v>
      </c>
      <c r="AK3649" t="s">
        <v>853</v>
      </c>
      <c r="AL3649">
        <v>-82.264809999999997</v>
      </c>
      <c r="AM3649">
        <v>100</v>
      </c>
      <c r="AN3649">
        <v>2400</v>
      </c>
      <c r="AO3649" t="s">
        <v>118</v>
      </c>
      <c r="AP3649">
        <v>-82</v>
      </c>
      <c r="AQ3649">
        <v>102</v>
      </c>
      <c r="AR3649">
        <v>-512</v>
      </c>
      <c r="AZ3649">
        <v>1200</v>
      </c>
      <c r="BA3649">
        <v>1</v>
      </c>
      <c r="BB3649" t="str">
        <f t="shared" si="1673"/>
        <v xml:space="preserve">N711JA  </v>
      </c>
      <c r="BC3649">
        <v>1</v>
      </c>
      <c r="BE3649">
        <v>0</v>
      </c>
      <c r="BF3649">
        <v>0</v>
      </c>
      <c r="BG3649">
        <v>0</v>
      </c>
      <c r="BH3649">
        <v>2450</v>
      </c>
      <c r="BI3649">
        <v>1</v>
      </c>
      <c r="BJ3649">
        <v>1</v>
      </c>
      <c r="BK3649">
        <v>0</v>
      </c>
      <c r="BL3649">
        <v>0</v>
      </c>
      <c r="BO3649">
        <v>0</v>
      </c>
      <c r="BP3649">
        <v>0</v>
      </c>
      <c r="BW3649" t="str">
        <f t="shared" ref="BW3649:BW3657" si="1690">"14:47:52.170"</f>
        <v>14:47:52.170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6</v>
      </c>
      <c r="CP3649" t="s">
        <v>119</v>
      </c>
      <c r="CQ3649">
        <v>56</v>
      </c>
      <c r="CR3649">
        <v>2</v>
      </c>
      <c r="CW3649">
        <v>5042410</v>
      </c>
      <c r="CY3649">
        <v>1</v>
      </c>
      <c r="CZ3649">
        <v>0</v>
      </c>
      <c r="DA3649">
        <v>0</v>
      </c>
      <c r="DB3649">
        <v>0</v>
      </c>
      <c r="DC3649">
        <v>0</v>
      </c>
      <c r="DD3649">
        <v>1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3">
      <c r="A3650" t="str">
        <f t="shared" si="1687"/>
        <v>05/12/2020 14:47:34.334</v>
      </c>
      <c r="C3650" t="str">
        <f t="shared" si="1672"/>
        <v>FFDFD3C0</v>
      </c>
      <c r="D3650" t="s">
        <v>113</v>
      </c>
      <c r="E3650">
        <v>3</v>
      </c>
      <c r="H3650">
        <v>164</v>
      </c>
      <c r="I3650" t="s">
        <v>114</v>
      </c>
      <c r="J3650" t="s">
        <v>115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 t="shared" si="1688"/>
        <v>14:47:52.164</v>
      </c>
      <c r="T3650" t="str">
        <f t="shared" si="1689"/>
        <v>14:47:52.064</v>
      </c>
      <c r="U3650" t="str">
        <f t="shared" ref="U3650:U3713" si="1691">"A9808D"</f>
        <v>A9808D</v>
      </c>
      <c r="V3650">
        <v>0</v>
      </c>
      <c r="W3650">
        <v>0</v>
      </c>
      <c r="X3650">
        <v>1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0</v>
      </c>
      <c r="AI3650" t="s">
        <v>852</v>
      </c>
      <c r="AJ3650">
        <v>28.269131000000002</v>
      </c>
      <c r="AK3650" t="s">
        <v>853</v>
      </c>
      <c r="AL3650">
        <v>-82.264809999999997</v>
      </c>
      <c r="AM3650">
        <v>100</v>
      </c>
      <c r="AN3650">
        <v>2400</v>
      </c>
      <c r="AO3650" t="s">
        <v>118</v>
      </c>
      <c r="AP3650">
        <v>-82</v>
      </c>
      <c r="AQ3650">
        <v>102</v>
      </c>
      <c r="AR3650">
        <v>-512</v>
      </c>
      <c r="AZ3650">
        <v>1200</v>
      </c>
      <c r="BA3650">
        <v>1</v>
      </c>
      <c r="BB3650" t="str">
        <f t="shared" si="1673"/>
        <v xml:space="preserve">N711JA  </v>
      </c>
      <c r="BC3650">
        <v>1</v>
      </c>
      <c r="BE3650">
        <v>0</v>
      </c>
      <c r="BF3650">
        <v>0</v>
      </c>
      <c r="BG3650">
        <v>0</v>
      </c>
      <c r="BH3650">
        <v>2450</v>
      </c>
      <c r="BI3650">
        <v>1</v>
      </c>
      <c r="BJ3650">
        <v>1</v>
      </c>
      <c r="BK3650">
        <v>0</v>
      </c>
      <c r="BL3650">
        <v>0</v>
      </c>
      <c r="BO3650">
        <v>0</v>
      </c>
      <c r="BP3650">
        <v>0</v>
      </c>
      <c r="BW3650" t="str">
        <f t="shared" si="1690"/>
        <v>14:47:52.170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6</v>
      </c>
      <c r="CP3650" t="s">
        <v>119</v>
      </c>
      <c r="CQ3650">
        <v>56</v>
      </c>
      <c r="CR3650">
        <v>2</v>
      </c>
      <c r="CW3650">
        <v>5042410</v>
      </c>
      <c r="CY3650">
        <v>1</v>
      </c>
      <c r="CZ3650">
        <v>0</v>
      </c>
      <c r="DA3650">
        <v>1</v>
      </c>
      <c r="DB3650">
        <v>0</v>
      </c>
      <c r="DC3650">
        <v>0</v>
      </c>
      <c r="DD3650">
        <v>1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3">
      <c r="A3651" t="str">
        <f t="shared" si="1687"/>
        <v>05/12/2020 14:47:34.334</v>
      </c>
      <c r="C3651" t="str">
        <f t="shared" si="1672"/>
        <v>FFDFD3C0</v>
      </c>
      <c r="D3651" t="s">
        <v>138</v>
      </c>
      <c r="E3651">
        <v>2</v>
      </c>
      <c r="H3651">
        <v>8</v>
      </c>
      <c r="I3651" t="s">
        <v>139</v>
      </c>
      <c r="J3651" t="s">
        <v>136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 t="shared" si="1688"/>
        <v>14:47:52.164</v>
      </c>
      <c r="T3651" t="str">
        <f t="shared" si="1689"/>
        <v>14:47:52.064</v>
      </c>
      <c r="U3651" t="str">
        <f t="shared" si="1691"/>
        <v>A9808D</v>
      </c>
      <c r="V3651">
        <v>0</v>
      </c>
      <c r="W3651">
        <v>0</v>
      </c>
      <c r="X3651">
        <v>1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0</v>
      </c>
      <c r="AI3651" t="s">
        <v>852</v>
      </c>
      <c r="AJ3651">
        <v>28.269131000000002</v>
      </c>
      <c r="AK3651" t="s">
        <v>853</v>
      </c>
      <c r="AL3651">
        <v>-82.264809999999997</v>
      </c>
      <c r="AM3651">
        <v>100</v>
      </c>
      <c r="AN3651">
        <v>2400</v>
      </c>
      <c r="AO3651" t="s">
        <v>118</v>
      </c>
      <c r="AP3651">
        <v>-82</v>
      </c>
      <c r="AQ3651">
        <v>102</v>
      </c>
      <c r="AR3651">
        <v>-512</v>
      </c>
      <c r="AZ3651">
        <v>1200</v>
      </c>
      <c r="BA3651">
        <v>1</v>
      </c>
      <c r="BB3651" t="str">
        <f t="shared" si="1673"/>
        <v xml:space="preserve">N711JA  </v>
      </c>
      <c r="BC3651">
        <v>1</v>
      </c>
      <c r="BE3651">
        <v>0</v>
      </c>
      <c r="BF3651">
        <v>0</v>
      </c>
      <c r="BG3651">
        <v>0</v>
      </c>
      <c r="BH3651">
        <v>2450</v>
      </c>
      <c r="BI3651">
        <v>1</v>
      </c>
      <c r="BJ3651">
        <v>1</v>
      </c>
      <c r="BK3651">
        <v>0</v>
      </c>
      <c r="BL3651">
        <v>0</v>
      </c>
      <c r="BO3651">
        <v>0</v>
      </c>
      <c r="BP3651">
        <v>0</v>
      </c>
      <c r="BW3651" t="str">
        <f t="shared" si="1690"/>
        <v>14:47:52.170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6</v>
      </c>
      <c r="CP3651" t="s">
        <v>119</v>
      </c>
      <c r="CQ3651">
        <v>56</v>
      </c>
      <c r="CR3651">
        <v>2</v>
      </c>
      <c r="CW3651">
        <v>5042410</v>
      </c>
      <c r="CY3651">
        <v>1</v>
      </c>
      <c r="CZ3651">
        <v>0</v>
      </c>
      <c r="DA3651">
        <v>1</v>
      </c>
      <c r="DB3651">
        <v>0</v>
      </c>
      <c r="DC3651">
        <v>0</v>
      </c>
      <c r="DD3651">
        <v>1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3">
      <c r="A3652" t="str">
        <f t="shared" si="1687"/>
        <v>05/12/2020 14:47:34.334</v>
      </c>
      <c r="C3652" t="str">
        <f t="shared" si="1672"/>
        <v>FFDFD3C0</v>
      </c>
      <c r="D3652" t="s">
        <v>138</v>
      </c>
      <c r="E3652">
        <v>3</v>
      </c>
      <c r="H3652">
        <v>9</v>
      </c>
      <c r="I3652" t="s">
        <v>140</v>
      </c>
      <c r="J3652" t="s">
        <v>136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 t="shared" si="1688"/>
        <v>14:47:52.164</v>
      </c>
      <c r="T3652" t="str">
        <f t="shared" si="1689"/>
        <v>14:47:52.064</v>
      </c>
      <c r="U3652" t="str">
        <f t="shared" si="1691"/>
        <v>A9808D</v>
      </c>
      <c r="V3652">
        <v>0</v>
      </c>
      <c r="W3652">
        <v>0</v>
      </c>
      <c r="X3652">
        <v>1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0</v>
      </c>
      <c r="AI3652" t="s">
        <v>852</v>
      </c>
      <c r="AJ3652">
        <v>28.269131000000002</v>
      </c>
      <c r="AK3652" t="s">
        <v>853</v>
      </c>
      <c r="AL3652">
        <v>-82.264809999999997</v>
      </c>
      <c r="AM3652">
        <v>100</v>
      </c>
      <c r="AN3652">
        <v>2400</v>
      </c>
      <c r="AO3652" t="s">
        <v>118</v>
      </c>
      <c r="AP3652">
        <v>-82</v>
      </c>
      <c r="AQ3652">
        <v>102</v>
      </c>
      <c r="AR3652">
        <v>-512</v>
      </c>
      <c r="AZ3652">
        <v>1200</v>
      </c>
      <c r="BA3652">
        <v>1</v>
      </c>
      <c r="BB3652" t="str">
        <f t="shared" si="1673"/>
        <v xml:space="preserve">N711JA  </v>
      </c>
      <c r="BC3652">
        <v>1</v>
      </c>
      <c r="BE3652">
        <v>0</v>
      </c>
      <c r="BF3652">
        <v>0</v>
      </c>
      <c r="BG3652">
        <v>0</v>
      </c>
      <c r="BH3652">
        <v>2450</v>
      </c>
      <c r="BI3652">
        <v>1</v>
      </c>
      <c r="BJ3652">
        <v>1</v>
      </c>
      <c r="BK3652">
        <v>0</v>
      </c>
      <c r="BL3652">
        <v>0</v>
      </c>
      <c r="BO3652">
        <v>0</v>
      </c>
      <c r="BP3652">
        <v>0</v>
      </c>
      <c r="BW3652" t="str">
        <f t="shared" si="1690"/>
        <v>14:47:52.170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6</v>
      </c>
      <c r="CP3652" t="s">
        <v>119</v>
      </c>
      <c r="CQ3652">
        <v>56</v>
      </c>
      <c r="CR3652">
        <v>2</v>
      </c>
      <c r="CW3652">
        <v>5042410</v>
      </c>
      <c r="CY3652">
        <v>1</v>
      </c>
      <c r="CZ3652">
        <v>0</v>
      </c>
      <c r="DA3652">
        <v>1</v>
      </c>
      <c r="DB3652">
        <v>0</v>
      </c>
      <c r="DC3652">
        <v>0</v>
      </c>
      <c r="DD3652">
        <v>1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3">
      <c r="A3653" t="str">
        <f t="shared" si="1687"/>
        <v>05/12/2020 14:47:34.334</v>
      </c>
      <c r="C3653" t="str">
        <f t="shared" si="1672"/>
        <v>FFDFD3C0</v>
      </c>
      <c r="D3653" t="s">
        <v>126</v>
      </c>
      <c r="E3653">
        <v>6</v>
      </c>
      <c r="F3653">
        <v>1006</v>
      </c>
      <c r="G3653" t="s">
        <v>114</v>
      </c>
      <c r="J3653" t="s">
        <v>128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 t="shared" si="1688"/>
        <v>14:47:52.164</v>
      </c>
      <c r="T3653" t="str">
        <f t="shared" si="1689"/>
        <v>14:47:52.064</v>
      </c>
      <c r="U3653" t="str">
        <f t="shared" si="1691"/>
        <v>A9808D</v>
      </c>
      <c r="V3653">
        <v>0</v>
      </c>
      <c r="W3653">
        <v>0</v>
      </c>
      <c r="X3653">
        <v>1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3</v>
      </c>
      <c r="AG3653">
        <v>2</v>
      </c>
      <c r="AH3653">
        <v>0</v>
      </c>
      <c r="AI3653" t="s">
        <v>852</v>
      </c>
      <c r="AJ3653">
        <v>28.269131000000002</v>
      </c>
      <c r="AK3653" t="s">
        <v>853</v>
      </c>
      <c r="AL3653">
        <v>-82.264809999999997</v>
      </c>
      <c r="AM3653">
        <v>100</v>
      </c>
      <c r="AN3653">
        <v>2400</v>
      </c>
      <c r="AO3653" t="s">
        <v>118</v>
      </c>
      <c r="AP3653">
        <v>-82</v>
      </c>
      <c r="AQ3653">
        <v>102</v>
      </c>
      <c r="AR3653">
        <v>-512</v>
      </c>
      <c r="AZ3653">
        <v>1200</v>
      </c>
      <c r="BA3653">
        <v>1</v>
      </c>
      <c r="BB3653" t="str">
        <f t="shared" si="1673"/>
        <v xml:space="preserve">N711JA  </v>
      </c>
      <c r="BC3653">
        <v>1</v>
      </c>
      <c r="BE3653">
        <v>0</v>
      </c>
      <c r="BF3653">
        <v>0</v>
      </c>
      <c r="BG3653">
        <v>0</v>
      </c>
      <c r="BH3653">
        <v>2450</v>
      </c>
      <c r="BI3653">
        <v>1</v>
      </c>
      <c r="BJ3653">
        <v>1</v>
      </c>
      <c r="BK3653">
        <v>0</v>
      </c>
      <c r="BL3653">
        <v>0</v>
      </c>
      <c r="BO3653">
        <v>0</v>
      </c>
      <c r="BP3653">
        <v>0</v>
      </c>
      <c r="BW3653" t="str">
        <f t="shared" si="1690"/>
        <v>14:47:52.170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6</v>
      </c>
      <c r="CP3653" t="s">
        <v>119</v>
      </c>
      <c r="CQ3653">
        <v>56</v>
      </c>
      <c r="CR3653">
        <v>2</v>
      </c>
      <c r="CW3653">
        <v>5042410</v>
      </c>
      <c r="CY3653">
        <v>1</v>
      </c>
      <c r="CZ3653">
        <v>0</v>
      </c>
      <c r="DA3653">
        <v>1</v>
      </c>
      <c r="DB3653">
        <v>0</v>
      </c>
      <c r="DC3653">
        <v>0</v>
      </c>
      <c r="DD3653">
        <v>1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3">
      <c r="A3654" t="str">
        <f t="shared" si="1687"/>
        <v>05/12/2020 14:47:34.334</v>
      </c>
      <c r="C3654" t="str">
        <f t="shared" si="1672"/>
        <v>FFDFD3C0</v>
      </c>
      <c r="D3654" t="s">
        <v>126</v>
      </c>
      <c r="E3654">
        <v>7</v>
      </c>
      <c r="F3654">
        <v>1007</v>
      </c>
      <c r="G3654" t="s">
        <v>127</v>
      </c>
      <c r="J3654" t="s">
        <v>128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 t="shared" si="1688"/>
        <v>14:47:52.164</v>
      </c>
      <c r="T3654" t="str">
        <f t="shared" si="1689"/>
        <v>14:47:52.064</v>
      </c>
      <c r="U3654" t="str">
        <f t="shared" si="1691"/>
        <v>A9808D</v>
      </c>
      <c r="V3654">
        <v>0</v>
      </c>
      <c r="W3654">
        <v>0</v>
      </c>
      <c r="X3654">
        <v>1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0</v>
      </c>
      <c r="AI3654" t="s">
        <v>852</v>
      </c>
      <c r="AJ3654">
        <v>28.269131000000002</v>
      </c>
      <c r="AK3654" t="s">
        <v>853</v>
      </c>
      <c r="AL3654">
        <v>-82.264809999999997</v>
      </c>
      <c r="AM3654">
        <v>100</v>
      </c>
      <c r="AN3654">
        <v>2400</v>
      </c>
      <c r="AO3654" t="s">
        <v>118</v>
      </c>
      <c r="AP3654">
        <v>-82</v>
      </c>
      <c r="AQ3654">
        <v>102</v>
      </c>
      <c r="AR3654">
        <v>-512</v>
      </c>
      <c r="AZ3654">
        <v>1200</v>
      </c>
      <c r="BA3654">
        <v>1</v>
      </c>
      <c r="BB3654" t="str">
        <f t="shared" si="1673"/>
        <v xml:space="preserve">N711JA  </v>
      </c>
      <c r="BC3654">
        <v>1</v>
      </c>
      <c r="BE3654">
        <v>0</v>
      </c>
      <c r="BF3654">
        <v>0</v>
      </c>
      <c r="BG3654">
        <v>0</v>
      </c>
      <c r="BH3654">
        <v>2450</v>
      </c>
      <c r="BI3654">
        <v>1</v>
      </c>
      <c r="BJ3654">
        <v>1</v>
      </c>
      <c r="BK3654">
        <v>0</v>
      </c>
      <c r="BL3654">
        <v>0</v>
      </c>
      <c r="BO3654">
        <v>0</v>
      </c>
      <c r="BP3654">
        <v>0</v>
      </c>
      <c r="BW3654" t="str">
        <f t="shared" si="1690"/>
        <v>14:47:52.170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6</v>
      </c>
      <c r="CP3654" t="s">
        <v>119</v>
      </c>
      <c r="CQ3654">
        <v>56</v>
      </c>
      <c r="CR3654">
        <v>2</v>
      </c>
      <c r="CW3654">
        <v>5042410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1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3">
      <c r="A3655" t="str">
        <f t="shared" si="1687"/>
        <v>05/12/2020 14:47:34.334</v>
      </c>
      <c r="C3655" t="str">
        <f t="shared" si="1672"/>
        <v>FFDFD3C0</v>
      </c>
      <c r="D3655" t="s">
        <v>131</v>
      </c>
      <c r="E3655">
        <v>10</v>
      </c>
      <c r="F3655">
        <v>2010</v>
      </c>
      <c r="G3655" t="s">
        <v>132</v>
      </c>
      <c r="J3655" t="s">
        <v>133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si="1688"/>
        <v>14:47:52.164</v>
      </c>
      <c r="T3655" t="str">
        <f t="shared" si="1689"/>
        <v>14:47:52.064</v>
      </c>
      <c r="U3655" t="str">
        <f t="shared" si="1691"/>
        <v>A9808D</v>
      </c>
      <c r="V3655">
        <v>0</v>
      </c>
      <c r="W3655">
        <v>0</v>
      </c>
      <c r="X3655">
        <v>1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0</v>
      </c>
      <c r="AI3655" t="s">
        <v>852</v>
      </c>
      <c r="AJ3655">
        <v>28.269131000000002</v>
      </c>
      <c r="AK3655" t="s">
        <v>853</v>
      </c>
      <c r="AL3655">
        <v>-82.264809999999997</v>
      </c>
      <c r="AM3655">
        <v>100</v>
      </c>
      <c r="AN3655">
        <v>2400</v>
      </c>
      <c r="AO3655" t="s">
        <v>118</v>
      </c>
      <c r="AP3655">
        <v>-82</v>
      </c>
      <c r="AQ3655">
        <v>102</v>
      </c>
      <c r="AR3655">
        <v>-512</v>
      </c>
      <c r="AZ3655">
        <v>1200</v>
      </c>
      <c r="BA3655">
        <v>1</v>
      </c>
      <c r="BB3655" t="str">
        <f t="shared" si="1673"/>
        <v xml:space="preserve">N711JA  </v>
      </c>
      <c r="BC3655">
        <v>1</v>
      </c>
      <c r="BE3655">
        <v>0</v>
      </c>
      <c r="BF3655">
        <v>0</v>
      </c>
      <c r="BG3655">
        <v>0</v>
      </c>
      <c r="BH3655">
        <v>2450</v>
      </c>
      <c r="BI3655">
        <v>1</v>
      </c>
      <c r="BJ3655">
        <v>1</v>
      </c>
      <c r="BK3655">
        <v>0</v>
      </c>
      <c r="BL3655">
        <v>0</v>
      </c>
      <c r="BO3655">
        <v>0</v>
      </c>
      <c r="BP3655">
        <v>0</v>
      </c>
      <c r="BW3655" t="str">
        <f t="shared" si="1690"/>
        <v>14:47:52.170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6</v>
      </c>
      <c r="CP3655" t="s">
        <v>119</v>
      </c>
      <c r="CQ3655">
        <v>56</v>
      </c>
      <c r="CR3655">
        <v>2</v>
      </c>
      <c r="CW3655">
        <v>5042410</v>
      </c>
      <c r="CY3655">
        <v>1</v>
      </c>
      <c r="CZ3655">
        <v>0</v>
      </c>
      <c r="DA3655">
        <v>1</v>
      </c>
      <c r="DB3655">
        <v>0</v>
      </c>
      <c r="DC3655">
        <v>0</v>
      </c>
      <c r="DD3655">
        <v>1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3">
      <c r="A3656" t="str">
        <f t="shared" si="1687"/>
        <v>05/12/2020 14:47:34.334</v>
      </c>
      <c r="C3656" t="str">
        <f t="shared" si="1672"/>
        <v>FFDFD3C0</v>
      </c>
      <c r="D3656" t="s">
        <v>131</v>
      </c>
      <c r="E3656">
        <v>12</v>
      </c>
      <c r="F3656">
        <v>2012</v>
      </c>
      <c r="G3656" t="s">
        <v>137</v>
      </c>
      <c r="J3656" t="s">
        <v>133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1688"/>
        <v>14:47:52.164</v>
      </c>
      <c r="T3656" t="str">
        <f t="shared" si="1689"/>
        <v>14:47:52.064</v>
      </c>
      <c r="U3656" t="str">
        <f t="shared" si="1691"/>
        <v>A9808D</v>
      </c>
      <c r="V3656">
        <v>0</v>
      </c>
      <c r="W3656">
        <v>0</v>
      </c>
      <c r="X3656">
        <v>1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0</v>
      </c>
      <c r="AI3656" t="s">
        <v>852</v>
      </c>
      <c r="AJ3656">
        <v>28.269131000000002</v>
      </c>
      <c r="AK3656" t="s">
        <v>853</v>
      </c>
      <c r="AL3656">
        <v>-82.264809999999997</v>
      </c>
      <c r="AM3656">
        <v>100</v>
      </c>
      <c r="AN3656">
        <v>2400</v>
      </c>
      <c r="AO3656" t="s">
        <v>118</v>
      </c>
      <c r="AP3656">
        <v>-82</v>
      </c>
      <c r="AQ3656">
        <v>102</v>
      </c>
      <c r="AR3656">
        <v>-512</v>
      </c>
      <c r="AZ3656">
        <v>1200</v>
      </c>
      <c r="BA3656">
        <v>1</v>
      </c>
      <c r="BB3656" t="str">
        <f t="shared" si="1673"/>
        <v xml:space="preserve">N711JA  </v>
      </c>
      <c r="BC3656">
        <v>1</v>
      </c>
      <c r="BE3656">
        <v>0</v>
      </c>
      <c r="BF3656">
        <v>0</v>
      </c>
      <c r="BG3656">
        <v>0</v>
      </c>
      <c r="BH3656">
        <v>2450</v>
      </c>
      <c r="BI3656">
        <v>1</v>
      </c>
      <c r="BJ3656">
        <v>1</v>
      </c>
      <c r="BK3656">
        <v>0</v>
      </c>
      <c r="BL3656">
        <v>0</v>
      </c>
      <c r="BO3656">
        <v>0</v>
      </c>
      <c r="BP3656">
        <v>0</v>
      </c>
      <c r="BW3656" t="str">
        <f t="shared" si="1690"/>
        <v>14:47:52.170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6</v>
      </c>
      <c r="CP3656" t="s">
        <v>119</v>
      </c>
      <c r="CQ3656">
        <v>56</v>
      </c>
      <c r="CR3656">
        <v>2</v>
      </c>
      <c r="CW3656">
        <v>5042410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1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3">
      <c r="A3657" t="str">
        <f t="shared" si="1687"/>
        <v>05/12/2020 14:47:34.334</v>
      </c>
      <c r="C3657" t="str">
        <f t="shared" si="1672"/>
        <v>FFDFD3C0</v>
      </c>
      <c r="D3657" t="s">
        <v>134</v>
      </c>
      <c r="E3657">
        <v>12</v>
      </c>
      <c r="H3657">
        <v>64</v>
      </c>
      <c r="I3657" t="s">
        <v>135</v>
      </c>
      <c r="J3657" t="s">
        <v>136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si="1688"/>
        <v>14:47:52.164</v>
      </c>
      <c r="T3657" t="str">
        <f>"14:47:50.964"</f>
        <v>14:47:50.964</v>
      </c>
      <c r="U3657" t="str">
        <f t="shared" si="1691"/>
        <v>A9808D</v>
      </c>
      <c r="V3657">
        <v>0</v>
      </c>
      <c r="W3657">
        <v>0</v>
      </c>
      <c r="X3657">
        <v>1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0</v>
      </c>
      <c r="AI3657" t="s">
        <v>852</v>
      </c>
      <c r="AJ3657">
        <v>28.269131000000002</v>
      </c>
      <c r="AK3657" t="s">
        <v>853</v>
      </c>
      <c r="AL3657">
        <v>-82.264809999999997</v>
      </c>
      <c r="AM3657">
        <v>100</v>
      </c>
      <c r="AN3657">
        <v>2400</v>
      </c>
      <c r="AO3657" t="s">
        <v>118</v>
      </c>
      <c r="AP3657">
        <v>-75</v>
      </c>
      <c r="AQ3657">
        <v>106</v>
      </c>
      <c r="AR3657">
        <v>-384</v>
      </c>
      <c r="AZ3657">
        <v>1200</v>
      </c>
      <c r="BA3657">
        <v>1</v>
      </c>
      <c r="BB3657" t="str">
        <f t="shared" si="1673"/>
        <v xml:space="preserve">N711JA  </v>
      </c>
      <c r="BC3657">
        <v>1</v>
      </c>
      <c r="BE3657">
        <v>0</v>
      </c>
      <c r="BF3657">
        <v>0</v>
      </c>
      <c r="BG3657">
        <v>0</v>
      </c>
      <c r="BH3657">
        <v>2450</v>
      </c>
      <c r="BI3657">
        <v>1</v>
      </c>
      <c r="BJ3657">
        <v>1</v>
      </c>
      <c r="BK3657">
        <v>0</v>
      </c>
      <c r="BL3657">
        <v>0</v>
      </c>
      <c r="BO3657">
        <v>0</v>
      </c>
      <c r="BP3657">
        <v>0</v>
      </c>
      <c r="BW3657" t="str">
        <f t="shared" si="1690"/>
        <v>14:47:52.170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1</v>
      </c>
      <c r="CP3657" t="s">
        <v>119</v>
      </c>
      <c r="CQ3657">
        <v>9</v>
      </c>
      <c r="CR3657">
        <v>0</v>
      </c>
      <c r="CW3657">
        <v>12864335</v>
      </c>
      <c r="CY3657">
        <v>1</v>
      </c>
      <c r="CZ3657">
        <v>0</v>
      </c>
      <c r="DA3657">
        <v>1</v>
      </c>
      <c r="DB3657">
        <v>0</v>
      </c>
      <c r="DC3657">
        <v>0</v>
      </c>
      <c r="DD3657">
        <v>1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3">
      <c r="A3658" t="str">
        <f t="shared" ref="A3658:A3666" si="1692">"05/12/2020 14:47:35.314"</f>
        <v>05/12/2020 14:47:35.314</v>
      </c>
      <c r="C3658" t="str">
        <f t="shared" si="1672"/>
        <v>FFDFD3C0</v>
      </c>
      <c r="D3658" t="s">
        <v>126</v>
      </c>
      <c r="E3658">
        <v>6</v>
      </c>
      <c r="F3658">
        <v>1006</v>
      </c>
      <c r="G3658" t="s">
        <v>114</v>
      </c>
      <c r="J3658" t="s">
        <v>128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ref="S3658:S3666" si="1693">"14:47:53.156"</f>
        <v>14:47:53.156</v>
      </c>
      <c r="T3658" t="str">
        <f t="shared" ref="T3658:T3666" si="1694">"14:47:53.056"</f>
        <v>14:47:53.056</v>
      </c>
      <c r="U3658" t="str">
        <f t="shared" si="1691"/>
        <v>A9808D</v>
      </c>
      <c r="V3658">
        <v>0</v>
      </c>
      <c r="W3658">
        <v>0</v>
      </c>
      <c r="X3658">
        <v>1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3</v>
      </c>
      <c r="AG3658">
        <v>2</v>
      </c>
      <c r="AH3658">
        <v>0</v>
      </c>
      <c r="AI3658" t="s">
        <v>854</v>
      </c>
      <c r="AJ3658">
        <v>28.269582</v>
      </c>
      <c r="AK3658" t="s">
        <v>788</v>
      </c>
      <c r="AL3658">
        <v>-82.265303000000003</v>
      </c>
      <c r="AM3658">
        <v>100</v>
      </c>
      <c r="AN3658">
        <v>2400</v>
      </c>
      <c r="AO3658" t="s">
        <v>118</v>
      </c>
      <c r="AP3658">
        <v>-91</v>
      </c>
      <c r="AQ3658">
        <v>96</v>
      </c>
      <c r="AR3658">
        <v>-768</v>
      </c>
      <c r="AZ3658">
        <v>1200</v>
      </c>
      <c r="BA3658">
        <v>1</v>
      </c>
      <c r="BB3658" t="str">
        <f t="shared" si="1673"/>
        <v xml:space="preserve">N711JA  </v>
      </c>
      <c r="BC3658">
        <v>1</v>
      </c>
      <c r="BE3658">
        <v>0</v>
      </c>
      <c r="BF3658">
        <v>0</v>
      </c>
      <c r="BG3658">
        <v>0</v>
      </c>
      <c r="BH3658">
        <v>2425</v>
      </c>
      <c r="BI3658">
        <v>1</v>
      </c>
      <c r="BJ3658">
        <v>1</v>
      </c>
      <c r="BK3658">
        <v>0</v>
      </c>
      <c r="BL3658">
        <v>0</v>
      </c>
      <c r="BO3658">
        <v>0</v>
      </c>
      <c r="BP3658">
        <v>0</v>
      </c>
      <c r="BW3658" t="str">
        <f t="shared" ref="BW3658:BW3666" si="1695">"14:47:53.160"</f>
        <v>14:47:53.160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6</v>
      </c>
      <c r="CP3658" t="s">
        <v>119</v>
      </c>
      <c r="CQ3658">
        <v>56</v>
      </c>
      <c r="CR3658">
        <v>2</v>
      </c>
      <c r="CW3658">
        <v>5043669</v>
      </c>
      <c r="CY3658">
        <v>1</v>
      </c>
      <c r="CZ3658">
        <v>0</v>
      </c>
      <c r="DA3658">
        <v>0</v>
      </c>
      <c r="DB3658">
        <v>0</v>
      </c>
      <c r="DC3658">
        <v>0</v>
      </c>
      <c r="DD3658">
        <v>1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3">
      <c r="A3659" t="str">
        <f t="shared" si="1692"/>
        <v>05/12/2020 14:47:35.314</v>
      </c>
      <c r="C3659" t="str">
        <f t="shared" si="1672"/>
        <v>FFDFD3C0</v>
      </c>
      <c r="D3659" t="s">
        <v>126</v>
      </c>
      <c r="E3659">
        <v>7</v>
      </c>
      <c r="F3659">
        <v>1007</v>
      </c>
      <c r="G3659" t="s">
        <v>127</v>
      </c>
      <c r="J3659" t="s">
        <v>128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1693"/>
        <v>14:47:53.156</v>
      </c>
      <c r="T3659" t="str">
        <f t="shared" si="1694"/>
        <v>14:47:53.056</v>
      </c>
      <c r="U3659" t="str">
        <f t="shared" si="1691"/>
        <v>A9808D</v>
      </c>
      <c r="V3659">
        <v>0</v>
      </c>
      <c r="W3659">
        <v>0</v>
      </c>
      <c r="X3659">
        <v>1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0</v>
      </c>
      <c r="AI3659" t="s">
        <v>854</v>
      </c>
      <c r="AJ3659">
        <v>28.269582</v>
      </c>
      <c r="AK3659" t="s">
        <v>788</v>
      </c>
      <c r="AL3659">
        <v>-82.265303000000003</v>
      </c>
      <c r="AM3659">
        <v>100</v>
      </c>
      <c r="AN3659">
        <v>2400</v>
      </c>
      <c r="AO3659" t="s">
        <v>118</v>
      </c>
      <c r="AP3659">
        <v>-91</v>
      </c>
      <c r="AQ3659">
        <v>96</v>
      </c>
      <c r="AR3659">
        <v>-768</v>
      </c>
      <c r="AZ3659">
        <v>1200</v>
      </c>
      <c r="BA3659">
        <v>1</v>
      </c>
      <c r="BB3659" t="str">
        <f t="shared" si="1673"/>
        <v xml:space="preserve">N711JA  </v>
      </c>
      <c r="BC3659">
        <v>1</v>
      </c>
      <c r="BE3659">
        <v>0</v>
      </c>
      <c r="BF3659">
        <v>0</v>
      </c>
      <c r="BG3659">
        <v>0</v>
      </c>
      <c r="BH3659">
        <v>2425</v>
      </c>
      <c r="BI3659">
        <v>1</v>
      </c>
      <c r="BJ3659">
        <v>1</v>
      </c>
      <c r="BK3659">
        <v>0</v>
      </c>
      <c r="BL3659">
        <v>0</v>
      </c>
      <c r="BO3659">
        <v>0</v>
      </c>
      <c r="BP3659">
        <v>0</v>
      </c>
      <c r="BW3659" t="str">
        <f t="shared" si="1695"/>
        <v>14:47:53.160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6</v>
      </c>
      <c r="CP3659" t="s">
        <v>119</v>
      </c>
      <c r="CQ3659">
        <v>56</v>
      </c>
      <c r="CR3659">
        <v>2</v>
      </c>
      <c r="CW3659">
        <v>5043669</v>
      </c>
      <c r="CY3659">
        <v>1</v>
      </c>
      <c r="CZ3659">
        <v>0</v>
      </c>
      <c r="DA3659">
        <v>1</v>
      </c>
      <c r="DB3659">
        <v>0</v>
      </c>
      <c r="DC3659">
        <v>0</v>
      </c>
      <c r="DD3659">
        <v>1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3">
      <c r="A3660" t="str">
        <f t="shared" si="1692"/>
        <v>05/12/2020 14:47:35.314</v>
      </c>
      <c r="C3660" t="str">
        <f t="shared" si="1672"/>
        <v>FFDFD3C0</v>
      </c>
      <c r="D3660" t="s">
        <v>131</v>
      </c>
      <c r="E3660">
        <v>12</v>
      </c>
      <c r="F3660">
        <v>2012</v>
      </c>
      <c r="G3660" t="s">
        <v>137</v>
      </c>
      <c r="J3660" t="s">
        <v>133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si="1693"/>
        <v>14:47:53.156</v>
      </c>
      <c r="T3660" t="str">
        <f t="shared" si="1694"/>
        <v>14:47:53.056</v>
      </c>
      <c r="U3660" t="str">
        <f t="shared" si="1691"/>
        <v>A9808D</v>
      </c>
      <c r="V3660">
        <v>0</v>
      </c>
      <c r="W3660">
        <v>0</v>
      </c>
      <c r="X3660">
        <v>1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0</v>
      </c>
      <c r="AI3660" t="s">
        <v>854</v>
      </c>
      <c r="AJ3660">
        <v>28.269582</v>
      </c>
      <c r="AK3660" t="s">
        <v>788</v>
      </c>
      <c r="AL3660">
        <v>-82.265303000000003</v>
      </c>
      <c r="AM3660">
        <v>100</v>
      </c>
      <c r="AN3660">
        <v>2400</v>
      </c>
      <c r="AO3660" t="s">
        <v>118</v>
      </c>
      <c r="AP3660">
        <v>-91</v>
      </c>
      <c r="AQ3660">
        <v>96</v>
      </c>
      <c r="AR3660">
        <v>-768</v>
      </c>
      <c r="AZ3660">
        <v>1200</v>
      </c>
      <c r="BA3660">
        <v>1</v>
      </c>
      <c r="BB3660" t="str">
        <f t="shared" si="1673"/>
        <v xml:space="preserve">N711JA  </v>
      </c>
      <c r="BC3660">
        <v>1</v>
      </c>
      <c r="BE3660">
        <v>0</v>
      </c>
      <c r="BF3660">
        <v>0</v>
      </c>
      <c r="BG3660">
        <v>0</v>
      </c>
      <c r="BH3660">
        <v>2425</v>
      </c>
      <c r="BI3660">
        <v>1</v>
      </c>
      <c r="BJ3660">
        <v>1</v>
      </c>
      <c r="BK3660">
        <v>0</v>
      </c>
      <c r="BL3660">
        <v>0</v>
      </c>
      <c r="BO3660">
        <v>0</v>
      </c>
      <c r="BP3660">
        <v>0</v>
      </c>
      <c r="BW3660" t="str">
        <f t="shared" si="1695"/>
        <v>14:47:53.160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6</v>
      </c>
      <c r="CP3660" t="s">
        <v>119</v>
      </c>
      <c r="CQ3660">
        <v>56</v>
      </c>
      <c r="CR3660">
        <v>2</v>
      </c>
      <c r="CW3660">
        <v>5043669</v>
      </c>
      <c r="CY3660">
        <v>1</v>
      </c>
      <c r="CZ3660">
        <v>0</v>
      </c>
      <c r="DA3660">
        <v>1</v>
      </c>
      <c r="DB3660">
        <v>0</v>
      </c>
      <c r="DC3660">
        <v>0</v>
      </c>
      <c r="DD3660">
        <v>1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3">
      <c r="A3661" t="str">
        <f t="shared" si="1692"/>
        <v>05/12/2020 14:47:35.314</v>
      </c>
      <c r="C3661" t="str">
        <f t="shared" si="1672"/>
        <v>FFDFD3C0</v>
      </c>
      <c r="D3661" t="s">
        <v>131</v>
      </c>
      <c r="E3661">
        <v>10</v>
      </c>
      <c r="F3661">
        <v>2010</v>
      </c>
      <c r="G3661" t="s">
        <v>132</v>
      </c>
      <c r="J3661" t="s">
        <v>133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1693"/>
        <v>14:47:53.156</v>
      </c>
      <c r="T3661" t="str">
        <f t="shared" si="1694"/>
        <v>14:47:53.056</v>
      </c>
      <c r="U3661" t="str">
        <f t="shared" si="1691"/>
        <v>A9808D</v>
      </c>
      <c r="V3661">
        <v>0</v>
      </c>
      <c r="W3661">
        <v>0</v>
      </c>
      <c r="X3661">
        <v>1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0</v>
      </c>
      <c r="AI3661" t="s">
        <v>854</v>
      </c>
      <c r="AJ3661">
        <v>28.269582</v>
      </c>
      <c r="AK3661" t="s">
        <v>788</v>
      </c>
      <c r="AL3661">
        <v>-82.265303000000003</v>
      </c>
      <c r="AM3661">
        <v>100</v>
      </c>
      <c r="AN3661">
        <v>2400</v>
      </c>
      <c r="AO3661" t="s">
        <v>118</v>
      </c>
      <c r="AP3661">
        <v>-91</v>
      </c>
      <c r="AQ3661">
        <v>96</v>
      </c>
      <c r="AR3661">
        <v>-768</v>
      </c>
      <c r="AZ3661">
        <v>1200</v>
      </c>
      <c r="BA3661">
        <v>1</v>
      </c>
      <c r="BB3661" t="str">
        <f t="shared" si="1673"/>
        <v xml:space="preserve">N711JA  </v>
      </c>
      <c r="BC3661">
        <v>1</v>
      </c>
      <c r="BE3661">
        <v>0</v>
      </c>
      <c r="BF3661">
        <v>0</v>
      </c>
      <c r="BG3661">
        <v>0</v>
      </c>
      <c r="BH3661">
        <v>2425</v>
      </c>
      <c r="BI3661">
        <v>1</v>
      </c>
      <c r="BJ3661">
        <v>1</v>
      </c>
      <c r="BK3661">
        <v>0</v>
      </c>
      <c r="BL3661">
        <v>0</v>
      </c>
      <c r="BO3661">
        <v>0</v>
      </c>
      <c r="BP3661">
        <v>0</v>
      </c>
      <c r="BW3661" t="str">
        <f t="shared" si="1695"/>
        <v>14:47:53.160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6</v>
      </c>
      <c r="CP3661" t="s">
        <v>119</v>
      </c>
      <c r="CQ3661">
        <v>56</v>
      </c>
      <c r="CR3661">
        <v>2</v>
      </c>
      <c r="CW3661">
        <v>5043669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1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3">
      <c r="A3662" t="str">
        <f t="shared" si="1692"/>
        <v>05/12/2020 14:47:35.314</v>
      </c>
      <c r="C3662" t="str">
        <f t="shared" si="1672"/>
        <v>FFDFD3C0</v>
      </c>
      <c r="D3662" t="s">
        <v>131</v>
      </c>
      <c r="E3662">
        <v>18</v>
      </c>
      <c r="F3662">
        <v>2018</v>
      </c>
      <c r="G3662" t="s">
        <v>161</v>
      </c>
      <c r="J3662" t="s">
        <v>133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si="1693"/>
        <v>14:47:53.156</v>
      </c>
      <c r="T3662" t="str">
        <f t="shared" si="1694"/>
        <v>14:47:53.056</v>
      </c>
      <c r="U3662" t="str">
        <f t="shared" si="1691"/>
        <v>A9808D</v>
      </c>
      <c r="V3662">
        <v>0</v>
      </c>
      <c r="W3662">
        <v>0</v>
      </c>
      <c r="X3662">
        <v>1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0</v>
      </c>
      <c r="AI3662" t="s">
        <v>854</v>
      </c>
      <c r="AJ3662">
        <v>28.269582</v>
      </c>
      <c r="AK3662" t="s">
        <v>788</v>
      </c>
      <c r="AL3662">
        <v>-82.265303000000003</v>
      </c>
      <c r="AM3662">
        <v>100</v>
      </c>
      <c r="AN3662">
        <v>2400</v>
      </c>
      <c r="AO3662" t="s">
        <v>118</v>
      </c>
      <c r="AP3662">
        <v>-91</v>
      </c>
      <c r="AQ3662">
        <v>96</v>
      </c>
      <c r="AR3662">
        <v>-768</v>
      </c>
      <c r="AZ3662">
        <v>1200</v>
      </c>
      <c r="BA3662">
        <v>1</v>
      </c>
      <c r="BB3662" t="str">
        <f t="shared" si="1673"/>
        <v xml:space="preserve">N711JA  </v>
      </c>
      <c r="BC3662">
        <v>1</v>
      </c>
      <c r="BE3662">
        <v>0</v>
      </c>
      <c r="BF3662">
        <v>0</v>
      </c>
      <c r="BG3662">
        <v>0</v>
      </c>
      <c r="BH3662">
        <v>2425</v>
      </c>
      <c r="BI3662">
        <v>1</v>
      </c>
      <c r="BJ3662">
        <v>1</v>
      </c>
      <c r="BK3662">
        <v>0</v>
      </c>
      <c r="BL3662">
        <v>0</v>
      </c>
      <c r="BO3662">
        <v>0</v>
      </c>
      <c r="BP3662">
        <v>0</v>
      </c>
      <c r="BW3662" t="str">
        <f t="shared" si="1695"/>
        <v>14:47:53.160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6</v>
      </c>
      <c r="CP3662" t="s">
        <v>119</v>
      </c>
      <c r="CQ3662">
        <v>56</v>
      </c>
      <c r="CR3662">
        <v>2</v>
      </c>
      <c r="CW3662">
        <v>5043669</v>
      </c>
      <c r="CY3662">
        <v>1</v>
      </c>
      <c r="CZ3662">
        <v>0</v>
      </c>
      <c r="DA3662">
        <v>1</v>
      </c>
      <c r="DB3662">
        <v>0</v>
      </c>
      <c r="DC3662">
        <v>0</v>
      </c>
      <c r="DD3662">
        <v>1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3">
      <c r="A3663" t="str">
        <f t="shared" si="1692"/>
        <v>05/12/2020 14:47:35.314</v>
      </c>
      <c r="C3663" t="str">
        <f t="shared" si="1672"/>
        <v>FFDFD3C0</v>
      </c>
      <c r="D3663" t="s">
        <v>134</v>
      </c>
      <c r="E3663">
        <v>12</v>
      </c>
      <c r="H3663">
        <v>64</v>
      </c>
      <c r="I3663" t="s">
        <v>135</v>
      </c>
      <c r="J3663" t="s">
        <v>136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1693"/>
        <v>14:47:53.156</v>
      </c>
      <c r="T3663" t="str">
        <f t="shared" si="1694"/>
        <v>14:47:53.056</v>
      </c>
      <c r="U3663" t="str">
        <f t="shared" si="1691"/>
        <v>A9808D</v>
      </c>
      <c r="V3663">
        <v>0</v>
      </c>
      <c r="W3663">
        <v>0</v>
      </c>
      <c r="X3663">
        <v>1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0</v>
      </c>
      <c r="AI3663" t="s">
        <v>854</v>
      </c>
      <c r="AJ3663">
        <v>28.269582</v>
      </c>
      <c r="AK3663" t="s">
        <v>788</v>
      </c>
      <c r="AL3663">
        <v>-82.265303000000003</v>
      </c>
      <c r="AM3663">
        <v>100</v>
      </c>
      <c r="AN3663">
        <v>2400</v>
      </c>
      <c r="AO3663" t="s">
        <v>118</v>
      </c>
      <c r="AP3663">
        <v>-91</v>
      </c>
      <c r="AQ3663">
        <v>96</v>
      </c>
      <c r="AR3663">
        <v>-768</v>
      </c>
      <c r="AZ3663">
        <v>1200</v>
      </c>
      <c r="BA3663">
        <v>1</v>
      </c>
      <c r="BB3663" t="str">
        <f t="shared" si="1673"/>
        <v xml:space="preserve">N711JA  </v>
      </c>
      <c r="BC3663">
        <v>1</v>
      </c>
      <c r="BE3663">
        <v>0</v>
      </c>
      <c r="BF3663">
        <v>0</v>
      </c>
      <c r="BG3663">
        <v>0</v>
      </c>
      <c r="BH3663">
        <v>2425</v>
      </c>
      <c r="BI3663">
        <v>1</v>
      </c>
      <c r="BJ3663">
        <v>1</v>
      </c>
      <c r="BK3663">
        <v>0</v>
      </c>
      <c r="BL3663">
        <v>0</v>
      </c>
      <c r="BO3663">
        <v>0</v>
      </c>
      <c r="BP3663">
        <v>0</v>
      </c>
      <c r="BW3663" t="str">
        <f t="shared" si="1695"/>
        <v>14:47:53.160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2</v>
      </c>
      <c r="CP3663" t="s">
        <v>119</v>
      </c>
      <c r="CQ3663">
        <v>358</v>
      </c>
      <c r="CR3663">
        <v>0</v>
      </c>
      <c r="CW3663">
        <v>5017985</v>
      </c>
      <c r="CY3663">
        <v>1</v>
      </c>
      <c r="CZ3663">
        <v>0</v>
      </c>
      <c r="DA3663">
        <v>1</v>
      </c>
      <c r="DB3663">
        <v>0</v>
      </c>
      <c r="DC3663">
        <v>0</v>
      </c>
      <c r="DD3663">
        <v>1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3">
      <c r="A3664" t="str">
        <f t="shared" si="1692"/>
        <v>05/12/2020 14:47:35.314</v>
      </c>
      <c r="C3664" t="str">
        <f t="shared" si="1672"/>
        <v>FFDFD3C0</v>
      </c>
      <c r="D3664" t="s">
        <v>138</v>
      </c>
      <c r="E3664">
        <v>2</v>
      </c>
      <c r="H3664">
        <v>8</v>
      </c>
      <c r="I3664" t="s">
        <v>139</v>
      </c>
      <c r="J3664" t="s">
        <v>136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 t="shared" si="1693"/>
        <v>14:47:53.156</v>
      </c>
      <c r="T3664" t="str">
        <f t="shared" si="1694"/>
        <v>14:47:53.056</v>
      </c>
      <c r="U3664" t="str">
        <f t="shared" si="1691"/>
        <v>A9808D</v>
      </c>
      <c r="V3664">
        <v>0</v>
      </c>
      <c r="W3664">
        <v>0</v>
      </c>
      <c r="X3664">
        <v>1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3</v>
      </c>
      <c r="AG3664">
        <v>2</v>
      </c>
      <c r="AH3664">
        <v>0</v>
      </c>
      <c r="AI3664" t="s">
        <v>854</v>
      </c>
      <c r="AJ3664">
        <v>28.269582</v>
      </c>
      <c r="AK3664" t="s">
        <v>788</v>
      </c>
      <c r="AL3664">
        <v>-82.265303000000003</v>
      </c>
      <c r="AM3664">
        <v>100</v>
      </c>
      <c r="AN3664">
        <v>2400</v>
      </c>
      <c r="AO3664" t="s">
        <v>118</v>
      </c>
      <c r="AP3664">
        <v>-91</v>
      </c>
      <c r="AQ3664">
        <v>96</v>
      </c>
      <c r="AR3664">
        <v>-768</v>
      </c>
      <c r="AZ3664">
        <v>1200</v>
      </c>
      <c r="BA3664">
        <v>1</v>
      </c>
      <c r="BB3664" t="str">
        <f t="shared" si="1673"/>
        <v xml:space="preserve">N711JA  </v>
      </c>
      <c r="BC3664">
        <v>1</v>
      </c>
      <c r="BE3664">
        <v>0</v>
      </c>
      <c r="BF3664">
        <v>0</v>
      </c>
      <c r="BG3664">
        <v>0</v>
      </c>
      <c r="BH3664">
        <v>2425</v>
      </c>
      <c r="BI3664">
        <v>1</v>
      </c>
      <c r="BJ3664">
        <v>1</v>
      </c>
      <c r="BK3664">
        <v>0</v>
      </c>
      <c r="BL3664">
        <v>0</v>
      </c>
      <c r="BO3664">
        <v>0</v>
      </c>
      <c r="BP3664">
        <v>0</v>
      </c>
      <c r="BW3664" t="str">
        <f t="shared" si="1695"/>
        <v>14:47:53.160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6</v>
      </c>
      <c r="CP3664" t="s">
        <v>119</v>
      </c>
      <c r="CQ3664">
        <v>56</v>
      </c>
      <c r="CR3664">
        <v>2</v>
      </c>
      <c r="CW3664">
        <v>5043669</v>
      </c>
      <c r="CY3664">
        <v>1</v>
      </c>
      <c r="CZ3664">
        <v>0</v>
      </c>
      <c r="DA3664">
        <v>1</v>
      </c>
      <c r="DB3664">
        <v>0</v>
      </c>
      <c r="DC3664">
        <v>0</v>
      </c>
      <c r="DD3664">
        <v>1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3">
      <c r="A3665" t="str">
        <f t="shared" si="1692"/>
        <v>05/12/2020 14:47:35.314</v>
      </c>
      <c r="C3665" t="str">
        <f t="shared" si="1672"/>
        <v>FFDFD3C0</v>
      </c>
      <c r="D3665" t="s">
        <v>113</v>
      </c>
      <c r="E3665">
        <v>3</v>
      </c>
      <c r="H3665">
        <v>164</v>
      </c>
      <c r="I3665" t="s">
        <v>114</v>
      </c>
      <c r="J3665" t="s">
        <v>115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si="1693"/>
        <v>14:47:53.156</v>
      </c>
      <c r="T3665" t="str">
        <f t="shared" si="1694"/>
        <v>14:47:53.056</v>
      </c>
      <c r="U3665" t="str">
        <f t="shared" si="1691"/>
        <v>A9808D</v>
      </c>
      <c r="V3665">
        <v>0</v>
      </c>
      <c r="W3665">
        <v>0</v>
      </c>
      <c r="X3665">
        <v>1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0</v>
      </c>
      <c r="AI3665" t="s">
        <v>854</v>
      </c>
      <c r="AJ3665">
        <v>28.269582</v>
      </c>
      <c r="AK3665" t="s">
        <v>788</v>
      </c>
      <c r="AL3665">
        <v>-82.265303000000003</v>
      </c>
      <c r="AM3665">
        <v>100</v>
      </c>
      <c r="AN3665">
        <v>2400</v>
      </c>
      <c r="AO3665" t="s">
        <v>118</v>
      </c>
      <c r="AP3665">
        <v>-91</v>
      </c>
      <c r="AQ3665">
        <v>96</v>
      </c>
      <c r="AR3665">
        <v>-768</v>
      </c>
      <c r="AZ3665">
        <v>1200</v>
      </c>
      <c r="BA3665">
        <v>1</v>
      </c>
      <c r="BB3665" t="str">
        <f t="shared" si="1673"/>
        <v xml:space="preserve">N711JA  </v>
      </c>
      <c r="BC3665">
        <v>1</v>
      </c>
      <c r="BE3665">
        <v>0</v>
      </c>
      <c r="BF3665">
        <v>0</v>
      </c>
      <c r="BG3665">
        <v>0</v>
      </c>
      <c r="BH3665">
        <v>2425</v>
      </c>
      <c r="BI3665">
        <v>1</v>
      </c>
      <c r="BJ3665">
        <v>1</v>
      </c>
      <c r="BK3665">
        <v>0</v>
      </c>
      <c r="BL3665">
        <v>0</v>
      </c>
      <c r="BO3665">
        <v>0</v>
      </c>
      <c r="BP3665">
        <v>0</v>
      </c>
      <c r="BW3665" t="str">
        <f t="shared" si="1695"/>
        <v>14:47:53.160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6</v>
      </c>
      <c r="CP3665" t="s">
        <v>119</v>
      </c>
      <c r="CQ3665">
        <v>56</v>
      </c>
      <c r="CR3665">
        <v>2</v>
      </c>
      <c r="CW3665">
        <v>5043669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1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3">
      <c r="A3666" t="str">
        <f t="shared" si="1692"/>
        <v>05/12/2020 14:47:35.314</v>
      </c>
      <c r="C3666" t="str">
        <f t="shared" si="1672"/>
        <v>FFDFD3C0</v>
      </c>
      <c r="D3666" t="s">
        <v>138</v>
      </c>
      <c r="E3666">
        <v>3</v>
      </c>
      <c r="H3666">
        <v>9</v>
      </c>
      <c r="I3666" t="s">
        <v>140</v>
      </c>
      <c r="J3666" t="s">
        <v>136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si="1693"/>
        <v>14:47:53.156</v>
      </c>
      <c r="T3666" t="str">
        <f t="shared" si="1694"/>
        <v>14:47:53.056</v>
      </c>
      <c r="U3666" t="str">
        <f t="shared" si="1691"/>
        <v>A9808D</v>
      </c>
      <c r="V3666">
        <v>0</v>
      </c>
      <c r="W3666">
        <v>0</v>
      </c>
      <c r="X3666">
        <v>1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0</v>
      </c>
      <c r="AI3666" t="s">
        <v>854</v>
      </c>
      <c r="AJ3666">
        <v>28.269582</v>
      </c>
      <c r="AK3666" t="s">
        <v>788</v>
      </c>
      <c r="AL3666">
        <v>-82.265303000000003</v>
      </c>
      <c r="AM3666">
        <v>100</v>
      </c>
      <c r="AN3666">
        <v>2400</v>
      </c>
      <c r="AO3666" t="s">
        <v>118</v>
      </c>
      <c r="AP3666">
        <v>-91</v>
      </c>
      <c r="AQ3666">
        <v>96</v>
      </c>
      <c r="AR3666">
        <v>-768</v>
      </c>
      <c r="AZ3666">
        <v>1200</v>
      </c>
      <c r="BA3666">
        <v>1</v>
      </c>
      <c r="BB3666" t="str">
        <f t="shared" si="1673"/>
        <v xml:space="preserve">N711JA  </v>
      </c>
      <c r="BC3666">
        <v>1</v>
      </c>
      <c r="BE3666">
        <v>0</v>
      </c>
      <c r="BF3666">
        <v>0</v>
      </c>
      <c r="BG3666">
        <v>0</v>
      </c>
      <c r="BH3666">
        <v>2425</v>
      </c>
      <c r="BI3666">
        <v>1</v>
      </c>
      <c r="BJ3666">
        <v>1</v>
      </c>
      <c r="BK3666">
        <v>0</v>
      </c>
      <c r="BL3666">
        <v>0</v>
      </c>
      <c r="BO3666">
        <v>0</v>
      </c>
      <c r="BP3666">
        <v>0</v>
      </c>
      <c r="BW3666" t="str">
        <f t="shared" si="1695"/>
        <v>14:47:53.160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6</v>
      </c>
      <c r="CP3666" t="s">
        <v>119</v>
      </c>
      <c r="CQ3666">
        <v>56</v>
      </c>
      <c r="CR3666">
        <v>2</v>
      </c>
      <c r="CW3666">
        <v>5043669</v>
      </c>
      <c r="CY3666">
        <v>1</v>
      </c>
      <c r="CZ3666">
        <v>0</v>
      </c>
      <c r="DA3666">
        <v>1</v>
      </c>
      <c r="DB3666">
        <v>0</v>
      </c>
      <c r="DC3666">
        <v>0</v>
      </c>
      <c r="DD3666">
        <v>1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3">
      <c r="A3667" t="str">
        <f t="shared" ref="A3667:A3675" si="1696">"05/12/2020 14:47:36.392"</f>
        <v>05/12/2020 14:47:36.392</v>
      </c>
      <c r="C3667" t="str">
        <f t="shared" si="1672"/>
        <v>FFDFD3C0</v>
      </c>
      <c r="D3667" t="s">
        <v>131</v>
      </c>
      <c r="E3667">
        <v>12</v>
      </c>
      <c r="F3667">
        <v>2012</v>
      </c>
      <c r="G3667" t="s">
        <v>137</v>
      </c>
      <c r="J3667" t="s">
        <v>133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ref="S3667:S3675" si="1697">"14:47:54.234"</f>
        <v>14:47:54.234</v>
      </c>
      <c r="T3667" t="str">
        <f t="shared" ref="T3667:T3675" si="1698">"14:47:54.034"</f>
        <v>14:47:54.034</v>
      </c>
      <c r="U3667" t="str">
        <f t="shared" si="1691"/>
        <v>A9808D</v>
      </c>
      <c r="V3667">
        <v>0</v>
      </c>
      <c r="W3667">
        <v>0</v>
      </c>
      <c r="X3667">
        <v>1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0</v>
      </c>
      <c r="AI3667" t="s">
        <v>855</v>
      </c>
      <c r="AJ3667">
        <v>28.270011</v>
      </c>
      <c r="AK3667" t="s">
        <v>856</v>
      </c>
      <c r="AL3667">
        <v>-82.265882000000005</v>
      </c>
      <c r="AM3667">
        <v>100</v>
      </c>
      <c r="AN3667">
        <v>2400</v>
      </c>
      <c r="AO3667" t="s">
        <v>118</v>
      </c>
      <c r="AP3667">
        <v>-98</v>
      </c>
      <c r="AQ3667">
        <v>90</v>
      </c>
      <c r="AR3667">
        <v>-896</v>
      </c>
      <c r="AZ3667">
        <v>1200</v>
      </c>
      <c r="BA3667">
        <v>1</v>
      </c>
      <c r="BB3667" t="str">
        <f t="shared" si="1673"/>
        <v xml:space="preserve">N711JA  </v>
      </c>
      <c r="BC3667">
        <v>1</v>
      </c>
      <c r="BE3667">
        <v>0</v>
      </c>
      <c r="BF3667">
        <v>0</v>
      </c>
      <c r="BG3667">
        <v>0</v>
      </c>
      <c r="BH3667">
        <v>2425</v>
      </c>
      <c r="BI3667">
        <v>1</v>
      </c>
      <c r="BJ3667">
        <v>1</v>
      </c>
      <c r="BK3667">
        <v>0</v>
      </c>
      <c r="BL3667">
        <v>0</v>
      </c>
      <c r="BO3667">
        <v>0</v>
      </c>
      <c r="BP3667">
        <v>0</v>
      </c>
      <c r="BW3667" t="str">
        <f t="shared" ref="BW3667:BW3675" si="1699">"14:47:54.236"</f>
        <v>14:47:54.236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6</v>
      </c>
      <c r="CP3667" t="s">
        <v>119</v>
      </c>
      <c r="CQ3667">
        <v>56</v>
      </c>
      <c r="CR3667">
        <v>2</v>
      </c>
      <c r="CW3667">
        <v>5045048</v>
      </c>
      <c r="CY3667">
        <v>0</v>
      </c>
      <c r="CZ3667">
        <v>0</v>
      </c>
      <c r="DA3667">
        <v>0</v>
      </c>
      <c r="DB3667">
        <v>0</v>
      </c>
      <c r="DC3667">
        <v>0</v>
      </c>
      <c r="DD3667">
        <v>1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3">
      <c r="A3668" t="str">
        <f t="shared" si="1696"/>
        <v>05/12/2020 14:47:36.392</v>
      </c>
      <c r="C3668" t="str">
        <f t="shared" si="1672"/>
        <v>FFDFD3C0</v>
      </c>
      <c r="D3668" t="s">
        <v>126</v>
      </c>
      <c r="E3668">
        <v>7</v>
      </c>
      <c r="F3668">
        <v>1007</v>
      </c>
      <c r="G3668" t="s">
        <v>127</v>
      </c>
      <c r="J3668" t="s">
        <v>128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1697"/>
        <v>14:47:54.234</v>
      </c>
      <c r="T3668" t="str">
        <f t="shared" si="1698"/>
        <v>14:47:54.034</v>
      </c>
      <c r="U3668" t="str">
        <f t="shared" si="1691"/>
        <v>A9808D</v>
      </c>
      <c r="V3668">
        <v>0</v>
      </c>
      <c r="W3668">
        <v>0</v>
      </c>
      <c r="X3668">
        <v>1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0</v>
      </c>
      <c r="AI3668" t="s">
        <v>855</v>
      </c>
      <c r="AJ3668">
        <v>28.270011</v>
      </c>
      <c r="AK3668" t="s">
        <v>856</v>
      </c>
      <c r="AL3668">
        <v>-82.265882000000005</v>
      </c>
      <c r="AM3668">
        <v>100</v>
      </c>
      <c r="AN3668">
        <v>2400</v>
      </c>
      <c r="AO3668" t="s">
        <v>118</v>
      </c>
      <c r="AP3668">
        <v>-98</v>
      </c>
      <c r="AQ3668">
        <v>90</v>
      </c>
      <c r="AR3668">
        <v>-896</v>
      </c>
      <c r="AZ3668">
        <v>1200</v>
      </c>
      <c r="BA3668">
        <v>1</v>
      </c>
      <c r="BB3668" t="str">
        <f t="shared" si="1673"/>
        <v xml:space="preserve">N711JA  </v>
      </c>
      <c r="BC3668">
        <v>1</v>
      </c>
      <c r="BE3668">
        <v>0</v>
      </c>
      <c r="BF3668">
        <v>0</v>
      </c>
      <c r="BG3668">
        <v>0</v>
      </c>
      <c r="BH3668">
        <v>2425</v>
      </c>
      <c r="BI3668">
        <v>1</v>
      </c>
      <c r="BJ3668">
        <v>1</v>
      </c>
      <c r="BK3668">
        <v>0</v>
      </c>
      <c r="BL3668">
        <v>0</v>
      </c>
      <c r="BO3668">
        <v>0</v>
      </c>
      <c r="BP3668">
        <v>0</v>
      </c>
      <c r="BW3668" t="str">
        <f t="shared" si="1699"/>
        <v>14:47:54.236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6</v>
      </c>
      <c r="CP3668" t="s">
        <v>119</v>
      </c>
      <c r="CQ3668">
        <v>56</v>
      </c>
      <c r="CR3668">
        <v>2</v>
      </c>
      <c r="CW3668">
        <v>5045048</v>
      </c>
      <c r="CY3668">
        <v>0</v>
      </c>
      <c r="CZ3668">
        <v>0</v>
      </c>
      <c r="DA3668">
        <v>1</v>
      </c>
      <c r="DB3668">
        <v>0</v>
      </c>
      <c r="DC3668">
        <v>0</v>
      </c>
      <c r="DD3668">
        <v>1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3">
      <c r="A3669" t="str">
        <f t="shared" si="1696"/>
        <v>05/12/2020 14:47:36.392</v>
      </c>
      <c r="C3669" t="str">
        <f t="shared" si="1672"/>
        <v>FFDFD3C0</v>
      </c>
      <c r="D3669" t="s">
        <v>131</v>
      </c>
      <c r="E3669">
        <v>10</v>
      </c>
      <c r="F3669">
        <v>2010</v>
      </c>
      <c r="G3669" t="s">
        <v>132</v>
      </c>
      <c r="J3669" t="s">
        <v>133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si="1697"/>
        <v>14:47:54.234</v>
      </c>
      <c r="T3669" t="str">
        <f t="shared" si="1698"/>
        <v>14:47:54.034</v>
      </c>
      <c r="U3669" t="str">
        <f t="shared" si="1691"/>
        <v>A9808D</v>
      </c>
      <c r="V3669">
        <v>0</v>
      </c>
      <c r="W3669">
        <v>0</v>
      </c>
      <c r="X3669">
        <v>1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0</v>
      </c>
      <c r="AI3669" t="s">
        <v>855</v>
      </c>
      <c r="AJ3669">
        <v>28.270011</v>
      </c>
      <c r="AK3669" t="s">
        <v>856</v>
      </c>
      <c r="AL3669">
        <v>-82.265882000000005</v>
      </c>
      <c r="AM3669">
        <v>100</v>
      </c>
      <c r="AN3669">
        <v>2400</v>
      </c>
      <c r="AO3669" t="s">
        <v>118</v>
      </c>
      <c r="AP3669">
        <v>-98</v>
      </c>
      <c r="AQ3669">
        <v>90</v>
      </c>
      <c r="AR3669">
        <v>-896</v>
      </c>
      <c r="AZ3669">
        <v>1200</v>
      </c>
      <c r="BA3669">
        <v>1</v>
      </c>
      <c r="BB3669" t="str">
        <f t="shared" si="1673"/>
        <v xml:space="preserve">N711JA  </v>
      </c>
      <c r="BC3669">
        <v>1</v>
      </c>
      <c r="BE3669">
        <v>0</v>
      </c>
      <c r="BF3669">
        <v>0</v>
      </c>
      <c r="BG3669">
        <v>0</v>
      </c>
      <c r="BH3669">
        <v>2425</v>
      </c>
      <c r="BI3669">
        <v>1</v>
      </c>
      <c r="BJ3669">
        <v>1</v>
      </c>
      <c r="BK3669">
        <v>0</v>
      </c>
      <c r="BL3669">
        <v>0</v>
      </c>
      <c r="BO3669">
        <v>0</v>
      </c>
      <c r="BP3669">
        <v>0</v>
      </c>
      <c r="BW3669" t="str">
        <f t="shared" si="1699"/>
        <v>14:47:54.236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6</v>
      </c>
      <c r="CP3669" t="s">
        <v>119</v>
      </c>
      <c r="CQ3669">
        <v>56</v>
      </c>
      <c r="CR3669">
        <v>2</v>
      </c>
      <c r="CW3669">
        <v>5045048</v>
      </c>
      <c r="CY3669">
        <v>0</v>
      </c>
      <c r="CZ3669">
        <v>0</v>
      </c>
      <c r="DA3669">
        <v>1</v>
      </c>
      <c r="DB3669">
        <v>0</v>
      </c>
      <c r="DC3669">
        <v>0</v>
      </c>
      <c r="DD3669">
        <v>1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3">
      <c r="A3670" t="str">
        <f t="shared" si="1696"/>
        <v>05/12/2020 14:47:36.392</v>
      </c>
      <c r="C3670" t="str">
        <f t="shared" ref="C3670:C3733" si="1700">"FFDFD3C0"</f>
        <v>FFDFD3C0</v>
      </c>
      <c r="D3670" t="s">
        <v>131</v>
      </c>
      <c r="E3670">
        <v>18</v>
      </c>
      <c r="F3670">
        <v>2018</v>
      </c>
      <c r="G3670" t="s">
        <v>161</v>
      </c>
      <c r="J3670" t="s">
        <v>133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 t="shared" si="1697"/>
        <v>14:47:54.234</v>
      </c>
      <c r="T3670" t="str">
        <f t="shared" si="1698"/>
        <v>14:47:54.034</v>
      </c>
      <c r="U3670" t="str">
        <f t="shared" si="1691"/>
        <v>A9808D</v>
      </c>
      <c r="V3670">
        <v>0</v>
      </c>
      <c r="W3670">
        <v>0</v>
      </c>
      <c r="X3670">
        <v>1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0</v>
      </c>
      <c r="AI3670" t="s">
        <v>855</v>
      </c>
      <c r="AJ3670">
        <v>28.270011</v>
      </c>
      <c r="AK3670" t="s">
        <v>856</v>
      </c>
      <c r="AL3670">
        <v>-82.265882000000005</v>
      </c>
      <c r="AM3670">
        <v>100</v>
      </c>
      <c r="AN3670">
        <v>2400</v>
      </c>
      <c r="AO3670" t="s">
        <v>118</v>
      </c>
      <c r="AP3670">
        <v>-98</v>
      </c>
      <c r="AQ3670">
        <v>90</v>
      </c>
      <c r="AR3670">
        <v>-896</v>
      </c>
      <c r="AZ3670">
        <v>1200</v>
      </c>
      <c r="BA3670">
        <v>1</v>
      </c>
      <c r="BB3670" t="str">
        <f t="shared" ref="BB3670:BB3733" si="1701">"N711JA  "</f>
        <v xml:space="preserve">N711JA  </v>
      </c>
      <c r="BC3670">
        <v>1</v>
      </c>
      <c r="BE3670">
        <v>0</v>
      </c>
      <c r="BF3670">
        <v>0</v>
      </c>
      <c r="BG3670">
        <v>0</v>
      </c>
      <c r="BH3670">
        <v>2425</v>
      </c>
      <c r="BI3670">
        <v>1</v>
      </c>
      <c r="BJ3670">
        <v>1</v>
      </c>
      <c r="BK3670">
        <v>0</v>
      </c>
      <c r="BL3670">
        <v>0</v>
      </c>
      <c r="BO3670">
        <v>0</v>
      </c>
      <c r="BP3670">
        <v>0</v>
      </c>
      <c r="BW3670" t="str">
        <f t="shared" si="1699"/>
        <v>14:47:54.236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6</v>
      </c>
      <c r="CP3670" t="s">
        <v>119</v>
      </c>
      <c r="CQ3670">
        <v>56</v>
      </c>
      <c r="CR3670">
        <v>2</v>
      </c>
      <c r="CW3670">
        <v>5045048</v>
      </c>
      <c r="CY3670">
        <v>0</v>
      </c>
      <c r="CZ3670">
        <v>0</v>
      </c>
      <c r="DA3670">
        <v>1</v>
      </c>
      <c r="DB3670">
        <v>0</v>
      </c>
      <c r="DC3670">
        <v>0</v>
      </c>
      <c r="DD3670">
        <v>1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3">
      <c r="A3671" t="str">
        <f t="shared" si="1696"/>
        <v>05/12/2020 14:47:36.392</v>
      </c>
      <c r="C3671" t="str">
        <f t="shared" si="1700"/>
        <v>FFDFD3C0</v>
      </c>
      <c r="D3671" t="s">
        <v>134</v>
      </c>
      <c r="E3671">
        <v>12</v>
      </c>
      <c r="H3671">
        <v>64</v>
      </c>
      <c r="I3671" t="s">
        <v>135</v>
      </c>
      <c r="J3671" t="s">
        <v>136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 t="shared" si="1697"/>
        <v>14:47:54.234</v>
      </c>
      <c r="T3671" t="str">
        <f t="shared" si="1698"/>
        <v>14:47:54.034</v>
      </c>
      <c r="U3671" t="str">
        <f t="shared" si="1691"/>
        <v>A9808D</v>
      </c>
      <c r="V3671">
        <v>0</v>
      </c>
      <c r="W3671">
        <v>0</v>
      </c>
      <c r="X3671">
        <v>1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3</v>
      </c>
      <c r="AG3671">
        <v>2</v>
      </c>
      <c r="AH3671">
        <v>0</v>
      </c>
      <c r="AI3671" t="s">
        <v>855</v>
      </c>
      <c r="AJ3671">
        <v>28.270011</v>
      </c>
      <c r="AK3671" t="s">
        <v>856</v>
      </c>
      <c r="AL3671">
        <v>-82.265882000000005</v>
      </c>
      <c r="AM3671">
        <v>100</v>
      </c>
      <c r="AN3671">
        <v>2400</v>
      </c>
      <c r="AO3671" t="s">
        <v>118</v>
      </c>
      <c r="AP3671">
        <v>-98</v>
      </c>
      <c r="AQ3671">
        <v>90</v>
      </c>
      <c r="AR3671">
        <v>-896</v>
      </c>
      <c r="AZ3671">
        <v>1200</v>
      </c>
      <c r="BA3671">
        <v>1</v>
      </c>
      <c r="BB3671" t="str">
        <f t="shared" si="1701"/>
        <v xml:space="preserve">N711JA  </v>
      </c>
      <c r="BC3671">
        <v>1</v>
      </c>
      <c r="BE3671">
        <v>0</v>
      </c>
      <c r="BF3671">
        <v>0</v>
      </c>
      <c r="BG3671">
        <v>0</v>
      </c>
      <c r="BH3671">
        <v>2425</v>
      </c>
      <c r="BI3671">
        <v>1</v>
      </c>
      <c r="BJ3671">
        <v>1</v>
      </c>
      <c r="BK3671">
        <v>0</v>
      </c>
      <c r="BL3671">
        <v>0</v>
      </c>
      <c r="BO3671">
        <v>0</v>
      </c>
      <c r="BP3671">
        <v>0</v>
      </c>
      <c r="BW3671" t="str">
        <f t="shared" si="1699"/>
        <v>14:47:54.236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5</v>
      </c>
      <c r="CP3671" t="s">
        <v>119</v>
      </c>
      <c r="CQ3671">
        <v>358</v>
      </c>
      <c r="CR3671">
        <v>0</v>
      </c>
      <c r="CW3671">
        <v>5019387</v>
      </c>
      <c r="CY3671">
        <v>0</v>
      </c>
      <c r="CZ3671">
        <v>0</v>
      </c>
      <c r="DA3671">
        <v>1</v>
      </c>
      <c r="DB3671">
        <v>0</v>
      </c>
      <c r="DC3671">
        <v>0</v>
      </c>
      <c r="DD3671">
        <v>1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3">
      <c r="A3672" t="str">
        <f t="shared" si="1696"/>
        <v>05/12/2020 14:47:36.392</v>
      </c>
      <c r="C3672" t="str">
        <f t="shared" si="1700"/>
        <v>FFDFD3C0</v>
      </c>
      <c r="D3672" t="s">
        <v>138</v>
      </c>
      <c r="E3672">
        <v>2</v>
      </c>
      <c r="H3672">
        <v>8</v>
      </c>
      <c r="I3672" t="s">
        <v>139</v>
      </c>
      <c r="J3672" t="s">
        <v>136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 t="shared" si="1697"/>
        <v>14:47:54.234</v>
      </c>
      <c r="T3672" t="str">
        <f t="shared" si="1698"/>
        <v>14:47:54.034</v>
      </c>
      <c r="U3672" t="str">
        <f t="shared" si="1691"/>
        <v>A9808D</v>
      </c>
      <c r="V3672">
        <v>0</v>
      </c>
      <c r="W3672">
        <v>0</v>
      </c>
      <c r="X3672">
        <v>1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0</v>
      </c>
      <c r="AI3672" t="s">
        <v>855</v>
      </c>
      <c r="AJ3672">
        <v>28.270011</v>
      </c>
      <c r="AK3672" t="s">
        <v>856</v>
      </c>
      <c r="AL3672">
        <v>-82.265882000000005</v>
      </c>
      <c r="AM3672">
        <v>100</v>
      </c>
      <c r="AN3672">
        <v>2400</v>
      </c>
      <c r="AO3672" t="s">
        <v>118</v>
      </c>
      <c r="AP3672">
        <v>-98</v>
      </c>
      <c r="AQ3672">
        <v>90</v>
      </c>
      <c r="AR3672">
        <v>-896</v>
      </c>
      <c r="AZ3672">
        <v>1200</v>
      </c>
      <c r="BA3672">
        <v>1</v>
      </c>
      <c r="BB3672" t="str">
        <f t="shared" si="1701"/>
        <v xml:space="preserve">N711JA  </v>
      </c>
      <c r="BC3672">
        <v>1</v>
      </c>
      <c r="BE3672">
        <v>0</v>
      </c>
      <c r="BF3672">
        <v>0</v>
      </c>
      <c r="BG3672">
        <v>0</v>
      </c>
      <c r="BH3672">
        <v>2425</v>
      </c>
      <c r="BI3672">
        <v>1</v>
      </c>
      <c r="BJ3672">
        <v>1</v>
      </c>
      <c r="BK3672">
        <v>0</v>
      </c>
      <c r="BL3672">
        <v>0</v>
      </c>
      <c r="BO3672">
        <v>0</v>
      </c>
      <c r="BP3672">
        <v>0</v>
      </c>
      <c r="BW3672" t="str">
        <f t="shared" si="1699"/>
        <v>14:47:54.236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6</v>
      </c>
      <c r="CP3672" t="s">
        <v>119</v>
      </c>
      <c r="CQ3672">
        <v>56</v>
      </c>
      <c r="CR3672">
        <v>2</v>
      </c>
      <c r="CW3672">
        <v>5045048</v>
      </c>
      <c r="CY3672">
        <v>0</v>
      </c>
      <c r="CZ3672">
        <v>0</v>
      </c>
      <c r="DA3672">
        <v>1</v>
      </c>
      <c r="DB3672">
        <v>0</v>
      </c>
      <c r="DC3672">
        <v>0</v>
      </c>
      <c r="DD3672">
        <v>1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3">
      <c r="A3673" t="str">
        <f t="shared" si="1696"/>
        <v>05/12/2020 14:47:36.392</v>
      </c>
      <c r="C3673" t="str">
        <f t="shared" si="1700"/>
        <v>FFDFD3C0</v>
      </c>
      <c r="D3673" t="s">
        <v>113</v>
      </c>
      <c r="E3673">
        <v>3</v>
      </c>
      <c r="H3673">
        <v>164</v>
      </c>
      <c r="I3673" t="s">
        <v>114</v>
      </c>
      <c r="J3673" t="s">
        <v>115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 t="shared" si="1697"/>
        <v>14:47:54.234</v>
      </c>
      <c r="T3673" t="str">
        <f t="shared" si="1698"/>
        <v>14:47:54.034</v>
      </c>
      <c r="U3673" t="str">
        <f t="shared" si="1691"/>
        <v>A9808D</v>
      </c>
      <c r="V3673">
        <v>0</v>
      </c>
      <c r="W3673">
        <v>0</v>
      </c>
      <c r="X3673">
        <v>1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0</v>
      </c>
      <c r="AI3673" t="s">
        <v>855</v>
      </c>
      <c r="AJ3673">
        <v>28.270011</v>
      </c>
      <c r="AK3673" t="s">
        <v>856</v>
      </c>
      <c r="AL3673">
        <v>-82.265882000000005</v>
      </c>
      <c r="AM3673">
        <v>100</v>
      </c>
      <c r="AN3673">
        <v>2400</v>
      </c>
      <c r="AO3673" t="s">
        <v>118</v>
      </c>
      <c r="AP3673">
        <v>-98</v>
      </c>
      <c r="AQ3673">
        <v>90</v>
      </c>
      <c r="AR3673">
        <v>-896</v>
      </c>
      <c r="AZ3673">
        <v>1200</v>
      </c>
      <c r="BA3673">
        <v>1</v>
      </c>
      <c r="BB3673" t="str">
        <f t="shared" si="1701"/>
        <v xml:space="preserve">N711JA  </v>
      </c>
      <c r="BC3673">
        <v>1</v>
      </c>
      <c r="BE3673">
        <v>0</v>
      </c>
      <c r="BF3673">
        <v>0</v>
      </c>
      <c r="BG3673">
        <v>0</v>
      </c>
      <c r="BH3673">
        <v>2425</v>
      </c>
      <c r="BI3673">
        <v>1</v>
      </c>
      <c r="BJ3673">
        <v>1</v>
      </c>
      <c r="BK3673">
        <v>0</v>
      </c>
      <c r="BL3673">
        <v>0</v>
      </c>
      <c r="BO3673">
        <v>0</v>
      </c>
      <c r="BP3673">
        <v>0</v>
      </c>
      <c r="BW3673" t="str">
        <f t="shared" si="1699"/>
        <v>14:47:54.236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6</v>
      </c>
      <c r="CP3673" t="s">
        <v>119</v>
      </c>
      <c r="CQ3673">
        <v>56</v>
      </c>
      <c r="CR3673">
        <v>2</v>
      </c>
      <c r="CW3673">
        <v>5045048</v>
      </c>
      <c r="CY3673">
        <v>0</v>
      </c>
      <c r="CZ3673">
        <v>0</v>
      </c>
      <c r="DA3673">
        <v>1</v>
      </c>
      <c r="DB3673">
        <v>0</v>
      </c>
      <c r="DC3673">
        <v>0</v>
      </c>
      <c r="DD3673">
        <v>1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3">
      <c r="A3674" t="str">
        <f t="shared" si="1696"/>
        <v>05/12/2020 14:47:36.392</v>
      </c>
      <c r="C3674" t="str">
        <f t="shared" si="1700"/>
        <v>FFDFD3C0</v>
      </c>
      <c r="D3674" t="s">
        <v>138</v>
      </c>
      <c r="E3674">
        <v>3</v>
      </c>
      <c r="H3674">
        <v>9</v>
      </c>
      <c r="I3674" t="s">
        <v>140</v>
      </c>
      <c r="J3674" t="s">
        <v>136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 t="shared" si="1697"/>
        <v>14:47:54.234</v>
      </c>
      <c r="T3674" t="str">
        <f t="shared" si="1698"/>
        <v>14:47:54.034</v>
      </c>
      <c r="U3674" t="str">
        <f t="shared" si="1691"/>
        <v>A9808D</v>
      </c>
      <c r="V3674">
        <v>0</v>
      </c>
      <c r="W3674">
        <v>0</v>
      </c>
      <c r="X3674">
        <v>1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0</v>
      </c>
      <c r="AI3674" t="s">
        <v>855</v>
      </c>
      <c r="AJ3674">
        <v>28.270011</v>
      </c>
      <c r="AK3674" t="s">
        <v>856</v>
      </c>
      <c r="AL3674">
        <v>-82.265882000000005</v>
      </c>
      <c r="AM3674">
        <v>100</v>
      </c>
      <c r="AN3674">
        <v>2400</v>
      </c>
      <c r="AO3674" t="s">
        <v>118</v>
      </c>
      <c r="AP3674">
        <v>-98</v>
      </c>
      <c r="AQ3674">
        <v>90</v>
      </c>
      <c r="AR3674">
        <v>-896</v>
      </c>
      <c r="AZ3674">
        <v>1200</v>
      </c>
      <c r="BA3674">
        <v>1</v>
      </c>
      <c r="BB3674" t="str">
        <f t="shared" si="1701"/>
        <v xml:space="preserve">N711JA  </v>
      </c>
      <c r="BC3674">
        <v>1</v>
      </c>
      <c r="BE3674">
        <v>0</v>
      </c>
      <c r="BF3674">
        <v>0</v>
      </c>
      <c r="BG3674">
        <v>0</v>
      </c>
      <c r="BH3674">
        <v>2425</v>
      </c>
      <c r="BI3674">
        <v>1</v>
      </c>
      <c r="BJ3674">
        <v>1</v>
      </c>
      <c r="BK3674">
        <v>0</v>
      </c>
      <c r="BL3674">
        <v>0</v>
      </c>
      <c r="BO3674">
        <v>0</v>
      </c>
      <c r="BP3674">
        <v>0</v>
      </c>
      <c r="BW3674" t="str">
        <f t="shared" si="1699"/>
        <v>14:47:54.236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6</v>
      </c>
      <c r="CP3674" t="s">
        <v>119</v>
      </c>
      <c r="CQ3674">
        <v>56</v>
      </c>
      <c r="CR3674">
        <v>2</v>
      </c>
      <c r="CW3674">
        <v>5045048</v>
      </c>
      <c r="CY3674">
        <v>0</v>
      </c>
      <c r="CZ3674">
        <v>0</v>
      </c>
      <c r="DA3674">
        <v>1</v>
      </c>
      <c r="DB3674">
        <v>0</v>
      </c>
      <c r="DC3674">
        <v>0</v>
      </c>
      <c r="DD3674">
        <v>1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3">
      <c r="A3675" t="str">
        <f t="shared" si="1696"/>
        <v>05/12/2020 14:47:36.392</v>
      </c>
      <c r="C3675" t="str">
        <f t="shared" si="1700"/>
        <v>FFDFD3C0</v>
      </c>
      <c r="D3675" t="s">
        <v>126</v>
      </c>
      <c r="E3675">
        <v>6</v>
      </c>
      <c r="F3675">
        <v>1006</v>
      </c>
      <c r="G3675" t="s">
        <v>114</v>
      </c>
      <c r="J3675" t="s">
        <v>128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 t="shared" si="1697"/>
        <v>14:47:54.234</v>
      </c>
      <c r="T3675" t="str">
        <f t="shared" si="1698"/>
        <v>14:47:54.034</v>
      </c>
      <c r="U3675" t="str">
        <f t="shared" si="1691"/>
        <v>A9808D</v>
      </c>
      <c r="V3675">
        <v>0</v>
      </c>
      <c r="W3675">
        <v>0</v>
      </c>
      <c r="X3675">
        <v>1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0</v>
      </c>
      <c r="AI3675" t="s">
        <v>855</v>
      </c>
      <c r="AJ3675">
        <v>28.270011</v>
      </c>
      <c r="AK3675" t="s">
        <v>856</v>
      </c>
      <c r="AL3675">
        <v>-82.265882000000005</v>
      </c>
      <c r="AM3675">
        <v>100</v>
      </c>
      <c r="AN3675">
        <v>2400</v>
      </c>
      <c r="AO3675" t="s">
        <v>118</v>
      </c>
      <c r="AP3675">
        <v>-98</v>
      </c>
      <c r="AQ3675">
        <v>90</v>
      </c>
      <c r="AR3675">
        <v>-896</v>
      </c>
      <c r="AZ3675">
        <v>1200</v>
      </c>
      <c r="BA3675">
        <v>1</v>
      </c>
      <c r="BB3675" t="str">
        <f t="shared" si="1701"/>
        <v xml:space="preserve">N711JA  </v>
      </c>
      <c r="BC3675">
        <v>1</v>
      </c>
      <c r="BE3675">
        <v>0</v>
      </c>
      <c r="BF3675">
        <v>0</v>
      </c>
      <c r="BG3675">
        <v>0</v>
      </c>
      <c r="BH3675">
        <v>2425</v>
      </c>
      <c r="BI3675">
        <v>1</v>
      </c>
      <c r="BJ3675">
        <v>1</v>
      </c>
      <c r="BK3675">
        <v>0</v>
      </c>
      <c r="BL3675">
        <v>0</v>
      </c>
      <c r="BO3675">
        <v>0</v>
      </c>
      <c r="BP3675">
        <v>0</v>
      </c>
      <c r="BW3675" t="str">
        <f t="shared" si="1699"/>
        <v>14:47:54.236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6</v>
      </c>
      <c r="CP3675" t="s">
        <v>119</v>
      </c>
      <c r="CQ3675">
        <v>56</v>
      </c>
      <c r="CR3675">
        <v>2</v>
      </c>
      <c r="CW3675">
        <v>5045048</v>
      </c>
      <c r="CY3675">
        <v>0</v>
      </c>
      <c r="CZ3675">
        <v>0</v>
      </c>
      <c r="DA3675">
        <v>1</v>
      </c>
      <c r="DB3675">
        <v>0</v>
      </c>
      <c r="DC3675">
        <v>0</v>
      </c>
      <c r="DD3675">
        <v>1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3">
      <c r="A3676" t="str">
        <f t="shared" ref="A3676:A3684" si="1702">"05/12/2020 14:47:37.325"</f>
        <v>05/12/2020 14:47:37.325</v>
      </c>
      <c r="C3676" t="str">
        <f t="shared" si="1700"/>
        <v>FFDFD3C0</v>
      </c>
      <c r="D3676" t="s">
        <v>113</v>
      </c>
      <c r="E3676">
        <v>3</v>
      </c>
      <c r="H3676">
        <v>164</v>
      </c>
      <c r="I3676" t="s">
        <v>114</v>
      </c>
      <c r="J3676" t="s">
        <v>115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 t="shared" ref="S3676:S3684" si="1703">"14:47:55.156"</f>
        <v>14:47:55.156</v>
      </c>
      <c r="T3676" t="str">
        <f t="shared" ref="T3676:T3684" si="1704">"14:47:54.956"</f>
        <v>14:47:54.956</v>
      </c>
      <c r="U3676" t="str">
        <f t="shared" si="1691"/>
        <v>A9808D</v>
      </c>
      <c r="V3676">
        <v>0</v>
      </c>
      <c r="W3676">
        <v>0</v>
      </c>
      <c r="X3676">
        <v>1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0</v>
      </c>
      <c r="AI3676" t="s">
        <v>857</v>
      </c>
      <c r="AJ3676">
        <v>28.270333000000001</v>
      </c>
      <c r="AK3676" t="s">
        <v>858</v>
      </c>
      <c r="AL3676">
        <v>-82.266375999999994</v>
      </c>
      <c r="AM3676">
        <v>100</v>
      </c>
      <c r="AN3676">
        <v>2300</v>
      </c>
      <c r="AO3676" t="s">
        <v>118</v>
      </c>
      <c r="AP3676">
        <v>-108</v>
      </c>
      <c r="AQ3676">
        <v>82</v>
      </c>
      <c r="AR3676">
        <v>-1088</v>
      </c>
      <c r="AZ3676">
        <v>1200</v>
      </c>
      <c r="BA3676">
        <v>1</v>
      </c>
      <c r="BB3676" t="str">
        <f t="shared" si="1701"/>
        <v xml:space="preserve">N711JA  </v>
      </c>
      <c r="BC3676">
        <v>1</v>
      </c>
      <c r="BE3676">
        <v>0</v>
      </c>
      <c r="BF3676">
        <v>0</v>
      </c>
      <c r="BG3676">
        <v>0</v>
      </c>
      <c r="BH3676">
        <v>2500</v>
      </c>
      <c r="BI3676">
        <v>1</v>
      </c>
      <c r="BJ3676">
        <v>1</v>
      </c>
      <c r="BK3676">
        <v>0</v>
      </c>
      <c r="BL3676">
        <v>0</v>
      </c>
      <c r="BO3676">
        <v>0</v>
      </c>
      <c r="BP3676">
        <v>0</v>
      </c>
      <c r="BW3676" t="str">
        <f t="shared" ref="BW3676:BW3684" si="1705">"14:47:55.158"</f>
        <v>14:47:55.158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6</v>
      </c>
      <c r="CP3676" t="s">
        <v>119</v>
      </c>
      <c r="CQ3676">
        <v>56</v>
      </c>
      <c r="CR3676">
        <v>2</v>
      </c>
      <c r="CW3676">
        <v>5046185</v>
      </c>
      <c r="CY3676">
        <v>1</v>
      </c>
      <c r="CZ3676">
        <v>0</v>
      </c>
      <c r="DA3676">
        <v>0</v>
      </c>
      <c r="DB3676">
        <v>0</v>
      </c>
      <c r="DC3676">
        <v>0</v>
      </c>
      <c r="DD3676">
        <v>1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3">
      <c r="A3677" t="str">
        <f t="shared" si="1702"/>
        <v>05/12/2020 14:47:37.325</v>
      </c>
      <c r="C3677" t="str">
        <f t="shared" si="1700"/>
        <v>FFDFD3C0</v>
      </c>
      <c r="D3677" t="s">
        <v>134</v>
      </c>
      <c r="E3677">
        <v>12</v>
      </c>
      <c r="H3677">
        <v>64</v>
      </c>
      <c r="I3677" t="s">
        <v>135</v>
      </c>
      <c r="J3677" t="s">
        <v>136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 t="shared" si="1703"/>
        <v>14:47:55.156</v>
      </c>
      <c r="T3677" t="str">
        <f t="shared" si="1704"/>
        <v>14:47:54.956</v>
      </c>
      <c r="U3677" t="str">
        <f t="shared" si="1691"/>
        <v>A9808D</v>
      </c>
      <c r="V3677">
        <v>0</v>
      </c>
      <c r="W3677">
        <v>0</v>
      </c>
      <c r="X3677">
        <v>1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0</v>
      </c>
      <c r="AI3677" t="s">
        <v>857</v>
      </c>
      <c r="AJ3677">
        <v>28.270333000000001</v>
      </c>
      <c r="AK3677" t="s">
        <v>858</v>
      </c>
      <c r="AL3677">
        <v>-82.266375999999994</v>
      </c>
      <c r="AM3677">
        <v>100</v>
      </c>
      <c r="AN3677">
        <v>2300</v>
      </c>
      <c r="AO3677" t="s">
        <v>118</v>
      </c>
      <c r="AP3677">
        <v>-108</v>
      </c>
      <c r="AQ3677">
        <v>82</v>
      </c>
      <c r="AR3677">
        <v>-1088</v>
      </c>
      <c r="AZ3677">
        <v>1200</v>
      </c>
      <c r="BA3677">
        <v>1</v>
      </c>
      <c r="BB3677" t="str">
        <f t="shared" si="1701"/>
        <v xml:space="preserve">N711JA  </v>
      </c>
      <c r="BC3677">
        <v>1</v>
      </c>
      <c r="BE3677">
        <v>0</v>
      </c>
      <c r="BF3677">
        <v>0</v>
      </c>
      <c r="BG3677">
        <v>0</v>
      </c>
      <c r="BH3677">
        <v>2500</v>
      </c>
      <c r="BI3677">
        <v>1</v>
      </c>
      <c r="BJ3677">
        <v>1</v>
      </c>
      <c r="BK3677">
        <v>0</v>
      </c>
      <c r="BL3677">
        <v>0</v>
      </c>
      <c r="BO3677">
        <v>0</v>
      </c>
      <c r="BP3677">
        <v>0</v>
      </c>
      <c r="BW3677" t="str">
        <f t="shared" si="1705"/>
        <v>14:47:55.158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4</v>
      </c>
      <c r="CP3677" t="s">
        <v>119</v>
      </c>
      <c r="CQ3677">
        <v>358</v>
      </c>
      <c r="CR3677">
        <v>0</v>
      </c>
      <c r="CW3677">
        <v>5020481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1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3">
      <c r="A3678" t="str">
        <f t="shared" si="1702"/>
        <v>05/12/2020 14:47:37.325</v>
      </c>
      <c r="C3678" t="str">
        <f t="shared" si="1700"/>
        <v>FFDFD3C0</v>
      </c>
      <c r="D3678" t="s">
        <v>138</v>
      </c>
      <c r="E3678">
        <v>2</v>
      </c>
      <c r="H3678">
        <v>8</v>
      </c>
      <c r="I3678" t="s">
        <v>139</v>
      </c>
      <c r="J3678" t="s">
        <v>136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 t="shared" si="1703"/>
        <v>14:47:55.156</v>
      </c>
      <c r="T3678" t="str">
        <f t="shared" si="1704"/>
        <v>14:47:54.956</v>
      </c>
      <c r="U3678" t="str">
        <f t="shared" si="1691"/>
        <v>A9808D</v>
      </c>
      <c r="V3678">
        <v>0</v>
      </c>
      <c r="W3678">
        <v>0</v>
      </c>
      <c r="X3678">
        <v>1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0</v>
      </c>
      <c r="AI3678" t="s">
        <v>857</v>
      </c>
      <c r="AJ3678">
        <v>28.270333000000001</v>
      </c>
      <c r="AK3678" t="s">
        <v>858</v>
      </c>
      <c r="AL3678">
        <v>-82.266375999999994</v>
      </c>
      <c r="AM3678">
        <v>100</v>
      </c>
      <c r="AN3678">
        <v>2300</v>
      </c>
      <c r="AO3678" t="s">
        <v>118</v>
      </c>
      <c r="AP3678">
        <v>-108</v>
      </c>
      <c r="AQ3678">
        <v>82</v>
      </c>
      <c r="AR3678">
        <v>-1088</v>
      </c>
      <c r="AZ3678">
        <v>1200</v>
      </c>
      <c r="BA3678">
        <v>1</v>
      </c>
      <c r="BB3678" t="str">
        <f t="shared" si="1701"/>
        <v xml:space="preserve">N711JA  </v>
      </c>
      <c r="BC3678">
        <v>1</v>
      </c>
      <c r="BE3678">
        <v>0</v>
      </c>
      <c r="BF3678">
        <v>0</v>
      </c>
      <c r="BG3678">
        <v>0</v>
      </c>
      <c r="BH3678">
        <v>2500</v>
      </c>
      <c r="BI3678">
        <v>1</v>
      </c>
      <c r="BJ3678">
        <v>1</v>
      </c>
      <c r="BK3678">
        <v>0</v>
      </c>
      <c r="BL3678">
        <v>0</v>
      </c>
      <c r="BO3678">
        <v>0</v>
      </c>
      <c r="BP3678">
        <v>0</v>
      </c>
      <c r="BW3678" t="str">
        <f t="shared" si="1705"/>
        <v>14:47:55.158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6</v>
      </c>
      <c r="CP3678" t="s">
        <v>119</v>
      </c>
      <c r="CQ3678">
        <v>56</v>
      </c>
      <c r="CR3678">
        <v>2</v>
      </c>
      <c r="CW3678">
        <v>5046185</v>
      </c>
      <c r="CY3678">
        <v>1</v>
      </c>
      <c r="CZ3678">
        <v>0</v>
      </c>
      <c r="DA3678">
        <v>1</v>
      </c>
      <c r="DB3678">
        <v>0</v>
      </c>
      <c r="DC3678">
        <v>0</v>
      </c>
      <c r="DD3678">
        <v>1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3">
      <c r="A3679" t="str">
        <f t="shared" si="1702"/>
        <v>05/12/2020 14:47:37.325</v>
      </c>
      <c r="C3679" t="str">
        <f t="shared" si="1700"/>
        <v>FFDFD3C0</v>
      </c>
      <c r="D3679" t="s">
        <v>138</v>
      </c>
      <c r="E3679">
        <v>3</v>
      </c>
      <c r="H3679">
        <v>9</v>
      </c>
      <c r="I3679" t="s">
        <v>140</v>
      </c>
      <c r="J3679" t="s">
        <v>136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 t="shared" si="1703"/>
        <v>14:47:55.156</v>
      </c>
      <c r="T3679" t="str">
        <f t="shared" si="1704"/>
        <v>14:47:54.956</v>
      </c>
      <c r="U3679" t="str">
        <f t="shared" si="1691"/>
        <v>A9808D</v>
      </c>
      <c r="V3679">
        <v>0</v>
      </c>
      <c r="W3679">
        <v>0</v>
      </c>
      <c r="X3679">
        <v>1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3</v>
      </c>
      <c r="AG3679">
        <v>2</v>
      </c>
      <c r="AH3679">
        <v>0</v>
      </c>
      <c r="AI3679" t="s">
        <v>857</v>
      </c>
      <c r="AJ3679">
        <v>28.270333000000001</v>
      </c>
      <c r="AK3679" t="s">
        <v>858</v>
      </c>
      <c r="AL3679">
        <v>-82.266375999999994</v>
      </c>
      <c r="AM3679">
        <v>100</v>
      </c>
      <c r="AN3679">
        <v>2300</v>
      </c>
      <c r="AO3679" t="s">
        <v>118</v>
      </c>
      <c r="AP3679">
        <v>-108</v>
      </c>
      <c r="AQ3679">
        <v>82</v>
      </c>
      <c r="AR3679">
        <v>-1088</v>
      </c>
      <c r="AZ3679">
        <v>1200</v>
      </c>
      <c r="BA3679">
        <v>1</v>
      </c>
      <c r="BB3679" t="str">
        <f t="shared" si="1701"/>
        <v xml:space="preserve">N711JA  </v>
      </c>
      <c r="BC3679">
        <v>1</v>
      </c>
      <c r="BE3679">
        <v>0</v>
      </c>
      <c r="BF3679">
        <v>0</v>
      </c>
      <c r="BG3679">
        <v>0</v>
      </c>
      <c r="BH3679">
        <v>2500</v>
      </c>
      <c r="BI3679">
        <v>1</v>
      </c>
      <c r="BJ3679">
        <v>1</v>
      </c>
      <c r="BK3679">
        <v>0</v>
      </c>
      <c r="BL3679">
        <v>0</v>
      </c>
      <c r="BO3679">
        <v>0</v>
      </c>
      <c r="BP3679">
        <v>0</v>
      </c>
      <c r="BW3679" t="str">
        <f t="shared" si="1705"/>
        <v>14:47:55.158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6</v>
      </c>
      <c r="CP3679" t="s">
        <v>119</v>
      </c>
      <c r="CQ3679">
        <v>56</v>
      </c>
      <c r="CR3679">
        <v>2</v>
      </c>
      <c r="CW3679">
        <v>5046185</v>
      </c>
      <c r="CY3679">
        <v>1</v>
      </c>
      <c r="CZ3679">
        <v>0</v>
      </c>
      <c r="DA3679">
        <v>1</v>
      </c>
      <c r="DB3679">
        <v>0</v>
      </c>
      <c r="DC3679">
        <v>0</v>
      </c>
      <c r="DD3679">
        <v>1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3">
      <c r="A3680" t="str">
        <f t="shared" si="1702"/>
        <v>05/12/2020 14:47:37.325</v>
      </c>
      <c r="C3680" t="str">
        <f t="shared" si="1700"/>
        <v>FFDFD3C0</v>
      </c>
      <c r="D3680" t="s">
        <v>126</v>
      </c>
      <c r="E3680">
        <v>6</v>
      </c>
      <c r="F3680">
        <v>1006</v>
      </c>
      <c r="G3680" t="s">
        <v>114</v>
      </c>
      <c r="J3680" t="s">
        <v>128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si="1703"/>
        <v>14:47:55.156</v>
      </c>
      <c r="T3680" t="str">
        <f t="shared" si="1704"/>
        <v>14:47:54.956</v>
      </c>
      <c r="U3680" t="str">
        <f t="shared" si="1691"/>
        <v>A9808D</v>
      </c>
      <c r="V3680">
        <v>0</v>
      </c>
      <c r="W3680">
        <v>0</v>
      </c>
      <c r="X3680">
        <v>1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0</v>
      </c>
      <c r="AI3680" t="s">
        <v>857</v>
      </c>
      <c r="AJ3680">
        <v>28.270333000000001</v>
      </c>
      <c r="AK3680" t="s">
        <v>858</v>
      </c>
      <c r="AL3680">
        <v>-82.266375999999994</v>
      </c>
      <c r="AM3680">
        <v>100</v>
      </c>
      <c r="AN3680">
        <v>2300</v>
      </c>
      <c r="AO3680" t="s">
        <v>118</v>
      </c>
      <c r="AP3680">
        <v>-108</v>
      </c>
      <c r="AQ3680">
        <v>82</v>
      </c>
      <c r="AR3680">
        <v>-1088</v>
      </c>
      <c r="AZ3680">
        <v>1200</v>
      </c>
      <c r="BA3680">
        <v>1</v>
      </c>
      <c r="BB3680" t="str">
        <f t="shared" si="1701"/>
        <v xml:space="preserve">N711JA  </v>
      </c>
      <c r="BC3680">
        <v>1</v>
      </c>
      <c r="BE3680">
        <v>0</v>
      </c>
      <c r="BF3680">
        <v>0</v>
      </c>
      <c r="BG3680">
        <v>0</v>
      </c>
      <c r="BH3680">
        <v>2500</v>
      </c>
      <c r="BI3680">
        <v>1</v>
      </c>
      <c r="BJ3680">
        <v>1</v>
      </c>
      <c r="BK3680">
        <v>0</v>
      </c>
      <c r="BL3680">
        <v>0</v>
      </c>
      <c r="BO3680">
        <v>0</v>
      </c>
      <c r="BP3680">
        <v>0</v>
      </c>
      <c r="BW3680" t="str">
        <f t="shared" si="1705"/>
        <v>14:47:55.158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6</v>
      </c>
      <c r="CP3680" t="s">
        <v>119</v>
      </c>
      <c r="CQ3680">
        <v>56</v>
      </c>
      <c r="CR3680">
        <v>2</v>
      </c>
      <c r="CW3680">
        <v>5046185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1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3">
      <c r="A3681" t="str">
        <f t="shared" si="1702"/>
        <v>05/12/2020 14:47:37.325</v>
      </c>
      <c r="C3681" t="str">
        <f t="shared" si="1700"/>
        <v>FFDFD3C0</v>
      </c>
      <c r="D3681" t="s">
        <v>126</v>
      </c>
      <c r="E3681">
        <v>7</v>
      </c>
      <c r="F3681">
        <v>1007</v>
      </c>
      <c r="G3681" t="s">
        <v>127</v>
      </c>
      <c r="J3681" t="s">
        <v>128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si="1703"/>
        <v>14:47:55.156</v>
      </c>
      <c r="T3681" t="str">
        <f t="shared" si="1704"/>
        <v>14:47:54.956</v>
      </c>
      <c r="U3681" t="str">
        <f t="shared" si="1691"/>
        <v>A9808D</v>
      </c>
      <c r="V3681">
        <v>0</v>
      </c>
      <c r="W3681">
        <v>0</v>
      </c>
      <c r="X3681">
        <v>1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0</v>
      </c>
      <c r="AI3681" t="s">
        <v>857</v>
      </c>
      <c r="AJ3681">
        <v>28.270333000000001</v>
      </c>
      <c r="AK3681" t="s">
        <v>858</v>
      </c>
      <c r="AL3681">
        <v>-82.266375999999994</v>
      </c>
      <c r="AM3681">
        <v>100</v>
      </c>
      <c r="AN3681">
        <v>2300</v>
      </c>
      <c r="AO3681" t="s">
        <v>118</v>
      </c>
      <c r="AP3681">
        <v>-108</v>
      </c>
      <c r="AQ3681">
        <v>82</v>
      </c>
      <c r="AR3681">
        <v>-1088</v>
      </c>
      <c r="AZ3681">
        <v>1200</v>
      </c>
      <c r="BA3681">
        <v>1</v>
      </c>
      <c r="BB3681" t="str">
        <f t="shared" si="1701"/>
        <v xml:space="preserve">N711JA  </v>
      </c>
      <c r="BC3681">
        <v>1</v>
      </c>
      <c r="BE3681">
        <v>0</v>
      </c>
      <c r="BF3681">
        <v>0</v>
      </c>
      <c r="BG3681">
        <v>0</v>
      </c>
      <c r="BH3681">
        <v>2500</v>
      </c>
      <c r="BI3681">
        <v>1</v>
      </c>
      <c r="BJ3681">
        <v>1</v>
      </c>
      <c r="BK3681">
        <v>0</v>
      </c>
      <c r="BL3681">
        <v>0</v>
      </c>
      <c r="BO3681">
        <v>0</v>
      </c>
      <c r="BP3681">
        <v>0</v>
      </c>
      <c r="BW3681" t="str">
        <f t="shared" si="1705"/>
        <v>14:47:55.158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6</v>
      </c>
      <c r="CP3681" t="s">
        <v>119</v>
      </c>
      <c r="CQ3681">
        <v>56</v>
      </c>
      <c r="CR3681">
        <v>2</v>
      </c>
      <c r="CW3681">
        <v>5046185</v>
      </c>
      <c r="CY3681">
        <v>1</v>
      </c>
      <c r="CZ3681">
        <v>0</v>
      </c>
      <c r="DA3681">
        <v>1</v>
      </c>
      <c r="DB3681">
        <v>0</v>
      </c>
      <c r="DC3681">
        <v>0</v>
      </c>
      <c r="DD3681">
        <v>1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3">
      <c r="A3682" t="str">
        <f t="shared" si="1702"/>
        <v>05/12/2020 14:47:37.325</v>
      </c>
      <c r="C3682" t="str">
        <f t="shared" si="1700"/>
        <v>FFDFD3C0</v>
      </c>
      <c r="D3682" t="s">
        <v>131</v>
      </c>
      <c r="E3682">
        <v>10</v>
      </c>
      <c r="F3682">
        <v>2010</v>
      </c>
      <c r="G3682" t="s">
        <v>132</v>
      </c>
      <c r="J3682" t="s">
        <v>133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si="1703"/>
        <v>14:47:55.156</v>
      </c>
      <c r="T3682" t="str">
        <f t="shared" si="1704"/>
        <v>14:47:54.956</v>
      </c>
      <c r="U3682" t="str">
        <f t="shared" si="1691"/>
        <v>A9808D</v>
      </c>
      <c r="V3682">
        <v>0</v>
      </c>
      <c r="W3682">
        <v>0</v>
      </c>
      <c r="X3682">
        <v>1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0</v>
      </c>
      <c r="AI3682" t="s">
        <v>857</v>
      </c>
      <c r="AJ3682">
        <v>28.270333000000001</v>
      </c>
      <c r="AK3682" t="s">
        <v>858</v>
      </c>
      <c r="AL3682">
        <v>-82.266375999999994</v>
      </c>
      <c r="AM3682">
        <v>100</v>
      </c>
      <c r="AN3682">
        <v>2300</v>
      </c>
      <c r="AO3682" t="s">
        <v>118</v>
      </c>
      <c r="AP3682">
        <v>-108</v>
      </c>
      <c r="AQ3682">
        <v>82</v>
      </c>
      <c r="AR3682">
        <v>-1088</v>
      </c>
      <c r="AZ3682">
        <v>1200</v>
      </c>
      <c r="BA3682">
        <v>1</v>
      </c>
      <c r="BB3682" t="str">
        <f t="shared" si="1701"/>
        <v xml:space="preserve">N711JA  </v>
      </c>
      <c r="BC3682">
        <v>1</v>
      </c>
      <c r="BE3682">
        <v>0</v>
      </c>
      <c r="BF3682">
        <v>0</v>
      </c>
      <c r="BG3682">
        <v>0</v>
      </c>
      <c r="BH3682">
        <v>2500</v>
      </c>
      <c r="BI3682">
        <v>1</v>
      </c>
      <c r="BJ3682">
        <v>1</v>
      </c>
      <c r="BK3682">
        <v>0</v>
      </c>
      <c r="BL3682">
        <v>0</v>
      </c>
      <c r="BO3682">
        <v>0</v>
      </c>
      <c r="BP3682">
        <v>0</v>
      </c>
      <c r="BW3682" t="str">
        <f t="shared" si="1705"/>
        <v>14:47:55.158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6</v>
      </c>
      <c r="CP3682" t="s">
        <v>119</v>
      </c>
      <c r="CQ3682">
        <v>56</v>
      </c>
      <c r="CR3682">
        <v>2</v>
      </c>
      <c r="CW3682">
        <v>5046185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1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3">
      <c r="A3683" t="str">
        <f t="shared" si="1702"/>
        <v>05/12/2020 14:47:37.325</v>
      </c>
      <c r="C3683" t="str">
        <f t="shared" si="1700"/>
        <v>FFDFD3C0</v>
      </c>
      <c r="D3683" t="s">
        <v>131</v>
      </c>
      <c r="E3683">
        <v>12</v>
      </c>
      <c r="F3683">
        <v>2012</v>
      </c>
      <c r="G3683" t="s">
        <v>137</v>
      </c>
      <c r="J3683" t="s">
        <v>133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1703"/>
        <v>14:47:55.156</v>
      </c>
      <c r="T3683" t="str">
        <f t="shared" si="1704"/>
        <v>14:47:54.956</v>
      </c>
      <c r="U3683" t="str">
        <f t="shared" si="1691"/>
        <v>A9808D</v>
      </c>
      <c r="V3683">
        <v>0</v>
      </c>
      <c r="W3683">
        <v>0</v>
      </c>
      <c r="X3683">
        <v>1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0</v>
      </c>
      <c r="AI3683" t="s">
        <v>857</v>
      </c>
      <c r="AJ3683">
        <v>28.270333000000001</v>
      </c>
      <c r="AK3683" t="s">
        <v>858</v>
      </c>
      <c r="AL3683">
        <v>-82.266375999999994</v>
      </c>
      <c r="AM3683">
        <v>100</v>
      </c>
      <c r="AN3683">
        <v>2300</v>
      </c>
      <c r="AO3683" t="s">
        <v>118</v>
      </c>
      <c r="AP3683">
        <v>-108</v>
      </c>
      <c r="AQ3683">
        <v>82</v>
      </c>
      <c r="AR3683">
        <v>-1088</v>
      </c>
      <c r="AZ3683">
        <v>1200</v>
      </c>
      <c r="BA3683">
        <v>1</v>
      </c>
      <c r="BB3683" t="str">
        <f t="shared" si="1701"/>
        <v xml:space="preserve">N711JA  </v>
      </c>
      <c r="BC3683">
        <v>1</v>
      </c>
      <c r="BE3683">
        <v>0</v>
      </c>
      <c r="BF3683">
        <v>0</v>
      </c>
      <c r="BG3683">
        <v>0</v>
      </c>
      <c r="BH3683">
        <v>2500</v>
      </c>
      <c r="BI3683">
        <v>1</v>
      </c>
      <c r="BJ3683">
        <v>1</v>
      </c>
      <c r="BK3683">
        <v>0</v>
      </c>
      <c r="BL3683">
        <v>0</v>
      </c>
      <c r="BO3683">
        <v>0</v>
      </c>
      <c r="BP3683">
        <v>0</v>
      </c>
      <c r="BW3683" t="str">
        <f t="shared" si="1705"/>
        <v>14:47:55.158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6</v>
      </c>
      <c r="CP3683" t="s">
        <v>119</v>
      </c>
      <c r="CQ3683">
        <v>56</v>
      </c>
      <c r="CR3683">
        <v>2</v>
      </c>
      <c r="CW3683">
        <v>5046185</v>
      </c>
      <c r="CY3683">
        <v>1</v>
      </c>
      <c r="CZ3683">
        <v>0</v>
      </c>
      <c r="DA3683">
        <v>1</v>
      </c>
      <c r="DB3683">
        <v>0</v>
      </c>
      <c r="DC3683">
        <v>0</v>
      </c>
      <c r="DD3683">
        <v>1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3">
      <c r="A3684" t="str">
        <f t="shared" si="1702"/>
        <v>05/12/2020 14:47:37.325</v>
      </c>
      <c r="C3684" t="str">
        <f t="shared" si="1700"/>
        <v>FFDFD3C0</v>
      </c>
      <c r="D3684" t="s">
        <v>131</v>
      </c>
      <c r="E3684">
        <v>18</v>
      </c>
      <c r="F3684">
        <v>2018</v>
      </c>
      <c r="G3684" t="s">
        <v>161</v>
      </c>
      <c r="J3684" t="s">
        <v>133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1703"/>
        <v>14:47:55.156</v>
      </c>
      <c r="T3684" t="str">
        <f t="shared" si="1704"/>
        <v>14:47:54.956</v>
      </c>
      <c r="U3684" t="str">
        <f t="shared" si="1691"/>
        <v>A9808D</v>
      </c>
      <c r="V3684">
        <v>0</v>
      </c>
      <c r="W3684">
        <v>0</v>
      </c>
      <c r="X3684">
        <v>1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0</v>
      </c>
      <c r="AI3684" t="s">
        <v>857</v>
      </c>
      <c r="AJ3684">
        <v>28.270333000000001</v>
      </c>
      <c r="AK3684" t="s">
        <v>858</v>
      </c>
      <c r="AL3684">
        <v>-82.266375999999994</v>
      </c>
      <c r="AM3684">
        <v>100</v>
      </c>
      <c r="AN3684">
        <v>2300</v>
      </c>
      <c r="AO3684" t="s">
        <v>118</v>
      </c>
      <c r="AP3684">
        <v>-108</v>
      </c>
      <c r="AQ3684">
        <v>82</v>
      </c>
      <c r="AR3684">
        <v>-1088</v>
      </c>
      <c r="AZ3684">
        <v>1200</v>
      </c>
      <c r="BA3684">
        <v>1</v>
      </c>
      <c r="BB3684" t="str">
        <f t="shared" si="1701"/>
        <v xml:space="preserve">N711JA  </v>
      </c>
      <c r="BC3684">
        <v>1</v>
      </c>
      <c r="BE3684">
        <v>0</v>
      </c>
      <c r="BF3684">
        <v>0</v>
      </c>
      <c r="BG3684">
        <v>0</v>
      </c>
      <c r="BH3684">
        <v>2500</v>
      </c>
      <c r="BI3684">
        <v>1</v>
      </c>
      <c r="BJ3684">
        <v>1</v>
      </c>
      <c r="BK3684">
        <v>0</v>
      </c>
      <c r="BL3684">
        <v>0</v>
      </c>
      <c r="BO3684">
        <v>0</v>
      </c>
      <c r="BP3684">
        <v>0</v>
      </c>
      <c r="BW3684" t="str">
        <f t="shared" si="1705"/>
        <v>14:47:55.158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6</v>
      </c>
      <c r="CP3684" t="s">
        <v>119</v>
      </c>
      <c r="CQ3684">
        <v>56</v>
      </c>
      <c r="CR3684">
        <v>2</v>
      </c>
      <c r="CW3684">
        <v>5046185</v>
      </c>
      <c r="CY3684">
        <v>1</v>
      </c>
      <c r="CZ3684">
        <v>0</v>
      </c>
      <c r="DA3684">
        <v>1</v>
      </c>
      <c r="DB3684">
        <v>0</v>
      </c>
      <c r="DC3684">
        <v>0</v>
      </c>
      <c r="DD3684">
        <v>1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3">
      <c r="A3685" t="str">
        <f t="shared" ref="A3685:A3693" si="1706">"05/12/2020 14:47:38.402"</f>
        <v>05/12/2020 14:47:38.402</v>
      </c>
      <c r="C3685" t="str">
        <f t="shared" si="1700"/>
        <v>FFDFD3C0</v>
      </c>
      <c r="D3685" t="s">
        <v>131</v>
      </c>
      <c r="E3685">
        <v>12</v>
      </c>
      <c r="F3685">
        <v>2012</v>
      </c>
      <c r="G3685" t="s">
        <v>137</v>
      </c>
      <c r="J3685" t="s">
        <v>133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 t="shared" ref="S3685:S3693" si="1707">"14:47:56.234"</f>
        <v>14:47:56.234</v>
      </c>
      <c r="T3685" t="str">
        <f>"14:47:55.934"</f>
        <v>14:47:55.934</v>
      </c>
      <c r="U3685" t="str">
        <f t="shared" si="1691"/>
        <v>A9808D</v>
      </c>
      <c r="V3685">
        <v>0</v>
      </c>
      <c r="W3685">
        <v>0</v>
      </c>
      <c r="X3685">
        <v>1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0</v>
      </c>
      <c r="AI3685" t="s">
        <v>318</v>
      </c>
      <c r="AJ3685">
        <v>28.270697999999999</v>
      </c>
      <c r="AK3685" t="s">
        <v>783</v>
      </c>
      <c r="AL3685">
        <v>-82.267041000000006</v>
      </c>
      <c r="AM3685">
        <v>100</v>
      </c>
      <c r="AN3685">
        <v>2300</v>
      </c>
      <c r="AO3685" t="s">
        <v>118</v>
      </c>
      <c r="AP3685">
        <v>-117</v>
      </c>
      <c r="AQ3685">
        <v>71</v>
      </c>
      <c r="AR3685">
        <v>-1280</v>
      </c>
      <c r="AZ3685">
        <v>1200</v>
      </c>
      <c r="BA3685">
        <v>1</v>
      </c>
      <c r="BB3685" t="str">
        <f t="shared" si="1701"/>
        <v xml:space="preserve">N711JA  </v>
      </c>
      <c r="BC3685">
        <v>1</v>
      </c>
      <c r="BE3685">
        <v>0</v>
      </c>
      <c r="BF3685">
        <v>0</v>
      </c>
      <c r="BG3685">
        <v>0</v>
      </c>
      <c r="BH3685">
        <v>2375</v>
      </c>
      <c r="BI3685">
        <v>1</v>
      </c>
      <c r="BJ3685">
        <v>1</v>
      </c>
      <c r="BK3685">
        <v>0</v>
      </c>
      <c r="BL3685">
        <v>0</v>
      </c>
      <c r="BO3685">
        <v>0</v>
      </c>
      <c r="BP3685">
        <v>0</v>
      </c>
      <c r="BW3685" t="str">
        <f t="shared" ref="BW3685:BW3693" si="1708">"14:47:56.237"</f>
        <v>14:47:56.237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6</v>
      </c>
      <c r="CP3685" t="s">
        <v>119</v>
      </c>
      <c r="CQ3685">
        <v>56</v>
      </c>
      <c r="CR3685">
        <v>2</v>
      </c>
      <c r="CW3685">
        <v>5047561</v>
      </c>
      <c r="CY3685">
        <v>1</v>
      </c>
      <c r="CZ3685">
        <v>0</v>
      </c>
      <c r="DA3685">
        <v>0</v>
      </c>
      <c r="DB3685">
        <v>0</v>
      </c>
      <c r="DC3685">
        <v>0</v>
      </c>
      <c r="DD3685">
        <v>1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3">
      <c r="A3686" t="str">
        <f t="shared" si="1706"/>
        <v>05/12/2020 14:47:38.402</v>
      </c>
      <c r="C3686" t="str">
        <f t="shared" si="1700"/>
        <v>FFDFD3C0</v>
      </c>
      <c r="D3686" t="s">
        <v>131</v>
      </c>
      <c r="E3686">
        <v>10</v>
      </c>
      <c r="F3686">
        <v>2010</v>
      </c>
      <c r="G3686" t="s">
        <v>132</v>
      </c>
      <c r="J3686" t="s">
        <v>133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 t="shared" si="1707"/>
        <v>14:47:56.234</v>
      </c>
      <c r="T3686" t="str">
        <f>"14:47:55.934"</f>
        <v>14:47:55.934</v>
      </c>
      <c r="U3686" t="str">
        <f t="shared" si="1691"/>
        <v>A9808D</v>
      </c>
      <c r="V3686">
        <v>0</v>
      </c>
      <c r="W3686">
        <v>0</v>
      </c>
      <c r="X3686">
        <v>1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0</v>
      </c>
      <c r="AI3686" t="s">
        <v>318</v>
      </c>
      <c r="AJ3686">
        <v>28.270697999999999</v>
      </c>
      <c r="AK3686" t="s">
        <v>783</v>
      </c>
      <c r="AL3686">
        <v>-82.267041000000006</v>
      </c>
      <c r="AM3686">
        <v>100</v>
      </c>
      <c r="AN3686">
        <v>2300</v>
      </c>
      <c r="AO3686" t="s">
        <v>118</v>
      </c>
      <c r="AP3686">
        <v>-117</v>
      </c>
      <c r="AQ3686">
        <v>71</v>
      </c>
      <c r="AR3686">
        <v>-1280</v>
      </c>
      <c r="AZ3686">
        <v>1200</v>
      </c>
      <c r="BA3686">
        <v>1</v>
      </c>
      <c r="BB3686" t="str">
        <f t="shared" si="1701"/>
        <v xml:space="preserve">N711JA  </v>
      </c>
      <c r="BC3686">
        <v>1</v>
      </c>
      <c r="BE3686">
        <v>0</v>
      </c>
      <c r="BF3686">
        <v>0</v>
      </c>
      <c r="BG3686">
        <v>0</v>
      </c>
      <c r="BH3686">
        <v>2375</v>
      </c>
      <c r="BI3686">
        <v>1</v>
      </c>
      <c r="BJ3686">
        <v>1</v>
      </c>
      <c r="BK3686">
        <v>0</v>
      </c>
      <c r="BL3686">
        <v>0</v>
      </c>
      <c r="BO3686">
        <v>0</v>
      </c>
      <c r="BP3686">
        <v>0</v>
      </c>
      <c r="BW3686" t="str">
        <f t="shared" si="1708"/>
        <v>14:47:56.237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6</v>
      </c>
      <c r="CP3686" t="s">
        <v>119</v>
      </c>
      <c r="CQ3686">
        <v>56</v>
      </c>
      <c r="CR3686">
        <v>2</v>
      </c>
      <c r="CW3686">
        <v>5047561</v>
      </c>
      <c r="CY3686">
        <v>1</v>
      </c>
      <c r="CZ3686">
        <v>0</v>
      </c>
      <c r="DA3686">
        <v>1</v>
      </c>
      <c r="DB3686">
        <v>0</v>
      </c>
      <c r="DC3686">
        <v>0</v>
      </c>
      <c r="DD3686">
        <v>1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3">
      <c r="A3687" t="str">
        <f t="shared" si="1706"/>
        <v>05/12/2020 14:47:38.402</v>
      </c>
      <c r="C3687" t="str">
        <f t="shared" si="1700"/>
        <v>FFDFD3C0</v>
      </c>
      <c r="D3687" t="s">
        <v>131</v>
      </c>
      <c r="E3687">
        <v>18</v>
      </c>
      <c r="F3687">
        <v>2018</v>
      </c>
      <c r="G3687" t="s">
        <v>161</v>
      </c>
      <c r="J3687" t="s">
        <v>133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 t="shared" si="1707"/>
        <v>14:47:56.234</v>
      </c>
      <c r="T3687" t="str">
        <f>"14:47:55.934"</f>
        <v>14:47:55.934</v>
      </c>
      <c r="U3687" t="str">
        <f t="shared" si="1691"/>
        <v>A9808D</v>
      </c>
      <c r="V3687">
        <v>0</v>
      </c>
      <c r="W3687">
        <v>0</v>
      </c>
      <c r="X3687">
        <v>1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0</v>
      </c>
      <c r="AI3687" t="s">
        <v>318</v>
      </c>
      <c r="AJ3687">
        <v>28.270697999999999</v>
      </c>
      <c r="AK3687" t="s">
        <v>783</v>
      </c>
      <c r="AL3687">
        <v>-82.267041000000006</v>
      </c>
      <c r="AM3687">
        <v>100</v>
      </c>
      <c r="AN3687">
        <v>2300</v>
      </c>
      <c r="AO3687" t="s">
        <v>118</v>
      </c>
      <c r="AP3687">
        <v>-117</v>
      </c>
      <c r="AQ3687">
        <v>71</v>
      </c>
      <c r="AR3687">
        <v>-1280</v>
      </c>
      <c r="AZ3687">
        <v>1200</v>
      </c>
      <c r="BA3687">
        <v>1</v>
      </c>
      <c r="BB3687" t="str">
        <f t="shared" si="1701"/>
        <v xml:space="preserve">N711JA  </v>
      </c>
      <c r="BC3687">
        <v>1</v>
      </c>
      <c r="BE3687">
        <v>0</v>
      </c>
      <c r="BF3687">
        <v>0</v>
      </c>
      <c r="BG3687">
        <v>0</v>
      </c>
      <c r="BH3687">
        <v>2375</v>
      </c>
      <c r="BI3687">
        <v>1</v>
      </c>
      <c r="BJ3687">
        <v>1</v>
      </c>
      <c r="BK3687">
        <v>0</v>
      </c>
      <c r="BL3687">
        <v>0</v>
      </c>
      <c r="BO3687">
        <v>0</v>
      </c>
      <c r="BP3687">
        <v>0</v>
      </c>
      <c r="BW3687" t="str">
        <f t="shared" si="1708"/>
        <v>14:47:56.237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6</v>
      </c>
      <c r="CP3687" t="s">
        <v>119</v>
      </c>
      <c r="CQ3687">
        <v>56</v>
      </c>
      <c r="CR3687">
        <v>2</v>
      </c>
      <c r="CW3687">
        <v>5047561</v>
      </c>
      <c r="CY3687">
        <v>1</v>
      </c>
      <c r="CZ3687">
        <v>0</v>
      </c>
      <c r="DA3687">
        <v>1</v>
      </c>
      <c r="DB3687">
        <v>0</v>
      </c>
      <c r="DC3687">
        <v>0</v>
      </c>
      <c r="DD3687">
        <v>1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3">
      <c r="A3688" t="str">
        <f t="shared" si="1706"/>
        <v>05/12/2020 14:47:38.402</v>
      </c>
      <c r="C3688" t="str">
        <f t="shared" si="1700"/>
        <v>FFDFD3C0</v>
      </c>
      <c r="D3688" t="s">
        <v>134</v>
      </c>
      <c r="E3688">
        <v>12</v>
      </c>
      <c r="H3688">
        <v>64</v>
      </c>
      <c r="I3688" t="s">
        <v>135</v>
      </c>
      <c r="J3688" t="s">
        <v>136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 t="shared" si="1707"/>
        <v>14:47:56.234</v>
      </c>
      <c r="T3688" t="str">
        <f>"14:47:54.934"</f>
        <v>14:47:54.934</v>
      </c>
      <c r="U3688" t="str">
        <f t="shared" si="1691"/>
        <v>A9808D</v>
      </c>
      <c r="V3688">
        <v>0</v>
      </c>
      <c r="W3688">
        <v>0</v>
      </c>
      <c r="X3688">
        <v>1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3</v>
      </c>
      <c r="AG3688">
        <v>2</v>
      </c>
      <c r="AH3688">
        <v>0</v>
      </c>
      <c r="AI3688" t="s">
        <v>318</v>
      </c>
      <c r="AJ3688">
        <v>28.270697999999999</v>
      </c>
      <c r="AK3688" t="s">
        <v>783</v>
      </c>
      <c r="AL3688">
        <v>-82.267041000000006</v>
      </c>
      <c r="AM3688">
        <v>100</v>
      </c>
      <c r="AN3688">
        <v>2300</v>
      </c>
      <c r="AO3688" t="s">
        <v>118</v>
      </c>
      <c r="AP3688">
        <v>-108</v>
      </c>
      <c r="AQ3688">
        <v>82</v>
      </c>
      <c r="AR3688">
        <v>-1088</v>
      </c>
      <c r="AZ3688">
        <v>1200</v>
      </c>
      <c r="BA3688">
        <v>1</v>
      </c>
      <c r="BB3688" t="str">
        <f t="shared" si="1701"/>
        <v xml:space="preserve">N711JA  </v>
      </c>
      <c r="BC3688">
        <v>1</v>
      </c>
      <c r="BE3688">
        <v>0</v>
      </c>
      <c r="BF3688">
        <v>0</v>
      </c>
      <c r="BG3688">
        <v>0</v>
      </c>
      <c r="BH3688">
        <v>2500</v>
      </c>
      <c r="BI3688">
        <v>1</v>
      </c>
      <c r="BJ3688">
        <v>1</v>
      </c>
      <c r="BK3688">
        <v>0</v>
      </c>
      <c r="BL3688">
        <v>0</v>
      </c>
      <c r="BO3688">
        <v>0</v>
      </c>
      <c r="BP3688">
        <v>0</v>
      </c>
      <c r="BW3688" t="str">
        <f t="shared" si="1708"/>
        <v>14:47:56.237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3</v>
      </c>
      <c r="CP3688" t="s">
        <v>119</v>
      </c>
      <c r="CQ3688">
        <v>358</v>
      </c>
      <c r="CR3688">
        <v>0</v>
      </c>
      <c r="CW3688">
        <v>5021780</v>
      </c>
      <c r="CY3688">
        <v>1</v>
      </c>
      <c r="CZ3688">
        <v>0</v>
      </c>
      <c r="DA3688">
        <v>1</v>
      </c>
      <c r="DB3688">
        <v>0</v>
      </c>
      <c r="DC3688">
        <v>0</v>
      </c>
      <c r="DD3688">
        <v>1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3">
      <c r="A3689" t="str">
        <f t="shared" si="1706"/>
        <v>05/12/2020 14:47:38.402</v>
      </c>
      <c r="C3689" t="str">
        <f t="shared" si="1700"/>
        <v>FFDFD3C0</v>
      </c>
      <c r="D3689" t="s">
        <v>113</v>
      </c>
      <c r="E3689">
        <v>3</v>
      </c>
      <c r="H3689">
        <v>164</v>
      </c>
      <c r="I3689" t="s">
        <v>114</v>
      </c>
      <c r="J3689" t="s">
        <v>115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 t="shared" si="1707"/>
        <v>14:47:56.234</v>
      </c>
      <c r="T3689" t="str">
        <f>"14:47:55.934"</f>
        <v>14:47:55.934</v>
      </c>
      <c r="U3689" t="str">
        <f t="shared" si="1691"/>
        <v>A9808D</v>
      </c>
      <c r="V3689">
        <v>0</v>
      </c>
      <c r="W3689">
        <v>0</v>
      </c>
      <c r="X3689">
        <v>1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0</v>
      </c>
      <c r="AI3689" t="s">
        <v>318</v>
      </c>
      <c r="AJ3689">
        <v>28.270697999999999</v>
      </c>
      <c r="AK3689" t="s">
        <v>783</v>
      </c>
      <c r="AL3689">
        <v>-82.267041000000006</v>
      </c>
      <c r="AM3689">
        <v>100</v>
      </c>
      <c r="AN3689">
        <v>2300</v>
      </c>
      <c r="AO3689" t="s">
        <v>118</v>
      </c>
      <c r="AP3689">
        <v>-117</v>
      </c>
      <c r="AQ3689">
        <v>71</v>
      </c>
      <c r="AR3689">
        <v>-1280</v>
      </c>
      <c r="AZ3689">
        <v>1200</v>
      </c>
      <c r="BA3689">
        <v>1</v>
      </c>
      <c r="BB3689" t="str">
        <f t="shared" si="1701"/>
        <v xml:space="preserve">N711JA  </v>
      </c>
      <c r="BC3689">
        <v>1</v>
      </c>
      <c r="BE3689">
        <v>0</v>
      </c>
      <c r="BF3689">
        <v>0</v>
      </c>
      <c r="BG3689">
        <v>0</v>
      </c>
      <c r="BH3689">
        <v>2375</v>
      </c>
      <c r="BI3689">
        <v>1</v>
      </c>
      <c r="BJ3689">
        <v>1</v>
      </c>
      <c r="BK3689">
        <v>0</v>
      </c>
      <c r="BL3689">
        <v>0</v>
      </c>
      <c r="BO3689">
        <v>0</v>
      </c>
      <c r="BP3689">
        <v>0</v>
      </c>
      <c r="BW3689" t="str">
        <f t="shared" si="1708"/>
        <v>14:47:56.237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6</v>
      </c>
      <c r="CP3689" t="s">
        <v>119</v>
      </c>
      <c r="CQ3689">
        <v>56</v>
      </c>
      <c r="CR3689">
        <v>2</v>
      </c>
      <c r="CW3689">
        <v>5047561</v>
      </c>
      <c r="CY3689">
        <v>1</v>
      </c>
      <c r="CZ3689">
        <v>0</v>
      </c>
      <c r="DA3689">
        <v>1</v>
      </c>
      <c r="DB3689">
        <v>0</v>
      </c>
      <c r="DC3689">
        <v>0</v>
      </c>
      <c r="DD3689">
        <v>1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3">
      <c r="A3690" t="str">
        <f t="shared" si="1706"/>
        <v>05/12/2020 14:47:38.402</v>
      </c>
      <c r="C3690" t="str">
        <f t="shared" si="1700"/>
        <v>FFDFD3C0</v>
      </c>
      <c r="D3690" t="s">
        <v>126</v>
      </c>
      <c r="E3690">
        <v>6</v>
      </c>
      <c r="F3690">
        <v>1006</v>
      </c>
      <c r="G3690" t="s">
        <v>114</v>
      </c>
      <c r="J3690" t="s">
        <v>128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 t="shared" si="1707"/>
        <v>14:47:56.234</v>
      </c>
      <c r="T3690" t="str">
        <f>"14:47:55.934"</f>
        <v>14:47:55.934</v>
      </c>
      <c r="U3690" t="str">
        <f t="shared" si="1691"/>
        <v>A9808D</v>
      </c>
      <c r="V3690">
        <v>0</v>
      </c>
      <c r="W3690">
        <v>0</v>
      </c>
      <c r="X3690">
        <v>1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0</v>
      </c>
      <c r="AI3690" t="s">
        <v>318</v>
      </c>
      <c r="AJ3690">
        <v>28.270697999999999</v>
      </c>
      <c r="AK3690" t="s">
        <v>783</v>
      </c>
      <c r="AL3690">
        <v>-82.267041000000006</v>
      </c>
      <c r="AM3690">
        <v>100</v>
      </c>
      <c r="AN3690">
        <v>2300</v>
      </c>
      <c r="AO3690" t="s">
        <v>118</v>
      </c>
      <c r="AP3690">
        <v>-117</v>
      </c>
      <c r="AQ3690">
        <v>71</v>
      </c>
      <c r="AR3690">
        <v>-1280</v>
      </c>
      <c r="AZ3690">
        <v>1200</v>
      </c>
      <c r="BA3690">
        <v>1</v>
      </c>
      <c r="BB3690" t="str">
        <f t="shared" si="1701"/>
        <v xml:space="preserve">N711JA  </v>
      </c>
      <c r="BC3690">
        <v>1</v>
      </c>
      <c r="BE3690">
        <v>0</v>
      </c>
      <c r="BF3690">
        <v>0</v>
      </c>
      <c r="BG3690">
        <v>0</v>
      </c>
      <c r="BH3690">
        <v>2375</v>
      </c>
      <c r="BI3690">
        <v>1</v>
      </c>
      <c r="BJ3690">
        <v>1</v>
      </c>
      <c r="BK3690">
        <v>0</v>
      </c>
      <c r="BL3690">
        <v>0</v>
      </c>
      <c r="BO3690">
        <v>0</v>
      </c>
      <c r="BP3690">
        <v>0</v>
      </c>
      <c r="BW3690" t="str">
        <f t="shared" si="1708"/>
        <v>14:47:56.237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6</v>
      </c>
      <c r="CP3690" t="s">
        <v>119</v>
      </c>
      <c r="CQ3690">
        <v>56</v>
      </c>
      <c r="CR3690">
        <v>2</v>
      </c>
      <c r="CW3690">
        <v>5047561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1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3">
      <c r="A3691" t="str">
        <f t="shared" si="1706"/>
        <v>05/12/2020 14:47:38.402</v>
      </c>
      <c r="C3691" t="str">
        <f t="shared" si="1700"/>
        <v>FFDFD3C0</v>
      </c>
      <c r="D3691" t="s">
        <v>138</v>
      </c>
      <c r="E3691">
        <v>2</v>
      </c>
      <c r="H3691">
        <v>8</v>
      </c>
      <c r="I3691" t="s">
        <v>139</v>
      </c>
      <c r="J3691" t="s">
        <v>136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 t="shared" si="1707"/>
        <v>14:47:56.234</v>
      </c>
      <c r="T3691" t="str">
        <f>"14:47:55.934"</f>
        <v>14:47:55.934</v>
      </c>
      <c r="U3691" t="str">
        <f t="shared" si="1691"/>
        <v>A9808D</v>
      </c>
      <c r="V3691">
        <v>0</v>
      </c>
      <c r="W3691">
        <v>0</v>
      </c>
      <c r="X3691">
        <v>1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0</v>
      </c>
      <c r="AI3691" t="s">
        <v>318</v>
      </c>
      <c r="AJ3691">
        <v>28.270697999999999</v>
      </c>
      <c r="AK3691" t="s">
        <v>783</v>
      </c>
      <c r="AL3691">
        <v>-82.267041000000006</v>
      </c>
      <c r="AM3691">
        <v>100</v>
      </c>
      <c r="AN3691">
        <v>2300</v>
      </c>
      <c r="AO3691" t="s">
        <v>118</v>
      </c>
      <c r="AP3691">
        <v>-117</v>
      </c>
      <c r="AQ3691">
        <v>71</v>
      </c>
      <c r="AR3691">
        <v>-1280</v>
      </c>
      <c r="AZ3691">
        <v>1200</v>
      </c>
      <c r="BA3691">
        <v>1</v>
      </c>
      <c r="BB3691" t="str">
        <f t="shared" si="1701"/>
        <v xml:space="preserve">N711JA  </v>
      </c>
      <c r="BC3691">
        <v>1</v>
      </c>
      <c r="BE3691">
        <v>0</v>
      </c>
      <c r="BF3691">
        <v>0</v>
      </c>
      <c r="BG3691">
        <v>0</v>
      </c>
      <c r="BH3691">
        <v>2375</v>
      </c>
      <c r="BI3691">
        <v>1</v>
      </c>
      <c r="BJ3691">
        <v>1</v>
      </c>
      <c r="BK3691">
        <v>0</v>
      </c>
      <c r="BL3691">
        <v>0</v>
      </c>
      <c r="BO3691">
        <v>0</v>
      </c>
      <c r="BP3691">
        <v>0</v>
      </c>
      <c r="BW3691" t="str">
        <f t="shared" si="1708"/>
        <v>14:47:56.237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6</v>
      </c>
      <c r="CP3691" t="s">
        <v>119</v>
      </c>
      <c r="CQ3691">
        <v>56</v>
      </c>
      <c r="CR3691">
        <v>2</v>
      </c>
      <c r="CW3691">
        <v>5047561</v>
      </c>
      <c r="CY3691">
        <v>1</v>
      </c>
      <c r="CZ3691">
        <v>0</v>
      </c>
      <c r="DA3691">
        <v>1</v>
      </c>
      <c r="DB3691">
        <v>0</v>
      </c>
      <c r="DC3691">
        <v>0</v>
      </c>
      <c r="DD3691">
        <v>1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3">
      <c r="A3692" t="str">
        <f t="shared" si="1706"/>
        <v>05/12/2020 14:47:38.402</v>
      </c>
      <c r="C3692" t="str">
        <f t="shared" si="1700"/>
        <v>FFDFD3C0</v>
      </c>
      <c r="D3692" t="s">
        <v>138</v>
      </c>
      <c r="E3692">
        <v>3</v>
      </c>
      <c r="H3692">
        <v>9</v>
      </c>
      <c r="I3692" t="s">
        <v>140</v>
      </c>
      <c r="J3692" t="s">
        <v>136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 t="shared" si="1707"/>
        <v>14:47:56.234</v>
      </c>
      <c r="T3692" t="str">
        <f>"14:47:55.934"</f>
        <v>14:47:55.934</v>
      </c>
      <c r="U3692" t="str">
        <f t="shared" si="1691"/>
        <v>A9808D</v>
      </c>
      <c r="V3692">
        <v>0</v>
      </c>
      <c r="W3692">
        <v>0</v>
      </c>
      <c r="X3692">
        <v>1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0</v>
      </c>
      <c r="AI3692" t="s">
        <v>318</v>
      </c>
      <c r="AJ3692">
        <v>28.270697999999999</v>
      </c>
      <c r="AK3692" t="s">
        <v>783</v>
      </c>
      <c r="AL3692">
        <v>-82.267041000000006</v>
      </c>
      <c r="AM3692">
        <v>100</v>
      </c>
      <c r="AN3692">
        <v>2300</v>
      </c>
      <c r="AO3692" t="s">
        <v>118</v>
      </c>
      <c r="AP3692">
        <v>-117</v>
      </c>
      <c r="AQ3692">
        <v>71</v>
      </c>
      <c r="AR3692">
        <v>-1280</v>
      </c>
      <c r="AZ3692">
        <v>1200</v>
      </c>
      <c r="BA3692">
        <v>1</v>
      </c>
      <c r="BB3692" t="str">
        <f t="shared" si="1701"/>
        <v xml:space="preserve">N711JA  </v>
      </c>
      <c r="BC3692">
        <v>1</v>
      </c>
      <c r="BE3692">
        <v>0</v>
      </c>
      <c r="BF3692">
        <v>0</v>
      </c>
      <c r="BG3692">
        <v>0</v>
      </c>
      <c r="BH3692">
        <v>2375</v>
      </c>
      <c r="BI3692">
        <v>1</v>
      </c>
      <c r="BJ3692">
        <v>1</v>
      </c>
      <c r="BK3692">
        <v>0</v>
      </c>
      <c r="BL3692">
        <v>0</v>
      </c>
      <c r="BO3692">
        <v>0</v>
      </c>
      <c r="BP3692">
        <v>0</v>
      </c>
      <c r="BW3692" t="str">
        <f t="shared" si="1708"/>
        <v>14:47:56.237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6</v>
      </c>
      <c r="CP3692" t="s">
        <v>119</v>
      </c>
      <c r="CQ3692">
        <v>56</v>
      </c>
      <c r="CR3692">
        <v>2</v>
      </c>
      <c r="CW3692">
        <v>5047561</v>
      </c>
      <c r="CY3692">
        <v>1</v>
      </c>
      <c r="CZ3692">
        <v>0</v>
      </c>
      <c r="DA3692">
        <v>1</v>
      </c>
      <c r="DB3692">
        <v>0</v>
      </c>
      <c r="DC3692">
        <v>0</v>
      </c>
      <c r="DD3692">
        <v>1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3">
      <c r="A3693" t="str">
        <f t="shared" si="1706"/>
        <v>05/12/2020 14:47:38.402</v>
      </c>
      <c r="C3693" t="str">
        <f t="shared" si="1700"/>
        <v>FFDFD3C0</v>
      </c>
      <c r="D3693" t="s">
        <v>126</v>
      </c>
      <c r="E3693">
        <v>7</v>
      </c>
      <c r="F3693">
        <v>1007</v>
      </c>
      <c r="G3693" t="s">
        <v>127</v>
      </c>
      <c r="J3693" t="s">
        <v>128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 t="shared" si="1707"/>
        <v>14:47:56.234</v>
      </c>
      <c r="T3693" t="str">
        <f>"14:47:55.934"</f>
        <v>14:47:55.934</v>
      </c>
      <c r="U3693" t="str">
        <f t="shared" si="1691"/>
        <v>A9808D</v>
      </c>
      <c r="V3693">
        <v>0</v>
      </c>
      <c r="W3693">
        <v>0</v>
      </c>
      <c r="X3693">
        <v>1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0</v>
      </c>
      <c r="AI3693" t="s">
        <v>318</v>
      </c>
      <c r="AJ3693">
        <v>28.270697999999999</v>
      </c>
      <c r="AK3693" t="s">
        <v>783</v>
      </c>
      <c r="AL3693">
        <v>-82.267041000000006</v>
      </c>
      <c r="AM3693">
        <v>100</v>
      </c>
      <c r="AN3693">
        <v>2300</v>
      </c>
      <c r="AO3693" t="s">
        <v>118</v>
      </c>
      <c r="AP3693">
        <v>-117</v>
      </c>
      <c r="AQ3693">
        <v>71</v>
      </c>
      <c r="AR3693">
        <v>-1280</v>
      </c>
      <c r="AZ3693">
        <v>1200</v>
      </c>
      <c r="BA3693">
        <v>1</v>
      </c>
      <c r="BB3693" t="str">
        <f t="shared" si="1701"/>
        <v xml:space="preserve">N711JA  </v>
      </c>
      <c r="BC3693">
        <v>1</v>
      </c>
      <c r="BE3693">
        <v>0</v>
      </c>
      <c r="BF3693">
        <v>0</v>
      </c>
      <c r="BG3693">
        <v>0</v>
      </c>
      <c r="BH3693">
        <v>2375</v>
      </c>
      <c r="BI3693">
        <v>1</v>
      </c>
      <c r="BJ3693">
        <v>1</v>
      </c>
      <c r="BK3693">
        <v>0</v>
      </c>
      <c r="BL3693">
        <v>0</v>
      </c>
      <c r="BO3693">
        <v>0</v>
      </c>
      <c r="BP3693">
        <v>0</v>
      </c>
      <c r="BW3693" t="str">
        <f t="shared" si="1708"/>
        <v>14:47:56.237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6</v>
      </c>
      <c r="CP3693" t="s">
        <v>119</v>
      </c>
      <c r="CQ3693">
        <v>56</v>
      </c>
      <c r="CR3693">
        <v>2</v>
      </c>
      <c r="CW3693">
        <v>5047561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1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3">
      <c r="A3694" t="str">
        <f t="shared" ref="A3694:A3699" si="1709">"05/12/2020 14:47:39.355"</f>
        <v>05/12/2020 14:47:39.355</v>
      </c>
      <c r="C3694" t="str">
        <f t="shared" si="1700"/>
        <v>FFDFD3C0</v>
      </c>
      <c r="D3694" t="s">
        <v>126</v>
      </c>
      <c r="E3694">
        <v>7</v>
      </c>
      <c r="F3694">
        <v>1007</v>
      </c>
      <c r="G3694" t="s">
        <v>127</v>
      </c>
      <c r="J3694" t="s">
        <v>128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 t="shared" ref="S3694:S3699" si="1710">"14:47:57.148"</f>
        <v>14:47:57.148</v>
      </c>
      <c r="T3694" t="str">
        <f>"14:47:56.448"</f>
        <v>14:47:56.448</v>
      </c>
      <c r="U3694" t="str">
        <f t="shared" si="1691"/>
        <v>A9808D</v>
      </c>
      <c r="V3694">
        <v>0</v>
      </c>
      <c r="W3694">
        <v>0</v>
      </c>
      <c r="X3694">
        <v>1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0</v>
      </c>
      <c r="AI3694" t="s">
        <v>491</v>
      </c>
      <c r="AJ3694">
        <v>28.270934</v>
      </c>
      <c r="AK3694" t="s">
        <v>859</v>
      </c>
      <c r="AL3694">
        <v>-82.267662999999999</v>
      </c>
      <c r="AM3694">
        <v>100</v>
      </c>
      <c r="AN3694">
        <v>2300</v>
      </c>
      <c r="AO3694" t="s">
        <v>118</v>
      </c>
      <c r="AP3694">
        <v>-123</v>
      </c>
      <c r="AQ3694">
        <v>64</v>
      </c>
      <c r="AR3694">
        <v>-1408</v>
      </c>
      <c r="AZ3694">
        <v>1200</v>
      </c>
      <c r="BA3694">
        <v>1</v>
      </c>
      <c r="BB3694" t="str">
        <f t="shared" si="1701"/>
        <v xml:space="preserve">N711JA  </v>
      </c>
      <c r="BC3694">
        <v>1</v>
      </c>
      <c r="BE3694">
        <v>0</v>
      </c>
      <c r="BF3694">
        <v>0</v>
      </c>
      <c r="BG3694">
        <v>0</v>
      </c>
      <c r="BH3694">
        <v>2375</v>
      </c>
      <c r="BI3694">
        <v>1</v>
      </c>
      <c r="BJ3694">
        <v>1</v>
      </c>
      <c r="BK3694">
        <v>0</v>
      </c>
      <c r="BL3694">
        <v>0</v>
      </c>
      <c r="BO3694">
        <v>0</v>
      </c>
      <c r="BP3694">
        <v>0</v>
      </c>
      <c r="BW3694" t="str">
        <f t="shared" ref="BW3694:BW3699" si="1711">"14:47:57.151"</f>
        <v>14:47:57.151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5</v>
      </c>
      <c r="CP3694" t="s">
        <v>119</v>
      </c>
      <c r="CQ3694">
        <v>62</v>
      </c>
      <c r="CR3694">
        <v>1</v>
      </c>
      <c r="CW3694">
        <v>12955939</v>
      </c>
      <c r="CY3694">
        <v>1</v>
      </c>
      <c r="CZ3694">
        <v>0</v>
      </c>
      <c r="DA3694">
        <v>0</v>
      </c>
      <c r="DB3694">
        <v>0</v>
      </c>
      <c r="DC3694">
        <v>0</v>
      </c>
      <c r="DD3694">
        <v>1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3">
      <c r="A3695" t="str">
        <f t="shared" si="1709"/>
        <v>05/12/2020 14:47:39.355</v>
      </c>
      <c r="C3695" t="str">
        <f t="shared" si="1700"/>
        <v>FFDFD3C0</v>
      </c>
      <c r="D3695" t="s">
        <v>138</v>
      </c>
      <c r="E3695">
        <v>2</v>
      </c>
      <c r="H3695">
        <v>8</v>
      </c>
      <c r="I3695" t="s">
        <v>139</v>
      </c>
      <c r="J3695" t="s">
        <v>136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 t="shared" si="1710"/>
        <v>14:47:57.148</v>
      </c>
      <c r="T3695" t="str">
        <f>"14:47:55.948"</f>
        <v>14:47:55.948</v>
      </c>
      <c r="U3695" t="str">
        <f t="shared" si="1691"/>
        <v>A9808D</v>
      </c>
      <c r="V3695">
        <v>0</v>
      </c>
      <c r="W3695">
        <v>0</v>
      </c>
      <c r="X3695">
        <v>1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3</v>
      </c>
      <c r="AG3695">
        <v>2</v>
      </c>
      <c r="AH3695">
        <v>0</v>
      </c>
      <c r="AI3695" t="s">
        <v>491</v>
      </c>
      <c r="AJ3695">
        <v>28.270934</v>
      </c>
      <c r="AK3695" t="s">
        <v>859</v>
      </c>
      <c r="AL3695">
        <v>-82.267662999999999</v>
      </c>
      <c r="AM3695">
        <v>100</v>
      </c>
      <c r="AN3695">
        <v>2300</v>
      </c>
      <c r="AO3695" t="s">
        <v>118</v>
      </c>
      <c r="AP3695">
        <v>-117</v>
      </c>
      <c r="AQ3695">
        <v>71</v>
      </c>
      <c r="AR3695">
        <v>-1280</v>
      </c>
      <c r="AZ3695">
        <v>1200</v>
      </c>
      <c r="BA3695">
        <v>1</v>
      </c>
      <c r="BB3695" t="str">
        <f t="shared" si="1701"/>
        <v xml:space="preserve">N711JA  </v>
      </c>
      <c r="BC3695">
        <v>1</v>
      </c>
      <c r="BE3695">
        <v>0</v>
      </c>
      <c r="BF3695">
        <v>0</v>
      </c>
      <c r="BG3695">
        <v>0</v>
      </c>
      <c r="BH3695">
        <v>2375</v>
      </c>
      <c r="BI3695">
        <v>1</v>
      </c>
      <c r="BJ3695">
        <v>1</v>
      </c>
      <c r="BK3695">
        <v>0</v>
      </c>
      <c r="BL3695">
        <v>0</v>
      </c>
      <c r="BO3695">
        <v>0</v>
      </c>
      <c r="BP3695">
        <v>0</v>
      </c>
      <c r="BW3695" t="str">
        <f t="shared" si="1711"/>
        <v>14:47:57.151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3</v>
      </c>
      <c r="CP3695" t="s">
        <v>675</v>
      </c>
      <c r="CQ3695">
        <v>363</v>
      </c>
      <c r="CR3695">
        <v>0</v>
      </c>
      <c r="CW3695">
        <v>6553559</v>
      </c>
      <c r="CY3695">
        <v>1</v>
      </c>
      <c r="CZ3695">
        <v>0</v>
      </c>
      <c r="DA3695">
        <v>1</v>
      </c>
      <c r="DB3695">
        <v>0</v>
      </c>
      <c r="DC3695">
        <v>0</v>
      </c>
      <c r="DD3695">
        <v>1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3">
      <c r="A3696" t="str">
        <f t="shared" si="1709"/>
        <v>05/12/2020 14:47:39.355</v>
      </c>
      <c r="C3696" t="str">
        <f t="shared" si="1700"/>
        <v>FFDFD3C0</v>
      </c>
      <c r="D3696" t="s">
        <v>131</v>
      </c>
      <c r="E3696">
        <v>12</v>
      </c>
      <c r="F3696">
        <v>2012</v>
      </c>
      <c r="G3696" t="s">
        <v>137</v>
      </c>
      <c r="J3696" t="s">
        <v>133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 t="shared" si="1710"/>
        <v>14:47:57.148</v>
      </c>
      <c r="T3696" t="str">
        <f>"14:47:55.948"</f>
        <v>14:47:55.948</v>
      </c>
      <c r="U3696" t="str">
        <f t="shared" si="1691"/>
        <v>A9808D</v>
      </c>
      <c r="V3696">
        <v>0</v>
      </c>
      <c r="W3696">
        <v>0</v>
      </c>
      <c r="X3696">
        <v>1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0</v>
      </c>
      <c r="AI3696" t="s">
        <v>491</v>
      </c>
      <c r="AJ3696">
        <v>28.270934</v>
      </c>
      <c r="AK3696" t="s">
        <v>859</v>
      </c>
      <c r="AL3696">
        <v>-82.267662999999999</v>
      </c>
      <c r="AM3696">
        <v>100</v>
      </c>
      <c r="AN3696">
        <v>2300</v>
      </c>
      <c r="AO3696" t="s">
        <v>118</v>
      </c>
      <c r="AP3696">
        <v>-117</v>
      </c>
      <c r="AQ3696">
        <v>71</v>
      </c>
      <c r="AR3696">
        <v>-1280</v>
      </c>
      <c r="AZ3696">
        <v>1200</v>
      </c>
      <c r="BA3696">
        <v>1</v>
      </c>
      <c r="BB3696" t="str">
        <f t="shared" si="1701"/>
        <v xml:space="preserve">N711JA  </v>
      </c>
      <c r="BC3696">
        <v>1</v>
      </c>
      <c r="BE3696">
        <v>0</v>
      </c>
      <c r="BF3696">
        <v>0</v>
      </c>
      <c r="BG3696">
        <v>0</v>
      </c>
      <c r="BH3696">
        <v>2375</v>
      </c>
      <c r="BI3696">
        <v>1</v>
      </c>
      <c r="BJ3696">
        <v>1</v>
      </c>
      <c r="BK3696">
        <v>0</v>
      </c>
      <c r="BL3696">
        <v>0</v>
      </c>
      <c r="BO3696">
        <v>0</v>
      </c>
      <c r="BP3696">
        <v>0</v>
      </c>
      <c r="BW3696" t="str">
        <f t="shared" si="1711"/>
        <v>14:47:57.151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3</v>
      </c>
      <c r="CP3696" t="s">
        <v>675</v>
      </c>
      <c r="CQ3696">
        <v>363</v>
      </c>
      <c r="CR3696">
        <v>0</v>
      </c>
      <c r="CW3696">
        <v>6553559</v>
      </c>
      <c r="CY3696">
        <v>1</v>
      </c>
      <c r="CZ3696">
        <v>0</v>
      </c>
      <c r="DA3696">
        <v>1</v>
      </c>
      <c r="DB3696">
        <v>0</v>
      </c>
      <c r="DC3696">
        <v>0</v>
      </c>
      <c r="DD3696">
        <v>1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3">
      <c r="A3697" t="str">
        <f t="shared" si="1709"/>
        <v>05/12/2020 14:47:39.355</v>
      </c>
      <c r="C3697" t="str">
        <f t="shared" si="1700"/>
        <v>FFDFD3C0</v>
      </c>
      <c r="D3697" t="s">
        <v>131</v>
      </c>
      <c r="E3697">
        <v>18</v>
      </c>
      <c r="F3697">
        <v>2018</v>
      </c>
      <c r="G3697" t="s">
        <v>161</v>
      </c>
      <c r="J3697" t="s">
        <v>133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 t="shared" si="1710"/>
        <v>14:47:57.148</v>
      </c>
      <c r="T3697" t="str">
        <f>"14:47:56.448"</f>
        <v>14:47:56.448</v>
      </c>
      <c r="U3697" t="str">
        <f t="shared" si="1691"/>
        <v>A9808D</v>
      </c>
      <c r="V3697">
        <v>0</v>
      </c>
      <c r="W3697">
        <v>0</v>
      </c>
      <c r="X3697">
        <v>1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3</v>
      </c>
      <c r="AG3697">
        <v>2</v>
      </c>
      <c r="AH3697">
        <v>0</v>
      </c>
      <c r="AI3697" t="s">
        <v>491</v>
      </c>
      <c r="AJ3697">
        <v>28.270934</v>
      </c>
      <c r="AK3697" t="s">
        <v>859</v>
      </c>
      <c r="AL3697">
        <v>-82.267662999999999</v>
      </c>
      <c r="AM3697">
        <v>100</v>
      </c>
      <c r="AN3697">
        <v>2300</v>
      </c>
      <c r="AO3697" t="s">
        <v>118</v>
      </c>
      <c r="AP3697">
        <v>-123</v>
      </c>
      <c r="AQ3697">
        <v>64</v>
      </c>
      <c r="AR3697">
        <v>-1408</v>
      </c>
      <c r="AZ3697">
        <v>1200</v>
      </c>
      <c r="BA3697">
        <v>1</v>
      </c>
      <c r="BB3697" t="str">
        <f t="shared" si="1701"/>
        <v xml:space="preserve">N711JA  </v>
      </c>
      <c r="BC3697">
        <v>1</v>
      </c>
      <c r="BE3697">
        <v>0</v>
      </c>
      <c r="BF3697">
        <v>0</v>
      </c>
      <c r="BG3697">
        <v>0</v>
      </c>
      <c r="BH3697">
        <v>2375</v>
      </c>
      <c r="BI3697">
        <v>1</v>
      </c>
      <c r="BJ3697">
        <v>1</v>
      </c>
      <c r="BK3697">
        <v>0</v>
      </c>
      <c r="BL3697">
        <v>0</v>
      </c>
      <c r="BO3697">
        <v>0</v>
      </c>
      <c r="BP3697">
        <v>0</v>
      </c>
      <c r="BW3697" t="str">
        <f t="shared" si="1711"/>
        <v>14:47:57.151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5</v>
      </c>
      <c r="CP3697" t="s">
        <v>119</v>
      </c>
      <c r="CQ3697">
        <v>62</v>
      </c>
      <c r="CR3697">
        <v>1</v>
      </c>
      <c r="CW3697">
        <v>12955939</v>
      </c>
      <c r="CY3697">
        <v>1</v>
      </c>
      <c r="CZ3697">
        <v>0</v>
      </c>
      <c r="DA3697">
        <v>1</v>
      </c>
      <c r="DB3697">
        <v>0</v>
      </c>
      <c r="DC3697">
        <v>0</v>
      </c>
      <c r="DD3697">
        <v>1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3">
      <c r="A3698" t="str">
        <f t="shared" si="1709"/>
        <v>05/12/2020 14:47:39.355</v>
      </c>
      <c r="C3698" t="str">
        <f t="shared" si="1700"/>
        <v>FFDFD3C0</v>
      </c>
      <c r="D3698" t="s">
        <v>126</v>
      </c>
      <c r="E3698">
        <v>6</v>
      </c>
      <c r="F3698">
        <v>1006</v>
      </c>
      <c r="G3698" t="s">
        <v>114</v>
      </c>
      <c r="J3698" t="s">
        <v>128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 t="shared" si="1710"/>
        <v>14:47:57.148</v>
      </c>
      <c r="T3698" t="str">
        <f>"14:47:56.448"</f>
        <v>14:47:56.448</v>
      </c>
      <c r="U3698" t="str">
        <f t="shared" si="1691"/>
        <v>A9808D</v>
      </c>
      <c r="V3698">
        <v>0</v>
      </c>
      <c r="W3698">
        <v>0</v>
      </c>
      <c r="X3698">
        <v>1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0</v>
      </c>
      <c r="AI3698" t="s">
        <v>491</v>
      </c>
      <c r="AJ3698">
        <v>28.270934</v>
      </c>
      <c r="AK3698" t="s">
        <v>859</v>
      </c>
      <c r="AL3698">
        <v>-82.267662999999999</v>
      </c>
      <c r="AM3698">
        <v>100</v>
      </c>
      <c r="AN3698">
        <v>2300</v>
      </c>
      <c r="AO3698" t="s">
        <v>118</v>
      </c>
      <c r="AP3698">
        <v>-123</v>
      </c>
      <c r="AQ3698">
        <v>64</v>
      </c>
      <c r="AR3698">
        <v>-1408</v>
      </c>
      <c r="AZ3698">
        <v>1200</v>
      </c>
      <c r="BA3698">
        <v>1</v>
      </c>
      <c r="BB3698" t="str">
        <f t="shared" si="1701"/>
        <v xml:space="preserve">N711JA  </v>
      </c>
      <c r="BC3698">
        <v>1</v>
      </c>
      <c r="BE3698">
        <v>0</v>
      </c>
      <c r="BF3698">
        <v>0</v>
      </c>
      <c r="BG3698">
        <v>0</v>
      </c>
      <c r="BH3698">
        <v>2375</v>
      </c>
      <c r="BI3698">
        <v>1</v>
      </c>
      <c r="BJ3698">
        <v>1</v>
      </c>
      <c r="BK3698">
        <v>0</v>
      </c>
      <c r="BL3698">
        <v>0</v>
      </c>
      <c r="BO3698">
        <v>0</v>
      </c>
      <c r="BP3698">
        <v>0</v>
      </c>
      <c r="BW3698" t="str">
        <f t="shared" si="1711"/>
        <v>14:47:57.151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5</v>
      </c>
      <c r="CP3698" t="s">
        <v>119</v>
      </c>
      <c r="CQ3698">
        <v>62</v>
      </c>
      <c r="CR3698">
        <v>1</v>
      </c>
      <c r="CW3698">
        <v>12955939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1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3">
      <c r="A3699" t="str">
        <f t="shared" si="1709"/>
        <v>05/12/2020 14:47:39.355</v>
      </c>
      <c r="C3699" t="str">
        <f t="shared" si="1700"/>
        <v>FFDFD3C0</v>
      </c>
      <c r="D3699" t="s">
        <v>113</v>
      </c>
      <c r="E3699">
        <v>3</v>
      </c>
      <c r="H3699">
        <v>164</v>
      </c>
      <c r="I3699" t="s">
        <v>114</v>
      </c>
      <c r="J3699" t="s">
        <v>115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 t="shared" si="1710"/>
        <v>14:47:57.148</v>
      </c>
      <c r="T3699" t="str">
        <f>"14:47:56.448"</f>
        <v>14:47:56.448</v>
      </c>
      <c r="U3699" t="str">
        <f t="shared" si="1691"/>
        <v>A9808D</v>
      </c>
      <c r="V3699">
        <v>0</v>
      </c>
      <c r="W3699">
        <v>0</v>
      </c>
      <c r="X3699">
        <v>1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0</v>
      </c>
      <c r="AI3699" t="s">
        <v>491</v>
      </c>
      <c r="AJ3699">
        <v>28.270934</v>
      </c>
      <c r="AK3699" t="s">
        <v>859</v>
      </c>
      <c r="AL3699">
        <v>-82.267662999999999</v>
      </c>
      <c r="AM3699">
        <v>100</v>
      </c>
      <c r="AN3699">
        <v>2300</v>
      </c>
      <c r="AO3699" t="s">
        <v>118</v>
      </c>
      <c r="AP3699">
        <v>-123</v>
      </c>
      <c r="AQ3699">
        <v>64</v>
      </c>
      <c r="AR3699">
        <v>-1408</v>
      </c>
      <c r="AZ3699">
        <v>1200</v>
      </c>
      <c r="BA3699">
        <v>1</v>
      </c>
      <c r="BB3699" t="str">
        <f t="shared" si="1701"/>
        <v xml:space="preserve">N711JA  </v>
      </c>
      <c r="BC3699">
        <v>1</v>
      </c>
      <c r="BE3699">
        <v>0</v>
      </c>
      <c r="BF3699">
        <v>0</v>
      </c>
      <c r="BG3699">
        <v>0</v>
      </c>
      <c r="BH3699">
        <v>2375</v>
      </c>
      <c r="BI3699">
        <v>1</v>
      </c>
      <c r="BJ3699">
        <v>1</v>
      </c>
      <c r="BK3699">
        <v>0</v>
      </c>
      <c r="BL3699">
        <v>0</v>
      </c>
      <c r="BO3699">
        <v>0</v>
      </c>
      <c r="BP3699">
        <v>0</v>
      </c>
      <c r="BW3699" t="str">
        <f t="shared" si="1711"/>
        <v>14:47:57.151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5</v>
      </c>
      <c r="CP3699" t="s">
        <v>119</v>
      </c>
      <c r="CQ3699">
        <v>62</v>
      </c>
      <c r="CR3699">
        <v>1</v>
      </c>
      <c r="CW3699">
        <v>12955939</v>
      </c>
      <c r="CY3699">
        <v>1</v>
      </c>
      <c r="CZ3699">
        <v>0</v>
      </c>
      <c r="DA3699">
        <v>1</v>
      </c>
      <c r="DB3699">
        <v>0</v>
      </c>
      <c r="DC3699">
        <v>0</v>
      </c>
      <c r="DD3699">
        <v>1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3">
      <c r="A3700" t="str">
        <f t="shared" ref="A3700:A3708" si="1712">"05/12/2020 14:47:40.399"</f>
        <v>05/12/2020 14:47:40.399</v>
      </c>
      <c r="C3700" t="str">
        <f t="shared" si="1700"/>
        <v>FFDFD3C0</v>
      </c>
      <c r="D3700" t="s">
        <v>126</v>
      </c>
      <c r="E3700">
        <v>6</v>
      </c>
      <c r="F3700">
        <v>1006</v>
      </c>
      <c r="G3700" t="s">
        <v>114</v>
      </c>
      <c r="J3700" t="s">
        <v>128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 t="shared" ref="S3700:S3708" si="1713">"14:47:58.219"</f>
        <v>14:47:58.219</v>
      </c>
      <c r="T3700" t="str">
        <f t="shared" ref="T3700:T3708" si="1714">"14:47:58.019"</f>
        <v>14:47:58.019</v>
      </c>
      <c r="U3700" t="str">
        <f t="shared" si="1691"/>
        <v>A9808D</v>
      </c>
      <c r="V3700">
        <v>0</v>
      </c>
      <c r="W3700">
        <v>0</v>
      </c>
      <c r="X3700">
        <v>1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0</v>
      </c>
      <c r="AI3700" t="s">
        <v>860</v>
      </c>
      <c r="AJ3700">
        <v>28.271212999999999</v>
      </c>
      <c r="AK3700" t="s">
        <v>781</v>
      </c>
      <c r="AL3700">
        <v>-82.268414000000007</v>
      </c>
      <c r="AM3700">
        <v>100</v>
      </c>
      <c r="AN3700">
        <v>2300</v>
      </c>
      <c r="AO3700" t="s">
        <v>118</v>
      </c>
      <c r="AP3700">
        <v>-133</v>
      </c>
      <c r="AQ3700">
        <v>48</v>
      </c>
      <c r="AR3700">
        <v>-1536</v>
      </c>
      <c r="AZ3700">
        <v>1200</v>
      </c>
      <c r="BA3700">
        <v>1</v>
      </c>
      <c r="BB3700" t="str">
        <f t="shared" si="1701"/>
        <v xml:space="preserve">N711JA  </v>
      </c>
      <c r="BC3700">
        <v>1</v>
      </c>
      <c r="BE3700">
        <v>0</v>
      </c>
      <c r="BF3700">
        <v>0</v>
      </c>
      <c r="BG3700">
        <v>0</v>
      </c>
      <c r="BH3700">
        <v>2325</v>
      </c>
      <c r="BI3700">
        <v>1</v>
      </c>
      <c r="BJ3700">
        <v>1</v>
      </c>
      <c r="BK3700">
        <v>0</v>
      </c>
      <c r="BL3700">
        <v>0</v>
      </c>
      <c r="BO3700">
        <v>0</v>
      </c>
      <c r="BP3700">
        <v>0</v>
      </c>
      <c r="BW3700" t="str">
        <f t="shared" ref="BW3700:BW3708" si="1715">"14:47:58.219"</f>
        <v>14:47:58.219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5</v>
      </c>
      <c r="CP3700" t="s">
        <v>119</v>
      </c>
      <c r="CQ3700">
        <v>62</v>
      </c>
      <c r="CR3700">
        <v>1</v>
      </c>
      <c r="CW3700">
        <v>12957156</v>
      </c>
      <c r="CY3700">
        <v>1</v>
      </c>
      <c r="CZ3700">
        <v>0</v>
      </c>
      <c r="DA3700">
        <v>0</v>
      </c>
      <c r="DB3700">
        <v>0</v>
      </c>
      <c r="DC3700">
        <v>0</v>
      </c>
      <c r="DD3700">
        <v>1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3">
      <c r="A3701" t="str">
        <f t="shared" si="1712"/>
        <v>05/12/2020 14:47:40.399</v>
      </c>
      <c r="C3701" t="str">
        <f t="shared" si="1700"/>
        <v>FFDFD3C0</v>
      </c>
      <c r="D3701" t="s">
        <v>134</v>
      </c>
      <c r="E3701">
        <v>12</v>
      </c>
      <c r="H3701">
        <v>64</v>
      </c>
      <c r="I3701" t="s">
        <v>135</v>
      </c>
      <c r="J3701" t="s">
        <v>136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 t="shared" si="1713"/>
        <v>14:47:58.219</v>
      </c>
      <c r="T3701" t="str">
        <f t="shared" si="1714"/>
        <v>14:47:58.019</v>
      </c>
      <c r="U3701" t="str">
        <f t="shared" si="1691"/>
        <v>A9808D</v>
      </c>
      <c r="V3701">
        <v>0</v>
      </c>
      <c r="W3701">
        <v>0</v>
      </c>
      <c r="X3701">
        <v>1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0</v>
      </c>
      <c r="AI3701" t="s">
        <v>860</v>
      </c>
      <c r="AJ3701">
        <v>28.271212999999999</v>
      </c>
      <c r="AK3701" t="s">
        <v>781</v>
      </c>
      <c r="AL3701">
        <v>-82.268414000000007</v>
      </c>
      <c r="AM3701">
        <v>100</v>
      </c>
      <c r="AN3701">
        <v>2300</v>
      </c>
      <c r="AO3701" t="s">
        <v>118</v>
      </c>
      <c r="AP3701">
        <v>-133</v>
      </c>
      <c r="AQ3701">
        <v>48</v>
      </c>
      <c r="AR3701">
        <v>-1536</v>
      </c>
      <c r="AZ3701">
        <v>1200</v>
      </c>
      <c r="BA3701">
        <v>1</v>
      </c>
      <c r="BB3701" t="str">
        <f t="shared" si="1701"/>
        <v xml:space="preserve">N711JA  </v>
      </c>
      <c r="BC3701">
        <v>1</v>
      </c>
      <c r="BE3701">
        <v>0</v>
      </c>
      <c r="BF3701">
        <v>0</v>
      </c>
      <c r="BG3701">
        <v>0</v>
      </c>
      <c r="BH3701">
        <v>2325</v>
      </c>
      <c r="BI3701">
        <v>1</v>
      </c>
      <c r="BJ3701">
        <v>1</v>
      </c>
      <c r="BK3701">
        <v>0</v>
      </c>
      <c r="BL3701">
        <v>0</v>
      </c>
      <c r="BO3701">
        <v>0</v>
      </c>
      <c r="BP3701">
        <v>0</v>
      </c>
      <c r="BW3701" t="str">
        <f t="shared" si="1715"/>
        <v>14:47:58.219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3</v>
      </c>
      <c r="CP3701" t="s">
        <v>119</v>
      </c>
      <c r="CQ3701">
        <v>358</v>
      </c>
      <c r="CR3701">
        <v>0</v>
      </c>
      <c r="CW3701">
        <v>5024264</v>
      </c>
      <c r="CY3701">
        <v>1</v>
      </c>
      <c r="CZ3701">
        <v>0</v>
      </c>
      <c r="DA3701">
        <v>1</v>
      </c>
      <c r="DB3701">
        <v>0</v>
      </c>
      <c r="DC3701">
        <v>0</v>
      </c>
      <c r="DD3701">
        <v>1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3">
      <c r="A3702" t="str">
        <f t="shared" si="1712"/>
        <v>05/12/2020 14:47:40.399</v>
      </c>
      <c r="C3702" t="str">
        <f t="shared" si="1700"/>
        <v>FFDFD3C0</v>
      </c>
      <c r="D3702" t="s">
        <v>113</v>
      </c>
      <c r="E3702">
        <v>3</v>
      </c>
      <c r="H3702">
        <v>164</v>
      </c>
      <c r="I3702" t="s">
        <v>114</v>
      </c>
      <c r="J3702" t="s">
        <v>115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 t="shared" si="1713"/>
        <v>14:47:58.219</v>
      </c>
      <c r="T3702" t="str">
        <f t="shared" si="1714"/>
        <v>14:47:58.019</v>
      </c>
      <c r="U3702" t="str">
        <f t="shared" si="1691"/>
        <v>A9808D</v>
      </c>
      <c r="V3702">
        <v>0</v>
      </c>
      <c r="W3702">
        <v>0</v>
      </c>
      <c r="X3702">
        <v>1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0</v>
      </c>
      <c r="AI3702" t="s">
        <v>860</v>
      </c>
      <c r="AJ3702">
        <v>28.271212999999999</v>
      </c>
      <c r="AK3702" t="s">
        <v>781</v>
      </c>
      <c r="AL3702">
        <v>-82.268414000000007</v>
      </c>
      <c r="AM3702">
        <v>100</v>
      </c>
      <c r="AN3702">
        <v>2300</v>
      </c>
      <c r="AO3702" t="s">
        <v>118</v>
      </c>
      <c r="AP3702">
        <v>-133</v>
      </c>
      <c r="AQ3702">
        <v>48</v>
      </c>
      <c r="AR3702">
        <v>-1536</v>
      </c>
      <c r="AZ3702">
        <v>1200</v>
      </c>
      <c r="BA3702">
        <v>1</v>
      </c>
      <c r="BB3702" t="str">
        <f t="shared" si="1701"/>
        <v xml:space="preserve">N711JA  </v>
      </c>
      <c r="BC3702">
        <v>1</v>
      </c>
      <c r="BE3702">
        <v>0</v>
      </c>
      <c r="BF3702">
        <v>0</v>
      </c>
      <c r="BG3702">
        <v>0</v>
      </c>
      <c r="BH3702">
        <v>2325</v>
      </c>
      <c r="BI3702">
        <v>1</v>
      </c>
      <c r="BJ3702">
        <v>1</v>
      </c>
      <c r="BK3702">
        <v>0</v>
      </c>
      <c r="BL3702">
        <v>0</v>
      </c>
      <c r="BO3702">
        <v>0</v>
      </c>
      <c r="BP3702">
        <v>0</v>
      </c>
      <c r="BW3702" t="str">
        <f t="shared" si="1715"/>
        <v>14:47:58.219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5</v>
      </c>
      <c r="CP3702" t="s">
        <v>119</v>
      </c>
      <c r="CQ3702">
        <v>62</v>
      </c>
      <c r="CR3702">
        <v>1</v>
      </c>
      <c r="CW3702">
        <v>12957156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1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3">
      <c r="A3703" t="str">
        <f t="shared" si="1712"/>
        <v>05/12/2020 14:47:40.399</v>
      </c>
      <c r="C3703" t="str">
        <f t="shared" si="1700"/>
        <v>FFDFD3C0</v>
      </c>
      <c r="D3703" t="s">
        <v>126</v>
      </c>
      <c r="E3703">
        <v>7</v>
      </c>
      <c r="F3703">
        <v>1007</v>
      </c>
      <c r="G3703" t="s">
        <v>127</v>
      </c>
      <c r="J3703" t="s">
        <v>128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 t="shared" si="1713"/>
        <v>14:47:58.219</v>
      </c>
      <c r="T3703" t="str">
        <f t="shared" si="1714"/>
        <v>14:47:58.019</v>
      </c>
      <c r="U3703" t="str">
        <f t="shared" si="1691"/>
        <v>A9808D</v>
      </c>
      <c r="V3703">
        <v>0</v>
      </c>
      <c r="W3703">
        <v>0</v>
      </c>
      <c r="X3703">
        <v>1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0</v>
      </c>
      <c r="AI3703" t="s">
        <v>860</v>
      </c>
      <c r="AJ3703">
        <v>28.271212999999999</v>
      </c>
      <c r="AK3703" t="s">
        <v>781</v>
      </c>
      <c r="AL3703">
        <v>-82.268414000000007</v>
      </c>
      <c r="AM3703">
        <v>100</v>
      </c>
      <c r="AN3703">
        <v>2300</v>
      </c>
      <c r="AO3703" t="s">
        <v>118</v>
      </c>
      <c r="AP3703">
        <v>-133</v>
      </c>
      <c r="AQ3703">
        <v>48</v>
      </c>
      <c r="AR3703">
        <v>-1536</v>
      </c>
      <c r="AZ3703">
        <v>1200</v>
      </c>
      <c r="BA3703">
        <v>1</v>
      </c>
      <c r="BB3703" t="str">
        <f t="shared" si="1701"/>
        <v xml:space="preserve">N711JA  </v>
      </c>
      <c r="BC3703">
        <v>1</v>
      </c>
      <c r="BE3703">
        <v>0</v>
      </c>
      <c r="BF3703">
        <v>0</v>
      </c>
      <c r="BG3703">
        <v>0</v>
      </c>
      <c r="BH3703">
        <v>2325</v>
      </c>
      <c r="BI3703">
        <v>1</v>
      </c>
      <c r="BJ3703">
        <v>1</v>
      </c>
      <c r="BK3703">
        <v>0</v>
      </c>
      <c r="BL3703">
        <v>0</v>
      </c>
      <c r="BO3703">
        <v>0</v>
      </c>
      <c r="BP3703">
        <v>0</v>
      </c>
      <c r="BW3703" t="str">
        <f t="shared" si="1715"/>
        <v>14:47:58.219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5</v>
      </c>
      <c r="CP3703" t="s">
        <v>119</v>
      </c>
      <c r="CQ3703">
        <v>62</v>
      </c>
      <c r="CR3703">
        <v>1</v>
      </c>
      <c r="CW3703">
        <v>12957156</v>
      </c>
      <c r="CY3703">
        <v>1</v>
      </c>
      <c r="CZ3703">
        <v>0</v>
      </c>
      <c r="DA3703">
        <v>1</v>
      </c>
      <c r="DB3703">
        <v>0</v>
      </c>
      <c r="DC3703">
        <v>0</v>
      </c>
      <c r="DD3703">
        <v>1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3">
      <c r="A3704" t="str">
        <f t="shared" si="1712"/>
        <v>05/12/2020 14:47:40.399</v>
      </c>
      <c r="C3704" t="str">
        <f t="shared" si="1700"/>
        <v>FFDFD3C0</v>
      </c>
      <c r="D3704" t="s">
        <v>131</v>
      </c>
      <c r="E3704">
        <v>10</v>
      </c>
      <c r="F3704">
        <v>2010</v>
      </c>
      <c r="G3704" t="s">
        <v>132</v>
      </c>
      <c r="J3704" t="s">
        <v>133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 t="shared" si="1713"/>
        <v>14:47:58.219</v>
      </c>
      <c r="T3704" t="str">
        <f t="shared" si="1714"/>
        <v>14:47:58.019</v>
      </c>
      <c r="U3704" t="str">
        <f t="shared" si="1691"/>
        <v>A9808D</v>
      </c>
      <c r="V3704">
        <v>0</v>
      </c>
      <c r="W3704">
        <v>0</v>
      </c>
      <c r="X3704">
        <v>1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0</v>
      </c>
      <c r="AI3704" t="s">
        <v>860</v>
      </c>
      <c r="AJ3704">
        <v>28.271212999999999</v>
      </c>
      <c r="AK3704" t="s">
        <v>781</v>
      </c>
      <c r="AL3704">
        <v>-82.268414000000007</v>
      </c>
      <c r="AM3704">
        <v>100</v>
      </c>
      <c r="AN3704">
        <v>2300</v>
      </c>
      <c r="AO3704" t="s">
        <v>118</v>
      </c>
      <c r="AP3704">
        <v>-133</v>
      </c>
      <c r="AQ3704">
        <v>48</v>
      </c>
      <c r="AR3704">
        <v>-1536</v>
      </c>
      <c r="AZ3704">
        <v>1200</v>
      </c>
      <c r="BA3704">
        <v>1</v>
      </c>
      <c r="BB3704" t="str">
        <f t="shared" si="1701"/>
        <v xml:space="preserve">N711JA  </v>
      </c>
      <c r="BC3704">
        <v>1</v>
      </c>
      <c r="BE3704">
        <v>0</v>
      </c>
      <c r="BF3704">
        <v>0</v>
      </c>
      <c r="BG3704">
        <v>0</v>
      </c>
      <c r="BH3704">
        <v>2325</v>
      </c>
      <c r="BI3704">
        <v>1</v>
      </c>
      <c r="BJ3704">
        <v>1</v>
      </c>
      <c r="BK3704">
        <v>0</v>
      </c>
      <c r="BL3704">
        <v>0</v>
      </c>
      <c r="BO3704">
        <v>0</v>
      </c>
      <c r="BP3704">
        <v>0</v>
      </c>
      <c r="BW3704" t="str">
        <f t="shared" si="1715"/>
        <v>14:47:58.219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3</v>
      </c>
      <c r="CP3704" t="s">
        <v>119</v>
      </c>
      <c r="CQ3704">
        <v>358</v>
      </c>
      <c r="CR3704">
        <v>0</v>
      </c>
      <c r="CW3704">
        <v>5024264</v>
      </c>
      <c r="CY3704">
        <v>1</v>
      </c>
      <c r="CZ3704">
        <v>0</v>
      </c>
      <c r="DA3704">
        <v>1</v>
      </c>
      <c r="DB3704">
        <v>0</v>
      </c>
      <c r="DC3704">
        <v>0</v>
      </c>
      <c r="DD3704">
        <v>1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3">
      <c r="A3705" t="str">
        <f t="shared" si="1712"/>
        <v>05/12/2020 14:47:40.399</v>
      </c>
      <c r="C3705" t="str">
        <f t="shared" si="1700"/>
        <v>FFDFD3C0</v>
      </c>
      <c r="D3705" t="s">
        <v>131</v>
      </c>
      <c r="E3705">
        <v>12</v>
      </c>
      <c r="F3705">
        <v>2012</v>
      </c>
      <c r="G3705" t="s">
        <v>137</v>
      </c>
      <c r="J3705" t="s">
        <v>133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si="1713"/>
        <v>14:47:58.219</v>
      </c>
      <c r="T3705" t="str">
        <f t="shared" si="1714"/>
        <v>14:47:58.019</v>
      </c>
      <c r="U3705" t="str">
        <f t="shared" si="1691"/>
        <v>A9808D</v>
      </c>
      <c r="V3705">
        <v>0</v>
      </c>
      <c r="W3705">
        <v>0</v>
      </c>
      <c r="X3705">
        <v>1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0</v>
      </c>
      <c r="AI3705" t="s">
        <v>860</v>
      </c>
      <c r="AJ3705">
        <v>28.271212999999999</v>
      </c>
      <c r="AK3705" t="s">
        <v>781</v>
      </c>
      <c r="AL3705">
        <v>-82.268414000000007</v>
      </c>
      <c r="AM3705">
        <v>100</v>
      </c>
      <c r="AN3705">
        <v>2300</v>
      </c>
      <c r="AO3705" t="s">
        <v>118</v>
      </c>
      <c r="AP3705">
        <v>-133</v>
      </c>
      <c r="AQ3705">
        <v>48</v>
      </c>
      <c r="AR3705">
        <v>-1536</v>
      </c>
      <c r="AZ3705">
        <v>1200</v>
      </c>
      <c r="BA3705">
        <v>1</v>
      </c>
      <c r="BB3705" t="str">
        <f t="shared" si="1701"/>
        <v xml:space="preserve">N711JA  </v>
      </c>
      <c r="BC3705">
        <v>1</v>
      </c>
      <c r="BE3705">
        <v>0</v>
      </c>
      <c r="BF3705">
        <v>0</v>
      </c>
      <c r="BG3705">
        <v>0</v>
      </c>
      <c r="BH3705">
        <v>2325</v>
      </c>
      <c r="BI3705">
        <v>1</v>
      </c>
      <c r="BJ3705">
        <v>1</v>
      </c>
      <c r="BK3705">
        <v>0</v>
      </c>
      <c r="BL3705">
        <v>0</v>
      </c>
      <c r="BO3705">
        <v>0</v>
      </c>
      <c r="BP3705">
        <v>0</v>
      </c>
      <c r="BW3705" t="str">
        <f t="shared" si="1715"/>
        <v>14:47:58.219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2</v>
      </c>
      <c r="CP3705" t="s">
        <v>675</v>
      </c>
      <c r="CQ3705">
        <v>363</v>
      </c>
      <c r="CR3705">
        <v>0</v>
      </c>
      <c r="CW3705">
        <v>6555021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1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3">
      <c r="A3706" t="str">
        <f t="shared" si="1712"/>
        <v>05/12/2020 14:47:40.399</v>
      </c>
      <c r="C3706" t="str">
        <f t="shared" si="1700"/>
        <v>FFDFD3C0</v>
      </c>
      <c r="D3706" t="s">
        <v>131</v>
      </c>
      <c r="E3706">
        <v>18</v>
      </c>
      <c r="F3706">
        <v>2018</v>
      </c>
      <c r="G3706" t="s">
        <v>161</v>
      </c>
      <c r="J3706" t="s">
        <v>133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1713"/>
        <v>14:47:58.219</v>
      </c>
      <c r="T3706" t="str">
        <f t="shared" si="1714"/>
        <v>14:47:58.019</v>
      </c>
      <c r="U3706" t="str">
        <f t="shared" si="1691"/>
        <v>A9808D</v>
      </c>
      <c r="V3706">
        <v>0</v>
      </c>
      <c r="W3706">
        <v>0</v>
      </c>
      <c r="X3706">
        <v>1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0</v>
      </c>
      <c r="AI3706" t="s">
        <v>860</v>
      </c>
      <c r="AJ3706">
        <v>28.271212999999999</v>
      </c>
      <c r="AK3706" t="s">
        <v>781</v>
      </c>
      <c r="AL3706">
        <v>-82.268414000000007</v>
      </c>
      <c r="AM3706">
        <v>100</v>
      </c>
      <c r="AN3706">
        <v>2300</v>
      </c>
      <c r="AO3706" t="s">
        <v>118</v>
      </c>
      <c r="AP3706">
        <v>-133</v>
      </c>
      <c r="AQ3706">
        <v>48</v>
      </c>
      <c r="AR3706">
        <v>-1536</v>
      </c>
      <c r="AZ3706">
        <v>1200</v>
      </c>
      <c r="BA3706">
        <v>1</v>
      </c>
      <c r="BB3706" t="str">
        <f t="shared" si="1701"/>
        <v xml:space="preserve">N711JA  </v>
      </c>
      <c r="BC3706">
        <v>1</v>
      </c>
      <c r="BE3706">
        <v>0</v>
      </c>
      <c r="BF3706">
        <v>0</v>
      </c>
      <c r="BG3706">
        <v>0</v>
      </c>
      <c r="BH3706">
        <v>2325</v>
      </c>
      <c r="BI3706">
        <v>1</v>
      </c>
      <c r="BJ3706">
        <v>1</v>
      </c>
      <c r="BK3706">
        <v>0</v>
      </c>
      <c r="BL3706">
        <v>0</v>
      </c>
      <c r="BO3706">
        <v>0</v>
      </c>
      <c r="BP3706">
        <v>0</v>
      </c>
      <c r="BW3706" t="str">
        <f t="shared" si="1715"/>
        <v>14:47:58.219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5</v>
      </c>
      <c r="CP3706" t="s">
        <v>119</v>
      </c>
      <c r="CQ3706">
        <v>62</v>
      </c>
      <c r="CR3706">
        <v>1</v>
      </c>
      <c r="CW3706">
        <v>12957156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1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3">
      <c r="A3707" t="str">
        <f t="shared" si="1712"/>
        <v>05/12/2020 14:47:40.399</v>
      </c>
      <c r="C3707" t="str">
        <f t="shared" si="1700"/>
        <v>FFDFD3C0</v>
      </c>
      <c r="D3707" t="s">
        <v>138</v>
      </c>
      <c r="E3707">
        <v>2</v>
      </c>
      <c r="H3707">
        <v>8</v>
      </c>
      <c r="I3707" t="s">
        <v>139</v>
      </c>
      <c r="J3707" t="s">
        <v>136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1713"/>
        <v>14:47:58.219</v>
      </c>
      <c r="T3707" t="str">
        <f t="shared" si="1714"/>
        <v>14:47:58.019</v>
      </c>
      <c r="U3707" t="str">
        <f t="shared" si="1691"/>
        <v>A9808D</v>
      </c>
      <c r="V3707">
        <v>0</v>
      </c>
      <c r="W3707">
        <v>0</v>
      </c>
      <c r="X3707">
        <v>1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0</v>
      </c>
      <c r="AI3707" t="s">
        <v>860</v>
      </c>
      <c r="AJ3707">
        <v>28.271212999999999</v>
      </c>
      <c r="AK3707" t="s">
        <v>781</v>
      </c>
      <c r="AL3707">
        <v>-82.268414000000007</v>
      </c>
      <c r="AM3707">
        <v>100</v>
      </c>
      <c r="AN3707">
        <v>2300</v>
      </c>
      <c r="AO3707" t="s">
        <v>118</v>
      </c>
      <c r="AP3707">
        <v>-133</v>
      </c>
      <c r="AQ3707">
        <v>48</v>
      </c>
      <c r="AR3707">
        <v>-1536</v>
      </c>
      <c r="AZ3707">
        <v>1200</v>
      </c>
      <c r="BA3707">
        <v>1</v>
      </c>
      <c r="BB3707" t="str">
        <f t="shared" si="1701"/>
        <v xml:space="preserve">N711JA  </v>
      </c>
      <c r="BC3707">
        <v>1</v>
      </c>
      <c r="BE3707">
        <v>0</v>
      </c>
      <c r="BF3707">
        <v>0</v>
      </c>
      <c r="BG3707">
        <v>0</v>
      </c>
      <c r="BH3707">
        <v>2325</v>
      </c>
      <c r="BI3707">
        <v>1</v>
      </c>
      <c r="BJ3707">
        <v>1</v>
      </c>
      <c r="BK3707">
        <v>0</v>
      </c>
      <c r="BL3707">
        <v>0</v>
      </c>
      <c r="BO3707">
        <v>0</v>
      </c>
      <c r="BP3707">
        <v>0</v>
      </c>
      <c r="BW3707" t="str">
        <f t="shared" si="1715"/>
        <v>14:47:58.219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2</v>
      </c>
      <c r="CP3707" t="s">
        <v>675</v>
      </c>
      <c r="CQ3707">
        <v>363</v>
      </c>
      <c r="CR3707">
        <v>0</v>
      </c>
      <c r="CW3707">
        <v>6555021</v>
      </c>
      <c r="CY3707">
        <v>1</v>
      </c>
      <c r="CZ3707">
        <v>0</v>
      </c>
      <c r="DA3707">
        <v>1</v>
      </c>
      <c r="DB3707">
        <v>0</v>
      </c>
      <c r="DC3707">
        <v>0</v>
      </c>
      <c r="DD3707">
        <v>1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3">
      <c r="A3708" t="str">
        <f t="shared" si="1712"/>
        <v>05/12/2020 14:47:40.399</v>
      </c>
      <c r="C3708" t="str">
        <f t="shared" si="1700"/>
        <v>FFDFD3C0</v>
      </c>
      <c r="D3708" t="s">
        <v>138</v>
      </c>
      <c r="E3708">
        <v>3</v>
      </c>
      <c r="H3708">
        <v>9</v>
      </c>
      <c r="I3708" t="s">
        <v>140</v>
      </c>
      <c r="J3708" t="s">
        <v>136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1713"/>
        <v>14:47:58.219</v>
      </c>
      <c r="T3708" t="str">
        <f t="shared" si="1714"/>
        <v>14:47:58.019</v>
      </c>
      <c r="U3708" t="str">
        <f t="shared" si="1691"/>
        <v>A9808D</v>
      </c>
      <c r="V3708">
        <v>0</v>
      </c>
      <c r="W3708">
        <v>0</v>
      </c>
      <c r="X3708">
        <v>1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0</v>
      </c>
      <c r="AI3708" t="s">
        <v>860</v>
      </c>
      <c r="AJ3708">
        <v>28.271212999999999</v>
      </c>
      <c r="AK3708" t="s">
        <v>781</v>
      </c>
      <c r="AL3708">
        <v>-82.268414000000007</v>
      </c>
      <c r="AM3708">
        <v>100</v>
      </c>
      <c r="AN3708">
        <v>2300</v>
      </c>
      <c r="AO3708" t="s">
        <v>118</v>
      </c>
      <c r="AP3708">
        <v>-133</v>
      </c>
      <c r="AQ3708">
        <v>48</v>
      </c>
      <c r="AR3708">
        <v>-1536</v>
      </c>
      <c r="AZ3708">
        <v>1200</v>
      </c>
      <c r="BA3708">
        <v>1</v>
      </c>
      <c r="BB3708" t="str">
        <f t="shared" si="1701"/>
        <v xml:space="preserve">N711JA  </v>
      </c>
      <c r="BC3708">
        <v>1</v>
      </c>
      <c r="BE3708">
        <v>0</v>
      </c>
      <c r="BF3708">
        <v>0</v>
      </c>
      <c r="BG3708">
        <v>0</v>
      </c>
      <c r="BH3708">
        <v>2325</v>
      </c>
      <c r="BI3708">
        <v>1</v>
      </c>
      <c r="BJ3708">
        <v>1</v>
      </c>
      <c r="BK3708">
        <v>0</v>
      </c>
      <c r="BL3708">
        <v>0</v>
      </c>
      <c r="BO3708">
        <v>0</v>
      </c>
      <c r="BP3708">
        <v>0</v>
      </c>
      <c r="BW3708" t="str">
        <f t="shared" si="1715"/>
        <v>14:47:58.219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3</v>
      </c>
      <c r="CP3708" t="s">
        <v>119</v>
      </c>
      <c r="CQ3708">
        <v>358</v>
      </c>
      <c r="CR3708">
        <v>0</v>
      </c>
      <c r="CW3708">
        <v>5024264</v>
      </c>
      <c r="CY3708">
        <v>1</v>
      </c>
      <c r="CZ3708">
        <v>0</v>
      </c>
      <c r="DA3708">
        <v>1</v>
      </c>
      <c r="DB3708">
        <v>0</v>
      </c>
      <c r="DC3708">
        <v>0</v>
      </c>
      <c r="DD3708">
        <v>1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3">
      <c r="A3709" t="str">
        <f t="shared" ref="A3709:A3717" si="1716">"05/12/2020 14:47:41.264"</f>
        <v>05/12/2020 14:47:41.264</v>
      </c>
      <c r="C3709" t="str">
        <f t="shared" si="1700"/>
        <v>FFDFD3C0</v>
      </c>
      <c r="D3709" t="s">
        <v>134</v>
      </c>
      <c r="E3709">
        <v>12</v>
      </c>
      <c r="H3709">
        <v>64</v>
      </c>
      <c r="I3709" t="s">
        <v>135</v>
      </c>
      <c r="J3709" t="s">
        <v>136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ref="S3709:S3717" si="1717">"14:47:59.086"</f>
        <v>14:47:59.086</v>
      </c>
      <c r="T3709" t="str">
        <f t="shared" ref="T3709:T3717" si="1718">"14:47:58.586"</f>
        <v>14:47:58.586</v>
      </c>
      <c r="U3709" t="str">
        <f t="shared" si="1691"/>
        <v>A9808D</v>
      </c>
      <c r="V3709">
        <v>0</v>
      </c>
      <c r="W3709">
        <v>0</v>
      </c>
      <c r="X3709">
        <v>1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3</v>
      </c>
      <c r="AG3709">
        <v>2</v>
      </c>
      <c r="AH3709">
        <v>0</v>
      </c>
      <c r="AI3709" t="s">
        <v>861</v>
      </c>
      <c r="AJ3709">
        <v>28.271298000000002</v>
      </c>
      <c r="AK3709" t="s">
        <v>862</v>
      </c>
      <c r="AL3709">
        <v>-82.269014999999996</v>
      </c>
      <c r="AM3709">
        <v>100</v>
      </c>
      <c r="AN3709">
        <v>2300</v>
      </c>
      <c r="AO3709" t="s">
        <v>118</v>
      </c>
      <c r="AP3709">
        <v>-137</v>
      </c>
      <c r="AQ3709">
        <v>41</v>
      </c>
      <c r="AR3709">
        <v>-1600</v>
      </c>
      <c r="AZ3709">
        <v>1200</v>
      </c>
      <c r="BA3709">
        <v>1</v>
      </c>
      <c r="BB3709" t="str">
        <f t="shared" si="1701"/>
        <v xml:space="preserve">N711JA  </v>
      </c>
      <c r="BC3709">
        <v>1</v>
      </c>
      <c r="BE3709">
        <v>0</v>
      </c>
      <c r="BF3709">
        <v>0</v>
      </c>
      <c r="BG3709">
        <v>0</v>
      </c>
      <c r="BH3709">
        <v>2325</v>
      </c>
      <c r="BI3709">
        <v>1</v>
      </c>
      <c r="BJ3709">
        <v>1</v>
      </c>
      <c r="BK3709">
        <v>0</v>
      </c>
      <c r="BL3709">
        <v>0</v>
      </c>
      <c r="BO3709">
        <v>0</v>
      </c>
      <c r="BP3709">
        <v>0</v>
      </c>
      <c r="BW3709" t="str">
        <f t="shared" ref="BW3709:BW3717" si="1719">"14:47:59.089"</f>
        <v>14:47:59.089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7</v>
      </c>
      <c r="CP3709" t="s">
        <v>119</v>
      </c>
      <c r="CQ3709">
        <v>8</v>
      </c>
      <c r="CR3709">
        <v>3</v>
      </c>
      <c r="CW3709">
        <v>9068994</v>
      </c>
      <c r="CY3709">
        <v>1</v>
      </c>
      <c r="CZ3709">
        <v>0</v>
      </c>
      <c r="DA3709">
        <v>0</v>
      </c>
      <c r="DB3709">
        <v>0</v>
      </c>
      <c r="DC3709">
        <v>0</v>
      </c>
      <c r="DD3709">
        <v>1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3">
      <c r="A3710" t="str">
        <f t="shared" si="1716"/>
        <v>05/12/2020 14:47:41.264</v>
      </c>
      <c r="C3710" t="str">
        <f t="shared" si="1700"/>
        <v>FFDFD3C0</v>
      </c>
      <c r="D3710" t="s">
        <v>126</v>
      </c>
      <c r="E3710">
        <v>7</v>
      </c>
      <c r="F3710">
        <v>1007</v>
      </c>
      <c r="G3710" t="s">
        <v>127</v>
      </c>
      <c r="J3710" t="s">
        <v>128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 t="shared" si="1717"/>
        <v>14:47:59.086</v>
      </c>
      <c r="T3710" t="str">
        <f t="shared" si="1718"/>
        <v>14:47:58.586</v>
      </c>
      <c r="U3710" t="str">
        <f t="shared" si="1691"/>
        <v>A9808D</v>
      </c>
      <c r="V3710">
        <v>0</v>
      </c>
      <c r="W3710">
        <v>0</v>
      </c>
      <c r="X3710">
        <v>1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0</v>
      </c>
      <c r="AI3710" t="s">
        <v>861</v>
      </c>
      <c r="AJ3710">
        <v>28.271298000000002</v>
      </c>
      <c r="AK3710" t="s">
        <v>862</v>
      </c>
      <c r="AL3710">
        <v>-82.269014999999996</v>
      </c>
      <c r="AM3710">
        <v>100</v>
      </c>
      <c r="AN3710">
        <v>2300</v>
      </c>
      <c r="AO3710" t="s">
        <v>118</v>
      </c>
      <c r="AP3710">
        <v>-137</v>
      </c>
      <c r="AQ3710">
        <v>41</v>
      </c>
      <c r="AR3710">
        <v>-1600</v>
      </c>
      <c r="AZ3710">
        <v>1200</v>
      </c>
      <c r="BA3710">
        <v>1</v>
      </c>
      <c r="BB3710" t="str">
        <f t="shared" si="1701"/>
        <v xml:space="preserve">N711JA  </v>
      </c>
      <c r="BC3710">
        <v>1</v>
      </c>
      <c r="BE3710">
        <v>0</v>
      </c>
      <c r="BF3710">
        <v>0</v>
      </c>
      <c r="BG3710">
        <v>0</v>
      </c>
      <c r="BH3710">
        <v>2325</v>
      </c>
      <c r="BI3710">
        <v>1</v>
      </c>
      <c r="BJ3710">
        <v>1</v>
      </c>
      <c r="BK3710">
        <v>0</v>
      </c>
      <c r="BL3710">
        <v>0</v>
      </c>
      <c r="BO3710">
        <v>0</v>
      </c>
      <c r="BP3710">
        <v>0</v>
      </c>
      <c r="BW3710" t="str">
        <f t="shared" si="1719"/>
        <v>14:47:59.089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7</v>
      </c>
      <c r="CP3710" t="s">
        <v>119</v>
      </c>
      <c r="CQ3710">
        <v>8</v>
      </c>
      <c r="CR3710">
        <v>3</v>
      </c>
      <c r="CW3710">
        <v>9068994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1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3">
      <c r="A3711" t="str">
        <f t="shared" si="1716"/>
        <v>05/12/2020 14:47:41.264</v>
      </c>
      <c r="C3711" t="str">
        <f t="shared" si="1700"/>
        <v>FFDFD3C0</v>
      </c>
      <c r="D3711" t="s">
        <v>131</v>
      </c>
      <c r="E3711">
        <v>10</v>
      </c>
      <c r="F3711">
        <v>2010</v>
      </c>
      <c r="G3711" t="s">
        <v>132</v>
      </c>
      <c r="J3711" t="s">
        <v>133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 t="shared" si="1717"/>
        <v>14:47:59.086</v>
      </c>
      <c r="T3711" t="str">
        <f t="shared" si="1718"/>
        <v>14:47:58.586</v>
      </c>
      <c r="U3711" t="str">
        <f t="shared" si="1691"/>
        <v>A9808D</v>
      </c>
      <c r="V3711">
        <v>0</v>
      </c>
      <c r="W3711">
        <v>0</v>
      </c>
      <c r="X3711">
        <v>1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0</v>
      </c>
      <c r="AI3711" t="s">
        <v>861</v>
      </c>
      <c r="AJ3711">
        <v>28.271298000000002</v>
      </c>
      <c r="AK3711" t="s">
        <v>862</v>
      </c>
      <c r="AL3711">
        <v>-82.269014999999996</v>
      </c>
      <c r="AM3711">
        <v>100</v>
      </c>
      <c r="AN3711">
        <v>2300</v>
      </c>
      <c r="AO3711" t="s">
        <v>118</v>
      </c>
      <c r="AP3711">
        <v>-137</v>
      </c>
      <c r="AQ3711">
        <v>41</v>
      </c>
      <c r="AR3711">
        <v>-1600</v>
      </c>
      <c r="AZ3711">
        <v>1200</v>
      </c>
      <c r="BA3711">
        <v>1</v>
      </c>
      <c r="BB3711" t="str">
        <f t="shared" si="1701"/>
        <v xml:space="preserve">N711JA  </v>
      </c>
      <c r="BC3711">
        <v>1</v>
      </c>
      <c r="BE3711">
        <v>0</v>
      </c>
      <c r="BF3711">
        <v>0</v>
      </c>
      <c r="BG3711">
        <v>0</v>
      </c>
      <c r="BH3711">
        <v>2325</v>
      </c>
      <c r="BI3711">
        <v>1</v>
      </c>
      <c r="BJ3711">
        <v>1</v>
      </c>
      <c r="BK3711">
        <v>0</v>
      </c>
      <c r="BL3711">
        <v>0</v>
      </c>
      <c r="BO3711">
        <v>0</v>
      </c>
      <c r="BP3711">
        <v>0</v>
      </c>
      <c r="BW3711" t="str">
        <f t="shared" si="1719"/>
        <v>14:47:59.089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7</v>
      </c>
      <c r="CP3711" t="s">
        <v>119</v>
      </c>
      <c r="CQ3711">
        <v>8</v>
      </c>
      <c r="CR3711">
        <v>3</v>
      </c>
      <c r="CW3711">
        <v>9068994</v>
      </c>
      <c r="CY3711">
        <v>1</v>
      </c>
      <c r="CZ3711">
        <v>0</v>
      </c>
      <c r="DA3711">
        <v>1</v>
      </c>
      <c r="DB3711">
        <v>0</v>
      </c>
      <c r="DC3711">
        <v>0</v>
      </c>
      <c r="DD3711">
        <v>1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3">
      <c r="A3712" t="str">
        <f t="shared" si="1716"/>
        <v>05/12/2020 14:47:41.264</v>
      </c>
      <c r="C3712" t="str">
        <f t="shared" si="1700"/>
        <v>FFDFD3C0</v>
      </c>
      <c r="D3712" t="s">
        <v>131</v>
      </c>
      <c r="E3712">
        <v>12</v>
      </c>
      <c r="F3712">
        <v>2012</v>
      </c>
      <c r="G3712" t="s">
        <v>137</v>
      </c>
      <c r="J3712" t="s">
        <v>133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 t="shared" si="1717"/>
        <v>14:47:59.086</v>
      </c>
      <c r="T3712" t="str">
        <f t="shared" si="1718"/>
        <v>14:47:58.586</v>
      </c>
      <c r="U3712" t="str">
        <f t="shared" si="1691"/>
        <v>A9808D</v>
      </c>
      <c r="V3712">
        <v>0</v>
      </c>
      <c r="W3712">
        <v>0</v>
      </c>
      <c r="X3712">
        <v>1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0</v>
      </c>
      <c r="AI3712" t="s">
        <v>861</v>
      </c>
      <c r="AJ3712">
        <v>28.271298000000002</v>
      </c>
      <c r="AK3712" t="s">
        <v>862</v>
      </c>
      <c r="AL3712">
        <v>-82.269014999999996</v>
      </c>
      <c r="AM3712">
        <v>100</v>
      </c>
      <c r="AN3712">
        <v>2300</v>
      </c>
      <c r="AO3712" t="s">
        <v>118</v>
      </c>
      <c r="AP3712">
        <v>-137</v>
      </c>
      <c r="AQ3712">
        <v>41</v>
      </c>
      <c r="AR3712">
        <v>-1600</v>
      </c>
      <c r="AZ3712">
        <v>1200</v>
      </c>
      <c r="BA3712">
        <v>1</v>
      </c>
      <c r="BB3712" t="str">
        <f t="shared" si="1701"/>
        <v xml:space="preserve">N711JA  </v>
      </c>
      <c r="BC3712">
        <v>1</v>
      </c>
      <c r="BE3712">
        <v>0</v>
      </c>
      <c r="BF3712">
        <v>0</v>
      </c>
      <c r="BG3712">
        <v>0</v>
      </c>
      <c r="BH3712">
        <v>2325</v>
      </c>
      <c r="BI3712">
        <v>1</v>
      </c>
      <c r="BJ3712">
        <v>1</v>
      </c>
      <c r="BK3712">
        <v>0</v>
      </c>
      <c r="BL3712">
        <v>0</v>
      </c>
      <c r="BO3712">
        <v>0</v>
      </c>
      <c r="BP3712">
        <v>0</v>
      </c>
      <c r="BW3712" t="str">
        <f t="shared" si="1719"/>
        <v>14:47:59.089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7</v>
      </c>
      <c r="CP3712" t="s">
        <v>119</v>
      </c>
      <c r="CQ3712">
        <v>8</v>
      </c>
      <c r="CR3712">
        <v>3</v>
      </c>
      <c r="CW3712">
        <v>9068994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1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3">
      <c r="A3713" t="str">
        <f t="shared" si="1716"/>
        <v>05/12/2020 14:47:41.264</v>
      </c>
      <c r="C3713" t="str">
        <f t="shared" si="1700"/>
        <v>FFDFD3C0</v>
      </c>
      <c r="D3713" t="s">
        <v>131</v>
      </c>
      <c r="E3713">
        <v>18</v>
      </c>
      <c r="F3713">
        <v>2018</v>
      </c>
      <c r="G3713" t="s">
        <v>161</v>
      </c>
      <c r="J3713" t="s">
        <v>133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 t="shared" si="1717"/>
        <v>14:47:59.086</v>
      </c>
      <c r="T3713" t="str">
        <f t="shared" si="1718"/>
        <v>14:47:58.586</v>
      </c>
      <c r="U3713" t="str">
        <f t="shared" si="1691"/>
        <v>A9808D</v>
      </c>
      <c r="V3713">
        <v>0</v>
      </c>
      <c r="W3713">
        <v>0</v>
      </c>
      <c r="X3713">
        <v>1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0</v>
      </c>
      <c r="AI3713" t="s">
        <v>861</v>
      </c>
      <c r="AJ3713">
        <v>28.271298000000002</v>
      </c>
      <c r="AK3713" t="s">
        <v>862</v>
      </c>
      <c r="AL3713">
        <v>-82.269014999999996</v>
      </c>
      <c r="AM3713">
        <v>100</v>
      </c>
      <c r="AN3713">
        <v>2300</v>
      </c>
      <c r="AO3713" t="s">
        <v>118</v>
      </c>
      <c r="AP3713">
        <v>-137</v>
      </c>
      <c r="AQ3713">
        <v>41</v>
      </c>
      <c r="AR3713">
        <v>-1600</v>
      </c>
      <c r="AZ3713">
        <v>1200</v>
      </c>
      <c r="BA3713">
        <v>1</v>
      </c>
      <c r="BB3713" t="str">
        <f t="shared" si="1701"/>
        <v xml:space="preserve">N711JA  </v>
      </c>
      <c r="BC3713">
        <v>1</v>
      </c>
      <c r="BE3713">
        <v>0</v>
      </c>
      <c r="BF3713">
        <v>0</v>
      </c>
      <c r="BG3713">
        <v>0</v>
      </c>
      <c r="BH3713">
        <v>2325</v>
      </c>
      <c r="BI3713">
        <v>1</v>
      </c>
      <c r="BJ3713">
        <v>1</v>
      </c>
      <c r="BK3713">
        <v>0</v>
      </c>
      <c r="BL3713">
        <v>0</v>
      </c>
      <c r="BO3713">
        <v>0</v>
      </c>
      <c r="BP3713">
        <v>0</v>
      </c>
      <c r="BW3713" t="str">
        <f t="shared" si="1719"/>
        <v>14:47:59.089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3</v>
      </c>
      <c r="CP3713" t="s">
        <v>119</v>
      </c>
      <c r="CQ3713">
        <v>62</v>
      </c>
      <c r="CR3713">
        <v>2</v>
      </c>
      <c r="CW3713">
        <v>13780762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1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3">
      <c r="A3714" t="str">
        <f t="shared" si="1716"/>
        <v>05/12/2020 14:47:41.264</v>
      </c>
      <c r="C3714" t="str">
        <f t="shared" si="1700"/>
        <v>FFDFD3C0</v>
      </c>
      <c r="D3714" t="s">
        <v>113</v>
      </c>
      <c r="E3714">
        <v>3</v>
      </c>
      <c r="H3714">
        <v>164</v>
      </c>
      <c r="I3714" t="s">
        <v>114</v>
      </c>
      <c r="J3714" t="s">
        <v>115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 t="shared" si="1717"/>
        <v>14:47:59.086</v>
      </c>
      <c r="T3714" t="str">
        <f t="shared" si="1718"/>
        <v>14:47:58.586</v>
      </c>
      <c r="U3714" t="str">
        <f t="shared" ref="U3714:U3777" si="1720">"A9808D"</f>
        <v>A9808D</v>
      </c>
      <c r="V3714">
        <v>0</v>
      </c>
      <c r="W3714">
        <v>0</v>
      </c>
      <c r="X3714">
        <v>1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3</v>
      </c>
      <c r="AG3714">
        <v>2</v>
      </c>
      <c r="AH3714">
        <v>0</v>
      </c>
      <c r="AI3714" t="s">
        <v>861</v>
      </c>
      <c r="AJ3714">
        <v>28.271298000000002</v>
      </c>
      <c r="AK3714" t="s">
        <v>862</v>
      </c>
      <c r="AL3714">
        <v>-82.269014999999996</v>
      </c>
      <c r="AM3714">
        <v>100</v>
      </c>
      <c r="AN3714">
        <v>2300</v>
      </c>
      <c r="AO3714" t="s">
        <v>118</v>
      </c>
      <c r="AP3714">
        <v>-137</v>
      </c>
      <c r="AQ3714">
        <v>41</v>
      </c>
      <c r="AR3714">
        <v>-1600</v>
      </c>
      <c r="AZ3714">
        <v>1200</v>
      </c>
      <c r="BA3714">
        <v>1</v>
      </c>
      <c r="BB3714" t="str">
        <f t="shared" si="1701"/>
        <v xml:space="preserve">N711JA  </v>
      </c>
      <c r="BC3714">
        <v>1</v>
      </c>
      <c r="BE3714">
        <v>0</v>
      </c>
      <c r="BF3714">
        <v>0</v>
      </c>
      <c r="BG3714">
        <v>0</v>
      </c>
      <c r="BH3714">
        <v>2325</v>
      </c>
      <c r="BI3714">
        <v>1</v>
      </c>
      <c r="BJ3714">
        <v>1</v>
      </c>
      <c r="BK3714">
        <v>0</v>
      </c>
      <c r="BL3714">
        <v>0</v>
      </c>
      <c r="BO3714">
        <v>0</v>
      </c>
      <c r="BP3714">
        <v>0</v>
      </c>
      <c r="BW3714" t="str">
        <f t="shared" si="1719"/>
        <v>14:47:59.089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7</v>
      </c>
      <c r="CP3714" t="s">
        <v>119</v>
      </c>
      <c r="CQ3714">
        <v>8</v>
      </c>
      <c r="CR3714">
        <v>3</v>
      </c>
      <c r="CW3714">
        <v>9068994</v>
      </c>
      <c r="CY3714">
        <v>1</v>
      </c>
      <c r="CZ3714">
        <v>0</v>
      </c>
      <c r="DA3714">
        <v>1</v>
      </c>
      <c r="DB3714">
        <v>0</v>
      </c>
      <c r="DC3714">
        <v>0</v>
      </c>
      <c r="DD3714">
        <v>1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3">
      <c r="A3715" t="str">
        <f t="shared" si="1716"/>
        <v>05/12/2020 14:47:41.264</v>
      </c>
      <c r="C3715" t="str">
        <f t="shared" si="1700"/>
        <v>FFDFD3C0</v>
      </c>
      <c r="D3715" t="s">
        <v>138</v>
      </c>
      <c r="E3715">
        <v>2</v>
      </c>
      <c r="H3715">
        <v>8</v>
      </c>
      <c r="I3715" t="s">
        <v>139</v>
      </c>
      <c r="J3715" t="s">
        <v>136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 t="shared" si="1717"/>
        <v>14:47:59.086</v>
      </c>
      <c r="T3715" t="str">
        <f t="shared" si="1718"/>
        <v>14:47:58.586</v>
      </c>
      <c r="U3715" t="str">
        <f t="shared" si="1720"/>
        <v>A9808D</v>
      </c>
      <c r="V3715">
        <v>0</v>
      </c>
      <c r="W3715">
        <v>0</v>
      </c>
      <c r="X3715">
        <v>1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0</v>
      </c>
      <c r="AI3715" t="s">
        <v>861</v>
      </c>
      <c r="AJ3715">
        <v>28.271298000000002</v>
      </c>
      <c r="AK3715" t="s">
        <v>862</v>
      </c>
      <c r="AL3715">
        <v>-82.269014999999996</v>
      </c>
      <c r="AM3715">
        <v>100</v>
      </c>
      <c r="AN3715">
        <v>2300</v>
      </c>
      <c r="AO3715" t="s">
        <v>118</v>
      </c>
      <c r="AP3715">
        <v>-137</v>
      </c>
      <c r="AQ3715">
        <v>41</v>
      </c>
      <c r="AR3715">
        <v>-1600</v>
      </c>
      <c r="AZ3715">
        <v>1200</v>
      </c>
      <c r="BA3715">
        <v>1</v>
      </c>
      <c r="BB3715" t="str">
        <f t="shared" si="1701"/>
        <v xml:space="preserve">N711JA  </v>
      </c>
      <c r="BC3715">
        <v>1</v>
      </c>
      <c r="BE3715">
        <v>0</v>
      </c>
      <c r="BF3715">
        <v>0</v>
      </c>
      <c r="BG3715">
        <v>0</v>
      </c>
      <c r="BH3715">
        <v>2325</v>
      </c>
      <c r="BI3715">
        <v>1</v>
      </c>
      <c r="BJ3715">
        <v>1</v>
      </c>
      <c r="BK3715">
        <v>0</v>
      </c>
      <c r="BL3715">
        <v>0</v>
      </c>
      <c r="BO3715">
        <v>0</v>
      </c>
      <c r="BP3715">
        <v>0</v>
      </c>
      <c r="BW3715" t="str">
        <f t="shared" si="1719"/>
        <v>14:47:59.089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7</v>
      </c>
      <c r="CP3715" t="s">
        <v>119</v>
      </c>
      <c r="CQ3715">
        <v>8</v>
      </c>
      <c r="CR3715">
        <v>3</v>
      </c>
      <c r="CW3715">
        <v>9068994</v>
      </c>
      <c r="CY3715">
        <v>1</v>
      </c>
      <c r="CZ3715">
        <v>0</v>
      </c>
      <c r="DA3715">
        <v>1</v>
      </c>
      <c r="DB3715">
        <v>0</v>
      </c>
      <c r="DC3715">
        <v>0</v>
      </c>
      <c r="DD3715">
        <v>1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3">
      <c r="A3716" t="str">
        <f t="shared" si="1716"/>
        <v>05/12/2020 14:47:41.264</v>
      </c>
      <c r="C3716" t="str">
        <f t="shared" si="1700"/>
        <v>FFDFD3C0</v>
      </c>
      <c r="D3716" t="s">
        <v>138</v>
      </c>
      <c r="E3716">
        <v>3</v>
      </c>
      <c r="H3716">
        <v>9</v>
      </c>
      <c r="I3716" t="s">
        <v>140</v>
      </c>
      <c r="J3716" t="s">
        <v>136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 t="shared" si="1717"/>
        <v>14:47:59.086</v>
      </c>
      <c r="T3716" t="str">
        <f t="shared" si="1718"/>
        <v>14:47:58.586</v>
      </c>
      <c r="U3716" t="str">
        <f t="shared" si="1720"/>
        <v>A9808D</v>
      </c>
      <c r="V3716">
        <v>0</v>
      </c>
      <c r="W3716">
        <v>0</v>
      </c>
      <c r="X3716">
        <v>1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0</v>
      </c>
      <c r="AI3716" t="s">
        <v>861</v>
      </c>
      <c r="AJ3716">
        <v>28.271298000000002</v>
      </c>
      <c r="AK3716" t="s">
        <v>862</v>
      </c>
      <c r="AL3716">
        <v>-82.269014999999996</v>
      </c>
      <c r="AM3716">
        <v>100</v>
      </c>
      <c r="AN3716">
        <v>2300</v>
      </c>
      <c r="AO3716" t="s">
        <v>118</v>
      </c>
      <c r="AP3716">
        <v>-137</v>
      </c>
      <c r="AQ3716">
        <v>41</v>
      </c>
      <c r="AR3716">
        <v>-1600</v>
      </c>
      <c r="AZ3716">
        <v>1200</v>
      </c>
      <c r="BA3716">
        <v>1</v>
      </c>
      <c r="BB3716" t="str">
        <f t="shared" si="1701"/>
        <v xml:space="preserve">N711JA  </v>
      </c>
      <c r="BC3716">
        <v>1</v>
      </c>
      <c r="BE3716">
        <v>0</v>
      </c>
      <c r="BF3716">
        <v>0</v>
      </c>
      <c r="BG3716">
        <v>0</v>
      </c>
      <c r="BH3716">
        <v>2325</v>
      </c>
      <c r="BI3716">
        <v>1</v>
      </c>
      <c r="BJ3716">
        <v>1</v>
      </c>
      <c r="BK3716">
        <v>0</v>
      </c>
      <c r="BL3716">
        <v>0</v>
      </c>
      <c r="BO3716">
        <v>0</v>
      </c>
      <c r="BP3716">
        <v>0</v>
      </c>
      <c r="BW3716" t="str">
        <f t="shared" si="1719"/>
        <v>14:47:59.089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7</v>
      </c>
      <c r="CP3716" t="s">
        <v>119</v>
      </c>
      <c r="CQ3716">
        <v>8</v>
      </c>
      <c r="CR3716">
        <v>3</v>
      </c>
      <c r="CW3716">
        <v>9068994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1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3">
      <c r="A3717" t="str">
        <f t="shared" si="1716"/>
        <v>05/12/2020 14:47:41.264</v>
      </c>
      <c r="C3717" t="str">
        <f t="shared" si="1700"/>
        <v>FFDFD3C0</v>
      </c>
      <c r="D3717" t="s">
        <v>126</v>
      </c>
      <c r="E3717">
        <v>6</v>
      </c>
      <c r="F3717">
        <v>1006</v>
      </c>
      <c r="G3717" t="s">
        <v>114</v>
      </c>
      <c r="J3717" t="s">
        <v>128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 t="shared" si="1717"/>
        <v>14:47:59.086</v>
      </c>
      <c r="T3717" t="str">
        <f t="shared" si="1718"/>
        <v>14:47:58.586</v>
      </c>
      <c r="U3717" t="str">
        <f t="shared" si="1720"/>
        <v>A9808D</v>
      </c>
      <c r="V3717">
        <v>0</v>
      </c>
      <c r="W3717">
        <v>0</v>
      </c>
      <c r="X3717">
        <v>1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0</v>
      </c>
      <c r="AI3717" t="s">
        <v>861</v>
      </c>
      <c r="AJ3717">
        <v>28.271298000000002</v>
      </c>
      <c r="AK3717" t="s">
        <v>862</v>
      </c>
      <c r="AL3717">
        <v>-82.269014999999996</v>
      </c>
      <c r="AM3717">
        <v>100</v>
      </c>
      <c r="AN3717">
        <v>2300</v>
      </c>
      <c r="AO3717" t="s">
        <v>118</v>
      </c>
      <c r="AP3717">
        <v>-137</v>
      </c>
      <c r="AQ3717">
        <v>41</v>
      </c>
      <c r="AR3717">
        <v>-1600</v>
      </c>
      <c r="AZ3717">
        <v>1200</v>
      </c>
      <c r="BA3717">
        <v>1</v>
      </c>
      <c r="BB3717" t="str">
        <f t="shared" si="1701"/>
        <v xml:space="preserve">N711JA  </v>
      </c>
      <c r="BC3717">
        <v>1</v>
      </c>
      <c r="BE3717">
        <v>0</v>
      </c>
      <c r="BF3717">
        <v>0</v>
      </c>
      <c r="BG3717">
        <v>0</v>
      </c>
      <c r="BH3717">
        <v>2325</v>
      </c>
      <c r="BI3717">
        <v>1</v>
      </c>
      <c r="BJ3717">
        <v>1</v>
      </c>
      <c r="BK3717">
        <v>0</v>
      </c>
      <c r="BL3717">
        <v>0</v>
      </c>
      <c r="BO3717">
        <v>0</v>
      </c>
      <c r="BP3717">
        <v>0</v>
      </c>
      <c r="BW3717" t="str">
        <f t="shared" si="1719"/>
        <v>14:47:59.089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7</v>
      </c>
      <c r="CP3717" t="s">
        <v>119</v>
      </c>
      <c r="CQ3717">
        <v>8</v>
      </c>
      <c r="CR3717">
        <v>3</v>
      </c>
      <c r="CW3717">
        <v>9068994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1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3">
      <c r="A3718" t="str">
        <f t="shared" ref="A3718:A3726" si="1721">"05/12/2020 14:47:42.194"</f>
        <v>05/12/2020 14:47:42.194</v>
      </c>
      <c r="C3718" t="str">
        <f t="shared" si="1700"/>
        <v>FFDFD3C0</v>
      </c>
      <c r="D3718" t="s">
        <v>138</v>
      </c>
      <c r="E3718">
        <v>3</v>
      </c>
      <c r="H3718">
        <v>9</v>
      </c>
      <c r="I3718" t="s">
        <v>140</v>
      </c>
      <c r="J3718" t="s">
        <v>136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 t="shared" ref="S3718:T3726" si="1722">"14:48:00.016"</f>
        <v>14:48:00.016</v>
      </c>
      <c r="T3718" t="str">
        <f t="shared" si="1722"/>
        <v>14:48:00.016</v>
      </c>
      <c r="U3718" t="str">
        <f t="shared" si="1720"/>
        <v>A9808D</v>
      </c>
      <c r="V3718">
        <v>0</v>
      </c>
      <c r="W3718">
        <v>0</v>
      </c>
      <c r="X3718">
        <v>1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3</v>
      </c>
      <c r="AG3718">
        <v>2</v>
      </c>
      <c r="AH3718">
        <v>0</v>
      </c>
      <c r="AI3718" t="s">
        <v>863</v>
      </c>
      <c r="AJ3718">
        <v>28.271449</v>
      </c>
      <c r="AK3718" t="s">
        <v>864</v>
      </c>
      <c r="AL3718">
        <v>-82.269788000000005</v>
      </c>
      <c r="AM3718">
        <v>100</v>
      </c>
      <c r="AN3718">
        <v>2300</v>
      </c>
      <c r="AO3718" t="s">
        <v>118</v>
      </c>
      <c r="AP3718">
        <v>-143</v>
      </c>
      <c r="AQ3718">
        <v>26</v>
      </c>
      <c r="AR3718">
        <v>-1344</v>
      </c>
      <c r="AZ3718">
        <v>1200</v>
      </c>
      <c r="BA3718">
        <v>1</v>
      </c>
      <c r="BB3718" t="str">
        <f t="shared" si="1701"/>
        <v xml:space="preserve">N711JA  </v>
      </c>
      <c r="BC3718">
        <v>1</v>
      </c>
      <c r="BE3718">
        <v>0</v>
      </c>
      <c r="BF3718">
        <v>0</v>
      </c>
      <c r="BG3718">
        <v>0</v>
      </c>
      <c r="BH3718">
        <v>2275</v>
      </c>
      <c r="BI3718">
        <v>1</v>
      </c>
      <c r="BJ3718">
        <v>1</v>
      </c>
      <c r="BK3718">
        <v>0</v>
      </c>
      <c r="BL3718">
        <v>0</v>
      </c>
      <c r="BO3718">
        <v>0</v>
      </c>
      <c r="BP3718">
        <v>0</v>
      </c>
      <c r="BW3718" t="str">
        <f>"14:48:00.018"</f>
        <v>14:48:00.018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7</v>
      </c>
      <c r="CP3718" t="s">
        <v>119</v>
      </c>
      <c r="CQ3718">
        <v>8</v>
      </c>
      <c r="CR3718">
        <v>3</v>
      </c>
      <c r="CW3718">
        <v>9069837</v>
      </c>
      <c r="CY3718">
        <v>1</v>
      </c>
      <c r="CZ3718">
        <v>0</v>
      </c>
      <c r="DA3718">
        <v>0</v>
      </c>
      <c r="DB3718">
        <v>0</v>
      </c>
      <c r="DC3718">
        <v>0</v>
      </c>
      <c r="DD3718">
        <v>1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3">
      <c r="A3719" t="str">
        <f t="shared" si="1721"/>
        <v>05/12/2020 14:47:42.194</v>
      </c>
      <c r="C3719" t="str">
        <f t="shared" si="1700"/>
        <v>FFDFD3C0</v>
      </c>
      <c r="D3719" t="s">
        <v>126</v>
      </c>
      <c r="E3719">
        <v>6</v>
      </c>
      <c r="F3719">
        <v>1006</v>
      </c>
      <c r="G3719" t="s">
        <v>114</v>
      </c>
      <c r="J3719" t="s">
        <v>128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 t="shared" si="1722"/>
        <v>14:48:00.016</v>
      </c>
      <c r="T3719" t="str">
        <f t="shared" si="1722"/>
        <v>14:48:00.016</v>
      </c>
      <c r="U3719" t="str">
        <f t="shared" si="1720"/>
        <v>A9808D</v>
      </c>
      <c r="V3719">
        <v>0</v>
      </c>
      <c r="W3719">
        <v>0</v>
      </c>
      <c r="X3719">
        <v>1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0</v>
      </c>
      <c r="AI3719" t="s">
        <v>863</v>
      </c>
      <c r="AJ3719">
        <v>28.271449</v>
      </c>
      <c r="AK3719" t="s">
        <v>864</v>
      </c>
      <c r="AL3719">
        <v>-82.269788000000005</v>
      </c>
      <c r="AM3719">
        <v>100</v>
      </c>
      <c r="AN3719">
        <v>2300</v>
      </c>
      <c r="AO3719" t="s">
        <v>118</v>
      </c>
      <c r="AP3719">
        <v>-143</v>
      </c>
      <c r="AQ3719">
        <v>26</v>
      </c>
      <c r="AR3719">
        <v>-1344</v>
      </c>
      <c r="AZ3719">
        <v>1200</v>
      </c>
      <c r="BA3719">
        <v>1</v>
      </c>
      <c r="BB3719" t="str">
        <f t="shared" si="1701"/>
        <v xml:space="preserve">N711JA  </v>
      </c>
      <c r="BC3719">
        <v>1</v>
      </c>
      <c r="BE3719">
        <v>0</v>
      </c>
      <c r="BF3719">
        <v>0</v>
      </c>
      <c r="BG3719">
        <v>0</v>
      </c>
      <c r="BH3719">
        <v>2275</v>
      </c>
      <c r="BI3719">
        <v>1</v>
      </c>
      <c r="BJ3719">
        <v>1</v>
      </c>
      <c r="BK3719">
        <v>0</v>
      </c>
      <c r="BL3719">
        <v>0</v>
      </c>
      <c r="BO3719">
        <v>0</v>
      </c>
      <c r="BP3719">
        <v>0</v>
      </c>
      <c r="BW3719" t="str">
        <f>"14:48:00.018"</f>
        <v>14:48:00.018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7</v>
      </c>
      <c r="CP3719" t="s">
        <v>119</v>
      </c>
      <c r="CQ3719">
        <v>8</v>
      </c>
      <c r="CR3719">
        <v>3</v>
      </c>
      <c r="CW3719">
        <v>9069837</v>
      </c>
      <c r="CY3719">
        <v>1</v>
      </c>
      <c r="CZ3719">
        <v>0</v>
      </c>
      <c r="DA3719">
        <v>1</v>
      </c>
      <c r="DB3719">
        <v>0</v>
      </c>
      <c r="DC3719">
        <v>0</v>
      </c>
      <c r="DD3719">
        <v>1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3">
      <c r="A3720" t="str">
        <f t="shared" si="1721"/>
        <v>05/12/2020 14:47:42.194</v>
      </c>
      <c r="C3720" t="str">
        <f t="shared" si="1700"/>
        <v>FFDFD3C0</v>
      </c>
      <c r="D3720" t="s">
        <v>126</v>
      </c>
      <c r="E3720">
        <v>7</v>
      </c>
      <c r="F3720">
        <v>1007</v>
      </c>
      <c r="G3720" t="s">
        <v>127</v>
      </c>
      <c r="J3720" t="s">
        <v>128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 t="shared" si="1722"/>
        <v>14:48:00.016</v>
      </c>
      <c r="T3720" t="str">
        <f t="shared" si="1722"/>
        <v>14:48:00.016</v>
      </c>
      <c r="U3720" t="str">
        <f t="shared" si="1720"/>
        <v>A9808D</v>
      </c>
      <c r="V3720">
        <v>0</v>
      </c>
      <c r="W3720">
        <v>0</v>
      </c>
      <c r="X3720">
        <v>1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0</v>
      </c>
      <c r="AI3720" t="s">
        <v>863</v>
      </c>
      <c r="AJ3720">
        <v>28.271449</v>
      </c>
      <c r="AK3720" t="s">
        <v>864</v>
      </c>
      <c r="AL3720">
        <v>-82.269788000000005</v>
      </c>
      <c r="AM3720">
        <v>100</v>
      </c>
      <c r="AN3720">
        <v>2300</v>
      </c>
      <c r="AO3720" t="s">
        <v>118</v>
      </c>
      <c r="AP3720">
        <v>-143</v>
      </c>
      <c r="AQ3720">
        <v>26</v>
      </c>
      <c r="AR3720">
        <v>-1344</v>
      </c>
      <c r="AZ3720">
        <v>1200</v>
      </c>
      <c r="BA3720">
        <v>1</v>
      </c>
      <c r="BB3720" t="str">
        <f t="shared" si="1701"/>
        <v xml:space="preserve">N711JA  </v>
      </c>
      <c r="BC3720">
        <v>1</v>
      </c>
      <c r="BE3720">
        <v>0</v>
      </c>
      <c r="BF3720">
        <v>0</v>
      </c>
      <c r="BG3720">
        <v>0</v>
      </c>
      <c r="BH3720">
        <v>2275</v>
      </c>
      <c r="BI3720">
        <v>1</v>
      </c>
      <c r="BJ3720">
        <v>1</v>
      </c>
      <c r="BK3720">
        <v>0</v>
      </c>
      <c r="BL3720">
        <v>0</v>
      </c>
      <c r="BO3720">
        <v>0</v>
      </c>
      <c r="BP3720">
        <v>0</v>
      </c>
      <c r="BW3720" t="str">
        <f>"14:48:00.018"</f>
        <v>14:48:00.018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7</v>
      </c>
      <c r="CP3720" t="s">
        <v>119</v>
      </c>
      <c r="CQ3720">
        <v>8</v>
      </c>
      <c r="CR3720">
        <v>3</v>
      </c>
      <c r="CW3720">
        <v>9069837</v>
      </c>
      <c r="CY3720">
        <v>1</v>
      </c>
      <c r="CZ3720">
        <v>0</v>
      </c>
      <c r="DA3720">
        <v>1</v>
      </c>
      <c r="DB3720">
        <v>0</v>
      </c>
      <c r="DC3720">
        <v>0</v>
      </c>
      <c r="DD3720">
        <v>1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3">
      <c r="A3721" t="str">
        <f t="shared" si="1721"/>
        <v>05/12/2020 14:47:42.194</v>
      </c>
      <c r="C3721" t="str">
        <f t="shared" si="1700"/>
        <v>FFDFD3C0</v>
      </c>
      <c r="D3721" t="s">
        <v>131</v>
      </c>
      <c r="E3721">
        <v>10</v>
      </c>
      <c r="F3721">
        <v>2010</v>
      </c>
      <c r="G3721" t="s">
        <v>132</v>
      </c>
      <c r="J3721" t="s">
        <v>133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 t="shared" si="1722"/>
        <v>14:48:00.016</v>
      </c>
      <c r="T3721" t="str">
        <f t="shared" si="1722"/>
        <v>14:48:00.016</v>
      </c>
      <c r="U3721" t="str">
        <f t="shared" si="1720"/>
        <v>A9808D</v>
      </c>
      <c r="V3721">
        <v>0</v>
      </c>
      <c r="W3721">
        <v>0</v>
      </c>
      <c r="X3721">
        <v>1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0</v>
      </c>
      <c r="AI3721" t="s">
        <v>863</v>
      </c>
      <c r="AJ3721">
        <v>28.271449</v>
      </c>
      <c r="AK3721" t="s">
        <v>864</v>
      </c>
      <c r="AL3721">
        <v>-82.269788000000005</v>
      </c>
      <c r="AM3721">
        <v>100</v>
      </c>
      <c r="AN3721">
        <v>2300</v>
      </c>
      <c r="AO3721" t="s">
        <v>118</v>
      </c>
      <c r="AP3721">
        <v>-143</v>
      </c>
      <c r="AQ3721">
        <v>26</v>
      </c>
      <c r="AR3721">
        <v>-1344</v>
      </c>
      <c r="AZ3721">
        <v>1200</v>
      </c>
      <c r="BA3721">
        <v>1</v>
      </c>
      <c r="BB3721" t="str">
        <f t="shared" si="1701"/>
        <v xml:space="preserve">N711JA  </v>
      </c>
      <c r="BC3721">
        <v>1</v>
      </c>
      <c r="BE3721">
        <v>0</v>
      </c>
      <c r="BF3721">
        <v>0</v>
      </c>
      <c r="BG3721">
        <v>0</v>
      </c>
      <c r="BH3721">
        <v>2275</v>
      </c>
      <c r="BI3721">
        <v>1</v>
      </c>
      <c r="BJ3721">
        <v>1</v>
      </c>
      <c r="BK3721">
        <v>0</v>
      </c>
      <c r="BL3721">
        <v>0</v>
      </c>
      <c r="BO3721">
        <v>0</v>
      </c>
      <c r="BP3721">
        <v>0</v>
      </c>
      <c r="BW3721" t="str">
        <f>"14:48:00.018"</f>
        <v>14:48:00.018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7</v>
      </c>
      <c r="CP3721" t="s">
        <v>119</v>
      </c>
      <c r="CQ3721">
        <v>8</v>
      </c>
      <c r="CR3721">
        <v>3</v>
      </c>
      <c r="CW3721">
        <v>9069837</v>
      </c>
      <c r="CY3721">
        <v>1</v>
      </c>
      <c r="CZ3721">
        <v>0</v>
      </c>
      <c r="DA3721">
        <v>1</v>
      </c>
      <c r="DB3721">
        <v>0</v>
      </c>
      <c r="DC3721">
        <v>0</v>
      </c>
      <c r="DD3721">
        <v>1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3">
      <c r="A3722" t="str">
        <f t="shared" si="1721"/>
        <v>05/12/2020 14:47:42.194</v>
      </c>
      <c r="C3722" t="str">
        <f t="shared" si="1700"/>
        <v>FFDFD3C0</v>
      </c>
      <c r="D3722" t="s">
        <v>131</v>
      </c>
      <c r="E3722">
        <v>12</v>
      </c>
      <c r="F3722">
        <v>2012</v>
      </c>
      <c r="G3722" t="s">
        <v>137</v>
      </c>
      <c r="J3722" t="s">
        <v>133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 t="shared" si="1722"/>
        <v>14:48:00.016</v>
      </c>
      <c r="T3722" t="str">
        <f t="shared" si="1722"/>
        <v>14:48:00.016</v>
      </c>
      <c r="U3722" t="str">
        <f t="shared" si="1720"/>
        <v>A9808D</v>
      </c>
      <c r="V3722">
        <v>0</v>
      </c>
      <c r="W3722">
        <v>0</v>
      </c>
      <c r="X3722">
        <v>1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0</v>
      </c>
      <c r="AI3722" t="s">
        <v>863</v>
      </c>
      <c r="AJ3722">
        <v>28.271449</v>
      </c>
      <c r="AK3722" t="s">
        <v>864</v>
      </c>
      <c r="AL3722">
        <v>-82.269788000000005</v>
      </c>
      <c r="AM3722">
        <v>100</v>
      </c>
      <c r="AN3722">
        <v>2300</v>
      </c>
      <c r="AO3722" t="s">
        <v>118</v>
      </c>
      <c r="AP3722">
        <v>-143</v>
      </c>
      <c r="AQ3722">
        <v>26</v>
      </c>
      <c r="AR3722">
        <v>-1344</v>
      </c>
      <c r="AZ3722">
        <v>1200</v>
      </c>
      <c r="BA3722">
        <v>1</v>
      </c>
      <c r="BB3722" t="str">
        <f t="shared" si="1701"/>
        <v xml:space="preserve">N711JA  </v>
      </c>
      <c r="BC3722">
        <v>1</v>
      </c>
      <c r="BE3722">
        <v>0</v>
      </c>
      <c r="BF3722">
        <v>0</v>
      </c>
      <c r="BG3722">
        <v>0</v>
      </c>
      <c r="BH3722">
        <v>2275</v>
      </c>
      <c r="BI3722">
        <v>1</v>
      </c>
      <c r="BJ3722">
        <v>1</v>
      </c>
      <c r="BK3722">
        <v>0</v>
      </c>
      <c r="BL3722">
        <v>0</v>
      </c>
      <c r="BO3722">
        <v>0</v>
      </c>
      <c r="BP3722">
        <v>0</v>
      </c>
      <c r="BW3722" t="str">
        <f>"14:48:00.018"</f>
        <v>14:48:00.018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7</v>
      </c>
      <c r="CP3722" t="s">
        <v>119</v>
      </c>
      <c r="CQ3722">
        <v>8</v>
      </c>
      <c r="CR3722">
        <v>3</v>
      </c>
      <c r="CW3722">
        <v>9069837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1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3">
      <c r="A3723" t="str">
        <f t="shared" si="1721"/>
        <v>05/12/2020 14:47:42.194</v>
      </c>
      <c r="C3723" t="str">
        <f t="shared" si="1700"/>
        <v>FFDFD3C0</v>
      </c>
      <c r="D3723" t="s">
        <v>131</v>
      </c>
      <c r="E3723">
        <v>18</v>
      </c>
      <c r="F3723">
        <v>2018</v>
      </c>
      <c r="G3723" t="s">
        <v>161</v>
      </c>
      <c r="J3723" t="s">
        <v>133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 t="shared" si="1722"/>
        <v>14:48:00.016</v>
      </c>
      <c r="T3723" t="str">
        <f t="shared" si="1722"/>
        <v>14:48:00.016</v>
      </c>
      <c r="U3723" t="str">
        <f t="shared" si="1720"/>
        <v>A9808D</v>
      </c>
      <c r="V3723">
        <v>0</v>
      </c>
      <c r="W3723">
        <v>0</v>
      </c>
      <c r="X3723">
        <v>1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0</v>
      </c>
      <c r="AI3723" t="s">
        <v>863</v>
      </c>
      <c r="AJ3723">
        <v>28.271449</v>
      </c>
      <c r="AK3723" t="s">
        <v>864</v>
      </c>
      <c r="AL3723">
        <v>-82.269788000000005</v>
      </c>
      <c r="AM3723">
        <v>100</v>
      </c>
      <c r="AN3723">
        <v>2300</v>
      </c>
      <c r="AO3723" t="s">
        <v>118</v>
      </c>
      <c r="AP3723">
        <v>-143</v>
      </c>
      <c r="AQ3723">
        <v>26</v>
      </c>
      <c r="AR3723">
        <v>-1344</v>
      </c>
      <c r="AZ3723">
        <v>1200</v>
      </c>
      <c r="BA3723">
        <v>1</v>
      </c>
      <c r="BB3723" t="str">
        <f t="shared" si="1701"/>
        <v xml:space="preserve">N711JA  </v>
      </c>
      <c r="BC3723">
        <v>1</v>
      </c>
      <c r="BE3723">
        <v>0</v>
      </c>
      <c r="BF3723">
        <v>0</v>
      </c>
      <c r="BG3723">
        <v>0</v>
      </c>
      <c r="BH3723">
        <v>2275</v>
      </c>
      <c r="BI3723">
        <v>1</v>
      </c>
      <c r="BJ3723">
        <v>1</v>
      </c>
      <c r="BK3723">
        <v>0</v>
      </c>
      <c r="BL3723">
        <v>0</v>
      </c>
      <c r="BO3723">
        <v>0</v>
      </c>
      <c r="BP3723">
        <v>0</v>
      </c>
      <c r="BW3723" t="str">
        <f>"14:48:00.019"</f>
        <v>14:48:00.019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5</v>
      </c>
      <c r="CP3723" t="s">
        <v>119</v>
      </c>
      <c r="CQ3723">
        <v>62</v>
      </c>
      <c r="CR3723">
        <v>1</v>
      </c>
      <c r="CW3723">
        <v>12959078</v>
      </c>
      <c r="CY3723">
        <v>1</v>
      </c>
      <c r="CZ3723">
        <v>0</v>
      </c>
      <c r="DA3723">
        <v>1</v>
      </c>
      <c r="DB3723">
        <v>0</v>
      </c>
      <c r="DC3723">
        <v>0</v>
      </c>
      <c r="DD3723">
        <v>1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3">
      <c r="A3724" t="str">
        <f t="shared" si="1721"/>
        <v>05/12/2020 14:47:42.194</v>
      </c>
      <c r="C3724" t="str">
        <f t="shared" si="1700"/>
        <v>FFDFD3C0</v>
      </c>
      <c r="D3724" t="s">
        <v>134</v>
      </c>
      <c r="E3724">
        <v>12</v>
      </c>
      <c r="H3724">
        <v>64</v>
      </c>
      <c r="I3724" t="s">
        <v>135</v>
      </c>
      <c r="J3724" t="s">
        <v>136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 t="shared" si="1722"/>
        <v>14:48:00.016</v>
      </c>
      <c r="T3724" t="str">
        <f t="shared" si="1722"/>
        <v>14:48:00.016</v>
      </c>
      <c r="U3724" t="str">
        <f t="shared" si="1720"/>
        <v>A9808D</v>
      </c>
      <c r="V3724">
        <v>0</v>
      </c>
      <c r="W3724">
        <v>0</v>
      </c>
      <c r="X3724">
        <v>1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0</v>
      </c>
      <c r="AI3724" t="s">
        <v>863</v>
      </c>
      <c r="AJ3724">
        <v>28.271449</v>
      </c>
      <c r="AK3724" t="s">
        <v>864</v>
      </c>
      <c r="AL3724">
        <v>-82.269788000000005</v>
      </c>
      <c r="AM3724">
        <v>100</v>
      </c>
      <c r="AN3724">
        <v>2300</v>
      </c>
      <c r="AO3724" t="s">
        <v>118</v>
      </c>
      <c r="AP3724">
        <v>-143</v>
      </c>
      <c r="AQ3724">
        <v>26</v>
      </c>
      <c r="AR3724">
        <v>-1344</v>
      </c>
      <c r="AZ3724">
        <v>1200</v>
      </c>
      <c r="BA3724">
        <v>1</v>
      </c>
      <c r="BB3724" t="str">
        <f t="shared" si="1701"/>
        <v xml:space="preserve">N711JA  </v>
      </c>
      <c r="BC3724">
        <v>1</v>
      </c>
      <c r="BE3724">
        <v>0</v>
      </c>
      <c r="BF3724">
        <v>0</v>
      </c>
      <c r="BG3724">
        <v>0</v>
      </c>
      <c r="BH3724">
        <v>2275</v>
      </c>
      <c r="BI3724">
        <v>1</v>
      </c>
      <c r="BJ3724">
        <v>1</v>
      </c>
      <c r="BK3724">
        <v>0</v>
      </c>
      <c r="BL3724">
        <v>0</v>
      </c>
      <c r="BO3724">
        <v>0</v>
      </c>
      <c r="BP3724">
        <v>0</v>
      </c>
      <c r="BW3724" t="str">
        <f>"14:48:00.018"</f>
        <v>14:48:00.018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7</v>
      </c>
      <c r="CP3724" t="s">
        <v>119</v>
      </c>
      <c r="CQ3724">
        <v>8</v>
      </c>
      <c r="CR3724">
        <v>3</v>
      </c>
      <c r="CW3724">
        <v>9069837</v>
      </c>
      <c r="CY3724">
        <v>1</v>
      </c>
      <c r="CZ3724">
        <v>0</v>
      </c>
      <c r="DA3724">
        <v>1</v>
      </c>
      <c r="DB3724">
        <v>0</v>
      </c>
      <c r="DC3724">
        <v>0</v>
      </c>
      <c r="DD3724">
        <v>1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3">
      <c r="A3725" t="str">
        <f t="shared" si="1721"/>
        <v>05/12/2020 14:47:42.194</v>
      </c>
      <c r="C3725" t="str">
        <f t="shared" si="1700"/>
        <v>FFDFD3C0</v>
      </c>
      <c r="D3725" t="s">
        <v>113</v>
      </c>
      <c r="E3725">
        <v>3</v>
      </c>
      <c r="H3725">
        <v>164</v>
      </c>
      <c r="I3725" t="s">
        <v>114</v>
      </c>
      <c r="J3725" t="s">
        <v>115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 t="shared" si="1722"/>
        <v>14:48:00.016</v>
      </c>
      <c r="T3725" t="str">
        <f t="shared" si="1722"/>
        <v>14:48:00.016</v>
      </c>
      <c r="U3725" t="str">
        <f t="shared" si="1720"/>
        <v>A9808D</v>
      </c>
      <c r="V3725">
        <v>0</v>
      </c>
      <c r="W3725">
        <v>0</v>
      </c>
      <c r="X3725">
        <v>1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0</v>
      </c>
      <c r="AI3725" t="s">
        <v>863</v>
      </c>
      <c r="AJ3725">
        <v>28.271449</v>
      </c>
      <c r="AK3725" t="s">
        <v>864</v>
      </c>
      <c r="AL3725">
        <v>-82.269788000000005</v>
      </c>
      <c r="AM3725">
        <v>100</v>
      </c>
      <c r="AN3725">
        <v>2300</v>
      </c>
      <c r="AO3725" t="s">
        <v>118</v>
      </c>
      <c r="AP3725">
        <v>-143</v>
      </c>
      <c r="AQ3725">
        <v>26</v>
      </c>
      <c r="AR3725">
        <v>-1344</v>
      </c>
      <c r="AZ3725">
        <v>1200</v>
      </c>
      <c r="BA3725">
        <v>1</v>
      </c>
      <c r="BB3725" t="str">
        <f t="shared" si="1701"/>
        <v xml:space="preserve">N711JA  </v>
      </c>
      <c r="BC3725">
        <v>1</v>
      </c>
      <c r="BE3725">
        <v>0</v>
      </c>
      <c r="BF3725">
        <v>0</v>
      </c>
      <c r="BG3725">
        <v>0</v>
      </c>
      <c r="BH3725">
        <v>2275</v>
      </c>
      <c r="BI3725">
        <v>1</v>
      </c>
      <c r="BJ3725">
        <v>1</v>
      </c>
      <c r="BK3725">
        <v>0</v>
      </c>
      <c r="BL3725">
        <v>0</v>
      </c>
      <c r="BO3725">
        <v>0</v>
      </c>
      <c r="BP3725">
        <v>0</v>
      </c>
      <c r="BW3725" t="str">
        <f>"14:48:00.018"</f>
        <v>14:48:00.018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7</v>
      </c>
      <c r="CP3725" t="s">
        <v>119</v>
      </c>
      <c r="CQ3725">
        <v>8</v>
      </c>
      <c r="CR3725">
        <v>3</v>
      </c>
      <c r="CW3725">
        <v>9069837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1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3">
      <c r="A3726" t="str">
        <f t="shared" si="1721"/>
        <v>05/12/2020 14:47:42.194</v>
      </c>
      <c r="C3726" t="str">
        <f t="shared" si="1700"/>
        <v>FFDFD3C0</v>
      </c>
      <c r="D3726" t="s">
        <v>138</v>
      </c>
      <c r="E3726">
        <v>2</v>
      </c>
      <c r="H3726">
        <v>8</v>
      </c>
      <c r="I3726" t="s">
        <v>139</v>
      </c>
      <c r="J3726" t="s">
        <v>136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 t="shared" si="1722"/>
        <v>14:48:00.016</v>
      </c>
      <c r="T3726" t="str">
        <f t="shared" si="1722"/>
        <v>14:48:00.016</v>
      </c>
      <c r="U3726" t="str">
        <f t="shared" si="1720"/>
        <v>A9808D</v>
      </c>
      <c r="V3726">
        <v>0</v>
      </c>
      <c r="W3726">
        <v>0</v>
      </c>
      <c r="X3726">
        <v>1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3</v>
      </c>
      <c r="AG3726">
        <v>2</v>
      </c>
      <c r="AH3726">
        <v>0</v>
      </c>
      <c r="AI3726" t="s">
        <v>863</v>
      </c>
      <c r="AJ3726">
        <v>28.271449</v>
      </c>
      <c r="AK3726" t="s">
        <v>864</v>
      </c>
      <c r="AL3726">
        <v>-82.269788000000005</v>
      </c>
      <c r="AM3726">
        <v>100</v>
      </c>
      <c r="AN3726">
        <v>2300</v>
      </c>
      <c r="AO3726" t="s">
        <v>118</v>
      </c>
      <c r="AP3726">
        <v>-143</v>
      </c>
      <c r="AQ3726">
        <v>26</v>
      </c>
      <c r="AR3726">
        <v>-1344</v>
      </c>
      <c r="AZ3726">
        <v>1200</v>
      </c>
      <c r="BA3726">
        <v>1</v>
      </c>
      <c r="BB3726" t="str">
        <f t="shared" si="1701"/>
        <v xml:space="preserve">N711JA  </v>
      </c>
      <c r="BC3726">
        <v>1</v>
      </c>
      <c r="BE3726">
        <v>0</v>
      </c>
      <c r="BF3726">
        <v>0</v>
      </c>
      <c r="BG3726">
        <v>0</v>
      </c>
      <c r="BH3726">
        <v>2275</v>
      </c>
      <c r="BI3726">
        <v>1</v>
      </c>
      <c r="BJ3726">
        <v>1</v>
      </c>
      <c r="BK3726">
        <v>0</v>
      </c>
      <c r="BL3726">
        <v>0</v>
      </c>
      <c r="BO3726">
        <v>0</v>
      </c>
      <c r="BP3726">
        <v>0</v>
      </c>
      <c r="BW3726" t="str">
        <f>"14:48:00.018"</f>
        <v>14:48:00.018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7</v>
      </c>
      <c r="CP3726" t="s">
        <v>119</v>
      </c>
      <c r="CQ3726">
        <v>8</v>
      </c>
      <c r="CR3726">
        <v>3</v>
      </c>
      <c r="CW3726">
        <v>9069837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1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3">
      <c r="A3727" t="str">
        <f t="shared" ref="A3727:A3735" si="1723">"05/12/2020 14:47:43.153"</f>
        <v>05/12/2020 14:47:43.153</v>
      </c>
      <c r="C3727" t="str">
        <f t="shared" si="1700"/>
        <v>FFDFD3C0</v>
      </c>
      <c r="D3727" t="s">
        <v>138</v>
      </c>
      <c r="E3727">
        <v>2</v>
      </c>
      <c r="H3727">
        <v>8</v>
      </c>
      <c r="I3727" t="s">
        <v>139</v>
      </c>
      <c r="J3727" t="s">
        <v>136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 t="shared" ref="S3727:S3735" si="1724">"14:48:00.984"</f>
        <v>14:48:00.984</v>
      </c>
      <c r="T3727" t="str">
        <f t="shared" ref="T3727:T3735" si="1725">"14:48:00.484"</f>
        <v>14:48:00.484</v>
      </c>
      <c r="U3727" t="str">
        <f t="shared" si="1720"/>
        <v>A9808D</v>
      </c>
      <c r="V3727">
        <v>0</v>
      </c>
      <c r="W3727">
        <v>0</v>
      </c>
      <c r="X3727">
        <v>1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0</v>
      </c>
      <c r="AI3727" t="s">
        <v>865</v>
      </c>
      <c r="AJ3727">
        <v>28.271491999999999</v>
      </c>
      <c r="AK3727" t="s">
        <v>866</v>
      </c>
      <c r="AL3727">
        <v>-82.270473999999993</v>
      </c>
      <c r="AM3727">
        <v>100</v>
      </c>
      <c r="AN3727">
        <v>2300</v>
      </c>
      <c r="AO3727" t="s">
        <v>118</v>
      </c>
      <c r="AP3727">
        <v>-145</v>
      </c>
      <c r="AQ3727">
        <v>21</v>
      </c>
      <c r="AR3727">
        <v>-1216</v>
      </c>
      <c r="AZ3727">
        <v>1200</v>
      </c>
      <c r="BA3727">
        <v>1</v>
      </c>
      <c r="BB3727" t="str">
        <f t="shared" si="1701"/>
        <v xml:space="preserve">N711JA  </v>
      </c>
      <c r="BC3727">
        <v>1</v>
      </c>
      <c r="BE3727">
        <v>0</v>
      </c>
      <c r="BF3727">
        <v>0</v>
      </c>
      <c r="BG3727">
        <v>0</v>
      </c>
      <c r="BH3727">
        <v>2275</v>
      </c>
      <c r="BI3727">
        <v>1</v>
      </c>
      <c r="BJ3727">
        <v>1</v>
      </c>
      <c r="BK3727">
        <v>0</v>
      </c>
      <c r="BL3727">
        <v>0</v>
      </c>
      <c r="BO3727">
        <v>0</v>
      </c>
      <c r="BP3727">
        <v>0</v>
      </c>
      <c r="BW3727" t="str">
        <f t="shared" ref="BW3727:BW3735" si="1726">"14:48:00.988"</f>
        <v>14:48:00.988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7</v>
      </c>
      <c r="CP3727" t="s">
        <v>119</v>
      </c>
      <c r="CQ3727">
        <v>8</v>
      </c>
      <c r="CR3727">
        <v>3</v>
      </c>
      <c r="CW3727">
        <v>9070802</v>
      </c>
      <c r="CY3727">
        <v>1</v>
      </c>
      <c r="CZ3727">
        <v>0</v>
      </c>
      <c r="DA3727">
        <v>0</v>
      </c>
      <c r="DB3727">
        <v>0</v>
      </c>
      <c r="DC3727">
        <v>0</v>
      </c>
      <c r="DD3727">
        <v>1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3">
      <c r="A3728" t="str">
        <f t="shared" si="1723"/>
        <v>05/12/2020 14:47:43.153</v>
      </c>
      <c r="C3728" t="str">
        <f t="shared" si="1700"/>
        <v>FFDFD3C0</v>
      </c>
      <c r="D3728" t="s">
        <v>138</v>
      </c>
      <c r="E3728">
        <v>3</v>
      </c>
      <c r="H3728">
        <v>9</v>
      </c>
      <c r="I3728" t="s">
        <v>140</v>
      </c>
      <c r="J3728" t="s">
        <v>136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 t="shared" si="1724"/>
        <v>14:48:00.984</v>
      </c>
      <c r="T3728" t="str">
        <f t="shared" si="1725"/>
        <v>14:48:00.484</v>
      </c>
      <c r="U3728" t="str">
        <f t="shared" si="1720"/>
        <v>A9808D</v>
      </c>
      <c r="V3728">
        <v>0</v>
      </c>
      <c r="W3728">
        <v>0</v>
      </c>
      <c r="X3728">
        <v>1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0</v>
      </c>
      <c r="AI3728" t="s">
        <v>865</v>
      </c>
      <c r="AJ3728">
        <v>28.271491999999999</v>
      </c>
      <c r="AK3728" t="s">
        <v>866</v>
      </c>
      <c r="AL3728">
        <v>-82.270473999999993</v>
      </c>
      <c r="AM3728">
        <v>100</v>
      </c>
      <c r="AN3728">
        <v>2300</v>
      </c>
      <c r="AO3728" t="s">
        <v>118</v>
      </c>
      <c r="AP3728">
        <v>-145</v>
      </c>
      <c r="AQ3728">
        <v>21</v>
      </c>
      <c r="AR3728">
        <v>-1216</v>
      </c>
      <c r="AZ3728">
        <v>1200</v>
      </c>
      <c r="BA3728">
        <v>1</v>
      </c>
      <c r="BB3728" t="str">
        <f t="shared" si="1701"/>
        <v xml:space="preserve">N711JA  </v>
      </c>
      <c r="BC3728">
        <v>1</v>
      </c>
      <c r="BE3728">
        <v>0</v>
      </c>
      <c r="BF3728">
        <v>0</v>
      </c>
      <c r="BG3728">
        <v>0</v>
      </c>
      <c r="BH3728">
        <v>2275</v>
      </c>
      <c r="BI3728">
        <v>1</v>
      </c>
      <c r="BJ3728">
        <v>1</v>
      </c>
      <c r="BK3728">
        <v>0</v>
      </c>
      <c r="BL3728">
        <v>0</v>
      </c>
      <c r="BO3728">
        <v>0</v>
      </c>
      <c r="BP3728">
        <v>0</v>
      </c>
      <c r="BW3728" t="str">
        <f t="shared" si="1726"/>
        <v>14:48:00.988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7</v>
      </c>
      <c r="CP3728" t="s">
        <v>119</v>
      </c>
      <c r="CQ3728">
        <v>8</v>
      </c>
      <c r="CR3728">
        <v>3</v>
      </c>
      <c r="CW3728">
        <v>9070802</v>
      </c>
      <c r="CY3728">
        <v>1</v>
      </c>
      <c r="CZ3728">
        <v>0</v>
      </c>
      <c r="DA3728">
        <v>1</v>
      </c>
      <c r="DB3728">
        <v>0</v>
      </c>
      <c r="DC3728">
        <v>0</v>
      </c>
      <c r="DD3728">
        <v>1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3">
      <c r="A3729" t="str">
        <f t="shared" si="1723"/>
        <v>05/12/2020 14:47:43.153</v>
      </c>
      <c r="C3729" t="str">
        <f t="shared" si="1700"/>
        <v>FFDFD3C0</v>
      </c>
      <c r="D3729" t="s">
        <v>126</v>
      </c>
      <c r="E3729">
        <v>6</v>
      </c>
      <c r="F3729">
        <v>1006</v>
      </c>
      <c r="G3729" t="s">
        <v>114</v>
      </c>
      <c r="J3729" t="s">
        <v>128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 t="shared" si="1724"/>
        <v>14:48:00.984</v>
      </c>
      <c r="T3729" t="str">
        <f t="shared" si="1725"/>
        <v>14:48:00.484</v>
      </c>
      <c r="U3729" t="str">
        <f t="shared" si="1720"/>
        <v>A9808D</v>
      </c>
      <c r="V3729">
        <v>0</v>
      </c>
      <c r="W3729">
        <v>0</v>
      </c>
      <c r="X3729">
        <v>1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0</v>
      </c>
      <c r="AI3729" t="s">
        <v>865</v>
      </c>
      <c r="AJ3729">
        <v>28.271491999999999</v>
      </c>
      <c r="AK3729" t="s">
        <v>866</v>
      </c>
      <c r="AL3729">
        <v>-82.270473999999993</v>
      </c>
      <c r="AM3729">
        <v>100</v>
      </c>
      <c r="AN3729">
        <v>2300</v>
      </c>
      <c r="AO3729" t="s">
        <v>118</v>
      </c>
      <c r="AP3729">
        <v>-145</v>
      </c>
      <c r="AQ3729">
        <v>21</v>
      </c>
      <c r="AR3729">
        <v>-1216</v>
      </c>
      <c r="AZ3729">
        <v>1200</v>
      </c>
      <c r="BA3729">
        <v>1</v>
      </c>
      <c r="BB3729" t="str">
        <f t="shared" si="1701"/>
        <v xml:space="preserve">N711JA  </v>
      </c>
      <c r="BC3729">
        <v>1</v>
      </c>
      <c r="BE3729">
        <v>0</v>
      </c>
      <c r="BF3729">
        <v>0</v>
      </c>
      <c r="BG3729">
        <v>0</v>
      </c>
      <c r="BH3729">
        <v>2275</v>
      </c>
      <c r="BI3729">
        <v>1</v>
      </c>
      <c r="BJ3729">
        <v>1</v>
      </c>
      <c r="BK3729">
        <v>0</v>
      </c>
      <c r="BL3729">
        <v>0</v>
      </c>
      <c r="BO3729">
        <v>0</v>
      </c>
      <c r="BP3729">
        <v>0</v>
      </c>
      <c r="BW3729" t="str">
        <f t="shared" si="1726"/>
        <v>14:48:00.988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7</v>
      </c>
      <c r="CP3729" t="s">
        <v>119</v>
      </c>
      <c r="CQ3729">
        <v>8</v>
      </c>
      <c r="CR3729">
        <v>3</v>
      </c>
      <c r="CW3729">
        <v>9070802</v>
      </c>
      <c r="CY3729">
        <v>1</v>
      </c>
      <c r="CZ3729">
        <v>0</v>
      </c>
      <c r="DA3729">
        <v>1</v>
      </c>
      <c r="DB3729">
        <v>0</v>
      </c>
      <c r="DC3729">
        <v>0</v>
      </c>
      <c r="DD3729">
        <v>1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3">
      <c r="A3730" t="str">
        <f t="shared" si="1723"/>
        <v>05/12/2020 14:47:43.153</v>
      </c>
      <c r="C3730" t="str">
        <f t="shared" si="1700"/>
        <v>FFDFD3C0</v>
      </c>
      <c r="D3730" t="s">
        <v>131</v>
      </c>
      <c r="E3730">
        <v>10</v>
      </c>
      <c r="F3730">
        <v>2010</v>
      </c>
      <c r="G3730" t="s">
        <v>132</v>
      </c>
      <c r="J3730" t="s">
        <v>133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 t="shared" si="1724"/>
        <v>14:48:00.984</v>
      </c>
      <c r="T3730" t="str">
        <f t="shared" si="1725"/>
        <v>14:48:00.484</v>
      </c>
      <c r="U3730" t="str">
        <f t="shared" si="1720"/>
        <v>A9808D</v>
      </c>
      <c r="V3730">
        <v>0</v>
      </c>
      <c r="W3730">
        <v>0</v>
      </c>
      <c r="X3730">
        <v>1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0</v>
      </c>
      <c r="AI3730" t="s">
        <v>865</v>
      </c>
      <c r="AJ3730">
        <v>28.271491999999999</v>
      </c>
      <c r="AK3730" t="s">
        <v>866</v>
      </c>
      <c r="AL3730">
        <v>-82.270473999999993</v>
      </c>
      <c r="AM3730">
        <v>100</v>
      </c>
      <c r="AN3730">
        <v>2300</v>
      </c>
      <c r="AO3730" t="s">
        <v>118</v>
      </c>
      <c r="AP3730">
        <v>-145</v>
      </c>
      <c r="AQ3730">
        <v>21</v>
      </c>
      <c r="AR3730">
        <v>-1216</v>
      </c>
      <c r="AZ3730">
        <v>1200</v>
      </c>
      <c r="BA3730">
        <v>1</v>
      </c>
      <c r="BB3730" t="str">
        <f t="shared" si="1701"/>
        <v xml:space="preserve">N711JA  </v>
      </c>
      <c r="BC3730">
        <v>1</v>
      </c>
      <c r="BE3730">
        <v>0</v>
      </c>
      <c r="BF3730">
        <v>0</v>
      </c>
      <c r="BG3730">
        <v>0</v>
      </c>
      <c r="BH3730">
        <v>2275</v>
      </c>
      <c r="BI3730">
        <v>1</v>
      </c>
      <c r="BJ3730">
        <v>1</v>
      </c>
      <c r="BK3730">
        <v>0</v>
      </c>
      <c r="BL3730">
        <v>0</v>
      </c>
      <c r="BO3730">
        <v>0</v>
      </c>
      <c r="BP3730">
        <v>0</v>
      </c>
      <c r="BW3730" t="str">
        <f t="shared" si="1726"/>
        <v>14:48:00.988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7</v>
      </c>
      <c r="CP3730" t="s">
        <v>119</v>
      </c>
      <c r="CQ3730">
        <v>8</v>
      </c>
      <c r="CR3730">
        <v>3</v>
      </c>
      <c r="CW3730">
        <v>9070802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1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3">
      <c r="A3731" t="str">
        <f t="shared" si="1723"/>
        <v>05/12/2020 14:47:43.153</v>
      </c>
      <c r="C3731" t="str">
        <f t="shared" si="1700"/>
        <v>FFDFD3C0</v>
      </c>
      <c r="D3731" t="s">
        <v>126</v>
      </c>
      <c r="E3731">
        <v>7</v>
      </c>
      <c r="F3731">
        <v>1007</v>
      </c>
      <c r="G3731" t="s">
        <v>127</v>
      </c>
      <c r="J3731" t="s">
        <v>128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 t="shared" si="1724"/>
        <v>14:48:00.984</v>
      </c>
      <c r="T3731" t="str">
        <f t="shared" si="1725"/>
        <v>14:48:00.484</v>
      </c>
      <c r="U3731" t="str">
        <f t="shared" si="1720"/>
        <v>A9808D</v>
      </c>
      <c r="V3731">
        <v>0</v>
      </c>
      <c r="W3731">
        <v>0</v>
      </c>
      <c r="X3731">
        <v>1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3</v>
      </c>
      <c r="AG3731">
        <v>2</v>
      </c>
      <c r="AH3731">
        <v>0</v>
      </c>
      <c r="AI3731" t="s">
        <v>865</v>
      </c>
      <c r="AJ3731">
        <v>28.271491999999999</v>
      </c>
      <c r="AK3731" t="s">
        <v>866</v>
      </c>
      <c r="AL3731">
        <v>-82.270473999999993</v>
      </c>
      <c r="AM3731">
        <v>100</v>
      </c>
      <c r="AN3731">
        <v>2300</v>
      </c>
      <c r="AO3731" t="s">
        <v>118</v>
      </c>
      <c r="AP3731">
        <v>-145</v>
      </c>
      <c r="AQ3731">
        <v>21</v>
      </c>
      <c r="AR3731">
        <v>-1216</v>
      </c>
      <c r="AZ3731">
        <v>1200</v>
      </c>
      <c r="BA3731">
        <v>1</v>
      </c>
      <c r="BB3731" t="str">
        <f t="shared" si="1701"/>
        <v xml:space="preserve">N711JA  </v>
      </c>
      <c r="BC3731">
        <v>1</v>
      </c>
      <c r="BE3731">
        <v>0</v>
      </c>
      <c r="BF3731">
        <v>0</v>
      </c>
      <c r="BG3731">
        <v>0</v>
      </c>
      <c r="BH3731">
        <v>2275</v>
      </c>
      <c r="BI3731">
        <v>1</v>
      </c>
      <c r="BJ3731">
        <v>1</v>
      </c>
      <c r="BK3731">
        <v>0</v>
      </c>
      <c r="BL3731">
        <v>0</v>
      </c>
      <c r="BO3731">
        <v>0</v>
      </c>
      <c r="BP3731">
        <v>0</v>
      </c>
      <c r="BW3731" t="str">
        <f t="shared" si="1726"/>
        <v>14:48:00.988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7</v>
      </c>
      <c r="CP3731" t="s">
        <v>119</v>
      </c>
      <c r="CQ3731">
        <v>8</v>
      </c>
      <c r="CR3731">
        <v>3</v>
      </c>
      <c r="CW3731">
        <v>9070802</v>
      </c>
      <c r="CY3731">
        <v>1</v>
      </c>
      <c r="CZ3731">
        <v>0</v>
      </c>
      <c r="DA3731">
        <v>1</v>
      </c>
      <c r="DB3731">
        <v>0</v>
      </c>
      <c r="DC3731">
        <v>0</v>
      </c>
      <c r="DD3731">
        <v>1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3">
      <c r="A3732" t="str">
        <f t="shared" si="1723"/>
        <v>05/12/2020 14:47:43.153</v>
      </c>
      <c r="C3732" t="str">
        <f t="shared" si="1700"/>
        <v>FFDFD3C0</v>
      </c>
      <c r="D3732" t="s">
        <v>131</v>
      </c>
      <c r="E3732">
        <v>12</v>
      </c>
      <c r="F3732">
        <v>2012</v>
      </c>
      <c r="G3732" t="s">
        <v>137</v>
      </c>
      <c r="J3732" t="s">
        <v>133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 t="shared" si="1724"/>
        <v>14:48:00.984</v>
      </c>
      <c r="T3732" t="str">
        <f t="shared" si="1725"/>
        <v>14:48:00.484</v>
      </c>
      <c r="U3732" t="str">
        <f t="shared" si="1720"/>
        <v>A9808D</v>
      </c>
      <c r="V3732">
        <v>0</v>
      </c>
      <c r="W3732">
        <v>0</v>
      </c>
      <c r="X3732">
        <v>1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0</v>
      </c>
      <c r="AI3732" t="s">
        <v>865</v>
      </c>
      <c r="AJ3732">
        <v>28.271491999999999</v>
      </c>
      <c r="AK3732" t="s">
        <v>866</v>
      </c>
      <c r="AL3732">
        <v>-82.270473999999993</v>
      </c>
      <c r="AM3732">
        <v>100</v>
      </c>
      <c r="AN3732">
        <v>2300</v>
      </c>
      <c r="AO3732" t="s">
        <v>118</v>
      </c>
      <c r="AP3732">
        <v>-145</v>
      </c>
      <c r="AQ3732">
        <v>21</v>
      </c>
      <c r="AR3732">
        <v>-1216</v>
      </c>
      <c r="AZ3732">
        <v>1200</v>
      </c>
      <c r="BA3732">
        <v>1</v>
      </c>
      <c r="BB3732" t="str">
        <f t="shared" si="1701"/>
        <v xml:space="preserve">N711JA  </v>
      </c>
      <c r="BC3732">
        <v>1</v>
      </c>
      <c r="BE3732">
        <v>0</v>
      </c>
      <c r="BF3732">
        <v>0</v>
      </c>
      <c r="BG3732">
        <v>0</v>
      </c>
      <c r="BH3732">
        <v>2275</v>
      </c>
      <c r="BI3732">
        <v>1</v>
      </c>
      <c r="BJ3732">
        <v>1</v>
      </c>
      <c r="BK3732">
        <v>0</v>
      </c>
      <c r="BL3732">
        <v>0</v>
      </c>
      <c r="BO3732">
        <v>0</v>
      </c>
      <c r="BP3732">
        <v>0</v>
      </c>
      <c r="BW3732" t="str">
        <f t="shared" si="1726"/>
        <v>14:48:00.988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7</v>
      </c>
      <c r="CP3732" t="s">
        <v>119</v>
      </c>
      <c r="CQ3732">
        <v>8</v>
      </c>
      <c r="CR3732">
        <v>3</v>
      </c>
      <c r="CW3732">
        <v>9070802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1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3">
      <c r="A3733" t="str">
        <f t="shared" si="1723"/>
        <v>05/12/2020 14:47:43.153</v>
      </c>
      <c r="C3733" t="str">
        <f t="shared" si="1700"/>
        <v>FFDFD3C0</v>
      </c>
      <c r="D3733" t="s">
        <v>131</v>
      </c>
      <c r="E3733">
        <v>18</v>
      </c>
      <c r="F3733">
        <v>2018</v>
      </c>
      <c r="G3733" t="s">
        <v>161</v>
      </c>
      <c r="J3733" t="s">
        <v>133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 t="shared" si="1724"/>
        <v>14:48:00.984</v>
      </c>
      <c r="T3733" t="str">
        <f t="shared" si="1725"/>
        <v>14:48:00.484</v>
      </c>
      <c r="U3733" t="str">
        <f t="shared" si="1720"/>
        <v>A9808D</v>
      </c>
      <c r="V3733">
        <v>0</v>
      </c>
      <c r="W3733">
        <v>0</v>
      </c>
      <c r="X3733">
        <v>1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0</v>
      </c>
      <c r="AI3733" t="s">
        <v>865</v>
      </c>
      <c r="AJ3733">
        <v>28.271491999999999</v>
      </c>
      <c r="AK3733" t="s">
        <v>866</v>
      </c>
      <c r="AL3733">
        <v>-82.270473999999993</v>
      </c>
      <c r="AM3733">
        <v>100</v>
      </c>
      <c r="AN3733">
        <v>2300</v>
      </c>
      <c r="AO3733" t="s">
        <v>118</v>
      </c>
      <c r="AP3733">
        <v>-145</v>
      </c>
      <c r="AQ3733">
        <v>21</v>
      </c>
      <c r="AR3733">
        <v>-1216</v>
      </c>
      <c r="AZ3733">
        <v>1200</v>
      </c>
      <c r="BA3733">
        <v>1</v>
      </c>
      <c r="BB3733" t="str">
        <f t="shared" si="1701"/>
        <v xml:space="preserve">N711JA  </v>
      </c>
      <c r="BC3733">
        <v>1</v>
      </c>
      <c r="BE3733">
        <v>0</v>
      </c>
      <c r="BF3733">
        <v>0</v>
      </c>
      <c r="BG3733">
        <v>0</v>
      </c>
      <c r="BH3733">
        <v>2275</v>
      </c>
      <c r="BI3733">
        <v>1</v>
      </c>
      <c r="BJ3733">
        <v>1</v>
      </c>
      <c r="BK3733">
        <v>0</v>
      </c>
      <c r="BL3733">
        <v>0</v>
      </c>
      <c r="BO3733">
        <v>0</v>
      </c>
      <c r="BP3733">
        <v>0</v>
      </c>
      <c r="BW3733" t="str">
        <f t="shared" si="1726"/>
        <v>14:48:00.988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4</v>
      </c>
      <c r="CP3733" t="s">
        <v>119</v>
      </c>
      <c r="CQ3733">
        <v>62</v>
      </c>
      <c r="CR3733">
        <v>1</v>
      </c>
      <c r="CW3733">
        <v>12960138</v>
      </c>
      <c r="CY3733">
        <v>1</v>
      </c>
      <c r="CZ3733">
        <v>0</v>
      </c>
      <c r="DA3733">
        <v>1</v>
      </c>
      <c r="DB3733">
        <v>0</v>
      </c>
      <c r="DC3733">
        <v>0</v>
      </c>
      <c r="DD3733">
        <v>1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3">
      <c r="A3734" t="str">
        <f t="shared" si="1723"/>
        <v>05/12/2020 14:47:43.153</v>
      </c>
      <c r="C3734" t="str">
        <f t="shared" ref="C3734:C3797" si="1727">"FFDFD3C0"</f>
        <v>FFDFD3C0</v>
      </c>
      <c r="D3734" t="s">
        <v>134</v>
      </c>
      <c r="E3734">
        <v>12</v>
      </c>
      <c r="H3734">
        <v>64</v>
      </c>
      <c r="I3734" t="s">
        <v>135</v>
      </c>
      <c r="J3734" t="s">
        <v>136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 t="shared" si="1724"/>
        <v>14:48:00.984</v>
      </c>
      <c r="T3734" t="str">
        <f t="shared" si="1725"/>
        <v>14:48:00.484</v>
      </c>
      <c r="U3734" t="str">
        <f t="shared" si="1720"/>
        <v>A9808D</v>
      </c>
      <c r="V3734">
        <v>0</v>
      </c>
      <c r="W3734">
        <v>0</v>
      </c>
      <c r="X3734">
        <v>1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3</v>
      </c>
      <c r="AG3734">
        <v>2</v>
      </c>
      <c r="AH3734">
        <v>0</v>
      </c>
      <c r="AI3734" t="s">
        <v>865</v>
      </c>
      <c r="AJ3734">
        <v>28.271491999999999</v>
      </c>
      <c r="AK3734" t="s">
        <v>866</v>
      </c>
      <c r="AL3734">
        <v>-82.270473999999993</v>
      </c>
      <c r="AM3734">
        <v>100</v>
      </c>
      <c r="AN3734">
        <v>2300</v>
      </c>
      <c r="AO3734" t="s">
        <v>118</v>
      </c>
      <c r="AP3734">
        <v>-145</v>
      </c>
      <c r="AQ3734">
        <v>21</v>
      </c>
      <c r="AR3734">
        <v>-1216</v>
      </c>
      <c r="AZ3734">
        <v>1200</v>
      </c>
      <c r="BA3734">
        <v>1</v>
      </c>
      <c r="BB3734" t="str">
        <f t="shared" ref="BB3734:BB3797" si="1728">"N711JA  "</f>
        <v xml:space="preserve">N711JA  </v>
      </c>
      <c r="BC3734">
        <v>1</v>
      </c>
      <c r="BE3734">
        <v>0</v>
      </c>
      <c r="BF3734">
        <v>0</v>
      </c>
      <c r="BG3734">
        <v>0</v>
      </c>
      <c r="BH3734">
        <v>2275</v>
      </c>
      <c r="BI3734">
        <v>1</v>
      </c>
      <c r="BJ3734">
        <v>1</v>
      </c>
      <c r="BK3734">
        <v>0</v>
      </c>
      <c r="BL3734">
        <v>0</v>
      </c>
      <c r="BO3734">
        <v>0</v>
      </c>
      <c r="BP3734">
        <v>0</v>
      </c>
      <c r="BW3734" t="str">
        <f t="shared" si="1726"/>
        <v>14:48:00.988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7</v>
      </c>
      <c r="CP3734" t="s">
        <v>119</v>
      </c>
      <c r="CQ3734">
        <v>8</v>
      </c>
      <c r="CR3734">
        <v>3</v>
      </c>
      <c r="CW3734">
        <v>9070802</v>
      </c>
      <c r="CY3734">
        <v>1</v>
      </c>
      <c r="CZ3734">
        <v>0</v>
      </c>
      <c r="DA3734">
        <v>1</v>
      </c>
      <c r="DB3734">
        <v>0</v>
      </c>
      <c r="DC3734">
        <v>0</v>
      </c>
      <c r="DD3734">
        <v>1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3">
      <c r="A3735" t="str">
        <f t="shared" si="1723"/>
        <v>05/12/2020 14:47:43.153</v>
      </c>
      <c r="C3735" t="str">
        <f t="shared" si="1727"/>
        <v>FFDFD3C0</v>
      </c>
      <c r="D3735" t="s">
        <v>113</v>
      </c>
      <c r="E3735">
        <v>3</v>
      </c>
      <c r="H3735">
        <v>164</v>
      </c>
      <c r="I3735" t="s">
        <v>114</v>
      </c>
      <c r="J3735" t="s">
        <v>115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 t="shared" si="1724"/>
        <v>14:48:00.984</v>
      </c>
      <c r="T3735" t="str">
        <f t="shared" si="1725"/>
        <v>14:48:00.484</v>
      </c>
      <c r="U3735" t="str">
        <f t="shared" si="1720"/>
        <v>A9808D</v>
      </c>
      <c r="V3735">
        <v>0</v>
      </c>
      <c r="W3735">
        <v>0</v>
      </c>
      <c r="X3735">
        <v>1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0</v>
      </c>
      <c r="AI3735" t="s">
        <v>865</v>
      </c>
      <c r="AJ3735">
        <v>28.271491999999999</v>
      </c>
      <c r="AK3735" t="s">
        <v>866</v>
      </c>
      <c r="AL3735">
        <v>-82.270473999999993</v>
      </c>
      <c r="AM3735">
        <v>100</v>
      </c>
      <c r="AN3735">
        <v>2300</v>
      </c>
      <c r="AO3735" t="s">
        <v>118</v>
      </c>
      <c r="AP3735">
        <v>-145</v>
      </c>
      <c r="AQ3735">
        <v>21</v>
      </c>
      <c r="AR3735">
        <v>-1216</v>
      </c>
      <c r="AZ3735">
        <v>1200</v>
      </c>
      <c r="BA3735">
        <v>1</v>
      </c>
      <c r="BB3735" t="str">
        <f t="shared" si="1728"/>
        <v xml:space="preserve">N711JA  </v>
      </c>
      <c r="BC3735">
        <v>1</v>
      </c>
      <c r="BE3735">
        <v>0</v>
      </c>
      <c r="BF3735">
        <v>0</v>
      </c>
      <c r="BG3735">
        <v>0</v>
      </c>
      <c r="BH3735">
        <v>2275</v>
      </c>
      <c r="BI3735">
        <v>1</v>
      </c>
      <c r="BJ3735">
        <v>1</v>
      </c>
      <c r="BK3735">
        <v>0</v>
      </c>
      <c r="BL3735">
        <v>0</v>
      </c>
      <c r="BO3735">
        <v>0</v>
      </c>
      <c r="BP3735">
        <v>0</v>
      </c>
      <c r="BW3735" t="str">
        <f t="shared" si="1726"/>
        <v>14:48:00.988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7</v>
      </c>
      <c r="CP3735" t="s">
        <v>119</v>
      </c>
      <c r="CQ3735">
        <v>8</v>
      </c>
      <c r="CR3735">
        <v>3</v>
      </c>
      <c r="CW3735">
        <v>9070802</v>
      </c>
      <c r="CY3735">
        <v>1</v>
      </c>
      <c r="CZ3735">
        <v>0</v>
      </c>
      <c r="DA3735">
        <v>1</v>
      </c>
      <c r="DB3735">
        <v>0</v>
      </c>
      <c r="DC3735">
        <v>0</v>
      </c>
      <c r="DD3735">
        <v>1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3">
      <c r="A3736" t="str">
        <f t="shared" ref="A3736:A3744" si="1729">"05/12/2020 14:47:44.049"</f>
        <v>05/12/2020 14:47:44.049</v>
      </c>
      <c r="C3736" t="str">
        <f t="shared" si="1727"/>
        <v>FFDFD3C0</v>
      </c>
      <c r="D3736" t="s">
        <v>134</v>
      </c>
      <c r="E3736">
        <v>12</v>
      </c>
      <c r="H3736">
        <v>64</v>
      </c>
      <c r="I3736" t="s">
        <v>135</v>
      </c>
      <c r="J3736" t="s">
        <v>136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 t="shared" ref="S3736:S3744" si="1730">"14:48:01.875"</f>
        <v>14:48:01.875</v>
      </c>
      <c r="T3736" t="str">
        <f t="shared" ref="T3736:T3744" si="1731">"14:48:01.675"</f>
        <v>14:48:01.675</v>
      </c>
      <c r="U3736" t="str">
        <f t="shared" si="1720"/>
        <v>A9808D</v>
      </c>
      <c r="V3736">
        <v>0</v>
      </c>
      <c r="W3736">
        <v>0</v>
      </c>
      <c r="X3736">
        <v>1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0</v>
      </c>
      <c r="AI3736" t="s">
        <v>867</v>
      </c>
      <c r="AJ3736">
        <v>28.271577000000001</v>
      </c>
      <c r="AK3736" t="s">
        <v>868</v>
      </c>
      <c r="AL3736">
        <v>-82.271161000000006</v>
      </c>
      <c r="AM3736">
        <v>100</v>
      </c>
      <c r="AN3736">
        <v>2200</v>
      </c>
      <c r="AO3736" t="s">
        <v>118</v>
      </c>
      <c r="AP3736">
        <v>-148</v>
      </c>
      <c r="AQ3736">
        <v>12</v>
      </c>
      <c r="AR3736">
        <v>-832</v>
      </c>
      <c r="AZ3736">
        <v>1200</v>
      </c>
      <c r="BA3736">
        <v>1</v>
      </c>
      <c r="BB3736" t="str">
        <f t="shared" si="1728"/>
        <v xml:space="preserve">N711JA  </v>
      </c>
      <c r="BC3736">
        <v>1</v>
      </c>
      <c r="BE3736">
        <v>0</v>
      </c>
      <c r="BF3736">
        <v>0</v>
      </c>
      <c r="BG3736">
        <v>0</v>
      </c>
      <c r="BH3736">
        <v>2250</v>
      </c>
      <c r="BI3736">
        <v>1</v>
      </c>
      <c r="BJ3736">
        <v>1</v>
      </c>
      <c r="BK3736">
        <v>0</v>
      </c>
      <c r="BL3736">
        <v>0</v>
      </c>
      <c r="BO3736">
        <v>0</v>
      </c>
      <c r="BP3736">
        <v>0</v>
      </c>
      <c r="BW3736" t="str">
        <f t="shared" ref="BW3736:BW3744" si="1732">"14:48:01.878"</f>
        <v>14:48:01.878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7</v>
      </c>
      <c r="CP3736" t="s">
        <v>119</v>
      </c>
      <c r="CQ3736">
        <v>8</v>
      </c>
      <c r="CR3736">
        <v>3</v>
      </c>
      <c r="CW3736">
        <v>9071740</v>
      </c>
      <c r="CY3736">
        <v>1</v>
      </c>
      <c r="CZ3736">
        <v>0</v>
      </c>
      <c r="DA3736">
        <v>0</v>
      </c>
      <c r="DB3736">
        <v>0</v>
      </c>
      <c r="DC3736">
        <v>0</v>
      </c>
      <c r="DD3736">
        <v>1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3">
      <c r="A3737" t="str">
        <f t="shared" si="1729"/>
        <v>05/12/2020 14:47:44.049</v>
      </c>
      <c r="C3737" t="str">
        <f t="shared" si="1727"/>
        <v>FFDFD3C0</v>
      </c>
      <c r="D3737" t="s">
        <v>113</v>
      </c>
      <c r="E3737">
        <v>3</v>
      </c>
      <c r="H3737">
        <v>164</v>
      </c>
      <c r="I3737" t="s">
        <v>114</v>
      </c>
      <c r="J3737" t="s">
        <v>115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 t="shared" si="1730"/>
        <v>14:48:01.875</v>
      </c>
      <c r="T3737" t="str">
        <f t="shared" si="1731"/>
        <v>14:48:01.675</v>
      </c>
      <c r="U3737" t="str">
        <f t="shared" si="1720"/>
        <v>A9808D</v>
      </c>
      <c r="V3737">
        <v>0</v>
      </c>
      <c r="W3737">
        <v>0</v>
      </c>
      <c r="X3737">
        <v>1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0</v>
      </c>
      <c r="AI3737" t="s">
        <v>867</v>
      </c>
      <c r="AJ3737">
        <v>28.271577000000001</v>
      </c>
      <c r="AK3737" t="s">
        <v>868</v>
      </c>
      <c r="AL3737">
        <v>-82.271161000000006</v>
      </c>
      <c r="AM3737">
        <v>100</v>
      </c>
      <c r="AN3737">
        <v>2200</v>
      </c>
      <c r="AO3737" t="s">
        <v>118</v>
      </c>
      <c r="AP3737">
        <v>-148</v>
      </c>
      <c r="AQ3737">
        <v>12</v>
      </c>
      <c r="AR3737">
        <v>-832</v>
      </c>
      <c r="AZ3737">
        <v>1200</v>
      </c>
      <c r="BA3737">
        <v>1</v>
      </c>
      <c r="BB3737" t="str">
        <f t="shared" si="1728"/>
        <v xml:space="preserve">N711JA  </v>
      </c>
      <c r="BC3737">
        <v>1</v>
      </c>
      <c r="BE3737">
        <v>0</v>
      </c>
      <c r="BF3737">
        <v>0</v>
      </c>
      <c r="BG3737">
        <v>0</v>
      </c>
      <c r="BH3737">
        <v>2250</v>
      </c>
      <c r="BI3737">
        <v>1</v>
      </c>
      <c r="BJ3737">
        <v>1</v>
      </c>
      <c r="BK3737">
        <v>0</v>
      </c>
      <c r="BL3737">
        <v>0</v>
      </c>
      <c r="BO3737">
        <v>0</v>
      </c>
      <c r="BP3737">
        <v>0</v>
      </c>
      <c r="BW3737" t="str">
        <f t="shared" si="1732"/>
        <v>14:48:01.878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7</v>
      </c>
      <c r="CP3737" t="s">
        <v>119</v>
      </c>
      <c r="CQ3737">
        <v>8</v>
      </c>
      <c r="CR3737">
        <v>3</v>
      </c>
      <c r="CW3737">
        <v>9071740</v>
      </c>
      <c r="CY3737">
        <v>1</v>
      </c>
      <c r="CZ3737">
        <v>0</v>
      </c>
      <c r="DA3737">
        <v>1</v>
      </c>
      <c r="DB3737">
        <v>0</v>
      </c>
      <c r="DC3737">
        <v>0</v>
      </c>
      <c r="DD3737">
        <v>1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3">
      <c r="A3738" t="str">
        <f t="shared" si="1729"/>
        <v>05/12/2020 14:47:44.049</v>
      </c>
      <c r="C3738" t="str">
        <f t="shared" si="1727"/>
        <v>FFDFD3C0</v>
      </c>
      <c r="D3738" t="s">
        <v>138</v>
      </c>
      <c r="E3738">
        <v>2</v>
      </c>
      <c r="H3738">
        <v>8</v>
      </c>
      <c r="I3738" t="s">
        <v>139</v>
      </c>
      <c r="J3738" t="s">
        <v>136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 t="shared" si="1730"/>
        <v>14:48:01.875</v>
      </c>
      <c r="T3738" t="str">
        <f t="shared" si="1731"/>
        <v>14:48:01.675</v>
      </c>
      <c r="U3738" t="str">
        <f t="shared" si="1720"/>
        <v>A9808D</v>
      </c>
      <c r="V3738">
        <v>0</v>
      </c>
      <c r="W3738">
        <v>0</v>
      </c>
      <c r="X3738">
        <v>1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0</v>
      </c>
      <c r="AI3738" t="s">
        <v>867</v>
      </c>
      <c r="AJ3738">
        <v>28.271577000000001</v>
      </c>
      <c r="AK3738" t="s">
        <v>868</v>
      </c>
      <c r="AL3738">
        <v>-82.271161000000006</v>
      </c>
      <c r="AM3738">
        <v>100</v>
      </c>
      <c r="AN3738">
        <v>2200</v>
      </c>
      <c r="AO3738" t="s">
        <v>118</v>
      </c>
      <c r="AP3738">
        <v>-148</v>
      </c>
      <c r="AQ3738">
        <v>12</v>
      </c>
      <c r="AR3738">
        <v>-832</v>
      </c>
      <c r="AZ3738">
        <v>1200</v>
      </c>
      <c r="BA3738">
        <v>1</v>
      </c>
      <c r="BB3738" t="str">
        <f t="shared" si="1728"/>
        <v xml:space="preserve">N711JA  </v>
      </c>
      <c r="BC3738">
        <v>1</v>
      </c>
      <c r="BE3738">
        <v>0</v>
      </c>
      <c r="BF3738">
        <v>0</v>
      </c>
      <c r="BG3738">
        <v>0</v>
      </c>
      <c r="BH3738">
        <v>2250</v>
      </c>
      <c r="BI3738">
        <v>1</v>
      </c>
      <c r="BJ3738">
        <v>1</v>
      </c>
      <c r="BK3738">
        <v>0</v>
      </c>
      <c r="BL3738">
        <v>0</v>
      </c>
      <c r="BO3738">
        <v>0</v>
      </c>
      <c r="BP3738">
        <v>0</v>
      </c>
      <c r="BW3738" t="str">
        <f t="shared" si="1732"/>
        <v>14:48:01.878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7</v>
      </c>
      <c r="CP3738" t="s">
        <v>119</v>
      </c>
      <c r="CQ3738">
        <v>8</v>
      </c>
      <c r="CR3738">
        <v>3</v>
      </c>
      <c r="CW3738">
        <v>9071740</v>
      </c>
      <c r="CY3738">
        <v>1</v>
      </c>
      <c r="CZ3738">
        <v>0</v>
      </c>
      <c r="DA3738">
        <v>1</v>
      </c>
      <c r="DB3738">
        <v>0</v>
      </c>
      <c r="DC3738">
        <v>0</v>
      </c>
      <c r="DD3738">
        <v>1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3">
      <c r="A3739" t="str">
        <f t="shared" si="1729"/>
        <v>05/12/2020 14:47:44.049</v>
      </c>
      <c r="C3739" t="str">
        <f t="shared" si="1727"/>
        <v>FFDFD3C0</v>
      </c>
      <c r="D3739" t="s">
        <v>138</v>
      </c>
      <c r="E3739">
        <v>3</v>
      </c>
      <c r="H3739">
        <v>9</v>
      </c>
      <c r="I3739" t="s">
        <v>140</v>
      </c>
      <c r="J3739" t="s">
        <v>136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 t="shared" si="1730"/>
        <v>14:48:01.875</v>
      </c>
      <c r="T3739" t="str">
        <f t="shared" si="1731"/>
        <v>14:48:01.675</v>
      </c>
      <c r="U3739" t="str">
        <f t="shared" si="1720"/>
        <v>A9808D</v>
      </c>
      <c r="V3739">
        <v>0</v>
      </c>
      <c r="W3739">
        <v>0</v>
      </c>
      <c r="X3739">
        <v>1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0</v>
      </c>
      <c r="AI3739" t="s">
        <v>867</v>
      </c>
      <c r="AJ3739">
        <v>28.271577000000001</v>
      </c>
      <c r="AK3739" t="s">
        <v>868</v>
      </c>
      <c r="AL3739">
        <v>-82.271161000000006</v>
      </c>
      <c r="AM3739">
        <v>100</v>
      </c>
      <c r="AN3739">
        <v>2200</v>
      </c>
      <c r="AO3739" t="s">
        <v>118</v>
      </c>
      <c r="AP3739">
        <v>-148</v>
      </c>
      <c r="AQ3739">
        <v>12</v>
      </c>
      <c r="AR3739">
        <v>-832</v>
      </c>
      <c r="AZ3739">
        <v>1200</v>
      </c>
      <c r="BA3739">
        <v>1</v>
      </c>
      <c r="BB3739" t="str">
        <f t="shared" si="1728"/>
        <v xml:space="preserve">N711JA  </v>
      </c>
      <c r="BC3739">
        <v>1</v>
      </c>
      <c r="BE3739">
        <v>0</v>
      </c>
      <c r="BF3739">
        <v>0</v>
      </c>
      <c r="BG3739">
        <v>0</v>
      </c>
      <c r="BH3739">
        <v>2250</v>
      </c>
      <c r="BI3739">
        <v>1</v>
      </c>
      <c r="BJ3739">
        <v>1</v>
      </c>
      <c r="BK3739">
        <v>0</v>
      </c>
      <c r="BL3739">
        <v>0</v>
      </c>
      <c r="BO3739">
        <v>0</v>
      </c>
      <c r="BP3739">
        <v>0</v>
      </c>
      <c r="BW3739" t="str">
        <f t="shared" si="1732"/>
        <v>14:48:01.878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7</v>
      </c>
      <c r="CP3739" t="s">
        <v>119</v>
      </c>
      <c r="CQ3739">
        <v>8</v>
      </c>
      <c r="CR3739">
        <v>3</v>
      </c>
      <c r="CW3739">
        <v>9071740</v>
      </c>
      <c r="CY3739">
        <v>1</v>
      </c>
      <c r="CZ3739">
        <v>0</v>
      </c>
      <c r="DA3739">
        <v>1</v>
      </c>
      <c r="DB3739">
        <v>0</v>
      </c>
      <c r="DC3739">
        <v>0</v>
      </c>
      <c r="DD3739">
        <v>1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3">
      <c r="A3740" t="str">
        <f t="shared" si="1729"/>
        <v>05/12/2020 14:47:44.049</v>
      </c>
      <c r="C3740" t="str">
        <f t="shared" si="1727"/>
        <v>FFDFD3C0</v>
      </c>
      <c r="D3740" t="s">
        <v>126</v>
      </c>
      <c r="E3740">
        <v>6</v>
      </c>
      <c r="F3740">
        <v>1006</v>
      </c>
      <c r="G3740" t="s">
        <v>114</v>
      </c>
      <c r="J3740" t="s">
        <v>128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 t="shared" si="1730"/>
        <v>14:48:01.875</v>
      </c>
      <c r="T3740" t="str">
        <f t="shared" si="1731"/>
        <v>14:48:01.675</v>
      </c>
      <c r="U3740" t="str">
        <f t="shared" si="1720"/>
        <v>A9808D</v>
      </c>
      <c r="V3740">
        <v>0</v>
      </c>
      <c r="W3740">
        <v>0</v>
      </c>
      <c r="X3740">
        <v>1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0</v>
      </c>
      <c r="AI3740" t="s">
        <v>867</v>
      </c>
      <c r="AJ3740">
        <v>28.271577000000001</v>
      </c>
      <c r="AK3740" t="s">
        <v>868</v>
      </c>
      <c r="AL3740">
        <v>-82.271161000000006</v>
      </c>
      <c r="AM3740">
        <v>100</v>
      </c>
      <c r="AN3740">
        <v>2200</v>
      </c>
      <c r="AO3740" t="s">
        <v>118</v>
      </c>
      <c r="AP3740">
        <v>-148</v>
      </c>
      <c r="AQ3740">
        <v>12</v>
      </c>
      <c r="AR3740">
        <v>-832</v>
      </c>
      <c r="AZ3740">
        <v>1200</v>
      </c>
      <c r="BA3740">
        <v>1</v>
      </c>
      <c r="BB3740" t="str">
        <f t="shared" si="1728"/>
        <v xml:space="preserve">N711JA  </v>
      </c>
      <c r="BC3740">
        <v>1</v>
      </c>
      <c r="BE3740">
        <v>0</v>
      </c>
      <c r="BF3740">
        <v>0</v>
      </c>
      <c r="BG3740">
        <v>0</v>
      </c>
      <c r="BH3740">
        <v>2250</v>
      </c>
      <c r="BI3740">
        <v>1</v>
      </c>
      <c r="BJ3740">
        <v>1</v>
      </c>
      <c r="BK3740">
        <v>0</v>
      </c>
      <c r="BL3740">
        <v>0</v>
      </c>
      <c r="BO3740">
        <v>0</v>
      </c>
      <c r="BP3740">
        <v>0</v>
      </c>
      <c r="BW3740" t="str">
        <f t="shared" si="1732"/>
        <v>14:48:01.878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7</v>
      </c>
      <c r="CP3740" t="s">
        <v>119</v>
      </c>
      <c r="CQ3740">
        <v>8</v>
      </c>
      <c r="CR3740">
        <v>3</v>
      </c>
      <c r="CW3740">
        <v>9071740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1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3">
      <c r="A3741" t="str">
        <f t="shared" si="1729"/>
        <v>05/12/2020 14:47:44.049</v>
      </c>
      <c r="C3741" t="str">
        <f t="shared" si="1727"/>
        <v>FFDFD3C0</v>
      </c>
      <c r="D3741" t="s">
        <v>126</v>
      </c>
      <c r="E3741">
        <v>7</v>
      </c>
      <c r="F3741">
        <v>1007</v>
      </c>
      <c r="G3741" t="s">
        <v>127</v>
      </c>
      <c r="J3741" t="s">
        <v>128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 t="shared" si="1730"/>
        <v>14:48:01.875</v>
      </c>
      <c r="T3741" t="str">
        <f t="shared" si="1731"/>
        <v>14:48:01.675</v>
      </c>
      <c r="U3741" t="str">
        <f t="shared" si="1720"/>
        <v>A9808D</v>
      </c>
      <c r="V3741">
        <v>0</v>
      </c>
      <c r="W3741">
        <v>0</v>
      </c>
      <c r="X3741">
        <v>1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0</v>
      </c>
      <c r="AI3741" t="s">
        <v>867</v>
      </c>
      <c r="AJ3741">
        <v>28.271577000000001</v>
      </c>
      <c r="AK3741" t="s">
        <v>868</v>
      </c>
      <c r="AL3741">
        <v>-82.271161000000006</v>
      </c>
      <c r="AM3741">
        <v>100</v>
      </c>
      <c r="AN3741">
        <v>2200</v>
      </c>
      <c r="AO3741" t="s">
        <v>118</v>
      </c>
      <c r="AP3741">
        <v>-148</v>
      </c>
      <c r="AQ3741">
        <v>12</v>
      </c>
      <c r="AR3741">
        <v>-832</v>
      </c>
      <c r="AZ3741">
        <v>1200</v>
      </c>
      <c r="BA3741">
        <v>1</v>
      </c>
      <c r="BB3741" t="str">
        <f t="shared" si="1728"/>
        <v xml:space="preserve">N711JA  </v>
      </c>
      <c r="BC3741">
        <v>1</v>
      </c>
      <c r="BE3741">
        <v>0</v>
      </c>
      <c r="BF3741">
        <v>0</v>
      </c>
      <c r="BG3741">
        <v>0</v>
      </c>
      <c r="BH3741">
        <v>2250</v>
      </c>
      <c r="BI3741">
        <v>1</v>
      </c>
      <c r="BJ3741">
        <v>1</v>
      </c>
      <c r="BK3741">
        <v>0</v>
      </c>
      <c r="BL3741">
        <v>0</v>
      </c>
      <c r="BO3741">
        <v>0</v>
      </c>
      <c r="BP3741">
        <v>0</v>
      </c>
      <c r="BW3741" t="str">
        <f t="shared" si="1732"/>
        <v>14:48:01.878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7</v>
      </c>
      <c r="CP3741" t="s">
        <v>119</v>
      </c>
      <c r="CQ3741">
        <v>8</v>
      </c>
      <c r="CR3741">
        <v>3</v>
      </c>
      <c r="CW3741">
        <v>9071740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1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3">
      <c r="A3742" t="str">
        <f t="shared" si="1729"/>
        <v>05/12/2020 14:47:44.049</v>
      </c>
      <c r="C3742" t="str">
        <f t="shared" si="1727"/>
        <v>FFDFD3C0</v>
      </c>
      <c r="D3742" t="s">
        <v>131</v>
      </c>
      <c r="E3742">
        <v>10</v>
      </c>
      <c r="F3742">
        <v>2010</v>
      </c>
      <c r="G3742" t="s">
        <v>132</v>
      </c>
      <c r="J3742" t="s">
        <v>133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 t="shared" si="1730"/>
        <v>14:48:01.875</v>
      </c>
      <c r="T3742" t="str">
        <f t="shared" si="1731"/>
        <v>14:48:01.675</v>
      </c>
      <c r="U3742" t="str">
        <f t="shared" si="1720"/>
        <v>A9808D</v>
      </c>
      <c r="V3742">
        <v>0</v>
      </c>
      <c r="W3742">
        <v>0</v>
      </c>
      <c r="X3742">
        <v>1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3</v>
      </c>
      <c r="AG3742">
        <v>2</v>
      </c>
      <c r="AH3742">
        <v>0</v>
      </c>
      <c r="AI3742" t="s">
        <v>867</v>
      </c>
      <c r="AJ3742">
        <v>28.271577000000001</v>
      </c>
      <c r="AK3742" t="s">
        <v>868</v>
      </c>
      <c r="AL3742">
        <v>-82.271161000000006</v>
      </c>
      <c r="AM3742">
        <v>100</v>
      </c>
      <c r="AN3742">
        <v>2200</v>
      </c>
      <c r="AO3742" t="s">
        <v>118</v>
      </c>
      <c r="AP3742">
        <v>-148</v>
      </c>
      <c r="AQ3742">
        <v>12</v>
      </c>
      <c r="AR3742">
        <v>-832</v>
      </c>
      <c r="AZ3742">
        <v>1200</v>
      </c>
      <c r="BA3742">
        <v>1</v>
      </c>
      <c r="BB3742" t="str">
        <f t="shared" si="1728"/>
        <v xml:space="preserve">N711JA  </v>
      </c>
      <c r="BC3742">
        <v>1</v>
      </c>
      <c r="BE3742">
        <v>0</v>
      </c>
      <c r="BF3742">
        <v>0</v>
      </c>
      <c r="BG3742">
        <v>0</v>
      </c>
      <c r="BH3742">
        <v>2250</v>
      </c>
      <c r="BI3742">
        <v>1</v>
      </c>
      <c r="BJ3742">
        <v>1</v>
      </c>
      <c r="BK3742">
        <v>0</v>
      </c>
      <c r="BL3742">
        <v>0</v>
      </c>
      <c r="BO3742">
        <v>0</v>
      </c>
      <c r="BP3742">
        <v>0</v>
      </c>
      <c r="BW3742" t="str">
        <f t="shared" si="1732"/>
        <v>14:48:01.878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7</v>
      </c>
      <c r="CP3742" t="s">
        <v>119</v>
      </c>
      <c r="CQ3742">
        <v>8</v>
      </c>
      <c r="CR3742">
        <v>3</v>
      </c>
      <c r="CW3742">
        <v>9071740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1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3">
      <c r="A3743" t="str">
        <f t="shared" si="1729"/>
        <v>05/12/2020 14:47:44.049</v>
      </c>
      <c r="C3743" t="str">
        <f t="shared" si="1727"/>
        <v>FFDFD3C0</v>
      </c>
      <c r="D3743" t="s">
        <v>131</v>
      </c>
      <c r="E3743">
        <v>12</v>
      </c>
      <c r="F3743">
        <v>2012</v>
      </c>
      <c r="G3743" t="s">
        <v>137</v>
      </c>
      <c r="J3743" t="s">
        <v>133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 t="shared" si="1730"/>
        <v>14:48:01.875</v>
      </c>
      <c r="T3743" t="str">
        <f t="shared" si="1731"/>
        <v>14:48:01.675</v>
      </c>
      <c r="U3743" t="str">
        <f t="shared" si="1720"/>
        <v>A9808D</v>
      </c>
      <c r="V3743">
        <v>0</v>
      </c>
      <c r="W3743">
        <v>0</v>
      </c>
      <c r="X3743">
        <v>1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0</v>
      </c>
      <c r="AI3743" t="s">
        <v>867</v>
      </c>
      <c r="AJ3743">
        <v>28.271577000000001</v>
      </c>
      <c r="AK3743" t="s">
        <v>868</v>
      </c>
      <c r="AL3743">
        <v>-82.271161000000006</v>
      </c>
      <c r="AM3743">
        <v>100</v>
      </c>
      <c r="AN3743">
        <v>2200</v>
      </c>
      <c r="AO3743" t="s">
        <v>118</v>
      </c>
      <c r="AP3743">
        <v>-148</v>
      </c>
      <c r="AQ3743">
        <v>12</v>
      </c>
      <c r="AR3743">
        <v>-832</v>
      </c>
      <c r="AZ3743">
        <v>1200</v>
      </c>
      <c r="BA3743">
        <v>1</v>
      </c>
      <c r="BB3743" t="str">
        <f t="shared" si="1728"/>
        <v xml:space="preserve">N711JA  </v>
      </c>
      <c r="BC3743">
        <v>1</v>
      </c>
      <c r="BE3743">
        <v>0</v>
      </c>
      <c r="BF3743">
        <v>0</v>
      </c>
      <c r="BG3743">
        <v>0</v>
      </c>
      <c r="BH3743">
        <v>2250</v>
      </c>
      <c r="BI3743">
        <v>1</v>
      </c>
      <c r="BJ3743">
        <v>1</v>
      </c>
      <c r="BK3743">
        <v>0</v>
      </c>
      <c r="BL3743">
        <v>0</v>
      </c>
      <c r="BO3743">
        <v>0</v>
      </c>
      <c r="BP3743">
        <v>0</v>
      </c>
      <c r="BW3743" t="str">
        <f t="shared" si="1732"/>
        <v>14:48:01.878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7</v>
      </c>
      <c r="CP3743" t="s">
        <v>119</v>
      </c>
      <c r="CQ3743">
        <v>8</v>
      </c>
      <c r="CR3743">
        <v>3</v>
      </c>
      <c r="CW3743">
        <v>9071740</v>
      </c>
      <c r="CY3743">
        <v>1</v>
      </c>
      <c r="CZ3743">
        <v>0</v>
      </c>
      <c r="DA3743">
        <v>1</v>
      </c>
      <c r="DB3743">
        <v>0</v>
      </c>
      <c r="DC3743">
        <v>0</v>
      </c>
      <c r="DD3743">
        <v>1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3">
      <c r="A3744" t="str">
        <f t="shared" si="1729"/>
        <v>05/12/2020 14:47:44.049</v>
      </c>
      <c r="C3744" t="str">
        <f t="shared" si="1727"/>
        <v>FFDFD3C0</v>
      </c>
      <c r="D3744" t="s">
        <v>131</v>
      </c>
      <c r="E3744">
        <v>18</v>
      </c>
      <c r="F3744">
        <v>2018</v>
      </c>
      <c r="G3744" t="s">
        <v>161</v>
      </c>
      <c r="J3744" t="s">
        <v>133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 t="shared" si="1730"/>
        <v>14:48:01.875</v>
      </c>
      <c r="T3744" t="str">
        <f t="shared" si="1731"/>
        <v>14:48:01.675</v>
      </c>
      <c r="U3744" t="str">
        <f t="shared" si="1720"/>
        <v>A9808D</v>
      </c>
      <c r="V3744">
        <v>0</v>
      </c>
      <c r="W3744">
        <v>0</v>
      </c>
      <c r="X3744">
        <v>1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0</v>
      </c>
      <c r="AI3744" t="s">
        <v>867</v>
      </c>
      <c r="AJ3744">
        <v>28.271577000000001</v>
      </c>
      <c r="AK3744" t="s">
        <v>868</v>
      </c>
      <c r="AL3744">
        <v>-82.271161000000006</v>
      </c>
      <c r="AM3744">
        <v>100</v>
      </c>
      <c r="AN3744">
        <v>2200</v>
      </c>
      <c r="AO3744" t="s">
        <v>118</v>
      </c>
      <c r="AP3744">
        <v>-148</v>
      </c>
      <c r="AQ3744">
        <v>12</v>
      </c>
      <c r="AR3744">
        <v>-832</v>
      </c>
      <c r="AZ3744">
        <v>1200</v>
      </c>
      <c r="BA3744">
        <v>1</v>
      </c>
      <c r="BB3744" t="str">
        <f t="shared" si="1728"/>
        <v xml:space="preserve">N711JA  </v>
      </c>
      <c r="BC3744">
        <v>1</v>
      </c>
      <c r="BE3744">
        <v>0</v>
      </c>
      <c r="BF3744">
        <v>0</v>
      </c>
      <c r="BG3744">
        <v>0</v>
      </c>
      <c r="BH3744">
        <v>2250</v>
      </c>
      <c r="BI3744">
        <v>1</v>
      </c>
      <c r="BJ3744">
        <v>1</v>
      </c>
      <c r="BK3744">
        <v>0</v>
      </c>
      <c r="BL3744">
        <v>0</v>
      </c>
      <c r="BO3744">
        <v>0</v>
      </c>
      <c r="BP3744">
        <v>0</v>
      </c>
      <c r="BW3744" t="str">
        <f t="shared" si="1732"/>
        <v>14:48:01.878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1</v>
      </c>
      <c r="CP3744" t="s">
        <v>119</v>
      </c>
      <c r="CQ3744">
        <v>62</v>
      </c>
      <c r="CR3744">
        <v>2</v>
      </c>
      <c r="CW3744">
        <v>13782697</v>
      </c>
      <c r="CY3744">
        <v>1</v>
      </c>
      <c r="CZ3744">
        <v>0</v>
      </c>
      <c r="DA3744">
        <v>1</v>
      </c>
      <c r="DB3744">
        <v>0</v>
      </c>
      <c r="DC3744">
        <v>0</v>
      </c>
      <c r="DD3744">
        <v>1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3">
      <c r="A3745" t="str">
        <f t="shared" ref="A3745:A3753" si="1733">"05/12/2020 14:47:44.961"</f>
        <v>05/12/2020 14:47:44.961</v>
      </c>
      <c r="C3745" t="str">
        <f t="shared" si="1727"/>
        <v>FFDFD3C0</v>
      </c>
      <c r="D3745" t="s">
        <v>134</v>
      </c>
      <c r="E3745">
        <v>12</v>
      </c>
      <c r="H3745">
        <v>64</v>
      </c>
      <c r="I3745" t="s">
        <v>135</v>
      </c>
      <c r="J3745" t="s">
        <v>136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 t="shared" ref="S3745:S3753" si="1734">"14:48:02.797"</f>
        <v>14:48:02.797</v>
      </c>
      <c r="T3745" t="str">
        <f t="shared" ref="T3745:T3753" si="1735">"14:48:02.697"</f>
        <v>14:48:02.697</v>
      </c>
      <c r="U3745" t="str">
        <f t="shared" si="1720"/>
        <v>A9808D</v>
      </c>
      <c r="V3745">
        <v>0</v>
      </c>
      <c r="W3745">
        <v>0</v>
      </c>
      <c r="X3745">
        <v>1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0</v>
      </c>
      <c r="AI3745" t="s">
        <v>867</v>
      </c>
      <c r="AJ3745">
        <v>28.271577000000001</v>
      </c>
      <c r="AK3745" t="s">
        <v>869</v>
      </c>
      <c r="AL3745">
        <v>-82.271955000000005</v>
      </c>
      <c r="AM3745">
        <v>100</v>
      </c>
      <c r="AN3745">
        <v>2200</v>
      </c>
      <c r="AO3745" t="s">
        <v>118</v>
      </c>
      <c r="AP3745">
        <v>-149</v>
      </c>
      <c r="AQ3745">
        <v>6</v>
      </c>
      <c r="AR3745">
        <v>-512</v>
      </c>
      <c r="AZ3745">
        <v>1200</v>
      </c>
      <c r="BA3745">
        <v>1</v>
      </c>
      <c r="BB3745" t="str">
        <f t="shared" si="1728"/>
        <v xml:space="preserve">N711JA  </v>
      </c>
      <c r="BC3745">
        <v>1</v>
      </c>
      <c r="BE3745">
        <v>0</v>
      </c>
      <c r="BF3745">
        <v>0</v>
      </c>
      <c r="BG3745">
        <v>0</v>
      </c>
      <c r="BH3745">
        <v>2225</v>
      </c>
      <c r="BI3745">
        <v>1</v>
      </c>
      <c r="BJ3745">
        <v>1</v>
      </c>
      <c r="BK3745">
        <v>0</v>
      </c>
      <c r="BL3745">
        <v>0</v>
      </c>
      <c r="BO3745">
        <v>0</v>
      </c>
      <c r="BP3745">
        <v>0</v>
      </c>
      <c r="BW3745" t="str">
        <f t="shared" ref="BW3745:BW3753" si="1736">"14:48:02.804"</f>
        <v>14:48:02.804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7</v>
      </c>
      <c r="CP3745" t="s">
        <v>119</v>
      </c>
      <c r="CQ3745">
        <v>8</v>
      </c>
      <c r="CR3745">
        <v>3</v>
      </c>
      <c r="CW3745">
        <v>9072763</v>
      </c>
      <c r="CY3745">
        <v>1</v>
      </c>
      <c r="CZ3745">
        <v>0</v>
      </c>
      <c r="DA3745">
        <v>0</v>
      </c>
      <c r="DB3745">
        <v>0</v>
      </c>
      <c r="DC3745">
        <v>0</v>
      </c>
      <c r="DD3745">
        <v>1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3">
      <c r="A3746" t="str">
        <f t="shared" si="1733"/>
        <v>05/12/2020 14:47:44.961</v>
      </c>
      <c r="C3746" t="str">
        <f t="shared" si="1727"/>
        <v>FFDFD3C0</v>
      </c>
      <c r="D3746" t="s">
        <v>113</v>
      </c>
      <c r="E3746">
        <v>3</v>
      </c>
      <c r="H3746">
        <v>164</v>
      </c>
      <c r="I3746" t="s">
        <v>114</v>
      </c>
      <c r="J3746" t="s">
        <v>115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 t="shared" si="1734"/>
        <v>14:48:02.797</v>
      </c>
      <c r="T3746" t="str">
        <f t="shared" si="1735"/>
        <v>14:48:02.697</v>
      </c>
      <c r="U3746" t="str">
        <f t="shared" si="1720"/>
        <v>A9808D</v>
      </c>
      <c r="V3746">
        <v>0</v>
      </c>
      <c r="W3746">
        <v>0</v>
      </c>
      <c r="X3746">
        <v>1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0</v>
      </c>
      <c r="AI3746" t="s">
        <v>867</v>
      </c>
      <c r="AJ3746">
        <v>28.271577000000001</v>
      </c>
      <c r="AK3746" t="s">
        <v>869</v>
      </c>
      <c r="AL3746">
        <v>-82.271955000000005</v>
      </c>
      <c r="AM3746">
        <v>100</v>
      </c>
      <c r="AN3746">
        <v>2200</v>
      </c>
      <c r="AO3746" t="s">
        <v>118</v>
      </c>
      <c r="AP3746">
        <v>-149</v>
      </c>
      <c r="AQ3746">
        <v>6</v>
      </c>
      <c r="AR3746">
        <v>-512</v>
      </c>
      <c r="AZ3746">
        <v>1200</v>
      </c>
      <c r="BA3746">
        <v>1</v>
      </c>
      <c r="BB3746" t="str">
        <f t="shared" si="1728"/>
        <v xml:space="preserve">N711JA  </v>
      </c>
      <c r="BC3746">
        <v>1</v>
      </c>
      <c r="BE3746">
        <v>0</v>
      </c>
      <c r="BF3746">
        <v>0</v>
      </c>
      <c r="BG3746">
        <v>0</v>
      </c>
      <c r="BH3746">
        <v>2225</v>
      </c>
      <c r="BI3746">
        <v>1</v>
      </c>
      <c r="BJ3746">
        <v>1</v>
      </c>
      <c r="BK3746">
        <v>0</v>
      </c>
      <c r="BL3746">
        <v>0</v>
      </c>
      <c r="BO3746">
        <v>0</v>
      </c>
      <c r="BP3746">
        <v>0</v>
      </c>
      <c r="BW3746" t="str">
        <f t="shared" si="1736"/>
        <v>14:48:02.804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7</v>
      </c>
      <c r="CP3746" t="s">
        <v>119</v>
      </c>
      <c r="CQ3746">
        <v>8</v>
      </c>
      <c r="CR3746">
        <v>3</v>
      </c>
      <c r="CW3746">
        <v>9072763</v>
      </c>
      <c r="CY3746">
        <v>1</v>
      </c>
      <c r="CZ3746">
        <v>0</v>
      </c>
      <c r="DA3746">
        <v>1</v>
      </c>
      <c r="DB3746">
        <v>0</v>
      </c>
      <c r="DC3746">
        <v>0</v>
      </c>
      <c r="DD3746">
        <v>1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3">
      <c r="A3747" t="str">
        <f t="shared" si="1733"/>
        <v>05/12/2020 14:47:44.961</v>
      </c>
      <c r="C3747" t="str">
        <f t="shared" si="1727"/>
        <v>FFDFD3C0</v>
      </c>
      <c r="D3747" t="s">
        <v>126</v>
      </c>
      <c r="E3747">
        <v>6</v>
      </c>
      <c r="F3747">
        <v>1006</v>
      </c>
      <c r="G3747" t="s">
        <v>114</v>
      </c>
      <c r="J3747" t="s">
        <v>128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 t="shared" si="1734"/>
        <v>14:48:02.797</v>
      </c>
      <c r="T3747" t="str">
        <f t="shared" si="1735"/>
        <v>14:48:02.697</v>
      </c>
      <c r="U3747" t="str">
        <f t="shared" si="1720"/>
        <v>A9808D</v>
      </c>
      <c r="V3747">
        <v>0</v>
      </c>
      <c r="W3747">
        <v>0</v>
      </c>
      <c r="X3747">
        <v>1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3</v>
      </c>
      <c r="AG3747">
        <v>2</v>
      </c>
      <c r="AH3747">
        <v>0</v>
      </c>
      <c r="AI3747" t="s">
        <v>867</v>
      </c>
      <c r="AJ3747">
        <v>28.271577000000001</v>
      </c>
      <c r="AK3747" t="s">
        <v>869</v>
      </c>
      <c r="AL3747">
        <v>-82.271955000000005</v>
      </c>
      <c r="AM3747">
        <v>100</v>
      </c>
      <c r="AN3747">
        <v>2200</v>
      </c>
      <c r="AO3747" t="s">
        <v>118</v>
      </c>
      <c r="AP3747">
        <v>-149</v>
      </c>
      <c r="AQ3747">
        <v>6</v>
      </c>
      <c r="AR3747">
        <v>-512</v>
      </c>
      <c r="AZ3747">
        <v>1200</v>
      </c>
      <c r="BA3747">
        <v>1</v>
      </c>
      <c r="BB3747" t="str">
        <f t="shared" si="1728"/>
        <v xml:space="preserve">N711JA  </v>
      </c>
      <c r="BC3747">
        <v>1</v>
      </c>
      <c r="BE3747">
        <v>0</v>
      </c>
      <c r="BF3747">
        <v>0</v>
      </c>
      <c r="BG3747">
        <v>0</v>
      </c>
      <c r="BH3747">
        <v>2225</v>
      </c>
      <c r="BI3747">
        <v>1</v>
      </c>
      <c r="BJ3747">
        <v>1</v>
      </c>
      <c r="BK3747">
        <v>0</v>
      </c>
      <c r="BL3747">
        <v>0</v>
      </c>
      <c r="BO3747">
        <v>0</v>
      </c>
      <c r="BP3747">
        <v>0</v>
      </c>
      <c r="BW3747" t="str">
        <f t="shared" si="1736"/>
        <v>14:48:02.804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7</v>
      </c>
      <c r="CP3747" t="s">
        <v>119</v>
      </c>
      <c r="CQ3747">
        <v>8</v>
      </c>
      <c r="CR3747">
        <v>3</v>
      </c>
      <c r="CW3747">
        <v>9072763</v>
      </c>
      <c r="CY3747">
        <v>1</v>
      </c>
      <c r="CZ3747">
        <v>0</v>
      </c>
      <c r="DA3747">
        <v>1</v>
      </c>
      <c r="DB3747">
        <v>0</v>
      </c>
      <c r="DC3747">
        <v>0</v>
      </c>
      <c r="DD3747">
        <v>1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3">
      <c r="A3748" t="str">
        <f t="shared" si="1733"/>
        <v>05/12/2020 14:47:44.961</v>
      </c>
      <c r="C3748" t="str">
        <f t="shared" si="1727"/>
        <v>FFDFD3C0</v>
      </c>
      <c r="D3748" t="s">
        <v>138</v>
      </c>
      <c r="E3748">
        <v>2</v>
      </c>
      <c r="H3748">
        <v>8</v>
      </c>
      <c r="I3748" t="s">
        <v>139</v>
      </c>
      <c r="J3748" t="s">
        <v>136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 t="shared" si="1734"/>
        <v>14:48:02.797</v>
      </c>
      <c r="T3748" t="str">
        <f t="shared" si="1735"/>
        <v>14:48:02.697</v>
      </c>
      <c r="U3748" t="str">
        <f t="shared" si="1720"/>
        <v>A9808D</v>
      </c>
      <c r="V3748">
        <v>0</v>
      </c>
      <c r="W3748">
        <v>0</v>
      </c>
      <c r="X3748">
        <v>1</v>
      </c>
      <c r="Z3748">
        <v>0</v>
      </c>
      <c r="AA3748">
        <v>9</v>
      </c>
      <c r="AB3748">
        <v>3</v>
      </c>
      <c r="AC3748">
        <v>0</v>
      </c>
      <c r="AD3748">
        <v>10</v>
      </c>
      <c r="AE3748">
        <v>0</v>
      </c>
      <c r="AF3748">
        <v>3</v>
      </c>
      <c r="AG3748">
        <v>2</v>
      </c>
      <c r="AH3748">
        <v>0</v>
      </c>
      <c r="AI3748" t="s">
        <v>867</v>
      </c>
      <c r="AJ3748">
        <v>28.271577000000001</v>
      </c>
      <c r="AK3748" t="s">
        <v>869</v>
      </c>
      <c r="AL3748">
        <v>-82.271955000000005</v>
      </c>
      <c r="AM3748">
        <v>100</v>
      </c>
      <c r="AN3748">
        <v>2200</v>
      </c>
      <c r="AO3748" t="s">
        <v>118</v>
      </c>
      <c r="AP3748">
        <v>-149</v>
      </c>
      <c r="AQ3748">
        <v>6</v>
      </c>
      <c r="AR3748">
        <v>-512</v>
      </c>
      <c r="AZ3748">
        <v>1200</v>
      </c>
      <c r="BA3748">
        <v>1</v>
      </c>
      <c r="BB3748" t="str">
        <f t="shared" si="1728"/>
        <v xml:space="preserve">N711JA  </v>
      </c>
      <c r="BC3748">
        <v>1</v>
      </c>
      <c r="BE3748">
        <v>0</v>
      </c>
      <c r="BF3748">
        <v>0</v>
      </c>
      <c r="BG3748">
        <v>0</v>
      </c>
      <c r="BH3748">
        <v>2225</v>
      </c>
      <c r="BI3748">
        <v>1</v>
      </c>
      <c r="BJ3748">
        <v>1</v>
      </c>
      <c r="BK3748">
        <v>0</v>
      </c>
      <c r="BL3748">
        <v>0</v>
      </c>
      <c r="BO3748">
        <v>0</v>
      </c>
      <c r="BP3748">
        <v>0</v>
      </c>
      <c r="BW3748" t="str">
        <f t="shared" si="1736"/>
        <v>14:48:02.804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7</v>
      </c>
      <c r="CP3748" t="s">
        <v>119</v>
      </c>
      <c r="CQ3748">
        <v>8</v>
      </c>
      <c r="CR3748">
        <v>3</v>
      </c>
      <c r="CW3748">
        <v>9072763</v>
      </c>
      <c r="CY3748">
        <v>1</v>
      </c>
      <c r="CZ3748">
        <v>0</v>
      </c>
      <c r="DA3748">
        <v>1</v>
      </c>
      <c r="DB3748">
        <v>0</v>
      </c>
      <c r="DC3748">
        <v>0</v>
      </c>
      <c r="DD3748">
        <v>1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3">
      <c r="A3749" t="str">
        <f t="shared" si="1733"/>
        <v>05/12/2020 14:47:44.961</v>
      </c>
      <c r="C3749" t="str">
        <f t="shared" si="1727"/>
        <v>FFDFD3C0</v>
      </c>
      <c r="D3749" t="s">
        <v>138</v>
      </c>
      <c r="E3749">
        <v>3</v>
      </c>
      <c r="H3749">
        <v>9</v>
      </c>
      <c r="I3749" t="s">
        <v>140</v>
      </c>
      <c r="J3749" t="s">
        <v>136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 t="shared" si="1734"/>
        <v>14:48:02.797</v>
      </c>
      <c r="T3749" t="str">
        <f t="shared" si="1735"/>
        <v>14:48:02.697</v>
      </c>
      <c r="U3749" t="str">
        <f t="shared" si="1720"/>
        <v>A9808D</v>
      </c>
      <c r="V3749">
        <v>0</v>
      </c>
      <c r="W3749">
        <v>0</v>
      </c>
      <c r="X3749">
        <v>1</v>
      </c>
      <c r="Z3749">
        <v>0</v>
      </c>
      <c r="AA3749">
        <v>9</v>
      </c>
      <c r="AB3749">
        <v>3</v>
      </c>
      <c r="AC3749">
        <v>0</v>
      </c>
      <c r="AD3749">
        <v>10</v>
      </c>
      <c r="AE3749">
        <v>0</v>
      </c>
      <c r="AF3749">
        <v>3</v>
      </c>
      <c r="AG3749">
        <v>2</v>
      </c>
      <c r="AH3749">
        <v>0</v>
      </c>
      <c r="AI3749" t="s">
        <v>867</v>
      </c>
      <c r="AJ3749">
        <v>28.271577000000001</v>
      </c>
      <c r="AK3749" t="s">
        <v>869</v>
      </c>
      <c r="AL3749">
        <v>-82.271955000000005</v>
      </c>
      <c r="AM3749">
        <v>100</v>
      </c>
      <c r="AN3749">
        <v>2200</v>
      </c>
      <c r="AO3749" t="s">
        <v>118</v>
      </c>
      <c r="AP3749">
        <v>-149</v>
      </c>
      <c r="AQ3749">
        <v>6</v>
      </c>
      <c r="AR3749">
        <v>-512</v>
      </c>
      <c r="AZ3749">
        <v>1200</v>
      </c>
      <c r="BA3749">
        <v>1</v>
      </c>
      <c r="BB3749" t="str">
        <f t="shared" si="1728"/>
        <v xml:space="preserve">N711JA  </v>
      </c>
      <c r="BC3749">
        <v>1</v>
      </c>
      <c r="BE3749">
        <v>0</v>
      </c>
      <c r="BF3749">
        <v>0</v>
      </c>
      <c r="BG3749">
        <v>0</v>
      </c>
      <c r="BH3749">
        <v>2225</v>
      </c>
      <c r="BI3749">
        <v>1</v>
      </c>
      <c r="BJ3749">
        <v>1</v>
      </c>
      <c r="BK3749">
        <v>0</v>
      </c>
      <c r="BL3749">
        <v>0</v>
      </c>
      <c r="BO3749">
        <v>0</v>
      </c>
      <c r="BP3749">
        <v>0</v>
      </c>
      <c r="BW3749" t="str">
        <f t="shared" si="1736"/>
        <v>14:48:02.804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7</v>
      </c>
      <c r="CP3749" t="s">
        <v>119</v>
      </c>
      <c r="CQ3749">
        <v>8</v>
      </c>
      <c r="CR3749">
        <v>3</v>
      </c>
      <c r="CW3749">
        <v>9072763</v>
      </c>
      <c r="CY3749">
        <v>1</v>
      </c>
      <c r="CZ3749">
        <v>0</v>
      </c>
      <c r="DA3749">
        <v>1</v>
      </c>
      <c r="DB3749">
        <v>0</v>
      </c>
      <c r="DC3749">
        <v>0</v>
      </c>
      <c r="DD3749">
        <v>1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3">
      <c r="A3750" t="str">
        <f t="shared" si="1733"/>
        <v>05/12/2020 14:47:44.961</v>
      </c>
      <c r="C3750" t="str">
        <f t="shared" si="1727"/>
        <v>FFDFD3C0</v>
      </c>
      <c r="D3750" t="s">
        <v>131</v>
      </c>
      <c r="E3750">
        <v>10</v>
      </c>
      <c r="F3750">
        <v>2010</v>
      </c>
      <c r="G3750" t="s">
        <v>132</v>
      </c>
      <c r="J3750" t="s">
        <v>133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 t="shared" si="1734"/>
        <v>14:48:02.797</v>
      </c>
      <c r="T3750" t="str">
        <f t="shared" si="1735"/>
        <v>14:48:02.697</v>
      </c>
      <c r="U3750" t="str">
        <f t="shared" si="1720"/>
        <v>A9808D</v>
      </c>
      <c r="V3750">
        <v>0</v>
      </c>
      <c r="W3750">
        <v>0</v>
      </c>
      <c r="X3750">
        <v>1</v>
      </c>
      <c r="Z3750">
        <v>0</v>
      </c>
      <c r="AA3750">
        <v>9</v>
      </c>
      <c r="AB3750">
        <v>3</v>
      </c>
      <c r="AC3750">
        <v>0</v>
      </c>
      <c r="AD3750">
        <v>10</v>
      </c>
      <c r="AE3750">
        <v>0</v>
      </c>
      <c r="AF3750">
        <v>3</v>
      </c>
      <c r="AG3750">
        <v>2</v>
      </c>
      <c r="AH3750">
        <v>0</v>
      </c>
      <c r="AI3750" t="s">
        <v>867</v>
      </c>
      <c r="AJ3750">
        <v>28.271577000000001</v>
      </c>
      <c r="AK3750" t="s">
        <v>869</v>
      </c>
      <c r="AL3750">
        <v>-82.271955000000005</v>
      </c>
      <c r="AM3750">
        <v>100</v>
      </c>
      <c r="AN3750">
        <v>2200</v>
      </c>
      <c r="AO3750" t="s">
        <v>118</v>
      </c>
      <c r="AP3750">
        <v>-149</v>
      </c>
      <c r="AQ3750">
        <v>6</v>
      </c>
      <c r="AR3750">
        <v>-512</v>
      </c>
      <c r="AZ3750">
        <v>1200</v>
      </c>
      <c r="BA3750">
        <v>1</v>
      </c>
      <c r="BB3750" t="str">
        <f t="shared" si="1728"/>
        <v xml:space="preserve">N711JA  </v>
      </c>
      <c r="BC3750">
        <v>1</v>
      </c>
      <c r="BE3750">
        <v>0</v>
      </c>
      <c r="BF3750">
        <v>0</v>
      </c>
      <c r="BG3750">
        <v>0</v>
      </c>
      <c r="BH3750">
        <v>2225</v>
      </c>
      <c r="BI3750">
        <v>1</v>
      </c>
      <c r="BJ3750">
        <v>1</v>
      </c>
      <c r="BK3750">
        <v>0</v>
      </c>
      <c r="BL3750">
        <v>0</v>
      </c>
      <c r="BO3750">
        <v>0</v>
      </c>
      <c r="BP3750">
        <v>0</v>
      </c>
      <c r="BW3750" t="str">
        <f t="shared" si="1736"/>
        <v>14:48:02.804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7</v>
      </c>
      <c r="CP3750" t="s">
        <v>119</v>
      </c>
      <c r="CQ3750">
        <v>8</v>
      </c>
      <c r="CR3750">
        <v>3</v>
      </c>
      <c r="CW3750">
        <v>9072763</v>
      </c>
      <c r="CY3750">
        <v>1</v>
      </c>
      <c r="CZ3750">
        <v>0</v>
      </c>
      <c r="DA3750">
        <v>1</v>
      </c>
      <c r="DB3750">
        <v>0</v>
      </c>
      <c r="DC3750">
        <v>0</v>
      </c>
      <c r="DD3750">
        <v>1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3">
      <c r="A3751" t="str">
        <f t="shared" si="1733"/>
        <v>05/12/2020 14:47:44.961</v>
      </c>
      <c r="C3751" t="str">
        <f t="shared" si="1727"/>
        <v>FFDFD3C0</v>
      </c>
      <c r="D3751" t="s">
        <v>126</v>
      </c>
      <c r="E3751">
        <v>7</v>
      </c>
      <c r="F3751">
        <v>1007</v>
      </c>
      <c r="G3751" t="s">
        <v>127</v>
      </c>
      <c r="J3751" t="s">
        <v>128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 t="shared" si="1734"/>
        <v>14:48:02.797</v>
      </c>
      <c r="T3751" t="str">
        <f t="shared" si="1735"/>
        <v>14:48:02.697</v>
      </c>
      <c r="U3751" t="str">
        <f t="shared" si="1720"/>
        <v>A9808D</v>
      </c>
      <c r="V3751">
        <v>0</v>
      </c>
      <c r="W3751">
        <v>0</v>
      </c>
      <c r="X3751">
        <v>1</v>
      </c>
      <c r="Z3751">
        <v>0</v>
      </c>
      <c r="AA3751">
        <v>9</v>
      </c>
      <c r="AB3751">
        <v>3</v>
      </c>
      <c r="AC3751">
        <v>0</v>
      </c>
      <c r="AD3751">
        <v>10</v>
      </c>
      <c r="AE3751">
        <v>0</v>
      </c>
      <c r="AF3751">
        <v>3</v>
      </c>
      <c r="AG3751">
        <v>2</v>
      </c>
      <c r="AH3751">
        <v>0</v>
      </c>
      <c r="AI3751" t="s">
        <v>867</v>
      </c>
      <c r="AJ3751">
        <v>28.271577000000001</v>
      </c>
      <c r="AK3751" t="s">
        <v>869</v>
      </c>
      <c r="AL3751">
        <v>-82.271955000000005</v>
      </c>
      <c r="AM3751">
        <v>100</v>
      </c>
      <c r="AN3751">
        <v>2200</v>
      </c>
      <c r="AO3751" t="s">
        <v>118</v>
      </c>
      <c r="AP3751">
        <v>-149</v>
      </c>
      <c r="AQ3751">
        <v>6</v>
      </c>
      <c r="AR3751">
        <v>-512</v>
      </c>
      <c r="AZ3751">
        <v>1200</v>
      </c>
      <c r="BA3751">
        <v>1</v>
      </c>
      <c r="BB3751" t="str">
        <f t="shared" si="1728"/>
        <v xml:space="preserve">N711JA  </v>
      </c>
      <c r="BC3751">
        <v>1</v>
      </c>
      <c r="BE3751">
        <v>0</v>
      </c>
      <c r="BF3751">
        <v>0</v>
      </c>
      <c r="BG3751">
        <v>0</v>
      </c>
      <c r="BH3751">
        <v>2225</v>
      </c>
      <c r="BI3751">
        <v>1</v>
      </c>
      <c r="BJ3751">
        <v>1</v>
      </c>
      <c r="BK3751">
        <v>0</v>
      </c>
      <c r="BL3751">
        <v>0</v>
      </c>
      <c r="BO3751">
        <v>0</v>
      </c>
      <c r="BP3751">
        <v>0</v>
      </c>
      <c r="BW3751" t="str">
        <f t="shared" si="1736"/>
        <v>14:48:02.804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7</v>
      </c>
      <c r="CP3751" t="s">
        <v>119</v>
      </c>
      <c r="CQ3751">
        <v>8</v>
      </c>
      <c r="CR3751">
        <v>3</v>
      </c>
      <c r="CW3751">
        <v>9072763</v>
      </c>
      <c r="CY3751">
        <v>1</v>
      </c>
      <c r="CZ3751">
        <v>0</v>
      </c>
      <c r="DA3751">
        <v>1</v>
      </c>
      <c r="DB3751">
        <v>0</v>
      </c>
      <c r="DC3751">
        <v>0</v>
      </c>
      <c r="DD3751">
        <v>1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3">
      <c r="A3752" t="str">
        <f t="shared" si="1733"/>
        <v>05/12/2020 14:47:44.961</v>
      </c>
      <c r="C3752" t="str">
        <f t="shared" si="1727"/>
        <v>FFDFD3C0</v>
      </c>
      <c r="D3752" t="s">
        <v>131</v>
      </c>
      <c r="E3752">
        <v>12</v>
      </c>
      <c r="F3752">
        <v>2012</v>
      </c>
      <c r="G3752" t="s">
        <v>137</v>
      </c>
      <c r="J3752" t="s">
        <v>133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 t="shared" si="1734"/>
        <v>14:48:02.797</v>
      </c>
      <c r="T3752" t="str">
        <f t="shared" si="1735"/>
        <v>14:48:02.697</v>
      </c>
      <c r="U3752" t="str">
        <f t="shared" si="1720"/>
        <v>A9808D</v>
      </c>
      <c r="V3752">
        <v>0</v>
      </c>
      <c r="W3752">
        <v>0</v>
      </c>
      <c r="X3752">
        <v>1</v>
      </c>
      <c r="Z3752">
        <v>0</v>
      </c>
      <c r="AA3752">
        <v>9</v>
      </c>
      <c r="AB3752">
        <v>3</v>
      </c>
      <c r="AC3752">
        <v>0</v>
      </c>
      <c r="AD3752">
        <v>10</v>
      </c>
      <c r="AE3752">
        <v>0</v>
      </c>
      <c r="AF3752">
        <v>3</v>
      </c>
      <c r="AG3752">
        <v>2</v>
      </c>
      <c r="AH3752">
        <v>0</v>
      </c>
      <c r="AI3752" t="s">
        <v>867</v>
      </c>
      <c r="AJ3752">
        <v>28.271577000000001</v>
      </c>
      <c r="AK3752" t="s">
        <v>869</v>
      </c>
      <c r="AL3752">
        <v>-82.271955000000005</v>
      </c>
      <c r="AM3752">
        <v>100</v>
      </c>
      <c r="AN3752">
        <v>2200</v>
      </c>
      <c r="AO3752" t="s">
        <v>118</v>
      </c>
      <c r="AP3752">
        <v>-149</v>
      </c>
      <c r="AQ3752">
        <v>6</v>
      </c>
      <c r="AR3752">
        <v>-512</v>
      </c>
      <c r="AZ3752">
        <v>1200</v>
      </c>
      <c r="BA3752">
        <v>1</v>
      </c>
      <c r="BB3752" t="str">
        <f t="shared" si="1728"/>
        <v xml:space="preserve">N711JA  </v>
      </c>
      <c r="BC3752">
        <v>1</v>
      </c>
      <c r="BE3752">
        <v>0</v>
      </c>
      <c r="BF3752">
        <v>0</v>
      </c>
      <c r="BG3752">
        <v>0</v>
      </c>
      <c r="BH3752">
        <v>2225</v>
      </c>
      <c r="BI3752">
        <v>1</v>
      </c>
      <c r="BJ3752">
        <v>1</v>
      </c>
      <c r="BK3752">
        <v>0</v>
      </c>
      <c r="BL3752">
        <v>0</v>
      </c>
      <c r="BO3752">
        <v>0</v>
      </c>
      <c r="BP3752">
        <v>0</v>
      </c>
      <c r="BW3752" t="str">
        <f t="shared" si="1736"/>
        <v>14:48:02.804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7</v>
      </c>
      <c r="CP3752" t="s">
        <v>119</v>
      </c>
      <c r="CQ3752">
        <v>8</v>
      </c>
      <c r="CR3752">
        <v>3</v>
      </c>
      <c r="CW3752">
        <v>9072763</v>
      </c>
      <c r="CY3752">
        <v>1</v>
      </c>
      <c r="CZ3752">
        <v>0</v>
      </c>
      <c r="DA3752">
        <v>1</v>
      </c>
      <c r="DB3752">
        <v>0</v>
      </c>
      <c r="DC3752">
        <v>0</v>
      </c>
      <c r="DD3752">
        <v>1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3">
      <c r="A3753" t="str">
        <f t="shared" si="1733"/>
        <v>05/12/2020 14:47:44.961</v>
      </c>
      <c r="C3753" t="str">
        <f t="shared" si="1727"/>
        <v>FFDFD3C0</v>
      </c>
      <c r="D3753" t="s">
        <v>131</v>
      </c>
      <c r="E3753">
        <v>18</v>
      </c>
      <c r="F3753">
        <v>2018</v>
      </c>
      <c r="G3753" t="s">
        <v>161</v>
      </c>
      <c r="J3753" t="s">
        <v>133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 t="shared" si="1734"/>
        <v>14:48:02.797</v>
      </c>
      <c r="T3753" t="str">
        <f t="shared" si="1735"/>
        <v>14:48:02.697</v>
      </c>
      <c r="U3753" t="str">
        <f t="shared" si="1720"/>
        <v>A9808D</v>
      </c>
      <c r="V3753">
        <v>0</v>
      </c>
      <c r="W3753">
        <v>0</v>
      </c>
      <c r="X3753">
        <v>1</v>
      </c>
      <c r="Z3753">
        <v>0</v>
      </c>
      <c r="AA3753">
        <v>9</v>
      </c>
      <c r="AB3753">
        <v>3</v>
      </c>
      <c r="AC3753">
        <v>0</v>
      </c>
      <c r="AD3753">
        <v>10</v>
      </c>
      <c r="AE3753">
        <v>0</v>
      </c>
      <c r="AF3753">
        <v>3</v>
      </c>
      <c r="AG3753">
        <v>2</v>
      </c>
      <c r="AH3753">
        <v>0</v>
      </c>
      <c r="AI3753" t="s">
        <v>867</v>
      </c>
      <c r="AJ3753">
        <v>28.271577000000001</v>
      </c>
      <c r="AK3753" t="s">
        <v>869</v>
      </c>
      <c r="AL3753">
        <v>-82.271955000000005</v>
      </c>
      <c r="AM3753">
        <v>100</v>
      </c>
      <c r="AN3753">
        <v>2200</v>
      </c>
      <c r="AO3753" t="s">
        <v>118</v>
      </c>
      <c r="AP3753">
        <v>-149</v>
      </c>
      <c r="AQ3753">
        <v>6</v>
      </c>
      <c r="AR3753">
        <v>-512</v>
      </c>
      <c r="AZ3753">
        <v>1200</v>
      </c>
      <c r="BA3753">
        <v>1</v>
      </c>
      <c r="BB3753" t="str">
        <f t="shared" si="1728"/>
        <v xml:space="preserve">N711JA  </v>
      </c>
      <c r="BC3753">
        <v>1</v>
      </c>
      <c r="BE3753">
        <v>0</v>
      </c>
      <c r="BF3753">
        <v>0</v>
      </c>
      <c r="BG3753">
        <v>0</v>
      </c>
      <c r="BH3753">
        <v>2225</v>
      </c>
      <c r="BI3753">
        <v>1</v>
      </c>
      <c r="BJ3753">
        <v>1</v>
      </c>
      <c r="BK3753">
        <v>0</v>
      </c>
      <c r="BL3753">
        <v>0</v>
      </c>
      <c r="BO3753">
        <v>0</v>
      </c>
      <c r="BP3753">
        <v>0</v>
      </c>
      <c r="BW3753" t="str">
        <f t="shared" si="1736"/>
        <v>14:48:02.804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3</v>
      </c>
      <c r="CP3753" t="s">
        <v>119</v>
      </c>
      <c r="CQ3753">
        <v>62</v>
      </c>
      <c r="CR3753">
        <v>1</v>
      </c>
      <c r="CW3753">
        <v>12962166</v>
      </c>
      <c r="CY3753">
        <v>1</v>
      </c>
      <c r="CZ3753">
        <v>0</v>
      </c>
      <c r="DA3753">
        <v>1</v>
      </c>
      <c r="DB3753">
        <v>0</v>
      </c>
      <c r="DC3753">
        <v>0</v>
      </c>
      <c r="DD3753">
        <v>1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3">
      <c r="A3754" t="str">
        <f t="shared" ref="A3754:A3762" si="1737">"05/12/2020 14:47:45.976"</f>
        <v>05/12/2020 14:47:45.976</v>
      </c>
      <c r="C3754" t="str">
        <f t="shared" si="1727"/>
        <v>FFDFD3C0</v>
      </c>
      <c r="D3754" t="s">
        <v>134</v>
      </c>
      <c r="E3754">
        <v>12</v>
      </c>
      <c r="H3754">
        <v>64</v>
      </c>
      <c r="I3754" t="s">
        <v>135</v>
      </c>
      <c r="J3754" t="s">
        <v>136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 t="shared" ref="S3754:S3762" si="1738">"14:48:03.797"</f>
        <v>14:48:03.797</v>
      </c>
      <c r="T3754" t="str">
        <f t="shared" ref="T3754:T3761" si="1739">"14:48:03.697"</f>
        <v>14:48:03.697</v>
      </c>
      <c r="U3754" t="str">
        <f t="shared" si="1720"/>
        <v>A9808D</v>
      </c>
      <c r="V3754">
        <v>0</v>
      </c>
      <c r="W3754">
        <v>0</v>
      </c>
      <c r="X3754">
        <v>1</v>
      </c>
      <c r="Z3754">
        <v>0</v>
      </c>
      <c r="AA3754">
        <v>9</v>
      </c>
      <c r="AB3754">
        <v>3</v>
      </c>
      <c r="AC3754">
        <v>0</v>
      </c>
      <c r="AD3754">
        <v>10</v>
      </c>
      <c r="AE3754">
        <v>0</v>
      </c>
      <c r="AF3754">
        <v>3</v>
      </c>
      <c r="AG3754">
        <v>2</v>
      </c>
      <c r="AH3754">
        <v>0</v>
      </c>
      <c r="AI3754" t="s">
        <v>870</v>
      </c>
      <c r="AJ3754">
        <v>28.271619999999999</v>
      </c>
      <c r="AK3754" t="s">
        <v>871</v>
      </c>
      <c r="AL3754">
        <v>-82.272749000000005</v>
      </c>
      <c r="AM3754">
        <v>100</v>
      </c>
      <c r="AN3754">
        <v>2200</v>
      </c>
      <c r="AO3754" t="s">
        <v>118</v>
      </c>
      <c r="AP3754">
        <v>-149</v>
      </c>
      <c r="AQ3754">
        <v>3</v>
      </c>
      <c r="AR3754">
        <v>-384</v>
      </c>
      <c r="AZ3754">
        <v>1200</v>
      </c>
      <c r="BA3754">
        <v>1</v>
      </c>
      <c r="BB3754" t="str">
        <f t="shared" si="1728"/>
        <v xml:space="preserve">N711JA  </v>
      </c>
      <c r="BC3754">
        <v>1</v>
      </c>
      <c r="BE3754">
        <v>0</v>
      </c>
      <c r="BF3754">
        <v>0</v>
      </c>
      <c r="BG3754">
        <v>0</v>
      </c>
      <c r="BH3754">
        <v>2225</v>
      </c>
      <c r="BI3754">
        <v>1</v>
      </c>
      <c r="BJ3754">
        <v>1</v>
      </c>
      <c r="BK3754">
        <v>0</v>
      </c>
      <c r="BL3754">
        <v>0</v>
      </c>
      <c r="BO3754">
        <v>0</v>
      </c>
      <c r="BP3754">
        <v>0</v>
      </c>
      <c r="BW3754" t="str">
        <f t="shared" ref="BW3754:BW3762" si="1740">"14:48:03.804"</f>
        <v>14:48:03.804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7</v>
      </c>
      <c r="CP3754" t="s">
        <v>119</v>
      </c>
      <c r="CQ3754">
        <v>8</v>
      </c>
      <c r="CR3754">
        <v>3</v>
      </c>
      <c r="CW3754">
        <v>9073821</v>
      </c>
      <c r="CY3754">
        <v>1</v>
      </c>
      <c r="CZ3754">
        <v>0</v>
      </c>
      <c r="DA3754">
        <v>0</v>
      </c>
      <c r="DB3754">
        <v>0</v>
      </c>
      <c r="DC3754">
        <v>0</v>
      </c>
      <c r="DD3754">
        <v>1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3">
      <c r="A3755" t="str">
        <f t="shared" si="1737"/>
        <v>05/12/2020 14:47:45.976</v>
      </c>
      <c r="C3755" t="str">
        <f t="shared" si="1727"/>
        <v>FFDFD3C0</v>
      </c>
      <c r="D3755" t="s">
        <v>113</v>
      </c>
      <c r="E3755">
        <v>3</v>
      </c>
      <c r="H3755">
        <v>164</v>
      </c>
      <c r="I3755" t="s">
        <v>114</v>
      </c>
      <c r="J3755" t="s">
        <v>115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 t="shared" si="1738"/>
        <v>14:48:03.797</v>
      </c>
      <c r="T3755" t="str">
        <f t="shared" si="1739"/>
        <v>14:48:03.697</v>
      </c>
      <c r="U3755" t="str">
        <f t="shared" si="1720"/>
        <v>A9808D</v>
      </c>
      <c r="V3755">
        <v>0</v>
      </c>
      <c r="W3755">
        <v>0</v>
      </c>
      <c r="X3755">
        <v>1</v>
      </c>
      <c r="Z3755">
        <v>0</v>
      </c>
      <c r="AA3755">
        <v>9</v>
      </c>
      <c r="AB3755">
        <v>3</v>
      </c>
      <c r="AC3755">
        <v>0</v>
      </c>
      <c r="AD3755">
        <v>10</v>
      </c>
      <c r="AE3755">
        <v>0</v>
      </c>
      <c r="AF3755">
        <v>3</v>
      </c>
      <c r="AG3755">
        <v>2</v>
      </c>
      <c r="AH3755">
        <v>0</v>
      </c>
      <c r="AI3755" t="s">
        <v>870</v>
      </c>
      <c r="AJ3755">
        <v>28.271619999999999</v>
      </c>
      <c r="AK3755" t="s">
        <v>871</v>
      </c>
      <c r="AL3755">
        <v>-82.272749000000005</v>
      </c>
      <c r="AM3755">
        <v>100</v>
      </c>
      <c r="AN3755">
        <v>2200</v>
      </c>
      <c r="AO3755" t="s">
        <v>118</v>
      </c>
      <c r="AP3755">
        <v>-149</v>
      </c>
      <c r="AQ3755">
        <v>3</v>
      </c>
      <c r="AR3755">
        <v>-384</v>
      </c>
      <c r="AZ3755">
        <v>1200</v>
      </c>
      <c r="BA3755">
        <v>1</v>
      </c>
      <c r="BB3755" t="str">
        <f t="shared" si="1728"/>
        <v xml:space="preserve">N711JA  </v>
      </c>
      <c r="BC3755">
        <v>1</v>
      </c>
      <c r="BE3755">
        <v>0</v>
      </c>
      <c r="BF3755">
        <v>0</v>
      </c>
      <c r="BG3755">
        <v>0</v>
      </c>
      <c r="BH3755">
        <v>2225</v>
      </c>
      <c r="BI3755">
        <v>1</v>
      </c>
      <c r="BJ3755">
        <v>1</v>
      </c>
      <c r="BK3755">
        <v>0</v>
      </c>
      <c r="BL3755">
        <v>0</v>
      </c>
      <c r="BO3755">
        <v>0</v>
      </c>
      <c r="BP3755">
        <v>0</v>
      </c>
      <c r="BW3755" t="str">
        <f t="shared" si="1740"/>
        <v>14:48:03.804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7</v>
      </c>
      <c r="CP3755" t="s">
        <v>119</v>
      </c>
      <c r="CQ3755">
        <v>8</v>
      </c>
      <c r="CR3755">
        <v>3</v>
      </c>
      <c r="CW3755">
        <v>9073821</v>
      </c>
      <c r="CY3755">
        <v>1</v>
      </c>
      <c r="CZ3755">
        <v>0</v>
      </c>
      <c r="DA3755">
        <v>1</v>
      </c>
      <c r="DB3755">
        <v>0</v>
      </c>
      <c r="DC3755">
        <v>0</v>
      </c>
      <c r="DD3755">
        <v>1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3">
      <c r="A3756" t="str">
        <f t="shared" si="1737"/>
        <v>05/12/2020 14:47:45.976</v>
      </c>
      <c r="C3756" t="str">
        <f t="shared" si="1727"/>
        <v>FFDFD3C0</v>
      </c>
      <c r="D3756" t="s">
        <v>126</v>
      </c>
      <c r="E3756">
        <v>6</v>
      </c>
      <c r="F3756">
        <v>1006</v>
      </c>
      <c r="G3756" t="s">
        <v>114</v>
      </c>
      <c r="J3756" t="s">
        <v>128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 t="shared" si="1738"/>
        <v>14:48:03.797</v>
      </c>
      <c r="T3756" t="str">
        <f t="shared" si="1739"/>
        <v>14:48:03.697</v>
      </c>
      <c r="U3756" t="str">
        <f t="shared" si="1720"/>
        <v>A9808D</v>
      </c>
      <c r="V3756">
        <v>0</v>
      </c>
      <c r="W3756">
        <v>0</v>
      </c>
      <c r="X3756">
        <v>1</v>
      </c>
      <c r="Z3756">
        <v>0</v>
      </c>
      <c r="AA3756">
        <v>9</v>
      </c>
      <c r="AB3756">
        <v>3</v>
      </c>
      <c r="AC3756">
        <v>0</v>
      </c>
      <c r="AD3756">
        <v>10</v>
      </c>
      <c r="AE3756">
        <v>0</v>
      </c>
      <c r="AF3756">
        <v>3</v>
      </c>
      <c r="AG3756">
        <v>2</v>
      </c>
      <c r="AH3756">
        <v>0</v>
      </c>
      <c r="AI3756" t="s">
        <v>870</v>
      </c>
      <c r="AJ3756">
        <v>28.271619999999999</v>
      </c>
      <c r="AK3756" t="s">
        <v>871</v>
      </c>
      <c r="AL3756">
        <v>-82.272749000000005</v>
      </c>
      <c r="AM3756">
        <v>100</v>
      </c>
      <c r="AN3756">
        <v>2200</v>
      </c>
      <c r="AO3756" t="s">
        <v>118</v>
      </c>
      <c r="AP3756">
        <v>-149</v>
      </c>
      <c r="AQ3756">
        <v>3</v>
      </c>
      <c r="AR3756">
        <v>-384</v>
      </c>
      <c r="AZ3756">
        <v>1200</v>
      </c>
      <c r="BA3756">
        <v>1</v>
      </c>
      <c r="BB3756" t="str">
        <f t="shared" si="1728"/>
        <v xml:space="preserve">N711JA  </v>
      </c>
      <c r="BC3756">
        <v>1</v>
      </c>
      <c r="BE3756">
        <v>0</v>
      </c>
      <c r="BF3756">
        <v>0</v>
      </c>
      <c r="BG3756">
        <v>0</v>
      </c>
      <c r="BH3756">
        <v>2225</v>
      </c>
      <c r="BI3756">
        <v>1</v>
      </c>
      <c r="BJ3756">
        <v>1</v>
      </c>
      <c r="BK3756">
        <v>0</v>
      </c>
      <c r="BL3756">
        <v>0</v>
      </c>
      <c r="BO3756">
        <v>0</v>
      </c>
      <c r="BP3756">
        <v>0</v>
      </c>
      <c r="BW3756" t="str">
        <f t="shared" si="1740"/>
        <v>14:48:03.804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7</v>
      </c>
      <c r="CP3756" t="s">
        <v>119</v>
      </c>
      <c r="CQ3756">
        <v>8</v>
      </c>
      <c r="CR3756">
        <v>3</v>
      </c>
      <c r="CW3756">
        <v>9073821</v>
      </c>
      <c r="CY3756">
        <v>1</v>
      </c>
      <c r="CZ3756">
        <v>0</v>
      </c>
      <c r="DA3756">
        <v>1</v>
      </c>
      <c r="DB3756">
        <v>0</v>
      </c>
      <c r="DC3756">
        <v>0</v>
      </c>
      <c r="DD3756">
        <v>1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3">
      <c r="A3757" t="str">
        <f t="shared" si="1737"/>
        <v>05/12/2020 14:47:45.976</v>
      </c>
      <c r="C3757" t="str">
        <f t="shared" si="1727"/>
        <v>FFDFD3C0</v>
      </c>
      <c r="D3757" t="s">
        <v>138</v>
      </c>
      <c r="E3757">
        <v>2</v>
      </c>
      <c r="H3757">
        <v>8</v>
      </c>
      <c r="I3757" t="s">
        <v>139</v>
      </c>
      <c r="J3757" t="s">
        <v>136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 t="shared" si="1738"/>
        <v>14:48:03.797</v>
      </c>
      <c r="T3757" t="str">
        <f t="shared" si="1739"/>
        <v>14:48:03.697</v>
      </c>
      <c r="U3757" t="str">
        <f t="shared" si="1720"/>
        <v>A9808D</v>
      </c>
      <c r="V3757">
        <v>0</v>
      </c>
      <c r="W3757">
        <v>0</v>
      </c>
      <c r="X3757">
        <v>1</v>
      </c>
      <c r="Z3757">
        <v>0</v>
      </c>
      <c r="AA3757">
        <v>9</v>
      </c>
      <c r="AB3757">
        <v>3</v>
      </c>
      <c r="AC3757">
        <v>0</v>
      </c>
      <c r="AD3757">
        <v>10</v>
      </c>
      <c r="AE3757">
        <v>0</v>
      </c>
      <c r="AF3757">
        <v>3</v>
      </c>
      <c r="AG3757">
        <v>2</v>
      </c>
      <c r="AH3757">
        <v>0</v>
      </c>
      <c r="AI3757" t="s">
        <v>870</v>
      </c>
      <c r="AJ3757">
        <v>28.271619999999999</v>
      </c>
      <c r="AK3757" t="s">
        <v>871</v>
      </c>
      <c r="AL3757">
        <v>-82.272749000000005</v>
      </c>
      <c r="AM3757">
        <v>100</v>
      </c>
      <c r="AN3757">
        <v>2200</v>
      </c>
      <c r="AO3757" t="s">
        <v>118</v>
      </c>
      <c r="AP3757">
        <v>-149</v>
      </c>
      <c r="AQ3757">
        <v>3</v>
      </c>
      <c r="AR3757">
        <v>-384</v>
      </c>
      <c r="AZ3757">
        <v>1200</v>
      </c>
      <c r="BA3757">
        <v>1</v>
      </c>
      <c r="BB3757" t="str">
        <f t="shared" si="1728"/>
        <v xml:space="preserve">N711JA  </v>
      </c>
      <c r="BC3757">
        <v>1</v>
      </c>
      <c r="BE3757">
        <v>0</v>
      </c>
      <c r="BF3757">
        <v>0</v>
      </c>
      <c r="BG3757">
        <v>0</v>
      </c>
      <c r="BH3757">
        <v>2225</v>
      </c>
      <c r="BI3757">
        <v>1</v>
      </c>
      <c r="BJ3757">
        <v>1</v>
      </c>
      <c r="BK3757">
        <v>0</v>
      </c>
      <c r="BL3757">
        <v>0</v>
      </c>
      <c r="BO3757">
        <v>0</v>
      </c>
      <c r="BP3757">
        <v>0</v>
      </c>
      <c r="BW3757" t="str">
        <f t="shared" si="1740"/>
        <v>14:48:03.804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7</v>
      </c>
      <c r="CP3757" t="s">
        <v>119</v>
      </c>
      <c r="CQ3757">
        <v>8</v>
      </c>
      <c r="CR3757">
        <v>3</v>
      </c>
      <c r="CW3757">
        <v>9073821</v>
      </c>
      <c r="CY3757">
        <v>1</v>
      </c>
      <c r="CZ3757">
        <v>0</v>
      </c>
      <c r="DA3757">
        <v>1</v>
      </c>
      <c r="DB3757">
        <v>0</v>
      </c>
      <c r="DC3757">
        <v>0</v>
      </c>
      <c r="DD3757">
        <v>1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3">
      <c r="A3758" t="str">
        <f t="shared" si="1737"/>
        <v>05/12/2020 14:47:45.976</v>
      </c>
      <c r="C3758" t="str">
        <f t="shared" si="1727"/>
        <v>FFDFD3C0</v>
      </c>
      <c r="D3758" t="s">
        <v>138</v>
      </c>
      <c r="E3758">
        <v>3</v>
      </c>
      <c r="H3758">
        <v>9</v>
      </c>
      <c r="I3758" t="s">
        <v>140</v>
      </c>
      <c r="J3758" t="s">
        <v>136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 t="shared" si="1738"/>
        <v>14:48:03.797</v>
      </c>
      <c r="T3758" t="str">
        <f t="shared" si="1739"/>
        <v>14:48:03.697</v>
      </c>
      <c r="U3758" t="str">
        <f t="shared" si="1720"/>
        <v>A9808D</v>
      </c>
      <c r="V3758">
        <v>0</v>
      </c>
      <c r="W3758">
        <v>0</v>
      </c>
      <c r="X3758">
        <v>1</v>
      </c>
      <c r="Z3758">
        <v>0</v>
      </c>
      <c r="AA3758">
        <v>9</v>
      </c>
      <c r="AB3758">
        <v>3</v>
      </c>
      <c r="AC3758">
        <v>0</v>
      </c>
      <c r="AD3758">
        <v>10</v>
      </c>
      <c r="AE3758">
        <v>0</v>
      </c>
      <c r="AF3758">
        <v>3</v>
      </c>
      <c r="AG3758">
        <v>2</v>
      </c>
      <c r="AH3758">
        <v>0</v>
      </c>
      <c r="AI3758" t="s">
        <v>870</v>
      </c>
      <c r="AJ3758">
        <v>28.271619999999999</v>
      </c>
      <c r="AK3758" t="s">
        <v>871</v>
      </c>
      <c r="AL3758">
        <v>-82.272749000000005</v>
      </c>
      <c r="AM3758">
        <v>100</v>
      </c>
      <c r="AN3758">
        <v>2200</v>
      </c>
      <c r="AO3758" t="s">
        <v>118</v>
      </c>
      <c r="AP3758">
        <v>-149</v>
      </c>
      <c r="AQ3758">
        <v>3</v>
      </c>
      <c r="AR3758">
        <v>-384</v>
      </c>
      <c r="AZ3758">
        <v>1200</v>
      </c>
      <c r="BA3758">
        <v>1</v>
      </c>
      <c r="BB3758" t="str">
        <f t="shared" si="1728"/>
        <v xml:space="preserve">N711JA  </v>
      </c>
      <c r="BC3758">
        <v>1</v>
      </c>
      <c r="BE3758">
        <v>0</v>
      </c>
      <c r="BF3758">
        <v>0</v>
      </c>
      <c r="BG3758">
        <v>0</v>
      </c>
      <c r="BH3758">
        <v>2225</v>
      </c>
      <c r="BI3758">
        <v>1</v>
      </c>
      <c r="BJ3758">
        <v>1</v>
      </c>
      <c r="BK3758">
        <v>0</v>
      </c>
      <c r="BL3758">
        <v>0</v>
      </c>
      <c r="BO3758">
        <v>0</v>
      </c>
      <c r="BP3758">
        <v>0</v>
      </c>
      <c r="BW3758" t="str">
        <f t="shared" si="1740"/>
        <v>14:48:03.804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7</v>
      </c>
      <c r="CP3758" t="s">
        <v>119</v>
      </c>
      <c r="CQ3758">
        <v>8</v>
      </c>
      <c r="CR3758">
        <v>3</v>
      </c>
      <c r="CW3758">
        <v>9073821</v>
      </c>
      <c r="CY3758">
        <v>1</v>
      </c>
      <c r="CZ3758">
        <v>0</v>
      </c>
      <c r="DA3758">
        <v>1</v>
      </c>
      <c r="DB3758">
        <v>0</v>
      </c>
      <c r="DC3758">
        <v>0</v>
      </c>
      <c r="DD3758">
        <v>1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3">
      <c r="A3759" t="str">
        <f t="shared" si="1737"/>
        <v>05/12/2020 14:47:45.976</v>
      </c>
      <c r="C3759" t="str">
        <f t="shared" si="1727"/>
        <v>FFDFD3C0</v>
      </c>
      <c r="D3759" t="s">
        <v>126</v>
      </c>
      <c r="E3759">
        <v>7</v>
      </c>
      <c r="F3759">
        <v>1007</v>
      </c>
      <c r="G3759" t="s">
        <v>127</v>
      </c>
      <c r="J3759" t="s">
        <v>128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 t="shared" si="1738"/>
        <v>14:48:03.797</v>
      </c>
      <c r="T3759" t="str">
        <f t="shared" si="1739"/>
        <v>14:48:03.697</v>
      </c>
      <c r="U3759" t="str">
        <f t="shared" si="1720"/>
        <v>A9808D</v>
      </c>
      <c r="V3759">
        <v>0</v>
      </c>
      <c r="W3759">
        <v>0</v>
      </c>
      <c r="X3759">
        <v>1</v>
      </c>
      <c r="Z3759">
        <v>0</v>
      </c>
      <c r="AA3759">
        <v>9</v>
      </c>
      <c r="AB3759">
        <v>3</v>
      </c>
      <c r="AC3759">
        <v>0</v>
      </c>
      <c r="AD3759">
        <v>10</v>
      </c>
      <c r="AE3759">
        <v>0</v>
      </c>
      <c r="AF3759">
        <v>3</v>
      </c>
      <c r="AG3759">
        <v>2</v>
      </c>
      <c r="AH3759">
        <v>0</v>
      </c>
      <c r="AI3759" t="s">
        <v>870</v>
      </c>
      <c r="AJ3759">
        <v>28.271619999999999</v>
      </c>
      <c r="AK3759" t="s">
        <v>871</v>
      </c>
      <c r="AL3759">
        <v>-82.272749000000005</v>
      </c>
      <c r="AM3759">
        <v>100</v>
      </c>
      <c r="AN3759">
        <v>2200</v>
      </c>
      <c r="AO3759" t="s">
        <v>118</v>
      </c>
      <c r="AP3759">
        <v>-149</v>
      </c>
      <c r="AQ3759">
        <v>3</v>
      </c>
      <c r="AR3759">
        <v>-384</v>
      </c>
      <c r="AZ3759">
        <v>1200</v>
      </c>
      <c r="BA3759">
        <v>1</v>
      </c>
      <c r="BB3759" t="str">
        <f t="shared" si="1728"/>
        <v xml:space="preserve">N711JA  </v>
      </c>
      <c r="BC3759">
        <v>1</v>
      </c>
      <c r="BE3759">
        <v>0</v>
      </c>
      <c r="BF3759">
        <v>0</v>
      </c>
      <c r="BG3759">
        <v>0</v>
      </c>
      <c r="BH3759">
        <v>2225</v>
      </c>
      <c r="BI3759">
        <v>1</v>
      </c>
      <c r="BJ3759">
        <v>1</v>
      </c>
      <c r="BK3759">
        <v>0</v>
      </c>
      <c r="BL3759">
        <v>0</v>
      </c>
      <c r="BO3759">
        <v>0</v>
      </c>
      <c r="BP3759">
        <v>0</v>
      </c>
      <c r="BW3759" t="str">
        <f t="shared" si="1740"/>
        <v>14:48:03.804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7</v>
      </c>
      <c r="CP3759" t="s">
        <v>119</v>
      </c>
      <c r="CQ3759">
        <v>8</v>
      </c>
      <c r="CR3759">
        <v>3</v>
      </c>
      <c r="CW3759">
        <v>9073821</v>
      </c>
      <c r="CY3759">
        <v>1</v>
      </c>
      <c r="CZ3759">
        <v>0</v>
      </c>
      <c r="DA3759">
        <v>1</v>
      </c>
      <c r="DB3759">
        <v>0</v>
      </c>
      <c r="DC3759">
        <v>0</v>
      </c>
      <c r="DD3759">
        <v>1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3">
      <c r="A3760" t="str">
        <f t="shared" si="1737"/>
        <v>05/12/2020 14:47:45.976</v>
      </c>
      <c r="C3760" t="str">
        <f t="shared" si="1727"/>
        <v>FFDFD3C0</v>
      </c>
      <c r="D3760" t="s">
        <v>131</v>
      </c>
      <c r="E3760">
        <v>10</v>
      </c>
      <c r="F3760">
        <v>2010</v>
      </c>
      <c r="G3760" t="s">
        <v>132</v>
      </c>
      <c r="J3760" t="s">
        <v>133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 t="shared" si="1738"/>
        <v>14:48:03.797</v>
      </c>
      <c r="T3760" t="str">
        <f t="shared" si="1739"/>
        <v>14:48:03.697</v>
      </c>
      <c r="U3760" t="str">
        <f t="shared" si="1720"/>
        <v>A9808D</v>
      </c>
      <c r="V3760">
        <v>0</v>
      </c>
      <c r="W3760">
        <v>0</v>
      </c>
      <c r="X3760">
        <v>1</v>
      </c>
      <c r="Z3760">
        <v>0</v>
      </c>
      <c r="AA3760">
        <v>9</v>
      </c>
      <c r="AB3760">
        <v>3</v>
      </c>
      <c r="AC3760">
        <v>0</v>
      </c>
      <c r="AD3760">
        <v>10</v>
      </c>
      <c r="AE3760">
        <v>0</v>
      </c>
      <c r="AF3760">
        <v>3</v>
      </c>
      <c r="AG3760">
        <v>2</v>
      </c>
      <c r="AH3760">
        <v>0</v>
      </c>
      <c r="AI3760" t="s">
        <v>870</v>
      </c>
      <c r="AJ3760">
        <v>28.271619999999999</v>
      </c>
      <c r="AK3760" t="s">
        <v>871</v>
      </c>
      <c r="AL3760">
        <v>-82.272749000000005</v>
      </c>
      <c r="AM3760">
        <v>100</v>
      </c>
      <c r="AN3760">
        <v>2200</v>
      </c>
      <c r="AO3760" t="s">
        <v>118</v>
      </c>
      <c r="AP3760">
        <v>-149</v>
      </c>
      <c r="AQ3760">
        <v>3</v>
      </c>
      <c r="AR3760">
        <v>-384</v>
      </c>
      <c r="AZ3760">
        <v>1200</v>
      </c>
      <c r="BA3760">
        <v>1</v>
      </c>
      <c r="BB3760" t="str">
        <f t="shared" si="1728"/>
        <v xml:space="preserve">N711JA  </v>
      </c>
      <c r="BC3760">
        <v>1</v>
      </c>
      <c r="BE3760">
        <v>0</v>
      </c>
      <c r="BF3760">
        <v>0</v>
      </c>
      <c r="BG3760">
        <v>0</v>
      </c>
      <c r="BH3760">
        <v>2225</v>
      </c>
      <c r="BI3760">
        <v>1</v>
      </c>
      <c r="BJ3760">
        <v>1</v>
      </c>
      <c r="BK3760">
        <v>0</v>
      </c>
      <c r="BL3760">
        <v>0</v>
      </c>
      <c r="BO3760">
        <v>0</v>
      </c>
      <c r="BP3760">
        <v>0</v>
      </c>
      <c r="BW3760" t="str">
        <f t="shared" si="1740"/>
        <v>14:48:03.804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7</v>
      </c>
      <c r="CP3760" t="s">
        <v>119</v>
      </c>
      <c r="CQ3760">
        <v>8</v>
      </c>
      <c r="CR3760">
        <v>3</v>
      </c>
      <c r="CW3760">
        <v>9073821</v>
      </c>
      <c r="CY3760">
        <v>1</v>
      </c>
      <c r="CZ3760">
        <v>0</v>
      </c>
      <c r="DA3760">
        <v>1</v>
      </c>
      <c r="DB3760">
        <v>0</v>
      </c>
      <c r="DC3760">
        <v>0</v>
      </c>
      <c r="DD3760">
        <v>1</v>
      </c>
      <c r="DE3760">
        <v>0</v>
      </c>
      <c r="DF3760">
        <v>0</v>
      </c>
      <c r="DG3760">
        <v>0</v>
      </c>
      <c r="DH3760">
        <v>0</v>
      </c>
      <c r="DI3760">
        <v>0</v>
      </c>
    </row>
    <row r="3761" spans="1:113" x14ac:dyDescent="0.3">
      <c r="A3761" t="str">
        <f t="shared" si="1737"/>
        <v>05/12/2020 14:47:45.976</v>
      </c>
      <c r="C3761" t="str">
        <f t="shared" si="1727"/>
        <v>FFDFD3C0</v>
      </c>
      <c r="D3761" t="s">
        <v>131</v>
      </c>
      <c r="E3761">
        <v>12</v>
      </c>
      <c r="F3761">
        <v>2012</v>
      </c>
      <c r="G3761" t="s">
        <v>137</v>
      </c>
      <c r="J3761" t="s">
        <v>133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 t="shared" si="1738"/>
        <v>14:48:03.797</v>
      </c>
      <c r="T3761" t="str">
        <f t="shared" si="1739"/>
        <v>14:48:03.697</v>
      </c>
      <c r="U3761" t="str">
        <f t="shared" si="1720"/>
        <v>A9808D</v>
      </c>
      <c r="V3761">
        <v>0</v>
      </c>
      <c r="W3761">
        <v>0</v>
      </c>
      <c r="X3761">
        <v>1</v>
      </c>
      <c r="Z3761">
        <v>0</v>
      </c>
      <c r="AA3761">
        <v>9</v>
      </c>
      <c r="AB3761">
        <v>3</v>
      </c>
      <c r="AC3761">
        <v>0</v>
      </c>
      <c r="AD3761">
        <v>10</v>
      </c>
      <c r="AE3761">
        <v>0</v>
      </c>
      <c r="AF3761">
        <v>3</v>
      </c>
      <c r="AG3761">
        <v>2</v>
      </c>
      <c r="AH3761">
        <v>0</v>
      </c>
      <c r="AI3761" t="s">
        <v>870</v>
      </c>
      <c r="AJ3761">
        <v>28.271619999999999</v>
      </c>
      <c r="AK3761" t="s">
        <v>871</v>
      </c>
      <c r="AL3761">
        <v>-82.272749000000005</v>
      </c>
      <c r="AM3761">
        <v>100</v>
      </c>
      <c r="AN3761">
        <v>2200</v>
      </c>
      <c r="AO3761" t="s">
        <v>118</v>
      </c>
      <c r="AP3761">
        <v>-149</v>
      </c>
      <c r="AQ3761">
        <v>3</v>
      </c>
      <c r="AR3761">
        <v>-384</v>
      </c>
      <c r="AZ3761">
        <v>1200</v>
      </c>
      <c r="BA3761">
        <v>1</v>
      </c>
      <c r="BB3761" t="str">
        <f t="shared" si="1728"/>
        <v xml:space="preserve">N711JA  </v>
      </c>
      <c r="BC3761">
        <v>1</v>
      </c>
      <c r="BE3761">
        <v>0</v>
      </c>
      <c r="BF3761">
        <v>0</v>
      </c>
      <c r="BG3761">
        <v>0</v>
      </c>
      <c r="BH3761">
        <v>2225</v>
      </c>
      <c r="BI3761">
        <v>1</v>
      </c>
      <c r="BJ3761">
        <v>1</v>
      </c>
      <c r="BK3761">
        <v>0</v>
      </c>
      <c r="BL3761">
        <v>0</v>
      </c>
      <c r="BO3761">
        <v>0</v>
      </c>
      <c r="BP3761">
        <v>0</v>
      </c>
      <c r="BW3761" t="str">
        <f t="shared" si="1740"/>
        <v>14:48:03.804</v>
      </c>
      <c r="CJ3761">
        <v>0</v>
      </c>
      <c r="CK3761">
        <v>2</v>
      </c>
      <c r="CL3761">
        <v>0</v>
      </c>
      <c r="CM3761">
        <v>2</v>
      </c>
      <c r="CN3761">
        <v>0</v>
      </c>
      <c r="CO3761">
        <v>7</v>
      </c>
      <c r="CP3761" t="s">
        <v>119</v>
      </c>
      <c r="CQ3761">
        <v>8</v>
      </c>
      <c r="CR3761">
        <v>3</v>
      </c>
      <c r="CW3761">
        <v>9073821</v>
      </c>
      <c r="CY3761">
        <v>1</v>
      </c>
      <c r="CZ3761">
        <v>0</v>
      </c>
      <c r="DA3761">
        <v>1</v>
      </c>
      <c r="DB3761">
        <v>0</v>
      </c>
      <c r="DC3761">
        <v>0</v>
      </c>
      <c r="DD3761">
        <v>1</v>
      </c>
      <c r="DE3761">
        <v>0</v>
      </c>
      <c r="DF3761">
        <v>0</v>
      </c>
      <c r="DG3761">
        <v>0</v>
      </c>
      <c r="DH3761">
        <v>0</v>
      </c>
      <c r="DI3761">
        <v>0</v>
      </c>
    </row>
    <row r="3762" spans="1:113" x14ac:dyDescent="0.3">
      <c r="A3762" t="str">
        <f t="shared" si="1737"/>
        <v>05/12/2020 14:47:45.976</v>
      </c>
      <c r="C3762" t="str">
        <f t="shared" si="1727"/>
        <v>FFDFD3C0</v>
      </c>
      <c r="D3762" t="s">
        <v>131</v>
      </c>
      <c r="E3762">
        <v>18</v>
      </c>
      <c r="F3762">
        <v>2018</v>
      </c>
      <c r="G3762" t="s">
        <v>161</v>
      </c>
      <c r="J3762" t="s">
        <v>133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 t="shared" si="1738"/>
        <v>14:48:03.797</v>
      </c>
      <c r="T3762" t="str">
        <f>"14:48:03.197"</f>
        <v>14:48:03.197</v>
      </c>
      <c r="U3762" t="str">
        <f t="shared" si="1720"/>
        <v>A9808D</v>
      </c>
      <c r="V3762">
        <v>0</v>
      </c>
      <c r="W3762">
        <v>0</v>
      </c>
      <c r="X3762">
        <v>1</v>
      </c>
      <c r="Z3762">
        <v>0</v>
      </c>
      <c r="AA3762">
        <v>9</v>
      </c>
      <c r="AB3762">
        <v>3</v>
      </c>
      <c r="AC3762">
        <v>0</v>
      </c>
      <c r="AD3762">
        <v>10</v>
      </c>
      <c r="AE3762">
        <v>0</v>
      </c>
      <c r="AF3762">
        <v>3</v>
      </c>
      <c r="AG3762">
        <v>2</v>
      </c>
      <c r="AH3762">
        <v>0</v>
      </c>
      <c r="AI3762" t="s">
        <v>870</v>
      </c>
      <c r="AJ3762">
        <v>28.271619999999999</v>
      </c>
      <c r="AK3762" t="s">
        <v>871</v>
      </c>
      <c r="AL3762">
        <v>-82.272749000000005</v>
      </c>
      <c r="AM3762">
        <v>100</v>
      </c>
      <c r="AN3762">
        <v>2200</v>
      </c>
      <c r="AO3762" t="s">
        <v>118</v>
      </c>
      <c r="AP3762">
        <v>-149</v>
      </c>
      <c r="AQ3762">
        <v>5</v>
      </c>
      <c r="AR3762">
        <v>-448</v>
      </c>
      <c r="AZ3762">
        <v>1200</v>
      </c>
      <c r="BA3762">
        <v>1</v>
      </c>
      <c r="BB3762" t="str">
        <f t="shared" si="1728"/>
        <v xml:space="preserve">N711JA  </v>
      </c>
      <c r="BC3762">
        <v>1</v>
      </c>
      <c r="BE3762">
        <v>0</v>
      </c>
      <c r="BF3762">
        <v>0</v>
      </c>
      <c r="BG3762">
        <v>0</v>
      </c>
      <c r="BH3762">
        <v>2225</v>
      </c>
      <c r="BI3762">
        <v>1</v>
      </c>
      <c r="BJ3762">
        <v>1</v>
      </c>
      <c r="BK3762">
        <v>0</v>
      </c>
      <c r="BL3762">
        <v>0</v>
      </c>
      <c r="BO3762">
        <v>0</v>
      </c>
      <c r="BP3762">
        <v>0</v>
      </c>
      <c r="BW3762" t="str">
        <f t="shared" si="1740"/>
        <v>14:48:03.804</v>
      </c>
      <c r="CJ3762">
        <v>0</v>
      </c>
      <c r="CK3762">
        <v>2</v>
      </c>
      <c r="CL3762">
        <v>0</v>
      </c>
      <c r="CM3762">
        <v>2</v>
      </c>
      <c r="CN3762">
        <v>0</v>
      </c>
      <c r="CO3762">
        <v>4</v>
      </c>
      <c r="CP3762" t="s">
        <v>119</v>
      </c>
      <c r="CQ3762">
        <v>62</v>
      </c>
      <c r="CR3762">
        <v>1</v>
      </c>
      <c r="CW3762">
        <v>12963291</v>
      </c>
      <c r="CY3762">
        <v>1</v>
      </c>
      <c r="CZ3762">
        <v>0</v>
      </c>
      <c r="DA3762">
        <v>1</v>
      </c>
      <c r="DB3762">
        <v>0</v>
      </c>
      <c r="DC3762">
        <v>0</v>
      </c>
      <c r="DD3762">
        <v>1</v>
      </c>
      <c r="DE3762">
        <v>0</v>
      </c>
      <c r="DF3762">
        <v>0</v>
      </c>
      <c r="DG3762">
        <v>0</v>
      </c>
      <c r="DH3762">
        <v>0</v>
      </c>
      <c r="DI3762">
        <v>0</v>
      </c>
    </row>
    <row r="3763" spans="1:113" x14ac:dyDescent="0.3">
      <c r="A3763" t="str">
        <f t="shared" ref="A3763:A3771" si="1741">"05/12/2020 14:47:46.947"</f>
        <v>05/12/2020 14:47:46.947</v>
      </c>
      <c r="C3763" t="str">
        <f t="shared" si="1727"/>
        <v>FFDFD3C0</v>
      </c>
      <c r="D3763" t="s">
        <v>131</v>
      </c>
      <c r="E3763">
        <v>10</v>
      </c>
      <c r="F3763">
        <v>2010</v>
      </c>
      <c r="G3763" t="s">
        <v>132</v>
      </c>
      <c r="J3763" t="s">
        <v>133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 t="shared" ref="S3763:S3771" si="1742">"14:48:04.781"</f>
        <v>14:48:04.781</v>
      </c>
      <c r="T3763" t="str">
        <f t="shared" ref="T3763:T3771" si="1743">"14:48:04.381"</f>
        <v>14:48:04.381</v>
      </c>
      <c r="U3763" t="str">
        <f t="shared" si="1720"/>
        <v>A9808D</v>
      </c>
      <c r="V3763">
        <v>0</v>
      </c>
      <c r="W3763">
        <v>0</v>
      </c>
      <c r="X3763">
        <v>1</v>
      </c>
      <c r="Z3763">
        <v>0</v>
      </c>
      <c r="AA3763">
        <v>9</v>
      </c>
      <c r="AB3763">
        <v>3</v>
      </c>
      <c r="AC3763">
        <v>0</v>
      </c>
      <c r="AD3763">
        <v>10</v>
      </c>
      <c r="AE3763">
        <v>0</v>
      </c>
      <c r="AF3763">
        <v>3</v>
      </c>
      <c r="AG3763">
        <v>2</v>
      </c>
      <c r="AH3763">
        <v>0</v>
      </c>
      <c r="AI3763" t="s">
        <v>487</v>
      </c>
      <c r="AJ3763">
        <v>28.271598999999998</v>
      </c>
      <c r="AK3763" t="s">
        <v>872</v>
      </c>
      <c r="AL3763">
        <v>-82.273436000000004</v>
      </c>
      <c r="AM3763">
        <v>100</v>
      </c>
      <c r="AN3763">
        <v>2200</v>
      </c>
      <c r="AO3763" t="s">
        <v>118</v>
      </c>
      <c r="AP3763">
        <v>-149</v>
      </c>
      <c r="AQ3763">
        <v>1</v>
      </c>
      <c r="AR3763">
        <v>-256</v>
      </c>
      <c r="AZ3763">
        <v>1200</v>
      </c>
      <c r="BA3763">
        <v>1</v>
      </c>
      <c r="BB3763" t="str">
        <f t="shared" si="1728"/>
        <v xml:space="preserve">N711JA  </v>
      </c>
      <c r="BC3763">
        <v>1</v>
      </c>
      <c r="BE3763">
        <v>0</v>
      </c>
      <c r="BF3763">
        <v>0</v>
      </c>
      <c r="BG3763">
        <v>0</v>
      </c>
      <c r="BH3763">
        <v>2225</v>
      </c>
      <c r="BI3763">
        <v>1</v>
      </c>
      <c r="BJ3763">
        <v>1</v>
      </c>
      <c r="BK3763">
        <v>0</v>
      </c>
      <c r="BL3763">
        <v>0</v>
      </c>
      <c r="BO3763">
        <v>0</v>
      </c>
      <c r="BP3763">
        <v>0</v>
      </c>
      <c r="BW3763" t="str">
        <f>"14:48:04.787"</f>
        <v>14:48:04.787</v>
      </c>
      <c r="CJ3763">
        <v>0</v>
      </c>
      <c r="CK3763">
        <v>2</v>
      </c>
      <c r="CL3763">
        <v>0</v>
      </c>
      <c r="CM3763">
        <v>2</v>
      </c>
      <c r="CN3763">
        <v>0</v>
      </c>
      <c r="CO3763">
        <v>7</v>
      </c>
      <c r="CP3763" t="s">
        <v>119</v>
      </c>
      <c r="CQ3763">
        <v>8</v>
      </c>
      <c r="CR3763">
        <v>3</v>
      </c>
      <c r="CW3763">
        <v>9074739</v>
      </c>
      <c r="CY3763">
        <v>1</v>
      </c>
      <c r="CZ3763">
        <v>0</v>
      </c>
      <c r="DA3763">
        <v>0</v>
      </c>
      <c r="DB3763">
        <v>0</v>
      </c>
      <c r="DC3763">
        <v>0</v>
      </c>
      <c r="DD3763">
        <v>1</v>
      </c>
      <c r="DE3763">
        <v>0</v>
      </c>
      <c r="DF3763">
        <v>0</v>
      </c>
      <c r="DG3763">
        <v>0</v>
      </c>
      <c r="DH3763">
        <v>0</v>
      </c>
      <c r="DI3763">
        <v>0</v>
      </c>
    </row>
    <row r="3764" spans="1:113" x14ac:dyDescent="0.3">
      <c r="A3764" t="str">
        <f t="shared" si="1741"/>
        <v>05/12/2020 14:47:46.947</v>
      </c>
      <c r="C3764" t="str">
        <f t="shared" si="1727"/>
        <v>FFDFD3C0</v>
      </c>
      <c r="D3764" t="s">
        <v>131</v>
      </c>
      <c r="E3764">
        <v>12</v>
      </c>
      <c r="F3764">
        <v>2012</v>
      </c>
      <c r="G3764" t="s">
        <v>137</v>
      </c>
      <c r="J3764" t="s">
        <v>133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 t="shared" si="1742"/>
        <v>14:48:04.781</v>
      </c>
      <c r="T3764" t="str">
        <f t="shared" si="1743"/>
        <v>14:48:04.381</v>
      </c>
      <c r="U3764" t="str">
        <f t="shared" si="1720"/>
        <v>A9808D</v>
      </c>
      <c r="V3764">
        <v>0</v>
      </c>
      <c r="W3764">
        <v>0</v>
      </c>
      <c r="X3764">
        <v>1</v>
      </c>
      <c r="Z3764">
        <v>0</v>
      </c>
      <c r="AA3764">
        <v>9</v>
      </c>
      <c r="AB3764">
        <v>3</v>
      </c>
      <c r="AC3764">
        <v>0</v>
      </c>
      <c r="AD3764">
        <v>10</v>
      </c>
      <c r="AE3764">
        <v>0</v>
      </c>
      <c r="AF3764">
        <v>3</v>
      </c>
      <c r="AG3764">
        <v>2</v>
      </c>
      <c r="AH3764">
        <v>0</v>
      </c>
      <c r="AI3764" t="s">
        <v>487</v>
      </c>
      <c r="AJ3764">
        <v>28.271598999999998</v>
      </c>
      <c r="AK3764" t="s">
        <v>872</v>
      </c>
      <c r="AL3764">
        <v>-82.273436000000004</v>
      </c>
      <c r="AM3764">
        <v>100</v>
      </c>
      <c r="AN3764">
        <v>2200</v>
      </c>
      <c r="AO3764" t="s">
        <v>118</v>
      </c>
      <c r="AP3764">
        <v>-149</v>
      </c>
      <c r="AQ3764">
        <v>1</v>
      </c>
      <c r="AR3764">
        <v>-256</v>
      </c>
      <c r="AZ3764">
        <v>1200</v>
      </c>
      <c r="BA3764">
        <v>1</v>
      </c>
      <c r="BB3764" t="str">
        <f t="shared" si="1728"/>
        <v xml:space="preserve">N711JA  </v>
      </c>
      <c r="BC3764">
        <v>1</v>
      </c>
      <c r="BE3764">
        <v>0</v>
      </c>
      <c r="BF3764">
        <v>0</v>
      </c>
      <c r="BG3764">
        <v>0</v>
      </c>
      <c r="BH3764">
        <v>2225</v>
      </c>
      <c r="BI3764">
        <v>1</v>
      </c>
      <c r="BJ3764">
        <v>1</v>
      </c>
      <c r="BK3764">
        <v>0</v>
      </c>
      <c r="BL3764">
        <v>0</v>
      </c>
      <c r="BO3764">
        <v>0</v>
      </c>
      <c r="BP3764">
        <v>0</v>
      </c>
      <c r="BW3764" t="str">
        <f>"14:48:04.787"</f>
        <v>14:48:04.787</v>
      </c>
      <c r="CJ3764">
        <v>0</v>
      </c>
      <c r="CK3764">
        <v>2</v>
      </c>
      <c r="CL3764">
        <v>0</v>
      </c>
      <c r="CM3764">
        <v>2</v>
      </c>
      <c r="CN3764">
        <v>0</v>
      </c>
      <c r="CO3764">
        <v>7</v>
      </c>
      <c r="CP3764" t="s">
        <v>119</v>
      </c>
      <c r="CQ3764">
        <v>8</v>
      </c>
      <c r="CR3764">
        <v>3</v>
      </c>
      <c r="CW3764">
        <v>9074739</v>
      </c>
      <c r="CY3764">
        <v>1</v>
      </c>
      <c r="CZ3764">
        <v>0</v>
      </c>
      <c r="DA3764">
        <v>1</v>
      </c>
      <c r="DB3764">
        <v>0</v>
      </c>
      <c r="DC3764">
        <v>0</v>
      </c>
      <c r="DD3764">
        <v>1</v>
      </c>
      <c r="DE3764">
        <v>0</v>
      </c>
      <c r="DF3764">
        <v>0</v>
      </c>
      <c r="DG3764">
        <v>0</v>
      </c>
      <c r="DH3764">
        <v>0</v>
      </c>
      <c r="DI3764">
        <v>0</v>
      </c>
    </row>
    <row r="3765" spans="1:113" x14ac:dyDescent="0.3">
      <c r="A3765" t="str">
        <f t="shared" si="1741"/>
        <v>05/12/2020 14:47:46.947</v>
      </c>
      <c r="C3765" t="str">
        <f t="shared" si="1727"/>
        <v>FFDFD3C0</v>
      </c>
      <c r="D3765" t="s">
        <v>138</v>
      </c>
      <c r="E3765">
        <v>2</v>
      </c>
      <c r="H3765">
        <v>8</v>
      </c>
      <c r="I3765" t="s">
        <v>139</v>
      </c>
      <c r="J3765" t="s">
        <v>136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 t="shared" si="1742"/>
        <v>14:48:04.781</v>
      </c>
      <c r="T3765" t="str">
        <f t="shared" si="1743"/>
        <v>14:48:04.381</v>
      </c>
      <c r="U3765" t="str">
        <f t="shared" si="1720"/>
        <v>A9808D</v>
      </c>
      <c r="V3765">
        <v>0</v>
      </c>
      <c r="W3765">
        <v>0</v>
      </c>
      <c r="X3765">
        <v>1</v>
      </c>
      <c r="Z3765">
        <v>0</v>
      </c>
      <c r="AA3765">
        <v>9</v>
      </c>
      <c r="AB3765">
        <v>3</v>
      </c>
      <c r="AC3765">
        <v>0</v>
      </c>
      <c r="AD3765">
        <v>10</v>
      </c>
      <c r="AE3765">
        <v>0</v>
      </c>
      <c r="AF3765">
        <v>3</v>
      </c>
      <c r="AG3765">
        <v>2</v>
      </c>
      <c r="AH3765">
        <v>0</v>
      </c>
      <c r="AI3765" t="s">
        <v>487</v>
      </c>
      <c r="AJ3765">
        <v>28.271598999999998</v>
      </c>
      <c r="AK3765" t="s">
        <v>872</v>
      </c>
      <c r="AL3765">
        <v>-82.273436000000004</v>
      </c>
      <c r="AM3765">
        <v>100</v>
      </c>
      <c r="AN3765">
        <v>2200</v>
      </c>
      <c r="AO3765" t="s">
        <v>118</v>
      </c>
      <c r="AP3765">
        <v>-149</v>
      </c>
      <c r="AQ3765">
        <v>1</v>
      </c>
      <c r="AR3765">
        <v>-256</v>
      </c>
      <c r="AZ3765">
        <v>1200</v>
      </c>
      <c r="BA3765">
        <v>1</v>
      </c>
      <c r="BB3765" t="str">
        <f t="shared" si="1728"/>
        <v xml:space="preserve">N711JA  </v>
      </c>
      <c r="BC3765">
        <v>1</v>
      </c>
      <c r="BE3765">
        <v>0</v>
      </c>
      <c r="BF3765">
        <v>0</v>
      </c>
      <c r="BG3765">
        <v>0</v>
      </c>
      <c r="BH3765">
        <v>2225</v>
      </c>
      <c r="BI3765">
        <v>1</v>
      </c>
      <c r="BJ3765">
        <v>1</v>
      </c>
      <c r="BK3765">
        <v>0</v>
      </c>
      <c r="BL3765">
        <v>0</v>
      </c>
      <c r="BO3765">
        <v>0</v>
      </c>
      <c r="BP3765">
        <v>0</v>
      </c>
      <c r="BW3765" t="str">
        <f>"14:48:04.787"</f>
        <v>14:48:04.787</v>
      </c>
      <c r="CJ3765">
        <v>0</v>
      </c>
      <c r="CK3765">
        <v>2</v>
      </c>
      <c r="CL3765">
        <v>0</v>
      </c>
      <c r="CM3765">
        <v>2</v>
      </c>
      <c r="CN3765">
        <v>0</v>
      </c>
      <c r="CO3765">
        <v>7</v>
      </c>
      <c r="CP3765" t="s">
        <v>119</v>
      </c>
      <c r="CQ3765">
        <v>8</v>
      </c>
      <c r="CR3765">
        <v>3</v>
      </c>
      <c r="CW3765">
        <v>9074739</v>
      </c>
      <c r="CY3765">
        <v>1</v>
      </c>
      <c r="CZ3765">
        <v>0</v>
      </c>
      <c r="DA3765">
        <v>1</v>
      </c>
      <c r="DB3765">
        <v>0</v>
      </c>
      <c r="DC3765">
        <v>0</v>
      </c>
      <c r="DD3765">
        <v>1</v>
      </c>
      <c r="DE3765">
        <v>0</v>
      </c>
      <c r="DF3765">
        <v>0</v>
      </c>
      <c r="DG3765">
        <v>0</v>
      </c>
      <c r="DH3765">
        <v>0</v>
      </c>
      <c r="DI3765">
        <v>0</v>
      </c>
    </row>
    <row r="3766" spans="1:113" x14ac:dyDescent="0.3">
      <c r="A3766" t="str">
        <f t="shared" si="1741"/>
        <v>05/12/2020 14:47:46.947</v>
      </c>
      <c r="C3766" t="str">
        <f t="shared" si="1727"/>
        <v>FFDFD3C0</v>
      </c>
      <c r="D3766" t="s">
        <v>138</v>
      </c>
      <c r="E3766">
        <v>3</v>
      </c>
      <c r="H3766">
        <v>9</v>
      </c>
      <c r="I3766" t="s">
        <v>140</v>
      </c>
      <c r="J3766" t="s">
        <v>136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 t="shared" si="1742"/>
        <v>14:48:04.781</v>
      </c>
      <c r="T3766" t="str">
        <f t="shared" si="1743"/>
        <v>14:48:04.381</v>
      </c>
      <c r="U3766" t="str">
        <f t="shared" si="1720"/>
        <v>A9808D</v>
      </c>
      <c r="V3766">
        <v>0</v>
      </c>
      <c r="W3766">
        <v>0</v>
      </c>
      <c r="X3766">
        <v>1</v>
      </c>
      <c r="Z3766">
        <v>0</v>
      </c>
      <c r="AA3766">
        <v>9</v>
      </c>
      <c r="AB3766">
        <v>3</v>
      </c>
      <c r="AC3766">
        <v>0</v>
      </c>
      <c r="AD3766">
        <v>10</v>
      </c>
      <c r="AE3766">
        <v>0</v>
      </c>
      <c r="AF3766">
        <v>3</v>
      </c>
      <c r="AG3766">
        <v>2</v>
      </c>
      <c r="AH3766">
        <v>0</v>
      </c>
      <c r="AI3766" t="s">
        <v>487</v>
      </c>
      <c r="AJ3766">
        <v>28.271598999999998</v>
      </c>
      <c r="AK3766" t="s">
        <v>872</v>
      </c>
      <c r="AL3766">
        <v>-82.273436000000004</v>
      </c>
      <c r="AM3766">
        <v>100</v>
      </c>
      <c r="AN3766">
        <v>2200</v>
      </c>
      <c r="AO3766" t="s">
        <v>118</v>
      </c>
      <c r="AP3766">
        <v>-149</v>
      </c>
      <c r="AQ3766">
        <v>1</v>
      </c>
      <c r="AR3766">
        <v>-256</v>
      </c>
      <c r="AZ3766">
        <v>1200</v>
      </c>
      <c r="BA3766">
        <v>1</v>
      </c>
      <c r="BB3766" t="str">
        <f t="shared" si="1728"/>
        <v xml:space="preserve">N711JA  </v>
      </c>
      <c r="BC3766">
        <v>1</v>
      </c>
      <c r="BE3766">
        <v>0</v>
      </c>
      <c r="BF3766">
        <v>0</v>
      </c>
      <c r="BG3766">
        <v>0</v>
      </c>
      <c r="BH3766">
        <v>2225</v>
      </c>
      <c r="BI3766">
        <v>1</v>
      </c>
      <c r="BJ3766">
        <v>1</v>
      </c>
      <c r="BK3766">
        <v>0</v>
      </c>
      <c r="BL3766">
        <v>0</v>
      </c>
      <c r="BO3766">
        <v>0</v>
      </c>
      <c r="BP3766">
        <v>0</v>
      </c>
      <c r="BW3766" t="str">
        <f>"14:48:04.787"</f>
        <v>14:48:04.787</v>
      </c>
      <c r="CJ3766">
        <v>0</v>
      </c>
      <c r="CK3766">
        <v>2</v>
      </c>
      <c r="CL3766">
        <v>0</v>
      </c>
      <c r="CM3766">
        <v>2</v>
      </c>
      <c r="CN3766">
        <v>0</v>
      </c>
      <c r="CO3766">
        <v>7</v>
      </c>
      <c r="CP3766" t="s">
        <v>119</v>
      </c>
      <c r="CQ3766">
        <v>8</v>
      </c>
      <c r="CR3766">
        <v>3</v>
      </c>
      <c r="CW3766">
        <v>9074739</v>
      </c>
      <c r="CY3766">
        <v>1</v>
      </c>
      <c r="CZ3766">
        <v>0</v>
      </c>
      <c r="DA3766">
        <v>1</v>
      </c>
      <c r="DB3766">
        <v>0</v>
      </c>
      <c r="DC3766">
        <v>0</v>
      </c>
      <c r="DD3766">
        <v>1</v>
      </c>
      <c r="DE3766">
        <v>0</v>
      </c>
      <c r="DF3766">
        <v>0</v>
      </c>
      <c r="DG3766">
        <v>0</v>
      </c>
      <c r="DH3766">
        <v>0</v>
      </c>
      <c r="DI3766">
        <v>0</v>
      </c>
    </row>
    <row r="3767" spans="1:113" x14ac:dyDescent="0.3">
      <c r="A3767" t="str">
        <f t="shared" si="1741"/>
        <v>05/12/2020 14:47:46.947</v>
      </c>
      <c r="C3767" t="str">
        <f t="shared" si="1727"/>
        <v>FFDFD3C0</v>
      </c>
      <c r="D3767" t="s">
        <v>131</v>
      </c>
      <c r="E3767">
        <v>18</v>
      </c>
      <c r="F3767">
        <v>2018</v>
      </c>
      <c r="G3767" t="s">
        <v>161</v>
      </c>
      <c r="J3767" t="s">
        <v>133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si="1742"/>
        <v>14:48:04.781</v>
      </c>
      <c r="T3767" t="str">
        <f t="shared" si="1743"/>
        <v>14:48:04.381</v>
      </c>
      <c r="U3767" t="str">
        <f t="shared" si="1720"/>
        <v>A9808D</v>
      </c>
      <c r="V3767">
        <v>0</v>
      </c>
      <c r="W3767">
        <v>0</v>
      </c>
      <c r="X3767">
        <v>1</v>
      </c>
      <c r="Z3767">
        <v>0</v>
      </c>
      <c r="AA3767">
        <v>9</v>
      </c>
      <c r="AB3767">
        <v>3</v>
      </c>
      <c r="AC3767">
        <v>0</v>
      </c>
      <c r="AD3767">
        <v>10</v>
      </c>
      <c r="AE3767">
        <v>0</v>
      </c>
      <c r="AF3767">
        <v>3</v>
      </c>
      <c r="AG3767">
        <v>2</v>
      </c>
      <c r="AH3767">
        <v>0</v>
      </c>
      <c r="AI3767" t="s">
        <v>487</v>
      </c>
      <c r="AJ3767">
        <v>28.271598999999998</v>
      </c>
      <c r="AK3767" t="s">
        <v>872</v>
      </c>
      <c r="AL3767">
        <v>-82.273436000000004</v>
      </c>
      <c r="AM3767">
        <v>100</v>
      </c>
      <c r="AN3767">
        <v>2200</v>
      </c>
      <c r="AO3767" t="s">
        <v>118</v>
      </c>
      <c r="AP3767">
        <v>-149</v>
      </c>
      <c r="AQ3767">
        <v>1</v>
      </c>
      <c r="AR3767">
        <v>-256</v>
      </c>
      <c r="AZ3767">
        <v>1200</v>
      </c>
      <c r="BA3767">
        <v>1</v>
      </c>
      <c r="BB3767" t="str">
        <f t="shared" si="1728"/>
        <v xml:space="preserve">N711JA  </v>
      </c>
      <c r="BC3767">
        <v>1</v>
      </c>
      <c r="BE3767">
        <v>0</v>
      </c>
      <c r="BF3767">
        <v>0</v>
      </c>
      <c r="BG3767">
        <v>0</v>
      </c>
      <c r="BH3767">
        <v>2225</v>
      </c>
      <c r="BI3767">
        <v>1</v>
      </c>
      <c r="BJ3767">
        <v>1</v>
      </c>
      <c r="BK3767">
        <v>0</v>
      </c>
      <c r="BL3767">
        <v>0</v>
      </c>
      <c r="BO3767">
        <v>0</v>
      </c>
      <c r="BP3767">
        <v>0</v>
      </c>
      <c r="BW3767" t="str">
        <f>"14:48:04.788"</f>
        <v>14:48:04.788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3</v>
      </c>
      <c r="CP3767" t="s">
        <v>119</v>
      </c>
      <c r="CQ3767">
        <v>62</v>
      </c>
      <c r="CR3767">
        <v>1</v>
      </c>
      <c r="CW3767">
        <v>12964319</v>
      </c>
      <c r="CY3767">
        <v>1</v>
      </c>
      <c r="CZ3767">
        <v>0</v>
      </c>
      <c r="DA3767">
        <v>1</v>
      </c>
      <c r="DB3767">
        <v>0</v>
      </c>
      <c r="DC3767">
        <v>0</v>
      </c>
      <c r="DD3767">
        <v>1</v>
      </c>
      <c r="DE3767">
        <v>0</v>
      </c>
      <c r="DF3767">
        <v>0</v>
      </c>
      <c r="DG3767">
        <v>0</v>
      </c>
      <c r="DH3767">
        <v>0</v>
      </c>
      <c r="DI3767">
        <v>0</v>
      </c>
    </row>
    <row r="3768" spans="1:113" x14ac:dyDescent="0.3">
      <c r="A3768" t="str">
        <f t="shared" si="1741"/>
        <v>05/12/2020 14:47:46.947</v>
      </c>
      <c r="C3768" t="str">
        <f t="shared" si="1727"/>
        <v>FFDFD3C0</v>
      </c>
      <c r="D3768" t="s">
        <v>134</v>
      </c>
      <c r="E3768">
        <v>12</v>
      </c>
      <c r="H3768">
        <v>64</v>
      </c>
      <c r="I3768" t="s">
        <v>135</v>
      </c>
      <c r="J3768" t="s">
        <v>136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1742"/>
        <v>14:48:04.781</v>
      </c>
      <c r="T3768" t="str">
        <f t="shared" si="1743"/>
        <v>14:48:04.381</v>
      </c>
      <c r="U3768" t="str">
        <f t="shared" si="1720"/>
        <v>A9808D</v>
      </c>
      <c r="V3768">
        <v>0</v>
      </c>
      <c r="W3768">
        <v>0</v>
      </c>
      <c r="X3768">
        <v>1</v>
      </c>
      <c r="Z3768">
        <v>0</v>
      </c>
      <c r="AA3768">
        <v>9</v>
      </c>
      <c r="AB3768">
        <v>3</v>
      </c>
      <c r="AC3768">
        <v>0</v>
      </c>
      <c r="AD3768">
        <v>10</v>
      </c>
      <c r="AE3768">
        <v>0</v>
      </c>
      <c r="AF3768">
        <v>3</v>
      </c>
      <c r="AG3768">
        <v>2</v>
      </c>
      <c r="AH3768">
        <v>0</v>
      </c>
      <c r="AI3768" t="s">
        <v>487</v>
      </c>
      <c r="AJ3768">
        <v>28.271598999999998</v>
      </c>
      <c r="AK3768" t="s">
        <v>872</v>
      </c>
      <c r="AL3768">
        <v>-82.273436000000004</v>
      </c>
      <c r="AM3768">
        <v>100</v>
      </c>
      <c r="AN3768">
        <v>2200</v>
      </c>
      <c r="AO3768" t="s">
        <v>118</v>
      </c>
      <c r="AP3768">
        <v>-149</v>
      </c>
      <c r="AQ3768">
        <v>1</v>
      </c>
      <c r="AR3768">
        <v>-256</v>
      </c>
      <c r="AZ3768">
        <v>1200</v>
      </c>
      <c r="BA3768">
        <v>1</v>
      </c>
      <c r="BB3768" t="str">
        <f t="shared" si="1728"/>
        <v xml:space="preserve">N711JA  </v>
      </c>
      <c r="BC3768">
        <v>1</v>
      </c>
      <c r="BE3768">
        <v>0</v>
      </c>
      <c r="BF3768">
        <v>0</v>
      </c>
      <c r="BG3768">
        <v>0</v>
      </c>
      <c r="BH3768">
        <v>2225</v>
      </c>
      <c r="BI3768">
        <v>1</v>
      </c>
      <c r="BJ3768">
        <v>1</v>
      </c>
      <c r="BK3768">
        <v>0</v>
      </c>
      <c r="BL3768">
        <v>0</v>
      </c>
      <c r="BO3768">
        <v>0</v>
      </c>
      <c r="BP3768">
        <v>0</v>
      </c>
      <c r="BW3768" t="str">
        <f>"14:48:04.787"</f>
        <v>14:48:04.787</v>
      </c>
      <c r="CJ3768">
        <v>0</v>
      </c>
      <c r="CK3768">
        <v>2</v>
      </c>
      <c r="CL3768">
        <v>0</v>
      </c>
      <c r="CM3768">
        <v>2</v>
      </c>
      <c r="CN3768">
        <v>0</v>
      </c>
      <c r="CO3768">
        <v>7</v>
      </c>
      <c r="CP3768" t="s">
        <v>119</v>
      </c>
      <c r="CQ3768">
        <v>8</v>
      </c>
      <c r="CR3768">
        <v>3</v>
      </c>
      <c r="CW3768">
        <v>9074739</v>
      </c>
      <c r="CY3768">
        <v>1</v>
      </c>
      <c r="CZ3768">
        <v>0</v>
      </c>
      <c r="DA3768">
        <v>1</v>
      </c>
      <c r="DB3768">
        <v>0</v>
      </c>
      <c r="DC3768">
        <v>0</v>
      </c>
      <c r="DD3768">
        <v>1</v>
      </c>
      <c r="DE3768">
        <v>0</v>
      </c>
      <c r="DF3768">
        <v>0</v>
      </c>
      <c r="DG3768">
        <v>0</v>
      </c>
      <c r="DH3768">
        <v>0</v>
      </c>
      <c r="DI3768">
        <v>0</v>
      </c>
    </row>
    <row r="3769" spans="1:113" x14ac:dyDescent="0.3">
      <c r="A3769" t="str">
        <f t="shared" si="1741"/>
        <v>05/12/2020 14:47:46.947</v>
      </c>
      <c r="C3769" t="str">
        <f t="shared" si="1727"/>
        <v>FFDFD3C0</v>
      </c>
      <c r="D3769" t="s">
        <v>113</v>
      </c>
      <c r="E3769">
        <v>3</v>
      </c>
      <c r="H3769">
        <v>164</v>
      </c>
      <c r="I3769" t="s">
        <v>114</v>
      </c>
      <c r="J3769" t="s">
        <v>115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si="1742"/>
        <v>14:48:04.781</v>
      </c>
      <c r="T3769" t="str">
        <f t="shared" si="1743"/>
        <v>14:48:04.381</v>
      </c>
      <c r="U3769" t="str">
        <f t="shared" si="1720"/>
        <v>A9808D</v>
      </c>
      <c r="V3769">
        <v>0</v>
      </c>
      <c r="W3769">
        <v>0</v>
      </c>
      <c r="X3769">
        <v>1</v>
      </c>
      <c r="Z3769">
        <v>0</v>
      </c>
      <c r="AA3769">
        <v>9</v>
      </c>
      <c r="AB3769">
        <v>3</v>
      </c>
      <c r="AC3769">
        <v>0</v>
      </c>
      <c r="AD3769">
        <v>10</v>
      </c>
      <c r="AE3769">
        <v>0</v>
      </c>
      <c r="AF3769">
        <v>3</v>
      </c>
      <c r="AG3769">
        <v>2</v>
      </c>
      <c r="AH3769">
        <v>0</v>
      </c>
      <c r="AI3769" t="s">
        <v>487</v>
      </c>
      <c r="AJ3769">
        <v>28.271598999999998</v>
      </c>
      <c r="AK3769" t="s">
        <v>872</v>
      </c>
      <c r="AL3769">
        <v>-82.273436000000004</v>
      </c>
      <c r="AM3769">
        <v>100</v>
      </c>
      <c r="AN3769">
        <v>2200</v>
      </c>
      <c r="AO3769" t="s">
        <v>118</v>
      </c>
      <c r="AP3769">
        <v>-149</v>
      </c>
      <c r="AQ3769">
        <v>1</v>
      </c>
      <c r="AR3769">
        <v>-256</v>
      </c>
      <c r="AZ3769">
        <v>1200</v>
      </c>
      <c r="BA3769">
        <v>1</v>
      </c>
      <c r="BB3769" t="str">
        <f t="shared" si="1728"/>
        <v xml:space="preserve">N711JA  </v>
      </c>
      <c r="BC3769">
        <v>1</v>
      </c>
      <c r="BE3769">
        <v>0</v>
      </c>
      <c r="BF3769">
        <v>0</v>
      </c>
      <c r="BG3769">
        <v>0</v>
      </c>
      <c r="BH3769">
        <v>2225</v>
      </c>
      <c r="BI3769">
        <v>1</v>
      </c>
      <c r="BJ3769">
        <v>1</v>
      </c>
      <c r="BK3769">
        <v>0</v>
      </c>
      <c r="BL3769">
        <v>0</v>
      </c>
      <c r="BO3769">
        <v>0</v>
      </c>
      <c r="BP3769">
        <v>0</v>
      </c>
      <c r="BW3769" t="str">
        <f>"14:48:04.787"</f>
        <v>14:48:04.787</v>
      </c>
      <c r="CJ3769">
        <v>0</v>
      </c>
      <c r="CK3769">
        <v>2</v>
      </c>
      <c r="CL3769">
        <v>0</v>
      </c>
      <c r="CM3769">
        <v>2</v>
      </c>
      <c r="CN3769">
        <v>0</v>
      </c>
      <c r="CO3769">
        <v>7</v>
      </c>
      <c r="CP3769" t="s">
        <v>119</v>
      </c>
      <c r="CQ3769">
        <v>8</v>
      </c>
      <c r="CR3769">
        <v>3</v>
      </c>
      <c r="CW3769">
        <v>9074739</v>
      </c>
      <c r="CY3769">
        <v>1</v>
      </c>
      <c r="CZ3769">
        <v>0</v>
      </c>
      <c r="DA3769">
        <v>1</v>
      </c>
      <c r="DB3769">
        <v>0</v>
      </c>
      <c r="DC3769">
        <v>0</v>
      </c>
      <c r="DD3769">
        <v>1</v>
      </c>
      <c r="DE3769">
        <v>0</v>
      </c>
      <c r="DF3769">
        <v>0</v>
      </c>
      <c r="DG3769">
        <v>0</v>
      </c>
      <c r="DH3769">
        <v>0</v>
      </c>
      <c r="DI3769">
        <v>0</v>
      </c>
    </row>
    <row r="3770" spans="1:113" x14ac:dyDescent="0.3">
      <c r="A3770" t="str">
        <f t="shared" si="1741"/>
        <v>05/12/2020 14:47:46.947</v>
      </c>
      <c r="C3770" t="str">
        <f t="shared" si="1727"/>
        <v>FFDFD3C0</v>
      </c>
      <c r="D3770" t="s">
        <v>126</v>
      </c>
      <c r="E3770">
        <v>6</v>
      </c>
      <c r="F3770">
        <v>1006</v>
      </c>
      <c r="G3770" t="s">
        <v>114</v>
      </c>
      <c r="J3770" t="s">
        <v>128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 t="shared" si="1742"/>
        <v>14:48:04.781</v>
      </c>
      <c r="T3770" t="str">
        <f t="shared" si="1743"/>
        <v>14:48:04.381</v>
      </c>
      <c r="U3770" t="str">
        <f t="shared" si="1720"/>
        <v>A9808D</v>
      </c>
      <c r="V3770">
        <v>0</v>
      </c>
      <c r="W3770">
        <v>0</v>
      </c>
      <c r="X3770">
        <v>1</v>
      </c>
      <c r="Z3770">
        <v>0</v>
      </c>
      <c r="AA3770">
        <v>9</v>
      </c>
      <c r="AB3770">
        <v>3</v>
      </c>
      <c r="AC3770">
        <v>0</v>
      </c>
      <c r="AD3770">
        <v>10</v>
      </c>
      <c r="AE3770">
        <v>0</v>
      </c>
      <c r="AF3770">
        <v>3</v>
      </c>
      <c r="AG3770">
        <v>2</v>
      </c>
      <c r="AH3770">
        <v>0</v>
      </c>
      <c r="AI3770" t="s">
        <v>487</v>
      </c>
      <c r="AJ3770">
        <v>28.271598999999998</v>
      </c>
      <c r="AK3770" t="s">
        <v>872</v>
      </c>
      <c r="AL3770">
        <v>-82.273436000000004</v>
      </c>
      <c r="AM3770">
        <v>100</v>
      </c>
      <c r="AN3770">
        <v>2200</v>
      </c>
      <c r="AO3770" t="s">
        <v>118</v>
      </c>
      <c r="AP3770">
        <v>-149</v>
      </c>
      <c r="AQ3770">
        <v>1</v>
      </c>
      <c r="AR3770">
        <v>-256</v>
      </c>
      <c r="AZ3770">
        <v>1200</v>
      </c>
      <c r="BA3770">
        <v>1</v>
      </c>
      <c r="BB3770" t="str">
        <f t="shared" si="1728"/>
        <v xml:space="preserve">N711JA  </v>
      </c>
      <c r="BC3770">
        <v>1</v>
      </c>
      <c r="BE3770">
        <v>0</v>
      </c>
      <c r="BF3770">
        <v>0</v>
      </c>
      <c r="BG3770">
        <v>0</v>
      </c>
      <c r="BH3770">
        <v>2225</v>
      </c>
      <c r="BI3770">
        <v>1</v>
      </c>
      <c r="BJ3770">
        <v>1</v>
      </c>
      <c r="BK3770">
        <v>0</v>
      </c>
      <c r="BL3770">
        <v>0</v>
      </c>
      <c r="BO3770">
        <v>0</v>
      </c>
      <c r="BP3770">
        <v>0</v>
      </c>
      <c r="BW3770" t="str">
        <f>"14:48:04.787"</f>
        <v>14:48:04.787</v>
      </c>
      <c r="CJ3770">
        <v>0</v>
      </c>
      <c r="CK3770">
        <v>2</v>
      </c>
      <c r="CL3770">
        <v>0</v>
      </c>
      <c r="CM3770">
        <v>2</v>
      </c>
      <c r="CN3770">
        <v>0</v>
      </c>
      <c r="CO3770">
        <v>7</v>
      </c>
      <c r="CP3770" t="s">
        <v>119</v>
      </c>
      <c r="CQ3770">
        <v>8</v>
      </c>
      <c r="CR3770">
        <v>3</v>
      </c>
      <c r="CW3770">
        <v>9074739</v>
      </c>
      <c r="CY3770">
        <v>1</v>
      </c>
      <c r="CZ3770">
        <v>0</v>
      </c>
      <c r="DA3770">
        <v>1</v>
      </c>
      <c r="DB3770">
        <v>0</v>
      </c>
      <c r="DC3770">
        <v>0</v>
      </c>
      <c r="DD3770">
        <v>1</v>
      </c>
      <c r="DE3770">
        <v>0</v>
      </c>
      <c r="DF3770">
        <v>0</v>
      </c>
      <c r="DG3770">
        <v>0</v>
      </c>
      <c r="DH3770">
        <v>0</v>
      </c>
      <c r="DI3770">
        <v>0</v>
      </c>
    </row>
    <row r="3771" spans="1:113" x14ac:dyDescent="0.3">
      <c r="A3771" t="str">
        <f t="shared" si="1741"/>
        <v>05/12/2020 14:47:46.947</v>
      </c>
      <c r="C3771" t="str">
        <f t="shared" si="1727"/>
        <v>FFDFD3C0</v>
      </c>
      <c r="D3771" t="s">
        <v>126</v>
      </c>
      <c r="E3771">
        <v>7</v>
      </c>
      <c r="F3771">
        <v>1007</v>
      </c>
      <c r="G3771" t="s">
        <v>127</v>
      </c>
      <c r="J3771" t="s">
        <v>128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 t="shared" si="1742"/>
        <v>14:48:04.781</v>
      </c>
      <c r="T3771" t="str">
        <f t="shared" si="1743"/>
        <v>14:48:04.381</v>
      </c>
      <c r="U3771" t="str">
        <f t="shared" si="1720"/>
        <v>A9808D</v>
      </c>
      <c r="V3771">
        <v>0</v>
      </c>
      <c r="W3771">
        <v>0</v>
      </c>
      <c r="X3771">
        <v>1</v>
      </c>
      <c r="Z3771">
        <v>0</v>
      </c>
      <c r="AA3771">
        <v>9</v>
      </c>
      <c r="AB3771">
        <v>3</v>
      </c>
      <c r="AC3771">
        <v>0</v>
      </c>
      <c r="AD3771">
        <v>10</v>
      </c>
      <c r="AE3771">
        <v>0</v>
      </c>
      <c r="AF3771">
        <v>3</v>
      </c>
      <c r="AG3771">
        <v>2</v>
      </c>
      <c r="AH3771">
        <v>0</v>
      </c>
      <c r="AI3771" t="s">
        <v>487</v>
      </c>
      <c r="AJ3771">
        <v>28.271598999999998</v>
      </c>
      <c r="AK3771" t="s">
        <v>872</v>
      </c>
      <c r="AL3771">
        <v>-82.273436000000004</v>
      </c>
      <c r="AM3771">
        <v>100</v>
      </c>
      <c r="AN3771">
        <v>2200</v>
      </c>
      <c r="AO3771" t="s">
        <v>118</v>
      </c>
      <c r="AP3771">
        <v>-149</v>
      </c>
      <c r="AQ3771">
        <v>1</v>
      </c>
      <c r="AR3771">
        <v>-256</v>
      </c>
      <c r="AZ3771">
        <v>1200</v>
      </c>
      <c r="BA3771">
        <v>1</v>
      </c>
      <c r="BB3771" t="str">
        <f t="shared" si="1728"/>
        <v xml:space="preserve">N711JA  </v>
      </c>
      <c r="BC3771">
        <v>1</v>
      </c>
      <c r="BE3771">
        <v>0</v>
      </c>
      <c r="BF3771">
        <v>0</v>
      </c>
      <c r="BG3771">
        <v>0</v>
      </c>
      <c r="BH3771">
        <v>2225</v>
      </c>
      <c r="BI3771">
        <v>1</v>
      </c>
      <c r="BJ3771">
        <v>1</v>
      </c>
      <c r="BK3771">
        <v>0</v>
      </c>
      <c r="BL3771">
        <v>0</v>
      </c>
      <c r="BO3771">
        <v>0</v>
      </c>
      <c r="BP3771">
        <v>0</v>
      </c>
      <c r="BW3771" t="str">
        <f>"14:48:04.787"</f>
        <v>14:48:04.787</v>
      </c>
      <c r="CJ3771">
        <v>0</v>
      </c>
      <c r="CK3771">
        <v>2</v>
      </c>
      <c r="CL3771">
        <v>0</v>
      </c>
      <c r="CM3771">
        <v>2</v>
      </c>
      <c r="CN3771">
        <v>0</v>
      </c>
      <c r="CO3771">
        <v>7</v>
      </c>
      <c r="CP3771" t="s">
        <v>119</v>
      </c>
      <c r="CQ3771">
        <v>8</v>
      </c>
      <c r="CR3771">
        <v>3</v>
      </c>
      <c r="CW3771">
        <v>9074739</v>
      </c>
      <c r="CY3771">
        <v>1</v>
      </c>
      <c r="CZ3771">
        <v>0</v>
      </c>
      <c r="DA3771">
        <v>1</v>
      </c>
      <c r="DB3771">
        <v>0</v>
      </c>
      <c r="DC3771">
        <v>0</v>
      </c>
      <c r="DD3771">
        <v>1</v>
      </c>
      <c r="DE3771">
        <v>0</v>
      </c>
      <c r="DF3771">
        <v>0</v>
      </c>
      <c r="DG3771">
        <v>0</v>
      </c>
      <c r="DH3771">
        <v>0</v>
      </c>
      <c r="DI3771">
        <v>0</v>
      </c>
    </row>
    <row r="3772" spans="1:113" x14ac:dyDescent="0.3">
      <c r="A3772" t="str">
        <f t="shared" ref="A3772:A3780" si="1744">"05/12/2020 14:47:47.846"</f>
        <v>05/12/2020 14:47:47.846</v>
      </c>
      <c r="C3772" t="str">
        <f t="shared" si="1727"/>
        <v>FFDFD3C0</v>
      </c>
      <c r="D3772" t="s">
        <v>134</v>
      </c>
      <c r="E3772">
        <v>12</v>
      </c>
      <c r="H3772">
        <v>64</v>
      </c>
      <c r="I3772" t="s">
        <v>135</v>
      </c>
      <c r="J3772" t="s">
        <v>136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 t="shared" ref="S3772:S3780" si="1745">"14:48:05.672"</f>
        <v>14:48:05.672</v>
      </c>
      <c r="T3772" t="str">
        <f t="shared" ref="T3772:T3780" si="1746">"14:48:05.372"</f>
        <v>14:48:05.372</v>
      </c>
      <c r="U3772" t="str">
        <f t="shared" si="1720"/>
        <v>A9808D</v>
      </c>
      <c r="V3772">
        <v>0</v>
      </c>
      <c r="W3772">
        <v>0</v>
      </c>
      <c r="X3772">
        <v>1</v>
      </c>
      <c r="Z3772">
        <v>0</v>
      </c>
      <c r="AA3772">
        <v>9</v>
      </c>
      <c r="AB3772">
        <v>3</v>
      </c>
      <c r="AC3772">
        <v>0</v>
      </c>
      <c r="AD3772">
        <v>10</v>
      </c>
      <c r="AE3772">
        <v>0</v>
      </c>
      <c r="AF3772">
        <v>3</v>
      </c>
      <c r="AG3772">
        <v>2</v>
      </c>
      <c r="AH3772">
        <v>0</v>
      </c>
      <c r="AI3772" t="s">
        <v>870</v>
      </c>
      <c r="AJ3772">
        <v>28.271619999999999</v>
      </c>
      <c r="AK3772" t="s">
        <v>873</v>
      </c>
      <c r="AL3772">
        <v>-82.274122000000006</v>
      </c>
      <c r="AM3772">
        <v>100</v>
      </c>
      <c r="AN3772">
        <v>2200</v>
      </c>
      <c r="AO3772" t="s">
        <v>118</v>
      </c>
      <c r="AP3772">
        <v>-149</v>
      </c>
      <c r="AQ3772">
        <v>-1</v>
      </c>
      <c r="AR3772">
        <v>-64</v>
      </c>
      <c r="AZ3772">
        <v>1200</v>
      </c>
      <c r="BA3772">
        <v>1</v>
      </c>
      <c r="BB3772" t="str">
        <f t="shared" si="1728"/>
        <v xml:space="preserve">N711JA  </v>
      </c>
      <c r="BC3772">
        <v>1</v>
      </c>
      <c r="BE3772">
        <v>0</v>
      </c>
      <c r="BF3772">
        <v>0</v>
      </c>
      <c r="BG3772">
        <v>0</v>
      </c>
      <c r="BH3772">
        <v>2225</v>
      </c>
      <c r="BI3772">
        <v>1</v>
      </c>
      <c r="BJ3772">
        <v>1</v>
      </c>
      <c r="BK3772">
        <v>0</v>
      </c>
      <c r="BL3772">
        <v>0</v>
      </c>
      <c r="BO3772">
        <v>0</v>
      </c>
      <c r="BP3772">
        <v>0</v>
      </c>
      <c r="BW3772" t="str">
        <f t="shared" ref="BW3772:BW3780" si="1747">"14:48:05.679"</f>
        <v>14:48:05.679</v>
      </c>
      <c r="CJ3772">
        <v>0</v>
      </c>
      <c r="CK3772">
        <v>2</v>
      </c>
      <c r="CL3772">
        <v>0</v>
      </c>
      <c r="CM3772">
        <v>2</v>
      </c>
      <c r="CN3772">
        <v>0</v>
      </c>
      <c r="CO3772">
        <v>7</v>
      </c>
      <c r="CP3772" t="s">
        <v>119</v>
      </c>
      <c r="CQ3772">
        <v>8</v>
      </c>
      <c r="CR3772">
        <v>3</v>
      </c>
      <c r="CW3772">
        <v>9075673</v>
      </c>
      <c r="CY3772">
        <v>1</v>
      </c>
      <c r="CZ3772">
        <v>0</v>
      </c>
      <c r="DA3772">
        <v>0</v>
      </c>
      <c r="DB3772">
        <v>0</v>
      </c>
      <c r="DC3772">
        <v>0</v>
      </c>
      <c r="DD3772">
        <v>1</v>
      </c>
      <c r="DE3772">
        <v>0</v>
      </c>
      <c r="DF3772">
        <v>0</v>
      </c>
      <c r="DG3772">
        <v>0</v>
      </c>
      <c r="DH3772">
        <v>0</v>
      </c>
      <c r="DI3772">
        <v>0</v>
      </c>
    </row>
    <row r="3773" spans="1:113" x14ac:dyDescent="0.3">
      <c r="A3773" t="str">
        <f t="shared" si="1744"/>
        <v>05/12/2020 14:47:47.846</v>
      </c>
      <c r="C3773" t="str">
        <f t="shared" si="1727"/>
        <v>FFDFD3C0</v>
      </c>
      <c r="D3773" t="s">
        <v>126</v>
      </c>
      <c r="E3773">
        <v>7</v>
      </c>
      <c r="F3773">
        <v>1007</v>
      </c>
      <c r="G3773" t="s">
        <v>127</v>
      </c>
      <c r="J3773" t="s">
        <v>128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 t="shared" si="1745"/>
        <v>14:48:05.672</v>
      </c>
      <c r="T3773" t="str">
        <f t="shared" si="1746"/>
        <v>14:48:05.372</v>
      </c>
      <c r="U3773" t="str">
        <f t="shared" si="1720"/>
        <v>A9808D</v>
      </c>
      <c r="V3773">
        <v>0</v>
      </c>
      <c r="W3773">
        <v>0</v>
      </c>
      <c r="X3773">
        <v>1</v>
      </c>
      <c r="Z3773">
        <v>0</v>
      </c>
      <c r="AA3773">
        <v>9</v>
      </c>
      <c r="AB3773">
        <v>3</v>
      </c>
      <c r="AC3773">
        <v>0</v>
      </c>
      <c r="AD3773">
        <v>10</v>
      </c>
      <c r="AE3773">
        <v>0</v>
      </c>
      <c r="AF3773">
        <v>3</v>
      </c>
      <c r="AG3773">
        <v>2</v>
      </c>
      <c r="AH3773">
        <v>0</v>
      </c>
      <c r="AI3773" t="s">
        <v>870</v>
      </c>
      <c r="AJ3773">
        <v>28.271619999999999</v>
      </c>
      <c r="AK3773" t="s">
        <v>873</v>
      </c>
      <c r="AL3773">
        <v>-82.274122000000006</v>
      </c>
      <c r="AM3773">
        <v>100</v>
      </c>
      <c r="AN3773">
        <v>2200</v>
      </c>
      <c r="AO3773" t="s">
        <v>118</v>
      </c>
      <c r="AP3773">
        <v>-149</v>
      </c>
      <c r="AQ3773">
        <v>-1</v>
      </c>
      <c r="AR3773">
        <v>-64</v>
      </c>
      <c r="AZ3773">
        <v>1200</v>
      </c>
      <c r="BA3773">
        <v>1</v>
      </c>
      <c r="BB3773" t="str">
        <f t="shared" si="1728"/>
        <v xml:space="preserve">N711JA  </v>
      </c>
      <c r="BC3773">
        <v>1</v>
      </c>
      <c r="BE3773">
        <v>0</v>
      </c>
      <c r="BF3773">
        <v>0</v>
      </c>
      <c r="BG3773">
        <v>0</v>
      </c>
      <c r="BH3773">
        <v>2225</v>
      </c>
      <c r="BI3773">
        <v>1</v>
      </c>
      <c r="BJ3773">
        <v>1</v>
      </c>
      <c r="BK3773">
        <v>0</v>
      </c>
      <c r="BL3773">
        <v>0</v>
      </c>
      <c r="BO3773">
        <v>0</v>
      </c>
      <c r="BP3773">
        <v>0</v>
      </c>
      <c r="BW3773" t="str">
        <f t="shared" si="1747"/>
        <v>14:48:05.679</v>
      </c>
      <c r="CJ3773">
        <v>0</v>
      </c>
      <c r="CK3773">
        <v>2</v>
      </c>
      <c r="CL3773">
        <v>0</v>
      </c>
      <c r="CM3773">
        <v>2</v>
      </c>
      <c r="CN3773">
        <v>0</v>
      </c>
      <c r="CO3773">
        <v>7</v>
      </c>
      <c r="CP3773" t="s">
        <v>119</v>
      </c>
      <c r="CQ3773">
        <v>8</v>
      </c>
      <c r="CR3773">
        <v>3</v>
      </c>
      <c r="CW3773">
        <v>9075673</v>
      </c>
      <c r="CY3773">
        <v>1</v>
      </c>
      <c r="CZ3773">
        <v>0</v>
      </c>
      <c r="DA3773">
        <v>1</v>
      </c>
      <c r="DB3773">
        <v>0</v>
      </c>
      <c r="DC3773">
        <v>0</v>
      </c>
      <c r="DD3773">
        <v>1</v>
      </c>
      <c r="DE3773">
        <v>0</v>
      </c>
      <c r="DF3773">
        <v>0</v>
      </c>
      <c r="DG3773">
        <v>0</v>
      </c>
      <c r="DH3773">
        <v>0</v>
      </c>
      <c r="DI3773">
        <v>0</v>
      </c>
    </row>
    <row r="3774" spans="1:113" x14ac:dyDescent="0.3">
      <c r="A3774" t="str">
        <f t="shared" si="1744"/>
        <v>05/12/2020 14:47:47.846</v>
      </c>
      <c r="C3774" t="str">
        <f t="shared" si="1727"/>
        <v>FFDFD3C0</v>
      </c>
      <c r="D3774" t="s">
        <v>131</v>
      </c>
      <c r="E3774">
        <v>10</v>
      </c>
      <c r="F3774">
        <v>2010</v>
      </c>
      <c r="G3774" t="s">
        <v>132</v>
      </c>
      <c r="J3774" t="s">
        <v>133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 t="shared" si="1745"/>
        <v>14:48:05.672</v>
      </c>
      <c r="T3774" t="str">
        <f t="shared" si="1746"/>
        <v>14:48:05.372</v>
      </c>
      <c r="U3774" t="str">
        <f t="shared" si="1720"/>
        <v>A9808D</v>
      </c>
      <c r="V3774">
        <v>0</v>
      </c>
      <c r="W3774">
        <v>0</v>
      </c>
      <c r="X3774">
        <v>1</v>
      </c>
      <c r="Z3774">
        <v>0</v>
      </c>
      <c r="AA3774">
        <v>9</v>
      </c>
      <c r="AB3774">
        <v>3</v>
      </c>
      <c r="AC3774">
        <v>0</v>
      </c>
      <c r="AD3774">
        <v>10</v>
      </c>
      <c r="AE3774">
        <v>0</v>
      </c>
      <c r="AF3774">
        <v>3</v>
      </c>
      <c r="AG3774">
        <v>2</v>
      </c>
      <c r="AH3774">
        <v>0</v>
      </c>
      <c r="AI3774" t="s">
        <v>870</v>
      </c>
      <c r="AJ3774">
        <v>28.271619999999999</v>
      </c>
      <c r="AK3774" t="s">
        <v>873</v>
      </c>
      <c r="AL3774">
        <v>-82.274122000000006</v>
      </c>
      <c r="AM3774">
        <v>100</v>
      </c>
      <c r="AN3774">
        <v>2200</v>
      </c>
      <c r="AO3774" t="s">
        <v>118</v>
      </c>
      <c r="AP3774">
        <v>-149</v>
      </c>
      <c r="AQ3774">
        <v>-1</v>
      </c>
      <c r="AR3774">
        <v>-64</v>
      </c>
      <c r="AZ3774">
        <v>1200</v>
      </c>
      <c r="BA3774">
        <v>1</v>
      </c>
      <c r="BB3774" t="str">
        <f t="shared" si="1728"/>
        <v xml:space="preserve">N711JA  </v>
      </c>
      <c r="BC3774">
        <v>1</v>
      </c>
      <c r="BE3774">
        <v>0</v>
      </c>
      <c r="BF3774">
        <v>0</v>
      </c>
      <c r="BG3774">
        <v>0</v>
      </c>
      <c r="BH3774">
        <v>2225</v>
      </c>
      <c r="BI3774">
        <v>1</v>
      </c>
      <c r="BJ3774">
        <v>1</v>
      </c>
      <c r="BK3774">
        <v>0</v>
      </c>
      <c r="BL3774">
        <v>0</v>
      </c>
      <c r="BO3774">
        <v>0</v>
      </c>
      <c r="BP3774">
        <v>0</v>
      </c>
      <c r="BW3774" t="str">
        <f t="shared" si="1747"/>
        <v>14:48:05.679</v>
      </c>
      <c r="CJ3774">
        <v>0</v>
      </c>
      <c r="CK3774">
        <v>2</v>
      </c>
      <c r="CL3774">
        <v>0</v>
      </c>
      <c r="CM3774">
        <v>2</v>
      </c>
      <c r="CN3774">
        <v>0</v>
      </c>
      <c r="CO3774">
        <v>7</v>
      </c>
      <c r="CP3774" t="s">
        <v>119</v>
      </c>
      <c r="CQ3774">
        <v>8</v>
      </c>
      <c r="CR3774">
        <v>3</v>
      </c>
      <c r="CW3774">
        <v>9075673</v>
      </c>
      <c r="CY3774">
        <v>1</v>
      </c>
      <c r="CZ3774">
        <v>0</v>
      </c>
      <c r="DA3774">
        <v>1</v>
      </c>
      <c r="DB3774">
        <v>0</v>
      </c>
      <c r="DC3774">
        <v>0</v>
      </c>
      <c r="DD3774">
        <v>1</v>
      </c>
      <c r="DE3774">
        <v>0</v>
      </c>
      <c r="DF3774">
        <v>0</v>
      </c>
      <c r="DG3774">
        <v>0</v>
      </c>
      <c r="DH3774">
        <v>0</v>
      </c>
      <c r="DI3774">
        <v>0</v>
      </c>
    </row>
    <row r="3775" spans="1:113" x14ac:dyDescent="0.3">
      <c r="A3775" t="str">
        <f t="shared" si="1744"/>
        <v>05/12/2020 14:47:47.846</v>
      </c>
      <c r="C3775" t="str">
        <f t="shared" si="1727"/>
        <v>FFDFD3C0</v>
      </c>
      <c r="D3775" t="s">
        <v>126</v>
      </c>
      <c r="E3775">
        <v>6</v>
      </c>
      <c r="F3775">
        <v>1006</v>
      </c>
      <c r="G3775" t="s">
        <v>114</v>
      </c>
      <c r="J3775" t="s">
        <v>128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 t="shared" si="1745"/>
        <v>14:48:05.672</v>
      </c>
      <c r="T3775" t="str">
        <f t="shared" si="1746"/>
        <v>14:48:05.372</v>
      </c>
      <c r="U3775" t="str">
        <f t="shared" si="1720"/>
        <v>A9808D</v>
      </c>
      <c r="V3775">
        <v>0</v>
      </c>
      <c r="W3775">
        <v>0</v>
      </c>
      <c r="X3775">
        <v>1</v>
      </c>
      <c r="Z3775">
        <v>0</v>
      </c>
      <c r="AA3775">
        <v>9</v>
      </c>
      <c r="AB3775">
        <v>3</v>
      </c>
      <c r="AC3775">
        <v>0</v>
      </c>
      <c r="AD3775">
        <v>10</v>
      </c>
      <c r="AE3775">
        <v>0</v>
      </c>
      <c r="AF3775">
        <v>3</v>
      </c>
      <c r="AG3775">
        <v>2</v>
      </c>
      <c r="AH3775">
        <v>0</v>
      </c>
      <c r="AI3775" t="s">
        <v>870</v>
      </c>
      <c r="AJ3775">
        <v>28.271619999999999</v>
      </c>
      <c r="AK3775" t="s">
        <v>873</v>
      </c>
      <c r="AL3775">
        <v>-82.274122000000006</v>
      </c>
      <c r="AM3775">
        <v>100</v>
      </c>
      <c r="AN3775">
        <v>2200</v>
      </c>
      <c r="AO3775" t="s">
        <v>118</v>
      </c>
      <c r="AP3775">
        <v>-149</v>
      </c>
      <c r="AQ3775">
        <v>-1</v>
      </c>
      <c r="AR3775">
        <v>-64</v>
      </c>
      <c r="AZ3775">
        <v>1200</v>
      </c>
      <c r="BA3775">
        <v>1</v>
      </c>
      <c r="BB3775" t="str">
        <f t="shared" si="1728"/>
        <v xml:space="preserve">N711JA  </v>
      </c>
      <c r="BC3775">
        <v>1</v>
      </c>
      <c r="BE3775">
        <v>0</v>
      </c>
      <c r="BF3775">
        <v>0</v>
      </c>
      <c r="BG3775">
        <v>0</v>
      </c>
      <c r="BH3775">
        <v>2225</v>
      </c>
      <c r="BI3775">
        <v>1</v>
      </c>
      <c r="BJ3775">
        <v>1</v>
      </c>
      <c r="BK3775">
        <v>0</v>
      </c>
      <c r="BL3775">
        <v>0</v>
      </c>
      <c r="BO3775">
        <v>0</v>
      </c>
      <c r="BP3775">
        <v>0</v>
      </c>
      <c r="BW3775" t="str">
        <f t="shared" si="1747"/>
        <v>14:48:05.679</v>
      </c>
      <c r="CJ3775">
        <v>0</v>
      </c>
      <c r="CK3775">
        <v>2</v>
      </c>
      <c r="CL3775">
        <v>0</v>
      </c>
      <c r="CM3775">
        <v>2</v>
      </c>
      <c r="CN3775">
        <v>0</v>
      </c>
      <c r="CO3775">
        <v>7</v>
      </c>
      <c r="CP3775" t="s">
        <v>119</v>
      </c>
      <c r="CQ3775">
        <v>8</v>
      </c>
      <c r="CR3775">
        <v>3</v>
      </c>
      <c r="CW3775">
        <v>9075673</v>
      </c>
      <c r="CY3775">
        <v>1</v>
      </c>
      <c r="CZ3775">
        <v>0</v>
      </c>
      <c r="DA3775">
        <v>1</v>
      </c>
      <c r="DB3775">
        <v>0</v>
      </c>
      <c r="DC3775">
        <v>0</v>
      </c>
      <c r="DD3775">
        <v>1</v>
      </c>
      <c r="DE3775">
        <v>0</v>
      </c>
      <c r="DF3775">
        <v>0</v>
      </c>
      <c r="DG3775">
        <v>0</v>
      </c>
      <c r="DH3775">
        <v>0</v>
      </c>
      <c r="DI3775">
        <v>0</v>
      </c>
    </row>
    <row r="3776" spans="1:113" x14ac:dyDescent="0.3">
      <c r="A3776" t="str">
        <f t="shared" si="1744"/>
        <v>05/12/2020 14:47:47.846</v>
      </c>
      <c r="C3776" t="str">
        <f t="shared" si="1727"/>
        <v>FFDFD3C0</v>
      </c>
      <c r="D3776" t="s">
        <v>113</v>
      </c>
      <c r="E3776">
        <v>3</v>
      </c>
      <c r="H3776">
        <v>164</v>
      </c>
      <c r="I3776" t="s">
        <v>114</v>
      </c>
      <c r="J3776" t="s">
        <v>115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 t="shared" si="1745"/>
        <v>14:48:05.672</v>
      </c>
      <c r="T3776" t="str">
        <f t="shared" si="1746"/>
        <v>14:48:05.372</v>
      </c>
      <c r="U3776" t="str">
        <f t="shared" si="1720"/>
        <v>A9808D</v>
      </c>
      <c r="V3776">
        <v>0</v>
      </c>
      <c r="W3776">
        <v>0</v>
      </c>
      <c r="X3776">
        <v>1</v>
      </c>
      <c r="Z3776">
        <v>0</v>
      </c>
      <c r="AA3776">
        <v>9</v>
      </c>
      <c r="AB3776">
        <v>3</v>
      </c>
      <c r="AC3776">
        <v>0</v>
      </c>
      <c r="AD3776">
        <v>10</v>
      </c>
      <c r="AE3776">
        <v>0</v>
      </c>
      <c r="AF3776">
        <v>3</v>
      </c>
      <c r="AG3776">
        <v>2</v>
      </c>
      <c r="AH3776">
        <v>0</v>
      </c>
      <c r="AI3776" t="s">
        <v>870</v>
      </c>
      <c r="AJ3776">
        <v>28.271619999999999</v>
      </c>
      <c r="AK3776" t="s">
        <v>873</v>
      </c>
      <c r="AL3776">
        <v>-82.274122000000006</v>
      </c>
      <c r="AM3776">
        <v>100</v>
      </c>
      <c r="AN3776">
        <v>2200</v>
      </c>
      <c r="AO3776" t="s">
        <v>118</v>
      </c>
      <c r="AP3776">
        <v>-149</v>
      </c>
      <c r="AQ3776">
        <v>-1</v>
      </c>
      <c r="AR3776">
        <v>-64</v>
      </c>
      <c r="AZ3776">
        <v>1200</v>
      </c>
      <c r="BA3776">
        <v>1</v>
      </c>
      <c r="BB3776" t="str">
        <f t="shared" si="1728"/>
        <v xml:space="preserve">N711JA  </v>
      </c>
      <c r="BC3776">
        <v>1</v>
      </c>
      <c r="BE3776">
        <v>0</v>
      </c>
      <c r="BF3776">
        <v>0</v>
      </c>
      <c r="BG3776">
        <v>0</v>
      </c>
      <c r="BH3776">
        <v>2225</v>
      </c>
      <c r="BI3776">
        <v>1</v>
      </c>
      <c r="BJ3776">
        <v>1</v>
      </c>
      <c r="BK3776">
        <v>0</v>
      </c>
      <c r="BL3776">
        <v>0</v>
      </c>
      <c r="BO3776">
        <v>0</v>
      </c>
      <c r="BP3776">
        <v>0</v>
      </c>
      <c r="BW3776" t="str">
        <f t="shared" si="1747"/>
        <v>14:48:05.679</v>
      </c>
      <c r="CJ3776">
        <v>0</v>
      </c>
      <c r="CK3776">
        <v>2</v>
      </c>
      <c r="CL3776">
        <v>0</v>
      </c>
      <c r="CM3776">
        <v>2</v>
      </c>
      <c r="CN3776">
        <v>0</v>
      </c>
      <c r="CO3776">
        <v>7</v>
      </c>
      <c r="CP3776" t="s">
        <v>119</v>
      </c>
      <c r="CQ3776">
        <v>8</v>
      </c>
      <c r="CR3776">
        <v>3</v>
      </c>
      <c r="CW3776">
        <v>9075673</v>
      </c>
      <c r="CY3776">
        <v>1</v>
      </c>
      <c r="CZ3776">
        <v>0</v>
      </c>
      <c r="DA3776">
        <v>1</v>
      </c>
      <c r="DB3776">
        <v>0</v>
      </c>
      <c r="DC3776">
        <v>0</v>
      </c>
      <c r="DD3776">
        <v>1</v>
      </c>
      <c r="DE3776">
        <v>0</v>
      </c>
      <c r="DF3776">
        <v>0</v>
      </c>
      <c r="DG3776">
        <v>0</v>
      </c>
      <c r="DH3776">
        <v>0</v>
      </c>
      <c r="DI3776">
        <v>0</v>
      </c>
    </row>
    <row r="3777" spans="1:113" x14ac:dyDescent="0.3">
      <c r="A3777" t="str">
        <f t="shared" si="1744"/>
        <v>05/12/2020 14:47:47.846</v>
      </c>
      <c r="C3777" t="str">
        <f t="shared" si="1727"/>
        <v>FFDFD3C0</v>
      </c>
      <c r="D3777" t="s">
        <v>131</v>
      </c>
      <c r="E3777">
        <v>12</v>
      </c>
      <c r="F3777">
        <v>2012</v>
      </c>
      <c r="G3777" t="s">
        <v>137</v>
      </c>
      <c r="J3777" t="s">
        <v>133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 t="shared" si="1745"/>
        <v>14:48:05.672</v>
      </c>
      <c r="T3777" t="str">
        <f t="shared" si="1746"/>
        <v>14:48:05.372</v>
      </c>
      <c r="U3777" t="str">
        <f t="shared" si="1720"/>
        <v>A9808D</v>
      </c>
      <c r="V3777">
        <v>0</v>
      </c>
      <c r="W3777">
        <v>0</v>
      </c>
      <c r="X3777">
        <v>1</v>
      </c>
      <c r="Z3777">
        <v>0</v>
      </c>
      <c r="AA3777">
        <v>9</v>
      </c>
      <c r="AB3777">
        <v>3</v>
      </c>
      <c r="AC3777">
        <v>0</v>
      </c>
      <c r="AD3777">
        <v>10</v>
      </c>
      <c r="AE3777">
        <v>0</v>
      </c>
      <c r="AF3777">
        <v>3</v>
      </c>
      <c r="AG3777">
        <v>2</v>
      </c>
      <c r="AH3777">
        <v>0</v>
      </c>
      <c r="AI3777" t="s">
        <v>870</v>
      </c>
      <c r="AJ3777">
        <v>28.271619999999999</v>
      </c>
      <c r="AK3777" t="s">
        <v>873</v>
      </c>
      <c r="AL3777">
        <v>-82.274122000000006</v>
      </c>
      <c r="AM3777">
        <v>100</v>
      </c>
      <c r="AN3777">
        <v>2200</v>
      </c>
      <c r="AO3777" t="s">
        <v>118</v>
      </c>
      <c r="AP3777">
        <v>-149</v>
      </c>
      <c r="AQ3777">
        <v>-1</v>
      </c>
      <c r="AR3777">
        <v>-64</v>
      </c>
      <c r="AZ3777">
        <v>1200</v>
      </c>
      <c r="BA3777">
        <v>1</v>
      </c>
      <c r="BB3777" t="str">
        <f t="shared" si="1728"/>
        <v xml:space="preserve">N711JA  </v>
      </c>
      <c r="BC3777">
        <v>1</v>
      </c>
      <c r="BE3777">
        <v>0</v>
      </c>
      <c r="BF3777">
        <v>0</v>
      </c>
      <c r="BG3777">
        <v>0</v>
      </c>
      <c r="BH3777">
        <v>2225</v>
      </c>
      <c r="BI3777">
        <v>1</v>
      </c>
      <c r="BJ3777">
        <v>1</v>
      </c>
      <c r="BK3777">
        <v>0</v>
      </c>
      <c r="BL3777">
        <v>0</v>
      </c>
      <c r="BO3777">
        <v>0</v>
      </c>
      <c r="BP3777">
        <v>0</v>
      </c>
      <c r="BW3777" t="str">
        <f t="shared" si="1747"/>
        <v>14:48:05.679</v>
      </c>
      <c r="CJ3777">
        <v>0</v>
      </c>
      <c r="CK3777">
        <v>2</v>
      </c>
      <c r="CL3777">
        <v>0</v>
      </c>
      <c r="CM3777">
        <v>2</v>
      </c>
      <c r="CN3777">
        <v>0</v>
      </c>
      <c r="CO3777">
        <v>7</v>
      </c>
      <c r="CP3777" t="s">
        <v>119</v>
      </c>
      <c r="CQ3777">
        <v>8</v>
      </c>
      <c r="CR3777">
        <v>3</v>
      </c>
      <c r="CW3777">
        <v>9075673</v>
      </c>
      <c r="CY3777">
        <v>1</v>
      </c>
      <c r="CZ3777">
        <v>0</v>
      </c>
      <c r="DA3777">
        <v>1</v>
      </c>
      <c r="DB3777">
        <v>0</v>
      </c>
      <c r="DC3777">
        <v>0</v>
      </c>
      <c r="DD3777">
        <v>1</v>
      </c>
      <c r="DE3777">
        <v>0</v>
      </c>
      <c r="DF3777">
        <v>0</v>
      </c>
      <c r="DG3777">
        <v>0</v>
      </c>
      <c r="DH3777">
        <v>0</v>
      </c>
      <c r="DI3777">
        <v>0</v>
      </c>
    </row>
    <row r="3778" spans="1:113" x14ac:dyDescent="0.3">
      <c r="A3778" t="str">
        <f t="shared" si="1744"/>
        <v>05/12/2020 14:47:47.846</v>
      </c>
      <c r="C3778" t="str">
        <f t="shared" si="1727"/>
        <v>FFDFD3C0</v>
      </c>
      <c r="D3778" t="s">
        <v>131</v>
      </c>
      <c r="E3778">
        <v>18</v>
      </c>
      <c r="F3778">
        <v>2018</v>
      </c>
      <c r="G3778" t="s">
        <v>161</v>
      </c>
      <c r="J3778" t="s">
        <v>133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 t="shared" si="1745"/>
        <v>14:48:05.672</v>
      </c>
      <c r="T3778" t="str">
        <f t="shared" si="1746"/>
        <v>14:48:05.372</v>
      </c>
      <c r="U3778" t="str">
        <f t="shared" ref="U3778:U3841" si="1748">"A9808D"</f>
        <v>A9808D</v>
      </c>
      <c r="V3778">
        <v>0</v>
      </c>
      <c r="W3778">
        <v>0</v>
      </c>
      <c r="X3778">
        <v>1</v>
      </c>
      <c r="Z3778">
        <v>0</v>
      </c>
      <c r="AA3778">
        <v>9</v>
      </c>
      <c r="AB3778">
        <v>3</v>
      </c>
      <c r="AC3778">
        <v>0</v>
      </c>
      <c r="AD3778">
        <v>10</v>
      </c>
      <c r="AE3778">
        <v>0</v>
      </c>
      <c r="AF3778">
        <v>3</v>
      </c>
      <c r="AG3778">
        <v>2</v>
      </c>
      <c r="AH3778">
        <v>0</v>
      </c>
      <c r="AI3778" t="s">
        <v>870</v>
      </c>
      <c r="AJ3778">
        <v>28.271619999999999</v>
      </c>
      <c r="AK3778" t="s">
        <v>873</v>
      </c>
      <c r="AL3778">
        <v>-82.274122000000006</v>
      </c>
      <c r="AM3778">
        <v>100</v>
      </c>
      <c r="AN3778">
        <v>2200</v>
      </c>
      <c r="AO3778" t="s">
        <v>118</v>
      </c>
      <c r="AP3778">
        <v>-149</v>
      </c>
      <c r="AQ3778">
        <v>-1</v>
      </c>
      <c r="AR3778">
        <v>-64</v>
      </c>
      <c r="AZ3778">
        <v>1200</v>
      </c>
      <c r="BA3778">
        <v>1</v>
      </c>
      <c r="BB3778" t="str">
        <f t="shared" si="1728"/>
        <v xml:space="preserve">N711JA  </v>
      </c>
      <c r="BC3778">
        <v>1</v>
      </c>
      <c r="BE3778">
        <v>0</v>
      </c>
      <c r="BF3778">
        <v>0</v>
      </c>
      <c r="BG3778">
        <v>0</v>
      </c>
      <c r="BH3778">
        <v>2225</v>
      </c>
      <c r="BI3778">
        <v>1</v>
      </c>
      <c r="BJ3778">
        <v>1</v>
      </c>
      <c r="BK3778">
        <v>0</v>
      </c>
      <c r="BL3778">
        <v>0</v>
      </c>
      <c r="BO3778">
        <v>0</v>
      </c>
      <c r="BP3778">
        <v>0</v>
      </c>
      <c r="BW3778" t="str">
        <f t="shared" si="1747"/>
        <v>14:48:05.679</v>
      </c>
      <c r="CJ3778">
        <v>0</v>
      </c>
      <c r="CK3778">
        <v>2</v>
      </c>
      <c r="CL3778">
        <v>0</v>
      </c>
      <c r="CM3778">
        <v>2</v>
      </c>
      <c r="CN3778">
        <v>0</v>
      </c>
      <c r="CO3778">
        <v>3</v>
      </c>
      <c r="CP3778" t="s">
        <v>119</v>
      </c>
      <c r="CQ3778">
        <v>62</v>
      </c>
      <c r="CR3778">
        <v>1</v>
      </c>
      <c r="CW3778">
        <v>12965290</v>
      </c>
      <c r="CY3778">
        <v>1</v>
      </c>
      <c r="CZ3778">
        <v>0</v>
      </c>
      <c r="DA3778">
        <v>1</v>
      </c>
      <c r="DB3778">
        <v>0</v>
      </c>
      <c r="DC3778">
        <v>0</v>
      </c>
      <c r="DD3778">
        <v>1</v>
      </c>
      <c r="DE3778">
        <v>0</v>
      </c>
      <c r="DF3778">
        <v>0</v>
      </c>
      <c r="DG3778">
        <v>0</v>
      </c>
      <c r="DH3778">
        <v>0</v>
      </c>
      <c r="DI3778">
        <v>0</v>
      </c>
    </row>
    <row r="3779" spans="1:113" x14ac:dyDescent="0.3">
      <c r="A3779" t="str">
        <f t="shared" si="1744"/>
        <v>05/12/2020 14:47:47.846</v>
      </c>
      <c r="C3779" t="str">
        <f t="shared" si="1727"/>
        <v>FFDFD3C0</v>
      </c>
      <c r="D3779" t="s">
        <v>138</v>
      </c>
      <c r="E3779">
        <v>2</v>
      </c>
      <c r="H3779">
        <v>8</v>
      </c>
      <c r="I3779" t="s">
        <v>139</v>
      </c>
      <c r="J3779" t="s">
        <v>136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 t="shared" si="1745"/>
        <v>14:48:05.672</v>
      </c>
      <c r="T3779" t="str">
        <f t="shared" si="1746"/>
        <v>14:48:05.372</v>
      </c>
      <c r="U3779" t="str">
        <f t="shared" si="1748"/>
        <v>A9808D</v>
      </c>
      <c r="V3779">
        <v>0</v>
      </c>
      <c r="W3779">
        <v>0</v>
      </c>
      <c r="X3779">
        <v>1</v>
      </c>
      <c r="Z3779">
        <v>0</v>
      </c>
      <c r="AA3779">
        <v>9</v>
      </c>
      <c r="AB3779">
        <v>3</v>
      </c>
      <c r="AC3779">
        <v>0</v>
      </c>
      <c r="AD3779">
        <v>10</v>
      </c>
      <c r="AE3779">
        <v>0</v>
      </c>
      <c r="AF3779">
        <v>3</v>
      </c>
      <c r="AG3779">
        <v>2</v>
      </c>
      <c r="AH3779">
        <v>0</v>
      </c>
      <c r="AI3779" t="s">
        <v>870</v>
      </c>
      <c r="AJ3779">
        <v>28.271619999999999</v>
      </c>
      <c r="AK3779" t="s">
        <v>873</v>
      </c>
      <c r="AL3779">
        <v>-82.274122000000006</v>
      </c>
      <c r="AM3779">
        <v>100</v>
      </c>
      <c r="AN3779">
        <v>2200</v>
      </c>
      <c r="AO3779" t="s">
        <v>118</v>
      </c>
      <c r="AP3779">
        <v>-149</v>
      </c>
      <c r="AQ3779">
        <v>-1</v>
      </c>
      <c r="AR3779">
        <v>-64</v>
      </c>
      <c r="AZ3779">
        <v>1200</v>
      </c>
      <c r="BA3779">
        <v>1</v>
      </c>
      <c r="BB3779" t="str">
        <f t="shared" si="1728"/>
        <v xml:space="preserve">N711JA  </v>
      </c>
      <c r="BC3779">
        <v>1</v>
      </c>
      <c r="BE3779">
        <v>0</v>
      </c>
      <c r="BF3779">
        <v>0</v>
      </c>
      <c r="BG3779">
        <v>0</v>
      </c>
      <c r="BH3779">
        <v>2225</v>
      </c>
      <c r="BI3779">
        <v>1</v>
      </c>
      <c r="BJ3779">
        <v>1</v>
      </c>
      <c r="BK3779">
        <v>0</v>
      </c>
      <c r="BL3779">
        <v>0</v>
      </c>
      <c r="BO3779">
        <v>0</v>
      </c>
      <c r="BP3779">
        <v>0</v>
      </c>
      <c r="BW3779" t="str">
        <f t="shared" si="1747"/>
        <v>14:48:05.679</v>
      </c>
      <c r="CJ3779">
        <v>0</v>
      </c>
      <c r="CK3779">
        <v>2</v>
      </c>
      <c r="CL3779">
        <v>0</v>
      </c>
      <c r="CM3779">
        <v>2</v>
      </c>
      <c r="CN3779">
        <v>0</v>
      </c>
      <c r="CO3779">
        <v>7</v>
      </c>
      <c r="CP3779" t="s">
        <v>119</v>
      </c>
      <c r="CQ3779">
        <v>8</v>
      </c>
      <c r="CR3779">
        <v>3</v>
      </c>
      <c r="CW3779">
        <v>9075673</v>
      </c>
      <c r="CY3779">
        <v>1</v>
      </c>
      <c r="CZ3779">
        <v>0</v>
      </c>
      <c r="DA3779">
        <v>1</v>
      </c>
      <c r="DB3779">
        <v>0</v>
      </c>
      <c r="DC3779">
        <v>0</v>
      </c>
      <c r="DD3779">
        <v>1</v>
      </c>
      <c r="DE3779">
        <v>0</v>
      </c>
      <c r="DF3779">
        <v>0</v>
      </c>
      <c r="DG3779">
        <v>0</v>
      </c>
      <c r="DH3779">
        <v>0</v>
      </c>
      <c r="DI3779">
        <v>0</v>
      </c>
    </row>
    <row r="3780" spans="1:113" x14ac:dyDescent="0.3">
      <c r="A3780" t="str">
        <f t="shared" si="1744"/>
        <v>05/12/2020 14:47:47.846</v>
      </c>
      <c r="C3780" t="str">
        <f t="shared" si="1727"/>
        <v>FFDFD3C0</v>
      </c>
      <c r="D3780" t="s">
        <v>138</v>
      </c>
      <c r="E3780">
        <v>3</v>
      </c>
      <c r="H3780">
        <v>9</v>
      </c>
      <c r="I3780" t="s">
        <v>140</v>
      </c>
      <c r="J3780" t="s">
        <v>136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 t="shared" si="1745"/>
        <v>14:48:05.672</v>
      </c>
      <c r="T3780" t="str">
        <f t="shared" si="1746"/>
        <v>14:48:05.372</v>
      </c>
      <c r="U3780" t="str">
        <f t="shared" si="1748"/>
        <v>A9808D</v>
      </c>
      <c r="V3780">
        <v>0</v>
      </c>
      <c r="W3780">
        <v>0</v>
      </c>
      <c r="X3780">
        <v>1</v>
      </c>
      <c r="Z3780">
        <v>0</v>
      </c>
      <c r="AA3780">
        <v>9</v>
      </c>
      <c r="AB3780">
        <v>3</v>
      </c>
      <c r="AC3780">
        <v>0</v>
      </c>
      <c r="AD3780">
        <v>10</v>
      </c>
      <c r="AE3780">
        <v>0</v>
      </c>
      <c r="AF3780">
        <v>3</v>
      </c>
      <c r="AG3780">
        <v>2</v>
      </c>
      <c r="AH3780">
        <v>0</v>
      </c>
      <c r="AI3780" t="s">
        <v>870</v>
      </c>
      <c r="AJ3780">
        <v>28.271619999999999</v>
      </c>
      <c r="AK3780" t="s">
        <v>873</v>
      </c>
      <c r="AL3780">
        <v>-82.274122000000006</v>
      </c>
      <c r="AM3780">
        <v>100</v>
      </c>
      <c r="AN3780">
        <v>2200</v>
      </c>
      <c r="AO3780" t="s">
        <v>118</v>
      </c>
      <c r="AP3780">
        <v>-149</v>
      </c>
      <c r="AQ3780">
        <v>-1</v>
      </c>
      <c r="AR3780">
        <v>-64</v>
      </c>
      <c r="AZ3780">
        <v>1200</v>
      </c>
      <c r="BA3780">
        <v>1</v>
      </c>
      <c r="BB3780" t="str">
        <f t="shared" si="1728"/>
        <v xml:space="preserve">N711JA  </v>
      </c>
      <c r="BC3780">
        <v>1</v>
      </c>
      <c r="BE3780">
        <v>0</v>
      </c>
      <c r="BF3780">
        <v>0</v>
      </c>
      <c r="BG3780">
        <v>0</v>
      </c>
      <c r="BH3780">
        <v>2225</v>
      </c>
      <c r="BI3780">
        <v>1</v>
      </c>
      <c r="BJ3780">
        <v>1</v>
      </c>
      <c r="BK3780">
        <v>0</v>
      </c>
      <c r="BL3780">
        <v>0</v>
      </c>
      <c r="BO3780">
        <v>0</v>
      </c>
      <c r="BP3780">
        <v>0</v>
      </c>
      <c r="BW3780" t="str">
        <f t="shared" si="1747"/>
        <v>14:48:05.679</v>
      </c>
      <c r="CJ3780">
        <v>0</v>
      </c>
      <c r="CK3780">
        <v>2</v>
      </c>
      <c r="CL3780">
        <v>0</v>
      </c>
      <c r="CM3780">
        <v>2</v>
      </c>
      <c r="CN3780">
        <v>0</v>
      </c>
      <c r="CO3780">
        <v>7</v>
      </c>
      <c r="CP3780" t="s">
        <v>119</v>
      </c>
      <c r="CQ3780">
        <v>8</v>
      </c>
      <c r="CR3780">
        <v>3</v>
      </c>
      <c r="CW3780">
        <v>9075673</v>
      </c>
      <c r="CY3780">
        <v>1</v>
      </c>
      <c r="CZ3780">
        <v>0</v>
      </c>
      <c r="DA3780">
        <v>1</v>
      </c>
      <c r="DB3780">
        <v>0</v>
      </c>
      <c r="DC3780">
        <v>0</v>
      </c>
      <c r="DD3780">
        <v>1</v>
      </c>
      <c r="DE3780">
        <v>0</v>
      </c>
      <c r="DF3780">
        <v>0</v>
      </c>
      <c r="DG3780">
        <v>0</v>
      </c>
      <c r="DH3780">
        <v>0</v>
      </c>
      <c r="DI3780">
        <v>0</v>
      </c>
    </row>
    <row r="3781" spans="1:113" x14ac:dyDescent="0.3">
      <c r="A3781" t="str">
        <f t="shared" ref="A3781:A3789" si="1749">"05/12/2020 14:47:48.756"</f>
        <v>05/12/2020 14:47:48.756</v>
      </c>
      <c r="C3781" t="str">
        <f t="shared" si="1727"/>
        <v>FFDFD3C0</v>
      </c>
      <c r="D3781" t="s">
        <v>126</v>
      </c>
      <c r="E3781">
        <v>7</v>
      </c>
      <c r="F3781">
        <v>1007</v>
      </c>
      <c r="G3781" t="s">
        <v>127</v>
      </c>
      <c r="J3781" t="s">
        <v>128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 t="shared" ref="S3781:S3789" si="1750">"14:48:06.594"</f>
        <v>14:48:06.594</v>
      </c>
      <c r="T3781" t="str">
        <f t="shared" ref="T3781:T3789" si="1751">"14:48:06.494"</f>
        <v>14:48:06.494</v>
      </c>
      <c r="U3781" t="str">
        <f t="shared" si="1748"/>
        <v>A9808D</v>
      </c>
      <c r="V3781">
        <v>0</v>
      </c>
      <c r="W3781">
        <v>0</v>
      </c>
      <c r="X3781">
        <v>1</v>
      </c>
      <c r="Z3781">
        <v>0</v>
      </c>
      <c r="AA3781">
        <v>9</v>
      </c>
      <c r="AB3781">
        <v>3</v>
      </c>
      <c r="AC3781">
        <v>0</v>
      </c>
      <c r="AD3781">
        <v>10</v>
      </c>
      <c r="AE3781">
        <v>0</v>
      </c>
      <c r="AF3781">
        <v>3</v>
      </c>
      <c r="AG3781">
        <v>2</v>
      </c>
      <c r="AH3781">
        <v>0</v>
      </c>
      <c r="AI3781" t="s">
        <v>867</v>
      </c>
      <c r="AJ3781">
        <v>28.271577000000001</v>
      </c>
      <c r="AK3781" t="s">
        <v>874</v>
      </c>
      <c r="AL3781">
        <v>-82.274916000000005</v>
      </c>
      <c r="AM3781">
        <v>100</v>
      </c>
      <c r="AN3781">
        <v>2200</v>
      </c>
      <c r="AO3781" t="s">
        <v>118</v>
      </c>
      <c r="AP3781">
        <v>-149</v>
      </c>
      <c r="AQ3781">
        <v>-3</v>
      </c>
      <c r="AR3781">
        <v>128</v>
      </c>
      <c r="AZ3781">
        <v>1200</v>
      </c>
      <c r="BA3781">
        <v>1</v>
      </c>
      <c r="BB3781" t="str">
        <f t="shared" si="1728"/>
        <v xml:space="preserve">N711JA  </v>
      </c>
      <c r="BC3781">
        <v>1</v>
      </c>
      <c r="BE3781">
        <v>0</v>
      </c>
      <c r="BF3781">
        <v>0</v>
      </c>
      <c r="BG3781">
        <v>0</v>
      </c>
      <c r="BH3781">
        <v>2225</v>
      </c>
      <c r="BI3781">
        <v>1</v>
      </c>
      <c r="BJ3781">
        <v>1</v>
      </c>
      <c r="BK3781">
        <v>0</v>
      </c>
      <c r="BL3781">
        <v>0</v>
      </c>
      <c r="BO3781">
        <v>0</v>
      </c>
      <c r="BP3781">
        <v>0</v>
      </c>
      <c r="BW3781" t="str">
        <f t="shared" ref="BW3781:BW3789" si="1752">"14:48:06.601"</f>
        <v>14:48:06.601</v>
      </c>
      <c r="CJ3781">
        <v>0</v>
      </c>
      <c r="CK3781">
        <v>2</v>
      </c>
      <c r="CL3781">
        <v>0</v>
      </c>
      <c r="CM3781">
        <v>2</v>
      </c>
      <c r="CN3781">
        <v>0</v>
      </c>
      <c r="CO3781">
        <v>7</v>
      </c>
      <c r="CP3781" t="s">
        <v>119</v>
      </c>
      <c r="CQ3781">
        <v>8</v>
      </c>
      <c r="CR3781">
        <v>3</v>
      </c>
      <c r="CW3781">
        <v>9076658</v>
      </c>
      <c r="CY3781">
        <v>1</v>
      </c>
      <c r="CZ3781">
        <v>0</v>
      </c>
      <c r="DA3781">
        <v>0</v>
      </c>
      <c r="DB3781">
        <v>0</v>
      </c>
      <c r="DC3781">
        <v>0</v>
      </c>
      <c r="DD3781">
        <v>1</v>
      </c>
      <c r="DE3781">
        <v>0</v>
      </c>
      <c r="DF3781">
        <v>0</v>
      </c>
      <c r="DG3781">
        <v>0</v>
      </c>
      <c r="DH3781">
        <v>0</v>
      </c>
      <c r="DI3781">
        <v>0</v>
      </c>
    </row>
    <row r="3782" spans="1:113" x14ac:dyDescent="0.3">
      <c r="A3782" t="str">
        <f t="shared" si="1749"/>
        <v>05/12/2020 14:47:48.756</v>
      </c>
      <c r="C3782" t="str">
        <f t="shared" si="1727"/>
        <v>FFDFD3C0</v>
      </c>
      <c r="D3782" t="s">
        <v>134</v>
      </c>
      <c r="E3782">
        <v>12</v>
      </c>
      <c r="H3782">
        <v>64</v>
      </c>
      <c r="I3782" t="s">
        <v>135</v>
      </c>
      <c r="J3782" t="s">
        <v>136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 t="shared" si="1750"/>
        <v>14:48:06.594</v>
      </c>
      <c r="T3782" t="str">
        <f t="shared" si="1751"/>
        <v>14:48:06.494</v>
      </c>
      <c r="U3782" t="str">
        <f t="shared" si="1748"/>
        <v>A9808D</v>
      </c>
      <c r="V3782">
        <v>0</v>
      </c>
      <c r="W3782">
        <v>0</v>
      </c>
      <c r="X3782">
        <v>1</v>
      </c>
      <c r="Z3782">
        <v>0</v>
      </c>
      <c r="AA3782">
        <v>9</v>
      </c>
      <c r="AB3782">
        <v>3</v>
      </c>
      <c r="AC3782">
        <v>0</v>
      </c>
      <c r="AD3782">
        <v>10</v>
      </c>
      <c r="AE3782">
        <v>0</v>
      </c>
      <c r="AF3782">
        <v>3</v>
      </c>
      <c r="AG3782">
        <v>2</v>
      </c>
      <c r="AH3782">
        <v>0</v>
      </c>
      <c r="AI3782" t="s">
        <v>867</v>
      </c>
      <c r="AJ3782">
        <v>28.271577000000001</v>
      </c>
      <c r="AK3782" t="s">
        <v>874</v>
      </c>
      <c r="AL3782">
        <v>-82.274916000000005</v>
      </c>
      <c r="AM3782">
        <v>100</v>
      </c>
      <c r="AN3782">
        <v>2200</v>
      </c>
      <c r="AO3782" t="s">
        <v>118</v>
      </c>
      <c r="AP3782">
        <v>-149</v>
      </c>
      <c r="AQ3782">
        <v>-3</v>
      </c>
      <c r="AR3782">
        <v>128</v>
      </c>
      <c r="AZ3782">
        <v>1200</v>
      </c>
      <c r="BA3782">
        <v>1</v>
      </c>
      <c r="BB3782" t="str">
        <f t="shared" si="1728"/>
        <v xml:space="preserve">N711JA  </v>
      </c>
      <c r="BC3782">
        <v>1</v>
      </c>
      <c r="BE3782">
        <v>0</v>
      </c>
      <c r="BF3782">
        <v>0</v>
      </c>
      <c r="BG3782">
        <v>0</v>
      </c>
      <c r="BH3782">
        <v>2225</v>
      </c>
      <c r="BI3782">
        <v>1</v>
      </c>
      <c r="BJ3782">
        <v>1</v>
      </c>
      <c r="BK3782">
        <v>0</v>
      </c>
      <c r="BL3782">
        <v>0</v>
      </c>
      <c r="BO3782">
        <v>0</v>
      </c>
      <c r="BP3782">
        <v>0</v>
      </c>
      <c r="BW3782" t="str">
        <f t="shared" si="1752"/>
        <v>14:48:06.601</v>
      </c>
      <c r="CJ3782">
        <v>0</v>
      </c>
      <c r="CK3782">
        <v>2</v>
      </c>
      <c r="CL3782">
        <v>0</v>
      </c>
      <c r="CM3782">
        <v>2</v>
      </c>
      <c r="CN3782">
        <v>0</v>
      </c>
      <c r="CO3782">
        <v>7</v>
      </c>
      <c r="CP3782" t="s">
        <v>119</v>
      </c>
      <c r="CQ3782">
        <v>8</v>
      </c>
      <c r="CR3782">
        <v>3</v>
      </c>
      <c r="CW3782">
        <v>9076658</v>
      </c>
      <c r="CY3782">
        <v>1</v>
      </c>
      <c r="CZ3782">
        <v>0</v>
      </c>
      <c r="DA3782">
        <v>1</v>
      </c>
      <c r="DB3782">
        <v>0</v>
      </c>
      <c r="DC3782">
        <v>0</v>
      </c>
      <c r="DD3782">
        <v>1</v>
      </c>
      <c r="DE3782">
        <v>0</v>
      </c>
      <c r="DF3782">
        <v>0</v>
      </c>
      <c r="DG3782">
        <v>0</v>
      </c>
      <c r="DH3782">
        <v>0</v>
      </c>
      <c r="DI3782">
        <v>0</v>
      </c>
    </row>
    <row r="3783" spans="1:113" x14ac:dyDescent="0.3">
      <c r="A3783" t="str">
        <f t="shared" si="1749"/>
        <v>05/12/2020 14:47:48.756</v>
      </c>
      <c r="C3783" t="str">
        <f t="shared" si="1727"/>
        <v>FFDFD3C0</v>
      </c>
      <c r="D3783" t="s">
        <v>131</v>
      </c>
      <c r="E3783">
        <v>10</v>
      </c>
      <c r="F3783">
        <v>2010</v>
      </c>
      <c r="G3783" t="s">
        <v>132</v>
      </c>
      <c r="J3783" t="s">
        <v>133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 t="shared" si="1750"/>
        <v>14:48:06.594</v>
      </c>
      <c r="T3783" t="str">
        <f t="shared" si="1751"/>
        <v>14:48:06.494</v>
      </c>
      <c r="U3783" t="str">
        <f t="shared" si="1748"/>
        <v>A9808D</v>
      </c>
      <c r="V3783">
        <v>0</v>
      </c>
      <c r="W3783">
        <v>0</v>
      </c>
      <c r="X3783">
        <v>1</v>
      </c>
      <c r="Z3783">
        <v>0</v>
      </c>
      <c r="AA3783">
        <v>9</v>
      </c>
      <c r="AB3783">
        <v>3</v>
      </c>
      <c r="AC3783">
        <v>0</v>
      </c>
      <c r="AD3783">
        <v>10</v>
      </c>
      <c r="AE3783">
        <v>0</v>
      </c>
      <c r="AF3783">
        <v>3</v>
      </c>
      <c r="AG3783">
        <v>2</v>
      </c>
      <c r="AH3783">
        <v>0</v>
      </c>
      <c r="AI3783" t="s">
        <v>867</v>
      </c>
      <c r="AJ3783">
        <v>28.271577000000001</v>
      </c>
      <c r="AK3783" t="s">
        <v>874</v>
      </c>
      <c r="AL3783">
        <v>-82.274916000000005</v>
      </c>
      <c r="AM3783">
        <v>100</v>
      </c>
      <c r="AN3783">
        <v>2200</v>
      </c>
      <c r="AO3783" t="s">
        <v>118</v>
      </c>
      <c r="AP3783">
        <v>-149</v>
      </c>
      <c r="AQ3783">
        <v>-3</v>
      </c>
      <c r="AR3783">
        <v>128</v>
      </c>
      <c r="AZ3783">
        <v>1200</v>
      </c>
      <c r="BA3783">
        <v>1</v>
      </c>
      <c r="BB3783" t="str">
        <f t="shared" si="1728"/>
        <v xml:space="preserve">N711JA  </v>
      </c>
      <c r="BC3783">
        <v>1</v>
      </c>
      <c r="BE3783">
        <v>0</v>
      </c>
      <c r="BF3783">
        <v>0</v>
      </c>
      <c r="BG3783">
        <v>0</v>
      </c>
      <c r="BH3783">
        <v>2225</v>
      </c>
      <c r="BI3783">
        <v>1</v>
      </c>
      <c r="BJ3783">
        <v>1</v>
      </c>
      <c r="BK3783">
        <v>0</v>
      </c>
      <c r="BL3783">
        <v>0</v>
      </c>
      <c r="BO3783">
        <v>0</v>
      </c>
      <c r="BP3783">
        <v>0</v>
      </c>
      <c r="BW3783" t="str">
        <f t="shared" si="1752"/>
        <v>14:48:06.601</v>
      </c>
      <c r="CJ3783">
        <v>0</v>
      </c>
      <c r="CK3783">
        <v>2</v>
      </c>
      <c r="CL3783">
        <v>0</v>
      </c>
      <c r="CM3783">
        <v>2</v>
      </c>
      <c r="CN3783">
        <v>0</v>
      </c>
      <c r="CO3783">
        <v>7</v>
      </c>
      <c r="CP3783" t="s">
        <v>119</v>
      </c>
      <c r="CQ3783">
        <v>8</v>
      </c>
      <c r="CR3783">
        <v>3</v>
      </c>
      <c r="CW3783">
        <v>9076658</v>
      </c>
      <c r="CY3783">
        <v>1</v>
      </c>
      <c r="CZ3783">
        <v>0</v>
      </c>
      <c r="DA3783">
        <v>1</v>
      </c>
      <c r="DB3783">
        <v>0</v>
      </c>
      <c r="DC3783">
        <v>0</v>
      </c>
      <c r="DD3783">
        <v>1</v>
      </c>
      <c r="DE3783">
        <v>0</v>
      </c>
      <c r="DF3783">
        <v>0</v>
      </c>
      <c r="DG3783">
        <v>0</v>
      </c>
      <c r="DH3783">
        <v>0</v>
      </c>
      <c r="DI3783">
        <v>0</v>
      </c>
    </row>
    <row r="3784" spans="1:113" x14ac:dyDescent="0.3">
      <c r="A3784" t="str">
        <f t="shared" si="1749"/>
        <v>05/12/2020 14:47:48.756</v>
      </c>
      <c r="C3784" t="str">
        <f t="shared" si="1727"/>
        <v>FFDFD3C0</v>
      </c>
      <c r="D3784" t="s">
        <v>131</v>
      </c>
      <c r="E3784">
        <v>12</v>
      </c>
      <c r="F3784">
        <v>2012</v>
      </c>
      <c r="G3784" t="s">
        <v>137</v>
      </c>
      <c r="J3784" t="s">
        <v>133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 t="shared" si="1750"/>
        <v>14:48:06.594</v>
      </c>
      <c r="T3784" t="str">
        <f t="shared" si="1751"/>
        <v>14:48:06.494</v>
      </c>
      <c r="U3784" t="str">
        <f t="shared" si="1748"/>
        <v>A9808D</v>
      </c>
      <c r="V3784">
        <v>0</v>
      </c>
      <c r="W3784">
        <v>0</v>
      </c>
      <c r="X3784">
        <v>1</v>
      </c>
      <c r="Z3784">
        <v>0</v>
      </c>
      <c r="AA3784">
        <v>9</v>
      </c>
      <c r="AB3784">
        <v>3</v>
      </c>
      <c r="AC3784">
        <v>0</v>
      </c>
      <c r="AD3784">
        <v>10</v>
      </c>
      <c r="AE3784">
        <v>0</v>
      </c>
      <c r="AF3784">
        <v>3</v>
      </c>
      <c r="AG3784">
        <v>2</v>
      </c>
      <c r="AH3784">
        <v>0</v>
      </c>
      <c r="AI3784" t="s">
        <v>867</v>
      </c>
      <c r="AJ3784">
        <v>28.271577000000001</v>
      </c>
      <c r="AK3784" t="s">
        <v>874</v>
      </c>
      <c r="AL3784">
        <v>-82.274916000000005</v>
      </c>
      <c r="AM3784">
        <v>100</v>
      </c>
      <c r="AN3784">
        <v>2200</v>
      </c>
      <c r="AO3784" t="s">
        <v>118</v>
      </c>
      <c r="AP3784">
        <v>-149</v>
      </c>
      <c r="AQ3784">
        <v>-3</v>
      </c>
      <c r="AR3784">
        <v>128</v>
      </c>
      <c r="AZ3784">
        <v>1200</v>
      </c>
      <c r="BA3784">
        <v>1</v>
      </c>
      <c r="BB3784" t="str">
        <f t="shared" si="1728"/>
        <v xml:space="preserve">N711JA  </v>
      </c>
      <c r="BC3784">
        <v>1</v>
      </c>
      <c r="BE3784">
        <v>0</v>
      </c>
      <c r="BF3784">
        <v>0</v>
      </c>
      <c r="BG3784">
        <v>0</v>
      </c>
      <c r="BH3784">
        <v>2225</v>
      </c>
      <c r="BI3784">
        <v>1</v>
      </c>
      <c r="BJ3784">
        <v>1</v>
      </c>
      <c r="BK3784">
        <v>0</v>
      </c>
      <c r="BL3784">
        <v>0</v>
      </c>
      <c r="BO3784">
        <v>0</v>
      </c>
      <c r="BP3784">
        <v>0</v>
      </c>
      <c r="BW3784" t="str">
        <f t="shared" si="1752"/>
        <v>14:48:06.601</v>
      </c>
      <c r="CJ3784">
        <v>0</v>
      </c>
      <c r="CK3784">
        <v>2</v>
      </c>
      <c r="CL3784">
        <v>0</v>
      </c>
      <c r="CM3784">
        <v>2</v>
      </c>
      <c r="CN3784">
        <v>0</v>
      </c>
      <c r="CO3784">
        <v>7</v>
      </c>
      <c r="CP3784" t="s">
        <v>119</v>
      </c>
      <c r="CQ3784">
        <v>8</v>
      </c>
      <c r="CR3784">
        <v>3</v>
      </c>
      <c r="CW3784">
        <v>9076658</v>
      </c>
      <c r="CY3784">
        <v>1</v>
      </c>
      <c r="CZ3784">
        <v>0</v>
      </c>
      <c r="DA3784">
        <v>1</v>
      </c>
      <c r="DB3784">
        <v>0</v>
      </c>
      <c r="DC3784">
        <v>0</v>
      </c>
      <c r="DD3784">
        <v>1</v>
      </c>
      <c r="DE3784">
        <v>0</v>
      </c>
      <c r="DF3784">
        <v>0</v>
      </c>
      <c r="DG3784">
        <v>0</v>
      </c>
      <c r="DH3784">
        <v>0</v>
      </c>
      <c r="DI3784">
        <v>0</v>
      </c>
    </row>
    <row r="3785" spans="1:113" x14ac:dyDescent="0.3">
      <c r="A3785" t="str">
        <f t="shared" si="1749"/>
        <v>05/12/2020 14:47:48.756</v>
      </c>
      <c r="C3785" t="str">
        <f t="shared" si="1727"/>
        <v>FFDFD3C0</v>
      </c>
      <c r="D3785" t="s">
        <v>131</v>
      </c>
      <c r="E3785">
        <v>18</v>
      </c>
      <c r="F3785">
        <v>2018</v>
      </c>
      <c r="G3785" t="s">
        <v>161</v>
      </c>
      <c r="J3785" t="s">
        <v>133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 t="shared" si="1750"/>
        <v>14:48:06.594</v>
      </c>
      <c r="T3785" t="str">
        <f t="shared" si="1751"/>
        <v>14:48:06.494</v>
      </c>
      <c r="U3785" t="str">
        <f t="shared" si="1748"/>
        <v>A9808D</v>
      </c>
      <c r="V3785">
        <v>0</v>
      </c>
      <c r="W3785">
        <v>0</v>
      </c>
      <c r="X3785">
        <v>1</v>
      </c>
      <c r="Z3785">
        <v>0</v>
      </c>
      <c r="AA3785">
        <v>9</v>
      </c>
      <c r="AB3785">
        <v>3</v>
      </c>
      <c r="AC3785">
        <v>0</v>
      </c>
      <c r="AD3785">
        <v>10</v>
      </c>
      <c r="AE3785">
        <v>0</v>
      </c>
      <c r="AF3785">
        <v>3</v>
      </c>
      <c r="AG3785">
        <v>2</v>
      </c>
      <c r="AH3785">
        <v>0</v>
      </c>
      <c r="AI3785" t="s">
        <v>867</v>
      </c>
      <c r="AJ3785">
        <v>28.271577000000001</v>
      </c>
      <c r="AK3785" t="s">
        <v>874</v>
      </c>
      <c r="AL3785">
        <v>-82.274916000000005</v>
      </c>
      <c r="AM3785">
        <v>100</v>
      </c>
      <c r="AN3785">
        <v>2200</v>
      </c>
      <c r="AO3785" t="s">
        <v>118</v>
      </c>
      <c r="AP3785">
        <v>-149</v>
      </c>
      <c r="AQ3785">
        <v>-3</v>
      </c>
      <c r="AR3785">
        <v>128</v>
      </c>
      <c r="AZ3785">
        <v>1200</v>
      </c>
      <c r="BA3785">
        <v>1</v>
      </c>
      <c r="BB3785" t="str">
        <f t="shared" si="1728"/>
        <v xml:space="preserve">N711JA  </v>
      </c>
      <c r="BC3785">
        <v>1</v>
      </c>
      <c r="BE3785">
        <v>0</v>
      </c>
      <c r="BF3785">
        <v>0</v>
      </c>
      <c r="BG3785">
        <v>0</v>
      </c>
      <c r="BH3785">
        <v>2225</v>
      </c>
      <c r="BI3785">
        <v>1</v>
      </c>
      <c r="BJ3785">
        <v>1</v>
      </c>
      <c r="BK3785">
        <v>0</v>
      </c>
      <c r="BL3785">
        <v>0</v>
      </c>
      <c r="BO3785">
        <v>0</v>
      </c>
      <c r="BP3785">
        <v>0</v>
      </c>
      <c r="BW3785" t="str">
        <f t="shared" si="1752"/>
        <v>14:48:06.601</v>
      </c>
      <c r="CJ3785">
        <v>0</v>
      </c>
      <c r="CK3785">
        <v>2</v>
      </c>
      <c r="CL3785">
        <v>0</v>
      </c>
      <c r="CM3785">
        <v>2</v>
      </c>
      <c r="CN3785">
        <v>0</v>
      </c>
      <c r="CO3785">
        <v>2</v>
      </c>
      <c r="CP3785" t="s">
        <v>119</v>
      </c>
      <c r="CQ3785">
        <v>62</v>
      </c>
      <c r="CR3785">
        <v>2</v>
      </c>
      <c r="CW3785">
        <v>13785992</v>
      </c>
      <c r="CY3785">
        <v>1</v>
      </c>
      <c r="CZ3785">
        <v>0</v>
      </c>
      <c r="DA3785">
        <v>1</v>
      </c>
      <c r="DB3785">
        <v>0</v>
      </c>
      <c r="DC3785">
        <v>0</v>
      </c>
      <c r="DD3785">
        <v>1</v>
      </c>
      <c r="DE3785">
        <v>0</v>
      </c>
      <c r="DF3785">
        <v>0</v>
      </c>
      <c r="DG3785">
        <v>0</v>
      </c>
      <c r="DH3785">
        <v>0</v>
      </c>
      <c r="DI3785">
        <v>0</v>
      </c>
    </row>
    <row r="3786" spans="1:113" x14ac:dyDescent="0.3">
      <c r="A3786" t="str">
        <f t="shared" si="1749"/>
        <v>05/12/2020 14:47:48.756</v>
      </c>
      <c r="C3786" t="str">
        <f t="shared" si="1727"/>
        <v>FFDFD3C0</v>
      </c>
      <c r="D3786" t="s">
        <v>113</v>
      </c>
      <c r="E3786">
        <v>3</v>
      </c>
      <c r="H3786">
        <v>164</v>
      </c>
      <c r="I3786" t="s">
        <v>114</v>
      </c>
      <c r="J3786" t="s">
        <v>115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 t="shared" si="1750"/>
        <v>14:48:06.594</v>
      </c>
      <c r="T3786" t="str">
        <f t="shared" si="1751"/>
        <v>14:48:06.494</v>
      </c>
      <c r="U3786" t="str">
        <f t="shared" si="1748"/>
        <v>A9808D</v>
      </c>
      <c r="V3786">
        <v>0</v>
      </c>
      <c r="W3786">
        <v>0</v>
      </c>
      <c r="X3786">
        <v>1</v>
      </c>
      <c r="Z3786">
        <v>0</v>
      </c>
      <c r="AA3786">
        <v>9</v>
      </c>
      <c r="AB3786">
        <v>3</v>
      </c>
      <c r="AC3786">
        <v>0</v>
      </c>
      <c r="AD3786">
        <v>10</v>
      </c>
      <c r="AE3786">
        <v>0</v>
      </c>
      <c r="AF3786">
        <v>3</v>
      </c>
      <c r="AG3786">
        <v>2</v>
      </c>
      <c r="AH3786">
        <v>0</v>
      </c>
      <c r="AI3786" t="s">
        <v>867</v>
      </c>
      <c r="AJ3786">
        <v>28.271577000000001</v>
      </c>
      <c r="AK3786" t="s">
        <v>874</v>
      </c>
      <c r="AL3786">
        <v>-82.274916000000005</v>
      </c>
      <c r="AM3786">
        <v>100</v>
      </c>
      <c r="AN3786">
        <v>2200</v>
      </c>
      <c r="AO3786" t="s">
        <v>118</v>
      </c>
      <c r="AP3786">
        <v>-149</v>
      </c>
      <c r="AQ3786">
        <v>-3</v>
      </c>
      <c r="AR3786">
        <v>128</v>
      </c>
      <c r="AZ3786">
        <v>1200</v>
      </c>
      <c r="BA3786">
        <v>1</v>
      </c>
      <c r="BB3786" t="str">
        <f t="shared" si="1728"/>
        <v xml:space="preserve">N711JA  </v>
      </c>
      <c r="BC3786">
        <v>1</v>
      </c>
      <c r="BE3786">
        <v>0</v>
      </c>
      <c r="BF3786">
        <v>0</v>
      </c>
      <c r="BG3786">
        <v>0</v>
      </c>
      <c r="BH3786">
        <v>2225</v>
      </c>
      <c r="BI3786">
        <v>1</v>
      </c>
      <c r="BJ3786">
        <v>1</v>
      </c>
      <c r="BK3786">
        <v>0</v>
      </c>
      <c r="BL3786">
        <v>0</v>
      </c>
      <c r="BO3786">
        <v>0</v>
      </c>
      <c r="BP3786">
        <v>0</v>
      </c>
      <c r="BW3786" t="str">
        <f t="shared" si="1752"/>
        <v>14:48:06.601</v>
      </c>
      <c r="CJ3786">
        <v>0</v>
      </c>
      <c r="CK3786">
        <v>2</v>
      </c>
      <c r="CL3786">
        <v>0</v>
      </c>
      <c r="CM3786">
        <v>2</v>
      </c>
      <c r="CN3786">
        <v>0</v>
      </c>
      <c r="CO3786">
        <v>7</v>
      </c>
      <c r="CP3786" t="s">
        <v>119</v>
      </c>
      <c r="CQ3786">
        <v>8</v>
      </c>
      <c r="CR3786">
        <v>3</v>
      </c>
      <c r="CW3786">
        <v>9076658</v>
      </c>
      <c r="CY3786">
        <v>1</v>
      </c>
      <c r="CZ3786">
        <v>0</v>
      </c>
      <c r="DA3786">
        <v>1</v>
      </c>
      <c r="DB3786">
        <v>0</v>
      </c>
      <c r="DC3786">
        <v>0</v>
      </c>
      <c r="DD3786">
        <v>1</v>
      </c>
      <c r="DE3786">
        <v>0</v>
      </c>
      <c r="DF3786">
        <v>0</v>
      </c>
      <c r="DG3786">
        <v>0</v>
      </c>
      <c r="DH3786">
        <v>0</v>
      </c>
      <c r="DI3786">
        <v>0</v>
      </c>
    </row>
    <row r="3787" spans="1:113" x14ac:dyDescent="0.3">
      <c r="A3787" t="str">
        <f t="shared" si="1749"/>
        <v>05/12/2020 14:47:48.756</v>
      </c>
      <c r="C3787" t="str">
        <f t="shared" si="1727"/>
        <v>FFDFD3C0</v>
      </c>
      <c r="D3787" t="s">
        <v>126</v>
      </c>
      <c r="E3787">
        <v>6</v>
      </c>
      <c r="F3787">
        <v>1006</v>
      </c>
      <c r="G3787" t="s">
        <v>114</v>
      </c>
      <c r="J3787" t="s">
        <v>128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 t="shared" si="1750"/>
        <v>14:48:06.594</v>
      </c>
      <c r="T3787" t="str">
        <f t="shared" si="1751"/>
        <v>14:48:06.494</v>
      </c>
      <c r="U3787" t="str">
        <f t="shared" si="1748"/>
        <v>A9808D</v>
      </c>
      <c r="V3787">
        <v>0</v>
      </c>
      <c r="W3787">
        <v>0</v>
      </c>
      <c r="X3787">
        <v>1</v>
      </c>
      <c r="Z3787">
        <v>0</v>
      </c>
      <c r="AA3787">
        <v>9</v>
      </c>
      <c r="AB3787">
        <v>3</v>
      </c>
      <c r="AC3787">
        <v>0</v>
      </c>
      <c r="AD3787">
        <v>10</v>
      </c>
      <c r="AE3787">
        <v>0</v>
      </c>
      <c r="AF3787">
        <v>3</v>
      </c>
      <c r="AG3787">
        <v>2</v>
      </c>
      <c r="AH3787">
        <v>0</v>
      </c>
      <c r="AI3787" t="s">
        <v>867</v>
      </c>
      <c r="AJ3787">
        <v>28.271577000000001</v>
      </c>
      <c r="AK3787" t="s">
        <v>874</v>
      </c>
      <c r="AL3787">
        <v>-82.274916000000005</v>
      </c>
      <c r="AM3787">
        <v>100</v>
      </c>
      <c r="AN3787">
        <v>2200</v>
      </c>
      <c r="AO3787" t="s">
        <v>118</v>
      </c>
      <c r="AP3787">
        <v>-149</v>
      </c>
      <c r="AQ3787">
        <v>-3</v>
      </c>
      <c r="AR3787">
        <v>128</v>
      </c>
      <c r="AZ3787">
        <v>1200</v>
      </c>
      <c r="BA3787">
        <v>1</v>
      </c>
      <c r="BB3787" t="str">
        <f t="shared" si="1728"/>
        <v xml:space="preserve">N711JA  </v>
      </c>
      <c r="BC3787">
        <v>1</v>
      </c>
      <c r="BE3787">
        <v>0</v>
      </c>
      <c r="BF3787">
        <v>0</v>
      </c>
      <c r="BG3787">
        <v>0</v>
      </c>
      <c r="BH3787">
        <v>2225</v>
      </c>
      <c r="BI3787">
        <v>1</v>
      </c>
      <c r="BJ3787">
        <v>1</v>
      </c>
      <c r="BK3787">
        <v>0</v>
      </c>
      <c r="BL3787">
        <v>0</v>
      </c>
      <c r="BO3787">
        <v>0</v>
      </c>
      <c r="BP3787">
        <v>0</v>
      </c>
      <c r="BW3787" t="str">
        <f t="shared" si="1752"/>
        <v>14:48:06.601</v>
      </c>
      <c r="CJ3787">
        <v>0</v>
      </c>
      <c r="CK3787">
        <v>2</v>
      </c>
      <c r="CL3787">
        <v>0</v>
      </c>
      <c r="CM3787">
        <v>2</v>
      </c>
      <c r="CN3787">
        <v>0</v>
      </c>
      <c r="CO3787">
        <v>7</v>
      </c>
      <c r="CP3787" t="s">
        <v>119</v>
      </c>
      <c r="CQ3787">
        <v>8</v>
      </c>
      <c r="CR3787">
        <v>3</v>
      </c>
      <c r="CW3787">
        <v>9076658</v>
      </c>
      <c r="CY3787">
        <v>1</v>
      </c>
      <c r="CZ3787">
        <v>0</v>
      </c>
      <c r="DA3787">
        <v>1</v>
      </c>
      <c r="DB3787">
        <v>0</v>
      </c>
      <c r="DC3787">
        <v>0</v>
      </c>
      <c r="DD3787">
        <v>1</v>
      </c>
      <c r="DE3787">
        <v>0</v>
      </c>
      <c r="DF3787">
        <v>0</v>
      </c>
      <c r="DG3787">
        <v>0</v>
      </c>
      <c r="DH3787">
        <v>0</v>
      </c>
      <c r="DI3787">
        <v>0</v>
      </c>
    </row>
    <row r="3788" spans="1:113" x14ac:dyDescent="0.3">
      <c r="A3788" t="str">
        <f t="shared" si="1749"/>
        <v>05/12/2020 14:47:48.756</v>
      </c>
      <c r="C3788" t="str">
        <f t="shared" si="1727"/>
        <v>FFDFD3C0</v>
      </c>
      <c r="D3788" t="s">
        <v>138</v>
      </c>
      <c r="E3788">
        <v>2</v>
      </c>
      <c r="H3788">
        <v>8</v>
      </c>
      <c r="I3788" t="s">
        <v>139</v>
      </c>
      <c r="J3788" t="s">
        <v>136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 t="shared" si="1750"/>
        <v>14:48:06.594</v>
      </c>
      <c r="T3788" t="str">
        <f t="shared" si="1751"/>
        <v>14:48:06.494</v>
      </c>
      <c r="U3788" t="str">
        <f t="shared" si="1748"/>
        <v>A9808D</v>
      </c>
      <c r="V3788">
        <v>0</v>
      </c>
      <c r="W3788">
        <v>0</v>
      </c>
      <c r="X3788">
        <v>1</v>
      </c>
      <c r="Z3788">
        <v>0</v>
      </c>
      <c r="AA3788">
        <v>9</v>
      </c>
      <c r="AB3788">
        <v>3</v>
      </c>
      <c r="AC3788">
        <v>0</v>
      </c>
      <c r="AD3788">
        <v>10</v>
      </c>
      <c r="AE3788">
        <v>0</v>
      </c>
      <c r="AF3788">
        <v>3</v>
      </c>
      <c r="AG3788">
        <v>2</v>
      </c>
      <c r="AH3788">
        <v>0</v>
      </c>
      <c r="AI3788" t="s">
        <v>867</v>
      </c>
      <c r="AJ3788">
        <v>28.271577000000001</v>
      </c>
      <c r="AK3788" t="s">
        <v>874</v>
      </c>
      <c r="AL3788">
        <v>-82.274916000000005</v>
      </c>
      <c r="AM3788">
        <v>100</v>
      </c>
      <c r="AN3788">
        <v>2200</v>
      </c>
      <c r="AO3788" t="s">
        <v>118</v>
      </c>
      <c r="AP3788">
        <v>-149</v>
      </c>
      <c r="AQ3788">
        <v>-3</v>
      </c>
      <c r="AR3788">
        <v>128</v>
      </c>
      <c r="AZ3788">
        <v>1200</v>
      </c>
      <c r="BA3788">
        <v>1</v>
      </c>
      <c r="BB3788" t="str">
        <f t="shared" si="1728"/>
        <v xml:space="preserve">N711JA  </v>
      </c>
      <c r="BC3788">
        <v>1</v>
      </c>
      <c r="BE3788">
        <v>0</v>
      </c>
      <c r="BF3788">
        <v>0</v>
      </c>
      <c r="BG3788">
        <v>0</v>
      </c>
      <c r="BH3788">
        <v>2225</v>
      </c>
      <c r="BI3788">
        <v>1</v>
      </c>
      <c r="BJ3788">
        <v>1</v>
      </c>
      <c r="BK3788">
        <v>0</v>
      </c>
      <c r="BL3788">
        <v>0</v>
      </c>
      <c r="BO3788">
        <v>0</v>
      </c>
      <c r="BP3788">
        <v>0</v>
      </c>
      <c r="BW3788" t="str">
        <f t="shared" si="1752"/>
        <v>14:48:06.601</v>
      </c>
      <c r="CJ3788">
        <v>0</v>
      </c>
      <c r="CK3788">
        <v>2</v>
      </c>
      <c r="CL3788">
        <v>0</v>
      </c>
      <c r="CM3788">
        <v>2</v>
      </c>
      <c r="CN3788">
        <v>0</v>
      </c>
      <c r="CO3788">
        <v>7</v>
      </c>
      <c r="CP3788" t="s">
        <v>119</v>
      </c>
      <c r="CQ3788">
        <v>8</v>
      </c>
      <c r="CR3788">
        <v>3</v>
      </c>
      <c r="CW3788">
        <v>9076658</v>
      </c>
      <c r="CY3788">
        <v>1</v>
      </c>
      <c r="CZ3788">
        <v>0</v>
      </c>
      <c r="DA3788">
        <v>1</v>
      </c>
      <c r="DB3788">
        <v>0</v>
      </c>
      <c r="DC3788">
        <v>0</v>
      </c>
      <c r="DD3788">
        <v>1</v>
      </c>
      <c r="DE3788">
        <v>0</v>
      </c>
      <c r="DF3788">
        <v>0</v>
      </c>
      <c r="DG3788">
        <v>0</v>
      </c>
      <c r="DH3788">
        <v>0</v>
      </c>
      <c r="DI3788">
        <v>0</v>
      </c>
    </row>
    <row r="3789" spans="1:113" x14ac:dyDescent="0.3">
      <c r="A3789" t="str">
        <f t="shared" si="1749"/>
        <v>05/12/2020 14:47:48.756</v>
      </c>
      <c r="C3789" t="str">
        <f t="shared" si="1727"/>
        <v>FFDFD3C0</v>
      </c>
      <c r="D3789" t="s">
        <v>138</v>
      </c>
      <c r="E3789">
        <v>3</v>
      </c>
      <c r="H3789">
        <v>9</v>
      </c>
      <c r="I3789" t="s">
        <v>140</v>
      </c>
      <c r="J3789" t="s">
        <v>136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 t="shared" si="1750"/>
        <v>14:48:06.594</v>
      </c>
      <c r="T3789" t="str">
        <f t="shared" si="1751"/>
        <v>14:48:06.494</v>
      </c>
      <c r="U3789" t="str">
        <f t="shared" si="1748"/>
        <v>A9808D</v>
      </c>
      <c r="V3789">
        <v>0</v>
      </c>
      <c r="W3789">
        <v>0</v>
      </c>
      <c r="X3789">
        <v>1</v>
      </c>
      <c r="Z3789">
        <v>0</v>
      </c>
      <c r="AA3789">
        <v>9</v>
      </c>
      <c r="AB3789">
        <v>3</v>
      </c>
      <c r="AC3789">
        <v>0</v>
      </c>
      <c r="AD3789">
        <v>10</v>
      </c>
      <c r="AE3789">
        <v>0</v>
      </c>
      <c r="AF3789">
        <v>3</v>
      </c>
      <c r="AG3789">
        <v>2</v>
      </c>
      <c r="AH3789">
        <v>0</v>
      </c>
      <c r="AI3789" t="s">
        <v>867</v>
      </c>
      <c r="AJ3789">
        <v>28.271577000000001</v>
      </c>
      <c r="AK3789" t="s">
        <v>874</v>
      </c>
      <c r="AL3789">
        <v>-82.274916000000005</v>
      </c>
      <c r="AM3789">
        <v>100</v>
      </c>
      <c r="AN3789">
        <v>2200</v>
      </c>
      <c r="AO3789" t="s">
        <v>118</v>
      </c>
      <c r="AP3789">
        <v>-149</v>
      </c>
      <c r="AQ3789">
        <v>-3</v>
      </c>
      <c r="AR3789">
        <v>128</v>
      </c>
      <c r="AZ3789">
        <v>1200</v>
      </c>
      <c r="BA3789">
        <v>1</v>
      </c>
      <c r="BB3789" t="str">
        <f t="shared" si="1728"/>
        <v xml:space="preserve">N711JA  </v>
      </c>
      <c r="BC3789">
        <v>1</v>
      </c>
      <c r="BE3789">
        <v>0</v>
      </c>
      <c r="BF3789">
        <v>0</v>
      </c>
      <c r="BG3789">
        <v>0</v>
      </c>
      <c r="BH3789">
        <v>2225</v>
      </c>
      <c r="BI3789">
        <v>1</v>
      </c>
      <c r="BJ3789">
        <v>1</v>
      </c>
      <c r="BK3789">
        <v>0</v>
      </c>
      <c r="BL3789">
        <v>0</v>
      </c>
      <c r="BO3789">
        <v>0</v>
      </c>
      <c r="BP3789">
        <v>0</v>
      </c>
      <c r="BW3789" t="str">
        <f t="shared" si="1752"/>
        <v>14:48:06.601</v>
      </c>
      <c r="CJ3789">
        <v>0</v>
      </c>
      <c r="CK3789">
        <v>2</v>
      </c>
      <c r="CL3789">
        <v>0</v>
      </c>
      <c r="CM3789">
        <v>2</v>
      </c>
      <c r="CN3789">
        <v>0</v>
      </c>
      <c r="CO3789">
        <v>7</v>
      </c>
      <c r="CP3789" t="s">
        <v>119</v>
      </c>
      <c r="CQ3789">
        <v>8</v>
      </c>
      <c r="CR3789">
        <v>3</v>
      </c>
      <c r="CW3789">
        <v>9076658</v>
      </c>
      <c r="CY3789">
        <v>1</v>
      </c>
      <c r="CZ3789">
        <v>0</v>
      </c>
      <c r="DA3789">
        <v>1</v>
      </c>
      <c r="DB3789">
        <v>0</v>
      </c>
      <c r="DC3789">
        <v>0</v>
      </c>
      <c r="DD3789">
        <v>1</v>
      </c>
      <c r="DE3789">
        <v>0</v>
      </c>
      <c r="DF3789">
        <v>0</v>
      </c>
      <c r="DG3789">
        <v>0</v>
      </c>
      <c r="DH3789">
        <v>0</v>
      </c>
      <c r="DI3789">
        <v>0</v>
      </c>
    </row>
    <row r="3790" spans="1:113" x14ac:dyDescent="0.3">
      <c r="A3790" t="str">
        <f t="shared" ref="A3790:A3798" si="1753">"05/12/2020 14:47:49.612"</f>
        <v>05/12/2020 14:47:49.612</v>
      </c>
      <c r="C3790" t="str">
        <f t="shared" si="1727"/>
        <v>FFDFD3C0</v>
      </c>
      <c r="D3790" t="s">
        <v>131</v>
      </c>
      <c r="E3790">
        <v>10</v>
      </c>
      <c r="F3790">
        <v>2010</v>
      </c>
      <c r="G3790" t="s">
        <v>132</v>
      </c>
      <c r="J3790" t="s">
        <v>133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 t="shared" ref="S3790:T3798" si="1754">"14:48:07.445"</f>
        <v>14:48:07.445</v>
      </c>
      <c r="T3790" t="str">
        <f t="shared" si="1754"/>
        <v>14:48:07.445</v>
      </c>
      <c r="U3790" t="str">
        <f t="shared" si="1748"/>
        <v>A9808D</v>
      </c>
      <c r="V3790">
        <v>0</v>
      </c>
      <c r="W3790">
        <v>0</v>
      </c>
      <c r="X3790">
        <v>1</v>
      </c>
      <c r="Z3790">
        <v>0</v>
      </c>
      <c r="AA3790">
        <v>9</v>
      </c>
      <c r="AB3790">
        <v>3</v>
      </c>
      <c r="AC3790">
        <v>0</v>
      </c>
      <c r="AD3790">
        <v>10</v>
      </c>
      <c r="AE3790">
        <v>0</v>
      </c>
      <c r="AF3790">
        <v>3</v>
      </c>
      <c r="AG3790">
        <v>2</v>
      </c>
      <c r="AH3790">
        <v>0</v>
      </c>
      <c r="AI3790" t="s">
        <v>867</v>
      </c>
      <c r="AJ3790">
        <v>28.271577000000001</v>
      </c>
      <c r="AK3790" t="s">
        <v>875</v>
      </c>
      <c r="AL3790">
        <v>-82.275559999999999</v>
      </c>
      <c r="AM3790">
        <v>100</v>
      </c>
      <c r="AN3790">
        <v>2200</v>
      </c>
      <c r="AO3790" t="s">
        <v>118</v>
      </c>
      <c r="AP3790">
        <v>-149</v>
      </c>
      <c r="AQ3790">
        <v>-5</v>
      </c>
      <c r="AR3790">
        <v>256</v>
      </c>
      <c r="AZ3790">
        <v>1200</v>
      </c>
      <c r="BA3790">
        <v>1</v>
      </c>
      <c r="BB3790" t="str">
        <f t="shared" si="1728"/>
        <v xml:space="preserve">N711JA  </v>
      </c>
      <c r="BC3790">
        <v>1</v>
      </c>
      <c r="BE3790">
        <v>0</v>
      </c>
      <c r="BF3790">
        <v>0</v>
      </c>
      <c r="BG3790">
        <v>0</v>
      </c>
      <c r="BH3790">
        <v>2225</v>
      </c>
      <c r="BI3790">
        <v>1</v>
      </c>
      <c r="BJ3790">
        <v>1</v>
      </c>
      <c r="BK3790">
        <v>0</v>
      </c>
      <c r="BL3790">
        <v>0</v>
      </c>
      <c r="BO3790">
        <v>0</v>
      </c>
      <c r="BP3790">
        <v>0</v>
      </c>
      <c r="BW3790" t="str">
        <f t="shared" ref="BW3790:BW3798" si="1755">"14:48:07.451"</f>
        <v>14:48:07.451</v>
      </c>
      <c r="CJ3790">
        <v>0</v>
      </c>
      <c r="CK3790">
        <v>2</v>
      </c>
      <c r="CL3790">
        <v>0</v>
      </c>
      <c r="CM3790">
        <v>2</v>
      </c>
      <c r="CN3790">
        <v>0</v>
      </c>
      <c r="CO3790">
        <v>7</v>
      </c>
      <c r="CP3790" t="s">
        <v>119</v>
      </c>
      <c r="CQ3790">
        <v>8</v>
      </c>
      <c r="CR3790">
        <v>3</v>
      </c>
      <c r="CW3790">
        <v>9077585</v>
      </c>
      <c r="CY3790">
        <v>1</v>
      </c>
      <c r="CZ3790">
        <v>0</v>
      </c>
      <c r="DA3790">
        <v>0</v>
      </c>
      <c r="DB3790">
        <v>0</v>
      </c>
      <c r="DC3790">
        <v>0</v>
      </c>
      <c r="DD3790">
        <v>1</v>
      </c>
      <c r="DE3790">
        <v>0</v>
      </c>
      <c r="DF3790">
        <v>0</v>
      </c>
      <c r="DG3790">
        <v>0</v>
      </c>
      <c r="DH3790">
        <v>0</v>
      </c>
      <c r="DI3790">
        <v>0</v>
      </c>
    </row>
    <row r="3791" spans="1:113" x14ac:dyDescent="0.3">
      <c r="A3791" t="str">
        <f t="shared" si="1753"/>
        <v>05/12/2020 14:47:49.612</v>
      </c>
      <c r="C3791" t="str">
        <f t="shared" si="1727"/>
        <v>FFDFD3C0</v>
      </c>
      <c r="D3791" t="s">
        <v>131</v>
      </c>
      <c r="E3791">
        <v>12</v>
      </c>
      <c r="F3791">
        <v>2012</v>
      </c>
      <c r="G3791" t="s">
        <v>137</v>
      </c>
      <c r="J3791" t="s">
        <v>133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 t="shared" si="1754"/>
        <v>14:48:07.445</v>
      </c>
      <c r="T3791" t="str">
        <f t="shared" si="1754"/>
        <v>14:48:07.445</v>
      </c>
      <c r="U3791" t="str">
        <f t="shared" si="1748"/>
        <v>A9808D</v>
      </c>
      <c r="V3791">
        <v>0</v>
      </c>
      <c r="W3791">
        <v>0</v>
      </c>
      <c r="X3791">
        <v>1</v>
      </c>
      <c r="Z3791">
        <v>0</v>
      </c>
      <c r="AA3791">
        <v>9</v>
      </c>
      <c r="AB3791">
        <v>3</v>
      </c>
      <c r="AC3791">
        <v>0</v>
      </c>
      <c r="AD3791">
        <v>10</v>
      </c>
      <c r="AE3791">
        <v>0</v>
      </c>
      <c r="AF3791">
        <v>3</v>
      </c>
      <c r="AG3791">
        <v>2</v>
      </c>
      <c r="AH3791">
        <v>0</v>
      </c>
      <c r="AI3791" t="s">
        <v>867</v>
      </c>
      <c r="AJ3791">
        <v>28.271577000000001</v>
      </c>
      <c r="AK3791" t="s">
        <v>875</v>
      </c>
      <c r="AL3791">
        <v>-82.275559999999999</v>
      </c>
      <c r="AM3791">
        <v>100</v>
      </c>
      <c r="AN3791">
        <v>2200</v>
      </c>
      <c r="AO3791" t="s">
        <v>118</v>
      </c>
      <c r="AP3791">
        <v>-149</v>
      </c>
      <c r="AQ3791">
        <v>-5</v>
      </c>
      <c r="AR3791">
        <v>256</v>
      </c>
      <c r="AZ3791">
        <v>1200</v>
      </c>
      <c r="BA3791">
        <v>1</v>
      </c>
      <c r="BB3791" t="str">
        <f t="shared" si="1728"/>
        <v xml:space="preserve">N711JA  </v>
      </c>
      <c r="BC3791">
        <v>1</v>
      </c>
      <c r="BE3791">
        <v>0</v>
      </c>
      <c r="BF3791">
        <v>0</v>
      </c>
      <c r="BG3791">
        <v>0</v>
      </c>
      <c r="BH3791">
        <v>2225</v>
      </c>
      <c r="BI3791">
        <v>1</v>
      </c>
      <c r="BJ3791">
        <v>1</v>
      </c>
      <c r="BK3791">
        <v>0</v>
      </c>
      <c r="BL3791">
        <v>0</v>
      </c>
      <c r="BO3791">
        <v>0</v>
      </c>
      <c r="BP3791">
        <v>0</v>
      </c>
      <c r="BW3791" t="str">
        <f t="shared" si="1755"/>
        <v>14:48:07.451</v>
      </c>
      <c r="CJ3791">
        <v>0</v>
      </c>
      <c r="CK3791">
        <v>2</v>
      </c>
      <c r="CL3791">
        <v>0</v>
      </c>
      <c r="CM3791">
        <v>2</v>
      </c>
      <c r="CN3791">
        <v>0</v>
      </c>
      <c r="CO3791">
        <v>7</v>
      </c>
      <c r="CP3791" t="s">
        <v>119</v>
      </c>
      <c r="CQ3791">
        <v>8</v>
      </c>
      <c r="CR3791">
        <v>3</v>
      </c>
      <c r="CW3791">
        <v>9077585</v>
      </c>
      <c r="CY3791">
        <v>1</v>
      </c>
      <c r="CZ3791">
        <v>0</v>
      </c>
      <c r="DA3791">
        <v>1</v>
      </c>
      <c r="DB3791">
        <v>0</v>
      </c>
      <c r="DC3791">
        <v>0</v>
      </c>
      <c r="DD3791">
        <v>1</v>
      </c>
      <c r="DE3791">
        <v>0</v>
      </c>
      <c r="DF3791">
        <v>0</v>
      </c>
      <c r="DG3791">
        <v>0</v>
      </c>
      <c r="DH3791">
        <v>0</v>
      </c>
      <c r="DI3791">
        <v>0</v>
      </c>
    </row>
    <row r="3792" spans="1:113" x14ac:dyDescent="0.3">
      <c r="A3792" t="str">
        <f t="shared" si="1753"/>
        <v>05/12/2020 14:47:49.612</v>
      </c>
      <c r="C3792" t="str">
        <f t="shared" si="1727"/>
        <v>FFDFD3C0</v>
      </c>
      <c r="D3792" t="s">
        <v>131</v>
      </c>
      <c r="E3792">
        <v>18</v>
      </c>
      <c r="F3792">
        <v>2018</v>
      </c>
      <c r="G3792" t="s">
        <v>161</v>
      </c>
      <c r="J3792" t="s">
        <v>133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 t="shared" si="1754"/>
        <v>14:48:07.445</v>
      </c>
      <c r="T3792" t="str">
        <f t="shared" si="1754"/>
        <v>14:48:07.445</v>
      </c>
      <c r="U3792" t="str">
        <f t="shared" si="1748"/>
        <v>A9808D</v>
      </c>
      <c r="V3792">
        <v>0</v>
      </c>
      <c r="W3792">
        <v>0</v>
      </c>
      <c r="X3792">
        <v>1</v>
      </c>
      <c r="Z3792">
        <v>0</v>
      </c>
      <c r="AA3792">
        <v>9</v>
      </c>
      <c r="AB3792">
        <v>3</v>
      </c>
      <c r="AC3792">
        <v>0</v>
      </c>
      <c r="AD3792">
        <v>10</v>
      </c>
      <c r="AE3792">
        <v>0</v>
      </c>
      <c r="AF3792">
        <v>3</v>
      </c>
      <c r="AG3792">
        <v>2</v>
      </c>
      <c r="AH3792">
        <v>0</v>
      </c>
      <c r="AI3792" t="s">
        <v>867</v>
      </c>
      <c r="AJ3792">
        <v>28.271577000000001</v>
      </c>
      <c r="AK3792" t="s">
        <v>875</v>
      </c>
      <c r="AL3792">
        <v>-82.275559999999999</v>
      </c>
      <c r="AM3792">
        <v>100</v>
      </c>
      <c r="AN3792">
        <v>2200</v>
      </c>
      <c r="AO3792" t="s">
        <v>118</v>
      </c>
      <c r="AP3792">
        <v>-149</v>
      </c>
      <c r="AQ3792">
        <v>-5</v>
      </c>
      <c r="AR3792">
        <v>256</v>
      </c>
      <c r="AZ3792">
        <v>1200</v>
      </c>
      <c r="BA3792">
        <v>1</v>
      </c>
      <c r="BB3792" t="str">
        <f t="shared" si="1728"/>
        <v xml:space="preserve">N711JA  </v>
      </c>
      <c r="BC3792">
        <v>1</v>
      </c>
      <c r="BE3792">
        <v>0</v>
      </c>
      <c r="BF3792">
        <v>0</v>
      </c>
      <c r="BG3792">
        <v>0</v>
      </c>
      <c r="BH3792">
        <v>2225</v>
      </c>
      <c r="BI3792">
        <v>1</v>
      </c>
      <c r="BJ3792">
        <v>1</v>
      </c>
      <c r="BK3792">
        <v>0</v>
      </c>
      <c r="BL3792">
        <v>0</v>
      </c>
      <c r="BO3792">
        <v>0</v>
      </c>
      <c r="BP3792">
        <v>0</v>
      </c>
      <c r="BW3792" t="str">
        <f t="shared" si="1755"/>
        <v>14:48:07.451</v>
      </c>
      <c r="CJ3792">
        <v>0</v>
      </c>
      <c r="CK3792">
        <v>2</v>
      </c>
      <c r="CL3792">
        <v>0</v>
      </c>
      <c r="CM3792">
        <v>2</v>
      </c>
      <c r="CN3792">
        <v>0</v>
      </c>
      <c r="CO3792">
        <v>3</v>
      </c>
      <c r="CP3792" t="s">
        <v>119</v>
      </c>
      <c r="CQ3792">
        <v>62</v>
      </c>
      <c r="CR3792">
        <v>1</v>
      </c>
      <c r="CW3792">
        <v>12967285</v>
      </c>
      <c r="CY3792">
        <v>1</v>
      </c>
      <c r="CZ3792">
        <v>0</v>
      </c>
      <c r="DA3792">
        <v>1</v>
      </c>
      <c r="DB3792">
        <v>0</v>
      </c>
      <c r="DC3792">
        <v>0</v>
      </c>
      <c r="DD3792">
        <v>1</v>
      </c>
      <c r="DE3792">
        <v>0</v>
      </c>
      <c r="DF3792">
        <v>0</v>
      </c>
      <c r="DG3792">
        <v>0</v>
      </c>
      <c r="DH3792">
        <v>0</v>
      </c>
      <c r="DI3792">
        <v>0</v>
      </c>
    </row>
    <row r="3793" spans="1:113" x14ac:dyDescent="0.3">
      <c r="A3793" t="str">
        <f t="shared" si="1753"/>
        <v>05/12/2020 14:47:49.612</v>
      </c>
      <c r="C3793" t="str">
        <f t="shared" si="1727"/>
        <v>FFDFD3C0</v>
      </c>
      <c r="D3793" t="s">
        <v>126</v>
      </c>
      <c r="E3793">
        <v>6</v>
      </c>
      <c r="F3793">
        <v>1006</v>
      </c>
      <c r="G3793" t="s">
        <v>114</v>
      </c>
      <c r="J3793" t="s">
        <v>128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 t="shared" si="1754"/>
        <v>14:48:07.445</v>
      </c>
      <c r="T3793" t="str">
        <f t="shared" si="1754"/>
        <v>14:48:07.445</v>
      </c>
      <c r="U3793" t="str">
        <f t="shared" si="1748"/>
        <v>A9808D</v>
      </c>
      <c r="V3793">
        <v>0</v>
      </c>
      <c r="W3793">
        <v>0</v>
      </c>
      <c r="X3793">
        <v>1</v>
      </c>
      <c r="Z3793">
        <v>0</v>
      </c>
      <c r="AA3793">
        <v>9</v>
      </c>
      <c r="AB3793">
        <v>3</v>
      </c>
      <c r="AC3793">
        <v>0</v>
      </c>
      <c r="AD3793">
        <v>10</v>
      </c>
      <c r="AE3793">
        <v>0</v>
      </c>
      <c r="AF3793">
        <v>3</v>
      </c>
      <c r="AG3793">
        <v>2</v>
      </c>
      <c r="AH3793">
        <v>0</v>
      </c>
      <c r="AI3793" t="s">
        <v>867</v>
      </c>
      <c r="AJ3793">
        <v>28.271577000000001</v>
      </c>
      <c r="AK3793" t="s">
        <v>875</v>
      </c>
      <c r="AL3793">
        <v>-82.275559999999999</v>
      </c>
      <c r="AM3793">
        <v>100</v>
      </c>
      <c r="AN3793">
        <v>2200</v>
      </c>
      <c r="AO3793" t="s">
        <v>118</v>
      </c>
      <c r="AP3793">
        <v>-149</v>
      </c>
      <c r="AQ3793">
        <v>-5</v>
      </c>
      <c r="AR3793">
        <v>256</v>
      </c>
      <c r="AZ3793">
        <v>1200</v>
      </c>
      <c r="BA3793">
        <v>1</v>
      </c>
      <c r="BB3793" t="str">
        <f t="shared" si="1728"/>
        <v xml:space="preserve">N711JA  </v>
      </c>
      <c r="BC3793">
        <v>1</v>
      </c>
      <c r="BE3793">
        <v>0</v>
      </c>
      <c r="BF3793">
        <v>0</v>
      </c>
      <c r="BG3793">
        <v>0</v>
      </c>
      <c r="BH3793">
        <v>2225</v>
      </c>
      <c r="BI3793">
        <v>1</v>
      </c>
      <c r="BJ3793">
        <v>1</v>
      </c>
      <c r="BK3793">
        <v>0</v>
      </c>
      <c r="BL3793">
        <v>0</v>
      </c>
      <c r="BO3793">
        <v>0</v>
      </c>
      <c r="BP3793">
        <v>0</v>
      </c>
      <c r="BW3793" t="str">
        <f t="shared" si="1755"/>
        <v>14:48:07.451</v>
      </c>
      <c r="CJ3793">
        <v>0</v>
      </c>
      <c r="CK3793">
        <v>2</v>
      </c>
      <c r="CL3793">
        <v>0</v>
      </c>
      <c r="CM3793">
        <v>2</v>
      </c>
      <c r="CN3793">
        <v>0</v>
      </c>
      <c r="CO3793">
        <v>7</v>
      </c>
      <c r="CP3793" t="s">
        <v>119</v>
      </c>
      <c r="CQ3793">
        <v>8</v>
      </c>
      <c r="CR3793">
        <v>3</v>
      </c>
      <c r="CW3793">
        <v>9077585</v>
      </c>
      <c r="CY3793">
        <v>1</v>
      </c>
      <c r="CZ3793">
        <v>0</v>
      </c>
      <c r="DA3793">
        <v>1</v>
      </c>
      <c r="DB3793">
        <v>0</v>
      </c>
      <c r="DC3793">
        <v>0</v>
      </c>
      <c r="DD3793">
        <v>1</v>
      </c>
      <c r="DE3793">
        <v>0</v>
      </c>
      <c r="DF3793">
        <v>0</v>
      </c>
      <c r="DG3793">
        <v>0</v>
      </c>
      <c r="DH3793">
        <v>0</v>
      </c>
      <c r="DI3793">
        <v>0</v>
      </c>
    </row>
    <row r="3794" spans="1:113" x14ac:dyDescent="0.3">
      <c r="A3794" t="str">
        <f t="shared" si="1753"/>
        <v>05/12/2020 14:47:49.612</v>
      </c>
      <c r="C3794" t="str">
        <f t="shared" si="1727"/>
        <v>FFDFD3C0</v>
      </c>
      <c r="D3794" t="s">
        <v>134</v>
      </c>
      <c r="E3794">
        <v>12</v>
      </c>
      <c r="H3794">
        <v>64</v>
      </c>
      <c r="I3794" t="s">
        <v>135</v>
      </c>
      <c r="J3794" t="s">
        <v>136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 t="shared" si="1754"/>
        <v>14:48:07.445</v>
      </c>
      <c r="T3794" t="str">
        <f t="shared" si="1754"/>
        <v>14:48:07.445</v>
      </c>
      <c r="U3794" t="str">
        <f t="shared" si="1748"/>
        <v>A9808D</v>
      </c>
      <c r="V3794">
        <v>0</v>
      </c>
      <c r="W3794">
        <v>0</v>
      </c>
      <c r="X3794">
        <v>1</v>
      </c>
      <c r="Z3794">
        <v>0</v>
      </c>
      <c r="AA3794">
        <v>9</v>
      </c>
      <c r="AB3794">
        <v>3</v>
      </c>
      <c r="AC3794">
        <v>0</v>
      </c>
      <c r="AD3794">
        <v>10</v>
      </c>
      <c r="AE3794">
        <v>0</v>
      </c>
      <c r="AF3794">
        <v>3</v>
      </c>
      <c r="AG3794">
        <v>2</v>
      </c>
      <c r="AH3794">
        <v>0</v>
      </c>
      <c r="AI3794" t="s">
        <v>867</v>
      </c>
      <c r="AJ3794">
        <v>28.271577000000001</v>
      </c>
      <c r="AK3794" t="s">
        <v>875</v>
      </c>
      <c r="AL3794">
        <v>-82.275559999999999</v>
      </c>
      <c r="AM3794">
        <v>100</v>
      </c>
      <c r="AN3794">
        <v>2200</v>
      </c>
      <c r="AO3794" t="s">
        <v>118</v>
      </c>
      <c r="AP3794">
        <v>-149</v>
      </c>
      <c r="AQ3794">
        <v>-5</v>
      </c>
      <c r="AR3794">
        <v>256</v>
      </c>
      <c r="AZ3794">
        <v>1200</v>
      </c>
      <c r="BA3794">
        <v>1</v>
      </c>
      <c r="BB3794" t="str">
        <f t="shared" si="1728"/>
        <v xml:space="preserve">N711JA  </v>
      </c>
      <c r="BC3794">
        <v>1</v>
      </c>
      <c r="BE3794">
        <v>0</v>
      </c>
      <c r="BF3794">
        <v>0</v>
      </c>
      <c r="BG3794">
        <v>0</v>
      </c>
      <c r="BH3794">
        <v>2225</v>
      </c>
      <c r="BI3794">
        <v>1</v>
      </c>
      <c r="BJ3794">
        <v>1</v>
      </c>
      <c r="BK3794">
        <v>0</v>
      </c>
      <c r="BL3794">
        <v>0</v>
      </c>
      <c r="BO3794">
        <v>0</v>
      </c>
      <c r="BP3794">
        <v>0</v>
      </c>
      <c r="BW3794" t="str">
        <f t="shared" si="1755"/>
        <v>14:48:07.451</v>
      </c>
      <c r="CJ3794">
        <v>0</v>
      </c>
      <c r="CK3794">
        <v>2</v>
      </c>
      <c r="CL3794">
        <v>0</v>
      </c>
      <c r="CM3794">
        <v>2</v>
      </c>
      <c r="CN3794">
        <v>0</v>
      </c>
      <c r="CO3794">
        <v>7</v>
      </c>
      <c r="CP3794" t="s">
        <v>119</v>
      </c>
      <c r="CQ3794">
        <v>8</v>
      </c>
      <c r="CR3794">
        <v>3</v>
      </c>
      <c r="CW3794">
        <v>9077585</v>
      </c>
      <c r="CY3794">
        <v>1</v>
      </c>
      <c r="CZ3794">
        <v>0</v>
      </c>
      <c r="DA3794">
        <v>1</v>
      </c>
      <c r="DB3794">
        <v>0</v>
      </c>
      <c r="DC3794">
        <v>0</v>
      </c>
      <c r="DD3794">
        <v>1</v>
      </c>
      <c r="DE3794">
        <v>0</v>
      </c>
      <c r="DF3794">
        <v>0</v>
      </c>
      <c r="DG3794">
        <v>0</v>
      </c>
      <c r="DH3794">
        <v>0</v>
      </c>
      <c r="DI3794">
        <v>0</v>
      </c>
    </row>
    <row r="3795" spans="1:113" x14ac:dyDescent="0.3">
      <c r="A3795" t="str">
        <f t="shared" si="1753"/>
        <v>05/12/2020 14:47:49.612</v>
      </c>
      <c r="C3795" t="str">
        <f t="shared" si="1727"/>
        <v>FFDFD3C0</v>
      </c>
      <c r="D3795" t="s">
        <v>113</v>
      </c>
      <c r="E3795">
        <v>3</v>
      </c>
      <c r="H3795">
        <v>164</v>
      </c>
      <c r="I3795" t="s">
        <v>114</v>
      </c>
      <c r="J3795" t="s">
        <v>115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 t="shared" si="1754"/>
        <v>14:48:07.445</v>
      </c>
      <c r="T3795" t="str">
        <f t="shared" si="1754"/>
        <v>14:48:07.445</v>
      </c>
      <c r="U3795" t="str">
        <f t="shared" si="1748"/>
        <v>A9808D</v>
      </c>
      <c r="V3795">
        <v>0</v>
      </c>
      <c r="W3795">
        <v>0</v>
      </c>
      <c r="X3795">
        <v>1</v>
      </c>
      <c r="Z3795">
        <v>0</v>
      </c>
      <c r="AA3795">
        <v>9</v>
      </c>
      <c r="AB3795">
        <v>3</v>
      </c>
      <c r="AC3795">
        <v>0</v>
      </c>
      <c r="AD3795">
        <v>10</v>
      </c>
      <c r="AE3795">
        <v>0</v>
      </c>
      <c r="AF3795">
        <v>3</v>
      </c>
      <c r="AG3795">
        <v>2</v>
      </c>
      <c r="AH3795">
        <v>0</v>
      </c>
      <c r="AI3795" t="s">
        <v>867</v>
      </c>
      <c r="AJ3795">
        <v>28.271577000000001</v>
      </c>
      <c r="AK3795" t="s">
        <v>875</v>
      </c>
      <c r="AL3795">
        <v>-82.275559999999999</v>
      </c>
      <c r="AM3795">
        <v>100</v>
      </c>
      <c r="AN3795">
        <v>2200</v>
      </c>
      <c r="AO3795" t="s">
        <v>118</v>
      </c>
      <c r="AP3795">
        <v>-149</v>
      </c>
      <c r="AQ3795">
        <v>-5</v>
      </c>
      <c r="AR3795">
        <v>256</v>
      </c>
      <c r="AZ3795">
        <v>1200</v>
      </c>
      <c r="BA3795">
        <v>1</v>
      </c>
      <c r="BB3795" t="str">
        <f t="shared" si="1728"/>
        <v xml:space="preserve">N711JA  </v>
      </c>
      <c r="BC3795">
        <v>1</v>
      </c>
      <c r="BE3795">
        <v>0</v>
      </c>
      <c r="BF3795">
        <v>0</v>
      </c>
      <c r="BG3795">
        <v>0</v>
      </c>
      <c r="BH3795">
        <v>2225</v>
      </c>
      <c r="BI3795">
        <v>1</v>
      </c>
      <c r="BJ3795">
        <v>1</v>
      </c>
      <c r="BK3795">
        <v>0</v>
      </c>
      <c r="BL3795">
        <v>0</v>
      </c>
      <c r="BO3795">
        <v>0</v>
      </c>
      <c r="BP3795">
        <v>0</v>
      </c>
      <c r="BW3795" t="str">
        <f t="shared" si="1755"/>
        <v>14:48:07.451</v>
      </c>
      <c r="CJ3795">
        <v>0</v>
      </c>
      <c r="CK3795">
        <v>2</v>
      </c>
      <c r="CL3795">
        <v>0</v>
      </c>
      <c r="CM3795">
        <v>2</v>
      </c>
      <c r="CN3795">
        <v>0</v>
      </c>
      <c r="CO3795">
        <v>7</v>
      </c>
      <c r="CP3795" t="s">
        <v>119</v>
      </c>
      <c r="CQ3795">
        <v>8</v>
      </c>
      <c r="CR3795">
        <v>3</v>
      </c>
      <c r="CW3795">
        <v>9077585</v>
      </c>
      <c r="CY3795">
        <v>1</v>
      </c>
      <c r="CZ3795">
        <v>0</v>
      </c>
      <c r="DA3795">
        <v>1</v>
      </c>
      <c r="DB3795">
        <v>0</v>
      </c>
      <c r="DC3795">
        <v>0</v>
      </c>
      <c r="DD3795">
        <v>1</v>
      </c>
      <c r="DE3795">
        <v>0</v>
      </c>
      <c r="DF3795">
        <v>0</v>
      </c>
      <c r="DG3795">
        <v>0</v>
      </c>
      <c r="DH3795">
        <v>0</v>
      </c>
      <c r="DI3795">
        <v>0</v>
      </c>
    </row>
    <row r="3796" spans="1:113" x14ac:dyDescent="0.3">
      <c r="A3796" t="str">
        <f t="shared" si="1753"/>
        <v>05/12/2020 14:47:49.612</v>
      </c>
      <c r="C3796" t="str">
        <f t="shared" si="1727"/>
        <v>FFDFD3C0</v>
      </c>
      <c r="D3796" t="s">
        <v>138</v>
      </c>
      <c r="E3796">
        <v>2</v>
      </c>
      <c r="H3796">
        <v>8</v>
      </c>
      <c r="I3796" t="s">
        <v>139</v>
      </c>
      <c r="J3796" t="s">
        <v>136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 t="shared" si="1754"/>
        <v>14:48:07.445</v>
      </c>
      <c r="T3796" t="str">
        <f t="shared" si="1754"/>
        <v>14:48:07.445</v>
      </c>
      <c r="U3796" t="str">
        <f t="shared" si="1748"/>
        <v>A9808D</v>
      </c>
      <c r="V3796">
        <v>0</v>
      </c>
      <c r="W3796">
        <v>0</v>
      </c>
      <c r="X3796">
        <v>1</v>
      </c>
      <c r="Z3796">
        <v>0</v>
      </c>
      <c r="AA3796">
        <v>9</v>
      </c>
      <c r="AB3796">
        <v>3</v>
      </c>
      <c r="AC3796">
        <v>0</v>
      </c>
      <c r="AD3796">
        <v>10</v>
      </c>
      <c r="AE3796">
        <v>0</v>
      </c>
      <c r="AF3796">
        <v>3</v>
      </c>
      <c r="AG3796">
        <v>2</v>
      </c>
      <c r="AH3796">
        <v>0</v>
      </c>
      <c r="AI3796" t="s">
        <v>867</v>
      </c>
      <c r="AJ3796">
        <v>28.271577000000001</v>
      </c>
      <c r="AK3796" t="s">
        <v>875</v>
      </c>
      <c r="AL3796">
        <v>-82.275559999999999</v>
      </c>
      <c r="AM3796">
        <v>100</v>
      </c>
      <c r="AN3796">
        <v>2200</v>
      </c>
      <c r="AO3796" t="s">
        <v>118</v>
      </c>
      <c r="AP3796">
        <v>-149</v>
      </c>
      <c r="AQ3796">
        <v>-5</v>
      </c>
      <c r="AR3796">
        <v>256</v>
      </c>
      <c r="AZ3796">
        <v>1200</v>
      </c>
      <c r="BA3796">
        <v>1</v>
      </c>
      <c r="BB3796" t="str">
        <f t="shared" si="1728"/>
        <v xml:space="preserve">N711JA  </v>
      </c>
      <c r="BC3796">
        <v>1</v>
      </c>
      <c r="BE3796">
        <v>0</v>
      </c>
      <c r="BF3796">
        <v>0</v>
      </c>
      <c r="BG3796">
        <v>0</v>
      </c>
      <c r="BH3796">
        <v>2225</v>
      </c>
      <c r="BI3796">
        <v>1</v>
      </c>
      <c r="BJ3796">
        <v>1</v>
      </c>
      <c r="BK3796">
        <v>0</v>
      </c>
      <c r="BL3796">
        <v>0</v>
      </c>
      <c r="BO3796">
        <v>0</v>
      </c>
      <c r="BP3796">
        <v>0</v>
      </c>
      <c r="BW3796" t="str">
        <f t="shared" si="1755"/>
        <v>14:48:07.451</v>
      </c>
      <c r="CJ3796">
        <v>0</v>
      </c>
      <c r="CK3796">
        <v>2</v>
      </c>
      <c r="CL3796">
        <v>0</v>
      </c>
      <c r="CM3796">
        <v>2</v>
      </c>
      <c r="CN3796">
        <v>0</v>
      </c>
      <c r="CO3796">
        <v>7</v>
      </c>
      <c r="CP3796" t="s">
        <v>119</v>
      </c>
      <c r="CQ3796">
        <v>8</v>
      </c>
      <c r="CR3796">
        <v>3</v>
      </c>
      <c r="CW3796">
        <v>9077585</v>
      </c>
      <c r="CY3796">
        <v>1</v>
      </c>
      <c r="CZ3796">
        <v>0</v>
      </c>
      <c r="DA3796">
        <v>1</v>
      </c>
      <c r="DB3796">
        <v>0</v>
      </c>
      <c r="DC3796">
        <v>0</v>
      </c>
      <c r="DD3796">
        <v>1</v>
      </c>
      <c r="DE3796">
        <v>0</v>
      </c>
      <c r="DF3796">
        <v>0</v>
      </c>
      <c r="DG3796">
        <v>0</v>
      </c>
      <c r="DH3796">
        <v>0</v>
      </c>
      <c r="DI3796">
        <v>0</v>
      </c>
    </row>
    <row r="3797" spans="1:113" x14ac:dyDescent="0.3">
      <c r="A3797" t="str">
        <f t="shared" si="1753"/>
        <v>05/12/2020 14:47:49.612</v>
      </c>
      <c r="C3797" t="str">
        <f t="shared" si="1727"/>
        <v>FFDFD3C0</v>
      </c>
      <c r="D3797" t="s">
        <v>138</v>
      </c>
      <c r="E3797">
        <v>3</v>
      </c>
      <c r="H3797">
        <v>9</v>
      </c>
      <c r="I3797" t="s">
        <v>140</v>
      </c>
      <c r="J3797" t="s">
        <v>136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 t="shared" si="1754"/>
        <v>14:48:07.445</v>
      </c>
      <c r="T3797" t="str">
        <f t="shared" si="1754"/>
        <v>14:48:07.445</v>
      </c>
      <c r="U3797" t="str">
        <f t="shared" si="1748"/>
        <v>A9808D</v>
      </c>
      <c r="V3797">
        <v>0</v>
      </c>
      <c r="W3797">
        <v>0</v>
      </c>
      <c r="X3797">
        <v>1</v>
      </c>
      <c r="Z3797">
        <v>0</v>
      </c>
      <c r="AA3797">
        <v>9</v>
      </c>
      <c r="AB3797">
        <v>3</v>
      </c>
      <c r="AC3797">
        <v>0</v>
      </c>
      <c r="AD3797">
        <v>10</v>
      </c>
      <c r="AE3797">
        <v>0</v>
      </c>
      <c r="AF3797">
        <v>3</v>
      </c>
      <c r="AG3797">
        <v>2</v>
      </c>
      <c r="AH3797">
        <v>0</v>
      </c>
      <c r="AI3797" t="s">
        <v>867</v>
      </c>
      <c r="AJ3797">
        <v>28.271577000000001</v>
      </c>
      <c r="AK3797" t="s">
        <v>875</v>
      </c>
      <c r="AL3797">
        <v>-82.275559999999999</v>
      </c>
      <c r="AM3797">
        <v>100</v>
      </c>
      <c r="AN3797">
        <v>2200</v>
      </c>
      <c r="AO3797" t="s">
        <v>118</v>
      </c>
      <c r="AP3797">
        <v>-149</v>
      </c>
      <c r="AQ3797">
        <v>-5</v>
      </c>
      <c r="AR3797">
        <v>256</v>
      </c>
      <c r="AZ3797">
        <v>1200</v>
      </c>
      <c r="BA3797">
        <v>1</v>
      </c>
      <c r="BB3797" t="str">
        <f t="shared" si="1728"/>
        <v xml:space="preserve">N711JA  </v>
      </c>
      <c r="BC3797">
        <v>1</v>
      </c>
      <c r="BE3797">
        <v>0</v>
      </c>
      <c r="BF3797">
        <v>0</v>
      </c>
      <c r="BG3797">
        <v>0</v>
      </c>
      <c r="BH3797">
        <v>2225</v>
      </c>
      <c r="BI3797">
        <v>1</v>
      </c>
      <c r="BJ3797">
        <v>1</v>
      </c>
      <c r="BK3797">
        <v>0</v>
      </c>
      <c r="BL3797">
        <v>0</v>
      </c>
      <c r="BO3797">
        <v>0</v>
      </c>
      <c r="BP3797">
        <v>0</v>
      </c>
      <c r="BW3797" t="str">
        <f t="shared" si="1755"/>
        <v>14:48:07.451</v>
      </c>
      <c r="CJ3797">
        <v>0</v>
      </c>
      <c r="CK3797">
        <v>2</v>
      </c>
      <c r="CL3797">
        <v>0</v>
      </c>
      <c r="CM3797">
        <v>2</v>
      </c>
      <c r="CN3797">
        <v>0</v>
      </c>
      <c r="CO3797">
        <v>7</v>
      </c>
      <c r="CP3797" t="s">
        <v>119</v>
      </c>
      <c r="CQ3797">
        <v>8</v>
      </c>
      <c r="CR3797">
        <v>3</v>
      </c>
      <c r="CW3797">
        <v>9077585</v>
      </c>
      <c r="CY3797">
        <v>1</v>
      </c>
      <c r="CZ3797">
        <v>0</v>
      </c>
      <c r="DA3797">
        <v>1</v>
      </c>
      <c r="DB3797">
        <v>0</v>
      </c>
      <c r="DC3797">
        <v>0</v>
      </c>
      <c r="DD3797">
        <v>1</v>
      </c>
      <c r="DE3797">
        <v>0</v>
      </c>
      <c r="DF3797">
        <v>0</v>
      </c>
      <c r="DG3797">
        <v>0</v>
      </c>
      <c r="DH3797">
        <v>0</v>
      </c>
      <c r="DI3797">
        <v>0</v>
      </c>
    </row>
    <row r="3798" spans="1:113" x14ac:dyDescent="0.3">
      <c r="A3798" t="str">
        <f t="shared" si="1753"/>
        <v>05/12/2020 14:47:49.612</v>
      </c>
      <c r="C3798" t="str">
        <f t="shared" ref="C3798:C3861" si="1756">"FFDFD3C0"</f>
        <v>FFDFD3C0</v>
      </c>
      <c r="D3798" t="s">
        <v>126</v>
      </c>
      <c r="E3798">
        <v>7</v>
      </c>
      <c r="F3798">
        <v>1007</v>
      </c>
      <c r="G3798" t="s">
        <v>127</v>
      </c>
      <c r="J3798" t="s">
        <v>128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 t="shared" si="1754"/>
        <v>14:48:07.445</v>
      </c>
      <c r="T3798" t="str">
        <f t="shared" si="1754"/>
        <v>14:48:07.445</v>
      </c>
      <c r="U3798" t="str">
        <f t="shared" si="1748"/>
        <v>A9808D</v>
      </c>
      <c r="V3798">
        <v>0</v>
      </c>
      <c r="W3798">
        <v>0</v>
      </c>
      <c r="X3798">
        <v>1</v>
      </c>
      <c r="Z3798">
        <v>0</v>
      </c>
      <c r="AA3798">
        <v>9</v>
      </c>
      <c r="AB3798">
        <v>3</v>
      </c>
      <c r="AC3798">
        <v>0</v>
      </c>
      <c r="AD3798">
        <v>10</v>
      </c>
      <c r="AE3798">
        <v>0</v>
      </c>
      <c r="AF3798">
        <v>3</v>
      </c>
      <c r="AG3798">
        <v>2</v>
      </c>
      <c r="AH3798">
        <v>0</v>
      </c>
      <c r="AI3798" t="s">
        <v>867</v>
      </c>
      <c r="AJ3798">
        <v>28.271577000000001</v>
      </c>
      <c r="AK3798" t="s">
        <v>875</v>
      </c>
      <c r="AL3798">
        <v>-82.275559999999999</v>
      </c>
      <c r="AM3798">
        <v>100</v>
      </c>
      <c r="AN3798">
        <v>2200</v>
      </c>
      <c r="AO3798" t="s">
        <v>118</v>
      </c>
      <c r="AP3798">
        <v>-149</v>
      </c>
      <c r="AQ3798">
        <v>-5</v>
      </c>
      <c r="AR3798">
        <v>256</v>
      </c>
      <c r="AZ3798">
        <v>1200</v>
      </c>
      <c r="BA3798">
        <v>1</v>
      </c>
      <c r="BB3798" t="str">
        <f t="shared" ref="BB3798:BB3861" si="1757">"N711JA  "</f>
        <v xml:space="preserve">N711JA  </v>
      </c>
      <c r="BC3798">
        <v>1</v>
      </c>
      <c r="BE3798">
        <v>0</v>
      </c>
      <c r="BF3798">
        <v>0</v>
      </c>
      <c r="BG3798">
        <v>0</v>
      </c>
      <c r="BH3798">
        <v>2225</v>
      </c>
      <c r="BI3798">
        <v>1</v>
      </c>
      <c r="BJ3798">
        <v>1</v>
      </c>
      <c r="BK3798">
        <v>0</v>
      </c>
      <c r="BL3798">
        <v>0</v>
      </c>
      <c r="BO3798">
        <v>0</v>
      </c>
      <c r="BP3798">
        <v>0</v>
      </c>
      <c r="BW3798" t="str">
        <f t="shared" si="1755"/>
        <v>14:48:07.451</v>
      </c>
      <c r="CJ3798">
        <v>0</v>
      </c>
      <c r="CK3798">
        <v>2</v>
      </c>
      <c r="CL3798">
        <v>0</v>
      </c>
      <c r="CM3798">
        <v>2</v>
      </c>
      <c r="CN3798">
        <v>0</v>
      </c>
      <c r="CO3798">
        <v>7</v>
      </c>
      <c r="CP3798" t="s">
        <v>119</v>
      </c>
      <c r="CQ3798">
        <v>8</v>
      </c>
      <c r="CR3798">
        <v>3</v>
      </c>
      <c r="CW3798">
        <v>9077585</v>
      </c>
      <c r="CY3798">
        <v>1</v>
      </c>
      <c r="CZ3798">
        <v>0</v>
      </c>
      <c r="DA3798">
        <v>1</v>
      </c>
      <c r="DB3798">
        <v>0</v>
      </c>
      <c r="DC3798">
        <v>0</v>
      </c>
      <c r="DD3798">
        <v>1</v>
      </c>
      <c r="DE3798">
        <v>0</v>
      </c>
      <c r="DF3798">
        <v>0</v>
      </c>
      <c r="DG3798">
        <v>0</v>
      </c>
      <c r="DH3798">
        <v>0</v>
      </c>
      <c r="DI3798">
        <v>0</v>
      </c>
    </row>
    <row r="3799" spans="1:113" x14ac:dyDescent="0.3">
      <c r="A3799" t="str">
        <f t="shared" ref="A3799:A3807" si="1758">"05/12/2020 14:47:50.683"</f>
        <v>05/12/2020 14:47:50.683</v>
      </c>
      <c r="C3799" t="str">
        <f t="shared" si="1756"/>
        <v>FFDFD3C0</v>
      </c>
      <c r="D3799" t="s">
        <v>113</v>
      </c>
      <c r="E3799">
        <v>3</v>
      </c>
      <c r="H3799">
        <v>164</v>
      </c>
      <c r="I3799" t="s">
        <v>114</v>
      </c>
      <c r="J3799" t="s">
        <v>115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 t="shared" ref="S3799:T3807" si="1759">"14:48:08.516"</f>
        <v>14:48:08.516</v>
      </c>
      <c r="T3799" t="str">
        <f t="shared" si="1759"/>
        <v>14:48:08.516</v>
      </c>
      <c r="U3799" t="str">
        <f t="shared" si="1748"/>
        <v>A9808D</v>
      </c>
      <c r="V3799">
        <v>0</v>
      </c>
      <c r="W3799">
        <v>0</v>
      </c>
      <c r="X3799">
        <v>1</v>
      </c>
      <c r="Z3799">
        <v>0</v>
      </c>
      <c r="AA3799">
        <v>9</v>
      </c>
      <c r="AB3799">
        <v>3</v>
      </c>
      <c r="AC3799">
        <v>0</v>
      </c>
      <c r="AD3799">
        <v>10</v>
      </c>
      <c r="AE3799">
        <v>0</v>
      </c>
      <c r="AF3799">
        <v>3</v>
      </c>
      <c r="AG3799">
        <v>2</v>
      </c>
      <c r="AH3799">
        <v>0</v>
      </c>
      <c r="AI3799" t="s">
        <v>876</v>
      </c>
      <c r="AJ3799">
        <v>28.271556</v>
      </c>
      <c r="AK3799" t="s">
        <v>877</v>
      </c>
      <c r="AL3799">
        <v>-82.276397000000003</v>
      </c>
      <c r="AM3799">
        <v>100</v>
      </c>
      <c r="AN3799">
        <v>2200</v>
      </c>
      <c r="AO3799" t="s">
        <v>118</v>
      </c>
      <c r="AP3799">
        <v>-149</v>
      </c>
      <c r="AQ3799">
        <v>-6</v>
      </c>
      <c r="AR3799">
        <v>256</v>
      </c>
      <c r="AZ3799">
        <v>1200</v>
      </c>
      <c r="BA3799">
        <v>1</v>
      </c>
      <c r="BB3799" t="str">
        <f t="shared" si="1757"/>
        <v xml:space="preserve">N711JA  </v>
      </c>
      <c r="BC3799">
        <v>1</v>
      </c>
      <c r="BE3799">
        <v>0</v>
      </c>
      <c r="BF3799">
        <v>0</v>
      </c>
      <c r="BG3799">
        <v>0</v>
      </c>
      <c r="BH3799">
        <v>2225</v>
      </c>
      <c r="BI3799">
        <v>1</v>
      </c>
      <c r="BJ3799">
        <v>1</v>
      </c>
      <c r="BK3799">
        <v>0</v>
      </c>
      <c r="BL3799">
        <v>0</v>
      </c>
      <c r="BO3799">
        <v>0</v>
      </c>
      <c r="BP3799">
        <v>0</v>
      </c>
      <c r="BW3799" t="str">
        <f t="shared" ref="BW3799:BW3804" si="1760">"14:48:08.522"</f>
        <v>14:48:08.522</v>
      </c>
      <c r="CJ3799">
        <v>0</v>
      </c>
      <c r="CK3799">
        <v>2</v>
      </c>
      <c r="CL3799">
        <v>0</v>
      </c>
      <c r="CM3799">
        <v>2</v>
      </c>
      <c r="CN3799">
        <v>0</v>
      </c>
      <c r="CO3799">
        <v>7</v>
      </c>
      <c r="CP3799" t="s">
        <v>119</v>
      </c>
      <c r="CQ3799">
        <v>8</v>
      </c>
      <c r="CR3799">
        <v>3</v>
      </c>
      <c r="CW3799">
        <v>9078721</v>
      </c>
      <c r="CY3799">
        <v>1</v>
      </c>
      <c r="CZ3799">
        <v>0</v>
      </c>
      <c r="DA3799">
        <v>0</v>
      </c>
      <c r="DB3799">
        <v>0</v>
      </c>
      <c r="DC3799">
        <v>0</v>
      </c>
      <c r="DD3799">
        <v>1</v>
      </c>
      <c r="DE3799">
        <v>0</v>
      </c>
      <c r="DF3799">
        <v>0</v>
      </c>
      <c r="DG3799">
        <v>0</v>
      </c>
      <c r="DH3799">
        <v>0</v>
      </c>
      <c r="DI3799">
        <v>0</v>
      </c>
    </row>
    <row r="3800" spans="1:113" x14ac:dyDescent="0.3">
      <c r="A3800" t="str">
        <f t="shared" si="1758"/>
        <v>05/12/2020 14:47:50.683</v>
      </c>
      <c r="C3800" t="str">
        <f t="shared" si="1756"/>
        <v>FFDFD3C0</v>
      </c>
      <c r="D3800" t="s">
        <v>138</v>
      </c>
      <c r="E3800">
        <v>2</v>
      </c>
      <c r="H3800">
        <v>8</v>
      </c>
      <c r="I3800" t="s">
        <v>139</v>
      </c>
      <c r="J3800" t="s">
        <v>136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 t="shared" si="1759"/>
        <v>14:48:08.516</v>
      </c>
      <c r="T3800" t="str">
        <f t="shared" si="1759"/>
        <v>14:48:08.516</v>
      </c>
      <c r="U3800" t="str">
        <f t="shared" si="1748"/>
        <v>A9808D</v>
      </c>
      <c r="V3800">
        <v>0</v>
      </c>
      <c r="W3800">
        <v>0</v>
      </c>
      <c r="X3800">
        <v>1</v>
      </c>
      <c r="Z3800">
        <v>0</v>
      </c>
      <c r="AA3800">
        <v>9</v>
      </c>
      <c r="AB3800">
        <v>3</v>
      </c>
      <c r="AC3800">
        <v>0</v>
      </c>
      <c r="AD3800">
        <v>10</v>
      </c>
      <c r="AE3800">
        <v>0</v>
      </c>
      <c r="AF3800">
        <v>3</v>
      </c>
      <c r="AG3800">
        <v>2</v>
      </c>
      <c r="AH3800">
        <v>0</v>
      </c>
      <c r="AI3800" t="s">
        <v>876</v>
      </c>
      <c r="AJ3800">
        <v>28.271556</v>
      </c>
      <c r="AK3800" t="s">
        <v>877</v>
      </c>
      <c r="AL3800">
        <v>-82.276397000000003</v>
      </c>
      <c r="AM3800">
        <v>100</v>
      </c>
      <c r="AN3800">
        <v>2200</v>
      </c>
      <c r="AO3800" t="s">
        <v>118</v>
      </c>
      <c r="AP3800">
        <v>-149</v>
      </c>
      <c r="AQ3800">
        <v>-6</v>
      </c>
      <c r="AR3800">
        <v>256</v>
      </c>
      <c r="AZ3800">
        <v>1200</v>
      </c>
      <c r="BA3800">
        <v>1</v>
      </c>
      <c r="BB3800" t="str">
        <f t="shared" si="1757"/>
        <v xml:space="preserve">N711JA  </v>
      </c>
      <c r="BC3800">
        <v>1</v>
      </c>
      <c r="BE3800">
        <v>0</v>
      </c>
      <c r="BF3800">
        <v>0</v>
      </c>
      <c r="BG3800">
        <v>0</v>
      </c>
      <c r="BH3800">
        <v>2225</v>
      </c>
      <c r="BI3800">
        <v>1</v>
      </c>
      <c r="BJ3800">
        <v>1</v>
      </c>
      <c r="BK3800">
        <v>0</v>
      </c>
      <c r="BL3800">
        <v>0</v>
      </c>
      <c r="BO3800">
        <v>0</v>
      </c>
      <c r="BP3800">
        <v>0</v>
      </c>
      <c r="BW3800" t="str">
        <f t="shared" si="1760"/>
        <v>14:48:08.522</v>
      </c>
      <c r="CJ3800">
        <v>0</v>
      </c>
      <c r="CK3800">
        <v>2</v>
      </c>
      <c r="CL3800">
        <v>0</v>
      </c>
      <c r="CM3800">
        <v>2</v>
      </c>
      <c r="CN3800">
        <v>0</v>
      </c>
      <c r="CO3800">
        <v>7</v>
      </c>
      <c r="CP3800" t="s">
        <v>119</v>
      </c>
      <c r="CQ3800">
        <v>8</v>
      </c>
      <c r="CR3800">
        <v>3</v>
      </c>
      <c r="CW3800">
        <v>9078721</v>
      </c>
      <c r="CY3800">
        <v>1</v>
      </c>
      <c r="CZ3800">
        <v>0</v>
      </c>
      <c r="DA3800">
        <v>1</v>
      </c>
      <c r="DB3800">
        <v>0</v>
      </c>
      <c r="DC3800">
        <v>0</v>
      </c>
      <c r="DD3800">
        <v>1</v>
      </c>
      <c r="DE3800">
        <v>0</v>
      </c>
      <c r="DF3800">
        <v>0</v>
      </c>
      <c r="DG3800">
        <v>0</v>
      </c>
      <c r="DH3800">
        <v>0</v>
      </c>
      <c r="DI3800">
        <v>0</v>
      </c>
    </row>
    <row r="3801" spans="1:113" x14ac:dyDescent="0.3">
      <c r="A3801" t="str">
        <f t="shared" si="1758"/>
        <v>05/12/2020 14:47:50.683</v>
      </c>
      <c r="C3801" t="str">
        <f t="shared" si="1756"/>
        <v>FFDFD3C0</v>
      </c>
      <c r="D3801" t="s">
        <v>138</v>
      </c>
      <c r="E3801">
        <v>3</v>
      </c>
      <c r="H3801">
        <v>9</v>
      </c>
      <c r="I3801" t="s">
        <v>140</v>
      </c>
      <c r="J3801" t="s">
        <v>136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 t="shared" si="1759"/>
        <v>14:48:08.516</v>
      </c>
      <c r="T3801" t="str">
        <f t="shared" si="1759"/>
        <v>14:48:08.516</v>
      </c>
      <c r="U3801" t="str">
        <f t="shared" si="1748"/>
        <v>A9808D</v>
      </c>
      <c r="V3801">
        <v>0</v>
      </c>
      <c r="W3801">
        <v>0</v>
      </c>
      <c r="X3801">
        <v>1</v>
      </c>
      <c r="Z3801">
        <v>0</v>
      </c>
      <c r="AA3801">
        <v>9</v>
      </c>
      <c r="AB3801">
        <v>3</v>
      </c>
      <c r="AC3801">
        <v>0</v>
      </c>
      <c r="AD3801">
        <v>10</v>
      </c>
      <c r="AE3801">
        <v>0</v>
      </c>
      <c r="AF3801">
        <v>3</v>
      </c>
      <c r="AG3801">
        <v>2</v>
      </c>
      <c r="AH3801">
        <v>0</v>
      </c>
      <c r="AI3801" t="s">
        <v>876</v>
      </c>
      <c r="AJ3801">
        <v>28.271556</v>
      </c>
      <c r="AK3801" t="s">
        <v>877</v>
      </c>
      <c r="AL3801">
        <v>-82.276397000000003</v>
      </c>
      <c r="AM3801">
        <v>100</v>
      </c>
      <c r="AN3801">
        <v>2200</v>
      </c>
      <c r="AO3801" t="s">
        <v>118</v>
      </c>
      <c r="AP3801">
        <v>-149</v>
      </c>
      <c r="AQ3801">
        <v>-6</v>
      </c>
      <c r="AR3801">
        <v>256</v>
      </c>
      <c r="AZ3801">
        <v>1200</v>
      </c>
      <c r="BA3801">
        <v>1</v>
      </c>
      <c r="BB3801" t="str">
        <f t="shared" si="1757"/>
        <v xml:space="preserve">N711JA  </v>
      </c>
      <c r="BC3801">
        <v>1</v>
      </c>
      <c r="BE3801">
        <v>0</v>
      </c>
      <c r="BF3801">
        <v>0</v>
      </c>
      <c r="BG3801">
        <v>0</v>
      </c>
      <c r="BH3801">
        <v>2225</v>
      </c>
      <c r="BI3801">
        <v>1</v>
      </c>
      <c r="BJ3801">
        <v>1</v>
      </c>
      <c r="BK3801">
        <v>0</v>
      </c>
      <c r="BL3801">
        <v>0</v>
      </c>
      <c r="BO3801">
        <v>0</v>
      </c>
      <c r="BP3801">
        <v>0</v>
      </c>
      <c r="BW3801" t="str">
        <f t="shared" si="1760"/>
        <v>14:48:08.522</v>
      </c>
      <c r="CJ3801">
        <v>0</v>
      </c>
      <c r="CK3801">
        <v>2</v>
      </c>
      <c r="CL3801">
        <v>0</v>
      </c>
      <c r="CM3801">
        <v>2</v>
      </c>
      <c r="CN3801">
        <v>0</v>
      </c>
      <c r="CO3801">
        <v>7</v>
      </c>
      <c r="CP3801" t="s">
        <v>119</v>
      </c>
      <c r="CQ3801">
        <v>8</v>
      </c>
      <c r="CR3801">
        <v>3</v>
      </c>
      <c r="CW3801">
        <v>9078721</v>
      </c>
      <c r="CY3801">
        <v>1</v>
      </c>
      <c r="CZ3801">
        <v>0</v>
      </c>
      <c r="DA3801">
        <v>1</v>
      </c>
      <c r="DB3801">
        <v>0</v>
      </c>
      <c r="DC3801">
        <v>0</v>
      </c>
      <c r="DD3801">
        <v>1</v>
      </c>
      <c r="DE3801">
        <v>0</v>
      </c>
      <c r="DF3801">
        <v>0</v>
      </c>
      <c r="DG3801">
        <v>0</v>
      </c>
      <c r="DH3801">
        <v>0</v>
      </c>
      <c r="DI3801">
        <v>0</v>
      </c>
    </row>
    <row r="3802" spans="1:113" x14ac:dyDescent="0.3">
      <c r="A3802" t="str">
        <f t="shared" si="1758"/>
        <v>05/12/2020 14:47:50.683</v>
      </c>
      <c r="C3802" t="str">
        <f t="shared" si="1756"/>
        <v>FFDFD3C0</v>
      </c>
      <c r="D3802" t="s">
        <v>126</v>
      </c>
      <c r="E3802">
        <v>7</v>
      </c>
      <c r="F3802">
        <v>1007</v>
      </c>
      <c r="G3802" t="s">
        <v>127</v>
      </c>
      <c r="J3802" t="s">
        <v>128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 t="shared" si="1759"/>
        <v>14:48:08.516</v>
      </c>
      <c r="T3802" t="str">
        <f t="shared" si="1759"/>
        <v>14:48:08.516</v>
      </c>
      <c r="U3802" t="str">
        <f t="shared" si="1748"/>
        <v>A9808D</v>
      </c>
      <c r="V3802">
        <v>0</v>
      </c>
      <c r="W3802">
        <v>0</v>
      </c>
      <c r="X3802">
        <v>1</v>
      </c>
      <c r="Z3802">
        <v>0</v>
      </c>
      <c r="AA3802">
        <v>9</v>
      </c>
      <c r="AB3802">
        <v>3</v>
      </c>
      <c r="AC3802">
        <v>0</v>
      </c>
      <c r="AD3802">
        <v>10</v>
      </c>
      <c r="AE3802">
        <v>0</v>
      </c>
      <c r="AF3802">
        <v>3</v>
      </c>
      <c r="AG3802">
        <v>2</v>
      </c>
      <c r="AH3802">
        <v>0</v>
      </c>
      <c r="AI3802" t="s">
        <v>876</v>
      </c>
      <c r="AJ3802">
        <v>28.271556</v>
      </c>
      <c r="AK3802" t="s">
        <v>877</v>
      </c>
      <c r="AL3802">
        <v>-82.276397000000003</v>
      </c>
      <c r="AM3802">
        <v>100</v>
      </c>
      <c r="AN3802">
        <v>2200</v>
      </c>
      <c r="AO3802" t="s">
        <v>118</v>
      </c>
      <c r="AP3802">
        <v>-149</v>
      </c>
      <c r="AQ3802">
        <v>-6</v>
      </c>
      <c r="AR3802">
        <v>256</v>
      </c>
      <c r="AZ3802">
        <v>1200</v>
      </c>
      <c r="BA3802">
        <v>1</v>
      </c>
      <c r="BB3802" t="str">
        <f t="shared" si="1757"/>
        <v xml:space="preserve">N711JA  </v>
      </c>
      <c r="BC3802">
        <v>1</v>
      </c>
      <c r="BE3802">
        <v>0</v>
      </c>
      <c r="BF3802">
        <v>0</v>
      </c>
      <c r="BG3802">
        <v>0</v>
      </c>
      <c r="BH3802">
        <v>2225</v>
      </c>
      <c r="BI3802">
        <v>1</v>
      </c>
      <c r="BJ3802">
        <v>1</v>
      </c>
      <c r="BK3802">
        <v>0</v>
      </c>
      <c r="BL3802">
        <v>0</v>
      </c>
      <c r="BO3802">
        <v>0</v>
      </c>
      <c r="BP3802">
        <v>0</v>
      </c>
      <c r="BW3802" t="str">
        <f t="shared" si="1760"/>
        <v>14:48:08.522</v>
      </c>
      <c r="CJ3802">
        <v>0</v>
      </c>
      <c r="CK3802">
        <v>2</v>
      </c>
      <c r="CL3802">
        <v>0</v>
      </c>
      <c r="CM3802">
        <v>2</v>
      </c>
      <c r="CN3802">
        <v>0</v>
      </c>
      <c r="CO3802">
        <v>7</v>
      </c>
      <c r="CP3802" t="s">
        <v>119</v>
      </c>
      <c r="CQ3802">
        <v>8</v>
      </c>
      <c r="CR3802">
        <v>3</v>
      </c>
      <c r="CW3802">
        <v>9078721</v>
      </c>
      <c r="CY3802">
        <v>1</v>
      </c>
      <c r="CZ3802">
        <v>0</v>
      </c>
      <c r="DA3802">
        <v>1</v>
      </c>
      <c r="DB3802">
        <v>0</v>
      </c>
      <c r="DC3802">
        <v>0</v>
      </c>
      <c r="DD3802">
        <v>1</v>
      </c>
      <c r="DE3802">
        <v>0</v>
      </c>
      <c r="DF3802">
        <v>0</v>
      </c>
      <c r="DG3802">
        <v>0</v>
      </c>
      <c r="DH3802">
        <v>0</v>
      </c>
      <c r="DI3802">
        <v>0</v>
      </c>
    </row>
    <row r="3803" spans="1:113" x14ac:dyDescent="0.3">
      <c r="A3803" t="str">
        <f t="shared" si="1758"/>
        <v>05/12/2020 14:47:50.683</v>
      </c>
      <c r="C3803" t="str">
        <f t="shared" si="1756"/>
        <v>FFDFD3C0</v>
      </c>
      <c r="D3803" t="s">
        <v>131</v>
      </c>
      <c r="E3803">
        <v>10</v>
      </c>
      <c r="F3803">
        <v>2010</v>
      </c>
      <c r="G3803" t="s">
        <v>132</v>
      </c>
      <c r="J3803" t="s">
        <v>133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 t="shared" si="1759"/>
        <v>14:48:08.516</v>
      </c>
      <c r="T3803" t="str">
        <f t="shared" si="1759"/>
        <v>14:48:08.516</v>
      </c>
      <c r="U3803" t="str">
        <f t="shared" si="1748"/>
        <v>A9808D</v>
      </c>
      <c r="V3803">
        <v>0</v>
      </c>
      <c r="W3803">
        <v>0</v>
      </c>
      <c r="X3803">
        <v>1</v>
      </c>
      <c r="Z3803">
        <v>0</v>
      </c>
      <c r="AA3803">
        <v>9</v>
      </c>
      <c r="AB3803">
        <v>3</v>
      </c>
      <c r="AC3803">
        <v>0</v>
      </c>
      <c r="AD3803">
        <v>10</v>
      </c>
      <c r="AE3803">
        <v>0</v>
      </c>
      <c r="AF3803">
        <v>3</v>
      </c>
      <c r="AG3803">
        <v>2</v>
      </c>
      <c r="AH3803">
        <v>0</v>
      </c>
      <c r="AI3803" t="s">
        <v>876</v>
      </c>
      <c r="AJ3803">
        <v>28.271556</v>
      </c>
      <c r="AK3803" t="s">
        <v>877</v>
      </c>
      <c r="AL3803">
        <v>-82.276397000000003</v>
      </c>
      <c r="AM3803">
        <v>100</v>
      </c>
      <c r="AN3803">
        <v>2200</v>
      </c>
      <c r="AO3803" t="s">
        <v>118</v>
      </c>
      <c r="AP3803">
        <v>-149</v>
      </c>
      <c r="AQ3803">
        <v>-6</v>
      </c>
      <c r="AR3803">
        <v>256</v>
      </c>
      <c r="AZ3803">
        <v>1200</v>
      </c>
      <c r="BA3803">
        <v>1</v>
      </c>
      <c r="BB3803" t="str">
        <f t="shared" si="1757"/>
        <v xml:space="preserve">N711JA  </v>
      </c>
      <c r="BC3803">
        <v>1</v>
      </c>
      <c r="BE3803">
        <v>0</v>
      </c>
      <c r="BF3803">
        <v>0</v>
      </c>
      <c r="BG3803">
        <v>0</v>
      </c>
      <c r="BH3803">
        <v>2225</v>
      </c>
      <c r="BI3803">
        <v>1</v>
      </c>
      <c r="BJ3803">
        <v>1</v>
      </c>
      <c r="BK3803">
        <v>0</v>
      </c>
      <c r="BL3803">
        <v>0</v>
      </c>
      <c r="BO3803">
        <v>0</v>
      </c>
      <c r="BP3803">
        <v>0</v>
      </c>
      <c r="BW3803" t="str">
        <f t="shared" si="1760"/>
        <v>14:48:08.522</v>
      </c>
      <c r="CJ3803">
        <v>0</v>
      </c>
      <c r="CK3803">
        <v>2</v>
      </c>
      <c r="CL3803">
        <v>0</v>
      </c>
      <c r="CM3803">
        <v>2</v>
      </c>
      <c r="CN3803">
        <v>0</v>
      </c>
      <c r="CO3803">
        <v>7</v>
      </c>
      <c r="CP3803" t="s">
        <v>119</v>
      </c>
      <c r="CQ3803">
        <v>8</v>
      </c>
      <c r="CR3803">
        <v>3</v>
      </c>
      <c r="CW3803">
        <v>9078721</v>
      </c>
      <c r="CY3803">
        <v>1</v>
      </c>
      <c r="CZ3803">
        <v>0</v>
      </c>
      <c r="DA3803">
        <v>1</v>
      </c>
      <c r="DB3803">
        <v>0</v>
      </c>
      <c r="DC3803">
        <v>0</v>
      </c>
      <c r="DD3803">
        <v>1</v>
      </c>
      <c r="DE3803">
        <v>0</v>
      </c>
      <c r="DF3803">
        <v>0</v>
      </c>
      <c r="DG3803">
        <v>0</v>
      </c>
      <c r="DH3803">
        <v>0</v>
      </c>
      <c r="DI3803">
        <v>0</v>
      </c>
    </row>
    <row r="3804" spans="1:113" x14ac:dyDescent="0.3">
      <c r="A3804" t="str">
        <f t="shared" si="1758"/>
        <v>05/12/2020 14:47:50.683</v>
      </c>
      <c r="C3804" t="str">
        <f t="shared" si="1756"/>
        <v>FFDFD3C0</v>
      </c>
      <c r="D3804" t="s">
        <v>131</v>
      </c>
      <c r="E3804">
        <v>12</v>
      </c>
      <c r="F3804">
        <v>2012</v>
      </c>
      <c r="G3804" t="s">
        <v>137</v>
      </c>
      <c r="J3804" t="s">
        <v>133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 t="shared" si="1759"/>
        <v>14:48:08.516</v>
      </c>
      <c r="T3804" t="str">
        <f t="shared" si="1759"/>
        <v>14:48:08.516</v>
      </c>
      <c r="U3804" t="str">
        <f t="shared" si="1748"/>
        <v>A9808D</v>
      </c>
      <c r="V3804">
        <v>0</v>
      </c>
      <c r="W3804">
        <v>0</v>
      </c>
      <c r="X3804">
        <v>1</v>
      </c>
      <c r="Z3804">
        <v>0</v>
      </c>
      <c r="AA3804">
        <v>9</v>
      </c>
      <c r="AB3804">
        <v>3</v>
      </c>
      <c r="AC3804">
        <v>0</v>
      </c>
      <c r="AD3804">
        <v>10</v>
      </c>
      <c r="AE3804">
        <v>0</v>
      </c>
      <c r="AF3804">
        <v>3</v>
      </c>
      <c r="AG3804">
        <v>2</v>
      </c>
      <c r="AH3804">
        <v>0</v>
      </c>
      <c r="AI3804" t="s">
        <v>876</v>
      </c>
      <c r="AJ3804">
        <v>28.271556</v>
      </c>
      <c r="AK3804" t="s">
        <v>877</v>
      </c>
      <c r="AL3804">
        <v>-82.276397000000003</v>
      </c>
      <c r="AM3804">
        <v>100</v>
      </c>
      <c r="AN3804">
        <v>2200</v>
      </c>
      <c r="AO3804" t="s">
        <v>118</v>
      </c>
      <c r="AP3804">
        <v>-149</v>
      </c>
      <c r="AQ3804">
        <v>-6</v>
      </c>
      <c r="AR3804">
        <v>256</v>
      </c>
      <c r="AZ3804">
        <v>1200</v>
      </c>
      <c r="BA3804">
        <v>1</v>
      </c>
      <c r="BB3804" t="str">
        <f t="shared" si="1757"/>
        <v xml:space="preserve">N711JA  </v>
      </c>
      <c r="BC3804">
        <v>1</v>
      </c>
      <c r="BE3804">
        <v>0</v>
      </c>
      <c r="BF3804">
        <v>0</v>
      </c>
      <c r="BG3804">
        <v>0</v>
      </c>
      <c r="BH3804">
        <v>2225</v>
      </c>
      <c r="BI3804">
        <v>1</v>
      </c>
      <c r="BJ3804">
        <v>1</v>
      </c>
      <c r="BK3804">
        <v>0</v>
      </c>
      <c r="BL3804">
        <v>0</v>
      </c>
      <c r="BO3804">
        <v>0</v>
      </c>
      <c r="BP3804">
        <v>0</v>
      </c>
      <c r="BW3804" t="str">
        <f t="shared" si="1760"/>
        <v>14:48:08.522</v>
      </c>
      <c r="CJ3804">
        <v>0</v>
      </c>
      <c r="CK3804">
        <v>2</v>
      </c>
      <c r="CL3804">
        <v>0</v>
      </c>
      <c r="CM3804">
        <v>2</v>
      </c>
      <c r="CN3804">
        <v>0</v>
      </c>
      <c r="CO3804">
        <v>7</v>
      </c>
      <c r="CP3804" t="s">
        <v>119</v>
      </c>
      <c r="CQ3804">
        <v>8</v>
      </c>
      <c r="CR3804">
        <v>3</v>
      </c>
      <c r="CW3804">
        <v>9078721</v>
      </c>
      <c r="CY3804">
        <v>1</v>
      </c>
      <c r="CZ3804">
        <v>0</v>
      </c>
      <c r="DA3804">
        <v>1</v>
      </c>
      <c r="DB3804">
        <v>0</v>
      </c>
      <c r="DC3804">
        <v>0</v>
      </c>
      <c r="DD3804">
        <v>1</v>
      </c>
      <c r="DE3804">
        <v>0</v>
      </c>
      <c r="DF3804">
        <v>0</v>
      </c>
      <c r="DG3804">
        <v>0</v>
      </c>
      <c r="DH3804">
        <v>0</v>
      </c>
      <c r="DI3804">
        <v>0</v>
      </c>
    </row>
    <row r="3805" spans="1:113" x14ac:dyDescent="0.3">
      <c r="A3805" t="str">
        <f t="shared" si="1758"/>
        <v>05/12/2020 14:47:50.683</v>
      </c>
      <c r="C3805" t="str">
        <f t="shared" si="1756"/>
        <v>FFDFD3C0</v>
      </c>
      <c r="D3805" t="s">
        <v>131</v>
      </c>
      <c r="E3805">
        <v>18</v>
      </c>
      <c r="F3805">
        <v>2018</v>
      </c>
      <c r="G3805" t="s">
        <v>161</v>
      </c>
      <c r="J3805" t="s">
        <v>133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 t="shared" si="1759"/>
        <v>14:48:08.516</v>
      </c>
      <c r="T3805" t="str">
        <f t="shared" si="1759"/>
        <v>14:48:08.516</v>
      </c>
      <c r="U3805" t="str">
        <f t="shared" si="1748"/>
        <v>A9808D</v>
      </c>
      <c r="V3805">
        <v>0</v>
      </c>
      <c r="W3805">
        <v>0</v>
      </c>
      <c r="X3805">
        <v>1</v>
      </c>
      <c r="Z3805">
        <v>0</v>
      </c>
      <c r="AA3805">
        <v>9</v>
      </c>
      <c r="AB3805">
        <v>3</v>
      </c>
      <c r="AC3805">
        <v>0</v>
      </c>
      <c r="AD3805">
        <v>10</v>
      </c>
      <c r="AE3805">
        <v>0</v>
      </c>
      <c r="AF3805">
        <v>3</v>
      </c>
      <c r="AG3805">
        <v>2</v>
      </c>
      <c r="AH3805">
        <v>0</v>
      </c>
      <c r="AI3805" t="s">
        <v>876</v>
      </c>
      <c r="AJ3805">
        <v>28.271556</v>
      </c>
      <c r="AK3805" t="s">
        <v>877</v>
      </c>
      <c r="AL3805">
        <v>-82.276397000000003</v>
      </c>
      <c r="AM3805">
        <v>100</v>
      </c>
      <c r="AN3805">
        <v>2200</v>
      </c>
      <c r="AO3805" t="s">
        <v>118</v>
      </c>
      <c r="AP3805">
        <v>-149</v>
      </c>
      <c r="AQ3805">
        <v>-6</v>
      </c>
      <c r="AR3805">
        <v>256</v>
      </c>
      <c r="AZ3805">
        <v>1200</v>
      </c>
      <c r="BA3805">
        <v>1</v>
      </c>
      <c r="BB3805" t="str">
        <f t="shared" si="1757"/>
        <v xml:space="preserve">N711JA  </v>
      </c>
      <c r="BC3805">
        <v>1</v>
      </c>
      <c r="BE3805">
        <v>0</v>
      </c>
      <c r="BF3805">
        <v>0</v>
      </c>
      <c r="BG3805">
        <v>0</v>
      </c>
      <c r="BH3805">
        <v>2225</v>
      </c>
      <c r="BI3805">
        <v>1</v>
      </c>
      <c r="BJ3805">
        <v>1</v>
      </c>
      <c r="BK3805">
        <v>0</v>
      </c>
      <c r="BL3805">
        <v>0</v>
      </c>
      <c r="BO3805">
        <v>0</v>
      </c>
      <c r="BP3805">
        <v>0</v>
      </c>
      <c r="BW3805" t="str">
        <f>"14:48:08.523"</f>
        <v>14:48:08.523</v>
      </c>
      <c r="CJ3805">
        <v>0</v>
      </c>
      <c r="CK3805">
        <v>2</v>
      </c>
      <c r="CL3805">
        <v>0</v>
      </c>
      <c r="CM3805">
        <v>2</v>
      </c>
      <c r="CN3805">
        <v>0</v>
      </c>
      <c r="CO3805">
        <v>3</v>
      </c>
      <c r="CP3805" t="s">
        <v>119</v>
      </c>
      <c r="CQ3805">
        <v>62</v>
      </c>
      <c r="CR3805">
        <v>1</v>
      </c>
      <c r="CW3805">
        <v>12968528</v>
      </c>
      <c r="CY3805">
        <v>1</v>
      </c>
      <c r="CZ3805">
        <v>0</v>
      </c>
      <c r="DA3805">
        <v>1</v>
      </c>
      <c r="DB3805">
        <v>0</v>
      </c>
      <c r="DC3805">
        <v>0</v>
      </c>
      <c r="DD3805">
        <v>1</v>
      </c>
      <c r="DE3805">
        <v>0</v>
      </c>
      <c r="DF3805">
        <v>0</v>
      </c>
      <c r="DG3805">
        <v>0</v>
      </c>
      <c r="DH3805">
        <v>0</v>
      </c>
      <c r="DI3805">
        <v>0</v>
      </c>
    </row>
    <row r="3806" spans="1:113" x14ac:dyDescent="0.3">
      <c r="A3806" t="str">
        <f t="shared" si="1758"/>
        <v>05/12/2020 14:47:50.683</v>
      </c>
      <c r="C3806" t="str">
        <f t="shared" si="1756"/>
        <v>FFDFD3C0</v>
      </c>
      <c r="D3806" t="s">
        <v>126</v>
      </c>
      <c r="E3806">
        <v>6</v>
      </c>
      <c r="F3806">
        <v>1006</v>
      </c>
      <c r="G3806" t="s">
        <v>114</v>
      </c>
      <c r="J3806" t="s">
        <v>128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 t="shared" si="1759"/>
        <v>14:48:08.516</v>
      </c>
      <c r="T3806" t="str">
        <f t="shared" si="1759"/>
        <v>14:48:08.516</v>
      </c>
      <c r="U3806" t="str">
        <f t="shared" si="1748"/>
        <v>A9808D</v>
      </c>
      <c r="V3806">
        <v>0</v>
      </c>
      <c r="W3806">
        <v>0</v>
      </c>
      <c r="X3806">
        <v>1</v>
      </c>
      <c r="Z3806">
        <v>0</v>
      </c>
      <c r="AA3806">
        <v>9</v>
      </c>
      <c r="AB3806">
        <v>3</v>
      </c>
      <c r="AC3806">
        <v>0</v>
      </c>
      <c r="AD3806">
        <v>10</v>
      </c>
      <c r="AE3806">
        <v>0</v>
      </c>
      <c r="AF3806">
        <v>3</v>
      </c>
      <c r="AG3806">
        <v>2</v>
      </c>
      <c r="AH3806">
        <v>0</v>
      </c>
      <c r="AI3806" t="s">
        <v>876</v>
      </c>
      <c r="AJ3806">
        <v>28.271556</v>
      </c>
      <c r="AK3806" t="s">
        <v>877</v>
      </c>
      <c r="AL3806">
        <v>-82.276397000000003</v>
      </c>
      <c r="AM3806">
        <v>100</v>
      </c>
      <c r="AN3806">
        <v>2200</v>
      </c>
      <c r="AO3806" t="s">
        <v>118</v>
      </c>
      <c r="AP3806">
        <v>-149</v>
      </c>
      <c r="AQ3806">
        <v>-6</v>
      </c>
      <c r="AR3806">
        <v>256</v>
      </c>
      <c r="AZ3806">
        <v>1200</v>
      </c>
      <c r="BA3806">
        <v>1</v>
      </c>
      <c r="BB3806" t="str">
        <f t="shared" si="1757"/>
        <v xml:space="preserve">N711JA  </v>
      </c>
      <c r="BC3806">
        <v>1</v>
      </c>
      <c r="BE3806">
        <v>0</v>
      </c>
      <c r="BF3806">
        <v>0</v>
      </c>
      <c r="BG3806">
        <v>0</v>
      </c>
      <c r="BH3806">
        <v>2225</v>
      </c>
      <c r="BI3806">
        <v>1</v>
      </c>
      <c r="BJ3806">
        <v>1</v>
      </c>
      <c r="BK3806">
        <v>0</v>
      </c>
      <c r="BL3806">
        <v>0</v>
      </c>
      <c r="BO3806">
        <v>0</v>
      </c>
      <c r="BP3806">
        <v>0</v>
      </c>
      <c r="BW3806" t="str">
        <f>"14:48:08.522"</f>
        <v>14:48:08.522</v>
      </c>
      <c r="CJ3806">
        <v>0</v>
      </c>
      <c r="CK3806">
        <v>2</v>
      </c>
      <c r="CL3806">
        <v>0</v>
      </c>
      <c r="CM3806">
        <v>2</v>
      </c>
      <c r="CN3806">
        <v>0</v>
      </c>
      <c r="CO3806">
        <v>7</v>
      </c>
      <c r="CP3806" t="s">
        <v>119</v>
      </c>
      <c r="CQ3806">
        <v>8</v>
      </c>
      <c r="CR3806">
        <v>3</v>
      </c>
      <c r="CW3806">
        <v>9078721</v>
      </c>
      <c r="CY3806">
        <v>1</v>
      </c>
      <c r="CZ3806">
        <v>0</v>
      </c>
      <c r="DA3806">
        <v>1</v>
      </c>
      <c r="DB3806">
        <v>0</v>
      </c>
      <c r="DC3806">
        <v>0</v>
      </c>
      <c r="DD3806">
        <v>1</v>
      </c>
      <c r="DE3806">
        <v>0</v>
      </c>
      <c r="DF3806">
        <v>0</v>
      </c>
      <c r="DG3806">
        <v>0</v>
      </c>
      <c r="DH3806">
        <v>0</v>
      </c>
      <c r="DI3806">
        <v>0</v>
      </c>
    </row>
    <row r="3807" spans="1:113" x14ac:dyDescent="0.3">
      <c r="A3807" t="str">
        <f t="shared" si="1758"/>
        <v>05/12/2020 14:47:50.683</v>
      </c>
      <c r="C3807" t="str">
        <f t="shared" si="1756"/>
        <v>FFDFD3C0</v>
      </c>
      <c r="D3807" t="s">
        <v>134</v>
      </c>
      <c r="E3807">
        <v>12</v>
      </c>
      <c r="H3807">
        <v>64</v>
      </c>
      <c r="I3807" t="s">
        <v>135</v>
      </c>
      <c r="J3807" t="s">
        <v>136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 t="shared" si="1759"/>
        <v>14:48:08.516</v>
      </c>
      <c r="T3807" t="str">
        <f t="shared" si="1759"/>
        <v>14:48:08.516</v>
      </c>
      <c r="U3807" t="str">
        <f t="shared" si="1748"/>
        <v>A9808D</v>
      </c>
      <c r="V3807">
        <v>0</v>
      </c>
      <c r="W3807">
        <v>0</v>
      </c>
      <c r="X3807">
        <v>1</v>
      </c>
      <c r="Z3807">
        <v>0</v>
      </c>
      <c r="AA3807">
        <v>9</v>
      </c>
      <c r="AB3807">
        <v>3</v>
      </c>
      <c r="AC3807">
        <v>0</v>
      </c>
      <c r="AD3807">
        <v>10</v>
      </c>
      <c r="AE3807">
        <v>0</v>
      </c>
      <c r="AF3807">
        <v>3</v>
      </c>
      <c r="AG3807">
        <v>2</v>
      </c>
      <c r="AH3807">
        <v>0</v>
      </c>
      <c r="AI3807" t="s">
        <v>876</v>
      </c>
      <c r="AJ3807">
        <v>28.271556</v>
      </c>
      <c r="AK3807" t="s">
        <v>877</v>
      </c>
      <c r="AL3807">
        <v>-82.276397000000003</v>
      </c>
      <c r="AM3807">
        <v>100</v>
      </c>
      <c r="AN3807">
        <v>2200</v>
      </c>
      <c r="AO3807" t="s">
        <v>118</v>
      </c>
      <c r="AP3807">
        <v>-149</v>
      </c>
      <c r="AQ3807">
        <v>-6</v>
      </c>
      <c r="AR3807">
        <v>256</v>
      </c>
      <c r="AZ3807">
        <v>1200</v>
      </c>
      <c r="BA3807">
        <v>1</v>
      </c>
      <c r="BB3807" t="str">
        <f t="shared" si="1757"/>
        <v xml:space="preserve">N711JA  </v>
      </c>
      <c r="BC3807">
        <v>1</v>
      </c>
      <c r="BE3807">
        <v>0</v>
      </c>
      <c r="BF3807">
        <v>0</v>
      </c>
      <c r="BG3807">
        <v>0</v>
      </c>
      <c r="BH3807">
        <v>2225</v>
      </c>
      <c r="BI3807">
        <v>1</v>
      </c>
      <c r="BJ3807">
        <v>1</v>
      </c>
      <c r="BK3807">
        <v>0</v>
      </c>
      <c r="BL3807">
        <v>0</v>
      </c>
      <c r="BO3807">
        <v>0</v>
      </c>
      <c r="BP3807">
        <v>0</v>
      </c>
      <c r="BW3807" t="str">
        <f>"14:48:08.522"</f>
        <v>14:48:08.522</v>
      </c>
      <c r="CJ3807">
        <v>0</v>
      </c>
      <c r="CK3807">
        <v>2</v>
      </c>
      <c r="CL3807">
        <v>0</v>
      </c>
      <c r="CM3807">
        <v>2</v>
      </c>
      <c r="CN3807">
        <v>0</v>
      </c>
      <c r="CO3807">
        <v>7</v>
      </c>
      <c r="CP3807" t="s">
        <v>119</v>
      </c>
      <c r="CQ3807">
        <v>8</v>
      </c>
      <c r="CR3807">
        <v>3</v>
      </c>
      <c r="CW3807">
        <v>9078721</v>
      </c>
      <c r="CY3807">
        <v>1</v>
      </c>
      <c r="CZ3807">
        <v>0</v>
      </c>
      <c r="DA3807">
        <v>1</v>
      </c>
      <c r="DB3807">
        <v>0</v>
      </c>
      <c r="DC3807">
        <v>0</v>
      </c>
      <c r="DD3807">
        <v>1</v>
      </c>
      <c r="DE3807">
        <v>0</v>
      </c>
      <c r="DF3807">
        <v>0</v>
      </c>
      <c r="DG3807">
        <v>0</v>
      </c>
      <c r="DH3807">
        <v>0</v>
      </c>
      <c r="DI3807">
        <v>0</v>
      </c>
    </row>
    <row r="3808" spans="1:113" x14ac:dyDescent="0.3">
      <c r="A3808" t="str">
        <f t="shared" ref="A3808:A3816" si="1761">"05/12/2020 14:47:51.847"</f>
        <v>05/12/2020 14:47:51.847</v>
      </c>
      <c r="C3808" t="str">
        <f t="shared" si="1756"/>
        <v>FFDFD3C0</v>
      </c>
      <c r="D3808" t="s">
        <v>134</v>
      </c>
      <c r="E3808">
        <v>12</v>
      </c>
      <c r="H3808">
        <v>64</v>
      </c>
      <c r="I3808" t="s">
        <v>135</v>
      </c>
      <c r="J3808" t="s">
        <v>136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 t="shared" ref="S3808:S3816" si="1762">"14:48:09.664"</f>
        <v>14:48:09.664</v>
      </c>
      <c r="T3808" t="str">
        <f t="shared" ref="T3808:T3814" si="1763">"14:48:09.564"</f>
        <v>14:48:09.564</v>
      </c>
      <c r="U3808" t="str">
        <f t="shared" si="1748"/>
        <v>A9808D</v>
      </c>
      <c r="V3808">
        <v>0</v>
      </c>
      <c r="W3808">
        <v>0</v>
      </c>
      <c r="X3808">
        <v>1</v>
      </c>
      <c r="Z3808">
        <v>0</v>
      </c>
      <c r="AA3808">
        <v>9</v>
      </c>
      <c r="AB3808">
        <v>3</v>
      </c>
      <c r="AC3808">
        <v>0</v>
      </c>
      <c r="AD3808">
        <v>10</v>
      </c>
      <c r="AE3808">
        <v>0</v>
      </c>
      <c r="AF3808">
        <v>3</v>
      </c>
      <c r="AG3808">
        <v>2</v>
      </c>
      <c r="AH3808">
        <v>0</v>
      </c>
      <c r="AI3808" t="s">
        <v>865</v>
      </c>
      <c r="AJ3808">
        <v>28.271491999999999</v>
      </c>
      <c r="AK3808" t="s">
        <v>878</v>
      </c>
      <c r="AL3808">
        <v>-82.277254999999997</v>
      </c>
      <c r="AM3808">
        <v>100</v>
      </c>
      <c r="AN3808">
        <v>2200</v>
      </c>
      <c r="AO3808" t="s">
        <v>118</v>
      </c>
      <c r="AP3808">
        <v>-148</v>
      </c>
      <c r="AQ3808">
        <v>-8</v>
      </c>
      <c r="AR3808">
        <v>192</v>
      </c>
      <c r="AZ3808">
        <v>1200</v>
      </c>
      <c r="BA3808">
        <v>1</v>
      </c>
      <c r="BB3808" t="str">
        <f t="shared" si="1757"/>
        <v xml:space="preserve">N711JA  </v>
      </c>
      <c r="BC3808">
        <v>1</v>
      </c>
      <c r="BE3808">
        <v>0</v>
      </c>
      <c r="BF3808">
        <v>0</v>
      </c>
      <c r="BG3808">
        <v>0</v>
      </c>
      <c r="BH3808">
        <v>2250</v>
      </c>
      <c r="BI3808">
        <v>1</v>
      </c>
      <c r="BJ3808">
        <v>1</v>
      </c>
      <c r="BK3808">
        <v>0</v>
      </c>
      <c r="BL3808">
        <v>0</v>
      </c>
      <c r="BO3808">
        <v>0</v>
      </c>
      <c r="BP3808">
        <v>0</v>
      </c>
      <c r="BW3808" t="str">
        <f t="shared" ref="BW3808:BW3816" si="1764">"14:48:09.664"</f>
        <v>14:48:09.664</v>
      </c>
      <c r="CJ3808">
        <v>0</v>
      </c>
      <c r="CK3808">
        <v>2</v>
      </c>
      <c r="CL3808">
        <v>0</v>
      </c>
      <c r="CM3808">
        <v>2</v>
      </c>
      <c r="CN3808">
        <v>0</v>
      </c>
      <c r="CO3808">
        <v>7</v>
      </c>
      <c r="CP3808" t="s">
        <v>119</v>
      </c>
      <c r="CQ3808">
        <v>8</v>
      </c>
      <c r="CR3808">
        <v>3</v>
      </c>
      <c r="CW3808">
        <v>9079796</v>
      </c>
      <c r="CY3808">
        <v>1</v>
      </c>
      <c r="CZ3808">
        <v>0</v>
      </c>
      <c r="DA3808">
        <v>0</v>
      </c>
      <c r="DB3808">
        <v>0</v>
      </c>
      <c r="DC3808">
        <v>0</v>
      </c>
      <c r="DD3808">
        <v>1</v>
      </c>
      <c r="DE3808">
        <v>0</v>
      </c>
      <c r="DF3808">
        <v>0</v>
      </c>
      <c r="DG3808">
        <v>0</v>
      </c>
      <c r="DH3808">
        <v>0</v>
      </c>
      <c r="DI3808">
        <v>0</v>
      </c>
    </row>
    <row r="3809" spans="1:113" x14ac:dyDescent="0.3">
      <c r="A3809" t="str">
        <f t="shared" si="1761"/>
        <v>05/12/2020 14:47:51.847</v>
      </c>
      <c r="C3809" t="str">
        <f t="shared" si="1756"/>
        <v>FFDFD3C0</v>
      </c>
      <c r="D3809" t="s">
        <v>113</v>
      </c>
      <c r="E3809">
        <v>3</v>
      </c>
      <c r="H3809">
        <v>164</v>
      </c>
      <c r="I3809" t="s">
        <v>114</v>
      </c>
      <c r="J3809" t="s">
        <v>115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 t="shared" si="1762"/>
        <v>14:48:09.664</v>
      </c>
      <c r="T3809" t="str">
        <f t="shared" si="1763"/>
        <v>14:48:09.564</v>
      </c>
      <c r="U3809" t="str">
        <f t="shared" si="1748"/>
        <v>A9808D</v>
      </c>
      <c r="V3809">
        <v>0</v>
      </c>
      <c r="W3809">
        <v>0</v>
      </c>
      <c r="X3809">
        <v>1</v>
      </c>
      <c r="Z3809">
        <v>0</v>
      </c>
      <c r="AA3809">
        <v>9</v>
      </c>
      <c r="AB3809">
        <v>3</v>
      </c>
      <c r="AC3809">
        <v>0</v>
      </c>
      <c r="AD3809">
        <v>10</v>
      </c>
      <c r="AE3809">
        <v>0</v>
      </c>
      <c r="AF3809">
        <v>3</v>
      </c>
      <c r="AG3809">
        <v>2</v>
      </c>
      <c r="AH3809">
        <v>0</v>
      </c>
      <c r="AI3809" t="s">
        <v>865</v>
      </c>
      <c r="AJ3809">
        <v>28.271491999999999</v>
      </c>
      <c r="AK3809" t="s">
        <v>878</v>
      </c>
      <c r="AL3809">
        <v>-82.277254999999997</v>
      </c>
      <c r="AM3809">
        <v>100</v>
      </c>
      <c r="AN3809">
        <v>2200</v>
      </c>
      <c r="AO3809" t="s">
        <v>118</v>
      </c>
      <c r="AP3809">
        <v>-148</v>
      </c>
      <c r="AQ3809">
        <v>-8</v>
      </c>
      <c r="AR3809">
        <v>192</v>
      </c>
      <c r="AZ3809">
        <v>1200</v>
      </c>
      <c r="BA3809">
        <v>1</v>
      </c>
      <c r="BB3809" t="str">
        <f t="shared" si="1757"/>
        <v xml:space="preserve">N711JA  </v>
      </c>
      <c r="BC3809">
        <v>1</v>
      </c>
      <c r="BE3809">
        <v>0</v>
      </c>
      <c r="BF3809">
        <v>0</v>
      </c>
      <c r="BG3809">
        <v>0</v>
      </c>
      <c r="BH3809">
        <v>2250</v>
      </c>
      <c r="BI3809">
        <v>1</v>
      </c>
      <c r="BJ3809">
        <v>1</v>
      </c>
      <c r="BK3809">
        <v>0</v>
      </c>
      <c r="BL3809">
        <v>0</v>
      </c>
      <c r="BO3809">
        <v>0</v>
      </c>
      <c r="BP3809">
        <v>0</v>
      </c>
      <c r="BW3809" t="str">
        <f t="shared" si="1764"/>
        <v>14:48:09.664</v>
      </c>
      <c r="CJ3809">
        <v>0</v>
      </c>
      <c r="CK3809">
        <v>2</v>
      </c>
      <c r="CL3809">
        <v>0</v>
      </c>
      <c r="CM3809">
        <v>2</v>
      </c>
      <c r="CN3809">
        <v>0</v>
      </c>
      <c r="CO3809">
        <v>7</v>
      </c>
      <c r="CP3809" t="s">
        <v>119</v>
      </c>
      <c r="CQ3809">
        <v>8</v>
      </c>
      <c r="CR3809">
        <v>3</v>
      </c>
      <c r="CW3809">
        <v>9079796</v>
      </c>
      <c r="CY3809">
        <v>1</v>
      </c>
      <c r="CZ3809">
        <v>0</v>
      </c>
      <c r="DA3809">
        <v>1</v>
      </c>
      <c r="DB3809">
        <v>0</v>
      </c>
      <c r="DC3809">
        <v>0</v>
      </c>
      <c r="DD3809">
        <v>1</v>
      </c>
      <c r="DE3809">
        <v>0</v>
      </c>
      <c r="DF3809">
        <v>0</v>
      </c>
      <c r="DG3809">
        <v>0</v>
      </c>
      <c r="DH3809">
        <v>0</v>
      </c>
      <c r="DI3809">
        <v>0</v>
      </c>
    </row>
    <row r="3810" spans="1:113" x14ac:dyDescent="0.3">
      <c r="A3810" t="str">
        <f t="shared" si="1761"/>
        <v>05/12/2020 14:47:51.847</v>
      </c>
      <c r="C3810" t="str">
        <f t="shared" si="1756"/>
        <v>FFDFD3C0</v>
      </c>
      <c r="D3810" t="s">
        <v>138</v>
      </c>
      <c r="E3810">
        <v>2</v>
      </c>
      <c r="H3810">
        <v>8</v>
      </c>
      <c r="I3810" t="s">
        <v>139</v>
      </c>
      <c r="J3810" t="s">
        <v>136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 t="shared" si="1762"/>
        <v>14:48:09.664</v>
      </c>
      <c r="T3810" t="str">
        <f t="shared" si="1763"/>
        <v>14:48:09.564</v>
      </c>
      <c r="U3810" t="str">
        <f t="shared" si="1748"/>
        <v>A9808D</v>
      </c>
      <c r="V3810">
        <v>0</v>
      </c>
      <c r="W3810">
        <v>0</v>
      </c>
      <c r="X3810">
        <v>1</v>
      </c>
      <c r="Z3810">
        <v>0</v>
      </c>
      <c r="AA3810">
        <v>9</v>
      </c>
      <c r="AB3810">
        <v>3</v>
      </c>
      <c r="AC3810">
        <v>0</v>
      </c>
      <c r="AD3810">
        <v>10</v>
      </c>
      <c r="AE3810">
        <v>0</v>
      </c>
      <c r="AF3810">
        <v>3</v>
      </c>
      <c r="AG3810">
        <v>2</v>
      </c>
      <c r="AH3810">
        <v>0</v>
      </c>
      <c r="AI3810" t="s">
        <v>865</v>
      </c>
      <c r="AJ3810">
        <v>28.271491999999999</v>
      </c>
      <c r="AK3810" t="s">
        <v>878</v>
      </c>
      <c r="AL3810">
        <v>-82.277254999999997</v>
      </c>
      <c r="AM3810">
        <v>100</v>
      </c>
      <c r="AN3810">
        <v>2200</v>
      </c>
      <c r="AO3810" t="s">
        <v>118</v>
      </c>
      <c r="AP3810">
        <v>-148</v>
      </c>
      <c r="AQ3810">
        <v>-8</v>
      </c>
      <c r="AR3810">
        <v>192</v>
      </c>
      <c r="AZ3810">
        <v>1200</v>
      </c>
      <c r="BA3810">
        <v>1</v>
      </c>
      <c r="BB3810" t="str">
        <f t="shared" si="1757"/>
        <v xml:space="preserve">N711JA  </v>
      </c>
      <c r="BC3810">
        <v>1</v>
      </c>
      <c r="BE3810">
        <v>0</v>
      </c>
      <c r="BF3810">
        <v>0</v>
      </c>
      <c r="BG3810">
        <v>0</v>
      </c>
      <c r="BH3810">
        <v>2250</v>
      </c>
      <c r="BI3810">
        <v>1</v>
      </c>
      <c r="BJ3810">
        <v>1</v>
      </c>
      <c r="BK3810">
        <v>0</v>
      </c>
      <c r="BL3810">
        <v>0</v>
      </c>
      <c r="BO3810">
        <v>0</v>
      </c>
      <c r="BP3810">
        <v>0</v>
      </c>
      <c r="BW3810" t="str">
        <f t="shared" si="1764"/>
        <v>14:48:09.664</v>
      </c>
      <c r="CJ3810">
        <v>0</v>
      </c>
      <c r="CK3810">
        <v>2</v>
      </c>
      <c r="CL3810">
        <v>0</v>
      </c>
      <c r="CM3810">
        <v>2</v>
      </c>
      <c r="CN3810">
        <v>0</v>
      </c>
      <c r="CO3810">
        <v>7</v>
      </c>
      <c r="CP3810" t="s">
        <v>119</v>
      </c>
      <c r="CQ3810">
        <v>8</v>
      </c>
      <c r="CR3810">
        <v>3</v>
      </c>
      <c r="CW3810">
        <v>9079796</v>
      </c>
      <c r="CY3810">
        <v>1</v>
      </c>
      <c r="CZ3810">
        <v>0</v>
      </c>
      <c r="DA3810">
        <v>1</v>
      </c>
      <c r="DB3810">
        <v>0</v>
      </c>
      <c r="DC3810">
        <v>0</v>
      </c>
      <c r="DD3810">
        <v>1</v>
      </c>
      <c r="DE3810">
        <v>0</v>
      </c>
      <c r="DF3810">
        <v>0</v>
      </c>
      <c r="DG3810">
        <v>0</v>
      </c>
      <c r="DH3810">
        <v>0</v>
      </c>
      <c r="DI3810">
        <v>0</v>
      </c>
    </row>
    <row r="3811" spans="1:113" x14ac:dyDescent="0.3">
      <c r="A3811" t="str">
        <f t="shared" si="1761"/>
        <v>05/12/2020 14:47:51.847</v>
      </c>
      <c r="C3811" t="str">
        <f t="shared" si="1756"/>
        <v>FFDFD3C0</v>
      </c>
      <c r="D3811" t="s">
        <v>138</v>
      </c>
      <c r="E3811">
        <v>3</v>
      </c>
      <c r="H3811">
        <v>9</v>
      </c>
      <c r="I3811" t="s">
        <v>140</v>
      </c>
      <c r="J3811" t="s">
        <v>136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 t="shared" si="1762"/>
        <v>14:48:09.664</v>
      </c>
      <c r="T3811" t="str">
        <f t="shared" si="1763"/>
        <v>14:48:09.564</v>
      </c>
      <c r="U3811" t="str">
        <f t="shared" si="1748"/>
        <v>A9808D</v>
      </c>
      <c r="V3811">
        <v>0</v>
      </c>
      <c r="W3811">
        <v>0</v>
      </c>
      <c r="X3811">
        <v>1</v>
      </c>
      <c r="Z3811">
        <v>0</v>
      </c>
      <c r="AA3811">
        <v>9</v>
      </c>
      <c r="AB3811">
        <v>3</v>
      </c>
      <c r="AC3811">
        <v>0</v>
      </c>
      <c r="AD3811">
        <v>10</v>
      </c>
      <c r="AE3811">
        <v>0</v>
      </c>
      <c r="AF3811">
        <v>3</v>
      </c>
      <c r="AG3811">
        <v>2</v>
      </c>
      <c r="AH3811">
        <v>0</v>
      </c>
      <c r="AI3811" t="s">
        <v>865</v>
      </c>
      <c r="AJ3811">
        <v>28.271491999999999</v>
      </c>
      <c r="AK3811" t="s">
        <v>878</v>
      </c>
      <c r="AL3811">
        <v>-82.277254999999997</v>
      </c>
      <c r="AM3811">
        <v>100</v>
      </c>
      <c r="AN3811">
        <v>2200</v>
      </c>
      <c r="AO3811" t="s">
        <v>118</v>
      </c>
      <c r="AP3811">
        <v>-148</v>
      </c>
      <c r="AQ3811">
        <v>-8</v>
      </c>
      <c r="AR3811">
        <v>192</v>
      </c>
      <c r="AZ3811">
        <v>1200</v>
      </c>
      <c r="BA3811">
        <v>1</v>
      </c>
      <c r="BB3811" t="str">
        <f t="shared" si="1757"/>
        <v xml:space="preserve">N711JA  </v>
      </c>
      <c r="BC3811">
        <v>1</v>
      </c>
      <c r="BE3811">
        <v>0</v>
      </c>
      <c r="BF3811">
        <v>0</v>
      </c>
      <c r="BG3811">
        <v>0</v>
      </c>
      <c r="BH3811">
        <v>2250</v>
      </c>
      <c r="BI3811">
        <v>1</v>
      </c>
      <c r="BJ3811">
        <v>1</v>
      </c>
      <c r="BK3811">
        <v>0</v>
      </c>
      <c r="BL3811">
        <v>0</v>
      </c>
      <c r="BO3811">
        <v>0</v>
      </c>
      <c r="BP3811">
        <v>0</v>
      </c>
      <c r="BW3811" t="str">
        <f t="shared" si="1764"/>
        <v>14:48:09.664</v>
      </c>
      <c r="CJ3811">
        <v>0</v>
      </c>
      <c r="CK3811">
        <v>2</v>
      </c>
      <c r="CL3811">
        <v>0</v>
      </c>
      <c r="CM3811">
        <v>2</v>
      </c>
      <c r="CN3811">
        <v>0</v>
      </c>
      <c r="CO3811">
        <v>7</v>
      </c>
      <c r="CP3811" t="s">
        <v>119</v>
      </c>
      <c r="CQ3811">
        <v>8</v>
      </c>
      <c r="CR3811">
        <v>3</v>
      </c>
      <c r="CW3811">
        <v>9079796</v>
      </c>
      <c r="CY3811">
        <v>1</v>
      </c>
      <c r="CZ3811">
        <v>0</v>
      </c>
      <c r="DA3811">
        <v>1</v>
      </c>
      <c r="DB3811">
        <v>0</v>
      </c>
      <c r="DC3811">
        <v>0</v>
      </c>
      <c r="DD3811">
        <v>1</v>
      </c>
      <c r="DE3811">
        <v>0</v>
      </c>
      <c r="DF3811">
        <v>0</v>
      </c>
      <c r="DG3811">
        <v>0</v>
      </c>
      <c r="DH3811">
        <v>0</v>
      </c>
      <c r="DI3811">
        <v>0</v>
      </c>
    </row>
    <row r="3812" spans="1:113" x14ac:dyDescent="0.3">
      <c r="A3812" t="str">
        <f t="shared" si="1761"/>
        <v>05/12/2020 14:47:51.847</v>
      </c>
      <c r="C3812" t="str">
        <f t="shared" si="1756"/>
        <v>FFDFD3C0</v>
      </c>
      <c r="D3812" t="s">
        <v>131</v>
      </c>
      <c r="E3812">
        <v>10</v>
      </c>
      <c r="F3812">
        <v>2010</v>
      </c>
      <c r="G3812" t="s">
        <v>132</v>
      </c>
      <c r="J3812" t="s">
        <v>133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 t="shared" si="1762"/>
        <v>14:48:09.664</v>
      </c>
      <c r="T3812" t="str">
        <f t="shared" si="1763"/>
        <v>14:48:09.564</v>
      </c>
      <c r="U3812" t="str">
        <f t="shared" si="1748"/>
        <v>A9808D</v>
      </c>
      <c r="V3812">
        <v>0</v>
      </c>
      <c r="W3812">
        <v>0</v>
      </c>
      <c r="X3812">
        <v>1</v>
      </c>
      <c r="Z3812">
        <v>0</v>
      </c>
      <c r="AA3812">
        <v>9</v>
      </c>
      <c r="AB3812">
        <v>3</v>
      </c>
      <c r="AC3812">
        <v>0</v>
      </c>
      <c r="AD3812">
        <v>10</v>
      </c>
      <c r="AE3812">
        <v>0</v>
      </c>
      <c r="AF3812">
        <v>3</v>
      </c>
      <c r="AG3812">
        <v>2</v>
      </c>
      <c r="AH3812">
        <v>0</v>
      </c>
      <c r="AI3812" t="s">
        <v>865</v>
      </c>
      <c r="AJ3812">
        <v>28.271491999999999</v>
      </c>
      <c r="AK3812" t="s">
        <v>878</v>
      </c>
      <c r="AL3812">
        <v>-82.277254999999997</v>
      </c>
      <c r="AM3812">
        <v>100</v>
      </c>
      <c r="AN3812">
        <v>2200</v>
      </c>
      <c r="AO3812" t="s">
        <v>118</v>
      </c>
      <c r="AP3812">
        <v>-148</v>
      </c>
      <c r="AQ3812">
        <v>-8</v>
      </c>
      <c r="AR3812">
        <v>192</v>
      </c>
      <c r="AZ3812">
        <v>1200</v>
      </c>
      <c r="BA3812">
        <v>1</v>
      </c>
      <c r="BB3812" t="str">
        <f t="shared" si="1757"/>
        <v xml:space="preserve">N711JA  </v>
      </c>
      <c r="BC3812">
        <v>1</v>
      </c>
      <c r="BE3812">
        <v>0</v>
      </c>
      <c r="BF3812">
        <v>0</v>
      </c>
      <c r="BG3812">
        <v>0</v>
      </c>
      <c r="BH3812">
        <v>2250</v>
      </c>
      <c r="BI3812">
        <v>1</v>
      </c>
      <c r="BJ3812">
        <v>1</v>
      </c>
      <c r="BK3812">
        <v>0</v>
      </c>
      <c r="BL3812">
        <v>0</v>
      </c>
      <c r="BO3812">
        <v>0</v>
      </c>
      <c r="BP3812">
        <v>0</v>
      </c>
      <c r="BW3812" t="str">
        <f t="shared" si="1764"/>
        <v>14:48:09.664</v>
      </c>
      <c r="CJ3812">
        <v>0</v>
      </c>
      <c r="CK3812">
        <v>2</v>
      </c>
      <c r="CL3812">
        <v>0</v>
      </c>
      <c r="CM3812">
        <v>2</v>
      </c>
      <c r="CN3812">
        <v>0</v>
      </c>
      <c r="CO3812">
        <v>7</v>
      </c>
      <c r="CP3812" t="s">
        <v>119</v>
      </c>
      <c r="CQ3812">
        <v>8</v>
      </c>
      <c r="CR3812">
        <v>3</v>
      </c>
      <c r="CW3812">
        <v>9079796</v>
      </c>
      <c r="CY3812">
        <v>1</v>
      </c>
      <c r="CZ3812">
        <v>0</v>
      </c>
      <c r="DA3812">
        <v>1</v>
      </c>
      <c r="DB3812">
        <v>0</v>
      </c>
      <c r="DC3812">
        <v>0</v>
      </c>
      <c r="DD3812">
        <v>1</v>
      </c>
      <c r="DE3812">
        <v>0</v>
      </c>
      <c r="DF3812">
        <v>0</v>
      </c>
      <c r="DG3812">
        <v>0</v>
      </c>
      <c r="DH3812">
        <v>0</v>
      </c>
      <c r="DI3812">
        <v>0</v>
      </c>
    </row>
    <row r="3813" spans="1:113" x14ac:dyDescent="0.3">
      <c r="A3813" t="str">
        <f t="shared" si="1761"/>
        <v>05/12/2020 14:47:51.847</v>
      </c>
      <c r="C3813" t="str">
        <f t="shared" si="1756"/>
        <v>FFDFD3C0</v>
      </c>
      <c r="D3813" t="s">
        <v>126</v>
      </c>
      <c r="E3813">
        <v>7</v>
      </c>
      <c r="F3813">
        <v>1007</v>
      </c>
      <c r="G3813" t="s">
        <v>127</v>
      </c>
      <c r="J3813" t="s">
        <v>128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 t="shared" si="1762"/>
        <v>14:48:09.664</v>
      </c>
      <c r="T3813" t="str">
        <f t="shared" si="1763"/>
        <v>14:48:09.564</v>
      </c>
      <c r="U3813" t="str">
        <f t="shared" si="1748"/>
        <v>A9808D</v>
      </c>
      <c r="V3813">
        <v>0</v>
      </c>
      <c r="W3813">
        <v>0</v>
      </c>
      <c r="X3813">
        <v>1</v>
      </c>
      <c r="Z3813">
        <v>0</v>
      </c>
      <c r="AA3813">
        <v>9</v>
      </c>
      <c r="AB3813">
        <v>3</v>
      </c>
      <c r="AC3813">
        <v>0</v>
      </c>
      <c r="AD3813">
        <v>10</v>
      </c>
      <c r="AE3813">
        <v>0</v>
      </c>
      <c r="AF3813">
        <v>3</v>
      </c>
      <c r="AG3813">
        <v>2</v>
      </c>
      <c r="AH3813">
        <v>0</v>
      </c>
      <c r="AI3813" t="s">
        <v>865</v>
      </c>
      <c r="AJ3813">
        <v>28.271491999999999</v>
      </c>
      <c r="AK3813" t="s">
        <v>878</v>
      </c>
      <c r="AL3813">
        <v>-82.277254999999997</v>
      </c>
      <c r="AM3813">
        <v>100</v>
      </c>
      <c r="AN3813">
        <v>2200</v>
      </c>
      <c r="AO3813" t="s">
        <v>118</v>
      </c>
      <c r="AP3813">
        <v>-148</v>
      </c>
      <c r="AQ3813">
        <v>-8</v>
      </c>
      <c r="AR3813">
        <v>192</v>
      </c>
      <c r="AZ3813">
        <v>1200</v>
      </c>
      <c r="BA3813">
        <v>1</v>
      </c>
      <c r="BB3813" t="str">
        <f t="shared" si="1757"/>
        <v xml:space="preserve">N711JA  </v>
      </c>
      <c r="BC3813">
        <v>1</v>
      </c>
      <c r="BE3813">
        <v>0</v>
      </c>
      <c r="BF3813">
        <v>0</v>
      </c>
      <c r="BG3813">
        <v>0</v>
      </c>
      <c r="BH3813">
        <v>2250</v>
      </c>
      <c r="BI3813">
        <v>1</v>
      </c>
      <c r="BJ3813">
        <v>1</v>
      </c>
      <c r="BK3813">
        <v>0</v>
      </c>
      <c r="BL3813">
        <v>0</v>
      </c>
      <c r="BO3813">
        <v>0</v>
      </c>
      <c r="BP3813">
        <v>0</v>
      </c>
      <c r="BW3813" t="str">
        <f t="shared" si="1764"/>
        <v>14:48:09.664</v>
      </c>
      <c r="CJ3813">
        <v>0</v>
      </c>
      <c r="CK3813">
        <v>2</v>
      </c>
      <c r="CL3813">
        <v>0</v>
      </c>
      <c r="CM3813">
        <v>2</v>
      </c>
      <c r="CN3813">
        <v>0</v>
      </c>
      <c r="CO3813">
        <v>7</v>
      </c>
      <c r="CP3813" t="s">
        <v>119</v>
      </c>
      <c r="CQ3813">
        <v>8</v>
      </c>
      <c r="CR3813">
        <v>3</v>
      </c>
      <c r="CW3813">
        <v>9079796</v>
      </c>
      <c r="CY3813">
        <v>1</v>
      </c>
      <c r="CZ3813">
        <v>0</v>
      </c>
      <c r="DA3813">
        <v>1</v>
      </c>
      <c r="DB3813">
        <v>0</v>
      </c>
      <c r="DC3813">
        <v>0</v>
      </c>
      <c r="DD3813">
        <v>1</v>
      </c>
      <c r="DE3813">
        <v>0</v>
      </c>
      <c r="DF3813">
        <v>0</v>
      </c>
      <c r="DG3813">
        <v>0</v>
      </c>
      <c r="DH3813">
        <v>0</v>
      </c>
      <c r="DI3813">
        <v>0</v>
      </c>
    </row>
    <row r="3814" spans="1:113" x14ac:dyDescent="0.3">
      <c r="A3814" t="str">
        <f t="shared" si="1761"/>
        <v>05/12/2020 14:47:51.847</v>
      </c>
      <c r="C3814" t="str">
        <f t="shared" si="1756"/>
        <v>FFDFD3C0</v>
      </c>
      <c r="D3814" t="s">
        <v>131</v>
      </c>
      <c r="E3814">
        <v>12</v>
      </c>
      <c r="F3814">
        <v>2012</v>
      </c>
      <c r="G3814" t="s">
        <v>137</v>
      </c>
      <c r="J3814" t="s">
        <v>133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 t="shared" si="1762"/>
        <v>14:48:09.664</v>
      </c>
      <c r="T3814" t="str">
        <f t="shared" si="1763"/>
        <v>14:48:09.564</v>
      </c>
      <c r="U3814" t="str">
        <f t="shared" si="1748"/>
        <v>A9808D</v>
      </c>
      <c r="V3814">
        <v>0</v>
      </c>
      <c r="W3814">
        <v>0</v>
      </c>
      <c r="X3814">
        <v>1</v>
      </c>
      <c r="Z3814">
        <v>0</v>
      </c>
      <c r="AA3814">
        <v>9</v>
      </c>
      <c r="AB3814">
        <v>3</v>
      </c>
      <c r="AC3814">
        <v>0</v>
      </c>
      <c r="AD3814">
        <v>10</v>
      </c>
      <c r="AE3814">
        <v>0</v>
      </c>
      <c r="AF3814">
        <v>3</v>
      </c>
      <c r="AG3814">
        <v>2</v>
      </c>
      <c r="AH3814">
        <v>0</v>
      </c>
      <c r="AI3814" t="s">
        <v>865</v>
      </c>
      <c r="AJ3814">
        <v>28.271491999999999</v>
      </c>
      <c r="AK3814" t="s">
        <v>878</v>
      </c>
      <c r="AL3814">
        <v>-82.277254999999997</v>
      </c>
      <c r="AM3814">
        <v>100</v>
      </c>
      <c r="AN3814">
        <v>2200</v>
      </c>
      <c r="AO3814" t="s">
        <v>118</v>
      </c>
      <c r="AP3814">
        <v>-148</v>
      </c>
      <c r="AQ3814">
        <v>-8</v>
      </c>
      <c r="AR3814">
        <v>192</v>
      </c>
      <c r="AZ3814">
        <v>1200</v>
      </c>
      <c r="BA3814">
        <v>1</v>
      </c>
      <c r="BB3814" t="str">
        <f t="shared" si="1757"/>
        <v xml:space="preserve">N711JA  </v>
      </c>
      <c r="BC3814">
        <v>1</v>
      </c>
      <c r="BE3814">
        <v>0</v>
      </c>
      <c r="BF3814">
        <v>0</v>
      </c>
      <c r="BG3814">
        <v>0</v>
      </c>
      <c r="BH3814">
        <v>2250</v>
      </c>
      <c r="BI3814">
        <v>1</v>
      </c>
      <c r="BJ3814">
        <v>1</v>
      </c>
      <c r="BK3814">
        <v>0</v>
      </c>
      <c r="BL3814">
        <v>0</v>
      </c>
      <c r="BO3814">
        <v>0</v>
      </c>
      <c r="BP3814">
        <v>0</v>
      </c>
      <c r="BW3814" t="str">
        <f t="shared" si="1764"/>
        <v>14:48:09.664</v>
      </c>
      <c r="CJ3814">
        <v>0</v>
      </c>
      <c r="CK3814">
        <v>2</v>
      </c>
      <c r="CL3814">
        <v>0</v>
      </c>
      <c r="CM3814">
        <v>2</v>
      </c>
      <c r="CN3814">
        <v>0</v>
      </c>
      <c r="CO3814">
        <v>7</v>
      </c>
      <c r="CP3814" t="s">
        <v>119</v>
      </c>
      <c r="CQ3814">
        <v>8</v>
      </c>
      <c r="CR3814">
        <v>3</v>
      </c>
      <c r="CW3814">
        <v>9079796</v>
      </c>
      <c r="CY3814">
        <v>1</v>
      </c>
      <c r="CZ3814">
        <v>0</v>
      </c>
      <c r="DA3814">
        <v>1</v>
      </c>
      <c r="DB3814">
        <v>0</v>
      </c>
      <c r="DC3814">
        <v>0</v>
      </c>
      <c r="DD3814">
        <v>1</v>
      </c>
      <c r="DE3814">
        <v>0</v>
      </c>
      <c r="DF3814">
        <v>0</v>
      </c>
      <c r="DG3814">
        <v>0</v>
      </c>
      <c r="DH3814">
        <v>0</v>
      </c>
      <c r="DI3814">
        <v>0</v>
      </c>
    </row>
    <row r="3815" spans="1:113" x14ac:dyDescent="0.3">
      <c r="A3815" t="str">
        <f t="shared" si="1761"/>
        <v>05/12/2020 14:47:51.847</v>
      </c>
      <c r="C3815" t="str">
        <f t="shared" si="1756"/>
        <v>FFDFD3C0</v>
      </c>
      <c r="D3815" t="s">
        <v>131</v>
      </c>
      <c r="E3815">
        <v>18</v>
      </c>
      <c r="F3815">
        <v>2018</v>
      </c>
      <c r="G3815" t="s">
        <v>161</v>
      </c>
      <c r="J3815" t="s">
        <v>133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 t="shared" si="1762"/>
        <v>14:48:09.664</v>
      </c>
      <c r="T3815" t="str">
        <f>"14:48:09.164"</f>
        <v>14:48:09.164</v>
      </c>
      <c r="U3815" t="str">
        <f t="shared" si="1748"/>
        <v>A9808D</v>
      </c>
      <c r="V3815">
        <v>0</v>
      </c>
      <c r="W3815">
        <v>0</v>
      </c>
      <c r="X3815">
        <v>1</v>
      </c>
      <c r="Z3815">
        <v>0</v>
      </c>
      <c r="AA3815">
        <v>9</v>
      </c>
      <c r="AB3815">
        <v>3</v>
      </c>
      <c r="AC3815">
        <v>0</v>
      </c>
      <c r="AD3815">
        <v>10</v>
      </c>
      <c r="AE3815">
        <v>0</v>
      </c>
      <c r="AF3815">
        <v>3</v>
      </c>
      <c r="AG3815">
        <v>2</v>
      </c>
      <c r="AH3815">
        <v>0</v>
      </c>
      <c r="AI3815" t="s">
        <v>865</v>
      </c>
      <c r="AJ3815">
        <v>28.271491999999999</v>
      </c>
      <c r="AK3815" t="s">
        <v>878</v>
      </c>
      <c r="AL3815">
        <v>-82.277254999999997</v>
      </c>
      <c r="AM3815">
        <v>100</v>
      </c>
      <c r="AN3815">
        <v>2200</v>
      </c>
      <c r="AO3815" t="s">
        <v>118</v>
      </c>
      <c r="AP3815">
        <v>-148</v>
      </c>
      <c r="AQ3815">
        <v>-7</v>
      </c>
      <c r="AR3815">
        <v>192</v>
      </c>
      <c r="AZ3815">
        <v>1200</v>
      </c>
      <c r="BA3815">
        <v>1</v>
      </c>
      <c r="BB3815" t="str">
        <f t="shared" si="1757"/>
        <v xml:space="preserve">N711JA  </v>
      </c>
      <c r="BC3815">
        <v>1</v>
      </c>
      <c r="BE3815">
        <v>0</v>
      </c>
      <c r="BF3815">
        <v>0</v>
      </c>
      <c r="BG3815">
        <v>0</v>
      </c>
      <c r="BH3815">
        <v>2225</v>
      </c>
      <c r="BI3815">
        <v>1</v>
      </c>
      <c r="BJ3815">
        <v>1</v>
      </c>
      <c r="BK3815">
        <v>0</v>
      </c>
      <c r="BL3815">
        <v>0</v>
      </c>
      <c r="BO3815">
        <v>0</v>
      </c>
      <c r="BP3815">
        <v>0</v>
      </c>
      <c r="BW3815" t="str">
        <f t="shared" si="1764"/>
        <v>14:48:09.664</v>
      </c>
      <c r="CJ3815">
        <v>0</v>
      </c>
      <c r="CK3815">
        <v>2</v>
      </c>
      <c r="CL3815">
        <v>0</v>
      </c>
      <c r="CM3815">
        <v>2</v>
      </c>
      <c r="CN3815">
        <v>0</v>
      </c>
      <c r="CO3815">
        <v>4</v>
      </c>
      <c r="CP3815" t="s">
        <v>119</v>
      </c>
      <c r="CQ3815">
        <v>62</v>
      </c>
      <c r="CR3815">
        <v>1</v>
      </c>
      <c r="CW3815">
        <v>12969743</v>
      </c>
      <c r="CY3815">
        <v>1</v>
      </c>
      <c r="CZ3815">
        <v>0</v>
      </c>
      <c r="DA3815">
        <v>1</v>
      </c>
      <c r="DB3815">
        <v>0</v>
      </c>
      <c r="DC3815">
        <v>0</v>
      </c>
      <c r="DD3815">
        <v>1</v>
      </c>
      <c r="DE3815">
        <v>0</v>
      </c>
      <c r="DF3815">
        <v>0</v>
      </c>
      <c r="DG3815">
        <v>0</v>
      </c>
      <c r="DH3815">
        <v>0</v>
      </c>
      <c r="DI3815">
        <v>0</v>
      </c>
    </row>
    <row r="3816" spans="1:113" x14ac:dyDescent="0.3">
      <c r="A3816" t="str">
        <f t="shared" si="1761"/>
        <v>05/12/2020 14:47:51.847</v>
      </c>
      <c r="C3816" t="str">
        <f t="shared" si="1756"/>
        <v>FFDFD3C0</v>
      </c>
      <c r="D3816" t="s">
        <v>126</v>
      </c>
      <c r="E3816">
        <v>6</v>
      </c>
      <c r="F3816">
        <v>1006</v>
      </c>
      <c r="G3816" t="s">
        <v>114</v>
      </c>
      <c r="J3816" t="s">
        <v>128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 t="shared" si="1762"/>
        <v>14:48:09.664</v>
      </c>
      <c r="T3816" t="str">
        <f>"14:48:09.564"</f>
        <v>14:48:09.564</v>
      </c>
      <c r="U3816" t="str">
        <f t="shared" si="1748"/>
        <v>A9808D</v>
      </c>
      <c r="V3816">
        <v>0</v>
      </c>
      <c r="W3816">
        <v>0</v>
      </c>
      <c r="X3816">
        <v>1</v>
      </c>
      <c r="Z3816">
        <v>0</v>
      </c>
      <c r="AA3816">
        <v>9</v>
      </c>
      <c r="AB3816">
        <v>3</v>
      </c>
      <c r="AC3816">
        <v>0</v>
      </c>
      <c r="AD3816">
        <v>10</v>
      </c>
      <c r="AE3816">
        <v>0</v>
      </c>
      <c r="AF3816">
        <v>3</v>
      </c>
      <c r="AG3816">
        <v>2</v>
      </c>
      <c r="AH3816">
        <v>0</v>
      </c>
      <c r="AI3816" t="s">
        <v>865</v>
      </c>
      <c r="AJ3816">
        <v>28.271491999999999</v>
      </c>
      <c r="AK3816" t="s">
        <v>878</v>
      </c>
      <c r="AL3816">
        <v>-82.277254999999997</v>
      </c>
      <c r="AM3816">
        <v>100</v>
      </c>
      <c r="AN3816">
        <v>2200</v>
      </c>
      <c r="AO3816" t="s">
        <v>118</v>
      </c>
      <c r="AP3816">
        <v>-148</v>
      </c>
      <c r="AQ3816">
        <v>-8</v>
      </c>
      <c r="AR3816">
        <v>192</v>
      </c>
      <c r="AZ3816">
        <v>1200</v>
      </c>
      <c r="BA3816">
        <v>1</v>
      </c>
      <c r="BB3816" t="str">
        <f t="shared" si="1757"/>
        <v xml:space="preserve">N711JA  </v>
      </c>
      <c r="BC3816">
        <v>1</v>
      </c>
      <c r="BE3816">
        <v>0</v>
      </c>
      <c r="BF3816">
        <v>0</v>
      </c>
      <c r="BG3816">
        <v>0</v>
      </c>
      <c r="BH3816">
        <v>2250</v>
      </c>
      <c r="BI3816">
        <v>1</v>
      </c>
      <c r="BJ3816">
        <v>1</v>
      </c>
      <c r="BK3816">
        <v>0</v>
      </c>
      <c r="BL3816">
        <v>0</v>
      </c>
      <c r="BO3816">
        <v>0</v>
      </c>
      <c r="BP3816">
        <v>0</v>
      </c>
      <c r="BW3816" t="str">
        <f t="shared" si="1764"/>
        <v>14:48:09.664</v>
      </c>
      <c r="CJ3816">
        <v>0</v>
      </c>
      <c r="CK3816">
        <v>2</v>
      </c>
      <c r="CL3816">
        <v>0</v>
      </c>
      <c r="CM3816">
        <v>2</v>
      </c>
      <c r="CN3816">
        <v>0</v>
      </c>
      <c r="CO3816">
        <v>7</v>
      </c>
      <c r="CP3816" t="s">
        <v>119</v>
      </c>
      <c r="CQ3816">
        <v>8</v>
      </c>
      <c r="CR3816">
        <v>3</v>
      </c>
      <c r="CW3816">
        <v>9079796</v>
      </c>
      <c r="CY3816">
        <v>1</v>
      </c>
      <c r="CZ3816">
        <v>0</v>
      </c>
      <c r="DA3816">
        <v>1</v>
      </c>
      <c r="DB3816">
        <v>0</v>
      </c>
      <c r="DC3816">
        <v>0</v>
      </c>
      <c r="DD3816">
        <v>1</v>
      </c>
      <c r="DE3816">
        <v>0</v>
      </c>
      <c r="DF3816">
        <v>0</v>
      </c>
      <c r="DG3816">
        <v>0</v>
      </c>
      <c r="DH3816">
        <v>0</v>
      </c>
      <c r="DI3816">
        <v>0</v>
      </c>
    </row>
    <row r="3817" spans="1:113" x14ac:dyDescent="0.3">
      <c r="A3817" t="str">
        <f t="shared" ref="A3817:A3825" si="1765">"05/12/2020 14:47:52.781"</f>
        <v>05/12/2020 14:47:52.781</v>
      </c>
      <c r="C3817" t="str">
        <f t="shared" si="1756"/>
        <v>FFDFD3C0</v>
      </c>
      <c r="D3817" t="s">
        <v>131</v>
      </c>
      <c r="E3817">
        <v>10</v>
      </c>
      <c r="F3817">
        <v>2010</v>
      </c>
      <c r="G3817" t="s">
        <v>132</v>
      </c>
      <c r="J3817" t="s">
        <v>133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 t="shared" ref="S3817:S3825" si="1766">"14:48:10.609"</f>
        <v>14:48:10.609</v>
      </c>
      <c r="T3817" t="str">
        <f t="shared" ref="T3817:T3825" si="1767">"14:48:10.109"</f>
        <v>14:48:10.109</v>
      </c>
      <c r="U3817" t="str">
        <f t="shared" si="1748"/>
        <v>A9808D</v>
      </c>
      <c r="V3817">
        <v>0</v>
      </c>
      <c r="W3817">
        <v>0</v>
      </c>
      <c r="X3817">
        <v>1</v>
      </c>
      <c r="Z3817">
        <v>0</v>
      </c>
      <c r="AA3817">
        <v>9</v>
      </c>
      <c r="AB3817">
        <v>3</v>
      </c>
      <c r="AC3817">
        <v>0</v>
      </c>
      <c r="AD3817">
        <v>10</v>
      </c>
      <c r="AE3817">
        <v>0</v>
      </c>
      <c r="AF3817">
        <v>3</v>
      </c>
      <c r="AG3817">
        <v>2</v>
      </c>
      <c r="AH3817">
        <v>0</v>
      </c>
      <c r="AI3817" t="s">
        <v>863</v>
      </c>
      <c r="AJ3817">
        <v>28.271449</v>
      </c>
      <c r="AK3817" t="s">
        <v>879</v>
      </c>
      <c r="AL3817">
        <v>-82.278028000000006</v>
      </c>
      <c r="AM3817">
        <v>100</v>
      </c>
      <c r="AN3817">
        <v>2200</v>
      </c>
      <c r="AO3817" t="s">
        <v>118</v>
      </c>
      <c r="AP3817">
        <v>-148</v>
      </c>
      <c r="AQ3817">
        <v>-9</v>
      </c>
      <c r="AR3817">
        <v>256</v>
      </c>
      <c r="AZ3817">
        <v>1200</v>
      </c>
      <c r="BA3817">
        <v>1</v>
      </c>
      <c r="BB3817" t="str">
        <f t="shared" si="1757"/>
        <v xml:space="preserve">N711JA  </v>
      </c>
      <c r="BC3817">
        <v>1</v>
      </c>
      <c r="BE3817">
        <v>0</v>
      </c>
      <c r="BF3817">
        <v>0</v>
      </c>
      <c r="BG3817">
        <v>0</v>
      </c>
      <c r="BH3817">
        <v>2250</v>
      </c>
      <c r="BI3817">
        <v>1</v>
      </c>
      <c r="BJ3817">
        <v>1</v>
      </c>
      <c r="BK3817">
        <v>0</v>
      </c>
      <c r="BL3817">
        <v>0</v>
      </c>
      <c r="BO3817">
        <v>0</v>
      </c>
      <c r="BP3817">
        <v>0</v>
      </c>
      <c r="BW3817" t="str">
        <f t="shared" ref="BW3817:BW3825" si="1768">"14:48:10.616"</f>
        <v>14:48:10.616</v>
      </c>
      <c r="CJ3817">
        <v>0</v>
      </c>
      <c r="CK3817">
        <v>2</v>
      </c>
      <c r="CL3817">
        <v>0</v>
      </c>
      <c r="CM3817">
        <v>2</v>
      </c>
      <c r="CN3817">
        <v>0</v>
      </c>
      <c r="CO3817">
        <v>7</v>
      </c>
      <c r="CP3817" t="s">
        <v>119</v>
      </c>
      <c r="CQ3817">
        <v>8</v>
      </c>
      <c r="CR3817">
        <v>3</v>
      </c>
      <c r="CW3817">
        <v>9080767</v>
      </c>
      <c r="CY3817">
        <v>1</v>
      </c>
      <c r="CZ3817">
        <v>0</v>
      </c>
      <c r="DA3817">
        <v>0</v>
      </c>
      <c r="DB3817">
        <v>0</v>
      </c>
      <c r="DC3817">
        <v>0</v>
      </c>
      <c r="DD3817">
        <v>1</v>
      </c>
      <c r="DE3817">
        <v>0</v>
      </c>
      <c r="DF3817">
        <v>0</v>
      </c>
      <c r="DG3817">
        <v>0</v>
      </c>
      <c r="DH3817">
        <v>0</v>
      </c>
      <c r="DI3817">
        <v>0</v>
      </c>
    </row>
    <row r="3818" spans="1:113" x14ac:dyDescent="0.3">
      <c r="A3818" t="str">
        <f t="shared" si="1765"/>
        <v>05/12/2020 14:47:52.781</v>
      </c>
      <c r="C3818" t="str">
        <f t="shared" si="1756"/>
        <v>FFDFD3C0</v>
      </c>
      <c r="D3818" t="s">
        <v>126</v>
      </c>
      <c r="E3818">
        <v>7</v>
      </c>
      <c r="F3818">
        <v>1007</v>
      </c>
      <c r="G3818" t="s">
        <v>127</v>
      </c>
      <c r="J3818" t="s">
        <v>128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 t="shared" si="1766"/>
        <v>14:48:10.609</v>
      </c>
      <c r="T3818" t="str">
        <f t="shared" si="1767"/>
        <v>14:48:10.109</v>
      </c>
      <c r="U3818" t="str">
        <f t="shared" si="1748"/>
        <v>A9808D</v>
      </c>
      <c r="V3818">
        <v>0</v>
      </c>
      <c r="W3818">
        <v>0</v>
      </c>
      <c r="X3818">
        <v>1</v>
      </c>
      <c r="Z3818">
        <v>0</v>
      </c>
      <c r="AA3818">
        <v>9</v>
      </c>
      <c r="AB3818">
        <v>3</v>
      </c>
      <c r="AC3818">
        <v>0</v>
      </c>
      <c r="AD3818">
        <v>10</v>
      </c>
      <c r="AE3818">
        <v>0</v>
      </c>
      <c r="AF3818">
        <v>3</v>
      </c>
      <c r="AG3818">
        <v>2</v>
      </c>
      <c r="AH3818">
        <v>0</v>
      </c>
      <c r="AI3818" t="s">
        <v>863</v>
      </c>
      <c r="AJ3818">
        <v>28.271449</v>
      </c>
      <c r="AK3818" t="s">
        <v>879</v>
      </c>
      <c r="AL3818">
        <v>-82.278028000000006</v>
      </c>
      <c r="AM3818">
        <v>100</v>
      </c>
      <c r="AN3818">
        <v>2200</v>
      </c>
      <c r="AO3818" t="s">
        <v>118</v>
      </c>
      <c r="AP3818">
        <v>-148</v>
      </c>
      <c r="AQ3818">
        <v>-9</v>
      </c>
      <c r="AR3818">
        <v>256</v>
      </c>
      <c r="AZ3818">
        <v>1200</v>
      </c>
      <c r="BA3818">
        <v>1</v>
      </c>
      <c r="BB3818" t="str">
        <f t="shared" si="1757"/>
        <v xml:space="preserve">N711JA  </v>
      </c>
      <c r="BC3818">
        <v>1</v>
      </c>
      <c r="BE3818">
        <v>0</v>
      </c>
      <c r="BF3818">
        <v>0</v>
      </c>
      <c r="BG3818">
        <v>0</v>
      </c>
      <c r="BH3818">
        <v>2250</v>
      </c>
      <c r="BI3818">
        <v>1</v>
      </c>
      <c r="BJ3818">
        <v>1</v>
      </c>
      <c r="BK3818">
        <v>0</v>
      </c>
      <c r="BL3818">
        <v>0</v>
      </c>
      <c r="BO3818">
        <v>0</v>
      </c>
      <c r="BP3818">
        <v>0</v>
      </c>
      <c r="BW3818" t="str">
        <f t="shared" si="1768"/>
        <v>14:48:10.616</v>
      </c>
      <c r="CJ3818">
        <v>0</v>
      </c>
      <c r="CK3818">
        <v>2</v>
      </c>
      <c r="CL3818">
        <v>0</v>
      </c>
      <c r="CM3818">
        <v>2</v>
      </c>
      <c r="CN3818">
        <v>0</v>
      </c>
      <c r="CO3818">
        <v>7</v>
      </c>
      <c r="CP3818" t="s">
        <v>119</v>
      </c>
      <c r="CQ3818">
        <v>8</v>
      </c>
      <c r="CR3818">
        <v>3</v>
      </c>
      <c r="CW3818">
        <v>9080767</v>
      </c>
      <c r="CY3818">
        <v>1</v>
      </c>
      <c r="CZ3818">
        <v>0</v>
      </c>
      <c r="DA3818">
        <v>1</v>
      </c>
      <c r="DB3818">
        <v>0</v>
      </c>
      <c r="DC3818">
        <v>0</v>
      </c>
      <c r="DD3818">
        <v>1</v>
      </c>
      <c r="DE3818">
        <v>0</v>
      </c>
      <c r="DF3818">
        <v>0</v>
      </c>
      <c r="DG3818">
        <v>0</v>
      </c>
      <c r="DH3818">
        <v>0</v>
      </c>
      <c r="DI3818">
        <v>0</v>
      </c>
    </row>
    <row r="3819" spans="1:113" x14ac:dyDescent="0.3">
      <c r="A3819" t="str">
        <f t="shared" si="1765"/>
        <v>05/12/2020 14:47:52.781</v>
      </c>
      <c r="C3819" t="str">
        <f t="shared" si="1756"/>
        <v>FFDFD3C0</v>
      </c>
      <c r="D3819" t="s">
        <v>131</v>
      </c>
      <c r="E3819">
        <v>12</v>
      </c>
      <c r="F3819">
        <v>2012</v>
      </c>
      <c r="G3819" t="s">
        <v>137</v>
      </c>
      <c r="J3819" t="s">
        <v>133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 t="shared" si="1766"/>
        <v>14:48:10.609</v>
      </c>
      <c r="T3819" t="str">
        <f t="shared" si="1767"/>
        <v>14:48:10.109</v>
      </c>
      <c r="U3819" t="str">
        <f t="shared" si="1748"/>
        <v>A9808D</v>
      </c>
      <c r="V3819">
        <v>0</v>
      </c>
      <c r="W3819">
        <v>0</v>
      </c>
      <c r="X3819">
        <v>1</v>
      </c>
      <c r="Z3819">
        <v>0</v>
      </c>
      <c r="AA3819">
        <v>9</v>
      </c>
      <c r="AB3819">
        <v>3</v>
      </c>
      <c r="AC3819">
        <v>0</v>
      </c>
      <c r="AD3819">
        <v>10</v>
      </c>
      <c r="AE3819">
        <v>0</v>
      </c>
      <c r="AF3819">
        <v>3</v>
      </c>
      <c r="AG3819">
        <v>2</v>
      </c>
      <c r="AH3819">
        <v>0</v>
      </c>
      <c r="AI3819" t="s">
        <v>863</v>
      </c>
      <c r="AJ3819">
        <v>28.271449</v>
      </c>
      <c r="AK3819" t="s">
        <v>879</v>
      </c>
      <c r="AL3819">
        <v>-82.278028000000006</v>
      </c>
      <c r="AM3819">
        <v>100</v>
      </c>
      <c r="AN3819">
        <v>2200</v>
      </c>
      <c r="AO3819" t="s">
        <v>118</v>
      </c>
      <c r="AP3819">
        <v>-148</v>
      </c>
      <c r="AQ3819">
        <v>-9</v>
      </c>
      <c r="AR3819">
        <v>256</v>
      </c>
      <c r="AZ3819">
        <v>1200</v>
      </c>
      <c r="BA3819">
        <v>1</v>
      </c>
      <c r="BB3819" t="str">
        <f t="shared" si="1757"/>
        <v xml:space="preserve">N711JA  </v>
      </c>
      <c r="BC3819">
        <v>1</v>
      </c>
      <c r="BE3819">
        <v>0</v>
      </c>
      <c r="BF3819">
        <v>0</v>
      </c>
      <c r="BG3819">
        <v>0</v>
      </c>
      <c r="BH3819">
        <v>2250</v>
      </c>
      <c r="BI3819">
        <v>1</v>
      </c>
      <c r="BJ3819">
        <v>1</v>
      </c>
      <c r="BK3819">
        <v>0</v>
      </c>
      <c r="BL3819">
        <v>0</v>
      </c>
      <c r="BO3819">
        <v>0</v>
      </c>
      <c r="BP3819">
        <v>0</v>
      </c>
      <c r="BW3819" t="str">
        <f t="shared" si="1768"/>
        <v>14:48:10.616</v>
      </c>
      <c r="CJ3819">
        <v>0</v>
      </c>
      <c r="CK3819">
        <v>2</v>
      </c>
      <c r="CL3819">
        <v>0</v>
      </c>
      <c r="CM3819">
        <v>2</v>
      </c>
      <c r="CN3819">
        <v>0</v>
      </c>
      <c r="CO3819">
        <v>7</v>
      </c>
      <c r="CP3819" t="s">
        <v>119</v>
      </c>
      <c r="CQ3819">
        <v>8</v>
      </c>
      <c r="CR3819">
        <v>3</v>
      </c>
      <c r="CW3819">
        <v>9080767</v>
      </c>
      <c r="CY3819">
        <v>1</v>
      </c>
      <c r="CZ3819">
        <v>0</v>
      </c>
      <c r="DA3819">
        <v>1</v>
      </c>
      <c r="DB3819">
        <v>0</v>
      </c>
      <c r="DC3819">
        <v>0</v>
      </c>
      <c r="DD3819">
        <v>1</v>
      </c>
      <c r="DE3819">
        <v>0</v>
      </c>
      <c r="DF3819">
        <v>0</v>
      </c>
      <c r="DG3819">
        <v>0</v>
      </c>
      <c r="DH3819">
        <v>0</v>
      </c>
      <c r="DI3819">
        <v>0</v>
      </c>
    </row>
    <row r="3820" spans="1:113" x14ac:dyDescent="0.3">
      <c r="A3820" t="str">
        <f t="shared" si="1765"/>
        <v>05/12/2020 14:47:52.781</v>
      </c>
      <c r="C3820" t="str">
        <f t="shared" si="1756"/>
        <v>FFDFD3C0</v>
      </c>
      <c r="D3820" t="s">
        <v>131</v>
      </c>
      <c r="E3820">
        <v>18</v>
      </c>
      <c r="F3820">
        <v>2018</v>
      </c>
      <c r="G3820" t="s">
        <v>161</v>
      </c>
      <c r="J3820" t="s">
        <v>133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 t="shared" si="1766"/>
        <v>14:48:10.609</v>
      </c>
      <c r="T3820" t="str">
        <f t="shared" si="1767"/>
        <v>14:48:10.109</v>
      </c>
      <c r="U3820" t="str">
        <f t="shared" si="1748"/>
        <v>A9808D</v>
      </c>
      <c r="V3820">
        <v>0</v>
      </c>
      <c r="W3820">
        <v>0</v>
      </c>
      <c r="X3820">
        <v>1</v>
      </c>
      <c r="Z3820">
        <v>0</v>
      </c>
      <c r="AA3820">
        <v>9</v>
      </c>
      <c r="AB3820">
        <v>3</v>
      </c>
      <c r="AC3820">
        <v>0</v>
      </c>
      <c r="AD3820">
        <v>10</v>
      </c>
      <c r="AE3820">
        <v>0</v>
      </c>
      <c r="AF3820">
        <v>3</v>
      </c>
      <c r="AG3820">
        <v>2</v>
      </c>
      <c r="AH3820">
        <v>0</v>
      </c>
      <c r="AI3820" t="s">
        <v>863</v>
      </c>
      <c r="AJ3820">
        <v>28.271449</v>
      </c>
      <c r="AK3820" t="s">
        <v>879</v>
      </c>
      <c r="AL3820">
        <v>-82.278028000000006</v>
      </c>
      <c r="AM3820">
        <v>100</v>
      </c>
      <c r="AN3820">
        <v>2200</v>
      </c>
      <c r="AO3820" t="s">
        <v>118</v>
      </c>
      <c r="AP3820">
        <v>-148</v>
      </c>
      <c r="AQ3820">
        <v>-9</v>
      </c>
      <c r="AR3820">
        <v>256</v>
      </c>
      <c r="AZ3820">
        <v>1200</v>
      </c>
      <c r="BA3820">
        <v>1</v>
      </c>
      <c r="BB3820" t="str">
        <f t="shared" si="1757"/>
        <v xml:space="preserve">N711JA  </v>
      </c>
      <c r="BC3820">
        <v>1</v>
      </c>
      <c r="BE3820">
        <v>0</v>
      </c>
      <c r="BF3820">
        <v>0</v>
      </c>
      <c r="BG3820">
        <v>0</v>
      </c>
      <c r="BH3820">
        <v>2250</v>
      </c>
      <c r="BI3820">
        <v>1</v>
      </c>
      <c r="BJ3820">
        <v>1</v>
      </c>
      <c r="BK3820">
        <v>0</v>
      </c>
      <c r="BL3820">
        <v>0</v>
      </c>
      <c r="BO3820">
        <v>0</v>
      </c>
      <c r="BP3820">
        <v>0</v>
      </c>
      <c r="BW3820" t="str">
        <f t="shared" si="1768"/>
        <v>14:48:10.616</v>
      </c>
      <c r="CJ3820">
        <v>0</v>
      </c>
      <c r="CK3820">
        <v>2</v>
      </c>
      <c r="CL3820">
        <v>0</v>
      </c>
      <c r="CM3820">
        <v>2</v>
      </c>
      <c r="CN3820">
        <v>0</v>
      </c>
      <c r="CO3820">
        <v>4</v>
      </c>
      <c r="CP3820" t="s">
        <v>119</v>
      </c>
      <c r="CQ3820">
        <v>62</v>
      </c>
      <c r="CR3820">
        <v>1</v>
      </c>
      <c r="CW3820">
        <v>12970788</v>
      </c>
      <c r="CY3820">
        <v>1</v>
      </c>
      <c r="CZ3820">
        <v>0</v>
      </c>
      <c r="DA3820">
        <v>1</v>
      </c>
      <c r="DB3820">
        <v>0</v>
      </c>
      <c r="DC3820">
        <v>0</v>
      </c>
      <c r="DD3820">
        <v>1</v>
      </c>
      <c r="DE3820">
        <v>0</v>
      </c>
      <c r="DF3820">
        <v>0</v>
      </c>
      <c r="DG3820">
        <v>0</v>
      </c>
      <c r="DH3820">
        <v>0</v>
      </c>
      <c r="DI3820">
        <v>0</v>
      </c>
    </row>
    <row r="3821" spans="1:113" x14ac:dyDescent="0.3">
      <c r="A3821" t="str">
        <f t="shared" si="1765"/>
        <v>05/12/2020 14:47:52.781</v>
      </c>
      <c r="C3821" t="str">
        <f t="shared" si="1756"/>
        <v>FFDFD3C0</v>
      </c>
      <c r="D3821" t="s">
        <v>126</v>
      </c>
      <c r="E3821">
        <v>6</v>
      </c>
      <c r="F3821">
        <v>1006</v>
      </c>
      <c r="G3821" t="s">
        <v>114</v>
      </c>
      <c r="J3821" t="s">
        <v>128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 t="shared" si="1766"/>
        <v>14:48:10.609</v>
      </c>
      <c r="T3821" t="str">
        <f t="shared" si="1767"/>
        <v>14:48:10.109</v>
      </c>
      <c r="U3821" t="str">
        <f t="shared" si="1748"/>
        <v>A9808D</v>
      </c>
      <c r="V3821">
        <v>0</v>
      </c>
      <c r="W3821">
        <v>0</v>
      </c>
      <c r="X3821">
        <v>1</v>
      </c>
      <c r="Z3821">
        <v>0</v>
      </c>
      <c r="AA3821">
        <v>9</v>
      </c>
      <c r="AB3821">
        <v>3</v>
      </c>
      <c r="AC3821">
        <v>0</v>
      </c>
      <c r="AD3821">
        <v>10</v>
      </c>
      <c r="AE3821">
        <v>0</v>
      </c>
      <c r="AF3821">
        <v>3</v>
      </c>
      <c r="AG3821">
        <v>2</v>
      </c>
      <c r="AH3821">
        <v>0</v>
      </c>
      <c r="AI3821" t="s">
        <v>863</v>
      </c>
      <c r="AJ3821">
        <v>28.271449</v>
      </c>
      <c r="AK3821" t="s">
        <v>879</v>
      </c>
      <c r="AL3821">
        <v>-82.278028000000006</v>
      </c>
      <c r="AM3821">
        <v>100</v>
      </c>
      <c r="AN3821">
        <v>2200</v>
      </c>
      <c r="AO3821" t="s">
        <v>118</v>
      </c>
      <c r="AP3821">
        <v>-148</v>
      </c>
      <c r="AQ3821">
        <v>-9</v>
      </c>
      <c r="AR3821">
        <v>256</v>
      </c>
      <c r="AZ3821">
        <v>1200</v>
      </c>
      <c r="BA3821">
        <v>1</v>
      </c>
      <c r="BB3821" t="str">
        <f t="shared" si="1757"/>
        <v xml:space="preserve">N711JA  </v>
      </c>
      <c r="BC3821">
        <v>1</v>
      </c>
      <c r="BE3821">
        <v>0</v>
      </c>
      <c r="BF3821">
        <v>0</v>
      </c>
      <c r="BG3821">
        <v>0</v>
      </c>
      <c r="BH3821">
        <v>2250</v>
      </c>
      <c r="BI3821">
        <v>1</v>
      </c>
      <c r="BJ3821">
        <v>1</v>
      </c>
      <c r="BK3821">
        <v>0</v>
      </c>
      <c r="BL3821">
        <v>0</v>
      </c>
      <c r="BO3821">
        <v>0</v>
      </c>
      <c r="BP3821">
        <v>0</v>
      </c>
      <c r="BW3821" t="str">
        <f t="shared" si="1768"/>
        <v>14:48:10.616</v>
      </c>
      <c r="CJ3821">
        <v>0</v>
      </c>
      <c r="CK3821">
        <v>2</v>
      </c>
      <c r="CL3821">
        <v>0</v>
      </c>
      <c r="CM3821">
        <v>2</v>
      </c>
      <c r="CN3821">
        <v>0</v>
      </c>
      <c r="CO3821">
        <v>7</v>
      </c>
      <c r="CP3821" t="s">
        <v>119</v>
      </c>
      <c r="CQ3821">
        <v>8</v>
      </c>
      <c r="CR3821">
        <v>3</v>
      </c>
      <c r="CW3821">
        <v>9080767</v>
      </c>
      <c r="CY3821">
        <v>1</v>
      </c>
      <c r="CZ3821">
        <v>0</v>
      </c>
      <c r="DA3821">
        <v>1</v>
      </c>
      <c r="DB3821">
        <v>0</v>
      </c>
      <c r="DC3821">
        <v>0</v>
      </c>
      <c r="DD3821">
        <v>1</v>
      </c>
      <c r="DE3821">
        <v>0</v>
      </c>
      <c r="DF3821">
        <v>0</v>
      </c>
      <c r="DG3821">
        <v>0</v>
      </c>
      <c r="DH3821">
        <v>0</v>
      </c>
      <c r="DI3821">
        <v>0</v>
      </c>
    </row>
    <row r="3822" spans="1:113" x14ac:dyDescent="0.3">
      <c r="A3822" t="str">
        <f t="shared" si="1765"/>
        <v>05/12/2020 14:47:52.781</v>
      </c>
      <c r="C3822" t="str">
        <f t="shared" si="1756"/>
        <v>FFDFD3C0</v>
      </c>
      <c r="D3822" t="s">
        <v>134</v>
      </c>
      <c r="E3822">
        <v>12</v>
      </c>
      <c r="H3822">
        <v>64</v>
      </c>
      <c r="I3822" t="s">
        <v>135</v>
      </c>
      <c r="J3822" t="s">
        <v>136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 t="shared" si="1766"/>
        <v>14:48:10.609</v>
      </c>
      <c r="T3822" t="str">
        <f t="shared" si="1767"/>
        <v>14:48:10.109</v>
      </c>
      <c r="U3822" t="str">
        <f t="shared" si="1748"/>
        <v>A9808D</v>
      </c>
      <c r="V3822">
        <v>0</v>
      </c>
      <c r="W3822">
        <v>0</v>
      </c>
      <c r="X3822">
        <v>1</v>
      </c>
      <c r="Z3822">
        <v>0</v>
      </c>
      <c r="AA3822">
        <v>9</v>
      </c>
      <c r="AB3822">
        <v>3</v>
      </c>
      <c r="AC3822">
        <v>0</v>
      </c>
      <c r="AD3822">
        <v>10</v>
      </c>
      <c r="AE3822">
        <v>0</v>
      </c>
      <c r="AF3822">
        <v>3</v>
      </c>
      <c r="AG3822">
        <v>2</v>
      </c>
      <c r="AH3822">
        <v>0</v>
      </c>
      <c r="AI3822" t="s">
        <v>863</v>
      </c>
      <c r="AJ3822">
        <v>28.271449</v>
      </c>
      <c r="AK3822" t="s">
        <v>879</v>
      </c>
      <c r="AL3822">
        <v>-82.278028000000006</v>
      </c>
      <c r="AM3822">
        <v>100</v>
      </c>
      <c r="AN3822">
        <v>2200</v>
      </c>
      <c r="AO3822" t="s">
        <v>118</v>
      </c>
      <c r="AP3822">
        <v>-148</v>
      </c>
      <c r="AQ3822">
        <v>-9</v>
      </c>
      <c r="AR3822">
        <v>256</v>
      </c>
      <c r="AZ3822">
        <v>1200</v>
      </c>
      <c r="BA3822">
        <v>1</v>
      </c>
      <c r="BB3822" t="str">
        <f t="shared" si="1757"/>
        <v xml:space="preserve">N711JA  </v>
      </c>
      <c r="BC3822">
        <v>1</v>
      </c>
      <c r="BE3822">
        <v>0</v>
      </c>
      <c r="BF3822">
        <v>0</v>
      </c>
      <c r="BG3822">
        <v>0</v>
      </c>
      <c r="BH3822">
        <v>2250</v>
      </c>
      <c r="BI3822">
        <v>1</v>
      </c>
      <c r="BJ3822">
        <v>1</v>
      </c>
      <c r="BK3822">
        <v>0</v>
      </c>
      <c r="BL3822">
        <v>0</v>
      </c>
      <c r="BO3822">
        <v>0</v>
      </c>
      <c r="BP3822">
        <v>0</v>
      </c>
      <c r="BW3822" t="str">
        <f t="shared" si="1768"/>
        <v>14:48:10.616</v>
      </c>
      <c r="CJ3822">
        <v>0</v>
      </c>
      <c r="CK3822">
        <v>2</v>
      </c>
      <c r="CL3822">
        <v>0</v>
      </c>
      <c r="CM3822">
        <v>2</v>
      </c>
      <c r="CN3822">
        <v>0</v>
      </c>
      <c r="CO3822">
        <v>7</v>
      </c>
      <c r="CP3822" t="s">
        <v>119</v>
      </c>
      <c r="CQ3822">
        <v>8</v>
      </c>
      <c r="CR3822">
        <v>3</v>
      </c>
      <c r="CW3822">
        <v>9080767</v>
      </c>
      <c r="CY3822">
        <v>1</v>
      </c>
      <c r="CZ3822">
        <v>0</v>
      </c>
      <c r="DA3822">
        <v>1</v>
      </c>
      <c r="DB3822">
        <v>0</v>
      </c>
      <c r="DC3822">
        <v>0</v>
      </c>
      <c r="DD3822">
        <v>1</v>
      </c>
      <c r="DE3822">
        <v>0</v>
      </c>
      <c r="DF3822">
        <v>0</v>
      </c>
      <c r="DG3822">
        <v>0</v>
      </c>
      <c r="DH3822">
        <v>0</v>
      </c>
      <c r="DI3822">
        <v>0</v>
      </c>
    </row>
    <row r="3823" spans="1:113" x14ac:dyDescent="0.3">
      <c r="A3823" t="str">
        <f t="shared" si="1765"/>
        <v>05/12/2020 14:47:52.781</v>
      </c>
      <c r="C3823" t="str">
        <f t="shared" si="1756"/>
        <v>FFDFD3C0</v>
      </c>
      <c r="D3823" t="s">
        <v>113</v>
      </c>
      <c r="E3823">
        <v>3</v>
      </c>
      <c r="H3823">
        <v>164</v>
      </c>
      <c r="I3823" t="s">
        <v>114</v>
      </c>
      <c r="J3823" t="s">
        <v>115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 t="shared" si="1766"/>
        <v>14:48:10.609</v>
      </c>
      <c r="T3823" t="str">
        <f t="shared" si="1767"/>
        <v>14:48:10.109</v>
      </c>
      <c r="U3823" t="str">
        <f t="shared" si="1748"/>
        <v>A9808D</v>
      </c>
      <c r="V3823">
        <v>0</v>
      </c>
      <c r="W3823">
        <v>0</v>
      </c>
      <c r="X3823">
        <v>1</v>
      </c>
      <c r="Z3823">
        <v>0</v>
      </c>
      <c r="AA3823">
        <v>9</v>
      </c>
      <c r="AB3823">
        <v>3</v>
      </c>
      <c r="AC3823">
        <v>0</v>
      </c>
      <c r="AD3823">
        <v>10</v>
      </c>
      <c r="AE3823">
        <v>0</v>
      </c>
      <c r="AF3823">
        <v>3</v>
      </c>
      <c r="AG3823">
        <v>2</v>
      </c>
      <c r="AH3823">
        <v>0</v>
      </c>
      <c r="AI3823" t="s">
        <v>863</v>
      </c>
      <c r="AJ3823">
        <v>28.271449</v>
      </c>
      <c r="AK3823" t="s">
        <v>879</v>
      </c>
      <c r="AL3823">
        <v>-82.278028000000006</v>
      </c>
      <c r="AM3823">
        <v>100</v>
      </c>
      <c r="AN3823">
        <v>2200</v>
      </c>
      <c r="AO3823" t="s">
        <v>118</v>
      </c>
      <c r="AP3823">
        <v>-148</v>
      </c>
      <c r="AQ3823">
        <v>-9</v>
      </c>
      <c r="AR3823">
        <v>256</v>
      </c>
      <c r="AZ3823">
        <v>1200</v>
      </c>
      <c r="BA3823">
        <v>1</v>
      </c>
      <c r="BB3823" t="str">
        <f t="shared" si="1757"/>
        <v xml:space="preserve">N711JA  </v>
      </c>
      <c r="BC3823">
        <v>1</v>
      </c>
      <c r="BE3823">
        <v>0</v>
      </c>
      <c r="BF3823">
        <v>0</v>
      </c>
      <c r="BG3823">
        <v>0</v>
      </c>
      <c r="BH3823">
        <v>2250</v>
      </c>
      <c r="BI3823">
        <v>1</v>
      </c>
      <c r="BJ3823">
        <v>1</v>
      </c>
      <c r="BK3823">
        <v>0</v>
      </c>
      <c r="BL3823">
        <v>0</v>
      </c>
      <c r="BO3823">
        <v>0</v>
      </c>
      <c r="BP3823">
        <v>0</v>
      </c>
      <c r="BW3823" t="str">
        <f t="shared" si="1768"/>
        <v>14:48:10.616</v>
      </c>
      <c r="CJ3823">
        <v>0</v>
      </c>
      <c r="CK3823">
        <v>2</v>
      </c>
      <c r="CL3823">
        <v>0</v>
      </c>
      <c r="CM3823">
        <v>2</v>
      </c>
      <c r="CN3823">
        <v>0</v>
      </c>
      <c r="CO3823">
        <v>7</v>
      </c>
      <c r="CP3823" t="s">
        <v>119</v>
      </c>
      <c r="CQ3823">
        <v>8</v>
      </c>
      <c r="CR3823">
        <v>3</v>
      </c>
      <c r="CW3823">
        <v>9080767</v>
      </c>
      <c r="CY3823">
        <v>1</v>
      </c>
      <c r="CZ3823">
        <v>0</v>
      </c>
      <c r="DA3823">
        <v>1</v>
      </c>
      <c r="DB3823">
        <v>0</v>
      </c>
      <c r="DC3823">
        <v>0</v>
      </c>
      <c r="DD3823">
        <v>1</v>
      </c>
      <c r="DE3823">
        <v>0</v>
      </c>
      <c r="DF3823">
        <v>0</v>
      </c>
      <c r="DG3823">
        <v>0</v>
      </c>
      <c r="DH3823">
        <v>0</v>
      </c>
      <c r="DI3823">
        <v>0</v>
      </c>
    </row>
    <row r="3824" spans="1:113" x14ac:dyDescent="0.3">
      <c r="A3824" t="str">
        <f t="shared" si="1765"/>
        <v>05/12/2020 14:47:52.781</v>
      </c>
      <c r="C3824" t="str">
        <f t="shared" si="1756"/>
        <v>FFDFD3C0</v>
      </c>
      <c r="D3824" t="s">
        <v>138</v>
      </c>
      <c r="E3824">
        <v>2</v>
      </c>
      <c r="H3824">
        <v>8</v>
      </c>
      <c r="I3824" t="s">
        <v>139</v>
      </c>
      <c r="J3824" t="s">
        <v>136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 t="shared" si="1766"/>
        <v>14:48:10.609</v>
      </c>
      <c r="T3824" t="str">
        <f t="shared" si="1767"/>
        <v>14:48:10.109</v>
      </c>
      <c r="U3824" t="str">
        <f t="shared" si="1748"/>
        <v>A9808D</v>
      </c>
      <c r="V3824">
        <v>0</v>
      </c>
      <c r="W3824">
        <v>0</v>
      </c>
      <c r="X3824">
        <v>1</v>
      </c>
      <c r="Z3824">
        <v>0</v>
      </c>
      <c r="AA3824">
        <v>9</v>
      </c>
      <c r="AB3824">
        <v>3</v>
      </c>
      <c r="AC3824">
        <v>0</v>
      </c>
      <c r="AD3824">
        <v>10</v>
      </c>
      <c r="AE3824">
        <v>0</v>
      </c>
      <c r="AF3824">
        <v>3</v>
      </c>
      <c r="AG3824">
        <v>2</v>
      </c>
      <c r="AH3824">
        <v>0</v>
      </c>
      <c r="AI3824" t="s">
        <v>863</v>
      </c>
      <c r="AJ3824">
        <v>28.271449</v>
      </c>
      <c r="AK3824" t="s">
        <v>879</v>
      </c>
      <c r="AL3824">
        <v>-82.278028000000006</v>
      </c>
      <c r="AM3824">
        <v>100</v>
      </c>
      <c r="AN3824">
        <v>2200</v>
      </c>
      <c r="AO3824" t="s">
        <v>118</v>
      </c>
      <c r="AP3824">
        <v>-148</v>
      </c>
      <c r="AQ3824">
        <v>-9</v>
      </c>
      <c r="AR3824">
        <v>256</v>
      </c>
      <c r="AZ3824">
        <v>1200</v>
      </c>
      <c r="BA3824">
        <v>1</v>
      </c>
      <c r="BB3824" t="str">
        <f t="shared" si="1757"/>
        <v xml:space="preserve">N711JA  </v>
      </c>
      <c r="BC3824">
        <v>1</v>
      </c>
      <c r="BE3824">
        <v>0</v>
      </c>
      <c r="BF3824">
        <v>0</v>
      </c>
      <c r="BG3824">
        <v>0</v>
      </c>
      <c r="BH3824">
        <v>2250</v>
      </c>
      <c r="BI3824">
        <v>1</v>
      </c>
      <c r="BJ3824">
        <v>1</v>
      </c>
      <c r="BK3824">
        <v>0</v>
      </c>
      <c r="BL3824">
        <v>0</v>
      </c>
      <c r="BO3824">
        <v>0</v>
      </c>
      <c r="BP3824">
        <v>0</v>
      </c>
      <c r="BW3824" t="str">
        <f t="shared" si="1768"/>
        <v>14:48:10.616</v>
      </c>
      <c r="CJ3824">
        <v>0</v>
      </c>
      <c r="CK3824">
        <v>2</v>
      </c>
      <c r="CL3824">
        <v>0</v>
      </c>
      <c r="CM3824">
        <v>2</v>
      </c>
      <c r="CN3824">
        <v>0</v>
      </c>
      <c r="CO3824">
        <v>7</v>
      </c>
      <c r="CP3824" t="s">
        <v>119</v>
      </c>
      <c r="CQ3824">
        <v>8</v>
      </c>
      <c r="CR3824">
        <v>3</v>
      </c>
      <c r="CW3824">
        <v>9080767</v>
      </c>
      <c r="CY3824">
        <v>1</v>
      </c>
      <c r="CZ3824">
        <v>0</v>
      </c>
      <c r="DA3824">
        <v>1</v>
      </c>
      <c r="DB3824">
        <v>0</v>
      </c>
      <c r="DC3824">
        <v>0</v>
      </c>
      <c r="DD3824">
        <v>1</v>
      </c>
      <c r="DE3824">
        <v>0</v>
      </c>
      <c r="DF3824">
        <v>0</v>
      </c>
      <c r="DG3824">
        <v>0</v>
      </c>
      <c r="DH3824">
        <v>0</v>
      </c>
      <c r="DI3824">
        <v>0</v>
      </c>
    </row>
    <row r="3825" spans="1:113" x14ac:dyDescent="0.3">
      <c r="A3825" t="str">
        <f t="shared" si="1765"/>
        <v>05/12/2020 14:47:52.781</v>
      </c>
      <c r="C3825" t="str">
        <f t="shared" si="1756"/>
        <v>FFDFD3C0</v>
      </c>
      <c r="D3825" t="s">
        <v>138</v>
      </c>
      <c r="E3825">
        <v>3</v>
      </c>
      <c r="H3825">
        <v>9</v>
      </c>
      <c r="I3825" t="s">
        <v>140</v>
      </c>
      <c r="J3825" t="s">
        <v>136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 t="shared" si="1766"/>
        <v>14:48:10.609</v>
      </c>
      <c r="T3825" t="str">
        <f t="shared" si="1767"/>
        <v>14:48:10.109</v>
      </c>
      <c r="U3825" t="str">
        <f t="shared" si="1748"/>
        <v>A9808D</v>
      </c>
      <c r="V3825">
        <v>0</v>
      </c>
      <c r="W3825">
        <v>0</v>
      </c>
      <c r="X3825">
        <v>1</v>
      </c>
      <c r="Z3825">
        <v>0</v>
      </c>
      <c r="AA3825">
        <v>9</v>
      </c>
      <c r="AB3825">
        <v>3</v>
      </c>
      <c r="AC3825">
        <v>0</v>
      </c>
      <c r="AD3825">
        <v>10</v>
      </c>
      <c r="AE3825">
        <v>0</v>
      </c>
      <c r="AF3825">
        <v>3</v>
      </c>
      <c r="AG3825">
        <v>2</v>
      </c>
      <c r="AH3825">
        <v>0</v>
      </c>
      <c r="AI3825" t="s">
        <v>863</v>
      </c>
      <c r="AJ3825">
        <v>28.271449</v>
      </c>
      <c r="AK3825" t="s">
        <v>879</v>
      </c>
      <c r="AL3825">
        <v>-82.278028000000006</v>
      </c>
      <c r="AM3825">
        <v>100</v>
      </c>
      <c r="AN3825">
        <v>2200</v>
      </c>
      <c r="AO3825" t="s">
        <v>118</v>
      </c>
      <c r="AP3825">
        <v>-148</v>
      </c>
      <c r="AQ3825">
        <v>-9</v>
      </c>
      <c r="AR3825">
        <v>256</v>
      </c>
      <c r="AZ3825">
        <v>1200</v>
      </c>
      <c r="BA3825">
        <v>1</v>
      </c>
      <c r="BB3825" t="str">
        <f t="shared" si="1757"/>
        <v xml:space="preserve">N711JA  </v>
      </c>
      <c r="BC3825">
        <v>1</v>
      </c>
      <c r="BE3825">
        <v>0</v>
      </c>
      <c r="BF3825">
        <v>0</v>
      </c>
      <c r="BG3825">
        <v>0</v>
      </c>
      <c r="BH3825">
        <v>2250</v>
      </c>
      <c r="BI3825">
        <v>1</v>
      </c>
      <c r="BJ3825">
        <v>1</v>
      </c>
      <c r="BK3825">
        <v>0</v>
      </c>
      <c r="BL3825">
        <v>0</v>
      </c>
      <c r="BO3825">
        <v>0</v>
      </c>
      <c r="BP3825">
        <v>0</v>
      </c>
      <c r="BW3825" t="str">
        <f t="shared" si="1768"/>
        <v>14:48:10.616</v>
      </c>
      <c r="CJ3825">
        <v>0</v>
      </c>
      <c r="CK3825">
        <v>2</v>
      </c>
      <c r="CL3825">
        <v>0</v>
      </c>
      <c r="CM3825">
        <v>2</v>
      </c>
      <c r="CN3825">
        <v>0</v>
      </c>
      <c r="CO3825">
        <v>7</v>
      </c>
      <c r="CP3825" t="s">
        <v>119</v>
      </c>
      <c r="CQ3825">
        <v>8</v>
      </c>
      <c r="CR3825">
        <v>3</v>
      </c>
      <c r="CW3825">
        <v>9080767</v>
      </c>
      <c r="CY3825">
        <v>1</v>
      </c>
      <c r="CZ3825">
        <v>0</v>
      </c>
      <c r="DA3825">
        <v>1</v>
      </c>
      <c r="DB3825">
        <v>0</v>
      </c>
      <c r="DC3825">
        <v>0</v>
      </c>
      <c r="DD3825">
        <v>1</v>
      </c>
      <c r="DE3825">
        <v>0</v>
      </c>
      <c r="DF3825">
        <v>0</v>
      </c>
      <c r="DG3825">
        <v>0</v>
      </c>
      <c r="DH3825">
        <v>0</v>
      </c>
      <c r="DI3825">
        <v>0</v>
      </c>
    </row>
    <row r="3826" spans="1:113" x14ac:dyDescent="0.3">
      <c r="A3826" t="str">
        <f t="shared" ref="A3826:A3834" si="1769">"05/12/2020 14:47:53.822"</f>
        <v>05/12/2020 14:47:53.822</v>
      </c>
      <c r="C3826" t="str">
        <f t="shared" si="1756"/>
        <v>FFDFD3C0</v>
      </c>
      <c r="D3826" t="s">
        <v>113</v>
      </c>
      <c r="E3826">
        <v>3</v>
      </c>
      <c r="H3826">
        <v>164</v>
      </c>
      <c r="I3826" t="s">
        <v>114</v>
      </c>
      <c r="J3826" t="s">
        <v>115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 t="shared" ref="S3826:S3834" si="1770">"14:48:11.656"</f>
        <v>14:48:11.656</v>
      </c>
      <c r="T3826" t="str">
        <f t="shared" ref="T3826:T3834" si="1771">"14:48:11.256"</f>
        <v>14:48:11.256</v>
      </c>
      <c r="U3826" t="str">
        <f t="shared" si="1748"/>
        <v>A9808D</v>
      </c>
      <c r="V3826">
        <v>0</v>
      </c>
      <c r="W3826">
        <v>0</v>
      </c>
      <c r="X3826">
        <v>1</v>
      </c>
      <c r="Z3826">
        <v>0</v>
      </c>
      <c r="AA3826">
        <v>9</v>
      </c>
      <c r="AB3826">
        <v>3</v>
      </c>
      <c r="AC3826">
        <v>0</v>
      </c>
      <c r="AD3826">
        <v>10</v>
      </c>
      <c r="AE3826">
        <v>0</v>
      </c>
      <c r="AF3826">
        <v>3</v>
      </c>
      <c r="AG3826">
        <v>2</v>
      </c>
      <c r="AH3826">
        <v>0</v>
      </c>
      <c r="AI3826" t="s">
        <v>880</v>
      </c>
      <c r="AJ3826">
        <v>28.271384000000001</v>
      </c>
      <c r="AK3826" t="s">
        <v>881</v>
      </c>
      <c r="AL3826">
        <v>-82.278820999999994</v>
      </c>
      <c r="AM3826">
        <v>100</v>
      </c>
      <c r="AN3826">
        <v>2200</v>
      </c>
      <c r="AO3826" t="s">
        <v>118</v>
      </c>
      <c r="AP3826">
        <v>-147</v>
      </c>
      <c r="AQ3826">
        <v>-11</v>
      </c>
      <c r="AR3826">
        <v>320</v>
      </c>
      <c r="AZ3826">
        <v>1200</v>
      </c>
      <c r="BA3826">
        <v>1</v>
      </c>
      <c r="BB3826" t="str">
        <f t="shared" si="1757"/>
        <v xml:space="preserve">N711JA  </v>
      </c>
      <c r="BC3826">
        <v>1</v>
      </c>
      <c r="BE3826">
        <v>0</v>
      </c>
      <c r="BF3826">
        <v>0</v>
      </c>
      <c r="BG3826">
        <v>0</v>
      </c>
      <c r="BH3826">
        <v>2250</v>
      </c>
      <c r="BI3826">
        <v>1</v>
      </c>
      <c r="BJ3826">
        <v>1</v>
      </c>
      <c r="BK3826">
        <v>0</v>
      </c>
      <c r="BL3826">
        <v>0</v>
      </c>
      <c r="BO3826">
        <v>0</v>
      </c>
      <c r="BP3826">
        <v>0</v>
      </c>
      <c r="BW3826" t="str">
        <f t="shared" ref="BW3826:BW3834" si="1772">"14:48:11.664"</f>
        <v>14:48:11.664</v>
      </c>
      <c r="CJ3826">
        <v>0</v>
      </c>
      <c r="CK3826">
        <v>2</v>
      </c>
      <c r="CL3826">
        <v>0</v>
      </c>
      <c r="CM3826">
        <v>2</v>
      </c>
      <c r="CN3826">
        <v>0</v>
      </c>
      <c r="CO3826">
        <v>7</v>
      </c>
      <c r="CP3826" t="s">
        <v>119</v>
      </c>
      <c r="CQ3826">
        <v>8</v>
      </c>
      <c r="CR3826">
        <v>3</v>
      </c>
      <c r="CW3826">
        <v>9081929</v>
      </c>
      <c r="CY3826">
        <v>1</v>
      </c>
      <c r="CZ3826">
        <v>0</v>
      </c>
      <c r="DA3826">
        <v>0</v>
      </c>
      <c r="DB3826">
        <v>0</v>
      </c>
      <c r="DC3826">
        <v>0</v>
      </c>
      <c r="DD3826">
        <v>1</v>
      </c>
      <c r="DE3826">
        <v>0</v>
      </c>
      <c r="DF3826">
        <v>0</v>
      </c>
      <c r="DG3826">
        <v>0</v>
      </c>
      <c r="DH3826">
        <v>0</v>
      </c>
      <c r="DI3826">
        <v>0</v>
      </c>
    </row>
    <row r="3827" spans="1:113" x14ac:dyDescent="0.3">
      <c r="A3827" t="str">
        <f t="shared" si="1769"/>
        <v>05/12/2020 14:47:53.822</v>
      </c>
      <c r="C3827" t="str">
        <f t="shared" si="1756"/>
        <v>FFDFD3C0</v>
      </c>
      <c r="D3827" t="s">
        <v>134</v>
      </c>
      <c r="E3827">
        <v>12</v>
      </c>
      <c r="H3827">
        <v>64</v>
      </c>
      <c r="I3827" t="s">
        <v>135</v>
      </c>
      <c r="J3827" t="s">
        <v>136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 t="shared" si="1770"/>
        <v>14:48:11.656</v>
      </c>
      <c r="T3827" t="str">
        <f t="shared" si="1771"/>
        <v>14:48:11.256</v>
      </c>
      <c r="U3827" t="str">
        <f t="shared" si="1748"/>
        <v>A9808D</v>
      </c>
      <c r="V3827">
        <v>0</v>
      </c>
      <c r="W3827">
        <v>0</v>
      </c>
      <c r="X3827">
        <v>1</v>
      </c>
      <c r="Z3827">
        <v>0</v>
      </c>
      <c r="AA3827">
        <v>9</v>
      </c>
      <c r="AB3827">
        <v>3</v>
      </c>
      <c r="AC3827">
        <v>0</v>
      </c>
      <c r="AD3827">
        <v>10</v>
      </c>
      <c r="AE3827">
        <v>0</v>
      </c>
      <c r="AF3827">
        <v>3</v>
      </c>
      <c r="AG3827">
        <v>2</v>
      </c>
      <c r="AH3827">
        <v>0</v>
      </c>
      <c r="AI3827" t="s">
        <v>880</v>
      </c>
      <c r="AJ3827">
        <v>28.271384000000001</v>
      </c>
      <c r="AK3827" t="s">
        <v>881</v>
      </c>
      <c r="AL3827">
        <v>-82.278820999999994</v>
      </c>
      <c r="AM3827">
        <v>100</v>
      </c>
      <c r="AN3827">
        <v>2200</v>
      </c>
      <c r="AO3827" t="s">
        <v>118</v>
      </c>
      <c r="AP3827">
        <v>-147</v>
      </c>
      <c r="AQ3827">
        <v>-11</v>
      </c>
      <c r="AR3827">
        <v>320</v>
      </c>
      <c r="AZ3827">
        <v>1200</v>
      </c>
      <c r="BA3827">
        <v>1</v>
      </c>
      <c r="BB3827" t="str">
        <f t="shared" si="1757"/>
        <v xml:space="preserve">N711JA  </v>
      </c>
      <c r="BC3827">
        <v>1</v>
      </c>
      <c r="BE3827">
        <v>0</v>
      </c>
      <c r="BF3827">
        <v>0</v>
      </c>
      <c r="BG3827">
        <v>0</v>
      </c>
      <c r="BH3827">
        <v>2250</v>
      </c>
      <c r="BI3827">
        <v>1</v>
      </c>
      <c r="BJ3827">
        <v>1</v>
      </c>
      <c r="BK3827">
        <v>0</v>
      </c>
      <c r="BL3827">
        <v>0</v>
      </c>
      <c r="BO3827">
        <v>0</v>
      </c>
      <c r="BP3827">
        <v>0</v>
      </c>
      <c r="BW3827" t="str">
        <f t="shared" si="1772"/>
        <v>14:48:11.664</v>
      </c>
      <c r="CJ3827">
        <v>0</v>
      </c>
      <c r="CK3827">
        <v>2</v>
      </c>
      <c r="CL3827">
        <v>0</v>
      </c>
      <c r="CM3827">
        <v>2</v>
      </c>
      <c r="CN3827">
        <v>0</v>
      </c>
      <c r="CO3827">
        <v>7</v>
      </c>
      <c r="CP3827" t="s">
        <v>119</v>
      </c>
      <c r="CQ3827">
        <v>8</v>
      </c>
      <c r="CR3827">
        <v>3</v>
      </c>
      <c r="CW3827">
        <v>9081929</v>
      </c>
      <c r="CY3827">
        <v>1</v>
      </c>
      <c r="CZ3827">
        <v>0</v>
      </c>
      <c r="DA3827">
        <v>1</v>
      </c>
      <c r="DB3827">
        <v>0</v>
      </c>
      <c r="DC3827">
        <v>0</v>
      </c>
      <c r="DD3827">
        <v>1</v>
      </c>
      <c r="DE3827">
        <v>0</v>
      </c>
      <c r="DF3827">
        <v>0</v>
      </c>
      <c r="DG3827">
        <v>0</v>
      </c>
      <c r="DH3827">
        <v>0</v>
      </c>
      <c r="DI3827">
        <v>0</v>
      </c>
    </row>
    <row r="3828" spans="1:113" x14ac:dyDescent="0.3">
      <c r="A3828" t="str">
        <f t="shared" si="1769"/>
        <v>05/12/2020 14:47:53.822</v>
      </c>
      <c r="C3828" t="str">
        <f t="shared" si="1756"/>
        <v>FFDFD3C0</v>
      </c>
      <c r="D3828" t="s">
        <v>138</v>
      </c>
      <c r="E3828">
        <v>3</v>
      </c>
      <c r="H3828">
        <v>9</v>
      </c>
      <c r="I3828" t="s">
        <v>140</v>
      </c>
      <c r="J3828" t="s">
        <v>136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 t="shared" si="1770"/>
        <v>14:48:11.656</v>
      </c>
      <c r="T3828" t="str">
        <f t="shared" si="1771"/>
        <v>14:48:11.256</v>
      </c>
      <c r="U3828" t="str">
        <f t="shared" si="1748"/>
        <v>A9808D</v>
      </c>
      <c r="V3828">
        <v>0</v>
      </c>
      <c r="W3828">
        <v>0</v>
      </c>
      <c r="X3828">
        <v>1</v>
      </c>
      <c r="Z3828">
        <v>0</v>
      </c>
      <c r="AA3828">
        <v>9</v>
      </c>
      <c r="AB3828">
        <v>3</v>
      </c>
      <c r="AC3828">
        <v>0</v>
      </c>
      <c r="AD3828">
        <v>10</v>
      </c>
      <c r="AE3828">
        <v>0</v>
      </c>
      <c r="AF3828">
        <v>3</v>
      </c>
      <c r="AG3828">
        <v>2</v>
      </c>
      <c r="AH3828">
        <v>0</v>
      </c>
      <c r="AI3828" t="s">
        <v>880</v>
      </c>
      <c r="AJ3828">
        <v>28.271384000000001</v>
      </c>
      <c r="AK3828" t="s">
        <v>881</v>
      </c>
      <c r="AL3828">
        <v>-82.278820999999994</v>
      </c>
      <c r="AM3828">
        <v>100</v>
      </c>
      <c r="AN3828">
        <v>2200</v>
      </c>
      <c r="AO3828" t="s">
        <v>118</v>
      </c>
      <c r="AP3828">
        <v>-147</v>
      </c>
      <c r="AQ3828">
        <v>-11</v>
      </c>
      <c r="AR3828">
        <v>320</v>
      </c>
      <c r="AZ3828">
        <v>1200</v>
      </c>
      <c r="BA3828">
        <v>1</v>
      </c>
      <c r="BB3828" t="str">
        <f t="shared" si="1757"/>
        <v xml:space="preserve">N711JA  </v>
      </c>
      <c r="BC3828">
        <v>1</v>
      </c>
      <c r="BE3828">
        <v>0</v>
      </c>
      <c r="BF3828">
        <v>0</v>
      </c>
      <c r="BG3828">
        <v>0</v>
      </c>
      <c r="BH3828">
        <v>2250</v>
      </c>
      <c r="BI3828">
        <v>1</v>
      </c>
      <c r="BJ3828">
        <v>1</v>
      </c>
      <c r="BK3828">
        <v>0</v>
      </c>
      <c r="BL3828">
        <v>0</v>
      </c>
      <c r="BO3828">
        <v>0</v>
      </c>
      <c r="BP3828">
        <v>0</v>
      </c>
      <c r="BW3828" t="str">
        <f t="shared" si="1772"/>
        <v>14:48:11.664</v>
      </c>
      <c r="CJ3828">
        <v>0</v>
      </c>
      <c r="CK3828">
        <v>2</v>
      </c>
      <c r="CL3828">
        <v>0</v>
      </c>
      <c r="CM3828">
        <v>2</v>
      </c>
      <c r="CN3828">
        <v>0</v>
      </c>
      <c r="CO3828">
        <v>7</v>
      </c>
      <c r="CP3828" t="s">
        <v>119</v>
      </c>
      <c r="CQ3828">
        <v>8</v>
      </c>
      <c r="CR3828">
        <v>3</v>
      </c>
      <c r="CW3828">
        <v>9081929</v>
      </c>
      <c r="CY3828">
        <v>1</v>
      </c>
      <c r="CZ3828">
        <v>0</v>
      </c>
      <c r="DA3828">
        <v>1</v>
      </c>
      <c r="DB3828">
        <v>0</v>
      </c>
      <c r="DC3828">
        <v>0</v>
      </c>
      <c r="DD3828">
        <v>1</v>
      </c>
      <c r="DE3828">
        <v>0</v>
      </c>
      <c r="DF3828">
        <v>0</v>
      </c>
      <c r="DG3828">
        <v>0</v>
      </c>
      <c r="DH3828">
        <v>0</v>
      </c>
      <c r="DI3828">
        <v>0</v>
      </c>
    </row>
    <row r="3829" spans="1:113" x14ac:dyDescent="0.3">
      <c r="A3829" t="str">
        <f t="shared" si="1769"/>
        <v>05/12/2020 14:47:53.822</v>
      </c>
      <c r="C3829" t="str">
        <f t="shared" si="1756"/>
        <v>FFDFD3C0</v>
      </c>
      <c r="D3829" t="s">
        <v>138</v>
      </c>
      <c r="E3829">
        <v>2</v>
      </c>
      <c r="H3829">
        <v>8</v>
      </c>
      <c r="I3829" t="s">
        <v>139</v>
      </c>
      <c r="J3829" t="s">
        <v>136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 t="shared" si="1770"/>
        <v>14:48:11.656</v>
      </c>
      <c r="T3829" t="str">
        <f t="shared" si="1771"/>
        <v>14:48:11.256</v>
      </c>
      <c r="U3829" t="str">
        <f t="shared" si="1748"/>
        <v>A9808D</v>
      </c>
      <c r="V3829">
        <v>0</v>
      </c>
      <c r="W3829">
        <v>0</v>
      </c>
      <c r="X3829">
        <v>1</v>
      </c>
      <c r="Z3829">
        <v>0</v>
      </c>
      <c r="AA3829">
        <v>9</v>
      </c>
      <c r="AB3829">
        <v>3</v>
      </c>
      <c r="AC3829">
        <v>0</v>
      </c>
      <c r="AD3829">
        <v>10</v>
      </c>
      <c r="AE3829">
        <v>0</v>
      </c>
      <c r="AF3829">
        <v>3</v>
      </c>
      <c r="AG3829">
        <v>2</v>
      </c>
      <c r="AH3829">
        <v>0</v>
      </c>
      <c r="AI3829" t="s">
        <v>880</v>
      </c>
      <c r="AJ3829">
        <v>28.271384000000001</v>
      </c>
      <c r="AK3829" t="s">
        <v>881</v>
      </c>
      <c r="AL3829">
        <v>-82.278820999999994</v>
      </c>
      <c r="AM3829">
        <v>100</v>
      </c>
      <c r="AN3829">
        <v>2200</v>
      </c>
      <c r="AO3829" t="s">
        <v>118</v>
      </c>
      <c r="AP3829">
        <v>-147</v>
      </c>
      <c r="AQ3829">
        <v>-11</v>
      </c>
      <c r="AR3829">
        <v>320</v>
      </c>
      <c r="AZ3829">
        <v>1200</v>
      </c>
      <c r="BA3829">
        <v>1</v>
      </c>
      <c r="BB3829" t="str">
        <f t="shared" si="1757"/>
        <v xml:space="preserve">N711JA  </v>
      </c>
      <c r="BC3829">
        <v>1</v>
      </c>
      <c r="BE3829">
        <v>0</v>
      </c>
      <c r="BF3829">
        <v>0</v>
      </c>
      <c r="BG3829">
        <v>0</v>
      </c>
      <c r="BH3829">
        <v>2250</v>
      </c>
      <c r="BI3829">
        <v>1</v>
      </c>
      <c r="BJ3829">
        <v>1</v>
      </c>
      <c r="BK3829">
        <v>0</v>
      </c>
      <c r="BL3829">
        <v>0</v>
      </c>
      <c r="BO3829">
        <v>0</v>
      </c>
      <c r="BP3829">
        <v>0</v>
      </c>
      <c r="BW3829" t="str">
        <f t="shared" si="1772"/>
        <v>14:48:11.664</v>
      </c>
      <c r="CJ3829">
        <v>0</v>
      </c>
      <c r="CK3829">
        <v>2</v>
      </c>
      <c r="CL3829">
        <v>0</v>
      </c>
      <c r="CM3829">
        <v>2</v>
      </c>
      <c r="CN3829">
        <v>0</v>
      </c>
      <c r="CO3829">
        <v>7</v>
      </c>
      <c r="CP3829" t="s">
        <v>119</v>
      </c>
      <c r="CQ3829">
        <v>8</v>
      </c>
      <c r="CR3829">
        <v>3</v>
      </c>
      <c r="CW3829">
        <v>9081929</v>
      </c>
      <c r="CY3829">
        <v>1</v>
      </c>
      <c r="CZ3829">
        <v>0</v>
      </c>
      <c r="DA3829">
        <v>1</v>
      </c>
      <c r="DB3829">
        <v>0</v>
      </c>
      <c r="DC3829">
        <v>0</v>
      </c>
      <c r="DD3829">
        <v>1</v>
      </c>
      <c r="DE3829">
        <v>0</v>
      </c>
      <c r="DF3829">
        <v>0</v>
      </c>
      <c r="DG3829">
        <v>0</v>
      </c>
      <c r="DH3829">
        <v>0</v>
      </c>
      <c r="DI3829">
        <v>0</v>
      </c>
    </row>
    <row r="3830" spans="1:113" x14ac:dyDescent="0.3">
      <c r="A3830" t="str">
        <f t="shared" si="1769"/>
        <v>05/12/2020 14:47:53.822</v>
      </c>
      <c r="C3830" t="str">
        <f t="shared" si="1756"/>
        <v>FFDFD3C0</v>
      </c>
      <c r="D3830" t="s">
        <v>131</v>
      </c>
      <c r="E3830">
        <v>10</v>
      </c>
      <c r="F3830">
        <v>2010</v>
      </c>
      <c r="G3830" t="s">
        <v>132</v>
      </c>
      <c r="J3830" t="s">
        <v>133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 t="shared" si="1770"/>
        <v>14:48:11.656</v>
      </c>
      <c r="T3830" t="str">
        <f t="shared" si="1771"/>
        <v>14:48:11.256</v>
      </c>
      <c r="U3830" t="str">
        <f t="shared" si="1748"/>
        <v>A9808D</v>
      </c>
      <c r="V3830">
        <v>0</v>
      </c>
      <c r="W3830">
        <v>0</v>
      </c>
      <c r="X3830">
        <v>1</v>
      </c>
      <c r="Z3830">
        <v>0</v>
      </c>
      <c r="AA3830">
        <v>9</v>
      </c>
      <c r="AB3830">
        <v>3</v>
      </c>
      <c r="AC3830">
        <v>0</v>
      </c>
      <c r="AD3830">
        <v>10</v>
      </c>
      <c r="AE3830">
        <v>0</v>
      </c>
      <c r="AF3830">
        <v>3</v>
      </c>
      <c r="AG3830">
        <v>2</v>
      </c>
      <c r="AH3830">
        <v>0</v>
      </c>
      <c r="AI3830" t="s">
        <v>880</v>
      </c>
      <c r="AJ3830">
        <v>28.271384000000001</v>
      </c>
      <c r="AK3830" t="s">
        <v>881</v>
      </c>
      <c r="AL3830">
        <v>-82.278820999999994</v>
      </c>
      <c r="AM3830">
        <v>100</v>
      </c>
      <c r="AN3830">
        <v>2200</v>
      </c>
      <c r="AO3830" t="s">
        <v>118</v>
      </c>
      <c r="AP3830">
        <v>-147</v>
      </c>
      <c r="AQ3830">
        <v>-11</v>
      </c>
      <c r="AR3830">
        <v>320</v>
      </c>
      <c r="AZ3830">
        <v>1200</v>
      </c>
      <c r="BA3830">
        <v>1</v>
      </c>
      <c r="BB3830" t="str">
        <f t="shared" si="1757"/>
        <v xml:space="preserve">N711JA  </v>
      </c>
      <c r="BC3830">
        <v>1</v>
      </c>
      <c r="BE3830">
        <v>0</v>
      </c>
      <c r="BF3830">
        <v>0</v>
      </c>
      <c r="BG3830">
        <v>0</v>
      </c>
      <c r="BH3830">
        <v>2250</v>
      </c>
      <c r="BI3830">
        <v>1</v>
      </c>
      <c r="BJ3830">
        <v>1</v>
      </c>
      <c r="BK3830">
        <v>0</v>
      </c>
      <c r="BL3830">
        <v>0</v>
      </c>
      <c r="BO3830">
        <v>0</v>
      </c>
      <c r="BP3830">
        <v>0</v>
      </c>
      <c r="BW3830" t="str">
        <f t="shared" si="1772"/>
        <v>14:48:11.664</v>
      </c>
      <c r="CJ3830">
        <v>0</v>
      </c>
      <c r="CK3830">
        <v>2</v>
      </c>
      <c r="CL3830">
        <v>0</v>
      </c>
      <c r="CM3830">
        <v>2</v>
      </c>
      <c r="CN3830">
        <v>0</v>
      </c>
      <c r="CO3830">
        <v>7</v>
      </c>
      <c r="CP3830" t="s">
        <v>119</v>
      </c>
      <c r="CQ3830">
        <v>8</v>
      </c>
      <c r="CR3830">
        <v>3</v>
      </c>
      <c r="CW3830">
        <v>9081929</v>
      </c>
      <c r="CY3830">
        <v>1</v>
      </c>
      <c r="CZ3830">
        <v>0</v>
      </c>
      <c r="DA3830">
        <v>1</v>
      </c>
      <c r="DB3830">
        <v>0</v>
      </c>
      <c r="DC3830">
        <v>0</v>
      </c>
      <c r="DD3830">
        <v>1</v>
      </c>
      <c r="DE3830">
        <v>0</v>
      </c>
      <c r="DF3830">
        <v>0</v>
      </c>
      <c r="DG3830">
        <v>0</v>
      </c>
      <c r="DH3830">
        <v>0</v>
      </c>
      <c r="DI3830">
        <v>0</v>
      </c>
    </row>
    <row r="3831" spans="1:113" x14ac:dyDescent="0.3">
      <c r="A3831" t="str">
        <f t="shared" si="1769"/>
        <v>05/12/2020 14:47:53.822</v>
      </c>
      <c r="C3831" t="str">
        <f t="shared" si="1756"/>
        <v>FFDFD3C0</v>
      </c>
      <c r="D3831" t="s">
        <v>126</v>
      </c>
      <c r="E3831">
        <v>7</v>
      </c>
      <c r="F3831">
        <v>1007</v>
      </c>
      <c r="G3831" t="s">
        <v>127</v>
      </c>
      <c r="J3831" t="s">
        <v>128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 t="shared" si="1770"/>
        <v>14:48:11.656</v>
      </c>
      <c r="T3831" t="str">
        <f t="shared" si="1771"/>
        <v>14:48:11.256</v>
      </c>
      <c r="U3831" t="str">
        <f t="shared" si="1748"/>
        <v>A9808D</v>
      </c>
      <c r="V3831">
        <v>0</v>
      </c>
      <c r="W3831">
        <v>0</v>
      </c>
      <c r="X3831">
        <v>1</v>
      </c>
      <c r="Z3831">
        <v>0</v>
      </c>
      <c r="AA3831">
        <v>9</v>
      </c>
      <c r="AB3831">
        <v>3</v>
      </c>
      <c r="AC3831">
        <v>0</v>
      </c>
      <c r="AD3831">
        <v>10</v>
      </c>
      <c r="AE3831">
        <v>0</v>
      </c>
      <c r="AF3831">
        <v>3</v>
      </c>
      <c r="AG3831">
        <v>2</v>
      </c>
      <c r="AH3831">
        <v>0</v>
      </c>
      <c r="AI3831" t="s">
        <v>880</v>
      </c>
      <c r="AJ3831">
        <v>28.271384000000001</v>
      </c>
      <c r="AK3831" t="s">
        <v>881</v>
      </c>
      <c r="AL3831">
        <v>-82.278820999999994</v>
      </c>
      <c r="AM3831">
        <v>100</v>
      </c>
      <c r="AN3831">
        <v>2200</v>
      </c>
      <c r="AO3831" t="s">
        <v>118</v>
      </c>
      <c r="AP3831">
        <v>-147</v>
      </c>
      <c r="AQ3831">
        <v>-11</v>
      </c>
      <c r="AR3831">
        <v>320</v>
      </c>
      <c r="AZ3831">
        <v>1200</v>
      </c>
      <c r="BA3831">
        <v>1</v>
      </c>
      <c r="BB3831" t="str">
        <f t="shared" si="1757"/>
        <v xml:space="preserve">N711JA  </v>
      </c>
      <c r="BC3831">
        <v>1</v>
      </c>
      <c r="BE3831">
        <v>0</v>
      </c>
      <c r="BF3831">
        <v>0</v>
      </c>
      <c r="BG3831">
        <v>0</v>
      </c>
      <c r="BH3831">
        <v>2250</v>
      </c>
      <c r="BI3831">
        <v>1</v>
      </c>
      <c r="BJ3831">
        <v>1</v>
      </c>
      <c r="BK3831">
        <v>0</v>
      </c>
      <c r="BL3831">
        <v>0</v>
      </c>
      <c r="BO3831">
        <v>0</v>
      </c>
      <c r="BP3831">
        <v>0</v>
      </c>
      <c r="BW3831" t="str">
        <f t="shared" si="1772"/>
        <v>14:48:11.664</v>
      </c>
      <c r="CJ3831">
        <v>0</v>
      </c>
      <c r="CK3831">
        <v>2</v>
      </c>
      <c r="CL3831">
        <v>0</v>
      </c>
      <c r="CM3831">
        <v>2</v>
      </c>
      <c r="CN3831">
        <v>0</v>
      </c>
      <c r="CO3831">
        <v>7</v>
      </c>
      <c r="CP3831" t="s">
        <v>119</v>
      </c>
      <c r="CQ3831">
        <v>8</v>
      </c>
      <c r="CR3831">
        <v>3</v>
      </c>
      <c r="CW3831">
        <v>9081929</v>
      </c>
      <c r="CY3831">
        <v>1</v>
      </c>
      <c r="CZ3831">
        <v>0</v>
      </c>
      <c r="DA3831">
        <v>1</v>
      </c>
      <c r="DB3831">
        <v>0</v>
      </c>
      <c r="DC3831">
        <v>0</v>
      </c>
      <c r="DD3831">
        <v>1</v>
      </c>
      <c r="DE3831">
        <v>0</v>
      </c>
      <c r="DF3831">
        <v>0</v>
      </c>
      <c r="DG3831">
        <v>0</v>
      </c>
      <c r="DH3831">
        <v>0</v>
      </c>
      <c r="DI3831">
        <v>0</v>
      </c>
    </row>
    <row r="3832" spans="1:113" x14ac:dyDescent="0.3">
      <c r="A3832" t="str">
        <f t="shared" si="1769"/>
        <v>05/12/2020 14:47:53.822</v>
      </c>
      <c r="C3832" t="str">
        <f t="shared" si="1756"/>
        <v>FFDFD3C0</v>
      </c>
      <c r="D3832" t="s">
        <v>131</v>
      </c>
      <c r="E3832">
        <v>12</v>
      </c>
      <c r="F3832">
        <v>2012</v>
      </c>
      <c r="G3832" t="s">
        <v>137</v>
      </c>
      <c r="J3832" t="s">
        <v>133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 t="shared" si="1770"/>
        <v>14:48:11.656</v>
      </c>
      <c r="T3832" t="str">
        <f t="shared" si="1771"/>
        <v>14:48:11.256</v>
      </c>
      <c r="U3832" t="str">
        <f t="shared" si="1748"/>
        <v>A9808D</v>
      </c>
      <c r="V3832">
        <v>0</v>
      </c>
      <c r="W3832">
        <v>0</v>
      </c>
      <c r="X3832">
        <v>1</v>
      </c>
      <c r="Z3832">
        <v>0</v>
      </c>
      <c r="AA3832">
        <v>9</v>
      </c>
      <c r="AB3832">
        <v>3</v>
      </c>
      <c r="AC3832">
        <v>0</v>
      </c>
      <c r="AD3832">
        <v>10</v>
      </c>
      <c r="AE3832">
        <v>0</v>
      </c>
      <c r="AF3832">
        <v>3</v>
      </c>
      <c r="AG3832">
        <v>2</v>
      </c>
      <c r="AH3832">
        <v>0</v>
      </c>
      <c r="AI3832" t="s">
        <v>880</v>
      </c>
      <c r="AJ3832">
        <v>28.271384000000001</v>
      </c>
      <c r="AK3832" t="s">
        <v>881</v>
      </c>
      <c r="AL3832">
        <v>-82.278820999999994</v>
      </c>
      <c r="AM3832">
        <v>100</v>
      </c>
      <c r="AN3832">
        <v>2200</v>
      </c>
      <c r="AO3832" t="s">
        <v>118</v>
      </c>
      <c r="AP3832">
        <v>-147</v>
      </c>
      <c r="AQ3832">
        <v>-11</v>
      </c>
      <c r="AR3832">
        <v>320</v>
      </c>
      <c r="AZ3832">
        <v>1200</v>
      </c>
      <c r="BA3832">
        <v>1</v>
      </c>
      <c r="BB3832" t="str">
        <f t="shared" si="1757"/>
        <v xml:space="preserve">N711JA  </v>
      </c>
      <c r="BC3832">
        <v>1</v>
      </c>
      <c r="BE3832">
        <v>0</v>
      </c>
      <c r="BF3832">
        <v>0</v>
      </c>
      <c r="BG3832">
        <v>0</v>
      </c>
      <c r="BH3832">
        <v>2250</v>
      </c>
      <c r="BI3832">
        <v>1</v>
      </c>
      <c r="BJ3832">
        <v>1</v>
      </c>
      <c r="BK3832">
        <v>0</v>
      </c>
      <c r="BL3832">
        <v>0</v>
      </c>
      <c r="BO3832">
        <v>0</v>
      </c>
      <c r="BP3832">
        <v>0</v>
      </c>
      <c r="BW3832" t="str">
        <f t="shared" si="1772"/>
        <v>14:48:11.664</v>
      </c>
      <c r="CJ3832">
        <v>0</v>
      </c>
      <c r="CK3832">
        <v>2</v>
      </c>
      <c r="CL3832">
        <v>0</v>
      </c>
      <c r="CM3832">
        <v>2</v>
      </c>
      <c r="CN3832">
        <v>0</v>
      </c>
      <c r="CO3832">
        <v>7</v>
      </c>
      <c r="CP3832" t="s">
        <v>119</v>
      </c>
      <c r="CQ3832">
        <v>8</v>
      </c>
      <c r="CR3832">
        <v>3</v>
      </c>
      <c r="CW3832">
        <v>9081929</v>
      </c>
      <c r="CY3832">
        <v>1</v>
      </c>
      <c r="CZ3832">
        <v>0</v>
      </c>
      <c r="DA3832">
        <v>1</v>
      </c>
      <c r="DB3832">
        <v>0</v>
      </c>
      <c r="DC3832">
        <v>0</v>
      </c>
      <c r="DD3832">
        <v>1</v>
      </c>
      <c r="DE3832">
        <v>0</v>
      </c>
      <c r="DF3832">
        <v>0</v>
      </c>
      <c r="DG3832">
        <v>0</v>
      </c>
      <c r="DH3832">
        <v>0</v>
      </c>
      <c r="DI3832">
        <v>0</v>
      </c>
    </row>
    <row r="3833" spans="1:113" x14ac:dyDescent="0.3">
      <c r="A3833" t="str">
        <f t="shared" si="1769"/>
        <v>05/12/2020 14:47:53.822</v>
      </c>
      <c r="C3833" t="str">
        <f t="shared" si="1756"/>
        <v>FFDFD3C0</v>
      </c>
      <c r="D3833" t="s">
        <v>131</v>
      </c>
      <c r="E3833">
        <v>18</v>
      </c>
      <c r="F3833">
        <v>2018</v>
      </c>
      <c r="G3833" t="s">
        <v>161</v>
      </c>
      <c r="J3833" t="s">
        <v>133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 t="shared" si="1770"/>
        <v>14:48:11.656</v>
      </c>
      <c r="T3833" t="str">
        <f t="shared" si="1771"/>
        <v>14:48:11.256</v>
      </c>
      <c r="U3833" t="str">
        <f t="shared" si="1748"/>
        <v>A9808D</v>
      </c>
      <c r="V3833">
        <v>0</v>
      </c>
      <c r="W3833">
        <v>0</v>
      </c>
      <c r="X3833">
        <v>1</v>
      </c>
      <c r="Z3833">
        <v>0</v>
      </c>
      <c r="AA3833">
        <v>9</v>
      </c>
      <c r="AB3833">
        <v>3</v>
      </c>
      <c r="AC3833">
        <v>0</v>
      </c>
      <c r="AD3833">
        <v>10</v>
      </c>
      <c r="AE3833">
        <v>0</v>
      </c>
      <c r="AF3833">
        <v>3</v>
      </c>
      <c r="AG3833">
        <v>2</v>
      </c>
      <c r="AH3833">
        <v>0</v>
      </c>
      <c r="AI3833" t="s">
        <v>880</v>
      </c>
      <c r="AJ3833">
        <v>28.271384000000001</v>
      </c>
      <c r="AK3833" t="s">
        <v>881</v>
      </c>
      <c r="AL3833">
        <v>-82.278820999999994</v>
      </c>
      <c r="AM3833">
        <v>100</v>
      </c>
      <c r="AN3833">
        <v>2200</v>
      </c>
      <c r="AO3833" t="s">
        <v>118</v>
      </c>
      <c r="AP3833">
        <v>-147</v>
      </c>
      <c r="AQ3833">
        <v>-11</v>
      </c>
      <c r="AR3833">
        <v>320</v>
      </c>
      <c r="AZ3833">
        <v>1200</v>
      </c>
      <c r="BA3833">
        <v>1</v>
      </c>
      <c r="BB3833" t="str">
        <f t="shared" si="1757"/>
        <v xml:space="preserve">N711JA  </v>
      </c>
      <c r="BC3833">
        <v>1</v>
      </c>
      <c r="BE3833">
        <v>0</v>
      </c>
      <c r="BF3833">
        <v>0</v>
      </c>
      <c r="BG3833">
        <v>0</v>
      </c>
      <c r="BH3833">
        <v>2250</v>
      </c>
      <c r="BI3833">
        <v>1</v>
      </c>
      <c r="BJ3833">
        <v>1</v>
      </c>
      <c r="BK3833">
        <v>0</v>
      </c>
      <c r="BL3833">
        <v>0</v>
      </c>
      <c r="BO3833">
        <v>0</v>
      </c>
      <c r="BP3833">
        <v>0</v>
      </c>
      <c r="BW3833" t="str">
        <f t="shared" si="1772"/>
        <v>14:48:11.664</v>
      </c>
      <c r="CJ3833">
        <v>0</v>
      </c>
      <c r="CK3833">
        <v>2</v>
      </c>
      <c r="CL3833">
        <v>0</v>
      </c>
      <c r="CM3833">
        <v>2</v>
      </c>
      <c r="CN3833">
        <v>0</v>
      </c>
      <c r="CO3833">
        <v>4</v>
      </c>
      <c r="CP3833" t="s">
        <v>119</v>
      </c>
      <c r="CQ3833">
        <v>62</v>
      </c>
      <c r="CR3833">
        <v>1</v>
      </c>
      <c r="CW3833">
        <v>12971965</v>
      </c>
      <c r="CY3833">
        <v>1</v>
      </c>
      <c r="CZ3833">
        <v>0</v>
      </c>
      <c r="DA3833">
        <v>1</v>
      </c>
      <c r="DB3833">
        <v>0</v>
      </c>
      <c r="DC3833">
        <v>0</v>
      </c>
      <c r="DD3833">
        <v>1</v>
      </c>
      <c r="DE3833">
        <v>0</v>
      </c>
      <c r="DF3833">
        <v>0</v>
      </c>
      <c r="DG3833">
        <v>0</v>
      </c>
      <c r="DH3833">
        <v>0</v>
      </c>
      <c r="DI3833">
        <v>0</v>
      </c>
    </row>
    <row r="3834" spans="1:113" x14ac:dyDescent="0.3">
      <c r="A3834" t="str">
        <f t="shared" si="1769"/>
        <v>05/12/2020 14:47:53.822</v>
      </c>
      <c r="C3834" t="str">
        <f t="shared" si="1756"/>
        <v>FFDFD3C0</v>
      </c>
      <c r="D3834" t="s">
        <v>126</v>
      </c>
      <c r="E3834">
        <v>6</v>
      </c>
      <c r="F3834">
        <v>1006</v>
      </c>
      <c r="G3834" t="s">
        <v>114</v>
      </c>
      <c r="J3834" t="s">
        <v>128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 t="shared" si="1770"/>
        <v>14:48:11.656</v>
      </c>
      <c r="T3834" t="str">
        <f t="shared" si="1771"/>
        <v>14:48:11.256</v>
      </c>
      <c r="U3834" t="str">
        <f t="shared" si="1748"/>
        <v>A9808D</v>
      </c>
      <c r="V3834">
        <v>0</v>
      </c>
      <c r="W3834">
        <v>0</v>
      </c>
      <c r="X3834">
        <v>1</v>
      </c>
      <c r="Z3834">
        <v>0</v>
      </c>
      <c r="AA3834">
        <v>9</v>
      </c>
      <c r="AB3834">
        <v>3</v>
      </c>
      <c r="AC3834">
        <v>0</v>
      </c>
      <c r="AD3834">
        <v>10</v>
      </c>
      <c r="AE3834">
        <v>0</v>
      </c>
      <c r="AF3834">
        <v>3</v>
      </c>
      <c r="AG3834">
        <v>2</v>
      </c>
      <c r="AH3834">
        <v>0</v>
      </c>
      <c r="AI3834" t="s">
        <v>880</v>
      </c>
      <c r="AJ3834">
        <v>28.271384000000001</v>
      </c>
      <c r="AK3834" t="s">
        <v>881</v>
      </c>
      <c r="AL3834">
        <v>-82.278820999999994</v>
      </c>
      <c r="AM3834">
        <v>100</v>
      </c>
      <c r="AN3834">
        <v>2200</v>
      </c>
      <c r="AO3834" t="s">
        <v>118</v>
      </c>
      <c r="AP3834">
        <v>-147</v>
      </c>
      <c r="AQ3834">
        <v>-11</v>
      </c>
      <c r="AR3834">
        <v>320</v>
      </c>
      <c r="AZ3834">
        <v>1200</v>
      </c>
      <c r="BA3834">
        <v>1</v>
      </c>
      <c r="BB3834" t="str">
        <f t="shared" si="1757"/>
        <v xml:space="preserve">N711JA  </v>
      </c>
      <c r="BC3834">
        <v>1</v>
      </c>
      <c r="BE3834">
        <v>0</v>
      </c>
      <c r="BF3834">
        <v>0</v>
      </c>
      <c r="BG3834">
        <v>0</v>
      </c>
      <c r="BH3834">
        <v>2250</v>
      </c>
      <c r="BI3834">
        <v>1</v>
      </c>
      <c r="BJ3834">
        <v>1</v>
      </c>
      <c r="BK3834">
        <v>0</v>
      </c>
      <c r="BL3834">
        <v>0</v>
      </c>
      <c r="BO3834">
        <v>0</v>
      </c>
      <c r="BP3834">
        <v>0</v>
      </c>
      <c r="BW3834" t="str">
        <f t="shared" si="1772"/>
        <v>14:48:11.664</v>
      </c>
      <c r="CJ3834">
        <v>0</v>
      </c>
      <c r="CK3834">
        <v>2</v>
      </c>
      <c r="CL3834">
        <v>0</v>
      </c>
      <c r="CM3834">
        <v>2</v>
      </c>
      <c r="CN3834">
        <v>0</v>
      </c>
      <c r="CO3834">
        <v>7</v>
      </c>
      <c r="CP3834" t="s">
        <v>119</v>
      </c>
      <c r="CQ3834">
        <v>8</v>
      </c>
      <c r="CR3834">
        <v>3</v>
      </c>
      <c r="CW3834">
        <v>9081929</v>
      </c>
      <c r="CY3834">
        <v>1</v>
      </c>
      <c r="CZ3834">
        <v>0</v>
      </c>
      <c r="DA3834">
        <v>1</v>
      </c>
      <c r="DB3834">
        <v>0</v>
      </c>
      <c r="DC3834">
        <v>0</v>
      </c>
      <c r="DD3834">
        <v>1</v>
      </c>
      <c r="DE3834">
        <v>0</v>
      </c>
      <c r="DF3834">
        <v>0</v>
      </c>
      <c r="DG3834">
        <v>0</v>
      </c>
      <c r="DH3834">
        <v>0</v>
      </c>
      <c r="DI3834">
        <v>0</v>
      </c>
    </row>
    <row r="3835" spans="1:113" x14ac:dyDescent="0.3">
      <c r="A3835" t="str">
        <f t="shared" ref="A3835:A3843" si="1773">"05/12/2020 14:47:54.894"</f>
        <v>05/12/2020 14:47:54.894</v>
      </c>
      <c r="C3835" t="str">
        <f t="shared" si="1756"/>
        <v>FFDFD3C0</v>
      </c>
      <c r="D3835" t="s">
        <v>126</v>
      </c>
      <c r="E3835">
        <v>7</v>
      </c>
      <c r="F3835">
        <v>1007</v>
      </c>
      <c r="G3835" t="s">
        <v>127</v>
      </c>
      <c r="J3835" t="s">
        <v>128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 t="shared" ref="S3835:S3843" si="1774">"14:48:12.703"</f>
        <v>14:48:12.703</v>
      </c>
      <c r="T3835" t="str">
        <f t="shared" ref="T3835:T3843" si="1775">"14:48:12.403"</f>
        <v>14:48:12.403</v>
      </c>
      <c r="U3835" t="str">
        <f t="shared" si="1748"/>
        <v>A9808D</v>
      </c>
      <c r="V3835">
        <v>0</v>
      </c>
      <c r="W3835">
        <v>0</v>
      </c>
      <c r="X3835">
        <v>1</v>
      </c>
      <c r="Z3835">
        <v>0</v>
      </c>
      <c r="AA3835">
        <v>9</v>
      </c>
      <c r="AB3835">
        <v>3</v>
      </c>
      <c r="AC3835">
        <v>0</v>
      </c>
      <c r="AD3835">
        <v>10</v>
      </c>
      <c r="AE3835">
        <v>0</v>
      </c>
      <c r="AF3835">
        <v>3</v>
      </c>
      <c r="AG3835">
        <v>2</v>
      </c>
      <c r="AH3835">
        <v>0</v>
      </c>
      <c r="AI3835" t="s">
        <v>882</v>
      </c>
      <c r="AJ3835">
        <v>28.271319999999999</v>
      </c>
      <c r="AK3835" t="s">
        <v>883</v>
      </c>
      <c r="AL3835">
        <v>-82.279636999999994</v>
      </c>
      <c r="AM3835">
        <v>100</v>
      </c>
      <c r="AN3835">
        <v>2200</v>
      </c>
      <c r="AO3835" t="s">
        <v>118</v>
      </c>
      <c r="AP3835">
        <v>-146</v>
      </c>
      <c r="AQ3835">
        <v>-14</v>
      </c>
      <c r="AR3835">
        <v>320</v>
      </c>
      <c r="AZ3835">
        <v>1200</v>
      </c>
      <c r="BA3835">
        <v>1</v>
      </c>
      <c r="BB3835" t="str">
        <f t="shared" si="1757"/>
        <v xml:space="preserve">N711JA  </v>
      </c>
      <c r="BC3835">
        <v>1</v>
      </c>
      <c r="BE3835">
        <v>0</v>
      </c>
      <c r="BF3835">
        <v>0</v>
      </c>
      <c r="BG3835">
        <v>0</v>
      </c>
      <c r="BH3835">
        <v>2250</v>
      </c>
      <c r="BI3835">
        <v>1</v>
      </c>
      <c r="BJ3835">
        <v>1</v>
      </c>
      <c r="BK3835">
        <v>0</v>
      </c>
      <c r="BL3835">
        <v>0</v>
      </c>
      <c r="BO3835">
        <v>0</v>
      </c>
      <c r="BP3835">
        <v>0</v>
      </c>
      <c r="BW3835" t="str">
        <f>"14:48:12.707"</f>
        <v>14:48:12.707</v>
      </c>
      <c r="CJ3835">
        <v>0</v>
      </c>
      <c r="CK3835">
        <v>2</v>
      </c>
      <c r="CL3835">
        <v>0</v>
      </c>
      <c r="CM3835">
        <v>2</v>
      </c>
      <c r="CN3835">
        <v>0</v>
      </c>
      <c r="CO3835">
        <v>6</v>
      </c>
      <c r="CP3835" t="s">
        <v>119</v>
      </c>
      <c r="CQ3835">
        <v>358</v>
      </c>
      <c r="CR3835">
        <v>0</v>
      </c>
      <c r="CW3835">
        <v>5042219</v>
      </c>
      <c r="CY3835">
        <v>1</v>
      </c>
      <c r="CZ3835">
        <v>0</v>
      </c>
      <c r="DA3835">
        <v>0</v>
      </c>
      <c r="DB3835">
        <v>0</v>
      </c>
      <c r="DC3835">
        <v>0</v>
      </c>
      <c r="DD3835">
        <v>1</v>
      </c>
      <c r="DE3835">
        <v>0</v>
      </c>
      <c r="DF3835">
        <v>0</v>
      </c>
      <c r="DG3835">
        <v>0</v>
      </c>
      <c r="DH3835">
        <v>0</v>
      </c>
      <c r="DI3835">
        <v>0</v>
      </c>
    </row>
    <row r="3836" spans="1:113" x14ac:dyDescent="0.3">
      <c r="A3836" t="str">
        <f t="shared" si="1773"/>
        <v>05/12/2020 14:47:54.894</v>
      </c>
      <c r="C3836" t="str">
        <f t="shared" si="1756"/>
        <v>FFDFD3C0</v>
      </c>
      <c r="D3836" t="s">
        <v>138</v>
      </c>
      <c r="E3836">
        <v>2</v>
      </c>
      <c r="H3836">
        <v>8</v>
      </c>
      <c r="I3836" t="s">
        <v>139</v>
      </c>
      <c r="J3836" t="s">
        <v>136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 t="shared" si="1774"/>
        <v>14:48:12.703</v>
      </c>
      <c r="T3836" t="str">
        <f t="shared" si="1775"/>
        <v>14:48:12.403</v>
      </c>
      <c r="U3836" t="str">
        <f t="shared" si="1748"/>
        <v>A9808D</v>
      </c>
      <c r="V3836">
        <v>0</v>
      </c>
      <c r="W3836">
        <v>0</v>
      </c>
      <c r="X3836">
        <v>1</v>
      </c>
      <c r="Z3836">
        <v>0</v>
      </c>
      <c r="AA3836">
        <v>9</v>
      </c>
      <c r="AB3836">
        <v>3</v>
      </c>
      <c r="AC3836">
        <v>0</v>
      </c>
      <c r="AD3836">
        <v>10</v>
      </c>
      <c r="AE3836">
        <v>0</v>
      </c>
      <c r="AF3836">
        <v>3</v>
      </c>
      <c r="AG3836">
        <v>2</v>
      </c>
      <c r="AH3836">
        <v>0</v>
      </c>
      <c r="AI3836" t="s">
        <v>882</v>
      </c>
      <c r="AJ3836">
        <v>28.271319999999999</v>
      </c>
      <c r="AK3836" t="s">
        <v>883</v>
      </c>
      <c r="AL3836">
        <v>-82.279636999999994</v>
      </c>
      <c r="AM3836">
        <v>100</v>
      </c>
      <c r="AN3836">
        <v>2200</v>
      </c>
      <c r="AO3836" t="s">
        <v>118</v>
      </c>
      <c r="AP3836">
        <v>-146</v>
      </c>
      <c r="AQ3836">
        <v>-14</v>
      </c>
      <c r="AR3836">
        <v>320</v>
      </c>
      <c r="AZ3836">
        <v>1200</v>
      </c>
      <c r="BA3836">
        <v>1</v>
      </c>
      <c r="BB3836" t="str">
        <f t="shared" si="1757"/>
        <v xml:space="preserve">N711JA  </v>
      </c>
      <c r="BC3836">
        <v>1</v>
      </c>
      <c r="BE3836">
        <v>0</v>
      </c>
      <c r="BF3836">
        <v>0</v>
      </c>
      <c r="BG3836">
        <v>0</v>
      </c>
      <c r="BH3836">
        <v>2250</v>
      </c>
      <c r="BI3836">
        <v>1</v>
      </c>
      <c r="BJ3836">
        <v>1</v>
      </c>
      <c r="BK3836">
        <v>0</v>
      </c>
      <c r="BL3836">
        <v>0</v>
      </c>
      <c r="BO3836">
        <v>0</v>
      </c>
      <c r="BP3836">
        <v>0</v>
      </c>
      <c r="BW3836" t="str">
        <f>"14:48:12.708"</f>
        <v>14:48:12.708</v>
      </c>
      <c r="CJ3836">
        <v>0</v>
      </c>
      <c r="CK3836">
        <v>2</v>
      </c>
      <c r="CL3836">
        <v>0</v>
      </c>
      <c r="CM3836">
        <v>2</v>
      </c>
      <c r="CN3836">
        <v>0</v>
      </c>
      <c r="CO3836">
        <v>6</v>
      </c>
      <c r="CP3836" t="s">
        <v>119</v>
      </c>
      <c r="CQ3836">
        <v>56</v>
      </c>
      <c r="CR3836">
        <v>2</v>
      </c>
      <c r="CW3836">
        <v>5068422</v>
      </c>
      <c r="CY3836">
        <v>1</v>
      </c>
      <c r="CZ3836">
        <v>0</v>
      </c>
      <c r="DA3836">
        <v>1</v>
      </c>
      <c r="DB3836">
        <v>0</v>
      </c>
      <c r="DC3836">
        <v>0</v>
      </c>
      <c r="DD3836">
        <v>1</v>
      </c>
      <c r="DE3836">
        <v>0</v>
      </c>
      <c r="DF3836">
        <v>0</v>
      </c>
      <c r="DG3836">
        <v>0</v>
      </c>
      <c r="DH3836">
        <v>0</v>
      </c>
      <c r="DI3836">
        <v>0</v>
      </c>
    </row>
    <row r="3837" spans="1:113" x14ac:dyDescent="0.3">
      <c r="A3837" t="str">
        <f t="shared" si="1773"/>
        <v>05/12/2020 14:47:54.894</v>
      </c>
      <c r="C3837" t="str">
        <f t="shared" si="1756"/>
        <v>FFDFD3C0</v>
      </c>
      <c r="D3837" t="s">
        <v>131</v>
      </c>
      <c r="E3837">
        <v>10</v>
      </c>
      <c r="F3837">
        <v>2010</v>
      </c>
      <c r="G3837" t="s">
        <v>132</v>
      </c>
      <c r="J3837" t="s">
        <v>133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 t="shared" si="1774"/>
        <v>14:48:12.703</v>
      </c>
      <c r="T3837" t="str">
        <f t="shared" si="1775"/>
        <v>14:48:12.403</v>
      </c>
      <c r="U3837" t="str">
        <f t="shared" si="1748"/>
        <v>A9808D</v>
      </c>
      <c r="V3837">
        <v>0</v>
      </c>
      <c r="W3837">
        <v>0</v>
      </c>
      <c r="X3837">
        <v>1</v>
      </c>
      <c r="Z3837">
        <v>0</v>
      </c>
      <c r="AA3837">
        <v>9</v>
      </c>
      <c r="AB3837">
        <v>3</v>
      </c>
      <c r="AC3837">
        <v>0</v>
      </c>
      <c r="AD3837">
        <v>10</v>
      </c>
      <c r="AE3837">
        <v>0</v>
      </c>
      <c r="AF3837">
        <v>3</v>
      </c>
      <c r="AG3837">
        <v>2</v>
      </c>
      <c r="AH3837">
        <v>0</v>
      </c>
      <c r="AI3837" t="s">
        <v>882</v>
      </c>
      <c r="AJ3837">
        <v>28.271319999999999</v>
      </c>
      <c r="AK3837" t="s">
        <v>883</v>
      </c>
      <c r="AL3837">
        <v>-82.279636999999994</v>
      </c>
      <c r="AM3837">
        <v>100</v>
      </c>
      <c r="AN3837">
        <v>2200</v>
      </c>
      <c r="AO3837" t="s">
        <v>118</v>
      </c>
      <c r="AP3837">
        <v>-146</v>
      </c>
      <c r="AQ3837">
        <v>-14</v>
      </c>
      <c r="AR3837">
        <v>320</v>
      </c>
      <c r="AZ3837">
        <v>1200</v>
      </c>
      <c r="BA3837">
        <v>1</v>
      </c>
      <c r="BB3837" t="str">
        <f t="shared" si="1757"/>
        <v xml:space="preserve">N711JA  </v>
      </c>
      <c r="BC3837">
        <v>1</v>
      </c>
      <c r="BE3837">
        <v>0</v>
      </c>
      <c r="BF3837">
        <v>0</v>
      </c>
      <c r="BG3837">
        <v>0</v>
      </c>
      <c r="BH3837">
        <v>2250</v>
      </c>
      <c r="BI3837">
        <v>1</v>
      </c>
      <c r="BJ3837">
        <v>1</v>
      </c>
      <c r="BK3837">
        <v>0</v>
      </c>
      <c r="BL3837">
        <v>0</v>
      </c>
      <c r="BO3837">
        <v>0</v>
      </c>
      <c r="BP3837">
        <v>0</v>
      </c>
      <c r="BW3837" t="str">
        <f>"14:48:12.707"</f>
        <v>14:48:12.707</v>
      </c>
      <c r="CJ3837">
        <v>0</v>
      </c>
      <c r="CK3837">
        <v>2</v>
      </c>
      <c r="CL3837">
        <v>0</v>
      </c>
      <c r="CM3837">
        <v>2</v>
      </c>
      <c r="CN3837">
        <v>0</v>
      </c>
      <c r="CO3837">
        <v>6</v>
      </c>
      <c r="CP3837" t="s">
        <v>119</v>
      </c>
      <c r="CQ3837">
        <v>358</v>
      </c>
      <c r="CR3837">
        <v>0</v>
      </c>
      <c r="CW3837">
        <v>5042219</v>
      </c>
      <c r="CY3837">
        <v>1</v>
      </c>
      <c r="CZ3837">
        <v>0</v>
      </c>
      <c r="DA3837">
        <v>1</v>
      </c>
      <c r="DB3837">
        <v>0</v>
      </c>
      <c r="DC3837">
        <v>0</v>
      </c>
      <c r="DD3837">
        <v>1</v>
      </c>
      <c r="DE3837">
        <v>0</v>
      </c>
      <c r="DF3837">
        <v>0</v>
      </c>
      <c r="DG3837">
        <v>0</v>
      </c>
      <c r="DH3837">
        <v>0</v>
      </c>
      <c r="DI3837">
        <v>0</v>
      </c>
    </row>
    <row r="3838" spans="1:113" x14ac:dyDescent="0.3">
      <c r="A3838" t="str">
        <f t="shared" si="1773"/>
        <v>05/12/2020 14:47:54.894</v>
      </c>
      <c r="C3838" t="str">
        <f t="shared" si="1756"/>
        <v>FFDFD3C0</v>
      </c>
      <c r="D3838" t="s">
        <v>131</v>
      </c>
      <c r="E3838">
        <v>12</v>
      </c>
      <c r="F3838">
        <v>2012</v>
      </c>
      <c r="G3838" t="s">
        <v>137</v>
      </c>
      <c r="J3838" t="s">
        <v>133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 t="shared" si="1774"/>
        <v>14:48:12.703</v>
      </c>
      <c r="T3838" t="str">
        <f t="shared" si="1775"/>
        <v>14:48:12.403</v>
      </c>
      <c r="U3838" t="str">
        <f t="shared" si="1748"/>
        <v>A9808D</v>
      </c>
      <c r="V3838">
        <v>0</v>
      </c>
      <c r="W3838">
        <v>0</v>
      </c>
      <c r="X3838">
        <v>1</v>
      </c>
      <c r="Z3838">
        <v>0</v>
      </c>
      <c r="AA3838">
        <v>9</v>
      </c>
      <c r="AB3838">
        <v>3</v>
      </c>
      <c r="AC3838">
        <v>0</v>
      </c>
      <c r="AD3838">
        <v>10</v>
      </c>
      <c r="AE3838">
        <v>0</v>
      </c>
      <c r="AF3838">
        <v>3</v>
      </c>
      <c r="AG3838">
        <v>2</v>
      </c>
      <c r="AH3838">
        <v>0</v>
      </c>
      <c r="AI3838" t="s">
        <v>882</v>
      </c>
      <c r="AJ3838">
        <v>28.271319999999999</v>
      </c>
      <c r="AK3838" t="s">
        <v>883</v>
      </c>
      <c r="AL3838">
        <v>-82.279636999999994</v>
      </c>
      <c r="AM3838">
        <v>100</v>
      </c>
      <c r="AN3838">
        <v>2200</v>
      </c>
      <c r="AO3838" t="s">
        <v>118</v>
      </c>
      <c r="AP3838">
        <v>-146</v>
      </c>
      <c r="AQ3838">
        <v>-14</v>
      </c>
      <c r="AR3838">
        <v>320</v>
      </c>
      <c r="AZ3838">
        <v>1200</v>
      </c>
      <c r="BA3838">
        <v>1</v>
      </c>
      <c r="BB3838" t="str">
        <f t="shared" si="1757"/>
        <v xml:space="preserve">N711JA  </v>
      </c>
      <c r="BC3838">
        <v>1</v>
      </c>
      <c r="BE3838">
        <v>0</v>
      </c>
      <c r="BF3838">
        <v>0</v>
      </c>
      <c r="BG3838">
        <v>0</v>
      </c>
      <c r="BH3838">
        <v>2250</v>
      </c>
      <c r="BI3838">
        <v>1</v>
      </c>
      <c r="BJ3838">
        <v>1</v>
      </c>
      <c r="BK3838">
        <v>0</v>
      </c>
      <c r="BL3838">
        <v>0</v>
      </c>
      <c r="BO3838">
        <v>0</v>
      </c>
      <c r="BP3838">
        <v>0</v>
      </c>
      <c r="BW3838" t="str">
        <f>"14:48:12.708"</f>
        <v>14:48:12.708</v>
      </c>
      <c r="CJ3838">
        <v>0</v>
      </c>
      <c r="CK3838">
        <v>2</v>
      </c>
      <c r="CL3838">
        <v>0</v>
      </c>
      <c r="CM3838">
        <v>2</v>
      </c>
      <c r="CN3838">
        <v>0</v>
      </c>
      <c r="CO3838">
        <v>6</v>
      </c>
      <c r="CP3838" t="s">
        <v>119</v>
      </c>
      <c r="CQ3838">
        <v>56</v>
      </c>
      <c r="CR3838">
        <v>2</v>
      </c>
      <c r="CW3838">
        <v>5068422</v>
      </c>
      <c r="CY3838">
        <v>1</v>
      </c>
      <c r="CZ3838">
        <v>0</v>
      </c>
      <c r="DA3838">
        <v>1</v>
      </c>
      <c r="DB3838">
        <v>0</v>
      </c>
      <c r="DC3838">
        <v>0</v>
      </c>
      <c r="DD3838">
        <v>1</v>
      </c>
      <c r="DE3838">
        <v>0</v>
      </c>
      <c r="DF3838">
        <v>0</v>
      </c>
      <c r="DG3838">
        <v>0</v>
      </c>
      <c r="DH3838">
        <v>0</v>
      </c>
      <c r="DI3838">
        <v>0</v>
      </c>
    </row>
    <row r="3839" spans="1:113" x14ac:dyDescent="0.3">
      <c r="A3839" t="str">
        <f t="shared" si="1773"/>
        <v>05/12/2020 14:47:54.894</v>
      </c>
      <c r="C3839" t="str">
        <f t="shared" si="1756"/>
        <v>FFDFD3C0</v>
      </c>
      <c r="D3839" t="s">
        <v>138</v>
      </c>
      <c r="E3839">
        <v>3</v>
      </c>
      <c r="H3839">
        <v>9</v>
      </c>
      <c r="I3839" t="s">
        <v>140</v>
      </c>
      <c r="J3839" t="s">
        <v>136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 t="shared" si="1774"/>
        <v>14:48:12.703</v>
      </c>
      <c r="T3839" t="str">
        <f t="shared" si="1775"/>
        <v>14:48:12.403</v>
      </c>
      <c r="U3839" t="str">
        <f t="shared" si="1748"/>
        <v>A9808D</v>
      </c>
      <c r="V3839">
        <v>0</v>
      </c>
      <c r="W3839">
        <v>0</v>
      </c>
      <c r="X3839">
        <v>1</v>
      </c>
      <c r="Z3839">
        <v>0</v>
      </c>
      <c r="AA3839">
        <v>9</v>
      </c>
      <c r="AB3839">
        <v>3</v>
      </c>
      <c r="AC3839">
        <v>0</v>
      </c>
      <c r="AD3839">
        <v>10</v>
      </c>
      <c r="AE3839">
        <v>0</v>
      </c>
      <c r="AF3839">
        <v>3</v>
      </c>
      <c r="AG3839">
        <v>2</v>
      </c>
      <c r="AH3839">
        <v>0</v>
      </c>
      <c r="AI3839" t="s">
        <v>882</v>
      </c>
      <c r="AJ3839">
        <v>28.271319999999999</v>
      </c>
      <c r="AK3839" t="s">
        <v>883</v>
      </c>
      <c r="AL3839">
        <v>-82.279636999999994</v>
      </c>
      <c r="AM3839">
        <v>100</v>
      </c>
      <c r="AN3839">
        <v>2200</v>
      </c>
      <c r="AO3839" t="s">
        <v>118</v>
      </c>
      <c r="AP3839">
        <v>-146</v>
      </c>
      <c r="AQ3839">
        <v>-14</v>
      </c>
      <c r="AR3839">
        <v>320</v>
      </c>
      <c r="AZ3839">
        <v>1200</v>
      </c>
      <c r="BA3839">
        <v>1</v>
      </c>
      <c r="BB3839" t="str">
        <f t="shared" si="1757"/>
        <v xml:space="preserve">N711JA  </v>
      </c>
      <c r="BC3839">
        <v>1</v>
      </c>
      <c r="BE3839">
        <v>0</v>
      </c>
      <c r="BF3839">
        <v>0</v>
      </c>
      <c r="BG3839">
        <v>0</v>
      </c>
      <c r="BH3839">
        <v>2250</v>
      </c>
      <c r="BI3839">
        <v>1</v>
      </c>
      <c r="BJ3839">
        <v>1</v>
      </c>
      <c r="BK3839">
        <v>0</v>
      </c>
      <c r="BL3839">
        <v>0</v>
      </c>
      <c r="BO3839">
        <v>0</v>
      </c>
      <c r="BP3839">
        <v>0</v>
      </c>
      <c r="BW3839" t="str">
        <f>"14:48:12.707"</f>
        <v>14:48:12.707</v>
      </c>
      <c r="CJ3839">
        <v>0</v>
      </c>
      <c r="CK3839">
        <v>2</v>
      </c>
      <c r="CL3839">
        <v>0</v>
      </c>
      <c r="CM3839">
        <v>2</v>
      </c>
      <c r="CN3839">
        <v>0</v>
      </c>
      <c r="CO3839">
        <v>6</v>
      </c>
      <c r="CP3839" t="s">
        <v>119</v>
      </c>
      <c r="CQ3839">
        <v>358</v>
      </c>
      <c r="CR3839">
        <v>0</v>
      </c>
      <c r="CW3839">
        <v>5042219</v>
      </c>
      <c r="CY3839">
        <v>1</v>
      </c>
      <c r="CZ3839">
        <v>0</v>
      </c>
      <c r="DA3839">
        <v>1</v>
      </c>
      <c r="DB3839">
        <v>0</v>
      </c>
      <c r="DC3839">
        <v>0</v>
      </c>
      <c r="DD3839">
        <v>1</v>
      </c>
      <c r="DE3839">
        <v>0</v>
      </c>
      <c r="DF3839">
        <v>0</v>
      </c>
      <c r="DG3839">
        <v>0</v>
      </c>
      <c r="DH3839">
        <v>0</v>
      </c>
      <c r="DI3839">
        <v>0</v>
      </c>
    </row>
    <row r="3840" spans="1:113" x14ac:dyDescent="0.3">
      <c r="A3840" t="str">
        <f t="shared" si="1773"/>
        <v>05/12/2020 14:47:54.894</v>
      </c>
      <c r="C3840" t="str">
        <f t="shared" si="1756"/>
        <v>FFDFD3C0</v>
      </c>
      <c r="D3840" t="s">
        <v>131</v>
      </c>
      <c r="E3840">
        <v>18</v>
      </c>
      <c r="F3840">
        <v>2018</v>
      </c>
      <c r="G3840" t="s">
        <v>161</v>
      </c>
      <c r="J3840" t="s">
        <v>133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 t="shared" si="1774"/>
        <v>14:48:12.703</v>
      </c>
      <c r="T3840" t="str">
        <f t="shared" si="1775"/>
        <v>14:48:12.403</v>
      </c>
      <c r="U3840" t="str">
        <f t="shared" si="1748"/>
        <v>A9808D</v>
      </c>
      <c r="V3840">
        <v>0</v>
      </c>
      <c r="W3840">
        <v>0</v>
      </c>
      <c r="X3840">
        <v>1</v>
      </c>
      <c r="Z3840">
        <v>0</v>
      </c>
      <c r="AA3840">
        <v>9</v>
      </c>
      <c r="AB3840">
        <v>3</v>
      </c>
      <c r="AC3840">
        <v>0</v>
      </c>
      <c r="AD3840">
        <v>10</v>
      </c>
      <c r="AE3840">
        <v>0</v>
      </c>
      <c r="AF3840">
        <v>3</v>
      </c>
      <c r="AG3840">
        <v>2</v>
      </c>
      <c r="AH3840">
        <v>0</v>
      </c>
      <c r="AI3840" t="s">
        <v>882</v>
      </c>
      <c r="AJ3840">
        <v>28.271319999999999</v>
      </c>
      <c r="AK3840" t="s">
        <v>883</v>
      </c>
      <c r="AL3840">
        <v>-82.279636999999994</v>
      </c>
      <c r="AM3840">
        <v>100</v>
      </c>
      <c r="AN3840">
        <v>2200</v>
      </c>
      <c r="AO3840" t="s">
        <v>118</v>
      </c>
      <c r="AP3840">
        <v>-146</v>
      </c>
      <c r="AQ3840">
        <v>-14</v>
      </c>
      <c r="AR3840">
        <v>320</v>
      </c>
      <c r="AZ3840">
        <v>1200</v>
      </c>
      <c r="BA3840">
        <v>1</v>
      </c>
      <c r="BB3840" t="str">
        <f t="shared" si="1757"/>
        <v xml:space="preserve">N711JA  </v>
      </c>
      <c r="BC3840">
        <v>1</v>
      </c>
      <c r="BE3840">
        <v>0</v>
      </c>
      <c r="BF3840">
        <v>0</v>
      </c>
      <c r="BG3840">
        <v>0</v>
      </c>
      <c r="BH3840">
        <v>2250</v>
      </c>
      <c r="BI3840">
        <v>1</v>
      </c>
      <c r="BJ3840">
        <v>1</v>
      </c>
      <c r="BK3840">
        <v>0</v>
      </c>
      <c r="BL3840">
        <v>0</v>
      </c>
      <c r="BO3840">
        <v>0</v>
      </c>
      <c r="BP3840">
        <v>0</v>
      </c>
      <c r="BW3840" t="str">
        <f>"14:48:12.708"</f>
        <v>14:48:12.708</v>
      </c>
      <c r="CJ3840">
        <v>0</v>
      </c>
      <c r="CK3840">
        <v>2</v>
      </c>
      <c r="CL3840">
        <v>0</v>
      </c>
      <c r="CM3840">
        <v>2</v>
      </c>
      <c r="CN3840">
        <v>0</v>
      </c>
      <c r="CO3840">
        <v>6</v>
      </c>
      <c r="CP3840" t="s">
        <v>119</v>
      </c>
      <c r="CQ3840">
        <v>56</v>
      </c>
      <c r="CR3840">
        <v>2</v>
      </c>
      <c r="CW3840">
        <v>5068422</v>
      </c>
      <c r="CY3840">
        <v>1</v>
      </c>
      <c r="CZ3840">
        <v>0</v>
      </c>
      <c r="DA3840">
        <v>1</v>
      </c>
      <c r="DB3840">
        <v>0</v>
      </c>
      <c r="DC3840">
        <v>0</v>
      </c>
      <c r="DD3840">
        <v>1</v>
      </c>
      <c r="DE3840">
        <v>0</v>
      </c>
      <c r="DF3840">
        <v>0</v>
      </c>
      <c r="DG3840">
        <v>0</v>
      </c>
      <c r="DH3840">
        <v>0</v>
      </c>
      <c r="DI3840">
        <v>0</v>
      </c>
    </row>
    <row r="3841" spans="1:113" x14ac:dyDescent="0.3">
      <c r="A3841" t="str">
        <f t="shared" si="1773"/>
        <v>05/12/2020 14:47:54.894</v>
      </c>
      <c r="C3841" t="str">
        <f t="shared" si="1756"/>
        <v>FFDFD3C0</v>
      </c>
      <c r="D3841" t="s">
        <v>126</v>
      </c>
      <c r="E3841">
        <v>6</v>
      </c>
      <c r="F3841">
        <v>1006</v>
      </c>
      <c r="G3841" t="s">
        <v>114</v>
      </c>
      <c r="J3841" t="s">
        <v>128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 t="shared" si="1774"/>
        <v>14:48:12.703</v>
      </c>
      <c r="T3841" t="str">
        <f t="shared" si="1775"/>
        <v>14:48:12.403</v>
      </c>
      <c r="U3841" t="str">
        <f t="shared" si="1748"/>
        <v>A9808D</v>
      </c>
      <c r="V3841">
        <v>0</v>
      </c>
      <c r="W3841">
        <v>0</v>
      </c>
      <c r="X3841">
        <v>1</v>
      </c>
      <c r="Z3841">
        <v>0</v>
      </c>
      <c r="AA3841">
        <v>9</v>
      </c>
      <c r="AB3841">
        <v>3</v>
      </c>
      <c r="AC3841">
        <v>0</v>
      </c>
      <c r="AD3841">
        <v>10</v>
      </c>
      <c r="AE3841">
        <v>0</v>
      </c>
      <c r="AF3841">
        <v>3</v>
      </c>
      <c r="AG3841">
        <v>2</v>
      </c>
      <c r="AH3841">
        <v>0</v>
      </c>
      <c r="AI3841" t="s">
        <v>882</v>
      </c>
      <c r="AJ3841">
        <v>28.271319999999999</v>
      </c>
      <c r="AK3841" t="s">
        <v>883</v>
      </c>
      <c r="AL3841">
        <v>-82.279636999999994</v>
      </c>
      <c r="AM3841">
        <v>100</v>
      </c>
      <c r="AN3841">
        <v>2200</v>
      </c>
      <c r="AO3841" t="s">
        <v>118</v>
      </c>
      <c r="AP3841">
        <v>-146</v>
      </c>
      <c r="AQ3841">
        <v>-14</v>
      </c>
      <c r="AR3841">
        <v>320</v>
      </c>
      <c r="AZ3841">
        <v>1200</v>
      </c>
      <c r="BA3841">
        <v>1</v>
      </c>
      <c r="BB3841" t="str">
        <f t="shared" si="1757"/>
        <v xml:space="preserve">N711JA  </v>
      </c>
      <c r="BC3841">
        <v>1</v>
      </c>
      <c r="BE3841">
        <v>0</v>
      </c>
      <c r="BF3841">
        <v>0</v>
      </c>
      <c r="BG3841">
        <v>0</v>
      </c>
      <c r="BH3841">
        <v>2250</v>
      </c>
      <c r="BI3841">
        <v>1</v>
      </c>
      <c r="BJ3841">
        <v>1</v>
      </c>
      <c r="BK3841">
        <v>0</v>
      </c>
      <c r="BL3841">
        <v>0</v>
      </c>
      <c r="BO3841">
        <v>0</v>
      </c>
      <c r="BP3841">
        <v>0</v>
      </c>
      <c r="BW3841" t="str">
        <f>"14:48:12.707"</f>
        <v>14:48:12.707</v>
      </c>
      <c r="CJ3841">
        <v>0</v>
      </c>
      <c r="CK3841">
        <v>2</v>
      </c>
      <c r="CL3841">
        <v>0</v>
      </c>
      <c r="CM3841">
        <v>2</v>
      </c>
      <c r="CN3841">
        <v>0</v>
      </c>
      <c r="CO3841">
        <v>6</v>
      </c>
      <c r="CP3841" t="s">
        <v>119</v>
      </c>
      <c r="CQ3841">
        <v>358</v>
      </c>
      <c r="CR3841">
        <v>0</v>
      </c>
      <c r="CW3841">
        <v>5042219</v>
      </c>
      <c r="CY3841">
        <v>1</v>
      </c>
      <c r="CZ3841">
        <v>0</v>
      </c>
      <c r="DA3841">
        <v>1</v>
      </c>
      <c r="DB3841">
        <v>0</v>
      </c>
      <c r="DC3841">
        <v>0</v>
      </c>
      <c r="DD3841">
        <v>1</v>
      </c>
      <c r="DE3841">
        <v>0</v>
      </c>
      <c r="DF3841">
        <v>0</v>
      </c>
      <c r="DG3841">
        <v>0</v>
      </c>
      <c r="DH3841">
        <v>0</v>
      </c>
      <c r="DI3841">
        <v>0</v>
      </c>
    </row>
    <row r="3842" spans="1:113" x14ac:dyDescent="0.3">
      <c r="A3842" t="str">
        <f t="shared" si="1773"/>
        <v>05/12/2020 14:47:54.894</v>
      </c>
      <c r="C3842" t="str">
        <f t="shared" si="1756"/>
        <v>FFDFD3C0</v>
      </c>
      <c r="D3842" t="s">
        <v>113</v>
      </c>
      <c r="E3842">
        <v>3</v>
      </c>
      <c r="H3842">
        <v>164</v>
      </c>
      <c r="I3842" t="s">
        <v>114</v>
      </c>
      <c r="J3842" t="s">
        <v>115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 t="shared" si="1774"/>
        <v>14:48:12.703</v>
      </c>
      <c r="T3842" t="str">
        <f t="shared" si="1775"/>
        <v>14:48:12.403</v>
      </c>
      <c r="U3842" t="str">
        <f t="shared" ref="U3842:U3905" si="1776">"A9808D"</f>
        <v>A9808D</v>
      </c>
      <c r="V3842">
        <v>0</v>
      </c>
      <c r="W3842">
        <v>0</v>
      </c>
      <c r="X3842">
        <v>1</v>
      </c>
      <c r="Z3842">
        <v>0</v>
      </c>
      <c r="AA3842">
        <v>9</v>
      </c>
      <c r="AB3842">
        <v>3</v>
      </c>
      <c r="AC3842">
        <v>0</v>
      </c>
      <c r="AD3842">
        <v>10</v>
      </c>
      <c r="AE3842">
        <v>0</v>
      </c>
      <c r="AF3842">
        <v>3</v>
      </c>
      <c r="AG3842">
        <v>2</v>
      </c>
      <c r="AH3842">
        <v>0</v>
      </c>
      <c r="AI3842" t="s">
        <v>882</v>
      </c>
      <c r="AJ3842">
        <v>28.271319999999999</v>
      </c>
      <c r="AK3842" t="s">
        <v>883</v>
      </c>
      <c r="AL3842">
        <v>-82.279636999999994</v>
      </c>
      <c r="AM3842">
        <v>100</v>
      </c>
      <c r="AN3842">
        <v>2200</v>
      </c>
      <c r="AO3842" t="s">
        <v>118</v>
      </c>
      <c r="AP3842">
        <v>-146</v>
      </c>
      <c r="AQ3842">
        <v>-14</v>
      </c>
      <c r="AR3842">
        <v>320</v>
      </c>
      <c r="AZ3842">
        <v>1200</v>
      </c>
      <c r="BA3842">
        <v>1</v>
      </c>
      <c r="BB3842" t="str">
        <f t="shared" si="1757"/>
        <v xml:space="preserve">N711JA  </v>
      </c>
      <c r="BC3842">
        <v>1</v>
      </c>
      <c r="BE3842">
        <v>0</v>
      </c>
      <c r="BF3842">
        <v>0</v>
      </c>
      <c r="BG3842">
        <v>0</v>
      </c>
      <c r="BH3842">
        <v>2250</v>
      </c>
      <c r="BI3842">
        <v>1</v>
      </c>
      <c r="BJ3842">
        <v>1</v>
      </c>
      <c r="BK3842">
        <v>0</v>
      </c>
      <c r="BL3842">
        <v>0</v>
      </c>
      <c r="BO3842">
        <v>0</v>
      </c>
      <c r="BP3842">
        <v>0</v>
      </c>
      <c r="BW3842" t="str">
        <f>"14:48:12.708"</f>
        <v>14:48:12.708</v>
      </c>
      <c r="CJ3842">
        <v>0</v>
      </c>
      <c r="CK3842">
        <v>2</v>
      </c>
      <c r="CL3842">
        <v>0</v>
      </c>
      <c r="CM3842">
        <v>2</v>
      </c>
      <c r="CN3842">
        <v>0</v>
      </c>
      <c r="CO3842">
        <v>6</v>
      </c>
      <c r="CP3842" t="s">
        <v>119</v>
      </c>
      <c r="CQ3842">
        <v>56</v>
      </c>
      <c r="CR3842">
        <v>2</v>
      </c>
      <c r="CW3842">
        <v>5068422</v>
      </c>
      <c r="CY3842">
        <v>1</v>
      </c>
      <c r="CZ3842">
        <v>0</v>
      </c>
      <c r="DA3842">
        <v>1</v>
      </c>
      <c r="DB3842">
        <v>0</v>
      </c>
      <c r="DC3842">
        <v>0</v>
      </c>
      <c r="DD3842">
        <v>1</v>
      </c>
      <c r="DE3842">
        <v>0</v>
      </c>
      <c r="DF3842">
        <v>0</v>
      </c>
      <c r="DG3842">
        <v>0</v>
      </c>
      <c r="DH3842">
        <v>0</v>
      </c>
      <c r="DI3842">
        <v>0</v>
      </c>
    </row>
    <row r="3843" spans="1:113" x14ac:dyDescent="0.3">
      <c r="A3843" t="str">
        <f t="shared" si="1773"/>
        <v>05/12/2020 14:47:54.894</v>
      </c>
      <c r="C3843" t="str">
        <f t="shared" si="1756"/>
        <v>FFDFD3C0</v>
      </c>
      <c r="D3843" t="s">
        <v>134</v>
      </c>
      <c r="E3843">
        <v>12</v>
      </c>
      <c r="H3843">
        <v>64</v>
      </c>
      <c r="I3843" t="s">
        <v>135</v>
      </c>
      <c r="J3843" t="s">
        <v>136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 t="shared" si="1774"/>
        <v>14:48:12.703</v>
      </c>
      <c r="T3843" t="str">
        <f t="shared" si="1775"/>
        <v>14:48:12.403</v>
      </c>
      <c r="U3843" t="str">
        <f t="shared" si="1776"/>
        <v>A9808D</v>
      </c>
      <c r="V3843">
        <v>0</v>
      </c>
      <c r="W3843">
        <v>0</v>
      </c>
      <c r="X3843">
        <v>1</v>
      </c>
      <c r="Z3843">
        <v>0</v>
      </c>
      <c r="AA3843">
        <v>9</v>
      </c>
      <c r="AB3843">
        <v>3</v>
      </c>
      <c r="AC3843">
        <v>0</v>
      </c>
      <c r="AD3843">
        <v>10</v>
      </c>
      <c r="AE3843">
        <v>0</v>
      </c>
      <c r="AF3843">
        <v>3</v>
      </c>
      <c r="AG3843">
        <v>2</v>
      </c>
      <c r="AH3843">
        <v>0</v>
      </c>
      <c r="AI3843" t="s">
        <v>882</v>
      </c>
      <c r="AJ3843">
        <v>28.271319999999999</v>
      </c>
      <c r="AK3843" t="s">
        <v>883</v>
      </c>
      <c r="AL3843">
        <v>-82.279636999999994</v>
      </c>
      <c r="AM3843">
        <v>100</v>
      </c>
      <c r="AN3843">
        <v>2200</v>
      </c>
      <c r="AO3843" t="s">
        <v>118</v>
      </c>
      <c r="AP3843">
        <v>-146</v>
      </c>
      <c r="AQ3843">
        <v>-14</v>
      </c>
      <c r="AR3843">
        <v>320</v>
      </c>
      <c r="AZ3843">
        <v>1200</v>
      </c>
      <c r="BA3843">
        <v>1</v>
      </c>
      <c r="BB3843" t="str">
        <f t="shared" si="1757"/>
        <v xml:space="preserve">N711JA  </v>
      </c>
      <c r="BC3843">
        <v>1</v>
      </c>
      <c r="BE3843">
        <v>0</v>
      </c>
      <c r="BF3843">
        <v>0</v>
      </c>
      <c r="BG3843">
        <v>0</v>
      </c>
      <c r="BH3843">
        <v>2250</v>
      </c>
      <c r="BI3843">
        <v>1</v>
      </c>
      <c r="BJ3843">
        <v>1</v>
      </c>
      <c r="BK3843">
        <v>0</v>
      </c>
      <c r="BL3843">
        <v>0</v>
      </c>
      <c r="BO3843">
        <v>0</v>
      </c>
      <c r="BP3843">
        <v>0</v>
      </c>
      <c r="BW3843" t="str">
        <f>"14:48:12.707"</f>
        <v>14:48:12.707</v>
      </c>
      <c r="CJ3843">
        <v>0</v>
      </c>
      <c r="CK3843">
        <v>2</v>
      </c>
      <c r="CL3843">
        <v>0</v>
      </c>
      <c r="CM3843">
        <v>2</v>
      </c>
      <c r="CN3843">
        <v>0</v>
      </c>
      <c r="CO3843">
        <v>6</v>
      </c>
      <c r="CP3843" t="s">
        <v>119</v>
      </c>
      <c r="CQ3843">
        <v>358</v>
      </c>
      <c r="CR3843">
        <v>0</v>
      </c>
      <c r="CW3843">
        <v>5042219</v>
      </c>
      <c r="CY3843">
        <v>1</v>
      </c>
      <c r="CZ3843">
        <v>0</v>
      </c>
      <c r="DA3843">
        <v>1</v>
      </c>
      <c r="DB3843">
        <v>0</v>
      </c>
      <c r="DC3843">
        <v>0</v>
      </c>
      <c r="DD3843">
        <v>1</v>
      </c>
      <c r="DE3843">
        <v>0</v>
      </c>
      <c r="DF3843">
        <v>0</v>
      </c>
      <c r="DG3843">
        <v>0</v>
      </c>
      <c r="DH3843">
        <v>0</v>
      </c>
      <c r="DI3843">
        <v>0</v>
      </c>
    </row>
    <row r="3844" spans="1:113" x14ac:dyDescent="0.3">
      <c r="A3844" t="str">
        <f t="shared" ref="A3844:A3852" si="1777">"05/12/2020 14:47:55.947"</f>
        <v>05/12/2020 14:47:55.947</v>
      </c>
      <c r="C3844" t="str">
        <f t="shared" si="1756"/>
        <v>FFDFD3C0</v>
      </c>
      <c r="D3844" t="s">
        <v>113</v>
      </c>
      <c r="E3844">
        <v>3</v>
      </c>
      <c r="H3844">
        <v>164</v>
      </c>
      <c r="I3844" t="s">
        <v>114</v>
      </c>
      <c r="J3844" t="s">
        <v>115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 t="shared" ref="S3844:S3852" si="1778">"14:48:13.781"</f>
        <v>14:48:13.781</v>
      </c>
      <c r="T3844" t="str">
        <f t="shared" ref="T3844:T3852" si="1779">"14:48:13.381"</f>
        <v>14:48:13.381</v>
      </c>
      <c r="U3844" t="str">
        <f t="shared" si="1776"/>
        <v>A9808D</v>
      </c>
      <c r="V3844">
        <v>0</v>
      </c>
      <c r="W3844">
        <v>0</v>
      </c>
      <c r="X3844">
        <v>1</v>
      </c>
      <c r="Z3844">
        <v>0</v>
      </c>
      <c r="AA3844">
        <v>9</v>
      </c>
      <c r="AB3844">
        <v>3</v>
      </c>
      <c r="AC3844">
        <v>0</v>
      </c>
      <c r="AD3844">
        <v>10</v>
      </c>
      <c r="AE3844">
        <v>0</v>
      </c>
      <c r="AF3844">
        <v>3</v>
      </c>
      <c r="AG3844">
        <v>2</v>
      </c>
      <c r="AH3844">
        <v>0</v>
      </c>
      <c r="AI3844" t="s">
        <v>860</v>
      </c>
      <c r="AJ3844">
        <v>28.271212999999999</v>
      </c>
      <c r="AK3844" t="s">
        <v>884</v>
      </c>
      <c r="AL3844">
        <v>-82.280430999999993</v>
      </c>
      <c r="AM3844">
        <v>100</v>
      </c>
      <c r="AN3844">
        <v>2200</v>
      </c>
      <c r="AO3844" t="s">
        <v>118</v>
      </c>
      <c r="AP3844">
        <v>-145</v>
      </c>
      <c r="AQ3844">
        <v>-17</v>
      </c>
      <c r="AR3844">
        <v>384</v>
      </c>
      <c r="AZ3844">
        <v>1200</v>
      </c>
      <c r="BA3844">
        <v>1</v>
      </c>
      <c r="BB3844" t="str">
        <f t="shared" si="1757"/>
        <v xml:space="preserve">N711JA  </v>
      </c>
      <c r="BC3844">
        <v>1</v>
      </c>
      <c r="BE3844">
        <v>0</v>
      </c>
      <c r="BF3844">
        <v>0</v>
      </c>
      <c r="BG3844">
        <v>0</v>
      </c>
      <c r="BH3844">
        <v>2250</v>
      </c>
      <c r="BI3844">
        <v>1</v>
      </c>
      <c r="BJ3844">
        <v>1</v>
      </c>
      <c r="BK3844">
        <v>0</v>
      </c>
      <c r="BL3844">
        <v>0</v>
      </c>
      <c r="BO3844">
        <v>0</v>
      </c>
      <c r="BP3844">
        <v>0</v>
      </c>
      <c r="BW3844" t="str">
        <f t="shared" ref="BW3844:BW3852" si="1780">"14:48:13.787"</f>
        <v>14:48:13.787</v>
      </c>
      <c r="CJ3844">
        <v>0</v>
      </c>
      <c r="CK3844">
        <v>2</v>
      </c>
      <c r="CL3844">
        <v>0</v>
      </c>
      <c r="CM3844">
        <v>2</v>
      </c>
      <c r="CN3844">
        <v>0</v>
      </c>
      <c r="CO3844">
        <v>7</v>
      </c>
      <c r="CP3844" t="s">
        <v>119</v>
      </c>
      <c r="CQ3844">
        <v>8</v>
      </c>
      <c r="CR3844">
        <v>3</v>
      </c>
      <c r="CW3844">
        <v>9084041</v>
      </c>
      <c r="CY3844">
        <v>1</v>
      </c>
      <c r="CZ3844">
        <v>0</v>
      </c>
      <c r="DA3844">
        <v>0</v>
      </c>
      <c r="DB3844">
        <v>0</v>
      </c>
      <c r="DC3844">
        <v>0</v>
      </c>
      <c r="DD3844">
        <v>1</v>
      </c>
      <c r="DE3844">
        <v>0</v>
      </c>
      <c r="DF3844">
        <v>0</v>
      </c>
      <c r="DG3844">
        <v>0</v>
      </c>
      <c r="DH3844">
        <v>0</v>
      </c>
      <c r="DI3844">
        <v>0</v>
      </c>
    </row>
    <row r="3845" spans="1:113" x14ac:dyDescent="0.3">
      <c r="A3845" t="str">
        <f t="shared" si="1777"/>
        <v>05/12/2020 14:47:55.947</v>
      </c>
      <c r="C3845" t="str">
        <f t="shared" si="1756"/>
        <v>FFDFD3C0</v>
      </c>
      <c r="D3845" t="s">
        <v>131</v>
      </c>
      <c r="E3845">
        <v>10</v>
      </c>
      <c r="F3845">
        <v>2010</v>
      </c>
      <c r="G3845" t="s">
        <v>132</v>
      </c>
      <c r="J3845" t="s">
        <v>133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 t="shared" si="1778"/>
        <v>14:48:13.781</v>
      </c>
      <c r="T3845" t="str">
        <f t="shared" si="1779"/>
        <v>14:48:13.381</v>
      </c>
      <c r="U3845" t="str">
        <f t="shared" si="1776"/>
        <v>A9808D</v>
      </c>
      <c r="V3845">
        <v>0</v>
      </c>
      <c r="W3845">
        <v>0</v>
      </c>
      <c r="X3845">
        <v>1</v>
      </c>
      <c r="Z3845">
        <v>0</v>
      </c>
      <c r="AA3845">
        <v>9</v>
      </c>
      <c r="AB3845">
        <v>3</v>
      </c>
      <c r="AC3845">
        <v>0</v>
      </c>
      <c r="AD3845">
        <v>10</v>
      </c>
      <c r="AE3845">
        <v>0</v>
      </c>
      <c r="AF3845">
        <v>3</v>
      </c>
      <c r="AG3845">
        <v>2</v>
      </c>
      <c r="AH3845">
        <v>0</v>
      </c>
      <c r="AI3845" t="s">
        <v>860</v>
      </c>
      <c r="AJ3845">
        <v>28.271212999999999</v>
      </c>
      <c r="AK3845" t="s">
        <v>884</v>
      </c>
      <c r="AL3845">
        <v>-82.280430999999993</v>
      </c>
      <c r="AM3845">
        <v>100</v>
      </c>
      <c r="AN3845">
        <v>2200</v>
      </c>
      <c r="AO3845" t="s">
        <v>118</v>
      </c>
      <c r="AP3845">
        <v>-145</v>
      </c>
      <c r="AQ3845">
        <v>-17</v>
      </c>
      <c r="AR3845">
        <v>384</v>
      </c>
      <c r="AZ3845">
        <v>1200</v>
      </c>
      <c r="BA3845">
        <v>1</v>
      </c>
      <c r="BB3845" t="str">
        <f t="shared" si="1757"/>
        <v xml:space="preserve">N711JA  </v>
      </c>
      <c r="BC3845">
        <v>1</v>
      </c>
      <c r="BE3845">
        <v>0</v>
      </c>
      <c r="BF3845">
        <v>0</v>
      </c>
      <c r="BG3845">
        <v>0</v>
      </c>
      <c r="BH3845">
        <v>2250</v>
      </c>
      <c r="BI3845">
        <v>1</v>
      </c>
      <c r="BJ3845">
        <v>1</v>
      </c>
      <c r="BK3845">
        <v>0</v>
      </c>
      <c r="BL3845">
        <v>0</v>
      </c>
      <c r="BO3845">
        <v>0</v>
      </c>
      <c r="BP3845">
        <v>0</v>
      </c>
      <c r="BW3845" t="str">
        <f t="shared" si="1780"/>
        <v>14:48:13.787</v>
      </c>
      <c r="CJ3845">
        <v>0</v>
      </c>
      <c r="CK3845">
        <v>2</v>
      </c>
      <c r="CL3845">
        <v>0</v>
      </c>
      <c r="CM3845">
        <v>2</v>
      </c>
      <c r="CN3845">
        <v>0</v>
      </c>
      <c r="CO3845">
        <v>7</v>
      </c>
      <c r="CP3845" t="s">
        <v>119</v>
      </c>
      <c r="CQ3845">
        <v>8</v>
      </c>
      <c r="CR3845">
        <v>3</v>
      </c>
      <c r="CW3845">
        <v>9084041</v>
      </c>
      <c r="CY3845">
        <v>1</v>
      </c>
      <c r="CZ3845">
        <v>0</v>
      </c>
      <c r="DA3845">
        <v>1</v>
      </c>
      <c r="DB3845">
        <v>0</v>
      </c>
      <c r="DC3845">
        <v>0</v>
      </c>
      <c r="DD3845">
        <v>1</v>
      </c>
      <c r="DE3845">
        <v>0</v>
      </c>
      <c r="DF3845">
        <v>0</v>
      </c>
      <c r="DG3845">
        <v>0</v>
      </c>
      <c r="DH3845">
        <v>0</v>
      </c>
      <c r="DI3845">
        <v>0</v>
      </c>
    </row>
    <row r="3846" spans="1:113" x14ac:dyDescent="0.3">
      <c r="A3846" t="str">
        <f t="shared" si="1777"/>
        <v>05/12/2020 14:47:55.947</v>
      </c>
      <c r="C3846" t="str">
        <f t="shared" si="1756"/>
        <v>FFDFD3C0</v>
      </c>
      <c r="D3846" t="s">
        <v>134</v>
      </c>
      <c r="E3846">
        <v>12</v>
      </c>
      <c r="H3846">
        <v>64</v>
      </c>
      <c r="I3846" t="s">
        <v>135</v>
      </c>
      <c r="J3846" t="s">
        <v>136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 t="shared" si="1778"/>
        <v>14:48:13.781</v>
      </c>
      <c r="T3846" t="str">
        <f t="shared" si="1779"/>
        <v>14:48:13.381</v>
      </c>
      <c r="U3846" t="str">
        <f t="shared" si="1776"/>
        <v>A9808D</v>
      </c>
      <c r="V3846">
        <v>0</v>
      </c>
      <c r="W3846">
        <v>0</v>
      </c>
      <c r="X3846">
        <v>1</v>
      </c>
      <c r="Z3846">
        <v>0</v>
      </c>
      <c r="AA3846">
        <v>9</v>
      </c>
      <c r="AB3846">
        <v>3</v>
      </c>
      <c r="AC3846">
        <v>0</v>
      </c>
      <c r="AD3846">
        <v>10</v>
      </c>
      <c r="AE3846">
        <v>0</v>
      </c>
      <c r="AF3846">
        <v>3</v>
      </c>
      <c r="AG3846">
        <v>2</v>
      </c>
      <c r="AH3846">
        <v>0</v>
      </c>
      <c r="AI3846" t="s">
        <v>860</v>
      </c>
      <c r="AJ3846">
        <v>28.271212999999999</v>
      </c>
      <c r="AK3846" t="s">
        <v>884</v>
      </c>
      <c r="AL3846">
        <v>-82.280430999999993</v>
      </c>
      <c r="AM3846">
        <v>100</v>
      </c>
      <c r="AN3846">
        <v>2200</v>
      </c>
      <c r="AO3846" t="s">
        <v>118</v>
      </c>
      <c r="AP3846">
        <v>-145</v>
      </c>
      <c r="AQ3846">
        <v>-17</v>
      </c>
      <c r="AR3846">
        <v>384</v>
      </c>
      <c r="AZ3846">
        <v>1200</v>
      </c>
      <c r="BA3846">
        <v>1</v>
      </c>
      <c r="BB3846" t="str">
        <f t="shared" si="1757"/>
        <v xml:space="preserve">N711JA  </v>
      </c>
      <c r="BC3846">
        <v>1</v>
      </c>
      <c r="BE3846">
        <v>0</v>
      </c>
      <c r="BF3846">
        <v>0</v>
      </c>
      <c r="BG3846">
        <v>0</v>
      </c>
      <c r="BH3846">
        <v>2250</v>
      </c>
      <c r="BI3846">
        <v>1</v>
      </c>
      <c r="BJ3846">
        <v>1</v>
      </c>
      <c r="BK3846">
        <v>0</v>
      </c>
      <c r="BL3846">
        <v>0</v>
      </c>
      <c r="BO3846">
        <v>0</v>
      </c>
      <c r="BP3846">
        <v>0</v>
      </c>
      <c r="BW3846" t="str">
        <f t="shared" si="1780"/>
        <v>14:48:13.787</v>
      </c>
      <c r="CJ3846">
        <v>0</v>
      </c>
      <c r="CK3846">
        <v>2</v>
      </c>
      <c r="CL3846">
        <v>0</v>
      </c>
      <c r="CM3846">
        <v>2</v>
      </c>
      <c r="CN3846">
        <v>0</v>
      </c>
      <c r="CO3846">
        <v>7</v>
      </c>
      <c r="CP3846" t="s">
        <v>119</v>
      </c>
      <c r="CQ3846">
        <v>8</v>
      </c>
      <c r="CR3846">
        <v>3</v>
      </c>
      <c r="CW3846">
        <v>9084041</v>
      </c>
      <c r="CY3846">
        <v>1</v>
      </c>
      <c r="CZ3846">
        <v>0</v>
      </c>
      <c r="DA3846">
        <v>1</v>
      </c>
      <c r="DB3846">
        <v>0</v>
      </c>
      <c r="DC3846">
        <v>0</v>
      </c>
      <c r="DD3846">
        <v>1</v>
      </c>
      <c r="DE3846">
        <v>0</v>
      </c>
      <c r="DF3846">
        <v>0</v>
      </c>
      <c r="DG3846">
        <v>0</v>
      </c>
      <c r="DH3846">
        <v>0</v>
      </c>
      <c r="DI3846">
        <v>0</v>
      </c>
    </row>
    <row r="3847" spans="1:113" x14ac:dyDescent="0.3">
      <c r="A3847" t="str">
        <f t="shared" si="1777"/>
        <v>05/12/2020 14:47:55.947</v>
      </c>
      <c r="C3847" t="str">
        <f t="shared" si="1756"/>
        <v>FFDFD3C0</v>
      </c>
      <c r="D3847" t="s">
        <v>126</v>
      </c>
      <c r="E3847">
        <v>7</v>
      </c>
      <c r="F3847">
        <v>1007</v>
      </c>
      <c r="G3847" t="s">
        <v>127</v>
      </c>
      <c r="J3847" t="s">
        <v>128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 t="shared" si="1778"/>
        <v>14:48:13.781</v>
      </c>
      <c r="T3847" t="str">
        <f t="shared" si="1779"/>
        <v>14:48:13.381</v>
      </c>
      <c r="U3847" t="str">
        <f t="shared" si="1776"/>
        <v>A9808D</v>
      </c>
      <c r="V3847">
        <v>0</v>
      </c>
      <c r="W3847">
        <v>0</v>
      </c>
      <c r="X3847">
        <v>1</v>
      </c>
      <c r="Z3847">
        <v>0</v>
      </c>
      <c r="AA3847">
        <v>9</v>
      </c>
      <c r="AB3847">
        <v>3</v>
      </c>
      <c r="AC3847">
        <v>0</v>
      </c>
      <c r="AD3847">
        <v>10</v>
      </c>
      <c r="AE3847">
        <v>0</v>
      </c>
      <c r="AF3847">
        <v>3</v>
      </c>
      <c r="AG3847">
        <v>2</v>
      </c>
      <c r="AH3847">
        <v>0</v>
      </c>
      <c r="AI3847" t="s">
        <v>860</v>
      </c>
      <c r="AJ3847">
        <v>28.271212999999999</v>
      </c>
      <c r="AK3847" t="s">
        <v>884</v>
      </c>
      <c r="AL3847">
        <v>-82.280430999999993</v>
      </c>
      <c r="AM3847">
        <v>100</v>
      </c>
      <c r="AN3847">
        <v>2200</v>
      </c>
      <c r="AO3847" t="s">
        <v>118</v>
      </c>
      <c r="AP3847">
        <v>-145</v>
      </c>
      <c r="AQ3847">
        <v>-17</v>
      </c>
      <c r="AR3847">
        <v>384</v>
      </c>
      <c r="AZ3847">
        <v>1200</v>
      </c>
      <c r="BA3847">
        <v>1</v>
      </c>
      <c r="BB3847" t="str">
        <f t="shared" si="1757"/>
        <v xml:space="preserve">N711JA  </v>
      </c>
      <c r="BC3847">
        <v>1</v>
      </c>
      <c r="BE3847">
        <v>0</v>
      </c>
      <c r="BF3847">
        <v>0</v>
      </c>
      <c r="BG3847">
        <v>0</v>
      </c>
      <c r="BH3847">
        <v>2250</v>
      </c>
      <c r="BI3847">
        <v>1</v>
      </c>
      <c r="BJ3847">
        <v>1</v>
      </c>
      <c r="BK3847">
        <v>0</v>
      </c>
      <c r="BL3847">
        <v>0</v>
      </c>
      <c r="BO3847">
        <v>0</v>
      </c>
      <c r="BP3847">
        <v>0</v>
      </c>
      <c r="BW3847" t="str">
        <f t="shared" si="1780"/>
        <v>14:48:13.787</v>
      </c>
      <c r="CJ3847">
        <v>0</v>
      </c>
      <c r="CK3847">
        <v>2</v>
      </c>
      <c r="CL3847">
        <v>0</v>
      </c>
      <c r="CM3847">
        <v>2</v>
      </c>
      <c r="CN3847">
        <v>0</v>
      </c>
      <c r="CO3847">
        <v>7</v>
      </c>
      <c r="CP3847" t="s">
        <v>119</v>
      </c>
      <c r="CQ3847">
        <v>8</v>
      </c>
      <c r="CR3847">
        <v>3</v>
      </c>
      <c r="CW3847">
        <v>9084041</v>
      </c>
      <c r="CY3847">
        <v>1</v>
      </c>
      <c r="CZ3847">
        <v>0</v>
      </c>
      <c r="DA3847">
        <v>1</v>
      </c>
      <c r="DB3847">
        <v>0</v>
      </c>
      <c r="DC3847">
        <v>0</v>
      </c>
      <c r="DD3847">
        <v>1</v>
      </c>
      <c r="DE3847">
        <v>0</v>
      </c>
      <c r="DF3847">
        <v>0</v>
      </c>
      <c r="DG3847">
        <v>0</v>
      </c>
      <c r="DH3847">
        <v>0</v>
      </c>
      <c r="DI3847">
        <v>0</v>
      </c>
    </row>
    <row r="3848" spans="1:113" x14ac:dyDescent="0.3">
      <c r="A3848" t="str">
        <f t="shared" si="1777"/>
        <v>05/12/2020 14:47:55.947</v>
      </c>
      <c r="C3848" t="str">
        <f t="shared" si="1756"/>
        <v>FFDFD3C0</v>
      </c>
      <c r="D3848" t="s">
        <v>131</v>
      </c>
      <c r="E3848">
        <v>12</v>
      </c>
      <c r="F3848">
        <v>2012</v>
      </c>
      <c r="G3848" t="s">
        <v>137</v>
      </c>
      <c r="J3848" t="s">
        <v>133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 t="shared" si="1778"/>
        <v>14:48:13.781</v>
      </c>
      <c r="T3848" t="str">
        <f t="shared" si="1779"/>
        <v>14:48:13.381</v>
      </c>
      <c r="U3848" t="str">
        <f t="shared" si="1776"/>
        <v>A9808D</v>
      </c>
      <c r="V3848">
        <v>0</v>
      </c>
      <c r="W3848">
        <v>0</v>
      </c>
      <c r="X3848">
        <v>1</v>
      </c>
      <c r="Z3848">
        <v>0</v>
      </c>
      <c r="AA3848">
        <v>9</v>
      </c>
      <c r="AB3848">
        <v>3</v>
      </c>
      <c r="AC3848">
        <v>0</v>
      </c>
      <c r="AD3848">
        <v>10</v>
      </c>
      <c r="AE3848">
        <v>0</v>
      </c>
      <c r="AF3848">
        <v>3</v>
      </c>
      <c r="AG3848">
        <v>2</v>
      </c>
      <c r="AH3848">
        <v>0</v>
      </c>
      <c r="AI3848" t="s">
        <v>860</v>
      </c>
      <c r="AJ3848">
        <v>28.271212999999999</v>
      </c>
      <c r="AK3848" t="s">
        <v>884</v>
      </c>
      <c r="AL3848">
        <v>-82.280430999999993</v>
      </c>
      <c r="AM3848">
        <v>100</v>
      </c>
      <c r="AN3848">
        <v>2200</v>
      </c>
      <c r="AO3848" t="s">
        <v>118</v>
      </c>
      <c r="AP3848">
        <v>-145</v>
      </c>
      <c r="AQ3848">
        <v>-17</v>
      </c>
      <c r="AR3848">
        <v>384</v>
      </c>
      <c r="AZ3848">
        <v>1200</v>
      </c>
      <c r="BA3848">
        <v>1</v>
      </c>
      <c r="BB3848" t="str">
        <f t="shared" si="1757"/>
        <v xml:space="preserve">N711JA  </v>
      </c>
      <c r="BC3848">
        <v>1</v>
      </c>
      <c r="BE3848">
        <v>0</v>
      </c>
      <c r="BF3848">
        <v>0</v>
      </c>
      <c r="BG3848">
        <v>0</v>
      </c>
      <c r="BH3848">
        <v>2250</v>
      </c>
      <c r="BI3848">
        <v>1</v>
      </c>
      <c r="BJ3848">
        <v>1</v>
      </c>
      <c r="BK3848">
        <v>0</v>
      </c>
      <c r="BL3848">
        <v>0</v>
      </c>
      <c r="BO3848">
        <v>0</v>
      </c>
      <c r="BP3848">
        <v>0</v>
      </c>
      <c r="BW3848" t="str">
        <f t="shared" si="1780"/>
        <v>14:48:13.787</v>
      </c>
      <c r="CJ3848">
        <v>0</v>
      </c>
      <c r="CK3848">
        <v>2</v>
      </c>
      <c r="CL3848">
        <v>0</v>
      </c>
      <c r="CM3848">
        <v>2</v>
      </c>
      <c r="CN3848">
        <v>0</v>
      </c>
      <c r="CO3848">
        <v>7</v>
      </c>
      <c r="CP3848" t="s">
        <v>119</v>
      </c>
      <c r="CQ3848">
        <v>8</v>
      </c>
      <c r="CR3848">
        <v>3</v>
      </c>
      <c r="CW3848">
        <v>9084041</v>
      </c>
      <c r="CY3848">
        <v>1</v>
      </c>
      <c r="CZ3848">
        <v>0</v>
      </c>
      <c r="DA3848">
        <v>1</v>
      </c>
      <c r="DB3848">
        <v>0</v>
      </c>
      <c r="DC3848">
        <v>0</v>
      </c>
      <c r="DD3848">
        <v>1</v>
      </c>
      <c r="DE3848">
        <v>0</v>
      </c>
      <c r="DF3848">
        <v>0</v>
      </c>
      <c r="DG3848">
        <v>0</v>
      </c>
      <c r="DH3848">
        <v>0</v>
      </c>
      <c r="DI3848">
        <v>0</v>
      </c>
    </row>
    <row r="3849" spans="1:113" x14ac:dyDescent="0.3">
      <c r="A3849" t="str">
        <f t="shared" si="1777"/>
        <v>05/12/2020 14:47:55.947</v>
      </c>
      <c r="C3849" t="str">
        <f t="shared" si="1756"/>
        <v>FFDFD3C0</v>
      </c>
      <c r="D3849" t="s">
        <v>131</v>
      </c>
      <c r="E3849">
        <v>18</v>
      </c>
      <c r="F3849">
        <v>2018</v>
      </c>
      <c r="G3849" t="s">
        <v>161</v>
      </c>
      <c r="J3849" t="s">
        <v>133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 t="shared" si="1778"/>
        <v>14:48:13.781</v>
      </c>
      <c r="T3849" t="str">
        <f t="shared" si="1779"/>
        <v>14:48:13.381</v>
      </c>
      <c r="U3849" t="str">
        <f t="shared" si="1776"/>
        <v>A9808D</v>
      </c>
      <c r="V3849">
        <v>0</v>
      </c>
      <c r="W3849">
        <v>0</v>
      </c>
      <c r="X3849">
        <v>1</v>
      </c>
      <c r="Z3849">
        <v>0</v>
      </c>
      <c r="AA3849">
        <v>9</v>
      </c>
      <c r="AB3849">
        <v>3</v>
      </c>
      <c r="AC3849">
        <v>0</v>
      </c>
      <c r="AD3849">
        <v>10</v>
      </c>
      <c r="AE3849">
        <v>0</v>
      </c>
      <c r="AF3849">
        <v>3</v>
      </c>
      <c r="AG3849">
        <v>2</v>
      </c>
      <c r="AH3849">
        <v>0</v>
      </c>
      <c r="AI3849" t="s">
        <v>860</v>
      </c>
      <c r="AJ3849">
        <v>28.271212999999999</v>
      </c>
      <c r="AK3849" t="s">
        <v>884</v>
      </c>
      <c r="AL3849">
        <v>-82.280430999999993</v>
      </c>
      <c r="AM3849">
        <v>100</v>
      </c>
      <c r="AN3849">
        <v>2200</v>
      </c>
      <c r="AO3849" t="s">
        <v>118</v>
      </c>
      <c r="AP3849">
        <v>-145</v>
      </c>
      <c r="AQ3849">
        <v>-17</v>
      </c>
      <c r="AR3849">
        <v>384</v>
      </c>
      <c r="AZ3849">
        <v>1200</v>
      </c>
      <c r="BA3849">
        <v>1</v>
      </c>
      <c r="BB3849" t="str">
        <f t="shared" si="1757"/>
        <v xml:space="preserve">N711JA  </v>
      </c>
      <c r="BC3849">
        <v>1</v>
      </c>
      <c r="BE3849">
        <v>0</v>
      </c>
      <c r="BF3849">
        <v>0</v>
      </c>
      <c r="BG3849">
        <v>0</v>
      </c>
      <c r="BH3849">
        <v>2250</v>
      </c>
      <c r="BI3849">
        <v>1</v>
      </c>
      <c r="BJ3849">
        <v>1</v>
      </c>
      <c r="BK3849">
        <v>0</v>
      </c>
      <c r="BL3849">
        <v>0</v>
      </c>
      <c r="BO3849">
        <v>0</v>
      </c>
      <c r="BP3849">
        <v>0</v>
      </c>
      <c r="BW3849" t="str">
        <f t="shared" si="1780"/>
        <v>14:48:13.787</v>
      </c>
      <c r="CJ3849">
        <v>0</v>
      </c>
      <c r="CK3849">
        <v>2</v>
      </c>
      <c r="CL3849">
        <v>0</v>
      </c>
      <c r="CM3849">
        <v>2</v>
      </c>
      <c r="CN3849">
        <v>0</v>
      </c>
      <c r="CO3849">
        <v>6</v>
      </c>
      <c r="CP3849" t="s">
        <v>119</v>
      </c>
      <c r="CQ3849">
        <v>56</v>
      </c>
      <c r="CR3849">
        <v>2</v>
      </c>
      <c r="CW3849">
        <v>5069744</v>
      </c>
      <c r="CY3849">
        <v>1</v>
      </c>
      <c r="CZ3849">
        <v>0</v>
      </c>
      <c r="DA3849">
        <v>1</v>
      </c>
      <c r="DB3849">
        <v>0</v>
      </c>
      <c r="DC3849">
        <v>0</v>
      </c>
      <c r="DD3849">
        <v>1</v>
      </c>
      <c r="DE3849">
        <v>0</v>
      </c>
      <c r="DF3849">
        <v>0</v>
      </c>
      <c r="DG3849">
        <v>0</v>
      </c>
      <c r="DH3849">
        <v>0</v>
      </c>
      <c r="DI3849">
        <v>0</v>
      </c>
    </row>
    <row r="3850" spans="1:113" x14ac:dyDescent="0.3">
      <c r="A3850" t="str">
        <f t="shared" si="1777"/>
        <v>05/12/2020 14:47:55.947</v>
      </c>
      <c r="C3850" t="str">
        <f t="shared" si="1756"/>
        <v>FFDFD3C0</v>
      </c>
      <c r="D3850" t="s">
        <v>138</v>
      </c>
      <c r="E3850">
        <v>2</v>
      </c>
      <c r="H3850">
        <v>8</v>
      </c>
      <c r="I3850" t="s">
        <v>139</v>
      </c>
      <c r="J3850" t="s">
        <v>136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 t="shared" si="1778"/>
        <v>14:48:13.781</v>
      </c>
      <c r="T3850" t="str">
        <f t="shared" si="1779"/>
        <v>14:48:13.381</v>
      </c>
      <c r="U3850" t="str">
        <f t="shared" si="1776"/>
        <v>A9808D</v>
      </c>
      <c r="V3850">
        <v>0</v>
      </c>
      <c r="W3850">
        <v>0</v>
      </c>
      <c r="X3850">
        <v>1</v>
      </c>
      <c r="Z3850">
        <v>0</v>
      </c>
      <c r="AA3850">
        <v>9</v>
      </c>
      <c r="AB3850">
        <v>3</v>
      </c>
      <c r="AC3850">
        <v>0</v>
      </c>
      <c r="AD3850">
        <v>10</v>
      </c>
      <c r="AE3850">
        <v>0</v>
      </c>
      <c r="AF3850">
        <v>3</v>
      </c>
      <c r="AG3850">
        <v>2</v>
      </c>
      <c r="AH3850">
        <v>0</v>
      </c>
      <c r="AI3850" t="s">
        <v>860</v>
      </c>
      <c r="AJ3850">
        <v>28.271212999999999</v>
      </c>
      <c r="AK3850" t="s">
        <v>884</v>
      </c>
      <c r="AL3850">
        <v>-82.280430999999993</v>
      </c>
      <c r="AM3850">
        <v>100</v>
      </c>
      <c r="AN3850">
        <v>2200</v>
      </c>
      <c r="AO3850" t="s">
        <v>118</v>
      </c>
      <c r="AP3850">
        <v>-145</v>
      </c>
      <c r="AQ3850">
        <v>-17</v>
      </c>
      <c r="AR3850">
        <v>384</v>
      </c>
      <c r="AZ3850">
        <v>1200</v>
      </c>
      <c r="BA3850">
        <v>1</v>
      </c>
      <c r="BB3850" t="str">
        <f t="shared" si="1757"/>
        <v xml:space="preserve">N711JA  </v>
      </c>
      <c r="BC3850">
        <v>1</v>
      </c>
      <c r="BE3850">
        <v>0</v>
      </c>
      <c r="BF3850">
        <v>0</v>
      </c>
      <c r="BG3850">
        <v>0</v>
      </c>
      <c r="BH3850">
        <v>2250</v>
      </c>
      <c r="BI3850">
        <v>1</v>
      </c>
      <c r="BJ3850">
        <v>1</v>
      </c>
      <c r="BK3850">
        <v>0</v>
      </c>
      <c r="BL3850">
        <v>0</v>
      </c>
      <c r="BO3850">
        <v>0</v>
      </c>
      <c r="BP3850">
        <v>0</v>
      </c>
      <c r="BW3850" t="str">
        <f t="shared" si="1780"/>
        <v>14:48:13.787</v>
      </c>
      <c r="CJ3850">
        <v>0</v>
      </c>
      <c r="CK3850">
        <v>2</v>
      </c>
      <c r="CL3850">
        <v>0</v>
      </c>
      <c r="CM3850">
        <v>2</v>
      </c>
      <c r="CN3850">
        <v>0</v>
      </c>
      <c r="CO3850">
        <v>7</v>
      </c>
      <c r="CP3850" t="s">
        <v>119</v>
      </c>
      <c r="CQ3850">
        <v>8</v>
      </c>
      <c r="CR3850">
        <v>3</v>
      </c>
      <c r="CW3850">
        <v>9084041</v>
      </c>
      <c r="CY3850">
        <v>1</v>
      </c>
      <c r="CZ3850">
        <v>0</v>
      </c>
      <c r="DA3850">
        <v>1</v>
      </c>
      <c r="DB3850">
        <v>0</v>
      </c>
      <c r="DC3850">
        <v>0</v>
      </c>
      <c r="DD3850">
        <v>1</v>
      </c>
      <c r="DE3850">
        <v>0</v>
      </c>
      <c r="DF3850">
        <v>0</v>
      </c>
      <c r="DG3850">
        <v>0</v>
      </c>
      <c r="DH3850">
        <v>0</v>
      </c>
      <c r="DI3850">
        <v>0</v>
      </c>
    </row>
    <row r="3851" spans="1:113" x14ac:dyDescent="0.3">
      <c r="A3851" t="str">
        <f t="shared" si="1777"/>
        <v>05/12/2020 14:47:55.947</v>
      </c>
      <c r="C3851" t="str">
        <f t="shared" si="1756"/>
        <v>FFDFD3C0</v>
      </c>
      <c r="D3851" t="s">
        <v>138</v>
      </c>
      <c r="E3851">
        <v>3</v>
      </c>
      <c r="H3851">
        <v>9</v>
      </c>
      <c r="I3851" t="s">
        <v>140</v>
      </c>
      <c r="J3851" t="s">
        <v>136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 t="shared" si="1778"/>
        <v>14:48:13.781</v>
      </c>
      <c r="T3851" t="str">
        <f t="shared" si="1779"/>
        <v>14:48:13.381</v>
      </c>
      <c r="U3851" t="str">
        <f t="shared" si="1776"/>
        <v>A9808D</v>
      </c>
      <c r="V3851">
        <v>0</v>
      </c>
      <c r="W3851">
        <v>0</v>
      </c>
      <c r="X3851">
        <v>1</v>
      </c>
      <c r="Z3851">
        <v>0</v>
      </c>
      <c r="AA3851">
        <v>9</v>
      </c>
      <c r="AB3851">
        <v>3</v>
      </c>
      <c r="AC3851">
        <v>0</v>
      </c>
      <c r="AD3851">
        <v>10</v>
      </c>
      <c r="AE3851">
        <v>0</v>
      </c>
      <c r="AF3851">
        <v>3</v>
      </c>
      <c r="AG3851">
        <v>2</v>
      </c>
      <c r="AH3851">
        <v>0</v>
      </c>
      <c r="AI3851" t="s">
        <v>860</v>
      </c>
      <c r="AJ3851">
        <v>28.271212999999999</v>
      </c>
      <c r="AK3851" t="s">
        <v>884</v>
      </c>
      <c r="AL3851">
        <v>-82.280430999999993</v>
      </c>
      <c r="AM3851">
        <v>100</v>
      </c>
      <c r="AN3851">
        <v>2200</v>
      </c>
      <c r="AO3851" t="s">
        <v>118</v>
      </c>
      <c r="AP3851">
        <v>-145</v>
      </c>
      <c r="AQ3851">
        <v>-17</v>
      </c>
      <c r="AR3851">
        <v>384</v>
      </c>
      <c r="AZ3851">
        <v>1200</v>
      </c>
      <c r="BA3851">
        <v>1</v>
      </c>
      <c r="BB3851" t="str">
        <f t="shared" si="1757"/>
        <v xml:space="preserve">N711JA  </v>
      </c>
      <c r="BC3851">
        <v>1</v>
      </c>
      <c r="BE3851">
        <v>0</v>
      </c>
      <c r="BF3851">
        <v>0</v>
      </c>
      <c r="BG3851">
        <v>0</v>
      </c>
      <c r="BH3851">
        <v>2250</v>
      </c>
      <c r="BI3851">
        <v>1</v>
      </c>
      <c r="BJ3851">
        <v>1</v>
      </c>
      <c r="BK3851">
        <v>0</v>
      </c>
      <c r="BL3851">
        <v>0</v>
      </c>
      <c r="BO3851">
        <v>0</v>
      </c>
      <c r="BP3851">
        <v>0</v>
      </c>
      <c r="BW3851" t="str">
        <f t="shared" si="1780"/>
        <v>14:48:13.787</v>
      </c>
      <c r="CJ3851">
        <v>0</v>
      </c>
      <c r="CK3851">
        <v>2</v>
      </c>
      <c r="CL3851">
        <v>0</v>
      </c>
      <c r="CM3851">
        <v>2</v>
      </c>
      <c r="CN3851">
        <v>0</v>
      </c>
      <c r="CO3851">
        <v>7</v>
      </c>
      <c r="CP3851" t="s">
        <v>119</v>
      </c>
      <c r="CQ3851">
        <v>8</v>
      </c>
      <c r="CR3851">
        <v>3</v>
      </c>
      <c r="CW3851">
        <v>9084041</v>
      </c>
      <c r="CY3851">
        <v>1</v>
      </c>
      <c r="CZ3851">
        <v>0</v>
      </c>
      <c r="DA3851">
        <v>1</v>
      </c>
      <c r="DB3851">
        <v>0</v>
      </c>
      <c r="DC3851">
        <v>0</v>
      </c>
      <c r="DD3851">
        <v>1</v>
      </c>
      <c r="DE3851">
        <v>0</v>
      </c>
      <c r="DF3851">
        <v>0</v>
      </c>
      <c r="DG3851">
        <v>0</v>
      </c>
      <c r="DH3851">
        <v>0</v>
      </c>
      <c r="DI3851">
        <v>0</v>
      </c>
    </row>
    <row r="3852" spans="1:113" x14ac:dyDescent="0.3">
      <c r="A3852" t="str">
        <f t="shared" si="1777"/>
        <v>05/12/2020 14:47:55.947</v>
      </c>
      <c r="C3852" t="str">
        <f t="shared" si="1756"/>
        <v>FFDFD3C0</v>
      </c>
      <c r="D3852" t="s">
        <v>126</v>
      </c>
      <c r="E3852">
        <v>6</v>
      </c>
      <c r="F3852">
        <v>1006</v>
      </c>
      <c r="G3852" t="s">
        <v>114</v>
      </c>
      <c r="J3852" t="s">
        <v>128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 t="shared" si="1778"/>
        <v>14:48:13.781</v>
      </c>
      <c r="T3852" t="str">
        <f t="shared" si="1779"/>
        <v>14:48:13.381</v>
      </c>
      <c r="U3852" t="str">
        <f t="shared" si="1776"/>
        <v>A9808D</v>
      </c>
      <c r="V3852">
        <v>0</v>
      </c>
      <c r="W3852">
        <v>0</v>
      </c>
      <c r="X3852">
        <v>1</v>
      </c>
      <c r="Z3852">
        <v>0</v>
      </c>
      <c r="AA3852">
        <v>9</v>
      </c>
      <c r="AB3852">
        <v>3</v>
      </c>
      <c r="AC3852">
        <v>0</v>
      </c>
      <c r="AD3852">
        <v>10</v>
      </c>
      <c r="AE3852">
        <v>0</v>
      </c>
      <c r="AF3852">
        <v>3</v>
      </c>
      <c r="AG3852">
        <v>2</v>
      </c>
      <c r="AH3852">
        <v>0</v>
      </c>
      <c r="AI3852" t="s">
        <v>860</v>
      </c>
      <c r="AJ3852">
        <v>28.271212999999999</v>
      </c>
      <c r="AK3852" t="s">
        <v>884</v>
      </c>
      <c r="AL3852">
        <v>-82.280430999999993</v>
      </c>
      <c r="AM3852">
        <v>100</v>
      </c>
      <c r="AN3852">
        <v>2200</v>
      </c>
      <c r="AO3852" t="s">
        <v>118</v>
      </c>
      <c r="AP3852">
        <v>-145</v>
      </c>
      <c r="AQ3852">
        <v>-17</v>
      </c>
      <c r="AR3852">
        <v>384</v>
      </c>
      <c r="AZ3852">
        <v>1200</v>
      </c>
      <c r="BA3852">
        <v>1</v>
      </c>
      <c r="BB3852" t="str">
        <f t="shared" si="1757"/>
        <v xml:space="preserve">N711JA  </v>
      </c>
      <c r="BC3852">
        <v>1</v>
      </c>
      <c r="BE3852">
        <v>0</v>
      </c>
      <c r="BF3852">
        <v>0</v>
      </c>
      <c r="BG3852">
        <v>0</v>
      </c>
      <c r="BH3852">
        <v>2250</v>
      </c>
      <c r="BI3852">
        <v>1</v>
      </c>
      <c r="BJ3852">
        <v>1</v>
      </c>
      <c r="BK3852">
        <v>0</v>
      </c>
      <c r="BL3852">
        <v>0</v>
      </c>
      <c r="BO3852">
        <v>0</v>
      </c>
      <c r="BP3852">
        <v>0</v>
      </c>
      <c r="BW3852" t="str">
        <f t="shared" si="1780"/>
        <v>14:48:13.787</v>
      </c>
      <c r="CJ3852">
        <v>0</v>
      </c>
      <c r="CK3852">
        <v>2</v>
      </c>
      <c r="CL3852">
        <v>0</v>
      </c>
      <c r="CM3852">
        <v>2</v>
      </c>
      <c r="CN3852">
        <v>0</v>
      </c>
      <c r="CO3852">
        <v>7</v>
      </c>
      <c r="CP3852" t="s">
        <v>119</v>
      </c>
      <c r="CQ3852">
        <v>8</v>
      </c>
      <c r="CR3852">
        <v>3</v>
      </c>
      <c r="CW3852">
        <v>9084041</v>
      </c>
      <c r="CY3852">
        <v>1</v>
      </c>
      <c r="CZ3852">
        <v>0</v>
      </c>
      <c r="DA3852">
        <v>1</v>
      </c>
      <c r="DB3852">
        <v>0</v>
      </c>
      <c r="DC3852">
        <v>0</v>
      </c>
      <c r="DD3852">
        <v>1</v>
      </c>
      <c r="DE3852">
        <v>0</v>
      </c>
      <c r="DF3852">
        <v>0</v>
      </c>
      <c r="DG3852">
        <v>0</v>
      </c>
      <c r="DH3852">
        <v>0</v>
      </c>
      <c r="DI3852">
        <v>0</v>
      </c>
    </row>
    <row r="3853" spans="1:113" x14ac:dyDescent="0.3">
      <c r="A3853" t="str">
        <f t="shared" ref="A3853:A3861" si="1781">"05/12/2020 14:47:56.904"</f>
        <v>05/12/2020 14:47:56.904</v>
      </c>
      <c r="C3853" t="str">
        <f t="shared" si="1756"/>
        <v>FFDFD3C0</v>
      </c>
      <c r="D3853" t="s">
        <v>131</v>
      </c>
      <c r="E3853">
        <v>10</v>
      </c>
      <c r="F3853">
        <v>2010</v>
      </c>
      <c r="G3853" t="s">
        <v>132</v>
      </c>
      <c r="J3853" t="s">
        <v>133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 t="shared" ref="S3853:S3861" si="1782">"14:48:14.727"</f>
        <v>14:48:14.727</v>
      </c>
      <c r="T3853" t="str">
        <f t="shared" ref="T3853:T3861" si="1783">"14:48:14.427"</f>
        <v>14:48:14.427</v>
      </c>
      <c r="U3853" t="str">
        <f t="shared" si="1776"/>
        <v>A9808D</v>
      </c>
      <c r="V3853">
        <v>0</v>
      </c>
      <c r="W3853">
        <v>0</v>
      </c>
      <c r="X3853">
        <v>1</v>
      </c>
      <c r="Z3853">
        <v>0</v>
      </c>
      <c r="AA3853">
        <v>9</v>
      </c>
      <c r="AB3853">
        <v>3</v>
      </c>
      <c r="AC3853">
        <v>0</v>
      </c>
      <c r="AD3853">
        <v>10</v>
      </c>
      <c r="AE3853">
        <v>0</v>
      </c>
      <c r="AF3853">
        <v>3</v>
      </c>
      <c r="AG3853">
        <v>2</v>
      </c>
      <c r="AH3853">
        <v>0</v>
      </c>
      <c r="AI3853" t="s">
        <v>885</v>
      </c>
      <c r="AJ3853">
        <v>28.271127</v>
      </c>
      <c r="AK3853" t="s">
        <v>886</v>
      </c>
      <c r="AL3853">
        <v>-82.281182000000001</v>
      </c>
      <c r="AM3853">
        <v>100</v>
      </c>
      <c r="AN3853">
        <v>2200</v>
      </c>
      <c r="AO3853" t="s">
        <v>118</v>
      </c>
      <c r="AP3853">
        <v>-144</v>
      </c>
      <c r="AQ3853">
        <v>-20</v>
      </c>
      <c r="AR3853">
        <v>448</v>
      </c>
      <c r="AZ3853">
        <v>1200</v>
      </c>
      <c r="BA3853">
        <v>1</v>
      </c>
      <c r="BB3853" t="str">
        <f t="shared" si="1757"/>
        <v xml:space="preserve">N711JA  </v>
      </c>
      <c r="BC3853">
        <v>1</v>
      </c>
      <c r="BE3853">
        <v>0</v>
      </c>
      <c r="BF3853">
        <v>0</v>
      </c>
      <c r="BG3853">
        <v>0</v>
      </c>
      <c r="BH3853">
        <v>2275</v>
      </c>
      <c r="BI3853">
        <v>1</v>
      </c>
      <c r="BJ3853">
        <v>1</v>
      </c>
      <c r="BK3853">
        <v>0</v>
      </c>
      <c r="BL3853">
        <v>0</v>
      </c>
      <c r="BO3853">
        <v>0</v>
      </c>
      <c r="BP3853">
        <v>0</v>
      </c>
      <c r="BW3853" t="str">
        <f t="shared" ref="BW3853:BW3861" si="1784">"14:48:14.731"</f>
        <v>14:48:14.731</v>
      </c>
      <c r="CJ3853">
        <v>0</v>
      </c>
      <c r="CK3853">
        <v>2</v>
      </c>
      <c r="CL3853">
        <v>0</v>
      </c>
      <c r="CM3853">
        <v>2</v>
      </c>
      <c r="CN3853">
        <v>0</v>
      </c>
      <c r="CO3853">
        <v>7</v>
      </c>
      <c r="CP3853" t="s">
        <v>119</v>
      </c>
      <c r="CQ3853">
        <v>8</v>
      </c>
      <c r="CR3853">
        <v>3</v>
      </c>
      <c r="CW3853">
        <v>9085026</v>
      </c>
      <c r="CY3853">
        <v>1</v>
      </c>
      <c r="CZ3853">
        <v>0</v>
      </c>
      <c r="DA3853">
        <v>0</v>
      </c>
      <c r="DB3853">
        <v>0</v>
      </c>
      <c r="DC3853">
        <v>0</v>
      </c>
      <c r="DD3853">
        <v>1</v>
      </c>
      <c r="DE3853">
        <v>0</v>
      </c>
      <c r="DF3853">
        <v>0</v>
      </c>
      <c r="DG3853">
        <v>0</v>
      </c>
      <c r="DH3853">
        <v>0</v>
      </c>
      <c r="DI3853">
        <v>0</v>
      </c>
    </row>
    <row r="3854" spans="1:113" x14ac:dyDescent="0.3">
      <c r="A3854" t="str">
        <f t="shared" si="1781"/>
        <v>05/12/2020 14:47:56.904</v>
      </c>
      <c r="C3854" t="str">
        <f t="shared" si="1756"/>
        <v>FFDFD3C0</v>
      </c>
      <c r="D3854" t="s">
        <v>126</v>
      </c>
      <c r="E3854">
        <v>7</v>
      </c>
      <c r="F3854">
        <v>1007</v>
      </c>
      <c r="G3854" t="s">
        <v>127</v>
      </c>
      <c r="J3854" t="s">
        <v>128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 t="shared" si="1782"/>
        <v>14:48:14.727</v>
      </c>
      <c r="T3854" t="str">
        <f t="shared" si="1783"/>
        <v>14:48:14.427</v>
      </c>
      <c r="U3854" t="str">
        <f t="shared" si="1776"/>
        <v>A9808D</v>
      </c>
      <c r="V3854">
        <v>0</v>
      </c>
      <c r="W3854">
        <v>0</v>
      </c>
      <c r="X3854">
        <v>1</v>
      </c>
      <c r="Z3854">
        <v>0</v>
      </c>
      <c r="AA3854">
        <v>9</v>
      </c>
      <c r="AB3854">
        <v>3</v>
      </c>
      <c r="AC3854">
        <v>0</v>
      </c>
      <c r="AD3854">
        <v>10</v>
      </c>
      <c r="AE3854">
        <v>0</v>
      </c>
      <c r="AF3854">
        <v>3</v>
      </c>
      <c r="AG3854">
        <v>2</v>
      </c>
      <c r="AH3854">
        <v>0</v>
      </c>
      <c r="AI3854" t="s">
        <v>885</v>
      </c>
      <c r="AJ3854">
        <v>28.271127</v>
      </c>
      <c r="AK3854" t="s">
        <v>886</v>
      </c>
      <c r="AL3854">
        <v>-82.281182000000001</v>
      </c>
      <c r="AM3854">
        <v>100</v>
      </c>
      <c r="AN3854">
        <v>2200</v>
      </c>
      <c r="AO3854" t="s">
        <v>118</v>
      </c>
      <c r="AP3854">
        <v>-144</v>
      </c>
      <c r="AQ3854">
        <v>-20</v>
      </c>
      <c r="AR3854">
        <v>448</v>
      </c>
      <c r="AZ3854">
        <v>1200</v>
      </c>
      <c r="BA3854">
        <v>1</v>
      </c>
      <c r="BB3854" t="str">
        <f t="shared" si="1757"/>
        <v xml:space="preserve">N711JA  </v>
      </c>
      <c r="BC3854">
        <v>1</v>
      </c>
      <c r="BE3854">
        <v>0</v>
      </c>
      <c r="BF3854">
        <v>0</v>
      </c>
      <c r="BG3854">
        <v>0</v>
      </c>
      <c r="BH3854">
        <v>2275</v>
      </c>
      <c r="BI3854">
        <v>1</v>
      </c>
      <c r="BJ3854">
        <v>1</v>
      </c>
      <c r="BK3854">
        <v>0</v>
      </c>
      <c r="BL3854">
        <v>0</v>
      </c>
      <c r="BO3854">
        <v>0</v>
      </c>
      <c r="BP3854">
        <v>0</v>
      </c>
      <c r="BW3854" t="str">
        <f t="shared" si="1784"/>
        <v>14:48:14.731</v>
      </c>
      <c r="CJ3854">
        <v>0</v>
      </c>
      <c r="CK3854">
        <v>2</v>
      </c>
      <c r="CL3854">
        <v>0</v>
      </c>
      <c r="CM3854">
        <v>2</v>
      </c>
      <c r="CN3854">
        <v>0</v>
      </c>
      <c r="CO3854">
        <v>7</v>
      </c>
      <c r="CP3854" t="s">
        <v>119</v>
      </c>
      <c r="CQ3854">
        <v>8</v>
      </c>
      <c r="CR3854">
        <v>3</v>
      </c>
      <c r="CW3854">
        <v>9085026</v>
      </c>
      <c r="CY3854">
        <v>1</v>
      </c>
      <c r="CZ3854">
        <v>0</v>
      </c>
      <c r="DA3854">
        <v>1</v>
      </c>
      <c r="DB3854">
        <v>0</v>
      </c>
      <c r="DC3854">
        <v>0</v>
      </c>
      <c r="DD3854">
        <v>1</v>
      </c>
      <c r="DE3854">
        <v>0</v>
      </c>
      <c r="DF3854">
        <v>0</v>
      </c>
      <c r="DG3854">
        <v>0</v>
      </c>
      <c r="DH3854">
        <v>0</v>
      </c>
      <c r="DI3854">
        <v>0</v>
      </c>
    </row>
    <row r="3855" spans="1:113" x14ac:dyDescent="0.3">
      <c r="A3855" t="str">
        <f t="shared" si="1781"/>
        <v>05/12/2020 14:47:56.904</v>
      </c>
      <c r="C3855" t="str">
        <f t="shared" si="1756"/>
        <v>FFDFD3C0</v>
      </c>
      <c r="D3855" t="s">
        <v>131</v>
      </c>
      <c r="E3855">
        <v>12</v>
      </c>
      <c r="F3855">
        <v>2012</v>
      </c>
      <c r="G3855" t="s">
        <v>137</v>
      </c>
      <c r="J3855" t="s">
        <v>133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 t="shared" si="1782"/>
        <v>14:48:14.727</v>
      </c>
      <c r="T3855" t="str">
        <f t="shared" si="1783"/>
        <v>14:48:14.427</v>
      </c>
      <c r="U3855" t="str">
        <f t="shared" si="1776"/>
        <v>A9808D</v>
      </c>
      <c r="V3855">
        <v>0</v>
      </c>
      <c r="W3855">
        <v>0</v>
      </c>
      <c r="X3855">
        <v>1</v>
      </c>
      <c r="Z3855">
        <v>0</v>
      </c>
      <c r="AA3855">
        <v>9</v>
      </c>
      <c r="AB3855">
        <v>3</v>
      </c>
      <c r="AC3855">
        <v>0</v>
      </c>
      <c r="AD3855">
        <v>10</v>
      </c>
      <c r="AE3855">
        <v>0</v>
      </c>
      <c r="AF3855">
        <v>3</v>
      </c>
      <c r="AG3855">
        <v>2</v>
      </c>
      <c r="AH3855">
        <v>0</v>
      </c>
      <c r="AI3855" t="s">
        <v>885</v>
      </c>
      <c r="AJ3855">
        <v>28.271127</v>
      </c>
      <c r="AK3855" t="s">
        <v>886</v>
      </c>
      <c r="AL3855">
        <v>-82.281182000000001</v>
      </c>
      <c r="AM3855">
        <v>100</v>
      </c>
      <c r="AN3855">
        <v>2200</v>
      </c>
      <c r="AO3855" t="s">
        <v>118</v>
      </c>
      <c r="AP3855">
        <v>-144</v>
      </c>
      <c r="AQ3855">
        <v>-20</v>
      </c>
      <c r="AR3855">
        <v>448</v>
      </c>
      <c r="AZ3855">
        <v>1200</v>
      </c>
      <c r="BA3855">
        <v>1</v>
      </c>
      <c r="BB3855" t="str">
        <f t="shared" si="1757"/>
        <v xml:space="preserve">N711JA  </v>
      </c>
      <c r="BC3855">
        <v>1</v>
      </c>
      <c r="BE3855">
        <v>0</v>
      </c>
      <c r="BF3855">
        <v>0</v>
      </c>
      <c r="BG3855">
        <v>0</v>
      </c>
      <c r="BH3855">
        <v>2275</v>
      </c>
      <c r="BI3855">
        <v>1</v>
      </c>
      <c r="BJ3855">
        <v>1</v>
      </c>
      <c r="BK3855">
        <v>0</v>
      </c>
      <c r="BL3855">
        <v>0</v>
      </c>
      <c r="BO3855">
        <v>0</v>
      </c>
      <c r="BP3855">
        <v>0</v>
      </c>
      <c r="BW3855" t="str">
        <f t="shared" si="1784"/>
        <v>14:48:14.731</v>
      </c>
      <c r="CJ3855">
        <v>0</v>
      </c>
      <c r="CK3855">
        <v>2</v>
      </c>
      <c r="CL3855">
        <v>0</v>
      </c>
      <c r="CM3855">
        <v>2</v>
      </c>
      <c r="CN3855">
        <v>0</v>
      </c>
      <c r="CO3855">
        <v>7</v>
      </c>
      <c r="CP3855" t="s">
        <v>119</v>
      </c>
      <c r="CQ3855">
        <v>8</v>
      </c>
      <c r="CR3855">
        <v>3</v>
      </c>
      <c r="CW3855">
        <v>9085026</v>
      </c>
      <c r="CY3855">
        <v>1</v>
      </c>
      <c r="CZ3855">
        <v>0</v>
      </c>
      <c r="DA3855">
        <v>1</v>
      </c>
      <c r="DB3855">
        <v>0</v>
      </c>
      <c r="DC3855">
        <v>0</v>
      </c>
      <c r="DD3855">
        <v>1</v>
      </c>
      <c r="DE3855">
        <v>0</v>
      </c>
      <c r="DF3855">
        <v>0</v>
      </c>
      <c r="DG3855">
        <v>0</v>
      </c>
      <c r="DH3855">
        <v>0</v>
      </c>
      <c r="DI3855">
        <v>0</v>
      </c>
    </row>
    <row r="3856" spans="1:113" x14ac:dyDescent="0.3">
      <c r="A3856" t="str">
        <f t="shared" si="1781"/>
        <v>05/12/2020 14:47:56.904</v>
      </c>
      <c r="C3856" t="str">
        <f t="shared" si="1756"/>
        <v>FFDFD3C0</v>
      </c>
      <c r="D3856" t="s">
        <v>131</v>
      </c>
      <c r="E3856">
        <v>18</v>
      </c>
      <c r="F3856">
        <v>2018</v>
      </c>
      <c r="G3856" t="s">
        <v>161</v>
      </c>
      <c r="J3856" t="s">
        <v>133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 t="shared" si="1782"/>
        <v>14:48:14.727</v>
      </c>
      <c r="T3856" t="str">
        <f t="shared" si="1783"/>
        <v>14:48:14.427</v>
      </c>
      <c r="U3856" t="str">
        <f t="shared" si="1776"/>
        <v>A9808D</v>
      </c>
      <c r="V3856">
        <v>0</v>
      </c>
      <c r="W3856">
        <v>0</v>
      </c>
      <c r="X3856">
        <v>1</v>
      </c>
      <c r="Z3856">
        <v>0</v>
      </c>
      <c r="AA3856">
        <v>9</v>
      </c>
      <c r="AB3856">
        <v>3</v>
      </c>
      <c r="AC3856">
        <v>0</v>
      </c>
      <c r="AD3856">
        <v>10</v>
      </c>
      <c r="AE3856">
        <v>0</v>
      </c>
      <c r="AF3856">
        <v>3</v>
      </c>
      <c r="AG3856">
        <v>2</v>
      </c>
      <c r="AH3856">
        <v>0</v>
      </c>
      <c r="AI3856" t="s">
        <v>885</v>
      </c>
      <c r="AJ3856">
        <v>28.271127</v>
      </c>
      <c r="AK3856" t="s">
        <v>886</v>
      </c>
      <c r="AL3856">
        <v>-82.281182000000001</v>
      </c>
      <c r="AM3856">
        <v>100</v>
      </c>
      <c r="AN3856">
        <v>2200</v>
      </c>
      <c r="AO3856" t="s">
        <v>118</v>
      </c>
      <c r="AP3856">
        <v>-144</v>
      </c>
      <c r="AQ3856">
        <v>-20</v>
      </c>
      <c r="AR3856">
        <v>448</v>
      </c>
      <c r="AZ3856">
        <v>1200</v>
      </c>
      <c r="BA3856">
        <v>1</v>
      </c>
      <c r="BB3856" t="str">
        <f t="shared" si="1757"/>
        <v xml:space="preserve">N711JA  </v>
      </c>
      <c r="BC3856">
        <v>1</v>
      </c>
      <c r="BE3856">
        <v>0</v>
      </c>
      <c r="BF3856">
        <v>0</v>
      </c>
      <c r="BG3856">
        <v>0</v>
      </c>
      <c r="BH3856">
        <v>2275</v>
      </c>
      <c r="BI3856">
        <v>1</v>
      </c>
      <c r="BJ3856">
        <v>1</v>
      </c>
      <c r="BK3856">
        <v>0</v>
      </c>
      <c r="BL3856">
        <v>0</v>
      </c>
      <c r="BO3856">
        <v>0</v>
      </c>
      <c r="BP3856">
        <v>0</v>
      </c>
      <c r="BW3856" t="str">
        <f t="shared" si="1784"/>
        <v>14:48:14.731</v>
      </c>
      <c r="CJ3856">
        <v>0</v>
      </c>
      <c r="CK3856">
        <v>2</v>
      </c>
      <c r="CL3856">
        <v>0</v>
      </c>
      <c r="CM3856">
        <v>2</v>
      </c>
      <c r="CN3856">
        <v>0</v>
      </c>
      <c r="CO3856">
        <v>6</v>
      </c>
      <c r="CP3856" t="s">
        <v>119</v>
      </c>
      <c r="CQ3856">
        <v>56</v>
      </c>
      <c r="CR3856">
        <v>2</v>
      </c>
      <c r="CW3856">
        <v>5070902</v>
      </c>
      <c r="CY3856">
        <v>1</v>
      </c>
      <c r="CZ3856">
        <v>0</v>
      </c>
      <c r="DA3856">
        <v>1</v>
      </c>
      <c r="DB3856">
        <v>0</v>
      </c>
      <c r="DC3856">
        <v>0</v>
      </c>
      <c r="DD3856">
        <v>1</v>
      </c>
      <c r="DE3856">
        <v>0</v>
      </c>
      <c r="DF3856">
        <v>0</v>
      </c>
      <c r="DG3856">
        <v>0</v>
      </c>
      <c r="DH3856">
        <v>0</v>
      </c>
      <c r="DI3856">
        <v>0</v>
      </c>
    </row>
    <row r="3857" spans="1:113" x14ac:dyDescent="0.3">
      <c r="A3857" t="str">
        <f t="shared" si="1781"/>
        <v>05/12/2020 14:47:56.904</v>
      </c>
      <c r="C3857" t="str">
        <f t="shared" si="1756"/>
        <v>FFDFD3C0</v>
      </c>
      <c r="D3857" t="s">
        <v>113</v>
      </c>
      <c r="E3857">
        <v>3</v>
      </c>
      <c r="H3857">
        <v>164</v>
      </c>
      <c r="I3857" t="s">
        <v>114</v>
      </c>
      <c r="J3857" t="s">
        <v>115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 t="shared" si="1782"/>
        <v>14:48:14.727</v>
      </c>
      <c r="T3857" t="str">
        <f t="shared" si="1783"/>
        <v>14:48:14.427</v>
      </c>
      <c r="U3857" t="str">
        <f t="shared" si="1776"/>
        <v>A9808D</v>
      </c>
      <c r="V3857">
        <v>0</v>
      </c>
      <c r="W3857">
        <v>0</v>
      </c>
      <c r="X3857">
        <v>1</v>
      </c>
      <c r="Z3857">
        <v>0</v>
      </c>
      <c r="AA3857">
        <v>9</v>
      </c>
      <c r="AB3857">
        <v>3</v>
      </c>
      <c r="AC3857">
        <v>0</v>
      </c>
      <c r="AD3857">
        <v>10</v>
      </c>
      <c r="AE3857">
        <v>0</v>
      </c>
      <c r="AF3857">
        <v>3</v>
      </c>
      <c r="AG3857">
        <v>2</v>
      </c>
      <c r="AH3857">
        <v>0</v>
      </c>
      <c r="AI3857" t="s">
        <v>885</v>
      </c>
      <c r="AJ3857">
        <v>28.271127</v>
      </c>
      <c r="AK3857" t="s">
        <v>886</v>
      </c>
      <c r="AL3857">
        <v>-82.281182000000001</v>
      </c>
      <c r="AM3857">
        <v>100</v>
      </c>
      <c r="AN3857">
        <v>2200</v>
      </c>
      <c r="AO3857" t="s">
        <v>118</v>
      </c>
      <c r="AP3857">
        <v>-144</v>
      </c>
      <c r="AQ3857">
        <v>-20</v>
      </c>
      <c r="AR3857">
        <v>448</v>
      </c>
      <c r="AZ3857">
        <v>1200</v>
      </c>
      <c r="BA3857">
        <v>1</v>
      </c>
      <c r="BB3857" t="str">
        <f t="shared" si="1757"/>
        <v xml:space="preserve">N711JA  </v>
      </c>
      <c r="BC3857">
        <v>1</v>
      </c>
      <c r="BE3857">
        <v>0</v>
      </c>
      <c r="BF3857">
        <v>0</v>
      </c>
      <c r="BG3857">
        <v>0</v>
      </c>
      <c r="BH3857">
        <v>2275</v>
      </c>
      <c r="BI3857">
        <v>1</v>
      </c>
      <c r="BJ3857">
        <v>1</v>
      </c>
      <c r="BK3857">
        <v>0</v>
      </c>
      <c r="BL3857">
        <v>0</v>
      </c>
      <c r="BO3857">
        <v>0</v>
      </c>
      <c r="BP3857">
        <v>0</v>
      </c>
      <c r="BW3857" t="str">
        <f t="shared" si="1784"/>
        <v>14:48:14.731</v>
      </c>
      <c r="CJ3857">
        <v>0</v>
      </c>
      <c r="CK3857">
        <v>2</v>
      </c>
      <c r="CL3857">
        <v>0</v>
      </c>
      <c r="CM3857">
        <v>2</v>
      </c>
      <c r="CN3857">
        <v>0</v>
      </c>
      <c r="CO3857">
        <v>7</v>
      </c>
      <c r="CP3857" t="s">
        <v>119</v>
      </c>
      <c r="CQ3857">
        <v>8</v>
      </c>
      <c r="CR3857">
        <v>3</v>
      </c>
      <c r="CW3857">
        <v>9085026</v>
      </c>
      <c r="CY3857">
        <v>1</v>
      </c>
      <c r="CZ3857">
        <v>0</v>
      </c>
      <c r="DA3857">
        <v>1</v>
      </c>
      <c r="DB3857">
        <v>0</v>
      </c>
      <c r="DC3857">
        <v>0</v>
      </c>
      <c r="DD3857">
        <v>1</v>
      </c>
      <c r="DE3857">
        <v>0</v>
      </c>
      <c r="DF3857">
        <v>0</v>
      </c>
      <c r="DG3857">
        <v>0</v>
      </c>
      <c r="DH3857">
        <v>0</v>
      </c>
      <c r="DI3857">
        <v>0</v>
      </c>
    </row>
    <row r="3858" spans="1:113" x14ac:dyDescent="0.3">
      <c r="A3858" t="str">
        <f t="shared" si="1781"/>
        <v>05/12/2020 14:47:56.904</v>
      </c>
      <c r="C3858" t="str">
        <f t="shared" si="1756"/>
        <v>FFDFD3C0</v>
      </c>
      <c r="D3858" t="s">
        <v>134</v>
      </c>
      <c r="E3858">
        <v>12</v>
      </c>
      <c r="H3858">
        <v>64</v>
      </c>
      <c r="I3858" t="s">
        <v>135</v>
      </c>
      <c r="J3858" t="s">
        <v>136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 t="shared" si="1782"/>
        <v>14:48:14.727</v>
      </c>
      <c r="T3858" t="str">
        <f t="shared" si="1783"/>
        <v>14:48:14.427</v>
      </c>
      <c r="U3858" t="str">
        <f t="shared" si="1776"/>
        <v>A9808D</v>
      </c>
      <c r="V3858">
        <v>0</v>
      </c>
      <c r="W3858">
        <v>0</v>
      </c>
      <c r="X3858">
        <v>1</v>
      </c>
      <c r="Z3858">
        <v>0</v>
      </c>
      <c r="AA3858">
        <v>9</v>
      </c>
      <c r="AB3858">
        <v>3</v>
      </c>
      <c r="AC3858">
        <v>0</v>
      </c>
      <c r="AD3858">
        <v>10</v>
      </c>
      <c r="AE3858">
        <v>0</v>
      </c>
      <c r="AF3858">
        <v>3</v>
      </c>
      <c r="AG3858">
        <v>2</v>
      </c>
      <c r="AH3858">
        <v>0</v>
      </c>
      <c r="AI3858" t="s">
        <v>885</v>
      </c>
      <c r="AJ3858">
        <v>28.271127</v>
      </c>
      <c r="AK3858" t="s">
        <v>886</v>
      </c>
      <c r="AL3858">
        <v>-82.281182000000001</v>
      </c>
      <c r="AM3858">
        <v>100</v>
      </c>
      <c r="AN3858">
        <v>2200</v>
      </c>
      <c r="AO3858" t="s">
        <v>118</v>
      </c>
      <c r="AP3858">
        <v>-144</v>
      </c>
      <c r="AQ3858">
        <v>-20</v>
      </c>
      <c r="AR3858">
        <v>448</v>
      </c>
      <c r="AZ3858">
        <v>1200</v>
      </c>
      <c r="BA3858">
        <v>1</v>
      </c>
      <c r="BB3858" t="str">
        <f t="shared" si="1757"/>
        <v xml:space="preserve">N711JA  </v>
      </c>
      <c r="BC3858">
        <v>1</v>
      </c>
      <c r="BE3858">
        <v>0</v>
      </c>
      <c r="BF3858">
        <v>0</v>
      </c>
      <c r="BG3858">
        <v>0</v>
      </c>
      <c r="BH3858">
        <v>2275</v>
      </c>
      <c r="BI3858">
        <v>1</v>
      </c>
      <c r="BJ3858">
        <v>1</v>
      </c>
      <c r="BK3858">
        <v>0</v>
      </c>
      <c r="BL3858">
        <v>0</v>
      </c>
      <c r="BO3858">
        <v>0</v>
      </c>
      <c r="BP3858">
        <v>0</v>
      </c>
      <c r="BW3858" t="str">
        <f t="shared" si="1784"/>
        <v>14:48:14.731</v>
      </c>
      <c r="CJ3858">
        <v>0</v>
      </c>
      <c r="CK3858">
        <v>2</v>
      </c>
      <c r="CL3858">
        <v>0</v>
      </c>
      <c r="CM3858">
        <v>2</v>
      </c>
      <c r="CN3858">
        <v>0</v>
      </c>
      <c r="CO3858">
        <v>7</v>
      </c>
      <c r="CP3858" t="s">
        <v>119</v>
      </c>
      <c r="CQ3858">
        <v>8</v>
      </c>
      <c r="CR3858">
        <v>3</v>
      </c>
      <c r="CW3858">
        <v>9085026</v>
      </c>
      <c r="CY3858">
        <v>1</v>
      </c>
      <c r="CZ3858">
        <v>0</v>
      </c>
      <c r="DA3858">
        <v>1</v>
      </c>
      <c r="DB3858">
        <v>0</v>
      </c>
      <c r="DC3858">
        <v>0</v>
      </c>
      <c r="DD3858">
        <v>1</v>
      </c>
      <c r="DE3858">
        <v>0</v>
      </c>
      <c r="DF3858">
        <v>0</v>
      </c>
      <c r="DG3858">
        <v>0</v>
      </c>
      <c r="DH3858">
        <v>0</v>
      </c>
      <c r="DI3858">
        <v>0</v>
      </c>
    </row>
    <row r="3859" spans="1:113" x14ac:dyDescent="0.3">
      <c r="A3859" t="str">
        <f t="shared" si="1781"/>
        <v>05/12/2020 14:47:56.904</v>
      </c>
      <c r="C3859" t="str">
        <f t="shared" si="1756"/>
        <v>FFDFD3C0</v>
      </c>
      <c r="D3859" t="s">
        <v>126</v>
      </c>
      <c r="E3859">
        <v>6</v>
      </c>
      <c r="F3859">
        <v>1006</v>
      </c>
      <c r="G3859" t="s">
        <v>114</v>
      </c>
      <c r="J3859" t="s">
        <v>128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 t="shared" si="1782"/>
        <v>14:48:14.727</v>
      </c>
      <c r="T3859" t="str">
        <f t="shared" si="1783"/>
        <v>14:48:14.427</v>
      </c>
      <c r="U3859" t="str">
        <f t="shared" si="1776"/>
        <v>A9808D</v>
      </c>
      <c r="V3859">
        <v>0</v>
      </c>
      <c r="W3859">
        <v>0</v>
      </c>
      <c r="X3859">
        <v>1</v>
      </c>
      <c r="Z3859">
        <v>0</v>
      </c>
      <c r="AA3859">
        <v>9</v>
      </c>
      <c r="AB3859">
        <v>3</v>
      </c>
      <c r="AC3859">
        <v>0</v>
      </c>
      <c r="AD3859">
        <v>10</v>
      </c>
      <c r="AE3859">
        <v>0</v>
      </c>
      <c r="AF3859">
        <v>3</v>
      </c>
      <c r="AG3859">
        <v>2</v>
      </c>
      <c r="AH3859">
        <v>0</v>
      </c>
      <c r="AI3859" t="s">
        <v>885</v>
      </c>
      <c r="AJ3859">
        <v>28.271127</v>
      </c>
      <c r="AK3859" t="s">
        <v>886</v>
      </c>
      <c r="AL3859">
        <v>-82.281182000000001</v>
      </c>
      <c r="AM3859">
        <v>100</v>
      </c>
      <c r="AN3859">
        <v>2200</v>
      </c>
      <c r="AO3859" t="s">
        <v>118</v>
      </c>
      <c r="AP3859">
        <v>-144</v>
      </c>
      <c r="AQ3859">
        <v>-20</v>
      </c>
      <c r="AR3859">
        <v>448</v>
      </c>
      <c r="AZ3859">
        <v>1200</v>
      </c>
      <c r="BA3859">
        <v>1</v>
      </c>
      <c r="BB3859" t="str">
        <f t="shared" si="1757"/>
        <v xml:space="preserve">N711JA  </v>
      </c>
      <c r="BC3859">
        <v>1</v>
      </c>
      <c r="BE3859">
        <v>0</v>
      </c>
      <c r="BF3859">
        <v>0</v>
      </c>
      <c r="BG3859">
        <v>0</v>
      </c>
      <c r="BH3859">
        <v>2275</v>
      </c>
      <c r="BI3859">
        <v>1</v>
      </c>
      <c r="BJ3859">
        <v>1</v>
      </c>
      <c r="BK3859">
        <v>0</v>
      </c>
      <c r="BL3859">
        <v>0</v>
      </c>
      <c r="BO3859">
        <v>0</v>
      </c>
      <c r="BP3859">
        <v>0</v>
      </c>
      <c r="BW3859" t="str">
        <f t="shared" si="1784"/>
        <v>14:48:14.731</v>
      </c>
      <c r="CJ3859">
        <v>0</v>
      </c>
      <c r="CK3859">
        <v>2</v>
      </c>
      <c r="CL3859">
        <v>0</v>
      </c>
      <c r="CM3859">
        <v>2</v>
      </c>
      <c r="CN3859">
        <v>0</v>
      </c>
      <c r="CO3859">
        <v>7</v>
      </c>
      <c r="CP3859" t="s">
        <v>119</v>
      </c>
      <c r="CQ3859">
        <v>8</v>
      </c>
      <c r="CR3859">
        <v>3</v>
      </c>
      <c r="CW3859">
        <v>9085026</v>
      </c>
      <c r="CY3859">
        <v>1</v>
      </c>
      <c r="CZ3859">
        <v>0</v>
      </c>
      <c r="DA3859">
        <v>1</v>
      </c>
      <c r="DB3859">
        <v>0</v>
      </c>
      <c r="DC3859">
        <v>0</v>
      </c>
      <c r="DD3859">
        <v>1</v>
      </c>
      <c r="DE3859">
        <v>0</v>
      </c>
      <c r="DF3859">
        <v>0</v>
      </c>
      <c r="DG3859">
        <v>0</v>
      </c>
      <c r="DH3859">
        <v>0</v>
      </c>
      <c r="DI3859">
        <v>0</v>
      </c>
    </row>
    <row r="3860" spans="1:113" x14ac:dyDescent="0.3">
      <c r="A3860" t="str">
        <f t="shared" si="1781"/>
        <v>05/12/2020 14:47:56.904</v>
      </c>
      <c r="C3860" t="str">
        <f t="shared" si="1756"/>
        <v>FFDFD3C0</v>
      </c>
      <c r="D3860" t="s">
        <v>138</v>
      </c>
      <c r="E3860">
        <v>2</v>
      </c>
      <c r="H3860">
        <v>8</v>
      </c>
      <c r="I3860" t="s">
        <v>139</v>
      </c>
      <c r="J3860" t="s">
        <v>136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 t="shared" si="1782"/>
        <v>14:48:14.727</v>
      </c>
      <c r="T3860" t="str">
        <f t="shared" si="1783"/>
        <v>14:48:14.427</v>
      </c>
      <c r="U3860" t="str">
        <f t="shared" si="1776"/>
        <v>A9808D</v>
      </c>
      <c r="V3860">
        <v>0</v>
      </c>
      <c r="W3860">
        <v>0</v>
      </c>
      <c r="X3860">
        <v>1</v>
      </c>
      <c r="Z3860">
        <v>0</v>
      </c>
      <c r="AA3860">
        <v>9</v>
      </c>
      <c r="AB3860">
        <v>3</v>
      </c>
      <c r="AC3860">
        <v>0</v>
      </c>
      <c r="AD3860">
        <v>10</v>
      </c>
      <c r="AE3860">
        <v>0</v>
      </c>
      <c r="AF3860">
        <v>3</v>
      </c>
      <c r="AG3860">
        <v>2</v>
      </c>
      <c r="AH3860">
        <v>0</v>
      </c>
      <c r="AI3860" t="s">
        <v>885</v>
      </c>
      <c r="AJ3860">
        <v>28.271127</v>
      </c>
      <c r="AK3860" t="s">
        <v>886</v>
      </c>
      <c r="AL3860">
        <v>-82.281182000000001</v>
      </c>
      <c r="AM3860">
        <v>100</v>
      </c>
      <c r="AN3860">
        <v>2200</v>
      </c>
      <c r="AO3860" t="s">
        <v>118</v>
      </c>
      <c r="AP3860">
        <v>-144</v>
      </c>
      <c r="AQ3860">
        <v>-20</v>
      </c>
      <c r="AR3860">
        <v>448</v>
      </c>
      <c r="AZ3860">
        <v>1200</v>
      </c>
      <c r="BA3860">
        <v>1</v>
      </c>
      <c r="BB3860" t="str">
        <f t="shared" si="1757"/>
        <v xml:space="preserve">N711JA  </v>
      </c>
      <c r="BC3860">
        <v>1</v>
      </c>
      <c r="BE3860">
        <v>0</v>
      </c>
      <c r="BF3860">
        <v>0</v>
      </c>
      <c r="BG3860">
        <v>0</v>
      </c>
      <c r="BH3860">
        <v>2275</v>
      </c>
      <c r="BI3860">
        <v>1</v>
      </c>
      <c r="BJ3860">
        <v>1</v>
      </c>
      <c r="BK3860">
        <v>0</v>
      </c>
      <c r="BL3860">
        <v>0</v>
      </c>
      <c r="BO3860">
        <v>0</v>
      </c>
      <c r="BP3860">
        <v>0</v>
      </c>
      <c r="BW3860" t="str">
        <f t="shared" si="1784"/>
        <v>14:48:14.731</v>
      </c>
      <c r="CJ3860">
        <v>0</v>
      </c>
      <c r="CK3860">
        <v>2</v>
      </c>
      <c r="CL3860">
        <v>0</v>
      </c>
      <c r="CM3860">
        <v>2</v>
      </c>
      <c r="CN3860">
        <v>0</v>
      </c>
      <c r="CO3860">
        <v>7</v>
      </c>
      <c r="CP3860" t="s">
        <v>119</v>
      </c>
      <c r="CQ3860">
        <v>8</v>
      </c>
      <c r="CR3860">
        <v>3</v>
      </c>
      <c r="CW3860">
        <v>9085026</v>
      </c>
      <c r="CY3860">
        <v>1</v>
      </c>
      <c r="CZ3860">
        <v>0</v>
      </c>
      <c r="DA3860">
        <v>1</v>
      </c>
      <c r="DB3860">
        <v>0</v>
      </c>
      <c r="DC3860">
        <v>0</v>
      </c>
      <c r="DD3860">
        <v>1</v>
      </c>
      <c r="DE3860">
        <v>0</v>
      </c>
      <c r="DF3860">
        <v>0</v>
      </c>
      <c r="DG3860">
        <v>0</v>
      </c>
      <c r="DH3860">
        <v>0</v>
      </c>
      <c r="DI3860">
        <v>0</v>
      </c>
    </row>
    <row r="3861" spans="1:113" x14ac:dyDescent="0.3">
      <c r="A3861" t="str">
        <f t="shared" si="1781"/>
        <v>05/12/2020 14:47:56.904</v>
      </c>
      <c r="C3861" t="str">
        <f t="shared" si="1756"/>
        <v>FFDFD3C0</v>
      </c>
      <c r="D3861" t="s">
        <v>138</v>
      </c>
      <c r="E3861">
        <v>3</v>
      </c>
      <c r="H3861">
        <v>9</v>
      </c>
      <c r="I3861" t="s">
        <v>140</v>
      </c>
      <c r="J3861" t="s">
        <v>136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 t="shared" si="1782"/>
        <v>14:48:14.727</v>
      </c>
      <c r="T3861" t="str">
        <f t="shared" si="1783"/>
        <v>14:48:14.427</v>
      </c>
      <c r="U3861" t="str">
        <f t="shared" si="1776"/>
        <v>A9808D</v>
      </c>
      <c r="V3861">
        <v>0</v>
      </c>
      <c r="W3861">
        <v>0</v>
      </c>
      <c r="X3861">
        <v>1</v>
      </c>
      <c r="Z3861">
        <v>0</v>
      </c>
      <c r="AA3861">
        <v>9</v>
      </c>
      <c r="AB3861">
        <v>3</v>
      </c>
      <c r="AC3861">
        <v>0</v>
      </c>
      <c r="AD3861">
        <v>10</v>
      </c>
      <c r="AE3861">
        <v>0</v>
      </c>
      <c r="AF3861">
        <v>3</v>
      </c>
      <c r="AG3861">
        <v>2</v>
      </c>
      <c r="AH3861">
        <v>0</v>
      </c>
      <c r="AI3861" t="s">
        <v>885</v>
      </c>
      <c r="AJ3861">
        <v>28.271127</v>
      </c>
      <c r="AK3861" t="s">
        <v>886</v>
      </c>
      <c r="AL3861">
        <v>-82.281182000000001</v>
      </c>
      <c r="AM3861">
        <v>100</v>
      </c>
      <c r="AN3861">
        <v>2200</v>
      </c>
      <c r="AO3861" t="s">
        <v>118</v>
      </c>
      <c r="AP3861">
        <v>-144</v>
      </c>
      <c r="AQ3861">
        <v>-20</v>
      </c>
      <c r="AR3861">
        <v>448</v>
      </c>
      <c r="AZ3861">
        <v>1200</v>
      </c>
      <c r="BA3861">
        <v>1</v>
      </c>
      <c r="BB3861" t="str">
        <f t="shared" si="1757"/>
        <v xml:space="preserve">N711JA  </v>
      </c>
      <c r="BC3861">
        <v>1</v>
      </c>
      <c r="BE3861">
        <v>0</v>
      </c>
      <c r="BF3861">
        <v>0</v>
      </c>
      <c r="BG3861">
        <v>0</v>
      </c>
      <c r="BH3861">
        <v>2275</v>
      </c>
      <c r="BI3861">
        <v>1</v>
      </c>
      <c r="BJ3861">
        <v>1</v>
      </c>
      <c r="BK3861">
        <v>0</v>
      </c>
      <c r="BL3861">
        <v>0</v>
      </c>
      <c r="BO3861">
        <v>0</v>
      </c>
      <c r="BP3861">
        <v>0</v>
      </c>
      <c r="BW3861" t="str">
        <f t="shared" si="1784"/>
        <v>14:48:14.731</v>
      </c>
      <c r="CJ3861">
        <v>0</v>
      </c>
      <c r="CK3861">
        <v>2</v>
      </c>
      <c r="CL3861">
        <v>0</v>
      </c>
      <c r="CM3861">
        <v>2</v>
      </c>
      <c r="CN3861">
        <v>0</v>
      </c>
      <c r="CO3861">
        <v>7</v>
      </c>
      <c r="CP3861" t="s">
        <v>119</v>
      </c>
      <c r="CQ3861">
        <v>8</v>
      </c>
      <c r="CR3861">
        <v>3</v>
      </c>
      <c r="CW3861">
        <v>9085026</v>
      </c>
      <c r="CY3861">
        <v>1</v>
      </c>
      <c r="CZ3861">
        <v>0</v>
      </c>
      <c r="DA3861">
        <v>1</v>
      </c>
      <c r="DB3861">
        <v>0</v>
      </c>
      <c r="DC3861">
        <v>0</v>
      </c>
      <c r="DD3861">
        <v>1</v>
      </c>
      <c r="DE3861">
        <v>0</v>
      </c>
      <c r="DF3861">
        <v>0</v>
      </c>
      <c r="DG3861">
        <v>0</v>
      </c>
      <c r="DH3861">
        <v>0</v>
      </c>
      <c r="DI3861">
        <v>0</v>
      </c>
    </row>
    <row r="3862" spans="1:113" x14ac:dyDescent="0.3">
      <c r="A3862" t="str">
        <f t="shared" ref="A3862:A3870" si="1785">"05/12/2020 14:47:57.959"</f>
        <v>05/12/2020 14:47:57.959</v>
      </c>
      <c r="C3862" t="str">
        <f t="shared" ref="C3862:C3925" si="1786">"FFDFD3C0"</f>
        <v>FFDFD3C0</v>
      </c>
      <c r="D3862" t="s">
        <v>131</v>
      </c>
      <c r="E3862">
        <v>10</v>
      </c>
      <c r="F3862">
        <v>2010</v>
      </c>
      <c r="G3862" t="s">
        <v>132</v>
      </c>
      <c r="J3862" t="s">
        <v>133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 t="shared" ref="S3862:S3870" si="1787">"14:48:15.789"</f>
        <v>14:48:15.789</v>
      </c>
      <c r="T3862" t="str">
        <f t="shared" ref="T3862:T3870" si="1788">"14:48:15.389"</f>
        <v>14:48:15.389</v>
      </c>
      <c r="U3862" t="str">
        <f t="shared" si="1776"/>
        <v>A9808D</v>
      </c>
      <c r="V3862">
        <v>0</v>
      </c>
      <c r="W3862">
        <v>0</v>
      </c>
      <c r="X3862">
        <v>1</v>
      </c>
      <c r="Z3862">
        <v>0</v>
      </c>
      <c r="AA3862">
        <v>9</v>
      </c>
      <c r="AB3862">
        <v>3</v>
      </c>
      <c r="AC3862">
        <v>0</v>
      </c>
      <c r="AD3862">
        <v>10</v>
      </c>
      <c r="AE3862">
        <v>0</v>
      </c>
      <c r="AF3862">
        <v>3</v>
      </c>
      <c r="AG3862">
        <v>2</v>
      </c>
      <c r="AH3862">
        <v>0</v>
      </c>
      <c r="AI3862" t="s">
        <v>887</v>
      </c>
      <c r="AJ3862">
        <v>28.271041</v>
      </c>
      <c r="AK3862" t="s">
        <v>888</v>
      </c>
      <c r="AL3862">
        <v>-82.281997000000004</v>
      </c>
      <c r="AM3862">
        <v>100</v>
      </c>
      <c r="AN3862">
        <v>2200</v>
      </c>
      <c r="AO3862" t="s">
        <v>118</v>
      </c>
      <c r="AP3862">
        <v>-143</v>
      </c>
      <c r="AQ3862">
        <v>-23</v>
      </c>
      <c r="AR3862">
        <v>384</v>
      </c>
      <c r="AZ3862">
        <v>1200</v>
      </c>
      <c r="BA3862">
        <v>1</v>
      </c>
      <c r="BB3862" t="str">
        <f t="shared" ref="BB3862:BB3925" si="1789">"N711JA  "</f>
        <v xml:space="preserve">N711JA  </v>
      </c>
      <c r="BC3862">
        <v>1</v>
      </c>
      <c r="BE3862">
        <v>0</v>
      </c>
      <c r="BF3862">
        <v>0</v>
      </c>
      <c r="BG3862">
        <v>0</v>
      </c>
      <c r="BH3862">
        <v>2275</v>
      </c>
      <c r="BI3862">
        <v>1</v>
      </c>
      <c r="BJ3862">
        <v>1</v>
      </c>
      <c r="BK3862">
        <v>0</v>
      </c>
      <c r="BL3862">
        <v>0</v>
      </c>
      <c r="BO3862">
        <v>0</v>
      </c>
      <c r="BP3862">
        <v>0</v>
      </c>
      <c r="BW3862" t="str">
        <f t="shared" ref="BW3862:BW3870" si="1790">"14:48:15.793"</f>
        <v>14:48:15.793</v>
      </c>
      <c r="CJ3862">
        <v>0</v>
      </c>
      <c r="CK3862">
        <v>2</v>
      </c>
      <c r="CL3862">
        <v>0</v>
      </c>
      <c r="CM3862">
        <v>2</v>
      </c>
      <c r="CN3862">
        <v>0</v>
      </c>
      <c r="CO3862">
        <v>7</v>
      </c>
      <c r="CP3862" t="s">
        <v>119</v>
      </c>
      <c r="CQ3862">
        <v>8</v>
      </c>
      <c r="CR3862">
        <v>3</v>
      </c>
      <c r="CW3862">
        <v>9086154</v>
      </c>
      <c r="CY3862">
        <v>1</v>
      </c>
      <c r="CZ3862">
        <v>0</v>
      </c>
      <c r="DA3862">
        <v>0</v>
      </c>
      <c r="DB3862">
        <v>0</v>
      </c>
      <c r="DC3862">
        <v>0</v>
      </c>
      <c r="DD3862">
        <v>1</v>
      </c>
      <c r="DE3862">
        <v>0</v>
      </c>
      <c r="DF3862">
        <v>0</v>
      </c>
      <c r="DG3862">
        <v>0</v>
      </c>
      <c r="DH3862">
        <v>0</v>
      </c>
      <c r="DI3862">
        <v>0</v>
      </c>
    </row>
    <row r="3863" spans="1:113" x14ac:dyDescent="0.3">
      <c r="A3863" t="str">
        <f t="shared" si="1785"/>
        <v>05/12/2020 14:47:57.959</v>
      </c>
      <c r="C3863" t="str">
        <f t="shared" si="1786"/>
        <v>FFDFD3C0</v>
      </c>
      <c r="D3863" t="s">
        <v>126</v>
      </c>
      <c r="E3863">
        <v>7</v>
      </c>
      <c r="F3863">
        <v>1007</v>
      </c>
      <c r="G3863" t="s">
        <v>127</v>
      </c>
      <c r="J3863" t="s">
        <v>128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 t="shared" si="1787"/>
        <v>14:48:15.789</v>
      </c>
      <c r="T3863" t="str">
        <f t="shared" si="1788"/>
        <v>14:48:15.389</v>
      </c>
      <c r="U3863" t="str">
        <f t="shared" si="1776"/>
        <v>A9808D</v>
      </c>
      <c r="V3863">
        <v>0</v>
      </c>
      <c r="W3863">
        <v>0</v>
      </c>
      <c r="X3863">
        <v>1</v>
      </c>
      <c r="Z3863">
        <v>0</v>
      </c>
      <c r="AA3863">
        <v>9</v>
      </c>
      <c r="AB3863">
        <v>3</v>
      </c>
      <c r="AC3863">
        <v>0</v>
      </c>
      <c r="AD3863">
        <v>10</v>
      </c>
      <c r="AE3863">
        <v>0</v>
      </c>
      <c r="AF3863">
        <v>3</v>
      </c>
      <c r="AG3863">
        <v>2</v>
      </c>
      <c r="AH3863">
        <v>0</v>
      </c>
      <c r="AI3863" t="s">
        <v>887</v>
      </c>
      <c r="AJ3863">
        <v>28.271041</v>
      </c>
      <c r="AK3863" t="s">
        <v>888</v>
      </c>
      <c r="AL3863">
        <v>-82.281997000000004</v>
      </c>
      <c r="AM3863">
        <v>100</v>
      </c>
      <c r="AN3863">
        <v>2200</v>
      </c>
      <c r="AO3863" t="s">
        <v>118</v>
      </c>
      <c r="AP3863">
        <v>-143</v>
      </c>
      <c r="AQ3863">
        <v>-23</v>
      </c>
      <c r="AR3863">
        <v>384</v>
      </c>
      <c r="AZ3863">
        <v>1200</v>
      </c>
      <c r="BA3863">
        <v>1</v>
      </c>
      <c r="BB3863" t="str">
        <f t="shared" si="1789"/>
        <v xml:space="preserve">N711JA  </v>
      </c>
      <c r="BC3863">
        <v>1</v>
      </c>
      <c r="BE3863">
        <v>0</v>
      </c>
      <c r="BF3863">
        <v>0</v>
      </c>
      <c r="BG3863">
        <v>0</v>
      </c>
      <c r="BH3863">
        <v>2275</v>
      </c>
      <c r="BI3863">
        <v>1</v>
      </c>
      <c r="BJ3863">
        <v>1</v>
      </c>
      <c r="BK3863">
        <v>0</v>
      </c>
      <c r="BL3863">
        <v>0</v>
      </c>
      <c r="BO3863">
        <v>0</v>
      </c>
      <c r="BP3863">
        <v>0</v>
      </c>
      <c r="BW3863" t="str">
        <f t="shared" si="1790"/>
        <v>14:48:15.793</v>
      </c>
      <c r="CJ3863">
        <v>0</v>
      </c>
      <c r="CK3863">
        <v>2</v>
      </c>
      <c r="CL3863">
        <v>0</v>
      </c>
      <c r="CM3863">
        <v>2</v>
      </c>
      <c r="CN3863">
        <v>0</v>
      </c>
      <c r="CO3863">
        <v>7</v>
      </c>
      <c r="CP3863" t="s">
        <v>119</v>
      </c>
      <c r="CQ3863">
        <v>8</v>
      </c>
      <c r="CR3863">
        <v>3</v>
      </c>
      <c r="CW3863">
        <v>9086154</v>
      </c>
      <c r="CY3863">
        <v>1</v>
      </c>
      <c r="CZ3863">
        <v>0</v>
      </c>
      <c r="DA3863">
        <v>1</v>
      </c>
      <c r="DB3863">
        <v>0</v>
      </c>
      <c r="DC3863">
        <v>0</v>
      </c>
      <c r="DD3863">
        <v>1</v>
      </c>
      <c r="DE3863">
        <v>0</v>
      </c>
      <c r="DF3863">
        <v>0</v>
      </c>
      <c r="DG3863">
        <v>0</v>
      </c>
      <c r="DH3863">
        <v>0</v>
      </c>
      <c r="DI3863">
        <v>0</v>
      </c>
    </row>
    <row r="3864" spans="1:113" x14ac:dyDescent="0.3">
      <c r="A3864" t="str">
        <f t="shared" si="1785"/>
        <v>05/12/2020 14:47:57.959</v>
      </c>
      <c r="C3864" t="str">
        <f t="shared" si="1786"/>
        <v>FFDFD3C0</v>
      </c>
      <c r="D3864" t="s">
        <v>131</v>
      </c>
      <c r="E3864">
        <v>12</v>
      </c>
      <c r="F3864">
        <v>2012</v>
      </c>
      <c r="G3864" t="s">
        <v>137</v>
      </c>
      <c r="J3864" t="s">
        <v>133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 t="shared" si="1787"/>
        <v>14:48:15.789</v>
      </c>
      <c r="T3864" t="str">
        <f t="shared" si="1788"/>
        <v>14:48:15.389</v>
      </c>
      <c r="U3864" t="str">
        <f t="shared" si="1776"/>
        <v>A9808D</v>
      </c>
      <c r="V3864">
        <v>0</v>
      </c>
      <c r="W3864">
        <v>0</v>
      </c>
      <c r="X3864">
        <v>1</v>
      </c>
      <c r="Z3864">
        <v>0</v>
      </c>
      <c r="AA3864">
        <v>9</v>
      </c>
      <c r="AB3864">
        <v>3</v>
      </c>
      <c r="AC3864">
        <v>0</v>
      </c>
      <c r="AD3864">
        <v>10</v>
      </c>
      <c r="AE3864">
        <v>0</v>
      </c>
      <c r="AF3864">
        <v>3</v>
      </c>
      <c r="AG3864">
        <v>2</v>
      </c>
      <c r="AH3864">
        <v>0</v>
      </c>
      <c r="AI3864" t="s">
        <v>887</v>
      </c>
      <c r="AJ3864">
        <v>28.271041</v>
      </c>
      <c r="AK3864" t="s">
        <v>888</v>
      </c>
      <c r="AL3864">
        <v>-82.281997000000004</v>
      </c>
      <c r="AM3864">
        <v>100</v>
      </c>
      <c r="AN3864">
        <v>2200</v>
      </c>
      <c r="AO3864" t="s">
        <v>118</v>
      </c>
      <c r="AP3864">
        <v>-143</v>
      </c>
      <c r="AQ3864">
        <v>-23</v>
      </c>
      <c r="AR3864">
        <v>384</v>
      </c>
      <c r="AZ3864">
        <v>1200</v>
      </c>
      <c r="BA3864">
        <v>1</v>
      </c>
      <c r="BB3864" t="str">
        <f t="shared" si="1789"/>
        <v xml:space="preserve">N711JA  </v>
      </c>
      <c r="BC3864">
        <v>1</v>
      </c>
      <c r="BE3864">
        <v>0</v>
      </c>
      <c r="BF3864">
        <v>0</v>
      </c>
      <c r="BG3864">
        <v>0</v>
      </c>
      <c r="BH3864">
        <v>2275</v>
      </c>
      <c r="BI3864">
        <v>1</v>
      </c>
      <c r="BJ3864">
        <v>1</v>
      </c>
      <c r="BK3864">
        <v>0</v>
      </c>
      <c r="BL3864">
        <v>0</v>
      </c>
      <c r="BO3864">
        <v>0</v>
      </c>
      <c r="BP3864">
        <v>0</v>
      </c>
      <c r="BW3864" t="str">
        <f t="shared" si="1790"/>
        <v>14:48:15.793</v>
      </c>
      <c r="CJ3864">
        <v>0</v>
      </c>
      <c r="CK3864">
        <v>2</v>
      </c>
      <c r="CL3864">
        <v>0</v>
      </c>
      <c r="CM3864">
        <v>2</v>
      </c>
      <c r="CN3864">
        <v>0</v>
      </c>
      <c r="CO3864">
        <v>7</v>
      </c>
      <c r="CP3864" t="s">
        <v>119</v>
      </c>
      <c r="CQ3864">
        <v>8</v>
      </c>
      <c r="CR3864">
        <v>3</v>
      </c>
      <c r="CW3864">
        <v>9086154</v>
      </c>
      <c r="CY3864">
        <v>1</v>
      </c>
      <c r="CZ3864">
        <v>0</v>
      </c>
      <c r="DA3864">
        <v>1</v>
      </c>
      <c r="DB3864">
        <v>0</v>
      </c>
      <c r="DC3864">
        <v>0</v>
      </c>
      <c r="DD3864">
        <v>1</v>
      </c>
      <c r="DE3864">
        <v>0</v>
      </c>
      <c r="DF3864">
        <v>0</v>
      </c>
      <c r="DG3864">
        <v>0</v>
      </c>
      <c r="DH3864">
        <v>0</v>
      </c>
      <c r="DI3864">
        <v>0</v>
      </c>
    </row>
    <row r="3865" spans="1:113" x14ac:dyDescent="0.3">
      <c r="A3865" t="str">
        <f t="shared" si="1785"/>
        <v>05/12/2020 14:47:57.959</v>
      </c>
      <c r="C3865" t="str">
        <f t="shared" si="1786"/>
        <v>FFDFD3C0</v>
      </c>
      <c r="D3865" t="s">
        <v>131</v>
      </c>
      <c r="E3865">
        <v>18</v>
      </c>
      <c r="F3865">
        <v>2018</v>
      </c>
      <c r="G3865" t="s">
        <v>161</v>
      </c>
      <c r="J3865" t="s">
        <v>133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 t="shared" si="1787"/>
        <v>14:48:15.789</v>
      </c>
      <c r="T3865" t="str">
        <f t="shared" si="1788"/>
        <v>14:48:15.389</v>
      </c>
      <c r="U3865" t="str">
        <f t="shared" si="1776"/>
        <v>A9808D</v>
      </c>
      <c r="V3865">
        <v>0</v>
      </c>
      <c r="W3865">
        <v>0</v>
      </c>
      <c r="X3865">
        <v>1</v>
      </c>
      <c r="Z3865">
        <v>0</v>
      </c>
      <c r="AA3865">
        <v>9</v>
      </c>
      <c r="AB3865">
        <v>3</v>
      </c>
      <c r="AC3865">
        <v>0</v>
      </c>
      <c r="AD3865">
        <v>10</v>
      </c>
      <c r="AE3865">
        <v>0</v>
      </c>
      <c r="AF3865">
        <v>3</v>
      </c>
      <c r="AG3865">
        <v>2</v>
      </c>
      <c r="AH3865">
        <v>0</v>
      </c>
      <c r="AI3865" t="s">
        <v>887</v>
      </c>
      <c r="AJ3865">
        <v>28.271041</v>
      </c>
      <c r="AK3865" t="s">
        <v>888</v>
      </c>
      <c r="AL3865">
        <v>-82.281997000000004</v>
      </c>
      <c r="AM3865">
        <v>100</v>
      </c>
      <c r="AN3865">
        <v>2200</v>
      </c>
      <c r="AO3865" t="s">
        <v>118</v>
      </c>
      <c r="AP3865">
        <v>-143</v>
      </c>
      <c r="AQ3865">
        <v>-23</v>
      </c>
      <c r="AR3865">
        <v>384</v>
      </c>
      <c r="AZ3865">
        <v>1200</v>
      </c>
      <c r="BA3865">
        <v>1</v>
      </c>
      <c r="BB3865" t="str">
        <f t="shared" si="1789"/>
        <v xml:space="preserve">N711JA  </v>
      </c>
      <c r="BC3865">
        <v>1</v>
      </c>
      <c r="BE3865">
        <v>0</v>
      </c>
      <c r="BF3865">
        <v>0</v>
      </c>
      <c r="BG3865">
        <v>0</v>
      </c>
      <c r="BH3865">
        <v>2275</v>
      </c>
      <c r="BI3865">
        <v>1</v>
      </c>
      <c r="BJ3865">
        <v>1</v>
      </c>
      <c r="BK3865">
        <v>0</v>
      </c>
      <c r="BL3865">
        <v>0</v>
      </c>
      <c r="BO3865">
        <v>0</v>
      </c>
      <c r="BP3865">
        <v>0</v>
      </c>
      <c r="BW3865" t="str">
        <f t="shared" si="1790"/>
        <v>14:48:15.793</v>
      </c>
      <c r="CJ3865">
        <v>0</v>
      </c>
      <c r="CK3865">
        <v>2</v>
      </c>
      <c r="CL3865">
        <v>0</v>
      </c>
      <c r="CM3865">
        <v>2</v>
      </c>
      <c r="CN3865">
        <v>0</v>
      </c>
      <c r="CO3865">
        <v>5</v>
      </c>
      <c r="CP3865" t="s">
        <v>119</v>
      </c>
      <c r="CQ3865">
        <v>62</v>
      </c>
      <c r="CR3865">
        <v>1</v>
      </c>
      <c r="CW3865">
        <v>12976446</v>
      </c>
      <c r="CY3865">
        <v>1</v>
      </c>
      <c r="CZ3865">
        <v>0</v>
      </c>
      <c r="DA3865">
        <v>1</v>
      </c>
      <c r="DB3865">
        <v>0</v>
      </c>
      <c r="DC3865">
        <v>0</v>
      </c>
      <c r="DD3865">
        <v>1</v>
      </c>
      <c r="DE3865">
        <v>0</v>
      </c>
      <c r="DF3865">
        <v>0</v>
      </c>
      <c r="DG3865">
        <v>0</v>
      </c>
      <c r="DH3865">
        <v>0</v>
      </c>
      <c r="DI3865">
        <v>0</v>
      </c>
    </row>
    <row r="3866" spans="1:113" x14ac:dyDescent="0.3">
      <c r="A3866" t="str">
        <f t="shared" si="1785"/>
        <v>05/12/2020 14:47:57.959</v>
      </c>
      <c r="C3866" t="str">
        <f t="shared" si="1786"/>
        <v>FFDFD3C0</v>
      </c>
      <c r="D3866" t="s">
        <v>113</v>
      </c>
      <c r="E3866">
        <v>3</v>
      </c>
      <c r="H3866">
        <v>164</v>
      </c>
      <c r="I3866" t="s">
        <v>114</v>
      </c>
      <c r="J3866" t="s">
        <v>115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 t="shared" si="1787"/>
        <v>14:48:15.789</v>
      </c>
      <c r="T3866" t="str">
        <f t="shared" si="1788"/>
        <v>14:48:15.389</v>
      </c>
      <c r="U3866" t="str">
        <f t="shared" si="1776"/>
        <v>A9808D</v>
      </c>
      <c r="V3866">
        <v>0</v>
      </c>
      <c r="W3866">
        <v>0</v>
      </c>
      <c r="X3866">
        <v>1</v>
      </c>
      <c r="Z3866">
        <v>0</v>
      </c>
      <c r="AA3866">
        <v>9</v>
      </c>
      <c r="AB3866">
        <v>3</v>
      </c>
      <c r="AC3866">
        <v>0</v>
      </c>
      <c r="AD3866">
        <v>10</v>
      </c>
      <c r="AE3866">
        <v>0</v>
      </c>
      <c r="AF3866">
        <v>3</v>
      </c>
      <c r="AG3866">
        <v>2</v>
      </c>
      <c r="AH3866">
        <v>0</v>
      </c>
      <c r="AI3866" t="s">
        <v>887</v>
      </c>
      <c r="AJ3866">
        <v>28.271041</v>
      </c>
      <c r="AK3866" t="s">
        <v>888</v>
      </c>
      <c r="AL3866">
        <v>-82.281997000000004</v>
      </c>
      <c r="AM3866">
        <v>100</v>
      </c>
      <c r="AN3866">
        <v>2200</v>
      </c>
      <c r="AO3866" t="s">
        <v>118</v>
      </c>
      <c r="AP3866">
        <v>-143</v>
      </c>
      <c r="AQ3866">
        <v>-23</v>
      </c>
      <c r="AR3866">
        <v>384</v>
      </c>
      <c r="AZ3866">
        <v>1200</v>
      </c>
      <c r="BA3866">
        <v>1</v>
      </c>
      <c r="BB3866" t="str">
        <f t="shared" si="1789"/>
        <v xml:space="preserve">N711JA  </v>
      </c>
      <c r="BC3866">
        <v>1</v>
      </c>
      <c r="BE3866">
        <v>0</v>
      </c>
      <c r="BF3866">
        <v>0</v>
      </c>
      <c r="BG3866">
        <v>0</v>
      </c>
      <c r="BH3866">
        <v>2275</v>
      </c>
      <c r="BI3866">
        <v>1</v>
      </c>
      <c r="BJ3866">
        <v>1</v>
      </c>
      <c r="BK3866">
        <v>0</v>
      </c>
      <c r="BL3866">
        <v>0</v>
      </c>
      <c r="BO3866">
        <v>0</v>
      </c>
      <c r="BP3866">
        <v>0</v>
      </c>
      <c r="BW3866" t="str">
        <f t="shared" si="1790"/>
        <v>14:48:15.793</v>
      </c>
      <c r="CJ3866">
        <v>0</v>
      </c>
      <c r="CK3866">
        <v>2</v>
      </c>
      <c r="CL3866">
        <v>0</v>
      </c>
      <c r="CM3866">
        <v>2</v>
      </c>
      <c r="CN3866">
        <v>0</v>
      </c>
      <c r="CO3866">
        <v>7</v>
      </c>
      <c r="CP3866" t="s">
        <v>119</v>
      </c>
      <c r="CQ3866">
        <v>8</v>
      </c>
      <c r="CR3866">
        <v>3</v>
      </c>
      <c r="CW3866">
        <v>9086154</v>
      </c>
      <c r="CY3866">
        <v>1</v>
      </c>
      <c r="CZ3866">
        <v>0</v>
      </c>
      <c r="DA3866">
        <v>1</v>
      </c>
      <c r="DB3866">
        <v>0</v>
      </c>
      <c r="DC3866">
        <v>0</v>
      </c>
      <c r="DD3866">
        <v>1</v>
      </c>
      <c r="DE3866">
        <v>0</v>
      </c>
      <c r="DF3866">
        <v>0</v>
      </c>
      <c r="DG3866">
        <v>0</v>
      </c>
      <c r="DH3866">
        <v>0</v>
      </c>
      <c r="DI3866">
        <v>0</v>
      </c>
    </row>
    <row r="3867" spans="1:113" x14ac:dyDescent="0.3">
      <c r="A3867" t="str">
        <f t="shared" si="1785"/>
        <v>05/12/2020 14:47:57.959</v>
      </c>
      <c r="C3867" t="str">
        <f t="shared" si="1786"/>
        <v>FFDFD3C0</v>
      </c>
      <c r="D3867" t="s">
        <v>134</v>
      </c>
      <c r="E3867">
        <v>12</v>
      </c>
      <c r="H3867">
        <v>64</v>
      </c>
      <c r="I3867" t="s">
        <v>135</v>
      </c>
      <c r="J3867" t="s">
        <v>136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 t="shared" si="1787"/>
        <v>14:48:15.789</v>
      </c>
      <c r="T3867" t="str">
        <f t="shared" si="1788"/>
        <v>14:48:15.389</v>
      </c>
      <c r="U3867" t="str">
        <f t="shared" si="1776"/>
        <v>A9808D</v>
      </c>
      <c r="V3867">
        <v>0</v>
      </c>
      <c r="W3867">
        <v>0</v>
      </c>
      <c r="X3867">
        <v>1</v>
      </c>
      <c r="Z3867">
        <v>0</v>
      </c>
      <c r="AA3867">
        <v>9</v>
      </c>
      <c r="AB3867">
        <v>3</v>
      </c>
      <c r="AC3867">
        <v>0</v>
      </c>
      <c r="AD3867">
        <v>10</v>
      </c>
      <c r="AE3867">
        <v>0</v>
      </c>
      <c r="AF3867">
        <v>3</v>
      </c>
      <c r="AG3867">
        <v>2</v>
      </c>
      <c r="AH3867">
        <v>0</v>
      </c>
      <c r="AI3867" t="s">
        <v>887</v>
      </c>
      <c r="AJ3867">
        <v>28.271041</v>
      </c>
      <c r="AK3867" t="s">
        <v>888</v>
      </c>
      <c r="AL3867">
        <v>-82.281997000000004</v>
      </c>
      <c r="AM3867">
        <v>100</v>
      </c>
      <c r="AN3867">
        <v>2200</v>
      </c>
      <c r="AO3867" t="s">
        <v>118</v>
      </c>
      <c r="AP3867">
        <v>-143</v>
      </c>
      <c r="AQ3867">
        <v>-23</v>
      </c>
      <c r="AR3867">
        <v>384</v>
      </c>
      <c r="AZ3867">
        <v>1200</v>
      </c>
      <c r="BA3867">
        <v>1</v>
      </c>
      <c r="BB3867" t="str">
        <f t="shared" si="1789"/>
        <v xml:space="preserve">N711JA  </v>
      </c>
      <c r="BC3867">
        <v>1</v>
      </c>
      <c r="BE3867">
        <v>0</v>
      </c>
      <c r="BF3867">
        <v>0</v>
      </c>
      <c r="BG3867">
        <v>0</v>
      </c>
      <c r="BH3867">
        <v>2275</v>
      </c>
      <c r="BI3867">
        <v>1</v>
      </c>
      <c r="BJ3867">
        <v>1</v>
      </c>
      <c r="BK3867">
        <v>0</v>
      </c>
      <c r="BL3867">
        <v>0</v>
      </c>
      <c r="BO3867">
        <v>0</v>
      </c>
      <c r="BP3867">
        <v>0</v>
      </c>
      <c r="BW3867" t="str">
        <f t="shared" si="1790"/>
        <v>14:48:15.793</v>
      </c>
      <c r="CJ3867">
        <v>0</v>
      </c>
      <c r="CK3867">
        <v>2</v>
      </c>
      <c r="CL3867">
        <v>0</v>
      </c>
      <c r="CM3867">
        <v>2</v>
      </c>
      <c r="CN3867">
        <v>0</v>
      </c>
      <c r="CO3867">
        <v>7</v>
      </c>
      <c r="CP3867" t="s">
        <v>119</v>
      </c>
      <c r="CQ3867">
        <v>8</v>
      </c>
      <c r="CR3867">
        <v>3</v>
      </c>
      <c r="CW3867">
        <v>9086154</v>
      </c>
      <c r="CY3867">
        <v>1</v>
      </c>
      <c r="CZ3867">
        <v>0</v>
      </c>
      <c r="DA3867">
        <v>1</v>
      </c>
      <c r="DB3867">
        <v>0</v>
      </c>
      <c r="DC3867">
        <v>0</v>
      </c>
      <c r="DD3867">
        <v>1</v>
      </c>
      <c r="DE3867">
        <v>0</v>
      </c>
      <c r="DF3867">
        <v>0</v>
      </c>
      <c r="DG3867">
        <v>0</v>
      </c>
      <c r="DH3867">
        <v>0</v>
      </c>
      <c r="DI3867">
        <v>0</v>
      </c>
    </row>
    <row r="3868" spans="1:113" x14ac:dyDescent="0.3">
      <c r="A3868" t="str">
        <f t="shared" si="1785"/>
        <v>05/12/2020 14:47:57.959</v>
      </c>
      <c r="C3868" t="str">
        <f t="shared" si="1786"/>
        <v>FFDFD3C0</v>
      </c>
      <c r="D3868" t="s">
        <v>126</v>
      </c>
      <c r="E3868">
        <v>6</v>
      </c>
      <c r="F3868">
        <v>1006</v>
      </c>
      <c r="G3868" t="s">
        <v>114</v>
      </c>
      <c r="J3868" t="s">
        <v>128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 t="shared" si="1787"/>
        <v>14:48:15.789</v>
      </c>
      <c r="T3868" t="str">
        <f t="shared" si="1788"/>
        <v>14:48:15.389</v>
      </c>
      <c r="U3868" t="str">
        <f t="shared" si="1776"/>
        <v>A9808D</v>
      </c>
      <c r="V3868">
        <v>0</v>
      </c>
      <c r="W3868">
        <v>0</v>
      </c>
      <c r="X3868">
        <v>1</v>
      </c>
      <c r="Z3868">
        <v>0</v>
      </c>
      <c r="AA3868">
        <v>9</v>
      </c>
      <c r="AB3868">
        <v>3</v>
      </c>
      <c r="AC3868">
        <v>0</v>
      </c>
      <c r="AD3868">
        <v>10</v>
      </c>
      <c r="AE3868">
        <v>0</v>
      </c>
      <c r="AF3868">
        <v>3</v>
      </c>
      <c r="AG3868">
        <v>2</v>
      </c>
      <c r="AH3868">
        <v>0</v>
      </c>
      <c r="AI3868" t="s">
        <v>887</v>
      </c>
      <c r="AJ3868">
        <v>28.271041</v>
      </c>
      <c r="AK3868" t="s">
        <v>888</v>
      </c>
      <c r="AL3868">
        <v>-82.281997000000004</v>
      </c>
      <c r="AM3868">
        <v>100</v>
      </c>
      <c r="AN3868">
        <v>2200</v>
      </c>
      <c r="AO3868" t="s">
        <v>118</v>
      </c>
      <c r="AP3868">
        <v>-143</v>
      </c>
      <c r="AQ3868">
        <v>-23</v>
      </c>
      <c r="AR3868">
        <v>384</v>
      </c>
      <c r="AZ3868">
        <v>1200</v>
      </c>
      <c r="BA3868">
        <v>1</v>
      </c>
      <c r="BB3868" t="str">
        <f t="shared" si="1789"/>
        <v xml:space="preserve">N711JA  </v>
      </c>
      <c r="BC3868">
        <v>1</v>
      </c>
      <c r="BE3868">
        <v>0</v>
      </c>
      <c r="BF3868">
        <v>0</v>
      </c>
      <c r="BG3868">
        <v>0</v>
      </c>
      <c r="BH3868">
        <v>2275</v>
      </c>
      <c r="BI3868">
        <v>1</v>
      </c>
      <c r="BJ3868">
        <v>1</v>
      </c>
      <c r="BK3868">
        <v>0</v>
      </c>
      <c r="BL3868">
        <v>0</v>
      </c>
      <c r="BO3868">
        <v>0</v>
      </c>
      <c r="BP3868">
        <v>0</v>
      </c>
      <c r="BW3868" t="str">
        <f t="shared" si="1790"/>
        <v>14:48:15.793</v>
      </c>
      <c r="CJ3868">
        <v>0</v>
      </c>
      <c r="CK3868">
        <v>2</v>
      </c>
      <c r="CL3868">
        <v>0</v>
      </c>
      <c r="CM3868">
        <v>2</v>
      </c>
      <c r="CN3868">
        <v>0</v>
      </c>
      <c r="CO3868">
        <v>7</v>
      </c>
      <c r="CP3868" t="s">
        <v>119</v>
      </c>
      <c r="CQ3868">
        <v>8</v>
      </c>
      <c r="CR3868">
        <v>3</v>
      </c>
      <c r="CW3868">
        <v>9086154</v>
      </c>
      <c r="CY3868">
        <v>1</v>
      </c>
      <c r="CZ3868">
        <v>0</v>
      </c>
      <c r="DA3868">
        <v>1</v>
      </c>
      <c r="DB3868">
        <v>0</v>
      </c>
      <c r="DC3868">
        <v>0</v>
      </c>
      <c r="DD3868">
        <v>1</v>
      </c>
      <c r="DE3868">
        <v>0</v>
      </c>
      <c r="DF3868">
        <v>0</v>
      </c>
      <c r="DG3868">
        <v>0</v>
      </c>
      <c r="DH3868">
        <v>0</v>
      </c>
      <c r="DI3868">
        <v>0</v>
      </c>
    </row>
    <row r="3869" spans="1:113" x14ac:dyDescent="0.3">
      <c r="A3869" t="str">
        <f t="shared" si="1785"/>
        <v>05/12/2020 14:47:57.959</v>
      </c>
      <c r="C3869" t="str">
        <f t="shared" si="1786"/>
        <v>FFDFD3C0</v>
      </c>
      <c r="D3869" t="s">
        <v>138</v>
      </c>
      <c r="E3869">
        <v>2</v>
      </c>
      <c r="H3869">
        <v>8</v>
      </c>
      <c r="I3869" t="s">
        <v>139</v>
      </c>
      <c r="J3869" t="s">
        <v>136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 t="shared" si="1787"/>
        <v>14:48:15.789</v>
      </c>
      <c r="T3869" t="str">
        <f t="shared" si="1788"/>
        <v>14:48:15.389</v>
      </c>
      <c r="U3869" t="str">
        <f t="shared" si="1776"/>
        <v>A9808D</v>
      </c>
      <c r="V3869">
        <v>0</v>
      </c>
      <c r="W3869">
        <v>0</v>
      </c>
      <c r="X3869">
        <v>1</v>
      </c>
      <c r="Z3869">
        <v>0</v>
      </c>
      <c r="AA3869">
        <v>9</v>
      </c>
      <c r="AB3869">
        <v>3</v>
      </c>
      <c r="AC3869">
        <v>0</v>
      </c>
      <c r="AD3869">
        <v>10</v>
      </c>
      <c r="AE3869">
        <v>0</v>
      </c>
      <c r="AF3869">
        <v>3</v>
      </c>
      <c r="AG3869">
        <v>2</v>
      </c>
      <c r="AH3869">
        <v>0</v>
      </c>
      <c r="AI3869" t="s">
        <v>887</v>
      </c>
      <c r="AJ3869">
        <v>28.271041</v>
      </c>
      <c r="AK3869" t="s">
        <v>888</v>
      </c>
      <c r="AL3869">
        <v>-82.281997000000004</v>
      </c>
      <c r="AM3869">
        <v>100</v>
      </c>
      <c r="AN3869">
        <v>2200</v>
      </c>
      <c r="AO3869" t="s">
        <v>118</v>
      </c>
      <c r="AP3869">
        <v>-143</v>
      </c>
      <c r="AQ3869">
        <v>-23</v>
      </c>
      <c r="AR3869">
        <v>384</v>
      </c>
      <c r="AZ3869">
        <v>1200</v>
      </c>
      <c r="BA3869">
        <v>1</v>
      </c>
      <c r="BB3869" t="str">
        <f t="shared" si="1789"/>
        <v xml:space="preserve">N711JA  </v>
      </c>
      <c r="BC3869">
        <v>1</v>
      </c>
      <c r="BE3869">
        <v>0</v>
      </c>
      <c r="BF3869">
        <v>0</v>
      </c>
      <c r="BG3869">
        <v>0</v>
      </c>
      <c r="BH3869">
        <v>2275</v>
      </c>
      <c r="BI3869">
        <v>1</v>
      </c>
      <c r="BJ3869">
        <v>1</v>
      </c>
      <c r="BK3869">
        <v>0</v>
      </c>
      <c r="BL3869">
        <v>0</v>
      </c>
      <c r="BO3869">
        <v>0</v>
      </c>
      <c r="BP3869">
        <v>0</v>
      </c>
      <c r="BW3869" t="str">
        <f t="shared" si="1790"/>
        <v>14:48:15.793</v>
      </c>
      <c r="CJ3869">
        <v>0</v>
      </c>
      <c r="CK3869">
        <v>2</v>
      </c>
      <c r="CL3869">
        <v>0</v>
      </c>
      <c r="CM3869">
        <v>2</v>
      </c>
      <c r="CN3869">
        <v>0</v>
      </c>
      <c r="CO3869">
        <v>7</v>
      </c>
      <c r="CP3869" t="s">
        <v>119</v>
      </c>
      <c r="CQ3869">
        <v>8</v>
      </c>
      <c r="CR3869">
        <v>3</v>
      </c>
      <c r="CW3869">
        <v>9086154</v>
      </c>
      <c r="CY3869">
        <v>1</v>
      </c>
      <c r="CZ3869">
        <v>0</v>
      </c>
      <c r="DA3869">
        <v>1</v>
      </c>
      <c r="DB3869">
        <v>0</v>
      </c>
      <c r="DC3869">
        <v>0</v>
      </c>
      <c r="DD3869">
        <v>1</v>
      </c>
      <c r="DE3869">
        <v>0</v>
      </c>
      <c r="DF3869">
        <v>0</v>
      </c>
      <c r="DG3869">
        <v>0</v>
      </c>
      <c r="DH3869">
        <v>0</v>
      </c>
      <c r="DI3869">
        <v>0</v>
      </c>
    </row>
    <row r="3870" spans="1:113" x14ac:dyDescent="0.3">
      <c r="A3870" t="str">
        <f t="shared" si="1785"/>
        <v>05/12/2020 14:47:57.959</v>
      </c>
      <c r="C3870" t="str">
        <f t="shared" si="1786"/>
        <v>FFDFD3C0</v>
      </c>
      <c r="D3870" t="s">
        <v>138</v>
      </c>
      <c r="E3870">
        <v>3</v>
      </c>
      <c r="H3870">
        <v>9</v>
      </c>
      <c r="I3870" t="s">
        <v>140</v>
      </c>
      <c r="J3870" t="s">
        <v>136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 t="shared" si="1787"/>
        <v>14:48:15.789</v>
      </c>
      <c r="T3870" t="str">
        <f t="shared" si="1788"/>
        <v>14:48:15.389</v>
      </c>
      <c r="U3870" t="str">
        <f t="shared" si="1776"/>
        <v>A9808D</v>
      </c>
      <c r="V3870">
        <v>0</v>
      </c>
      <c r="W3870">
        <v>0</v>
      </c>
      <c r="X3870">
        <v>1</v>
      </c>
      <c r="Z3870">
        <v>0</v>
      </c>
      <c r="AA3870">
        <v>9</v>
      </c>
      <c r="AB3870">
        <v>3</v>
      </c>
      <c r="AC3870">
        <v>0</v>
      </c>
      <c r="AD3870">
        <v>10</v>
      </c>
      <c r="AE3870">
        <v>0</v>
      </c>
      <c r="AF3870">
        <v>3</v>
      </c>
      <c r="AG3870">
        <v>2</v>
      </c>
      <c r="AH3870">
        <v>0</v>
      </c>
      <c r="AI3870" t="s">
        <v>887</v>
      </c>
      <c r="AJ3870">
        <v>28.271041</v>
      </c>
      <c r="AK3870" t="s">
        <v>888</v>
      </c>
      <c r="AL3870">
        <v>-82.281997000000004</v>
      </c>
      <c r="AM3870">
        <v>100</v>
      </c>
      <c r="AN3870">
        <v>2200</v>
      </c>
      <c r="AO3870" t="s">
        <v>118</v>
      </c>
      <c r="AP3870">
        <v>-143</v>
      </c>
      <c r="AQ3870">
        <v>-23</v>
      </c>
      <c r="AR3870">
        <v>384</v>
      </c>
      <c r="AZ3870">
        <v>1200</v>
      </c>
      <c r="BA3870">
        <v>1</v>
      </c>
      <c r="BB3870" t="str">
        <f t="shared" si="1789"/>
        <v xml:space="preserve">N711JA  </v>
      </c>
      <c r="BC3870">
        <v>1</v>
      </c>
      <c r="BE3870">
        <v>0</v>
      </c>
      <c r="BF3870">
        <v>0</v>
      </c>
      <c r="BG3870">
        <v>0</v>
      </c>
      <c r="BH3870">
        <v>2275</v>
      </c>
      <c r="BI3870">
        <v>1</v>
      </c>
      <c r="BJ3870">
        <v>1</v>
      </c>
      <c r="BK3870">
        <v>0</v>
      </c>
      <c r="BL3870">
        <v>0</v>
      </c>
      <c r="BO3870">
        <v>0</v>
      </c>
      <c r="BP3870">
        <v>0</v>
      </c>
      <c r="BW3870" t="str">
        <f t="shared" si="1790"/>
        <v>14:48:15.793</v>
      </c>
      <c r="CJ3870">
        <v>0</v>
      </c>
      <c r="CK3870">
        <v>2</v>
      </c>
      <c r="CL3870">
        <v>0</v>
      </c>
      <c r="CM3870">
        <v>2</v>
      </c>
      <c r="CN3870">
        <v>0</v>
      </c>
      <c r="CO3870">
        <v>7</v>
      </c>
      <c r="CP3870" t="s">
        <v>119</v>
      </c>
      <c r="CQ3870">
        <v>8</v>
      </c>
      <c r="CR3870">
        <v>3</v>
      </c>
      <c r="CW3870">
        <v>9086154</v>
      </c>
      <c r="CY3870">
        <v>1</v>
      </c>
      <c r="CZ3870">
        <v>0</v>
      </c>
      <c r="DA3870">
        <v>1</v>
      </c>
      <c r="DB3870">
        <v>0</v>
      </c>
      <c r="DC3870">
        <v>0</v>
      </c>
      <c r="DD3870">
        <v>1</v>
      </c>
      <c r="DE3870">
        <v>0</v>
      </c>
      <c r="DF3870">
        <v>0</v>
      </c>
      <c r="DG3870">
        <v>0</v>
      </c>
      <c r="DH3870">
        <v>0</v>
      </c>
      <c r="DI3870">
        <v>0</v>
      </c>
    </row>
    <row r="3871" spans="1:113" x14ac:dyDescent="0.3">
      <c r="A3871" t="str">
        <f t="shared" ref="A3871:A3879" si="1791">"05/12/2020 14:47:58.866"</f>
        <v>05/12/2020 14:47:58.866</v>
      </c>
      <c r="C3871" t="str">
        <f t="shared" si="1786"/>
        <v>FFDFD3C0</v>
      </c>
      <c r="D3871" t="s">
        <v>131</v>
      </c>
      <c r="E3871">
        <v>12</v>
      </c>
      <c r="F3871">
        <v>2012</v>
      </c>
      <c r="G3871" t="s">
        <v>137</v>
      </c>
      <c r="J3871" t="s">
        <v>133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 t="shared" ref="S3871:S3879" si="1792">"14:48:16.688"</f>
        <v>14:48:16.688</v>
      </c>
      <c r="T3871" t="str">
        <f t="shared" ref="T3871:T3879" si="1793">"14:48:16.488"</f>
        <v>14:48:16.488</v>
      </c>
      <c r="U3871" t="str">
        <f t="shared" si="1776"/>
        <v>A9808D</v>
      </c>
      <c r="V3871">
        <v>0</v>
      </c>
      <c r="W3871">
        <v>0</v>
      </c>
      <c r="X3871">
        <v>1</v>
      </c>
      <c r="Z3871">
        <v>0</v>
      </c>
      <c r="AA3871">
        <v>9</v>
      </c>
      <c r="AB3871">
        <v>3</v>
      </c>
      <c r="AC3871">
        <v>0</v>
      </c>
      <c r="AD3871">
        <v>10</v>
      </c>
      <c r="AE3871">
        <v>0</v>
      </c>
      <c r="AF3871">
        <v>3</v>
      </c>
      <c r="AG3871">
        <v>2</v>
      </c>
      <c r="AH3871">
        <v>0</v>
      </c>
      <c r="AI3871" t="s">
        <v>889</v>
      </c>
      <c r="AJ3871">
        <v>28.270890999999999</v>
      </c>
      <c r="AK3871" t="s">
        <v>890</v>
      </c>
      <c r="AL3871">
        <v>-82.282640999999998</v>
      </c>
      <c r="AM3871">
        <v>100</v>
      </c>
      <c r="AN3871">
        <v>2300</v>
      </c>
      <c r="AO3871" t="s">
        <v>118</v>
      </c>
      <c r="AP3871">
        <v>-142</v>
      </c>
      <c r="AQ3871">
        <v>-27</v>
      </c>
      <c r="AR3871">
        <v>384</v>
      </c>
      <c r="AZ3871">
        <v>1200</v>
      </c>
      <c r="BA3871">
        <v>1</v>
      </c>
      <c r="BB3871" t="str">
        <f t="shared" si="1789"/>
        <v xml:space="preserve">N711JA  </v>
      </c>
      <c r="BC3871">
        <v>1</v>
      </c>
      <c r="BE3871">
        <v>0</v>
      </c>
      <c r="BF3871">
        <v>0</v>
      </c>
      <c r="BG3871">
        <v>0</v>
      </c>
      <c r="BH3871">
        <v>2175</v>
      </c>
      <c r="BI3871">
        <v>1</v>
      </c>
      <c r="BJ3871">
        <v>1</v>
      </c>
      <c r="BK3871">
        <v>0</v>
      </c>
      <c r="BL3871">
        <v>0</v>
      </c>
      <c r="BO3871">
        <v>0</v>
      </c>
      <c r="BP3871">
        <v>0</v>
      </c>
      <c r="BW3871" t="str">
        <f>"14:48:16.694"</f>
        <v>14:48:16.694</v>
      </c>
      <c r="CJ3871">
        <v>0</v>
      </c>
      <c r="CK3871">
        <v>2</v>
      </c>
      <c r="CL3871">
        <v>0</v>
      </c>
      <c r="CM3871">
        <v>2</v>
      </c>
      <c r="CN3871">
        <v>0</v>
      </c>
      <c r="CO3871">
        <v>7</v>
      </c>
      <c r="CP3871" t="s">
        <v>119</v>
      </c>
      <c r="CQ3871">
        <v>8</v>
      </c>
      <c r="CR3871">
        <v>3</v>
      </c>
      <c r="CW3871">
        <v>9087126</v>
      </c>
      <c r="CY3871">
        <v>1</v>
      </c>
      <c r="CZ3871">
        <v>0</v>
      </c>
      <c r="DA3871">
        <v>0</v>
      </c>
      <c r="DB3871">
        <v>0</v>
      </c>
      <c r="DC3871">
        <v>0</v>
      </c>
      <c r="DD3871">
        <v>1</v>
      </c>
      <c r="DE3871">
        <v>0</v>
      </c>
      <c r="DF3871">
        <v>0</v>
      </c>
      <c r="DG3871">
        <v>0</v>
      </c>
      <c r="DH3871">
        <v>0</v>
      </c>
      <c r="DI3871">
        <v>0</v>
      </c>
    </row>
    <row r="3872" spans="1:113" x14ac:dyDescent="0.3">
      <c r="A3872" t="str">
        <f t="shared" si="1791"/>
        <v>05/12/2020 14:47:58.866</v>
      </c>
      <c r="C3872" t="str">
        <f t="shared" si="1786"/>
        <v>FFDFD3C0</v>
      </c>
      <c r="D3872" t="s">
        <v>131</v>
      </c>
      <c r="E3872">
        <v>18</v>
      </c>
      <c r="F3872">
        <v>2018</v>
      </c>
      <c r="G3872" t="s">
        <v>161</v>
      </c>
      <c r="J3872" t="s">
        <v>133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 t="shared" si="1792"/>
        <v>14:48:16.688</v>
      </c>
      <c r="T3872" t="str">
        <f t="shared" si="1793"/>
        <v>14:48:16.488</v>
      </c>
      <c r="U3872" t="str">
        <f t="shared" si="1776"/>
        <v>A9808D</v>
      </c>
      <c r="V3872">
        <v>0</v>
      </c>
      <c r="W3872">
        <v>0</v>
      </c>
      <c r="X3872">
        <v>1</v>
      </c>
      <c r="Z3872">
        <v>0</v>
      </c>
      <c r="AA3872">
        <v>9</v>
      </c>
      <c r="AB3872">
        <v>3</v>
      </c>
      <c r="AC3872">
        <v>0</v>
      </c>
      <c r="AD3872">
        <v>10</v>
      </c>
      <c r="AE3872">
        <v>0</v>
      </c>
      <c r="AF3872">
        <v>3</v>
      </c>
      <c r="AG3872">
        <v>2</v>
      </c>
      <c r="AH3872">
        <v>0</v>
      </c>
      <c r="AI3872" t="s">
        <v>889</v>
      </c>
      <c r="AJ3872">
        <v>28.270890999999999</v>
      </c>
      <c r="AK3872" t="s">
        <v>890</v>
      </c>
      <c r="AL3872">
        <v>-82.282640999999998</v>
      </c>
      <c r="AM3872">
        <v>100</v>
      </c>
      <c r="AN3872">
        <v>2300</v>
      </c>
      <c r="AO3872" t="s">
        <v>118</v>
      </c>
      <c r="AP3872">
        <v>-142</v>
      </c>
      <c r="AQ3872">
        <v>-27</v>
      </c>
      <c r="AR3872">
        <v>384</v>
      </c>
      <c r="AZ3872">
        <v>1200</v>
      </c>
      <c r="BA3872">
        <v>1</v>
      </c>
      <c r="BB3872" t="str">
        <f t="shared" si="1789"/>
        <v xml:space="preserve">N711JA  </v>
      </c>
      <c r="BC3872">
        <v>1</v>
      </c>
      <c r="BE3872">
        <v>0</v>
      </c>
      <c r="BF3872">
        <v>0</v>
      </c>
      <c r="BG3872">
        <v>0</v>
      </c>
      <c r="BH3872">
        <v>2175</v>
      </c>
      <c r="BI3872">
        <v>1</v>
      </c>
      <c r="BJ3872">
        <v>1</v>
      </c>
      <c r="BK3872">
        <v>0</v>
      </c>
      <c r="BL3872">
        <v>0</v>
      </c>
      <c r="BO3872">
        <v>0</v>
      </c>
      <c r="BP3872">
        <v>0</v>
      </c>
      <c r="BW3872" t="str">
        <f>"14:48:16.695"</f>
        <v>14:48:16.695</v>
      </c>
      <c r="CJ3872">
        <v>0</v>
      </c>
      <c r="CK3872">
        <v>2</v>
      </c>
      <c r="CL3872">
        <v>0</v>
      </c>
      <c r="CM3872">
        <v>2</v>
      </c>
      <c r="CN3872">
        <v>0</v>
      </c>
      <c r="CO3872">
        <v>6</v>
      </c>
      <c r="CP3872" t="s">
        <v>119</v>
      </c>
      <c r="CQ3872">
        <v>56</v>
      </c>
      <c r="CR3872">
        <v>2</v>
      </c>
      <c r="CW3872">
        <v>5073335</v>
      </c>
      <c r="CY3872">
        <v>1</v>
      </c>
      <c r="CZ3872">
        <v>0</v>
      </c>
      <c r="DA3872">
        <v>1</v>
      </c>
      <c r="DB3872">
        <v>0</v>
      </c>
      <c r="DC3872">
        <v>0</v>
      </c>
      <c r="DD3872">
        <v>1</v>
      </c>
      <c r="DE3872">
        <v>0</v>
      </c>
      <c r="DF3872">
        <v>0</v>
      </c>
      <c r="DG3872">
        <v>0</v>
      </c>
      <c r="DH3872">
        <v>0</v>
      </c>
      <c r="DI3872">
        <v>0</v>
      </c>
    </row>
    <row r="3873" spans="1:113" x14ac:dyDescent="0.3">
      <c r="A3873" t="str">
        <f t="shared" si="1791"/>
        <v>05/12/2020 14:47:58.866</v>
      </c>
      <c r="C3873" t="str">
        <f t="shared" si="1786"/>
        <v>FFDFD3C0</v>
      </c>
      <c r="D3873" t="s">
        <v>113</v>
      </c>
      <c r="E3873">
        <v>3</v>
      </c>
      <c r="H3873">
        <v>164</v>
      </c>
      <c r="I3873" t="s">
        <v>114</v>
      </c>
      <c r="J3873" t="s">
        <v>115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 t="shared" si="1792"/>
        <v>14:48:16.688</v>
      </c>
      <c r="T3873" t="str">
        <f t="shared" si="1793"/>
        <v>14:48:16.488</v>
      </c>
      <c r="U3873" t="str">
        <f t="shared" si="1776"/>
        <v>A9808D</v>
      </c>
      <c r="V3873">
        <v>0</v>
      </c>
      <c r="W3873">
        <v>0</v>
      </c>
      <c r="X3873">
        <v>1</v>
      </c>
      <c r="Z3873">
        <v>0</v>
      </c>
      <c r="AA3873">
        <v>9</v>
      </c>
      <c r="AB3873">
        <v>3</v>
      </c>
      <c r="AC3873">
        <v>0</v>
      </c>
      <c r="AD3873">
        <v>10</v>
      </c>
      <c r="AE3873">
        <v>0</v>
      </c>
      <c r="AF3873">
        <v>3</v>
      </c>
      <c r="AG3873">
        <v>2</v>
      </c>
      <c r="AH3873">
        <v>0</v>
      </c>
      <c r="AI3873" t="s">
        <v>889</v>
      </c>
      <c r="AJ3873">
        <v>28.270890999999999</v>
      </c>
      <c r="AK3873" t="s">
        <v>890</v>
      </c>
      <c r="AL3873">
        <v>-82.282640999999998</v>
      </c>
      <c r="AM3873">
        <v>100</v>
      </c>
      <c r="AN3873">
        <v>2300</v>
      </c>
      <c r="AO3873" t="s">
        <v>118</v>
      </c>
      <c r="AP3873">
        <v>-142</v>
      </c>
      <c r="AQ3873">
        <v>-27</v>
      </c>
      <c r="AR3873">
        <v>384</v>
      </c>
      <c r="AZ3873">
        <v>1200</v>
      </c>
      <c r="BA3873">
        <v>1</v>
      </c>
      <c r="BB3873" t="str">
        <f t="shared" si="1789"/>
        <v xml:space="preserve">N711JA  </v>
      </c>
      <c r="BC3873">
        <v>1</v>
      </c>
      <c r="BE3873">
        <v>0</v>
      </c>
      <c r="BF3873">
        <v>0</v>
      </c>
      <c r="BG3873">
        <v>0</v>
      </c>
      <c r="BH3873">
        <v>2175</v>
      </c>
      <c r="BI3873">
        <v>1</v>
      </c>
      <c r="BJ3873">
        <v>1</v>
      </c>
      <c r="BK3873">
        <v>0</v>
      </c>
      <c r="BL3873">
        <v>0</v>
      </c>
      <c r="BO3873">
        <v>0</v>
      </c>
      <c r="BP3873">
        <v>0</v>
      </c>
      <c r="BW3873" t="str">
        <f t="shared" ref="BW3873:BW3879" si="1794">"14:48:16.694"</f>
        <v>14:48:16.694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7</v>
      </c>
      <c r="CP3873" t="s">
        <v>119</v>
      </c>
      <c r="CQ3873">
        <v>8</v>
      </c>
      <c r="CR3873">
        <v>3</v>
      </c>
      <c r="CW3873">
        <v>9087126</v>
      </c>
      <c r="CY3873">
        <v>1</v>
      </c>
      <c r="CZ3873">
        <v>0</v>
      </c>
      <c r="DA3873">
        <v>1</v>
      </c>
      <c r="DB3873">
        <v>0</v>
      </c>
      <c r="DC3873">
        <v>0</v>
      </c>
      <c r="DD3873">
        <v>1</v>
      </c>
      <c r="DE3873">
        <v>0</v>
      </c>
      <c r="DF3873">
        <v>0</v>
      </c>
      <c r="DG3873">
        <v>0</v>
      </c>
      <c r="DH3873">
        <v>0</v>
      </c>
      <c r="DI3873">
        <v>0</v>
      </c>
    </row>
    <row r="3874" spans="1:113" x14ac:dyDescent="0.3">
      <c r="A3874" t="str">
        <f t="shared" si="1791"/>
        <v>05/12/2020 14:47:58.866</v>
      </c>
      <c r="C3874" t="str">
        <f t="shared" si="1786"/>
        <v>FFDFD3C0</v>
      </c>
      <c r="D3874" t="s">
        <v>126</v>
      </c>
      <c r="E3874">
        <v>6</v>
      </c>
      <c r="F3874">
        <v>1006</v>
      </c>
      <c r="G3874" t="s">
        <v>114</v>
      </c>
      <c r="J3874" t="s">
        <v>128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 t="shared" si="1792"/>
        <v>14:48:16.688</v>
      </c>
      <c r="T3874" t="str">
        <f t="shared" si="1793"/>
        <v>14:48:16.488</v>
      </c>
      <c r="U3874" t="str">
        <f t="shared" si="1776"/>
        <v>A9808D</v>
      </c>
      <c r="V3874">
        <v>0</v>
      </c>
      <c r="W3874">
        <v>0</v>
      </c>
      <c r="X3874">
        <v>1</v>
      </c>
      <c r="Z3874">
        <v>0</v>
      </c>
      <c r="AA3874">
        <v>9</v>
      </c>
      <c r="AB3874">
        <v>3</v>
      </c>
      <c r="AC3874">
        <v>0</v>
      </c>
      <c r="AD3874">
        <v>10</v>
      </c>
      <c r="AE3874">
        <v>0</v>
      </c>
      <c r="AF3874">
        <v>3</v>
      </c>
      <c r="AG3874">
        <v>2</v>
      </c>
      <c r="AH3874">
        <v>0</v>
      </c>
      <c r="AI3874" t="s">
        <v>889</v>
      </c>
      <c r="AJ3874">
        <v>28.270890999999999</v>
      </c>
      <c r="AK3874" t="s">
        <v>890</v>
      </c>
      <c r="AL3874">
        <v>-82.282640999999998</v>
      </c>
      <c r="AM3874">
        <v>100</v>
      </c>
      <c r="AN3874">
        <v>2300</v>
      </c>
      <c r="AO3874" t="s">
        <v>118</v>
      </c>
      <c r="AP3874">
        <v>-142</v>
      </c>
      <c r="AQ3874">
        <v>-27</v>
      </c>
      <c r="AR3874">
        <v>384</v>
      </c>
      <c r="AZ3874">
        <v>1200</v>
      </c>
      <c r="BA3874">
        <v>1</v>
      </c>
      <c r="BB3874" t="str">
        <f t="shared" si="1789"/>
        <v xml:space="preserve">N711JA  </v>
      </c>
      <c r="BC3874">
        <v>1</v>
      </c>
      <c r="BE3874">
        <v>0</v>
      </c>
      <c r="BF3874">
        <v>0</v>
      </c>
      <c r="BG3874">
        <v>0</v>
      </c>
      <c r="BH3874">
        <v>2175</v>
      </c>
      <c r="BI3874">
        <v>1</v>
      </c>
      <c r="BJ3874">
        <v>1</v>
      </c>
      <c r="BK3874">
        <v>0</v>
      </c>
      <c r="BL3874">
        <v>0</v>
      </c>
      <c r="BO3874">
        <v>0</v>
      </c>
      <c r="BP3874">
        <v>0</v>
      </c>
      <c r="BW3874" t="str">
        <f t="shared" si="1794"/>
        <v>14:48:16.694</v>
      </c>
      <c r="CJ3874">
        <v>0</v>
      </c>
      <c r="CK3874">
        <v>2</v>
      </c>
      <c r="CL3874">
        <v>0</v>
      </c>
      <c r="CM3874">
        <v>2</v>
      </c>
      <c r="CN3874">
        <v>0</v>
      </c>
      <c r="CO3874">
        <v>7</v>
      </c>
      <c r="CP3874" t="s">
        <v>119</v>
      </c>
      <c r="CQ3874">
        <v>8</v>
      </c>
      <c r="CR3874">
        <v>3</v>
      </c>
      <c r="CW3874">
        <v>9087126</v>
      </c>
      <c r="CY3874">
        <v>1</v>
      </c>
      <c r="CZ3874">
        <v>0</v>
      </c>
      <c r="DA3874">
        <v>1</v>
      </c>
      <c r="DB3874">
        <v>0</v>
      </c>
      <c r="DC3874">
        <v>0</v>
      </c>
      <c r="DD3874">
        <v>1</v>
      </c>
      <c r="DE3874">
        <v>0</v>
      </c>
      <c r="DF3874">
        <v>0</v>
      </c>
      <c r="DG3874">
        <v>0</v>
      </c>
      <c r="DH3874">
        <v>0</v>
      </c>
      <c r="DI3874">
        <v>0</v>
      </c>
    </row>
    <row r="3875" spans="1:113" x14ac:dyDescent="0.3">
      <c r="A3875" t="str">
        <f t="shared" si="1791"/>
        <v>05/12/2020 14:47:58.866</v>
      </c>
      <c r="C3875" t="str">
        <f t="shared" si="1786"/>
        <v>FFDFD3C0</v>
      </c>
      <c r="D3875" t="s">
        <v>134</v>
      </c>
      <c r="E3875">
        <v>12</v>
      </c>
      <c r="H3875">
        <v>64</v>
      </c>
      <c r="I3875" t="s">
        <v>135</v>
      </c>
      <c r="J3875" t="s">
        <v>136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 t="shared" si="1792"/>
        <v>14:48:16.688</v>
      </c>
      <c r="T3875" t="str">
        <f t="shared" si="1793"/>
        <v>14:48:16.488</v>
      </c>
      <c r="U3875" t="str">
        <f t="shared" si="1776"/>
        <v>A9808D</v>
      </c>
      <c r="V3875">
        <v>0</v>
      </c>
      <c r="W3875">
        <v>0</v>
      </c>
      <c r="X3875">
        <v>1</v>
      </c>
      <c r="Z3875">
        <v>0</v>
      </c>
      <c r="AA3875">
        <v>9</v>
      </c>
      <c r="AB3875">
        <v>3</v>
      </c>
      <c r="AC3875">
        <v>0</v>
      </c>
      <c r="AD3875">
        <v>10</v>
      </c>
      <c r="AE3875">
        <v>0</v>
      </c>
      <c r="AF3875">
        <v>3</v>
      </c>
      <c r="AG3875">
        <v>2</v>
      </c>
      <c r="AH3875">
        <v>0</v>
      </c>
      <c r="AI3875" t="s">
        <v>889</v>
      </c>
      <c r="AJ3875">
        <v>28.270890999999999</v>
      </c>
      <c r="AK3875" t="s">
        <v>890</v>
      </c>
      <c r="AL3875">
        <v>-82.282640999999998</v>
      </c>
      <c r="AM3875">
        <v>100</v>
      </c>
      <c r="AN3875">
        <v>2300</v>
      </c>
      <c r="AO3875" t="s">
        <v>118</v>
      </c>
      <c r="AP3875">
        <v>-142</v>
      </c>
      <c r="AQ3875">
        <v>-27</v>
      </c>
      <c r="AR3875">
        <v>384</v>
      </c>
      <c r="AZ3875">
        <v>1200</v>
      </c>
      <c r="BA3875">
        <v>1</v>
      </c>
      <c r="BB3875" t="str">
        <f t="shared" si="1789"/>
        <v xml:space="preserve">N711JA  </v>
      </c>
      <c r="BC3875">
        <v>1</v>
      </c>
      <c r="BE3875">
        <v>0</v>
      </c>
      <c r="BF3875">
        <v>0</v>
      </c>
      <c r="BG3875">
        <v>0</v>
      </c>
      <c r="BH3875">
        <v>2175</v>
      </c>
      <c r="BI3875">
        <v>1</v>
      </c>
      <c r="BJ3875">
        <v>1</v>
      </c>
      <c r="BK3875">
        <v>0</v>
      </c>
      <c r="BL3875">
        <v>0</v>
      </c>
      <c r="BO3875">
        <v>0</v>
      </c>
      <c r="BP3875">
        <v>0</v>
      </c>
      <c r="BW3875" t="str">
        <f t="shared" si="1794"/>
        <v>14:48:16.694</v>
      </c>
      <c r="CJ3875">
        <v>0</v>
      </c>
      <c r="CK3875">
        <v>2</v>
      </c>
      <c r="CL3875">
        <v>0</v>
      </c>
      <c r="CM3875">
        <v>2</v>
      </c>
      <c r="CN3875">
        <v>0</v>
      </c>
      <c r="CO3875">
        <v>7</v>
      </c>
      <c r="CP3875" t="s">
        <v>119</v>
      </c>
      <c r="CQ3875">
        <v>8</v>
      </c>
      <c r="CR3875">
        <v>3</v>
      </c>
      <c r="CW3875">
        <v>9087126</v>
      </c>
      <c r="CY3875">
        <v>1</v>
      </c>
      <c r="CZ3875">
        <v>0</v>
      </c>
      <c r="DA3875">
        <v>1</v>
      </c>
      <c r="DB3875">
        <v>0</v>
      </c>
      <c r="DC3875">
        <v>0</v>
      </c>
      <c r="DD3875">
        <v>1</v>
      </c>
      <c r="DE3875">
        <v>0</v>
      </c>
      <c r="DF3875">
        <v>0</v>
      </c>
      <c r="DG3875">
        <v>0</v>
      </c>
      <c r="DH3875">
        <v>0</v>
      </c>
      <c r="DI3875">
        <v>0</v>
      </c>
    </row>
    <row r="3876" spans="1:113" x14ac:dyDescent="0.3">
      <c r="A3876" t="str">
        <f t="shared" si="1791"/>
        <v>05/12/2020 14:47:58.866</v>
      </c>
      <c r="C3876" t="str">
        <f t="shared" si="1786"/>
        <v>FFDFD3C0</v>
      </c>
      <c r="D3876" t="s">
        <v>138</v>
      </c>
      <c r="E3876">
        <v>2</v>
      </c>
      <c r="H3876">
        <v>8</v>
      </c>
      <c r="I3876" t="s">
        <v>139</v>
      </c>
      <c r="J3876" t="s">
        <v>136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 t="shared" si="1792"/>
        <v>14:48:16.688</v>
      </c>
      <c r="T3876" t="str">
        <f t="shared" si="1793"/>
        <v>14:48:16.488</v>
      </c>
      <c r="U3876" t="str">
        <f t="shared" si="1776"/>
        <v>A9808D</v>
      </c>
      <c r="V3876">
        <v>0</v>
      </c>
      <c r="W3876">
        <v>0</v>
      </c>
      <c r="X3876">
        <v>1</v>
      </c>
      <c r="Z3876">
        <v>0</v>
      </c>
      <c r="AA3876">
        <v>9</v>
      </c>
      <c r="AB3876">
        <v>3</v>
      </c>
      <c r="AC3876">
        <v>0</v>
      </c>
      <c r="AD3876">
        <v>10</v>
      </c>
      <c r="AE3876">
        <v>0</v>
      </c>
      <c r="AF3876">
        <v>3</v>
      </c>
      <c r="AG3876">
        <v>2</v>
      </c>
      <c r="AH3876">
        <v>0</v>
      </c>
      <c r="AI3876" t="s">
        <v>889</v>
      </c>
      <c r="AJ3876">
        <v>28.270890999999999</v>
      </c>
      <c r="AK3876" t="s">
        <v>890</v>
      </c>
      <c r="AL3876">
        <v>-82.282640999999998</v>
      </c>
      <c r="AM3876">
        <v>100</v>
      </c>
      <c r="AN3876">
        <v>2300</v>
      </c>
      <c r="AO3876" t="s">
        <v>118</v>
      </c>
      <c r="AP3876">
        <v>-142</v>
      </c>
      <c r="AQ3876">
        <v>-27</v>
      </c>
      <c r="AR3876">
        <v>384</v>
      </c>
      <c r="AZ3876">
        <v>1200</v>
      </c>
      <c r="BA3876">
        <v>1</v>
      </c>
      <c r="BB3876" t="str">
        <f t="shared" si="1789"/>
        <v xml:space="preserve">N711JA  </v>
      </c>
      <c r="BC3876">
        <v>1</v>
      </c>
      <c r="BE3876">
        <v>0</v>
      </c>
      <c r="BF3876">
        <v>0</v>
      </c>
      <c r="BG3876">
        <v>0</v>
      </c>
      <c r="BH3876">
        <v>2175</v>
      </c>
      <c r="BI3876">
        <v>1</v>
      </c>
      <c r="BJ3876">
        <v>1</v>
      </c>
      <c r="BK3876">
        <v>0</v>
      </c>
      <c r="BL3876">
        <v>0</v>
      </c>
      <c r="BO3876">
        <v>0</v>
      </c>
      <c r="BP3876">
        <v>0</v>
      </c>
      <c r="BW3876" t="str">
        <f t="shared" si="1794"/>
        <v>14:48:16.694</v>
      </c>
      <c r="CJ3876">
        <v>0</v>
      </c>
      <c r="CK3876">
        <v>2</v>
      </c>
      <c r="CL3876">
        <v>0</v>
      </c>
      <c r="CM3876">
        <v>2</v>
      </c>
      <c r="CN3876">
        <v>0</v>
      </c>
      <c r="CO3876">
        <v>7</v>
      </c>
      <c r="CP3876" t="s">
        <v>119</v>
      </c>
      <c r="CQ3876">
        <v>8</v>
      </c>
      <c r="CR3876">
        <v>3</v>
      </c>
      <c r="CW3876">
        <v>9087126</v>
      </c>
      <c r="CY3876">
        <v>1</v>
      </c>
      <c r="CZ3876">
        <v>0</v>
      </c>
      <c r="DA3876">
        <v>1</v>
      </c>
      <c r="DB3876">
        <v>0</v>
      </c>
      <c r="DC3876">
        <v>0</v>
      </c>
      <c r="DD3876">
        <v>1</v>
      </c>
      <c r="DE3876">
        <v>0</v>
      </c>
      <c r="DF3876">
        <v>0</v>
      </c>
      <c r="DG3876">
        <v>0</v>
      </c>
      <c r="DH3876">
        <v>0</v>
      </c>
      <c r="DI3876">
        <v>0</v>
      </c>
    </row>
    <row r="3877" spans="1:113" x14ac:dyDescent="0.3">
      <c r="A3877" t="str">
        <f t="shared" si="1791"/>
        <v>05/12/2020 14:47:58.866</v>
      </c>
      <c r="C3877" t="str">
        <f t="shared" si="1786"/>
        <v>FFDFD3C0</v>
      </c>
      <c r="D3877" t="s">
        <v>138</v>
      </c>
      <c r="E3877">
        <v>3</v>
      </c>
      <c r="H3877">
        <v>9</v>
      </c>
      <c r="I3877" t="s">
        <v>140</v>
      </c>
      <c r="J3877" t="s">
        <v>136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 t="shared" si="1792"/>
        <v>14:48:16.688</v>
      </c>
      <c r="T3877" t="str">
        <f t="shared" si="1793"/>
        <v>14:48:16.488</v>
      </c>
      <c r="U3877" t="str">
        <f t="shared" si="1776"/>
        <v>A9808D</v>
      </c>
      <c r="V3877">
        <v>0</v>
      </c>
      <c r="W3877">
        <v>0</v>
      </c>
      <c r="X3877">
        <v>1</v>
      </c>
      <c r="Z3877">
        <v>0</v>
      </c>
      <c r="AA3877">
        <v>9</v>
      </c>
      <c r="AB3877">
        <v>3</v>
      </c>
      <c r="AC3877">
        <v>0</v>
      </c>
      <c r="AD3877">
        <v>10</v>
      </c>
      <c r="AE3877">
        <v>0</v>
      </c>
      <c r="AF3877">
        <v>3</v>
      </c>
      <c r="AG3877">
        <v>2</v>
      </c>
      <c r="AH3877">
        <v>0</v>
      </c>
      <c r="AI3877" t="s">
        <v>889</v>
      </c>
      <c r="AJ3877">
        <v>28.270890999999999</v>
      </c>
      <c r="AK3877" t="s">
        <v>890</v>
      </c>
      <c r="AL3877">
        <v>-82.282640999999998</v>
      </c>
      <c r="AM3877">
        <v>100</v>
      </c>
      <c r="AN3877">
        <v>2300</v>
      </c>
      <c r="AO3877" t="s">
        <v>118</v>
      </c>
      <c r="AP3877">
        <v>-142</v>
      </c>
      <c r="AQ3877">
        <v>-27</v>
      </c>
      <c r="AR3877">
        <v>384</v>
      </c>
      <c r="AZ3877">
        <v>1200</v>
      </c>
      <c r="BA3877">
        <v>1</v>
      </c>
      <c r="BB3877" t="str">
        <f t="shared" si="1789"/>
        <v xml:space="preserve">N711JA  </v>
      </c>
      <c r="BC3877">
        <v>1</v>
      </c>
      <c r="BE3877">
        <v>0</v>
      </c>
      <c r="BF3877">
        <v>0</v>
      </c>
      <c r="BG3877">
        <v>0</v>
      </c>
      <c r="BH3877">
        <v>2175</v>
      </c>
      <c r="BI3877">
        <v>1</v>
      </c>
      <c r="BJ3877">
        <v>1</v>
      </c>
      <c r="BK3877">
        <v>0</v>
      </c>
      <c r="BL3877">
        <v>0</v>
      </c>
      <c r="BO3877">
        <v>0</v>
      </c>
      <c r="BP3877">
        <v>0</v>
      </c>
      <c r="BW3877" t="str">
        <f t="shared" si="1794"/>
        <v>14:48:16.694</v>
      </c>
      <c r="CJ3877">
        <v>0</v>
      </c>
      <c r="CK3877">
        <v>2</v>
      </c>
      <c r="CL3877">
        <v>0</v>
      </c>
      <c r="CM3877">
        <v>2</v>
      </c>
      <c r="CN3877">
        <v>0</v>
      </c>
      <c r="CO3877">
        <v>7</v>
      </c>
      <c r="CP3877" t="s">
        <v>119</v>
      </c>
      <c r="CQ3877">
        <v>8</v>
      </c>
      <c r="CR3877">
        <v>3</v>
      </c>
      <c r="CW3877">
        <v>9087126</v>
      </c>
      <c r="CY3877">
        <v>1</v>
      </c>
      <c r="CZ3877">
        <v>0</v>
      </c>
      <c r="DA3877">
        <v>1</v>
      </c>
      <c r="DB3877">
        <v>0</v>
      </c>
      <c r="DC3877">
        <v>0</v>
      </c>
      <c r="DD3877">
        <v>1</v>
      </c>
      <c r="DE3877">
        <v>0</v>
      </c>
      <c r="DF3877">
        <v>0</v>
      </c>
      <c r="DG3877">
        <v>0</v>
      </c>
      <c r="DH3877">
        <v>0</v>
      </c>
      <c r="DI3877">
        <v>0</v>
      </c>
    </row>
    <row r="3878" spans="1:113" x14ac:dyDescent="0.3">
      <c r="A3878" t="str">
        <f t="shared" si="1791"/>
        <v>05/12/2020 14:47:58.866</v>
      </c>
      <c r="C3878" t="str">
        <f t="shared" si="1786"/>
        <v>FFDFD3C0</v>
      </c>
      <c r="D3878" t="s">
        <v>131</v>
      </c>
      <c r="E3878">
        <v>10</v>
      </c>
      <c r="F3878">
        <v>2010</v>
      </c>
      <c r="G3878" t="s">
        <v>132</v>
      </c>
      <c r="J3878" t="s">
        <v>133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 t="shared" si="1792"/>
        <v>14:48:16.688</v>
      </c>
      <c r="T3878" t="str">
        <f t="shared" si="1793"/>
        <v>14:48:16.488</v>
      </c>
      <c r="U3878" t="str">
        <f t="shared" si="1776"/>
        <v>A9808D</v>
      </c>
      <c r="V3878">
        <v>0</v>
      </c>
      <c r="W3878">
        <v>0</v>
      </c>
      <c r="X3878">
        <v>1</v>
      </c>
      <c r="Z3878">
        <v>0</v>
      </c>
      <c r="AA3878">
        <v>9</v>
      </c>
      <c r="AB3878">
        <v>3</v>
      </c>
      <c r="AC3878">
        <v>0</v>
      </c>
      <c r="AD3878">
        <v>10</v>
      </c>
      <c r="AE3878">
        <v>0</v>
      </c>
      <c r="AF3878">
        <v>3</v>
      </c>
      <c r="AG3878">
        <v>2</v>
      </c>
      <c r="AH3878">
        <v>0</v>
      </c>
      <c r="AI3878" t="s">
        <v>889</v>
      </c>
      <c r="AJ3878">
        <v>28.270890999999999</v>
      </c>
      <c r="AK3878" t="s">
        <v>890</v>
      </c>
      <c r="AL3878">
        <v>-82.282640999999998</v>
      </c>
      <c r="AM3878">
        <v>100</v>
      </c>
      <c r="AN3878">
        <v>2300</v>
      </c>
      <c r="AO3878" t="s">
        <v>118</v>
      </c>
      <c r="AP3878">
        <v>-142</v>
      </c>
      <c r="AQ3878">
        <v>-27</v>
      </c>
      <c r="AR3878">
        <v>384</v>
      </c>
      <c r="AZ3878">
        <v>1200</v>
      </c>
      <c r="BA3878">
        <v>1</v>
      </c>
      <c r="BB3878" t="str">
        <f t="shared" si="1789"/>
        <v xml:space="preserve">N711JA  </v>
      </c>
      <c r="BC3878">
        <v>1</v>
      </c>
      <c r="BE3878">
        <v>0</v>
      </c>
      <c r="BF3878">
        <v>0</v>
      </c>
      <c r="BG3878">
        <v>0</v>
      </c>
      <c r="BH3878">
        <v>2175</v>
      </c>
      <c r="BI3878">
        <v>1</v>
      </c>
      <c r="BJ3878">
        <v>1</v>
      </c>
      <c r="BK3878">
        <v>0</v>
      </c>
      <c r="BL3878">
        <v>0</v>
      </c>
      <c r="BO3878">
        <v>0</v>
      </c>
      <c r="BP3878">
        <v>0</v>
      </c>
      <c r="BW3878" t="str">
        <f t="shared" si="1794"/>
        <v>14:48:16.694</v>
      </c>
      <c r="CJ3878">
        <v>0</v>
      </c>
      <c r="CK3878">
        <v>2</v>
      </c>
      <c r="CL3878">
        <v>0</v>
      </c>
      <c r="CM3878">
        <v>2</v>
      </c>
      <c r="CN3878">
        <v>0</v>
      </c>
      <c r="CO3878">
        <v>7</v>
      </c>
      <c r="CP3878" t="s">
        <v>119</v>
      </c>
      <c r="CQ3878">
        <v>8</v>
      </c>
      <c r="CR3878">
        <v>3</v>
      </c>
      <c r="CW3878">
        <v>9087126</v>
      </c>
      <c r="CY3878">
        <v>1</v>
      </c>
      <c r="CZ3878">
        <v>0</v>
      </c>
      <c r="DA3878">
        <v>1</v>
      </c>
      <c r="DB3878">
        <v>0</v>
      </c>
      <c r="DC3878">
        <v>0</v>
      </c>
      <c r="DD3878">
        <v>1</v>
      </c>
      <c r="DE3878">
        <v>0</v>
      </c>
      <c r="DF3878">
        <v>0</v>
      </c>
      <c r="DG3878">
        <v>0</v>
      </c>
      <c r="DH3878">
        <v>0</v>
      </c>
      <c r="DI3878">
        <v>0</v>
      </c>
    </row>
    <row r="3879" spans="1:113" x14ac:dyDescent="0.3">
      <c r="A3879" t="str">
        <f t="shared" si="1791"/>
        <v>05/12/2020 14:47:58.866</v>
      </c>
      <c r="C3879" t="str">
        <f t="shared" si="1786"/>
        <v>FFDFD3C0</v>
      </c>
      <c r="D3879" t="s">
        <v>126</v>
      </c>
      <c r="E3879">
        <v>7</v>
      </c>
      <c r="F3879">
        <v>1007</v>
      </c>
      <c r="G3879" t="s">
        <v>127</v>
      </c>
      <c r="J3879" t="s">
        <v>128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 t="shared" si="1792"/>
        <v>14:48:16.688</v>
      </c>
      <c r="T3879" t="str">
        <f t="shared" si="1793"/>
        <v>14:48:16.488</v>
      </c>
      <c r="U3879" t="str">
        <f t="shared" si="1776"/>
        <v>A9808D</v>
      </c>
      <c r="V3879">
        <v>0</v>
      </c>
      <c r="W3879">
        <v>0</v>
      </c>
      <c r="X3879">
        <v>1</v>
      </c>
      <c r="Z3879">
        <v>0</v>
      </c>
      <c r="AA3879">
        <v>9</v>
      </c>
      <c r="AB3879">
        <v>3</v>
      </c>
      <c r="AC3879">
        <v>0</v>
      </c>
      <c r="AD3879">
        <v>10</v>
      </c>
      <c r="AE3879">
        <v>0</v>
      </c>
      <c r="AF3879">
        <v>3</v>
      </c>
      <c r="AG3879">
        <v>2</v>
      </c>
      <c r="AH3879">
        <v>0</v>
      </c>
      <c r="AI3879" t="s">
        <v>889</v>
      </c>
      <c r="AJ3879">
        <v>28.270890999999999</v>
      </c>
      <c r="AK3879" t="s">
        <v>890</v>
      </c>
      <c r="AL3879">
        <v>-82.282640999999998</v>
      </c>
      <c r="AM3879">
        <v>100</v>
      </c>
      <c r="AN3879">
        <v>2300</v>
      </c>
      <c r="AO3879" t="s">
        <v>118</v>
      </c>
      <c r="AP3879">
        <v>-142</v>
      </c>
      <c r="AQ3879">
        <v>-27</v>
      </c>
      <c r="AR3879">
        <v>384</v>
      </c>
      <c r="AZ3879">
        <v>1200</v>
      </c>
      <c r="BA3879">
        <v>1</v>
      </c>
      <c r="BB3879" t="str">
        <f t="shared" si="1789"/>
        <v xml:space="preserve">N711JA  </v>
      </c>
      <c r="BC3879">
        <v>1</v>
      </c>
      <c r="BE3879">
        <v>0</v>
      </c>
      <c r="BF3879">
        <v>0</v>
      </c>
      <c r="BG3879">
        <v>0</v>
      </c>
      <c r="BH3879">
        <v>2175</v>
      </c>
      <c r="BI3879">
        <v>1</v>
      </c>
      <c r="BJ3879">
        <v>1</v>
      </c>
      <c r="BK3879">
        <v>0</v>
      </c>
      <c r="BL3879">
        <v>0</v>
      </c>
      <c r="BO3879">
        <v>0</v>
      </c>
      <c r="BP3879">
        <v>0</v>
      </c>
      <c r="BW3879" t="str">
        <f t="shared" si="1794"/>
        <v>14:48:16.694</v>
      </c>
      <c r="CJ3879">
        <v>0</v>
      </c>
      <c r="CK3879">
        <v>2</v>
      </c>
      <c r="CL3879">
        <v>0</v>
      </c>
      <c r="CM3879">
        <v>2</v>
      </c>
      <c r="CN3879">
        <v>0</v>
      </c>
      <c r="CO3879">
        <v>7</v>
      </c>
      <c r="CP3879" t="s">
        <v>119</v>
      </c>
      <c r="CQ3879">
        <v>8</v>
      </c>
      <c r="CR3879">
        <v>3</v>
      </c>
      <c r="CW3879">
        <v>9087126</v>
      </c>
      <c r="CY3879">
        <v>1</v>
      </c>
      <c r="CZ3879">
        <v>0</v>
      </c>
      <c r="DA3879">
        <v>1</v>
      </c>
      <c r="DB3879">
        <v>0</v>
      </c>
      <c r="DC3879">
        <v>0</v>
      </c>
      <c r="DD3879">
        <v>1</v>
      </c>
      <c r="DE3879">
        <v>0</v>
      </c>
      <c r="DF3879">
        <v>0</v>
      </c>
      <c r="DG3879">
        <v>0</v>
      </c>
      <c r="DH3879">
        <v>0</v>
      </c>
      <c r="DI3879">
        <v>0</v>
      </c>
    </row>
    <row r="3880" spans="1:113" x14ac:dyDescent="0.3">
      <c r="A3880" t="str">
        <f t="shared" ref="A3880:A3888" si="1795">"05/12/2020 14:47:59.809"</f>
        <v>05/12/2020 14:47:59.809</v>
      </c>
      <c r="C3880" t="str">
        <f t="shared" si="1786"/>
        <v>FFDFD3C0</v>
      </c>
      <c r="D3880" t="s">
        <v>138</v>
      </c>
      <c r="E3880">
        <v>3</v>
      </c>
      <c r="H3880">
        <v>9</v>
      </c>
      <c r="I3880" t="s">
        <v>140</v>
      </c>
      <c r="J3880" t="s">
        <v>136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>"14:48:17.648"</f>
        <v>14:48:17.648</v>
      </c>
      <c r="T3880" t="str">
        <f>"14:48:17.248"</f>
        <v>14:48:17.248</v>
      </c>
      <c r="U3880" t="str">
        <f t="shared" si="1776"/>
        <v>A9808D</v>
      </c>
      <c r="V3880">
        <v>0</v>
      </c>
      <c r="W3880">
        <v>0</v>
      </c>
      <c r="X3880">
        <v>1</v>
      </c>
      <c r="Z3880">
        <v>0</v>
      </c>
      <c r="AA3880">
        <v>9</v>
      </c>
      <c r="AB3880">
        <v>3</v>
      </c>
      <c r="AC3880">
        <v>0</v>
      </c>
      <c r="AD3880">
        <v>10</v>
      </c>
      <c r="AE3880">
        <v>0</v>
      </c>
      <c r="AF3880">
        <v>3</v>
      </c>
      <c r="AG3880">
        <v>2</v>
      </c>
      <c r="AH3880">
        <v>0</v>
      </c>
      <c r="AI3880" t="s">
        <v>891</v>
      </c>
      <c r="AJ3880">
        <v>28.270804999999999</v>
      </c>
      <c r="AK3880" t="s">
        <v>892</v>
      </c>
      <c r="AL3880">
        <v>-82.283327999999997</v>
      </c>
      <c r="AM3880">
        <v>100</v>
      </c>
      <c r="AN3880">
        <v>2300</v>
      </c>
      <c r="AO3880" t="s">
        <v>118</v>
      </c>
      <c r="AP3880">
        <v>-141</v>
      </c>
      <c r="AQ3880">
        <v>-29</v>
      </c>
      <c r="AR3880">
        <v>384</v>
      </c>
      <c r="AZ3880">
        <v>1200</v>
      </c>
      <c r="BA3880">
        <v>1</v>
      </c>
      <c r="BB3880" t="str">
        <f t="shared" si="1789"/>
        <v xml:space="preserve">N711JA  </v>
      </c>
      <c r="BC3880">
        <v>1</v>
      </c>
      <c r="BE3880">
        <v>0</v>
      </c>
      <c r="BF3880">
        <v>0</v>
      </c>
      <c r="BG3880">
        <v>0</v>
      </c>
      <c r="BH3880">
        <v>2275</v>
      </c>
      <c r="BI3880">
        <v>1</v>
      </c>
      <c r="BJ3880">
        <v>1</v>
      </c>
      <c r="BK3880">
        <v>0</v>
      </c>
      <c r="BL3880">
        <v>0</v>
      </c>
      <c r="BO3880">
        <v>0</v>
      </c>
      <c r="BP3880">
        <v>0</v>
      </c>
      <c r="BW3880" t="str">
        <f t="shared" ref="BW3880:BW3888" si="1796">"14:48:17.656"</f>
        <v>14:48:17.656</v>
      </c>
      <c r="CJ3880">
        <v>0</v>
      </c>
      <c r="CK3880">
        <v>2</v>
      </c>
      <c r="CL3880">
        <v>0</v>
      </c>
      <c r="CM3880">
        <v>2</v>
      </c>
      <c r="CN3880">
        <v>0</v>
      </c>
      <c r="CO3880">
        <v>7</v>
      </c>
      <c r="CP3880" t="s">
        <v>119</v>
      </c>
      <c r="CQ3880">
        <v>8</v>
      </c>
      <c r="CR3880">
        <v>3</v>
      </c>
      <c r="CW3880">
        <v>9088179</v>
      </c>
      <c r="CY3880">
        <v>1</v>
      </c>
      <c r="CZ3880">
        <v>0</v>
      </c>
      <c r="DA3880">
        <v>0</v>
      </c>
      <c r="DB3880">
        <v>0</v>
      </c>
      <c r="DC3880">
        <v>0</v>
      </c>
      <c r="DD3880">
        <v>1</v>
      </c>
      <c r="DE3880">
        <v>0</v>
      </c>
      <c r="DF3880">
        <v>0</v>
      </c>
      <c r="DG3880">
        <v>0</v>
      </c>
      <c r="DH3880">
        <v>0</v>
      </c>
      <c r="DI3880">
        <v>0</v>
      </c>
    </row>
    <row r="3881" spans="1:113" x14ac:dyDescent="0.3">
      <c r="A3881" t="str">
        <f t="shared" si="1795"/>
        <v>05/12/2020 14:47:59.809</v>
      </c>
      <c r="C3881" t="str">
        <f t="shared" si="1786"/>
        <v>FFDFD3C0</v>
      </c>
      <c r="D3881" t="s">
        <v>131</v>
      </c>
      <c r="E3881">
        <v>10</v>
      </c>
      <c r="F3881">
        <v>2010</v>
      </c>
      <c r="G3881" t="s">
        <v>132</v>
      </c>
      <c r="J3881" t="s">
        <v>133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>"14:48:17.648"</f>
        <v>14:48:17.648</v>
      </c>
      <c r="T3881" t="str">
        <f>"14:48:17.248"</f>
        <v>14:48:17.248</v>
      </c>
      <c r="U3881" t="str">
        <f t="shared" si="1776"/>
        <v>A9808D</v>
      </c>
      <c r="V3881">
        <v>0</v>
      </c>
      <c r="W3881">
        <v>0</v>
      </c>
      <c r="X3881">
        <v>1</v>
      </c>
      <c r="Z3881">
        <v>0</v>
      </c>
      <c r="AA3881">
        <v>9</v>
      </c>
      <c r="AB3881">
        <v>3</v>
      </c>
      <c r="AC3881">
        <v>0</v>
      </c>
      <c r="AD3881">
        <v>10</v>
      </c>
      <c r="AE3881">
        <v>0</v>
      </c>
      <c r="AF3881">
        <v>3</v>
      </c>
      <c r="AG3881">
        <v>2</v>
      </c>
      <c r="AH3881">
        <v>0</v>
      </c>
      <c r="AI3881" t="s">
        <v>891</v>
      </c>
      <c r="AJ3881">
        <v>28.270804999999999</v>
      </c>
      <c r="AK3881" t="s">
        <v>892</v>
      </c>
      <c r="AL3881">
        <v>-82.283327999999997</v>
      </c>
      <c r="AM3881">
        <v>100</v>
      </c>
      <c r="AN3881">
        <v>2300</v>
      </c>
      <c r="AO3881" t="s">
        <v>118</v>
      </c>
      <c r="AP3881">
        <v>-141</v>
      </c>
      <c r="AQ3881">
        <v>-29</v>
      </c>
      <c r="AR3881">
        <v>384</v>
      </c>
      <c r="AZ3881">
        <v>1200</v>
      </c>
      <c r="BA3881">
        <v>1</v>
      </c>
      <c r="BB3881" t="str">
        <f t="shared" si="1789"/>
        <v xml:space="preserve">N711JA  </v>
      </c>
      <c r="BC3881">
        <v>1</v>
      </c>
      <c r="BE3881">
        <v>0</v>
      </c>
      <c r="BF3881">
        <v>0</v>
      </c>
      <c r="BG3881">
        <v>0</v>
      </c>
      <c r="BH3881">
        <v>2275</v>
      </c>
      <c r="BI3881">
        <v>1</v>
      </c>
      <c r="BJ3881">
        <v>1</v>
      </c>
      <c r="BK3881">
        <v>0</v>
      </c>
      <c r="BL3881">
        <v>0</v>
      </c>
      <c r="BO3881">
        <v>0</v>
      </c>
      <c r="BP3881">
        <v>0</v>
      </c>
      <c r="BW3881" t="str">
        <f t="shared" si="1796"/>
        <v>14:48:17.656</v>
      </c>
      <c r="CJ3881">
        <v>0</v>
      </c>
      <c r="CK3881">
        <v>2</v>
      </c>
      <c r="CL3881">
        <v>0</v>
      </c>
      <c r="CM3881">
        <v>2</v>
      </c>
      <c r="CN3881">
        <v>0</v>
      </c>
      <c r="CO3881">
        <v>7</v>
      </c>
      <c r="CP3881" t="s">
        <v>119</v>
      </c>
      <c r="CQ3881">
        <v>8</v>
      </c>
      <c r="CR3881">
        <v>3</v>
      </c>
      <c r="CW3881">
        <v>9088179</v>
      </c>
      <c r="CY3881">
        <v>1</v>
      </c>
      <c r="CZ3881">
        <v>0</v>
      </c>
      <c r="DA3881">
        <v>1</v>
      </c>
      <c r="DB3881">
        <v>0</v>
      </c>
      <c r="DC3881">
        <v>0</v>
      </c>
      <c r="DD3881">
        <v>1</v>
      </c>
      <c r="DE3881">
        <v>0</v>
      </c>
      <c r="DF3881">
        <v>0</v>
      </c>
      <c r="DG3881">
        <v>0</v>
      </c>
      <c r="DH3881">
        <v>0</v>
      </c>
      <c r="DI3881">
        <v>0</v>
      </c>
    </row>
    <row r="3882" spans="1:113" x14ac:dyDescent="0.3">
      <c r="A3882" t="str">
        <f t="shared" si="1795"/>
        <v>05/12/2020 14:47:59.809</v>
      </c>
      <c r="C3882" t="str">
        <f t="shared" si="1786"/>
        <v>FFDFD3C0</v>
      </c>
      <c r="D3882" t="s">
        <v>126</v>
      </c>
      <c r="E3882">
        <v>7</v>
      </c>
      <c r="F3882">
        <v>1007</v>
      </c>
      <c r="G3882" t="s">
        <v>127</v>
      </c>
      <c r="J3882" t="s">
        <v>128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"14:48:17.648"</f>
        <v>14:48:17.648</v>
      </c>
      <c r="T3882" t="str">
        <f>"14:48:17.248"</f>
        <v>14:48:17.248</v>
      </c>
      <c r="U3882" t="str">
        <f t="shared" si="1776"/>
        <v>A9808D</v>
      </c>
      <c r="V3882">
        <v>0</v>
      </c>
      <c r="W3882">
        <v>0</v>
      </c>
      <c r="X3882">
        <v>1</v>
      </c>
      <c r="Z3882">
        <v>0</v>
      </c>
      <c r="AA3882">
        <v>9</v>
      </c>
      <c r="AB3882">
        <v>3</v>
      </c>
      <c r="AC3882">
        <v>0</v>
      </c>
      <c r="AD3882">
        <v>10</v>
      </c>
      <c r="AE3882">
        <v>0</v>
      </c>
      <c r="AF3882">
        <v>3</v>
      </c>
      <c r="AG3882">
        <v>2</v>
      </c>
      <c r="AH3882">
        <v>0</v>
      </c>
      <c r="AI3882" t="s">
        <v>891</v>
      </c>
      <c r="AJ3882">
        <v>28.270804999999999</v>
      </c>
      <c r="AK3882" t="s">
        <v>892</v>
      </c>
      <c r="AL3882">
        <v>-82.283327999999997</v>
      </c>
      <c r="AM3882">
        <v>100</v>
      </c>
      <c r="AN3882">
        <v>2300</v>
      </c>
      <c r="AO3882" t="s">
        <v>118</v>
      </c>
      <c r="AP3882">
        <v>-141</v>
      </c>
      <c r="AQ3882">
        <v>-29</v>
      </c>
      <c r="AR3882">
        <v>384</v>
      </c>
      <c r="AZ3882">
        <v>1200</v>
      </c>
      <c r="BA3882">
        <v>1</v>
      </c>
      <c r="BB3882" t="str">
        <f t="shared" si="1789"/>
        <v xml:space="preserve">N711JA  </v>
      </c>
      <c r="BC3882">
        <v>1</v>
      </c>
      <c r="BE3882">
        <v>0</v>
      </c>
      <c r="BF3882">
        <v>0</v>
      </c>
      <c r="BG3882">
        <v>0</v>
      </c>
      <c r="BH3882">
        <v>2275</v>
      </c>
      <c r="BI3882">
        <v>1</v>
      </c>
      <c r="BJ3882">
        <v>1</v>
      </c>
      <c r="BK3882">
        <v>0</v>
      </c>
      <c r="BL3882">
        <v>0</v>
      </c>
      <c r="BO3882">
        <v>0</v>
      </c>
      <c r="BP3882">
        <v>0</v>
      </c>
      <c r="BW3882" t="str">
        <f t="shared" si="1796"/>
        <v>14:48:17.656</v>
      </c>
      <c r="CJ3882">
        <v>0</v>
      </c>
      <c r="CK3882">
        <v>2</v>
      </c>
      <c r="CL3882">
        <v>0</v>
      </c>
      <c r="CM3882">
        <v>2</v>
      </c>
      <c r="CN3882">
        <v>0</v>
      </c>
      <c r="CO3882">
        <v>7</v>
      </c>
      <c r="CP3882" t="s">
        <v>119</v>
      </c>
      <c r="CQ3882">
        <v>8</v>
      </c>
      <c r="CR3882">
        <v>3</v>
      </c>
      <c r="CW3882">
        <v>9088179</v>
      </c>
      <c r="CY3882">
        <v>1</v>
      </c>
      <c r="CZ3882">
        <v>0</v>
      </c>
      <c r="DA3882">
        <v>1</v>
      </c>
      <c r="DB3882">
        <v>0</v>
      </c>
      <c r="DC3882">
        <v>0</v>
      </c>
      <c r="DD3882">
        <v>1</v>
      </c>
      <c r="DE3882">
        <v>0</v>
      </c>
      <c r="DF3882">
        <v>0</v>
      </c>
      <c r="DG3882">
        <v>0</v>
      </c>
      <c r="DH3882">
        <v>0</v>
      </c>
      <c r="DI3882">
        <v>0</v>
      </c>
    </row>
    <row r="3883" spans="1:113" x14ac:dyDescent="0.3">
      <c r="A3883" t="str">
        <f t="shared" si="1795"/>
        <v>05/12/2020 14:47:59.809</v>
      </c>
      <c r="C3883" t="str">
        <f t="shared" si="1786"/>
        <v>FFDFD3C0</v>
      </c>
      <c r="D3883" t="s">
        <v>131</v>
      </c>
      <c r="E3883">
        <v>12</v>
      </c>
      <c r="F3883">
        <v>2012</v>
      </c>
      <c r="G3883" t="s">
        <v>137</v>
      </c>
      <c r="J3883" t="s">
        <v>133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"14:48:17.648"</f>
        <v>14:48:17.648</v>
      </c>
      <c r="T3883" t="str">
        <f>"14:48:17.248"</f>
        <v>14:48:17.248</v>
      </c>
      <c r="U3883" t="str">
        <f t="shared" si="1776"/>
        <v>A9808D</v>
      </c>
      <c r="V3883">
        <v>0</v>
      </c>
      <c r="W3883">
        <v>0</v>
      </c>
      <c r="X3883">
        <v>1</v>
      </c>
      <c r="Z3883">
        <v>0</v>
      </c>
      <c r="AA3883">
        <v>9</v>
      </c>
      <c r="AB3883">
        <v>3</v>
      </c>
      <c r="AC3883">
        <v>0</v>
      </c>
      <c r="AD3883">
        <v>10</v>
      </c>
      <c r="AE3883">
        <v>0</v>
      </c>
      <c r="AF3883">
        <v>3</v>
      </c>
      <c r="AG3883">
        <v>2</v>
      </c>
      <c r="AH3883">
        <v>0</v>
      </c>
      <c r="AI3883" t="s">
        <v>891</v>
      </c>
      <c r="AJ3883">
        <v>28.270804999999999</v>
      </c>
      <c r="AK3883" t="s">
        <v>892</v>
      </c>
      <c r="AL3883">
        <v>-82.283327999999997</v>
      </c>
      <c r="AM3883">
        <v>100</v>
      </c>
      <c r="AN3883">
        <v>2300</v>
      </c>
      <c r="AO3883" t="s">
        <v>118</v>
      </c>
      <c r="AP3883">
        <v>-141</v>
      </c>
      <c r="AQ3883">
        <v>-29</v>
      </c>
      <c r="AR3883">
        <v>384</v>
      </c>
      <c r="AZ3883">
        <v>1200</v>
      </c>
      <c r="BA3883">
        <v>1</v>
      </c>
      <c r="BB3883" t="str">
        <f t="shared" si="1789"/>
        <v xml:space="preserve">N711JA  </v>
      </c>
      <c r="BC3883">
        <v>1</v>
      </c>
      <c r="BE3883">
        <v>0</v>
      </c>
      <c r="BF3883">
        <v>0</v>
      </c>
      <c r="BG3883">
        <v>0</v>
      </c>
      <c r="BH3883">
        <v>2275</v>
      </c>
      <c r="BI3883">
        <v>1</v>
      </c>
      <c r="BJ3883">
        <v>1</v>
      </c>
      <c r="BK3883">
        <v>0</v>
      </c>
      <c r="BL3883">
        <v>0</v>
      </c>
      <c r="BO3883">
        <v>0</v>
      </c>
      <c r="BP3883">
        <v>0</v>
      </c>
      <c r="BW3883" t="str">
        <f t="shared" si="1796"/>
        <v>14:48:17.656</v>
      </c>
      <c r="CJ3883">
        <v>0</v>
      </c>
      <c r="CK3883">
        <v>2</v>
      </c>
      <c r="CL3883">
        <v>0</v>
      </c>
      <c r="CM3883">
        <v>2</v>
      </c>
      <c r="CN3883">
        <v>0</v>
      </c>
      <c r="CO3883">
        <v>7</v>
      </c>
      <c r="CP3883" t="s">
        <v>119</v>
      </c>
      <c r="CQ3883">
        <v>8</v>
      </c>
      <c r="CR3883">
        <v>3</v>
      </c>
      <c r="CW3883">
        <v>9088179</v>
      </c>
      <c r="CY3883">
        <v>1</v>
      </c>
      <c r="CZ3883">
        <v>0</v>
      </c>
      <c r="DA3883">
        <v>1</v>
      </c>
      <c r="DB3883">
        <v>0</v>
      </c>
      <c r="DC3883">
        <v>0</v>
      </c>
      <c r="DD3883">
        <v>1</v>
      </c>
      <c r="DE3883">
        <v>0</v>
      </c>
      <c r="DF3883">
        <v>0</v>
      </c>
      <c r="DG3883">
        <v>0</v>
      </c>
      <c r="DH3883">
        <v>0</v>
      </c>
      <c r="DI3883">
        <v>0</v>
      </c>
    </row>
    <row r="3884" spans="1:113" x14ac:dyDescent="0.3">
      <c r="A3884" t="str">
        <f t="shared" si="1795"/>
        <v>05/12/2020 14:47:59.809</v>
      </c>
      <c r="C3884" t="str">
        <f t="shared" si="1786"/>
        <v>FFDFD3C0</v>
      </c>
      <c r="D3884" t="s">
        <v>131</v>
      </c>
      <c r="E3884">
        <v>18</v>
      </c>
      <c r="F3884">
        <v>2018</v>
      </c>
      <c r="G3884" t="s">
        <v>161</v>
      </c>
      <c r="J3884" t="s">
        <v>133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"14:48:17.656"</f>
        <v>14:48:17.656</v>
      </c>
      <c r="T3884" t="str">
        <f>"14:48:17.256"</f>
        <v>14:48:17.256</v>
      </c>
      <c r="U3884" t="str">
        <f t="shared" si="1776"/>
        <v>A9808D</v>
      </c>
      <c r="V3884">
        <v>0</v>
      </c>
      <c r="W3884">
        <v>0</v>
      </c>
      <c r="X3884">
        <v>1</v>
      </c>
      <c r="Z3884">
        <v>0</v>
      </c>
      <c r="AA3884">
        <v>9</v>
      </c>
      <c r="AB3884">
        <v>3</v>
      </c>
      <c r="AC3884">
        <v>0</v>
      </c>
      <c r="AD3884">
        <v>10</v>
      </c>
      <c r="AE3884">
        <v>0</v>
      </c>
      <c r="AF3884">
        <v>3</v>
      </c>
      <c r="AG3884">
        <v>2</v>
      </c>
      <c r="AH3884">
        <v>0</v>
      </c>
      <c r="AI3884" t="s">
        <v>891</v>
      </c>
      <c r="AJ3884">
        <v>28.270804999999999</v>
      </c>
      <c r="AK3884" t="s">
        <v>892</v>
      </c>
      <c r="AL3884">
        <v>-82.283327999999997</v>
      </c>
      <c r="AM3884">
        <v>100</v>
      </c>
      <c r="AN3884">
        <v>2300</v>
      </c>
      <c r="AO3884" t="s">
        <v>118</v>
      </c>
      <c r="AP3884">
        <v>-141</v>
      </c>
      <c r="AQ3884">
        <v>-29</v>
      </c>
      <c r="AR3884">
        <v>384</v>
      </c>
      <c r="AZ3884">
        <v>1200</v>
      </c>
      <c r="BA3884">
        <v>1</v>
      </c>
      <c r="BB3884" t="str">
        <f t="shared" si="1789"/>
        <v xml:space="preserve">N711JA  </v>
      </c>
      <c r="BC3884">
        <v>1</v>
      </c>
      <c r="BE3884">
        <v>0</v>
      </c>
      <c r="BF3884">
        <v>0</v>
      </c>
      <c r="BG3884">
        <v>0</v>
      </c>
      <c r="BH3884">
        <v>2275</v>
      </c>
      <c r="BI3884">
        <v>1</v>
      </c>
      <c r="BJ3884">
        <v>1</v>
      </c>
      <c r="BK3884">
        <v>0</v>
      </c>
      <c r="BL3884">
        <v>0</v>
      </c>
      <c r="BO3884">
        <v>0</v>
      </c>
      <c r="BP3884">
        <v>0</v>
      </c>
      <c r="BW3884" t="str">
        <f t="shared" si="1796"/>
        <v>14:48:17.656</v>
      </c>
      <c r="CJ3884">
        <v>0</v>
      </c>
      <c r="CK3884">
        <v>2</v>
      </c>
      <c r="CL3884">
        <v>0</v>
      </c>
      <c r="CM3884">
        <v>2</v>
      </c>
      <c r="CN3884">
        <v>0</v>
      </c>
      <c r="CO3884">
        <v>6</v>
      </c>
      <c r="CP3884" t="s">
        <v>119</v>
      </c>
      <c r="CQ3884">
        <v>56</v>
      </c>
      <c r="CR3884">
        <v>2</v>
      </c>
      <c r="CW3884">
        <v>5074530</v>
      </c>
      <c r="CY3884">
        <v>1</v>
      </c>
      <c r="CZ3884">
        <v>0</v>
      </c>
      <c r="DA3884">
        <v>1</v>
      </c>
      <c r="DB3884">
        <v>0</v>
      </c>
      <c r="DC3884">
        <v>0</v>
      </c>
      <c r="DD3884">
        <v>1</v>
      </c>
      <c r="DE3884">
        <v>0</v>
      </c>
      <c r="DF3884">
        <v>0</v>
      </c>
      <c r="DG3884">
        <v>0</v>
      </c>
      <c r="DH3884">
        <v>0</v>
      </c>
      <c r="DI3884">
        <v>0</v>
      </c>
    </row>
    <row r="3885" spans="1:113" x14ac:dyDescent="0.3">
      <c r="A3885" t="str">
        <f t="shared" si="1795"/>
        <v>05/12/2020 14:47:59.809</v>
      </c>
      <c r="C3885" t="str">
        <f t="shared" si="1786"/>
        <v>FFDFD3C0</v>
      </c>
      <c r="D3885" t="s">
        <v>126</v>
      </c>
      <c r="E3885">
        <v>6</v>
      </c>
      <c r="F3885">
        <v>1006</v>
      </c>
      <c r="G3885" t="s">
        <v>114</v>
      </c>
      <c r="J3885" t="s">
        <v>128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"14:48:17.648"</f>
        <v>14:48:17.648</v>
      </c>
      <c r="T3885" t="str">
        <f>"14:48:17.248"</f>
        <v>14:48:17.248</v>
      </c>
      <c r="U3885" t="str">
        <f t="shared" si="1776"/>
        <v>A9808D</v>
      </c>
      <c r="V3885">
        <v>0</v>
      </c>
      <c r="W3885">
        <v>0</v>
      </c>
      <c r="X3885">
        <v>1</v>
      </c>
      <c r="Z3885">
        <v>0</v>
      </c>
      <c r="AA3885">
        <v>9</v>
      </c>
      <c r="AB3885">
        <v>3</v>
      </c>
      <c r="AC3885">
        <v>0</v>
      </c>
      <c r="AD3885">
        <v>10</v>
      </c>
      <c r="AE3885">
        <v>0</v>
      </c>
      <c r="AF3885">
        <v>3</v>
      </c>
      <c r="AG3885">
        <v>2</v>
      </c>
      <c r="AH3885">
        <v>0</v>
      </c>
      <c r="AI3885" t="s">
        <v>891</v>
      </c>
      <c r="AJ3885">
        <v>28.270804999999999</v>
      </c>
      <c r="AK3885" t="s">
        <v>892</v>
      </c>
      <c r="AL3885">
        <v>-82.283327999999997</v>
      </c>
      <c r="AM3885">
        <v>100</v>
      </c>
      <c r="AN3885">
        <v>2300</v>
      </c>
      <c r="AO3885" t="s">
        <v>118</v>
      </c>
      <c r="AP3885">
        <v>-141</v>
      </c>
      <c r="AQ3885">
        <v>-29</v>
      </c>
      <c r="AR3885">
        <v>384</v>
      </c>
      <c r="AZ3885">
        <v>1200</v>
      </c>
      <c r="BA3885">
        <v>1</v>
      </c>
      <c r="BB3885" t="str">
        <f t="shared" si="1789"/>
        <v xml:space="preserve">N711JA  </v>
      </c>
      <c r="BC3885">
        <v>1</v>
      </c>
      <c r="BE3885">
        <v>0</v>
      </c>
      <c r="BF3885">
        <v>0</v>
      </c>
      <c r="BG3885">
        <v>0</v>
      </c>
      <c r="BH3885">
        <v>2275</v>
      </c>
      <c r="BI3885">
        <v>1</v>
      </c>
      <c r="BJ3885">
        <v>1</v>
      </c>
      <c r="BK3885">
        <v>0</v>
      </c>
      <c r="BL3885">
        <v>0</v>
      </c>
      <c r="BO3885">
        <v>0</v>
      </c>
      <c r="BP3885">
        <v>0</v>
      </c>
      <c r="BW3885" t="str">
        <f t="shared" si="1796"/>
        <v>14:48:17.656</v>
      </c>
      <c r="CJ3885">
        <v>0</v>
      </c>
      <c r="CK3885">
        <v>2</v>
      </c>
      <c r="CL3885">
        <v>0</v>
      </c>
      <c r="CM3885">
        <v>2</v>
      </c>
      <c r="CN3885">
        <v>0</v>
      </c>
      <c r="CO3885">
        <v>7</v>
      </c>
      <c r="CP3885" t="s">
        <v>119</v>
      </c>
      <c r="CQ3885">
        <v>8</v>
      </c>
      <c r="CR3885">
        <v>3</v>
      </c>
      <c r="CW3885">
        <v>9088179</v>
      </c>
      <c r="CY3885">
        <v>1</v>
      </c>
      <c r="CZ3885">
        <v>0</v>
      </c>
      <c r="DA3885">
        <v>1</v>
      </c>
      <c r="DB3885">
        <v>0</v>
      </c>
      <c r="DC3885">
        <v>0</v>
      </c>
      <c r="DD3885">
        <v>1</v>
      </c>
      <c r="DE3885">
        <v>0</v>
      </c>
      <c r="DF3885">
        <v>0</v>
      </c>
      <c r="DG3885">
        <v>0</v>
      </c>
      <c r="DH3885">
        <v>0</v>
      </c>
      <c r="DI3885">
        <v>0</v>
      </c>
    </row>
    <row r="3886" spans="1:113" x14ac:dyDescent="0.3">
      <c r="A3886" t="str">
        <f t="shared" si="1795"/>
        <v>05/12/2020 14:47:59.809</v>
      </c>
      <c r="C3886" t="str">
        <f t="shared" si="1786"/>
        <v>FFDFD3C0</v>
      </c>
      <c r="D3886" t="s">
        <v>113</v>
      </c>
      <c r="E3886">
        <v>3</v>
      </c>
      <c r="H3886">
        <v>164</v>
      </c>
      <c r="I3886" t="s">
        <v>114</v>
      </c>
      <c r="J3886" t="s">
        <v>115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>"14:48:17.648"</f>
        <v>14:48:17.648</v>
      </c>
      <c r="T3886" t="str">
        <f>"14:48:17.248"</f>
        <v>14:48:17.248</v>
      </c>
      <c r="U3886" t="str">
        <f t="shared" si="1776"/>
        <v>A9808D</v>
      </c>
      <c r="V3886">
        <v>0</v>
      </c>
      <c r="W3886">
        <v>0</v>
      </c>
      <c r="X3886">
        <v>1</v>
      </c>
      <c r="Z3886">
        <v>0</v>
      </c>
      <c r="AA3886">
        <v>9</v>
      </c>
      <c r="AB3886">
        <v>3</v>
      </c>
      <c r="AC3886">
        <v>0</v>
      </c>
      <c r="AD3886">
        <v>10</v>
      </c>
      <c r="AE3886">
        <v>0</v>
      </c>
      <c r="AF3886">
        <v>3</v>
      </c>
      <c r="AG3886">
        <v>2</v>
      </c>
      <c r="AH3886">
        <v>0</v>
      </c>
      <c r="AI3886" t="s">
        <v>891</v>
      </c>
      <c r="AJ3886">
        <v>28.270804999999999</v>
      </c>
      <c r="AK3886" t="s">
        <v>892</v>
      </c>
      <c r="AL3886">
        <v>-82.283327999999997</v>
      </c>
      <c r="AM3886">
        <v>100</v>
      </c>
      <c r="AN3886">
        <v>2300</v>
      </c>
      <c r="AO3886" t="s">
        <v>118</v>
      </c>
      <c r="AP3886">
        <v>-141</v>
      </c>
      <c r="AQ3886">
        <v>-29</v>
      </c>
      <c r="AR3886">
        <v>384</v>
      </c>
      <c r="AZ3886">
        <v>1200</v>
      </c>
      <c r="BA3886">
        <v>1</v>
      </c>
      <c r="BB3886" t="str">
        <f t="shared" si="1789"/>
        <v xml:space="preserve">N711JA  </v>
      </c>
      <c r="BC3886">
        <v>1</v>
      </c>
      <c r="BE3886">
        <v>0</v>
      </c>
      <c r="BF3886">
        <v>0</v>
      </c>
      <c r="BG3886">
        <v>0</v>
      </c>
      <c r="BH3886">
        <v>2275</v>
      </c>
      <c r="BI3886">
        <v>1</v>
      </c>
      <c r="BJ3886">
        <v>1</v>
      </c>
      <c r="BK3886">
        <v>0</v>
      </c>
      <c r="BL3886">
        <v>0</v>
      </c>
      <c r="BO3886">
        <v>0</v>
      </c>
      <c r="BP3886">
        <v>0</v>
      </c>
      <c r="BW3886" t="str">
        <f t="shared" si="1796"/>
        <v>14:48:17.656</v>
      </c>
      <c r="CJ3886">
        <v>0</v>
      </c>
      <c r="CK3886">
        <v>2</v>
      </c>
      <c r="CL3886">
        <v>0</v>
      </c>
      <c r="CM3886">
        <v>2</v>
      </c>
      <c r="CN3886">
        <v>0</v>
      </c>
      <c r="CO3886">
        <v>7</v>
      </c>
      <c r="CP3886" t="s">
        <v>119</v>
      </c>
      <c r="CQ3886">
        <v>8</v>
      </c>
      <c r="CR3886">
        <v>3</v>
      </c>
      <c r="CW3886">
        <v>9088179</v>
      </c>
      <c r="CY3886">
        <v>1</v>
      </c>
      <c r="CZ3886">
        <v>0</v>
      </c>
      <c r="DA3886">
        <v>1</v>
      </c>
      <c r="DB3886">
        <v>0</v>
      </c>
      <c r="DC3886">
        <v>0</v>
      </c>
      <c r="DD3886">
        <v>1</v>
      </c>
      <c r="DE3886">
        <v>0</v>
      </c>
      <c r="DF3886">
        <v>0</v>
      </c>
      <c r="DG3886">
        <v>0</v>
      </c>
      <c r="DH3886">
        <v>0</v>
      </c>
      <c r="DI3886">
        <v>0</v>
      </c>
    </row>
    <row r="3887" spans="1:113" x14ac:dyDescent="0.3">
      <c r="A3887" t="str">
        <f t="shared" si="1795"/>
        <v>05/12/2020 14:47:59.809</v>
      </c>
      <c r="C3887" t="str">
        <f t="shared" si="1786"/>
        <v>FFDFD3C0</v>
      </c>
      <c r="D3887" t="s">
        <v>134</v>
      </c>
      <c r="E3887">
        <v>12</v>
      </c>
      <c r="H3887">
        <v>64</v>
      </c>
      <c r="I3887" t="s">
        <v>135</v>
      </c>
      <c r="J3887" t="s">
        <v>136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>"14:48:17.648"</f>
        <v>14:48:17.648</v>
      </c>
      <c r="T3887" t="str">
        <f>"14:48:17.248"</f>
        <v>14:48:17.248</v>
      </c>
      <c r="U3887" t="str">
        <f t="shared" si="1776"/>
        <v>A9808D</v>
      </c>
      <c r="V3887">
        <v>0</v>
      </c>
      <c r="W3887">
        <v>0</v>
      </c>
      <c r="X3887">
        <v>1</v>
      </c>
      <c r="Z3887">
        <v>0</v>
      </c>
      <c r="AA3887">
        <v>9</v>
      </c>
      <c r="AB3887">
        <v>3</v>
      </c>
      <c r="AC3887">
        <v>0</v>
      </c>
      <c r="AD3887">
        <v>10</v>
      </c>
      <c r="AE3887">
        <v>0</v>
      </c>
      <c r="AF3887">
        <v>3</v>
      </c>
      <c r="AG3887">
        <v>2</v>
      </c>
      <c r="AH3887">
        <v>0</v>
      </c>
      <c r="AI3887" t="s">
        <v>891</v>
      </c>
      <c r="AJ3887">
        <v>28.270804999999999</v>
      </c>
      <c r="AK3887" t="s">
        <v>892</v>
      </c>
      <c r="AL3887">
        <v>-82.283327999999997</v>
      </c>
      <c r="AM3887">
        <v>100</v>
      </c>
      <c r="AN3887">
        <v>2300</v>
      </c>
      <c r="AO3887" t="s">
        <v>118</v>
      </c>
      <c r="AP3887">
        <v>-141</v>
      </c>
      <c r="AQ3887">
        <v>-29</v>
      </c>
      <c r="AR3887">
        <v>384</v>
      </c>
      <c r="AZ3887">
        <v>1200</v>
      </c>
      <c r="BA3887">
        <v>1</v>
      </c>
      <c r="BB3887" t="str">
        <f t="shared" si="1789"/>
        <v xml:space="preserve">N711JA  </v>
      </c>
      <c r="BC3887">
        <v>1</v>
      </c>
      <c r="BE3887">
        <v>0</v>
      </c>
      <c r="BF3887">
        <v>0</v>
      </c>
      <c r="BG3887">
        <v>0</v>
      </c>
      <c r="BH3887">
        <v>2275</v>
      </c>
      <c r="BI3887">
        <v>1</v>
      </c>
      <c r="BJ3887">
        <v>1</v>
      </c>
      <c r="BK3887">
        <v>0</v>
      </c>
      <c r="BL3887">
        <v>0</v>
      </c>
      <c r="BO3887">
        <v>0</v>
      </c>
      <c r="BP3887">
        <v>0</v>
      </c>
      <c r="BW3887" t="str">
        <f t="shared" si="1796"/>
        <v>14:48:17.656</v>
      </c>
      <c r="CJ3887">
        <v>0</v>
      </c>
      <c r="CK3887">
        <v>2</v>
      </c>
      <c r="CL3887">
        <v>0</v>
      </c>
      <c r="CM3887">
        <v>2</v>
      </c>
      <c r="CN3887">
        <v>0</v>
      </c>
      <c r="CO3887">
        <v>7</v>
      </c>
      <c r="CP3887" t="s">
        <v>119</v>
      </c>
      <c r="CQ3887">
        <v>8</v>
      </c>
      <c r="CR3887">
        <v>3</v>
      </c>
      <c r="CW3887">
        <v>9088179</v>
      </c>
      <c r="CY3887">
        <v>1</v>
      </c>
      <c r="CZ3887">
        <v>0</v>
      </c>
      <c r="DA3887">
        <v>1</v>
      </c>
      <c r="DB3887">
        <v>0</v>
      </c>
      <c r="DC3887">
        <v>0</v>
      </c>
      <c r="DD3887">
        <v>1</v>
      </c>
      <c r="DE3887">
        <v>0</v>
      </c>
      <c r="DF3887">
        <v>0</v>
      </c>
      <c r="DG3887">
        <v>0</v>
      </c>
      <c r="DH3887">
        <v>0</v>
      </c>
      <c r="DI3887">
        <v>0</v>
      </c>
    </row>
    <row r="3888" spans="1:113" x14ac:dyDescent="0.3">
      <c r="A3888" t="str">
        <f t="shared" si="1795"/>
        <v>05/12/2020 14:47:59.809</v>
      </c>
      <c r="C3888" t="str">
        <f t="shared" si="1786"/>
        <v>FFDFD3C0</v>
      </c>
      <c r="D3888" t="s">
        <v>138</v>
      </c>
      <c r="E3888">
        <v>2</v>
      </c>
      <c r="H3888">
        <v>8</v>
      </c>
      <c r="I3888" t="s">
        <v>139</v>
      </c>
      <c r="J3888" t="s">
        <v>136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>"14:48:17.648"</f>
        <v>14:48:17.648</v>
      </c>
      <c r="T3888" t="str">
        <f>"14:48:17.248"</f>
        <v>14:48:17.248</v>
      </c>
      <c r="U3888" t="str">
        <f t="shared" si="1776"/>
        <v>A9808D</v>
      </c>
      <c r="V3888">
        <v>0</v>
      </c>
      <c r="W3888">
        <v>0</v>
      </c>
      <c r="X3888">
        <v>1</v>
      </c>
      <c r="Z3888">
        <v>0</v>
      </c>
      <c r="AA3888">
        <v>9</v>
      </c>
      <c r="AB3888">
        <v>3</v>
      </c>
      <c r="AC3888">
        <v>0</v>
      </c>
      <c r="AD3888">
        <v>10</v>
      </c>
      <c r="AE3888">
        <v>0</v>
      </c>
      <c r="AF3888">
        <v>3</v>
      </c>
      <c r="AG3888">
        <v>2</v>
      </c>
      <c r="AH3888">
        <v>0</v>
      </c>
      <c r="AI3888" t="s">
        <v>891</v>
      </c>
      <c r="AJ3888">
        <v>28.270804999999999</v>
      </c>
      <c r="AK3888" t="s">
        <v>892</v>
      </c>
      <c r="AL3888">
        <v>-82.283327999999997</v>
      </c>
      <c r="AM3888">
        <v>100</v>
      </c>
      <c r="AN3888">
        <v>2300</v>
      </c>
      <c r="AO3888" t="s">
        <v>118</v>
      </c>
      <c r="AP3888">
        <v>-141</v>
      </c>
      <c r="AQ3888">
        <v>-29</v>
      </c>
      <c r="AR3888">
        <v>384</v>
      </c>
      <c r="AZ3888">
        <v>1200</v>
      </c>
      <c r="BA3888">
        <v>1</v>
      </c>
      <c r="BB3888" t="str">
        <f t="shared" si="1789"/>
        <v xml:space="preserve">N711JA  </v>
      </c>
      <c r="BC3888">
        <v>1</v>
      </c>
      <c r="BE3888">
        <v>0</v>
      </c>
      <c r="BF3888">
        <v>0</v>
      </c>
      <c r="BG3888">
        <v>0</v>
      </c>
      <c r="BH3888">
        <v>2275</v>
      </c>
      <c r="BI3888">
        <v>1</v>
      </c>
      <c r="BJ3888">
        <v>1</v>
      </c>
      <c r="BK3888">
        <v>0</v>
      </c>
      <c r="BL3888">
        <v>0</v>
      </c>
      <c r="BO3888">
        <v>0</v>
      </c>
      <c r="BP3888">
        <v>0</v>
      </c>
      <c r="BW3888" t="str">
        <f t="shared" si="1796"/>
        <v>14:48:17.656</v>
      </c>
      <c r="CJ3888">
        <v>0</v>
      </c>
      <c r="CK3888">
        <v>2</v>
      </c>
      <c r="CL3888">
        <v>0</v>
      </c>
      <c r="CM3888">
        <v>2</v>
      </c>
      <c r="CN3888">
        <v>0</v>
      </c>
      <c r="CO3888">
        <v>7</v>
      </c>
      <c r="CP3888" t="s">
        <v>119</v>
      </c>
      <c r="CQ3888">
        <v>8</v>
      </c>
      <c r="CR3888">
        <v>3</v>
      </c>
      <c r="CW3888">
        <v>9088179</v>
      </c>
      <c r="CY3888">
        <v>1</v>
      </c>
      <c r="CZ3888">
        <v>0</v>
      </c>
      <c r="DA3888">
        <v>1</v>
      </c>
      <c r="DB3888">
        <v>0</v>
      </c>
      <c r="DC3888">
        <v>0</v>
      </c>
      <c r="DD3888">
        <v>1</v>
      </c>
      <c r="DE3888">
        <v>0</v>
      </c>
      <c r="DF3888">
        <v>0</v>
      </c>
      <c r="DG3888">
        <v>0</v>
      </c>
      <c r="DH3888">
        <v>0</v>
      </c>
      <c r="DI3888">
        <v>0</v>
      </c>
    </row>
    <row r="3889" spans="1:113" x14ac:dyDescent="0.3">
      <c r="A3889" t="str">
        <f t="shared" ref="A3889:A3897" si="1797">"05/12/2020 14:48:00.697"</f>
        <v>05/12/2020 14:48:00.697</v>
      </c>
      <c r="C3889" t="str">
        <f t="shared" si="1786"/>
        <v>FFDFD3C0</v>
      </c>
      <c r="D3889" t="s">
        <v>126</v>
      </c>
      <c r="E3889">
        <v>6</v>
      </c>
      <c r="F3889">
        <v>1006</v>
      </c>
      <c r="G3889" t="s">
        <v>114</v>
      </c>
      <c r="J3889" t="s">
        <v>128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 t="shared" ref="S3889:S3897" si="1798">"14:48:18.531"</f>
        <v>14:48:18.531</v>
      </c>
      <c r="T3889" t="str">
        <f t="shared" ref="T3889:T3897" si="1799">"14:48:18.331"</f>
        <v>14:48:18.331</v>
      </c>
      <c r="U3889" t="str">
        <f t="shared" si="1776"/>
        <v>A9808D</v>
      </c>
      <c r="V3889">
        <v>0</v>
      </c>
      <c r="W3889">
        <v>0</v>
      </c>
      <c r="X3889">
        <v>1</v>
      </c>
      <c r="Z3889">
        <v>0</v>
      </c>
      <c r="AA3889">
        <v>9</v>
      </c>
      <c r="AB3889">
        <v>3</v>
      </c>
      <c r="AC3889">
        <v>0</v>
      </c>
      <c r="AD3889">
        <v>10</v>
      </c>
      <c r="AE3889">
        <v>0</v>
      </c>
      <c r="AF3889">
        <v>3</v>
      </c>
      <c r="AG3889">
        <v>2</v>
      </c>
      <c r="AH3889">
        <v>0</v>
      </c>
      <c r="AI3889" t="s">
        <v>893</v>
      </c>
      <c r="AJ3889">
        <v>28.270655000000001</v>
      </c>
      <c r="AK3889" t="s">
        <v>894</v>
      </c>
      <c r="AL3889">
        <v>-82.283992999999995</v>
      </c>
      <c r="AM3889">
        <v>100</v>
      </c>
      <c r="AN3889">
        <v>2300</v>
      </c>
      <c r="AO3889" t="s">
        <v>118</v>
      </c>
      <c r="AP3889">
        <v>-140</v>
      </c>
      <c r="AQ3889">
        <v>-31</v>
      </c>
      <c r="AR3889">
        <v>320</v>
      </c>
      <c r="AZ3889">
        <v>1200</v>
      </c>
      <c r="BA3889">
        <v>1</v>
      </c>
      <c r="BB3889" t="str">
        <f t="shared" si="1789"/>
        <v xml:space="preserve">N711JA  </v>
      </c>
      <c r="BC3889">
        <v>1</v>
      </c>
      <c r="BE3889">
        <v>0</v>
      </c>
      <c r="BF3889">
        <v>0</v>
      </c>
      <c r="BG3889">
        <v>0</v>
      </c>
      <c r="BH3889">
        <v>2300</v>
      </c>
      <c r="BI3889">
        <v>1</v>
      </c>
      <c r="BJ3889">
        <v>1</v>
      </c>
      <c r="BK3889">
        <v>0</v>
      </c>
      <c r="BL3889">
        <v>0</v>
      </c>
      <c r="BO3889">
        <v>0</v>
      </c>
      <c r="BP3889">
        <v>0</v>
      </c>
      <c r="BW3889" t="str">
        <f t="shared" ref="BW3889:BW3897" si="1800">"14:48:18.534"</f>
        <v>14:48:18.534</v>
      </c>
      <c r="CJ3889">
        <v>0</v>
      </c>
      <c r="CK3889">
        <v>2</v>
      </c>
      <c r="CL3889">
        <v>0</v>
      </c>
      <c r="CM3889">
        <v>2</v>
      </c>
      <c r="CN3889">
        <v>0</v>
      </c>
      <c r="CO3889">
        <v>7</v>
      </c>
      <c r="CP3889" t="s">
        <v>119</v>
      </c>
      <c r="CQ3889">
        <v>8</v>
      </c>
      <c r="CR3889">
        <v>3</v>
      </c>
      <c r="CW3889">
        <v>9089016</v>
      </c>
      <c r="CY3889">
        <v>1</v>
      </c>
      <c r="CZ3889">
        <v>0</v>
      </c>
      <c r="DA3889">
        <v>0</v>
      </c>
      <c r="DB3889">
        <v>0</v>
      </c>
      <c r="DC3889">
        <v>0</v>
      </c>
      <c r="DD3889">
        <v>1</v>
      </c>
      <c r="DE3889">
        <v>0</v>
      </c>
      <c r="DF3889">
        <v>0</v>
      </c>
      <c r="DG3889">
        <v>0</v>
      </c>
      <c r="DH3889">
        <v>0</v>
      </c>
      <c r="DI3889">
        <v>0</v>
      </c>
    </row>
    <row r="3890" spans="1:113" x14ac:dyDescent="0.3">
      <c r="A3890" t="str">
        <f t="shared" si="1797"/>
        <v>05/12/2020 14:48:00.697</v>
      </c>
      <c r="C3890" t="str">
        <f t="shared" si="1786"/>
        <v>FFDFD3C0</v>
      </c>
      <c r="D3890" t="s">
        <v>113</v>
      </c>
      <c r="E3890">
        <v>3</v>
      </c>
      <c r="H3890">
        <v>164</v>
      </c>
      <c r="I3890" t="s">
        <v>114</v>
      </c>
      <c r="J3890" t="s">
        <v>115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 t="shared" si="1798"/>
        <v>14:48:18.531</v>
      </c>
      <c r="T3890" t="str">
        <f t="shared" si="1799"/>
        <v>14:48:18.331</v>
      </c>
      <c r="U3890" t="str">
        <f t="shared" si="1776"/>
        <v>A9808D</v>
      </c>
      <c r="V3890">
        <v>0</v>
      </c>
      <c r="W3890">
        <v>0</v>
      </c>
      <c r="X3890">
        <v>1</v>
      </c>
      <c r="Z3890">
        <v>0</v>
      </c>
      <c r="AA3890">
        <v>9</v>
      </c>
      <c r="AB3890">
        <v>3</v>
      </c>
      <c r="AC3890">
        <v>0</v>
      </c>
      <c r="AD3890">
        <v>10</v>
      </c>
      <c r="AE3890">
        <v>0</v>
      </c>
      <c r="AF3890">
        <v>3</v>
      </c>
      <c r="AG3890">
        <v>2</v>
      </c>
      <c r="AH3890">
        <v>0</v>
      </c>
      <c r="AI3890" t="s">
        <v>893</v>
      </c>
      <c r="AJ3890">
        <v>28.270655000000001</v>
      </c>
      <c r="AK3890" t="s">
        <v>894</v>
      </c>
      <c r="AL3890">
        <v>-82.283992999999995</v>
      </c>
      <c r="AM3890">
        <v>100</v>
      </c>
      <c r="AN3890">
        <v>2300</v>
      </c>
      <c r="AO3890" t="s">
        <v>118</v>
      </c>
      <c r="AP3890">
        <v>-140</v>
      </c>
      <c r="AQ3890">
        <v>-31</v>
      </c>
      <c r="AR3890">
        <v>320</v>
      </c>
      <c r="AZ3890">
        <v>1200</v>
      </c>
      <c r="BA3890">
        <v>1</v>
      </c>
      <c r="BB3890" t="str">
        <f t="shared" si="1789"/>
        <v xml:space="preserve">N711JA  </v>
      </c>
      <c r="BC3890">
        <v>1</v>
      </c>
      <c r="BE3890">
        <v>0</v>
      </c>
      <c r="BF3890">
        <v>0</v>
      </c>
      <c r="BG3890">
        <v>0</v>
      </c>
      <c r="BH3890">
        <v>2300</v>
      </c>
      <c r="BI3890">
        <v>1</v>
      </c>
      <c r="BJ3890">
        <v>1</v>
      </c>
      <c r="BK3890">
        <v>0</v>
      </c>
      <c r="BL3890">
        <v>0</v>
      </c>
      <c r="BO3890">
        <v>0</v>
      </c>
      <c r="BP3890">
        <v>0</v>
      </c>
      <c r="BW3890" t="str">
        <f t="shared" si="1800"/>
        <v>14:48:18.534</v>
      </c>
      <c r="CJ3890">
        <v>0</v>
      </c>
      <c r="CK3890">
        <v>2</v>
      </c>
      <c r="CL3890">
        <v>0</v>
      </c>
      <c r="CM3890">
        <v>2</v>
      </c>
      <c r="CN3890">
        <v>0</v>
      </c>
      <c r="CO3890">
        <v>7</v>
      </c>
      <c r="CP3890" t="s">
        <v>119</v>
      </c>
      <c r="CQ3890">
        <v>8</v>
      </c>
      <c r="CR3890">
        <v>3</v>
      </c>
      <c r="CW3890">
        <v>9089016</v>
      </c>
      <c r="CY3890">
        <v>1</v>
      </c>
      <c r="CZ3890">
        <v>0</v>
      </c>
      <c r="DA3890">
        <v>1</v>
      </c>
      <c r="DB3890">
        <v>0</v>
      </c>
      <c r="DC3890">
        <v>0</v>
      </c>
      <c r="DD3890">
        <v>1</v>
      </c>
      <c r="DE3890">
        <v>0</v>
      </c>
      <c r="DF3890">
        <v>0</v>
      </c>
      <c r="DG3890">
        <v>0</v>
      </c>
      <c r="DH3890">
        <v>0</v>
      </c>
      <c r="DI3890">
        <v>0</v>
      </c>
    </row>
    <row r="3891" spans="1:113" x14ac:dyDescent="0.3">
      <c r="A3891" t="str">
        <f t="shared" si="1797"/>
        <v>05/12/2020 14:48:00.697</v>
      </c>
      <c r="C3891" t="str">
        <f t="shared" si="1786"/>
        <v>FFDFD3C0</v>
      </c>
      <c r="D3891" t="s">
        <v>134</v>
      </c>
      <c r="E3891">
        <v>12</v>
      </c>
      <c r="H3891">
        <v>64</v>
      </c>
      <c r="I3891" t="s">
        <v>135</v>
      </c>
      <c r="J3891" t="s">
        <v>136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 t="shared" si="1798"/>
        <v>14:48:18.531</v>
      </c>
      <c r="T3891" t="str">
        <f t="shared" si="1799"/>
        <v>14:48:18.331</v>
      </c>
      <c r="U3891" t="str">
        <f t="shared" si="1776"/>
        <v>A9808D</v>
      </c>
      <c r="V3891">
        <v>0</v>
      </c>
      <c r="W3891">
        <v>0</v>
      </c>
      <c r="X3891">
        <v>1</v>
      </c>
      <c r="Z3891">
        <v>0</v>
      </c>
      <c r="AA3891">
        <v>9</v>
      </c>
      <c r="AB3891">
        <v>3</v>
      </c>
      <c r="AC3891">
        <v>0</v>
      </c>
      <c r="AD3891">
        <v>10</v>
      </c>
      <c r="AE3891">
        <v>0</v>
      </c>
      <c r="AF3891">
        <v>3</v>
      </c>
      <c r="AG3891">
        <v>2</v>
      </c>
      <c r="AH3891">
        <v>0</v>
      </c>
      <c r="AI3891" t="s">
        <v>893</v>
      </c>
      <c r="AJ3891">
        <v>28.270655000000001</v>
      </c>
      <c r="AK3891" t="s">
        <v>894</v>
      </c>
      <c r="AL3891">
        <v>-82.283992999999995</v>
      </c>
      <c r="AM3891">
        <v>100</v>
      </c>
      <c r="AN3891">
        <v>2300</v>
      </c>
      <c r="AO3891" t="s">
        <v>118</v>
      </c>
      <c r="AP3891">
        <v>-140</v>
      </c>
      <c r="AQ3891">
        <v>-31</v>
      </c>
      <c r="AR3891">
        <v>320</v>
      </c>
      <c r="AZ3891">
        <v>1200</v>
      </c>
      <c r="BA3891">
        <v>1</v>
      </c>
      <c r="BB3891" t="str">
        <f t="shared" si="1789"/>
        <v xml:space="preserve">N711JA  </v>
      </c>
      <c r="BC3891">
        <v>1</v>
      </c>
      <c r="BE3891">
        <v>0</v>
      </c>
      <c r="BF3891">
        <v>0</v>
      </c>
      <c r="BG3891">
        <v>0</v>
      </c>
      <c r="BH3891">
        <v>2300</v>
      </c>
      <c r="BI3891">
        <v>1</v>
      </c>
      <c r="BJ3891">
        <v>1</v>
      </c>
      <c r="BK3891">
        <v>0</v>
      </c>
      <c r="BL3891">
        <v>0</v>
      </c>
      <c r="BO3891">
        <v>0</v>
      </c>
      <c r="BP3891">
        <v>0</v>
      </c>
      <c r="BW3891" t="str">
        <f t="shared" si="1800"/>
        <v>14:48:18.534</v>
      </c>
      <c r="CJ3891">
        <v>0</v>
      </c>
      <c r="CK3891">
        <v>2</v>
      </c>
      <c r="CL3891">
        <v>0</v>
      </c>
      <c r="CM3891">
        <v>2</v>
      </c>
      <c r="CN3891">
        <v>0</v>
      </c>
      <c r="CO3891">
        <v>7</v>
      </c>
      <c r="CP3891" t="s">
        <v>119</v>
      </c>
      <c r="CQ3891">
        <v>8</v>
      </c>
      <c r="CR3891">
        <v>3</v>
      </c>
      <c r="CW3891">
        <v>9089016</v>
      </c>
      <c r="CY3891">
        <v>1</v>
      </c>
      <c r="CZ3891">
        <v>0</v>
      </c>
      <c r="DA3891">
        <v>1</v>
      </c>
      <c r="DB3891">
        <v>0</v>
      </c>
      <c r="DC3891">
        <v>0</v>
      </c>
      <c r="DD3891">
        <v>1</v>
      </c>
      <c r="DE3891">
        <v>0</v>
      </c>
      <c r="DF3891">
        <v>0</v>
      </c>
      <c r="DG3891">
        <v>0</v>
      </c>
      <c r="DH3891">
        <v>0</v>
      </c>
      <c r="DI3891">
        <v>0</v>
      </c>
    </row>
    <row r="3892" spans="1:113" x14ac:dyDescent="0.3">
      <c r="A3892" t="str">
        <f t="shared" si="1797"/>
        <v>05/12/2020 14:48:00.697</v>
      </c>
      <c r="C3892" t="str">
        <f t="shared" si="1786"/>
        <v>FFDFD3C0</v>
      </c>
      <c r="D3892" t="s">
        <v>138</v>
      </c>
      <c r="E3892">
        <v>2</v>
      </c>
      <c r="H3892">
        <v>8</v>
      </c>
      <c r="I3892" t="s">
        <v>139</v>
      </c>
      <c r="J3892" t="s">
        <v>136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 t="shared" si="1798"/>
        <v>14:48:18.531</v>
      </c>
      <c r="T3892" t="str">
        <f t="shared" si="1799"/>
        <v>14:48:18.331</v>
      </c>
      <c r="U3892" t="str">
        <f t="shared" si="1776"/>
        <v>A9808D</v>
      </c>
      <c r="V3892">
        <v>0</v>
      </c>
      <c r="W3892">
        <v>0</v>
      </c>
      <c r="X3892">
        <v>1</v>
      </c>
      <c r="Z3892">
        <v>0</v>
      </c>
      <c r="AA3892">
        <v>9</v>
      </c>
      <c r="AB3892">
        <v>3</v>
      </c>
      <c r="AC3892">
        <v>0</v>
      </c>
      <c r="AD3892">
        <v>10</v>
      </c>
      <c r="AE3892">
        <v>0</v>
      </c>
      <c r="AF3892">
        <v>3</v>
      </c>
      <c r="AG3892">
        <v>2</v>
      </c>
      <c r="AH3892">
        <v>0</v>
      </c>
      <c r="AI3892" t="s">
        <v>893</v>
      </c>
      <c r="AJ3892">
        <v>28.270655000000001</v>
      </c>
      <c r="AK3892" t="s">
        <v>894</v>
      </c>
      <c r="AL3892">
        <v>-82.283992999999995</v>
      </c>
      <c r="AM3892">
        <v>100</v>
      </c>
      <c r="AN3892">
        <v>2300</v>
      </c>
      <c r="AO3892" t="s">
        <v>118</v>
      </c>
      <c r="AP3892">
        <v>-140</v>
      </c>
      <c r="AQ3892">
        <v>-31</v>
      </c>
      <c r="AR3892">
        <v>320</v>
      </c>
      <c r="AZ3892">
        <v>1200</v>
      </c>
      <c r="BA3892">
        <v>1</v>
      </c>
      <c r="BB3892" t="str">
        <f t="shared" si="1789"/>
        <v xml:space="preserve">N711JA  </v>
      </c>
      <c r="BC3892">
        <v>1</v>
      </c>
      <c r="BE3892">
        <v>0</v>
      </c>
      <c r="BF3892">
        <v>0</v>
      </c>
      <c r="BG3892">
        <v>0</v>
      </c>
      <c r="BH3892">
        <v>2300</v>
      </c>
      <c r="BI3892">
        <v>1</v>
      </c>
      <c r="BJ3892">
        <v>1</v>
      </c>
      <c r="BK3892">
        <v>0</v>
      </c>
      <c r="BL3892">
        <v>0</v>
      </c>
      <c r="BO3892">
        <v>0</v>
      </c>
      <c r="BP3892">
        <v>0</v>
      </c>
      <c r="BW3892" t="str">
        <f t="shared" si="1800"/>
        <v>14:48:18.534</v>
      </c>
      <c r="CJ3892">
        <v>0</v>
      </c>
      <c r="CK3892">
        <v>2</v>
      </c>
      <c r="CL3892">
        <v>0</v>
      </c>
      <c r="CM3892">
        <v>2</v>
      </c>
      <c r="CN3892">
        <v>0</v>
      </c>
      <c r="CO3892">
        <v>7</v>
      </c>
      <c r="CP3892" t="s">
        <v>119</v>
      </c>
      <c r="CQ3892">
        <v>8</v>
      </c>
      <c r="CR3892">
        <v>3</v>
      </c>
      <c r="CW3892">
        <v>9089016</v>
      </c>
      <c r="CY3892">
        <v>1</v>
      </c>
      <c r="CZ3892">
        <v>0</v>
      </c>
      <c r="DA3892">
        <v>1</v>
      </c>
      <c r="DB3892">
        <v>0</v>
      </c>
      <c r="DC3892">
        <v>0</v>
      </c>
      <c r="DD3892">
        <v>1</v>
      </c>
      <c r="DE3892">
        <v>0</v>
      </c>
      <c r="DF3892">
        <v>0</v>
      </c>
      <c r="DG3892">
        <v>0</v>
      </c>
      <c r="DH3892">
        <v>0</v>
      </c>
      <c r="DI3892">
        <v>0</v>
      </c>
    </row>
    <row r="3893" spans="1:113" x14ac:dyDescent="0.3">
      <c r="A3893" t="str">
        <f t="shared" si="1797"/>
        <v>05/12/2020 14:48:00.697</v>
      </c>
      <c r="C3893" t="str">
        <f t="shared" si="1786"/>
        <v>FFDFD3C0</v>
      </c>
      <c r="D3893" t="s">
        <v>138</v>
      </c>
      <c r="E3893">
        <v>3</v>
      </c>
      <c r="H3893">
        <v>9</v>
      </c>
      <c r="I3893" t="s">
        <v>140</v>
      </c>
      <c r="J3893" t="s">
        <v>136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 t="shared" si="1798"/>
        <v>14:48:18.531</v>
      </c>
      <c r="T3893" t="str">
        <f t="shared" si="1799"/>
        <v>14:48:18.331</v>
      </c>
      <c r="U3893" t="str">
        <f t="shared" si="1776"/>
        <v>A9808D</v>
      </c>
      <c r="V3893">
        <v>0</v>
      </c>
      <c r="W3893">
        <v>0</v>
      </c>
      <c r="X3893">
        <v>1</v>
      </c>
      <c r="Z3893">
        <v>0</v>
      </c>
      <c r="AA3893">
        <v>9</v>
      </c>
      <c r="AB3893">
        <v>3</v>
      </c>
      <c r="AC3893">
        <v>0</v>
      </c>
      <c r="AD3893">
        <v>10</v>
      </c>
      <c r="AE3893">
        <v>0</v>
      </c>
      <c r="AF3893">
        <v>3</v>
      </c>
      <c r="AG3893">
        <v>2</v>
      </c>
      <c r="AH3893">
        <v>0</v>
      </c>
      <c r="AI3893" t="s">
        <v>893</v>
      </c>
      <c r="AJ3893">
        <v>28.270655000000001</v>
      </c>
      <c r="AK3893" t="s">
        <v>894</v>
      </c>
      <c r="AL3893">
        <v>-82.283992999999995</v>
      </c>
      <c r="AM3893">
        <v>100</v>
      </c>
      <c r="AN3893">
        <v>2300</v>
      </c>
      <c r="AO3893" t="s">
        <v>118</v>
      </c>
      <c r="AP3893">
        <v>-140</v>
      </c>
      <c r="AQ3893">
        <v>-31</v>
      </c>
      <c r="AR3893">
        <v>320</v>
      </c>
      <c r="AZ3893">
        <v>1200</v>
      </c>
      <c r="BA3893">
        <v>1</v>
      </c>
      <c r="BB3893" t="str">
        <f t="shared" si="1789"/>
        <v xml:space="preserve">N711JA  </v>
      </c>
      <c r="BC3893">
        <v>1</v>
      </c>
      <c r="BE3893">
        <v>0</v>
      </c>
      <c r="BF3893">
        <v>0</v>
      </c>
      <c r="BG3893">
        <v>0</v>
      </c>
      <c r="BH3893">
        <v>2300</v>
      </c>
      <c r="BI3893">
        <v>1</v>
      </c>
      <c r="BJ3893">
        <v>1</v>
      </c>
      <c r="BK3893">
        <v>0</v>
      </c>
      <c r="BL3893">
        <v>0</v>
      </c>
      <c r="BO3893">
        <v>0</v>
      </c>
      <c r="BP3893">
        <v>0</v>
      </c>
      <c r="BW3893" t="str">
        <f t="shared" si="1800"/>
        <v>14:48:18.534</v>
      </c>
      <c r="CJ3893">
        <v>0</v>
      </c>
      <c r="CK3893">
        <v>2</v>
      </c>
      <c r="CL3893">
        <v>0</v>
      </c>
      <c r="CM3893">
        <v>2</v>
      </c>
      <c r="CN3893">
        <v>0</v>
      </c>
      <c r="CO3893">
        <v>7</v>
      </c>
      <c r="CP3893" t="s">
        <v>119</v>
      </c>
      <c r="CQ3893">
        <v>8</v>
      </c>
      <c r="CR3893">
        <v>3</v>
      </c>
      <c r="CW3893">
        <v>9089016</v>
      </c>
      <c r="CY3893">
        <v>1</v>
      </c>
      <c r="CZ3893">
        <v>0</v>
      </c>
      <c r="DA3893">
        <v>1</v>
      </c>
      <c r="DB3893">
        <v>0</v>
      </c>
      <c r="DC3893">
        <v>0</v>
      </c>
      <c r="DD3893">
        <v>1</v>
      </c>
      <c r="DE3893">
        <v>0</v>
      </c>
      <c r="DF3893">
        <v>0</v>
      </c>
      <c r="DG3893">
        <v>0</v>
      </c>
      <c r="DH3893">
        <v>0</v>
      </c>
      <c r="DI3893">
        <v>0</v>
      </c>
    </row>
    <row r="3894" spans="1:113" x14ac:dyDescent="0.3">
      <c r="A3894" t="str">
        <f t="shared" si="1797"/>
        <v>05/12/2020 14:48:00.697</v>
      </c>
      <c r="C3894" t="str">
        <f t="shared" si="1786"/>
        <v>FFDFD3C0</v>
      </c>
      <c r="D3894" t="s">
        <v>126</v>
      </c>
      <c r="E3894">
        <v>7</v>
      </c>
      <c r="F3894">
        <v>1007</v>
      </c>
      <c r="G3894" t="s">
        <v>127</v>
      </c>
      <c r="J3894" t="s">
        <v>128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 t="shared" si="1798"/>
        <v>14:48:18.531</v>
      </c>
      <c r="T3894" t="str">
        <f t="shared" si="1799"/>
        <v>14:48:18.331</v>
      </c>
      <c r="U3894" t="str">
        <f t="shared" si="1776"/>
        <v>A9808D</v>
      </c>
      <c r="V3894">
        <v>0</v>
      </c>
      <c r="W3894">
        <v>0</v>
      </c>
      <c r="X3894">
        <v>1</v>
      </c>
      <c r="Z3894">
        <v>0</v>
      </c>
      <c r="AA3894">
        <v>9</v>
      </c>
      <c r="AB3894">
        <v>3</v>
      </c>
      <c r="AC3894">
        <v>0</v>
      </c>
      <c r="AD3894">
        <v>10</v>
      </c>
      <c r="AE3894">
        <v>0</v>
      </c>
      <c r="AF3894">
        <v>3</v>
      </c>
      <c r="AG3894">
        <v>2</v>
      </c>
      <c r="AH3894">
        <v>0</v>
      </c>
      <c r="AI3894" t="s">
        <v>893</v>
      </c>
      <c r="AJ3894">
        <v>28.270655000000001</v>
      </c>
      <c r="AK3894" t="s">
        <v>894</v>
      </c>
      <c r="AL3894">
        <v>-82.283992999999995</v>
      </c>
      <c r="AM3894">
        <v>100</v>
      </c>
      <c r="AN3894">
        <v>2300</v>
      </c>
      <c r="AO3894" t="s">
        <v>118</v>
      </c>
      <c r="AP3894">
        <v>-140</v>
      </c>
      <c r="AQ3894">
        <v>-31</v>
      </c>
      <c r="AR3894">
        <v>320</v>
      </c>
      <c r="AZ3894">
        <v>1200</v>
      </c>
      <c r="BA3894">
        <v>1</v>
      </c>
      <c r="BB3894" t="str">
        <f t="shared" si="1789"/>
        <v xml:space="preserve">N711JA  </v>
      </c>
      <c r="BC3894">
        <v>1</v>
      </c>
      <c r="BE3894">
        <v>0</v>
      </c>
      <c r="BF3894">
        <v>0</v>
      </c>
      <c r="BG3894">
        <v>0</v>
      </c>
      <c r="BH3894">
        <v>2300</v>
      </c>
      <c r="BI3894">
        <v>1</v>
      </c>
      <c r="BJ3894">
        <v>1</v>
      </c>
      <c r="BK3894">
        <v>0</v>
      </c>
      <c r="BL3894">
        <v>0</v>
      </c>
      <c r="BO3894">
        <v>0</v>
      </c>
      <c r="BP3894">
        <v>0</v>
      </c>
      <c r="BW3894" t="str">
        <f t="shared" si="1800"/>
        <v>14:48:18.534</v>
      </c>
      <c r="CJ3894">
        <v>0</v>
      </c>
      <c r="CK3894">
        <v>2</v>
      </c>
      <c r="CL3894">
        <v>0</v>
      </c>
      <c r="CM3894">
        <v>2</v>
      </c>
      <c r="CN3894">
        <v>0</v>
      </c>
      <c r="CO3894">
        <v>7</v>
      </c>
      <c r="CP3894" t="s">
        <v>119</v>
      </c>
      <c r="CQ3894">
        <v>8</v>
      </c>
      <c r="CR3894">
        <v>3</v>
      </c>
      <c r="CW3894">
        <v>9089016</v>
      </c>
      <c r="CY3894">
        <v>1</v>
      </c>
      <c r="CZ3894">
        <v>0</v>
      </c>
      <c r="DA3894">
        <v>1</v>
      </c>
      <c r="DB3894">
        <v>0</v>
      </c>
      <c r="DC3894">
        <v>0</v>
      </c>
      <c r="DD3894">
        <v>1</v>
      </c>
      <c r="DE3894">
        <v>0</v>
      </c>
      <c r="DF3894">
        <v>0</v>
      </c>
      <c r="DG3894">
        <v>0</v>
      </c>
      <c r="DH3894">
        <v>0</v>
      </c>
      <c r="DI3894">
        <v>0</v>
      </c>
    </row>
    <row r="3895" spans="1:113" x14ac:dyDescent="0.3">
      <c r="A3895" t="str">
        <f t="shared" si="1797"/>
        <v>05/12/2020 14:48:00.697</v>
      </c>
      <c r="C3895" t="str">
        <f t="shared" si="1786"/>
        <v>FFDFD3C0</v>
      </c>
      <c r="D3895" t="s">
        <v>131</v>
      </c>
      <c r="E3895">
        <v>10</v>
      </c>
      <c r="F3895">
        <v>2010</v>
      </c>
      <c r="G3895" t="s">
        <v>132</v>
      </c>
      <c r="J3895" t="s">
        <v>133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 t="shared" si="1798"/>
        <v>14:48:18.531</v>
      </c>
      <c r="T3895" t="str">
        <f t="shared" si="1799"/>
        <v>14:48:18.331</v>
      </c>
      <c r="U3895" t="str">
        <f t="shared" si="1776"/>
        <v>A9808D</v>
      </c>
      <c r="V3895">
        <v>0</v>
      </c>
      <c r="W3895">
        <v>0</v>
      </c>
      <c r="X3895">
        <v>1</v>
      </c>
      <c r="Z3895">
        <v>0</v>
      </c>
      <c r="AA3895">
        <v>9</v>
      </c>
      <c r="AB3895">
        <v>3</v>
      </c>
      <c r="AC3895">
        <v>0</v>
      </c>
      <c r="AD3895">
        <v>10</v>
      </c>
      <c r="AE3895">
        <v>0</v>
      </c>
      <c r="AF3895">
        <v>3</v>
      </c>
      <c r="AG3895">
        <v>2</v>
      </c>
      <c r="AH3895">
        <v>0</v>
      </c>
      <c r="AI3895" t="s">
        <v>893</v>
      </c>
      <c r="AJ3895">
        <v>28.270655000000001</v>
      </c>
      <c r="AK3895" t="s">
        <v>894</v>
      </c>
      <c r="AL3895">
        <v>-82.283992999999995</v>
      </c>
      <c r="AM3895">
        <v>100</v>
      </c>
      <c r="AN3895">
        <v>2300</v>
      </c>
      <c r="AO3895" t="s">
        <v>118</v>
      </c>
      <c r="AP3895">
        <v>-140</v>
      </c>
      <c r="AQ3895">
        <v>-31</v>
      </c>
      <c r="AR3895">
        <v>320</v>
      </c>
      <c r="AZ3895">
        <v>1200</v>
      </c>
      <c r="BA3895">
        <v>1</v>
      </c>
      <c r="BB3895" t="str">
        <f t="shared" si="1789"/>
        <v xml:space="preserve">N711JA  </v>
      </c>
      <c r="BC3895">
        <v>1</v>
      </c>
      <c r="BE3895">
        <v>0</v>
      </c>
      <c r="BF3895">
        <v>0</v>
      </c>
      <c r="BG3895">
        <v>0</v>
      </c>
      <c r="BH3895">
        <v>2300</v>
      </c>
      <c r="BI3895">
        <v>1</v>
      </c>
      <c r="BJ3895">
        <v>1</v>
      </c>
      <c r="BK3895">
        <v>0</v>
      </c>
      <c r="BL3895">
        <v>0</v>
      </c>
      <c r="BO3895">
        <v>0</v>
      </c>
      <c r="BP3895">
        <v>0</v>
      </c>
      <c r="BW3895" t="str">
        <f t="shared" si="1800"/>
        <v>14:48:18.534</v>
      </c>
      <c r="CJ3895">
        <v>0</v>
      </c>
      <c r="CK3895">
        <v>2</v>
      </c>
      <c r="CL3895">
        <v>0</v>
      </c>
      <c r="CM3895">
        <v>2</v>
      </c>
      <c r="CN3895">
        <v>0</v>
      </c>
      <c r="CO3895">
        <v>7</v>
      </c>
      <c r="CP3895" t="s">
        <v>119</v>
      </c>
      <c r="CQ3895">
        <v>8</v>
      </c>
      <c r="CR3895">
        <v>3</v>
      </c>
      <c r="CW3895">
        <v>9089016</v>
      </c>
      <c r="CY3895">
        <v>1</v>
      </c>
      <c r="CZ3895">
        <v>0</v>
      </c>
      <c r="DA3895">
        <v>1</v>
      </c>
      <c r="DB3895">
        <v>0</v>
      </c>
      <c r="DC3895">
        <v>0</v>
      </c>
      <c r="DD3895">
        <v>1</v>
      </c>
      <c r="DE3895">
        <v>0</v>
      </c>
      <c r="DF3895">
        <v>0</v>
      </c>
      <c r="DG3895">
        <v>0</v>
      </c>
      <c r="DH3895">
        <v>0</v>
      </c>
      <c r="DI3895">
        <v>0</v>
      </c>
    </row>
    <row r="3896" spans="1:113" x14ac:dyDescent="0.3">
      <c r="A3896" t="str">
        <f t="shared" si="1797"/>
        <v>05/12/2020 14:48:00.697</v>
      </c>
      <c r="C3896" t="str">
        <f t="shared" si="1786"/>
        <v>FFDFD3C0</v>
      </c>
      <c r="D3896" t="s">
        <v>131</v>
      </c>
      <c r="E3896">
        <v>12</v>
      </c>
      <c r="F3896">
        <v>2012</v>
      </c>
      <c r="G3896" t="s">
        <v>137</v>
      </c>
      <c r="J3896" t="s">
        <v>133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 t="shared" si="1798"/>
        <v>14:48:18.531</v>
      </c>
      <c r="T3896" t="str">
        <f t="shared" si="1799"/>
        <v>14:48:18.331</v>
      </c>
      <c r="U3896" t="str">
        <f t="shared" si="1776"/>
        <v>A9808D</v>
      </c>
      <c r="V3896">
        <v>0</v>
      </c>
      <c r="W3896">
        <v>0</v>
      </c>
      <c r="X3896">
        <v>1</v>
      </c>
      <c r="Z3896">
        <v>0</v>
      </c>
      <c r="AA3896">
        <v>9</v>
      </c>
      <c r="AB3896">
        <v>3</v>
      </c>
      <c r="AC3896">
        <v>0</v>
      </c>
      <c r="AD3896">
        <v>10</v>
      </c>
      <c r="AE3896">
        <v>0</v>
      </c>
      <c r="AF3896">
        <v>3</v>
      </c>
      <c r="AG3896">
        <v>2</v>
      </c>
      <c r="AH3896">
        <v>0</v>
      </c>
      <c r="AI3896" t="s">
        <v>893</v>
      </c>
      <c r="AJ3896">
        <v>28.270655000000001</v>
      </c>
      <c r="AK3896" t="s">
        <v>894</v>
      </c>
      <c r="AL3896">
        <v>-82.283992999999995</v>
      </c>
      <c r="AM3896">
        <v>100</v>
      </c>
      <c r="AN3896">
        <v>2300</v>
      </c>
      <c r="AO3896" t="s">
        <v>118</v>
      </c>
      <c r="AP3896">
        <v>-140</v>
      </c>
      <c r="AQ3896">
        <v>-31</v>
      </c>
      <c r="AR3896">
        <v>320</v>
      </c>
      <c r="AZ3896">
        <v>1200</v>
      </c>
      <c r="BA3896">
        <v>1</v>
      </c>
      <c r="BB3896" t="str">
        <f t="shared" si="1789"/>
        <v xml:space="preserve">N711JA  </v>
      </c>
      <c r="BC3896">
        <v>1</v>
      </c>
      <c r="BE3896">
        <v>0</v>
      </c>
      <c r="BF3896">
        <v>0</v>
      </c>
      <c r="BG3896">
        <v>0</v>
      </c>
      <c r="BH3896">
        <v>2300</v>
      </c>
      <c r="BI3896">
        <v>1</v>
      </c>
      <c r="BJ3896">
        <v>1</v>
      </c>
      <c r="BK3896">
        <v>0</v>
      </c>
      <c r="BL3896">
        <v>0</v>
      </c>
      <c r="BO3896">
        <v>0</v>
      </c>
      <c r="BP3896">
        <v>0</v>
      </c>
      <c r="BW3896" t="str">
        <f t="shared" si="1800"/>
        <v>14:48:18.534</v>
      </c>
      <c r="CJ3896">
        <v>0</v>
      </c>
      <c r="CK3896">
        <v>2</v>
      </c>
      <c r="CL3896">
        <v>0</v>
      </c>
      <c r="CM3896">
        <v>2</v>
      </c>
      <c r="CN3896">
        <v>0</v>
      </c>
      <c r="CO3896">
        <v>7</v>
      </c>
      <c r="CP3896" t="s">
        <v>119</v>
      </c>
      <c r="CQ3896">
        <v>8</v>
      </c>
      <c r="CR3896">
        <v>3</v>
      </c>
      <c r="CW3896">
        <v>9089016</v>
      </c>
      <c r="CY3896">
        <v>1</v>
      </c>
      <c r="CZ3896">
        <v>0</v>
      </c>
      <c r="DA3896">
        <v>1</v>
      </c>
      <c r="DB3896">
        <v>0</v>
      </c>
      <c r="DC3896">
        <v>0</v>
      </c>
      <c r="DD3896">
        <v>1</v>
      </c>
      <c r="DE3896">
        <v>0</v>
      </c>
      <c r="DF3896">
        <v>0</v>
      </c>
      <c r="DG3896">
        <v>0</v>
      </c>
      <c r="DH3896">
        <v>0</v>
      </c>
      <c r="DI3896">
        <v>0</v>
      </c>
    </row>
    <row r="3897" spans="1:113" x14ac:dyDescent="0.3">
      <c r="A3897" t="str">
        <f t="shared" si="1797"/>
        <v>05/12/2020 14:48:00.697</v>
      </c>
      <c r="C3897" t="str">
        <f t="shared" si="1786"/>
        <v>FFDFD3C0</v>
      </c>
      <c r="D3897" t="s">
        <v>131</v>
      </c>
      <c r="E3897">
        <v>18</v>
      </c>
      <c r="F3897">
        <v>2018</v>
      </c>
      <c r="G3897" t="s">
        <v>161</v>
      </c>
      <c r="J3897" t="s">
        <v>133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 t="shared" si="1798"/>
        <v>14:48:18.531</v>
      </c>
      <c r="T3897" t="str">
        <f t="shared" si="1799"/>
        <v>14:48:18.331</v>
      </c>
      <c r="U3897" t="str">
        <f t="shared" si="1776"/>
        <v>A9808D</v>
      </c>
      <c r="V3897">
        <v>0</v>
      </c>
      <c r="W3897">
        <v>0</v>
      </c>
      <c r="X3897">
        <v>1</v>
      </c>
      <c r="Z3897">
        <v>0</v>
      </c>
      <c r="AA3897">
        <v>9</v>
      </c>
      <c r="AB3897">
        <v>3</v>
      </c>
      <c r="AC3897">
        <v>0</v>
      </c>
      <c r="AD3897">
        <v>10</v>
      </c>
      <c r="AE3897">
        <v>0</v>
      </c>
      <c r="AF3897">
        <v>3</v>
      </c>
      <c r="AG3897">
        <v>2</v>
      </c>
      <c r="AH3897">
        <v>0</v>
      </c>
      <c r="AI3897" t="s">
        <v>893</v>
      </c>
      <c r="AJ3897">
        <v>28.270655000000001</v>
      </c>
      <c r="AK3897" t="s">
        <v>894</v>
      </c>
      <c r="AL3897">
        <v>-82.283992999999995</v>
      </c>
      <c r="AM3897">
        <v>100</v>
      </c>
      <c r="AN3897">
        <v>2300</v>
      </c>
      <c r="AO3897" t="s">
        <v>118</v>
      </c>
      <c r="AP3897">
        <v>-140</v>
      </c>
      <c r="AQ3897">
        <v>-31</v>
      </c>
      <c r="AR3897">
        <v>320</v>
      </c>
      <c r="AZ3897">
        <v>1200</v>
      </c>
      <c r="BA3897">
        <v>1</v>
      </c>
      <c r="BB3897" t="str">
        <f t="shared" si="1789"/>
        <v xml:space="preserve">N711JA  </v>
      </c>
      <c r="BC3897">
        <v>1</v>
      </c>
      <c r="BE3897">
        <v>0</v>
      </c>
      <c r="BF3897">
        <v>0</v>
      </c>
      <c r="BG3897">
        <v>0</v>
      </c>
      <c r="BH3897">
        <v>2300</v>
      </c>
      <c r="BI3897">
        <v>1</v>
      </c>
      <c r="BJ3897">
        <v>1</v>
      </c>
      <c r="BK3897">
        <v>0</v>
      </c>
      <c r="BL3897">
        <v>0</v>
      </c>
      <c r="BO3897">
        <v>0</v>
      </c>
      <c r="BP3897">
        <v>0</v>
      </c>
      <c r="BW3897" t="str">
        <f t="shared" si="1800"/>
        <v>14:48:18.534</v>
      </c>
      <c r="CJ3897">
        <v>0</v>
      </c>
      <c r="CK3897">
        <v>2</v>
      </c>
      <c r="CL3897">
        <v>0</v>
      </c>
      <c r="CM3897">
        <v>2</v>
      </c>
      <c r="CN3897">
        <v>0</v>
      </c>
      <c r="CO3897">
        <v>6</v>
      </c>
      <c r="CP3897" t="s">
        <v>119</v>
      </c>
      <c r="CQ3897">
        <v>56</v>
      </c>
      <c r="CR3897">
        <v>2</v>
      </c>
      <c r="CW3897">
        <v>5075621</v>
      </c>
      <c r="CY3897">
        <v>1</v>
      </c>
      <c r="CZ3897">
        <v>0</v>
      </c>
      <c r="DA3897">
        <v>1</v>
      </c>
      <c r="DB3897">
        <v>0</v>
      </c>
      <c r="DC3897">
        <v>0</v>
      </c>
      <c r="DD3897">
        <v>1</v>
      </c>
      <c r="DE3897">
        <v>0</v>
      </c>
      <c r="DF3897">
        <v>0</v>
      </c>
      <c r="DG3897">
        <v>0</v>
      </c>
      <c r="DH3897">
        <v>0</v>
      </c>
      <c r="DI3897">
        <v>0</v>
      </c>
    </row>
    <row r="3898" spans="1:113" x14ac:dyDescent="0.3">
      <c r="A3898" t="str">
        <f t="shared" ref="A3898:A3905" si="1801">"05/12/2020 14:48:01.579"</f>
        <v>05/12/2020 14:48:01.579</v>
      </c>
      <c r="C3898" t="str">
        <f t="shared" si="1786"/>
        <v>FFDFD3C0</v>
      </c>
      <c r="D3898" t="s">
        <v>131</v>
      </c>
      <c r="E3898">
        <v>12</v>
      </c>
      <c r="F3898">
        <v>2012</v>
      </c>
      <c r="G3898" t="s">
        <v>137</v>
      </c>
      <c r="J3898" t="s">
        <v>133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 t="shared" ref="S3898:S3905" si="1802">"14:48:19.406"</f>
        <v>14:48:19.406</v>
      </c>
      <c r="T3898" t="str">
        <f>"14:48:18.806"</f>
        <v>14:48:18.806</v>
      </c>
      <c r="U3898" t="str">
        <f t="shared" si="1776"/>
        <v>A9808D</v>
      </c>
      <c r="V3898">
        <v>0</v>
      </c>
      <c r="W3898">
        <v>0</v>
      </c>
      <c r="X3898">
        <v>1</v>
      </c>
      <c r="Z3898">
        <v>0</v>
      </c>
      <c r="AA3898">
        <v>9</v>
      </c>
      <c r="AB3898">
        <v>3</v>
      </c>
      <c r="AC3898">
        <v>0</v>
      </c>
      <c r="AD3898">
        <v>10</v>
      </c>
      <c r="AE3898">
        <v>0</v>
      </c>
      <c r="AF3898">
        <v>3</v>
      </c>
      <c r="AG3898">
        <v>2</v>
      </c>
      <c r="AH3898">
        <v>0</v>
      </c>
      <c r="AI3898" t="s">
        <v>895</v>
      </c>
      <c r="AJ3898">
        <v>28.270526</v>
      </c>
      <c r="AK3898" t="s">
        <v>896</v>
      </c>
      <c r="AL3898">
        <v>-82.284636000000006</v>
      </c>
      <c r="AM3898">
        <v>100</v>
      </c>
      <c r="AN3898">
        <v>2300</v>
      </c>
      <c r="AO3898" t="s">
        <v>118</v>
      </c>
      <c r="AP3898">
        <v>-139</v>
      </c>
      <c r="AQ3898">
        <v>-32</v>
      </c>
      <c r="AR3898">
        <v>320</v>
      </c>
      <c r="AZ3898">
        <v>1200</v>
      </c>
      <c r="BA3898">
        <v>1</v>
      </c>
      <c r="BB3898" t="str">
        <f t="shared" si="1789"/>
        <v xml:space="preserve">N711JA  </v>
      </c>
      <c r="BC3898">
        <v>1</v>
      </c>
      <c r="BE3898">
        <v>0</v>
      </c>
      <c r="BF3898">
        <v>0</v>
      </c>
      <c r="BG3898">
        <v>0</v>
      </c>
      <c r="BH3898">
        <v>2300</v>
      </c>
      <c r="BI3898">
        <v>1</v>
      </c>
      <c r="BJ3898">
        <v>1</v>
      </c>
      <c r="BK3898">
        <v>0</v>
      </c>
      <c r="BL3898">
        <v>0</v>
      </c>
      <c r="BO3898">
        <v>0</v>
      </c>
      <c r="BP3898">
        <v>0</v>
      </c>
      <c r="BW3898" t="str">
        <f t="shared" ref="BW3898:BW3905" si="1803">"14:48:19.414"</f>
        <v>14:48:19.414</v>
      </c>
      <c r="CJ3898">
        <v>0</v>
      </c>
      <c r="CK3898">
        <v>2</v>
      </c>
      <c r="CL3898">
        <v>0</v>
      </c>
      <c r="CM3898">
        <v>2</v>
      </c>
      <c r="CN3898">
        <v>0</v>
      </c>
      <c r="CO3898">
        <v>7</v>
      </c>
      <c r="CP3898" t="s">
        <v>119</v>
      </c>
      <c r="CQ3898">
        <v>8</v>
      </c>
      <c r="CR3898">
        <v>3</v>
      </c>
      <c r="CW3898">
        <v>9089900</v>
      </c>
      <c r="CY3898">
        <v>1</v>
      </c>
      <c r="CZ3898">
        <v>0</v>
      </c>
      <c r="DA3898">
        <v>0</v>
      </c>
      <c r="DB3898">
        <v>0</v>
      </c>
      <c r="DC3898">
        <v>0</v>
      </c>
      <c r="DD3898">
        <v>1</v>
      </c>
      <c r="DE3898">
        <v>0</v>
      </c>
      <c r="DF3898">
        <v>0</v>
      </c>
      <c r="DG3898">
        <v>0</v>
      </c>
      <c r="DH3898">
        <v>0</v>
      </c>
      <c r="DI3898">
        <v>0</v>
      </c>
    </row>
    <row r="3899" spans="1:113" x14ac:dyDescent="0.3">
      <c r="A3899" t="str">
        <f t="shared" si="1801"/>
        <v>05/12/2020 14:48:01.579</v>
      </c>
      <c r="C3899" t="str">
        <f t="shared" si="1786"/>
        <v>FFDFD3C0</v>
      </c>
      <c r="D3899" t="s">
        <v>126</v>
      </c>
      <c r="E3899">
        <v>7</v>
      </c>
      <c r="F3899">
        <v>1007</v>
      </c>
      <c r="G3899" t="s">
        <v>127</v>
      </c>
      <c r="J3899" t="s">
        <v>128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 t="shared" si="1802"/>
        <v>14:48:19.406</v>
      </c>
      <c r="T3899" t="str">
        <f>"14:48:19.406"</f>
        <v>14:48:19.406</v>
      </c>
      <c r="U3899" t="str">
        <f t="shared" si="1776"/>
        <v>A9808D</v>
      </c>
      <c r="V3899">
        <v>0</v>
      </c>
      <c r="W3899">
        <v>0</v>
      </c>
      <c r="X3899">
        <v>1</v>
      </c>
      <c r="Z3899">
        <v>0</v>
      </c>
      <c r="AA3899">
        <v>9</v>
      </c>
      <c r="AB3899">
        <v>3</v>
      </c>
      <c r="AC3899">
        <v>0</v>
      </c>
      <c r="AD3899">
        <v>10</v>
      </c>
      <c r="AE3899">
        <v>0</v>
      </c>
      <c r="AF3899">
        <v>3</v>
      </c>
      <c r="AG3899">
        <v>2</v>
      </c>
      <c r="AH3899">
        <v>0</v>
      </c>
      <c r="AI3899" t="s">
        <v>895</v>
      </c>
      <c r="AJ3899">
        <v>28.270526</v>
      </c>
      <c r="AK3899" t="s">
        <v>896</v>
      </c>
      <c r="AL3899">
        <v>-82.284636000000006</v>
      </c>
      <c r="AM3899">
        <v>100</v>
      </c>
      <c r="AN3899">
        <v>2300</v>
      </c>
      <c r="AO3899" t="s">
        <v>118</v>
      </c>
      <c r="AP3899">
        <v>-139</v>
      </c>
      <c r="AQ3899">
        <v>-34</v>
      </c>
      <c r="AR3899">
        <v>256</v>
      </c>
      <c r="AZ3899">
        <v>1200</v>
      </c>
      <c r="BA3899">
        <v>1</v>
      </c>
      <c r="BB3899" t="str">
        <f t="shared" si="1789"/>
        <v xml:space="preserve">N711JA  </v>
      </c>
      <c r="BC3899">
        <v>1</v>
      </c>
      <c r="BE3899">
        <v>0</v>
      </c>
      <c r="BF3899">
        <v>0</v>
      </c>
      <c r="BG3899">
        <v>0</v>
      </c>
      <c r="BH3899">
        <v>2300</v>
      </c>
      <c r="BI3899">
        <v>1</v>
      </c>
      <c r="BJ3899">
        <v>1</v>
      </c>
      <c r="BK3899">
        <v>0</v>
      </c>
      <c r="BL3899">
        <v>0</v>
      </c>
      <c r="BO3899">
        <v>0</v>
      </c>
      <c r="BP3899">
        <v>0</v>
      </c>
      <c r="BW3899" t="str">
        <f t="shared" si="1803"/>
        <v>14:48:19.414</v>
      </c>
      <c r="CJ3899">
        <v>0</v>
      </c>
      <c r="CK3899">
        <v>2</v>
      </c>
      <c r="CL3899">
        <v>0</v>
      </c>
      <c r="CM3899">
        <v>2</v>
      </c>
      <c r="CN3899">
        <v>0</v>
      </c>
      <c r="CO3899">
        <v>6</v>
      </c>
      <c r="CP3899" t="s">
        <v>119</v>
      </c>
      <c r="CQ3899">
        <v>358</v>
      </c>
      <c r="CR3899">
        <v>0</v>
      </c>
      <c r="CW3899">
        <v>5050423</v>
      </c>
      <c r="CY3899">
        <v>1</v>
      </c>
      <c r="CZ3899">
        <v>0</v>
      </c>
      <c r="DA3899">
        <v>1</v>
      </c>
      <c r="DB3899">
        <v>0</v>
      </c>
      <c r="DC3899">
        <v>0</v>
      </c>
      <c r="DD3899">
        <v>1</v>
      </c>
      <c r="DE3899">
        <v>0</v>
      </c>
      <c r="DF3899">
        <v>0</v>
      </c>
      <c r="DG3899">
        <v>0</v>
      </c>
      <c r="DH3899">
        <v>0</v>
      </c>
      <c r="DI3899">
        <v>0</v>
      </c>
    </row>
    <row r="3900" spans="1:113" x14ac:dyDescent="0.3">
      <c r="A3900" t="str">
        <f t="shared" si="1801"/>
        <v>05/12/2020 14:48:01.579</v>
      </c>
      <c r="C3900" t="str">
        <f t="shared" si="1786"/>
        <v>FFDFD3C0</v>
      </c>
      <c r="D3900" t="s">
        <v>131</v>
      </c>
      <c r="E3900">
        <v>10</v>
      </c>
      <c r="F3900">
        <v>2010</v>
      </c>
      <c r="G3900" t="s">
        <v>132</v>
      </c>
      <c r="J3900" t="s">
        <v>133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 t="shared" si="1802"/>
        <v>14:48:19.406</v>
      </c>
      <c r="T3900" t="str">
        <f>"14:48:19.406"</f>
        <v>14:48:19.406</v>
      </c>
      <c r="U3900" t="str">
        <f t="shared" si="1776"/>
        <v>A9808D</v>
      </c>
      <c r="V3900">
        <v>0</v>
      </c>
      <c r="W3900">
        <v>0</v>
      </c>
      <c r="X3900">
        <v>1</v>
      </c>
      <c r="Z3900">
        <v>0</v>
      </c>
      <c r="AA3900">
        <v>9</v>
      </c>
      <c r="AB3900">
        <v>3</v>
      </c>
      <c r="AC3900">
        <v>0</v>
      </c>
      <c r="AD3900">
        <v>10</v>
      </c>
      <c r="AE3900">
        <v>0</v>
      </c>
      <c r="AF3900">
        <v>3</v>
      </c>
      <c r="AG3900">
        <v>2</v>
      </c>
      <c r="AH3900">
        <v>0</v>
      </c>
      <c r="AI3900" t="s">
        <v>895</v>
      </c>
      <c r="AJ3900">
        <v>28.270526</v>
      </c>
      <c r="AK3900" t="s">
        <v>896</v>
      </c>
      <c r="AL3900">
        <v>-82.284636000000006</v>
      </c>
      <c r="AM3900">
        <v>100</v>
      </c>
      <c r="AN3900">
        <v>2300</v>
      </c>
      <c r="AO3900" t="s">
        <v>118</v>
      </c>
      <c r="AP3900">
        <v>-139</v>
      </c>
      <c r="AQ3900">
        <v>-34</v>
      </c>
      <c r="AR3900">
        <v>256</v>
      </c>
      <c r="AZ3900">
        <v>1200</v>
      </c>
      <c r="BA3900">
        <v>1</v>
      </c>
      <c r="BB3900" t="str">
        <f t="shared" si="1789"/>
        <v xml:space="preserve">N711JA  </v>
      </c>
      <c r="BC3900">
        <v>1</v>
      </c>
      <c r="BE3900">
        <v>0</v>
      </c>
      <c r="BF3900">
        <v>0</v>
      </c>
      <c r="BG3900">
        <v>0</v>
      </c>
      <c r="BH3900">
        <v>2300</v>
      </c>
      <c r="BI3900">
        <v>1</v>
      </c>
      <c r="BJ3900">
        <v>1</v>
      </c>
      <c r="BK3900">
        <v>0</v>
      </c>
      <c r="BL3900">
        <v>0</v>
      </c>
      <c r="BO3900">
        <v>0</v>
      </c>
      <c r="BP3900">
        <v>0</v>
      </c>
      <c r="BW3900" t="str">
        <f t="shared" si="1803"/>
        <v>14:48:19.414</v>
      </c>
      <c r="CJ3900">
        <v>0</v>
      </c>
      <c r="CK3900">
        <v>2</v>
      </c>
      <c r="CL3900">
        <v>0</v>
      </c>
      <c r="CM3900">
        <v>2</v>
      </c>
      <c r="CN3900">
        <v>0</v>
      </c>
      <c r="CO3900">
        <v>6</v>
      </c>
      <c r="CP3900" t="s">
        <v>119</v>
      </c>
      <c r="CQ3900">
        <v>358</v>
      </c>
      <c r="CR3900">
        <v>0</v>
      </c>
      <c r="CW3900">
        <v>5050423</v>
      </c>
      <c r="CY3900">
        <v>1</v>
      </c>
      <c r="CZ3900">
        <v>0</v>
      </c>
      <c r="DA3900">
        <v>1</v>
      </c>
      <c r="DB3900">
        <v>0</v>
      </c>
      <c r="DC3900">
        <v>0</v>
      </c>
      <c r="DD3900">
        <v>1</v>
      </c>
      <c r="DE3900">
        <v>0</v>
      </c>
      <c r="DF3900">
        <v>0</v>
      </c>
      <c r="DG3900">
        <v>0</v>
      </c>
      <c r="DH3900">
        <v>0</v>
      </c>
      <c r="DI3900">
        <v>0</v>
      </c>
    </row>
    <row r="3901" spans="1:113" x14ac:dyDescent="0.3">
      <c r="A3901" t="str">
        <f t="shared" si="1801"/>
        <v>05/12/2020 14:48:01.579</v>
      </c>
      <c r="C3901" t="str">
        <f t="shared" si="1786"/>
        <v>FFDFD3C0</v>
      </c>
      <c r="D3901" t="s">
        <v>134</v>
      </c>
      <c r="E3901">
        <v>12</v>
      </c>
      <c r="H3901">
        <v>64</v>
      </c>
      <c r="I3901" t="s">
        <v>135</v>
      </c>
      <c r="J3901" t="s">
        <v>136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 t="shared" si="1802"/>
        <v>14:48:19.406</v>
      </c>
      <c r="T3901" t="str">
        <f>"14:48:19.406"</f>
        <v>14:48:19.406</v>
      </c>
      <c r="U3901" t="str">
        <f t="shared" si="1776"/>
        <v>A9808D</v>
      </c>
      <c r="V3901">
        <v>0</v>
      </c>
      <c r="W3901">
        <v>0</v>
      </c>
      <c r="X3901">
        <v>1</v>
      </c>
      <c r="Z3901">
        <v>0</v>
      </c>
      <c r="AA3901">
        <v>9</v>
      </c>
      <c r="AB3901">
        <v>3</v>
      </c>
      <c r="AC3901">
        <v>0</v>
      </c>
      <c r="AD3901">
        <v>10</v>
      </c>
      <c r="AE3901">
        <v>0</v>
      </c>
      <c r="AF3901">
        <v>3</v>
      </c>
      <c r="AG3901">
        <v>2</v>
      </c>
      <c r="AH3901">
        <v>0</v>
      </c>
      <c r="AI3901" t="s">
        <v>895</v>
      </c>
      <c r="AJ3901">
        <v>28.270526</v>
      </c>
      <c r="AK3901" t="s">
        <v>896</v>
      </c>
      <c r="AL3901">
        <v>-82.284636000000006</v>
      </c>
      <c r="AM3901">
        <v>100</v>
      </c>
      <c r="AN3901">
        <v>2300</v>
      </c>
      <c r="AO3901" t="s">
        <v>118</v>
      </c>
      <c r="AP3901">
        <v>-139</v>
      </c>
      <c r="AQ3901">
        <v>-34</v>
      </c>
      <c r="AR3901">
        <v>256</v>
      </c>
      <c r="AZ3901">
        <v>1200</v>
      </c>
      <c r="BA3901">
        <v>1</v>
      </c>
      <c r="BB3901" t="str">
        <f t="shared" si="1789"/>
        <v xml:space="preserve">N711JA  </v>
      </c>
      <c r="BC3901">
        <v>1</v>
      </c>
      <c r="BE3901">
        <v>0</v>
      </c>
      <c r="BF3901">
        <v>0</v>
      </c>
      <c r="BG3901">
        <v>0</v>
      </c>
      <c r="BH3901">
        <v>2300</v>
      </c>
      <c r="BI3901">
        <v>1</v>
      </c>
      <c r="BJ3901">
        <v>1</v>
      </c>
      <c r="BK3901">
        <v>0</v>
      </c>
      <c r="BL3901">
        <v>0</v>
      </c>
      <c r="BO3901">
        <v>0</v>
      </c>
      <c r="BP3901">
        <v>0</v>
      </c>
      <c r="BW3901" t="str">
        <f t="shared" si="1803"/>
        <v>14:48:19.414</v>
      </c>
      <c r="CJ3901">
        <v>0</v>
      </c>
      <c r="CK3901">
        <v>2</v>
      </c>
      <c r="CL3901">
        <v>0</v>
      </c>
      <c r="CM3901">
        <v>2</v>
      </c>
      <c r="CN3901">
        <v>0</v>
      </c>
      <c r="CO3901">
        <v>6</v>
      </c>
      <c r="CP3901" t="s">
        <v>119</v>
      </c>
      <c r="CQ3901">
        <v>358</v>
      </c>
      <c r="CR3901">
        <v>0</v>
      </c>
      <c r="CW3901">
        <v>5050423</v>
      </c>
      <c r="CY3901">
        <v>1</v>
      </c>
      <c r="CZ3901">
        <v>0</v>
      </c>
      <c r="DA3901">
        <v>1</v>
      </c>
      <c r="DB3901">
        <v>0</v>
      </c>
      <c r="DC3901">
        <v>0</v>
      </c>
      <c r="DD3901">
        <v>1</v>
      </c>
      <c r="DE3901">
        <v>0</v>
      </c>
      <c r="DF3901">
        <v>0</v>
      </c>
      <c r="DG3901">
        <v>0</v>
      </c>
      <c r="DH3901">
        <v>0</v>
      </c>
      <c r="DI3901">
        <v>0</v>
      </c>
    </row>
    <row r="3902" spans="1:113" x14ac:dyDescent="0.3">
      <c r="A3902" t="str">
        <f t="shared" si="1801"/>
        <v>05/12/2020 14:48:01.579</v>
      </c>
      <c r="C3902" t="str">
        <f t="shared" si="1786"/>
        <v>FFDFD3C0</v>
      </c>
      <c r="D3902" t="s">
        <v>138</v>
      </c>
      <c r="E3902">
        <v>2</v>
      </c>
      <c r="H3902">
        <v>8</v>
      </c>
      <c r="I3902" t="s">
        <v>139</v>
      </c>
      <c r="J3902" t="s">
        <v>136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 t="shared" si="1802"/>
        <v>14:48:19.406</v>
      </c>
      <c r="T3902" t="str">
        <f>"14:48:18.806"</f>
        <v>14:48:18.806</v>
      </c>
      <c r="U3902" t="str">
        <f t="shared" si="1776"/>
        <v>A9808D</v>
      </c>
      <c r="V3902">
        <v>0</v>
      </c>
      <c r="W3902">
        <v>0</v>
      </c>
      <c r="X3902">
        <v>1</v>
      </c>
      <c r="Z3902">
        <v>0</v>
      </c>
      <c r="AA3902">
        <v>9</v>
      </c>
      <c r="AB3902">
        <v>3</v>
      </c>
      <c r="AC3902">
        <v>0</v>
      </c>
      <c r="AD3902">
        <v>10</v>
      </c>
      <c r="AE3902">
        <v>0</v>
      </c>
      <c r="AF3902">
        <v>3</v>
      </c>
      <c r="AG3902">
        <v>2</v>
      </c>
      <c r="AH3902">
        <v>0</v>
      </c>
      <c r="AI3902" t="s">
        <v>895</v>
      </c>
      <c r="AJ3902">
        <v>28.270526</v>
      </c>
      <c r="AK3902" t="s">
        <v>896</v>
      </c>
      <c r="AL3902">
        <v>-82.284636000000006</v>
      </c>
      <c r="AM3902">
        <v>100</v>
      </c>
      <c r="AN3902">
        <v>2300</v>
      </c>
      <c r="AO3902" t="s">
        <v>118</v>
      </c>
      <c r="AP3902">
        <v>-139</v>
      </c>
      <c r="AQ3902">
        <v>-32</v>
      </c>
      <c r="AR3902">
        <v>320</v>
      </c>
      <c r="AZ3902">
        <v>1200</v>
      </c>
      <c r="BA3902">
        <v>1</v>
      </c>
      <c r="BB3902" t="str">
        <f t="shared" si="1789"/>
        <v xml:space="preserve">N711JA  </v>
      </c>
      <c r="BC3902">
        <v>1</v>
      </c>
      <c r="BE3902">
        <v>0</v>
      </c>
      <c r="BF3902">
        <v>0</v>
      </c>
      <c r="BG3902">
        <v>0</v>
      </c>
      <c r="BH3902">
        <v>2300</v>
      </c>
      <c r="BI3902">
        <v>1</v>
      </c>
      <c r="BJ3902">
        <v>1</v>
      </c>
      <c r="BK3902">
        <v>0</v>
      </c>
      <c r="BL3902">
        <v>0</v>
      </c>
      <c r="BO3902">
        <v>0</v>
      </c>
      <c r="BP3902">
        <v>0</v>
      </c>
      <c r="BW3902" t="str">
        <f t="shared" si="1803"/>
        <v>14:48:19.414</v>
      </c>
      <c r="CJ3902">
        <v>0</v>
      </c>
      <c r="CK3902">
        <v>2</v>
      </c>
      <c r="CL3902">
        <v>0</v>
      </c>
      <c r="CM3902">
        <v>2</v>
      </c>
      <c r="CN3902">
        <v>0</v>
      </c>
      <c r="CO3902">
        <v>7</v>
      </c>
      <c r="CP3902" t="s">
        <v>119</v>
      </c>
      <c r="CQ3902">
        <v>8</v>
      </c>
      <c r="CR3902">
        <v>3</v>
      </c>
      <c r="CW3902">
        <v>9089900</v>
      </c>
      <c r="CY3902">
        <v>1</v>
      </c>
      <c r="CZ3902">
        <v>0</v>
      </c>
      <c r="DA3902">
        <v>1</v>
      </c>
      <c r="DB3902">
        <v>0</v>
      </c>
      <c r="DC3902">
        <v>0</v>
      </c>
      <c r="DD3902">
        <v>1</v>
      </c>
      <c r="DE3902">
        <v>0</v>
      </c>
      <c r="DF3902">
        <v>0</v>
      </c>
      <c r="DG3902">
        <v>0</v>
      </c>
      <c r="DH3902">
        <v>0</v>
      </c>
      <c r="DI3902">
        <v>0</v>
      </c>
    </row>
    <row r="3903" spans="1:113" x14ac:dyDescent="0.3">
      <c r="A3903" t="str">
        <f t="shared" si="1801"/>
        <v>05/12/2020 14:48:01.579</v>
      </c>
      <c r="C3903" t="str">
        <f t="shared" si="1786"/>
        <v>FFDFD3C0</v>
      </c>
      <c r="D3903" t="s">
        <v>138</v>
      </c>
      <c r="E3903">
        <v>3</v>
      </c>
      <c r="H3903">
        <v>9</v>
      </c>
      <c r="I3903" t="s">
        <v>140</v>
      </c>
      <c r="J3903" t="s">
        <v>136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 t="shared" si="1802"/>
        <v>14:48:19.406</v>
      </c>
      <c r="T3903" t="str">
        <f>"14:48:19.406"</f>
        <v>14:48:19.406</v>
      </c>
      <c r="U3903" t="str">
        <f t="shared" si="1776"/>
        <v>A9808D</v>
      </c>
      <c r="V3903">
        <v>0</v>
      </c>
      <c r="W3903">
        <v>0</v>
      </c>
      <c r="X3903">
        <v>1</v>
      </c>
      <c r="Z3903">
        <v>0</v>
      </c>
      <c r="AA3903">
        <v>9</v>
      </c>
      <c r="AB3903">
        <v>3</v>
      </c>
      <c r="AC3903">
        <v>0</v>
      </c>
      <c r="AD3903">
        <v>10</v>
      </c>
      <c r="AE3903">
        <v>0</v>
      </c>
      <c r="AF3903">
        <v>3</v>
      </c>
      <c r="AG3903">
        <v>2</v>
      </c>
      <c r="AH3903">
        <v>0</v>
      </c>
      <c r="AI3903" t="s">
        <v>895</v>
      </c>
      <c r="AJ3903">
        <v>28.270526</v>
      </c>
      <c r="AK3903" t="s">
        <v>896</v>
      </c>
      <c r="AL3903">
        <v>-82.284636000000006</v>
      </c>
      <c r="AM3903">
        <v>100</v>
      </c>
      <c r="AN3903">
        <v>2300</v>
      </c>
      <c r="AO3903" t="s">
        <v>118</v>
      </c>
      <c r="AP3903">
        <v>-139</v>
      </c>
      <c r="AQ3903">
        <v>-34</v>
      </c>
      <c r="AR3903">
        <v>256</v>
      </c>
      <c r="AZ3903">
        <v>1200</v>
      </c>
      <c r="BA3903">
        <v>1</v>
      </c>
      <c r="BB3903" t="str">
        <f t="shared" si="1789"/>
        <v xml:space="preserve">N711JA  </v>
      </c>
      <c r="BC3903">
        <v>1</v>
      </c>
      <c r="BE3903">
        <v>0</v>
      </c>
      <c r="BF3903">
        <v>0</v>
      </c>
      <c r="BG3903">
        <v>0</v>
      </c>
      <c r="BH3903">
        <v>2300</v>
      </c>
      <c r="BI3903">
        <v>1</v>
      </c>
      <c r="BJ3903">
        <v>1</v>
      </c>
      <c r="BK3903">
        <v>0</v>
      </c>
      <c r="BL3903">
        <v>0</v>
      </c>
      <c r="BO3903">
        <v>0</v>
      </c>
      <c r="BP3903">
        <v>0</v>
      </c>
      <c r="BW3903" t="str">
        <f t="shared" si="1803"/>
        <v>14:48:19.414</v>
      </c>
      <c r="CJ3903">
        <v>0</v>
      </c>
      <c r="CK3903">
        <v>2</v>
      </c>
      <c r="CL3903">
        <v>0</v>
      </c>
      <c r="CM3903">
        <v>2</v>
      </c>
      <c r="CN3903">
        <v>0</v>
      </c>
      <c r="CO3903">
        <v>6</v>
      </c>
      <c r="CP3903" t="s">
        <v>119</v>
      </c>
      <c r="CQ3903">
        <v>358</v>
      </c>
      <c r="CR3903">
        <v>0</v>
      </c>
      <c r="CW3903">
        <v>5050423</v>
      </c>
      <c r="CY3903">
        <v>1</v>
      </c>
      <c r="CZ3903">
        <v>0</v>
      </c>
      <c r="DA3903">
        <v>1</v>
      </c>
      <c r="DB3903">
        <v>0</v>
      </c>
      <c r="DC3903">
        <v>0</v>
      </c>
      <c r="DD3903">
        <v>1</v>
      </c>
      <c r="DE3903">
        <v>0</v>
      </c>
      <c r="DF3903">
        <v>0</v>
      </c>
      <c r="DG3903">
        <v>0</v>
      </c>
      <c r="DH3903">
        <v>0</v>
      </c>
      <c r="DI3903">
        <v>0</v>
      </c>
    </row>
    <row r="3904" spans="1:113" x14ac:dyDescent="0.3">
      <c r="A3904" t="str">
        <f t="shared" si="1801"/>
        <v>05/12/2020 14:48:01.579</v>
      </c>
      <c r="C3904" t="str">
        <f t="shared" si="1786"/>
        <v>FFDFD3C0</v>
      </c>
      <c r="D3904" t="s">
        <v>126</v>
      </c>
      <c r="E3904">
        <v>6</v>
      </c>
      <c r="F3904">
        <v>1006</v>
      </c>
      <c r="G3904" t="s">
        <v>114</v>
      </c>
      <c r="J3904" t="s">
        <v>128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 t="shared" si="1802"/>
        <v>14:48:19.406</v>
      </c>
      <c r="T3904" t="str">
        <f>"14:48:19.406"</f>
        <v>14:48:19.406</v>
      </c>
      <c r="U3904" t="str">
        <f t="shared" si="1776"/>
        <v>A9808D</v>
      </c>
      <c r="V3904">
        <v>0</v>
      </c>
      <c r="W3904">
        <v>0</v>
      </c>
      <c r="X3904">
        <v>1</v>
      </c>
      <c r="Z3904">
        <v>0</v>
      </c>
      <c r="AA3904">
        <v>9</v>
      </c>
      <c r="AB3904">
        <v>3</v>
      </c>
      <c r="AC3904">
        <v>0</v>
      </c>
      <c r="AD3904">
        <v>10</v>
      </c>
      <c r="AE3904">
        <v>0</v>
      </c>
      <c r="AF3904">
        <v>3</v>
      </c>
      <c r="AG3904">
        <v>2</v>
      </c>
      <c r="AH3904">
        <v>0</v>
      </c>
      <c r="AI3904" t="s">
        <v>895</v>
      </c>
      <c r="AJ3904">
        <v>28.270526</v>
      </c>
      <c r="AK3904" t="s">
        <v>896</v>
      </c>
      <c r="AL3904">
        <v>-82.284636000000006</v>
      </c>
      <c r="AM3904">
        <v>100</v>
      </c>
      <c r="AN3904">
        <v>2300</v>
      </c>
      <c r="AO3904" t="s">
        <v>118</v>
      </c>
      <c r="AP3904">
        <v>-139</v>
      </c>
      <c r="AQ3904">
        <v>-34</v>
      </c>
      <c r="AR3904">
        <v>256</v>
      </c>
      <c r="AZ3904">
        <v>1200</v>
      </c>
      <c r="BA3904">
        <v>1</v>
      </c>
      <c r="BB3904" t="str">
        <f t="shared" si="1789"/>
        <v xml:space="preserve">N711JA  </v>
      </c>
      <c r="BC3904">
        <v>1</v>
      </c>
      <c r="BE3904">
        <v>0</v>
      </c>
      <c r="BF3904">
        <v>0</v>
      </c>
      <c r="BG3904">
        <v>0</v>
      </c>
      <c r="BH3904">
        <v>2300</v>
      </c>
      <c r="BI3904">
        <v>1</v>
      </c>
      <c r="BJ3904">
        <v>1</v>
      </c>
      <c r="BK3904">
        <v>0</v>
      </c>
      <c r="BL3904">
        <v>0</v>
      </c>
      <c r="BO3904">
        <v>0</v>
      </c>
      <c r="BP3904">
        <v>0</v>
      </c>
      <c r="BW3904" t="str">
        <f t="shared" si="1803"/>
        <v>14:48:19.414</v>
      </c>
      <c r="CJ3904">
        <v>0</v>
      </c>
      <c r="CK3904">
        <v>2</v>
      </c>
      <c r="CL3904">
        <v>0</v>
      </c>
      <c r="CM3904">
        <v>2</v>
      </c>
      <c r="CN3904">
        <v>0</v>
      </c>
      <c r="CO3904">
        <v>6</v>
      </c>
      <c r="CP3904" t="s">
        <v>119</v>
      </c>
      <c r="CQ3904">
        <v>358</v>
      </c>
      <c r="CR3904">
        <v>0</v>
      </c>
      <c r="CW3904">
        <v>5050423</v>
      </c>
      <c r="CY3904">
        <v>1</v>
      </c>
      <c r="CZ3904">
        <v>0</v>
      </c>
      <c r="DA3904">
        <v>1</v>
      </c>
      <c r="DB3904">
        <v>0</v>
      </c>
      <c r="DC3904">
        <v>0</v>
      </c>
      <c r="DD3904">
        <v>1</v>
      </c>
      <c r="DE3904">
        <v>0</v>
      </c>
      <c r="DF3904">
        <v>0</v>
      </c>
      <c r="DG3904">
        <v>0</v>
      </c>
      <c r="DH3904">
        <v>0</v>
      </c>
      <c r="DI3904">
        <v>0</v>
      </c>
    </row>
    <row r="3905" spans="1:113" x14ac:dyDescent="0.3">
      <c r="A3905" t="str">
        <f t="shared" si="1801"/>
        <v>05/12/2020 14:48:01.579</v>
      </c>
      <c r="C3905" t="str">
        <f t="shared" si="1786"/>
        <v>FFDFD3C0</v>
      </c>
      <c r="D3905" t="s">
        <v>113</v>
      </c>
      <c r="E3905">
        <v>3</v>
      </c>
      <c r="H3905">
        <v>164</v>
      </c>
      <c r="I3905" t="s">
        <v>114</v>
      </c>
      <c r="J3905" t="s">
        <v>115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 t="shared" si="1802"/>
        <v>14:48:19.406</v>
      </c>
      <c r="T3905" t="str">
        <f>"14:48:18.806"</f>
        <v>14:48:18.806</v>
      </c>
      <c r="U3905" t="str">
        <f t="shared" si="1776"/>
        <v>A9808D</v>
      </c>
      <c r="V3905">
        <v>0</v>
      </c>
      <c r="W3905">
        <v>0</v>
      </c>
      <c r="X3905">
        <v>1</v>
      </c>
      <c r="Z3905">
        <v>0</v>
      </c>
      <c r="AA3905">
        <v>9</v>
      </c>
      <c r="AB3905">
        <v>3</v>
      </c>
      <c r="AC3905">
        <v>0</v>
      </c>
      <c r="AD3905">
        <v>10</v>
      </c>
      <c r="AE3905">
        <v>0</v>
      </c>
      <c r="AF3905">
        <v>3</v>
      </c>
      <c r="AG3905">
        <v>2</v>
      </c>
      <c r="AH3905">
        <v>0</v>
      </c>
      <c r="AI3905" t="s">
        <v>895</v>
      </c>
      <c r="AJ3905">
        <v>28.270526</v>
      </c>
      <c r="AK3905" t="s">
        <v>896</v>
      </c>
      <c r="AL3905">
        <v>-82.284636000000006</v>
      </c>
      <c r="AM3905">
        <v>100</v>
      </c>
      <c r="AN3905">
        <v>2300</v>
      </c>
      <c r="AO3905" t="s">
        <v>118</v>
      </c>
      <c r="AP3905">
        <v>-139</v>
      </c>
      <c r="AQ3905">
        <v>-32</v>
      </c>
      <c r="AR3905">
        <v>320</v>
      </c>
      <c r="AZ3905">
        <v>1200</v>
      </c>
      <c r="BA3905">
        <v>1</v>
      </c>
      <c r="BB3905" t="str">
        <f t="shared" si="1789"/>
        <v xml:space="preserve">N711JA  </v>
      </c>
      <c r="BC3905">
        <v>1</v>
      </c>
      <c r="BE3905">
        <v>0</v>
      </c>
      <c r="BF3905">
        <v>0</v>
      </c>
      <c r="BG3905">
        <v>0</v>
      </c>
      <c r="BH3905">
        <v>2300</v>
      </c>
      <c r="BI3905">
        <v>1</v>
      </c>
      <c r="BJ3905">
        <v>1</v>
      </c>
      <c r="BK3905">
        <v>0</v>
      </c>
      <c r="BL3905">
        <v>0</v>
      </c>
      <c r="BO3905">
        <v>0</v>
      </c>
      <c r="BP3905">
        <v>0</v>
      </c>
      <c r="BW3905" t="str">
        <f t="shared" si="1803"/>
        <v>14:48:19.414</v>
      </c>
      <c r="CJ3905">
        <v>0</v>
      </c>
      <c r="CK3905">
        <v>2</v>
      </c>
      <c r="CL3905">
        <v>0</v>
      </c>
      <c r="CM3905">
        <v>2</v>
      </c>
      <c r="CN3905">
        <v>0</v>
      </c>
      <c r="CO3905">
        <v>7</v>
      </c>
      <c r="CP3905" t="s">
        <v>119</v>
      </c>
      <c r="CQ3905">
        <v>8</v>
      </c>
      <c r="CR3905">
        <v>3</v>
      </c>
      <c r="CW3905">
        <v>9089900</v>
      </c>
      <c r="CY3905">
        <v>1</v>
      </c>
      <c r="CZ3905">
        <v>0</v>
      </c>
      <c r="DA3905">
        <v>1</v>
      </c>
      <c r="DB3905">
        <v>0</v>
      </c>
      <c r="DC3905">
        <v>0</v>
      </c>
      <c r="DD3905">
        <v>1</v>
      </c>
      <c r="DE3905">
        <v>0</v>
      </c>
      <c r="DF3905">
        <v>0</v>
      </c>
      <c r="DG3905">
        <v>0</v>
      </c>
      <c r="DH3905">
        <v>0</v>
      </c>
      <c r="DI3905">
        <v>0</v>
      </c>
    </row>
    <row r="3906" spans="1:113" x14ac:dyDescent="0.3">
      <c r="A3906" t="str">
        <f t="shared" ref="A3906:A3914" si="1804">"05/12/2020 14:48:02.609"</f>
        <v>05/12/2020 14:48:02.609</v>
      </c>
      <c r="C3906" t="str">
        <f t="shared" si="1786"/>
        <v>FFDFD3C0</v>
      </c>
      <c r="D3906" t="s">
        <v>126</v>
      </c>
      <c r="E3906">
        <v>6</v>
      </c>
      <c r="F3906">
        <v>1006</v>
      </c>
      <c r="G3906" t="s">
        <v>114</v>
      </c>
      <c r="J3906" t="s">
        <v>128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 t="shared" ref="S3906:T3914" si="1805">"14:48:20.422"</f>
        <v>14:48:20.422</v>
      </c>
      <c r="T3906" t="str">
        <f t="shared" si="1805"/>
        <v>14:48:20.422</v>
      </c>
      <c r="U3906" t="str">
        <f t="shared" ref="U3906:U3969" si="1806">"A9808D"</f>
        <v>A9808D</v>
      </c>
      <c r="V3906">
        <v>0</v>
      </c>
      <c r="W3906">
        <v>0</v>
      </c>
      <c r="X3906">
        <v>1</v>
      </c>
      <c r="Z3906">
        <v>0</v>
      </c>
      <c r="AA3906">
        <v>9</v>
      </c>
      <c r="AB3906">
        <v>3</v>
      </c>
      <c r="AC3906">
        <v>0</v>
      </c>
      <c r="AD3906">
        <v>10</v>
      </c>
      <c r="AE3906">
        <v>0</v>
      </c>
      <c r="AF3906">
        <v>3</v>
      </c>
      <c r="AG3906">
        <v>2</v>
      </c>
      <c r="AH3906">
        <v>0</v>
      </c>
      <c r="AI3906" t="s">
        <v>857</v>
      </c>
      <c r="AJ3906">
        <v>28.270333000000001</v>
      </c>
      <c r="AK3906" t="s">
        <v>897</v>
      </c>
      <c r="AL3906">
        <v>-82.285323000000005</v>
      </c>
      <c r="AM3906">
        <v>100</v>
      </c>
      <c r="AN3906">
        <v>2300</v>
      </c>
      <c r="AO3906" t="s">
        <v>118</v>
      </c>
      <c r="AP3906">
        <v>-138</v>
      </c>
      <c r="AQ3906">
        <v>-36</v>
      </c>
      <c r="AR3906">
        <v>192</v>
      </c>
      <c r="AZ3906">
        <v>1200</v>
      </c>
      <c r="BA3906">
        <v>1</v>
      </c>
      <c r="BB3906" t="str">
        <f t="shared" si="1789"/>
        <v xml:space="preserve">N711JA  </v>
      </c>
      <c r="BC3906">
        <v>1</v>
      </c>
      <c r="BE3906">
        <v>0</v>
      </c>
      <c r="BF3906">
        <v>0</v>
      </c>
      <c r="BG3906">
        <v>0</v>
      </c>
      <c r="BH3906">
        <v>2300</v>
      </c>
      <c r="BI3906">
        <v>1</v>
      </c>
      <c r="BJ3906">
        <v>1</v>
      </c>
      <c r="BK3906">
        <v>0</v>
      </c>
      <c r="BL3906">
        <v>0</v>
      </c>
      <c r="BO3906">
        <v>0</v>
      </c>
      <c r="BP3906">
        <v>0</v>
      </c>
      <c r="BW3906" t="str">
        <f t="shared" ref="BW3906:BW3914" si="1807">"14:48:20.424"</f>
        <v>14:48:20.424</v>
      </c>
      <c r="CJ3906">
        <v>0</v>
      </c>
      <c r="CK3906">
        <v>2</v>
      </c>
      <c r="CL3906">
        <v>0</v>
      </c>
      <c r="CM3906">
        <v>2</v>
      </c>
      <c r="CN3906">
        <v>0</v>
      </c>
      <c r="CO3906">
        <v>7</v>
      </c>
      <c r="CP3906" t="s">
        <v>119</v>
      </c>
      <c r="CQ3906">
        <v>8</v>
      </c>
      <c r="CR3906">
        <v>3</v>
      </c>
      <c r="CW3906">
        <v>9090929</v>
      </c>
      <c r="CY3906">
        <v>1</v>
      </c>
      <c r="CZ3906">
        <v>0</v>
      </c>
      <c r="DA3906">
        <v>0</v>
      </c>
      <c r="DB3906">
        <v>0</v>
      </c>
      <c r="DC3906">
        <v>0</v>
      </c>
      <c r="DD3906">
        <v>1</v>
      </c>
      <c r="DE3906">
        <v>0</v>
      </c>
      <c r="DF3906">
        <v>0</v>
      </c>
      <c r="DG3906">
        <v>0</v>
      </c>
      <c r="DH3906">
        <v>0</v>
      </c>
      <c r="DI3906">
        <v>0</v>
      </c>
    </row>
    <row r="3907" spans="1:113" x14ac:dyDescent="0.3">
      <c r="A3907" t="str">
        <f t="shared" si="1804"/>
        <v>05/12/2020 14:48:02.609</v>
      </c>
      <c r="C3907" t="str">
        <f t="shared" si="1786"/>
        <v>FFDFD3C0</v>
      </c>
      <c r="D3907" t="s">
        <v>113</v>
      </c>
      <c r="E3907">
        <v>3</v>
      </c>
      <c r="H3907">
        <v>164</v>
      </c>
      <c r="I3907" t="s">
        <v>114</v>
      </c>
      <c r="J3907" t="s">
        <v>115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 t="shared" si="1805"/>
        <v>14:48:20.422</v>
      </c>
      <c r="T3907" t="str">
        <f t="shared" si="1805"/>
        <v>14:48:20.422</v>
      </c>
      <c r="U3907" t="str">
        <f t="shared" si="1806"/>
        <v>A9808D</v>
      </c>
      <c r="V3907">
        <v>0</v>
      </c>
      <c r="W3907">
        <v>0</v>
      </c>
      <c r="X3907">
        <v>1</v>
      </c>
      <c r="Z3907">
        <v>0</v>
      </c>
      <c r="AA3907">
        <v>9</v>
      </c>
      <c r="AB3907">
        <v>3</v>
      </c>
      <c r="AC3907">
        <v>0</v>
      </c>
      <c r="AD3907">
        <v>10</v>
      </c>
      <c r="AE3907">
        <v>0</v>
      </c>
      <c r="AF3907">
        <v>3</v>
      </c>
      <c r="AG3907">
        <v>2</v>
      </c>
      <c r="AH3907">
        <v>0</v>
      </c>
      <c r="AI3907" t="s">
        <v>857</v>
      </c>
      <c r="AJ3907">
        <v>28.270333000000001</v>
      </c>
      <c r="AK3907" t="s">
        <v>897</v>
      </c>
      <c r="AL3907">
        <v>-82.285323000000005</v>
      </c>
      <c r="AM3907">
        <v>100</v>
      </c>
      <c r="AN3907">
        <v>2300</v>
      </c>
      <c r="AO3907" t="s">
        <v>118</v>
      </c>
      <c r="AP3907">
        <v>-138</v>
      </c>
      <c r="AQ3907">
        <v>-36</v>
      </c>
      <c r="AR3907">
        <v>192</v>
      </c>
      <c r="AZ3907">
        <v>1200</v>
      </c>
      <c r="BA3907">
        <v>1</v>
      </c>
      <c r="BB3907" t="str">
        <f t="shared" si="1789"/>
        <v xml:space="preserve">N711JA  </v>
      </c>
      <c r="BC3907">
        <v>1</v>
      </c>
      <c r="BE3907">
        <v>0</v>
      </c>
      <c r="BF3907">
        <v>0</v>
      </c>
      <c r="BG3907">
        <v>0</v>
      </c>
      <c r="BH3907">
        <v>2300</v>
      </c>
      <c r="BI3907">
        <v>1</v>
      </c>
      <c r="BJ3907">
        <v>1</v>
      </c>
      <c r="BK3907">
        <v>0</v>
      </c>
      <c r="BL3907">
        <v>0</v>
      </c>
      <c r="BO3907">
        <v>0</v>
      </c>
      <c r="BP3907">
        <v>0</v>
      </c>
      <c r="BW3907" t="str">
        <f t="shared" si="1807"/>
        <v>14:48:20.424</v>
      </c>
      <c r="CJ3907">
        <v>0</v>
      </c>
      <c r="CK3907">
        <v>2</v>
      </c>
      <c r="CL3907">
        <v>0</v>
      </c>
      <c r="CM3907">
        <v>2</v>
      </c>
      <c r="CN3907">
        <v>0</v>
      </c>
      <c r="CO3907">
        <v>7</v>
      </c>
      <c r="CP3907" t="s">
        <v>119</v>
      </c>
      <c r="CQ3907">
        <v>8</v>
      </c>
      <c r="CR3907">
        <v>3</v>
      </c>
      <c r="CW3907">
        <v>9090929</v>
      </c>
      <c r="CY3907">
        <v>1</v>
      </c>
      <c r="CZ3907">
        <v>0</v>
      </c>
      <c r="DA3907">
        <v>1</v>
      </c>
      <c r="DB3907">
        <v>0</v>
      </c>
      <c r="DC3907">
        <v>0</v>
      </c>
      <c r="DD3907">
        <v>1</v>
      </c>
      <c r="DE3907">
        <v>0</v>
      </c>
      <c r="DF3907">
        <v>0</v>
      </c>
      <c r="DG3907">
        <v>0</v>
      </c>
      <c r="DH3907">
        <v>0</v>
      </c>
      <c r="DI3907">
        <v>0</v>
      </c>
    </row>
    <row r="3908" spans="1:113" x14ac:dyDescent="0.3">
      <c r="A3908" t="str">
        <f t="shared" si="1804"/>
        <v>05/12/2020 14:48:02.609</v>
      </c>
      <c r="C3908" t="str">
        <f t="shared" si="1786"/>
        <v>FFDFD3C0</v>
      </c>
      <c r="D3908" t="s">
        <v>131</v>
      </c>
      <c r="E3908">
        <v>10</v>
      </c>
      <c r="F3908">
        <v>2010</v>
      </c>
      <c r="G3908" t="s">
        <v>132</v>
      </c>
      <c r="J3908" t="s">
        <v>133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 t="shared" si="1805"/>
        <v>14:48:20.422</v>
      </c>
      <c r="T3908" t="str">
        <f t="shared" si="1805"/>
        <v>14:48:20.422</v>
      </c>
      <c r="U3908" t="str">
        <f t="shared" si="1806"/>
        <v>A9808D</v>
      </c>
      <c r="V3908">
        <v>0</v>
      </c>
      <c r="W3908">
        <v>0</v>
      </c>
      <c r="X3908">
        <v>1</v>
      </c>
      <c r="Z3908">
        <v>0</v>
      </c>
      <c r="AA3908">
        <v>9</v>
      </c>
      <c r="AB3908">
        <v>3</v>
      </c>
      <c r="AC3908">
        <v>0</v>
      </c>
      <c r="AD3908">
        <v>10</v>
      </c>
      <c r="AE3908">
        <v>0</v>
      </c>
      <c r="AF3908">
        <v>3</v>
      </c>
      <c r="AG3908">
        <v>2</v>
      </c>
      <c r="AH3908">
        <v>0</v>
      </c>
      <c r="AI3908" t="s">
        <v>857</v>
      </c>
      <c r="AJ3908">
        <v>28.270333000000001</v>
      </c>
      <c r="AK3908" t="s">
        <v>897</v>
      </c>
      <c r="AL3908">
        <v>-82.285323000000005</v>
      </c>
      <c r="AM3908">
        <v>100</v>
      </c>
      <c r="AN3908">
        <v>2300</v>
      </c>
      <c r="AO3908" t="s">
        <v>118</v>
      </c>
      <c r="AP3908">
        <v>-138</v>
      </c>
      <c r="AQ3908">
        <v>-36</v>
      </c>
      <c r="AR3908">
        <v>192</v>
      </c>
      <c r="AZ3908">
        <v>1200</v>
      </c>
      <c r="BA3908">
        <v>1</v>
      </c>
      <c r="BB3908" t="str">
        <f t="shared" si="1789"/>
        <v xml:space="preserve">N711JA  </v>
      </c>
      <c r="BC3908">
        <v>1</v>
      </c>
      <c r="BE3908">
        <v>0</v>
      </c>
      <c r="BF3908">
        <v>0</v>
      </c>
      <c r="BG3908">
        <v>0</v>
      </c>
      <c r="BH3908">
        <v>2300</v>
      </c>
      <c r="BI3908">
        <v>1</v>
      </c>
      <c r="BJ3908">
        <v>1</v>
      </c>
      <c r="BK3908">
        <v>0</v>
      </c>
      <c r="BL3908">
        <v>0</v>
      </c>
      <c r="BO3908">
        <v>0</v>
      </c>
      <c r="BP3908">
        <v>0</v>
      </c>
      <c r="BW3908" t="str">
        <f t="shared" si="1807"/>
        <v>14:48:20.424</v>
      </c>
      <c r="CJ3908">
        <v>0</v>
      </c>
      <c r="CK3908">
        <v>2</v>
      </c>
      <c r="CL3908">
        <v>0</v>
      </c>
      <c r="CM3908">
        <v>2</v>
      </c>
      <c r="CN3908">
        <v>0</v>
      </c>
      <c r="CO3908">
        <v>7</v>
      </c>
      <c r="CP3908" t="s">
        <v>119</v>
      </c>
      <c r="CQ3908">
        <v>8</v>
      </c>
      <c r="CR3908">
        <v>3</v>
      </c>
      <c r="CW3908">
        <v>9090929</v>
      </c>
      <c r="CY3908">
        <v>1</v>
      </c>
      <c r="CZ3908">
        <v>0</v>
      </c>
      <c r="DA3908">
        <v>1</v>
      </c>
      <c r="DB3908">
        <v>0</v>
      </c>
      <c r="DC3908">
        <v>0</v>
      </c>
      <c r="DD3908">
        <v>1</v>
      </c>
      <c r="DE3908">
        <v>0</v>
      </c>
      <c r="DF3908">
        <v>0</v>
      </c>
      <c r="DG3908">
        <v>0</v>
      </c>
      <c r="DH3908">
        <v>0</v>
      </c>
      <c r="DI3908">
        <v>0</v>
      </c>
    </row>
    <row r="3909" spans="1:113" x14ac:dyDescent="0.3">
      <c r="A3909" t="str">
        <f t="shared" si="1804"/>
        <v>05/12/2020 14:48:02.609</v>
      </c>
      <c r="C3909" t="str">
        <f t="shared" si="1786"/>
        <v>FFDFD3C0</v>
      </c>
      <c r="D3909" t="s">
        <v>134</v>
      </c>
      <c r="E3909">
        <v>12</v>
      </c>
      <c r="H3909">
        <v>64</v>
      </c>
      <c r="I3909" t="s">
        <v>135</v>
      </c>
      <c r="J3909" t="s">
        <v>136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 t="shared" si="1805"/>
        <v>14:48:20.422</v>
      </c>
      <c r="T3909" t="str">
        <f t="shared" si="1805"/>
        <v>14:48:20.422</v>
      </c>
      <c r="U3909" t="str">
        <f t="shared" si="1806"/>
        <v>A9808D</v>
      </c>
      <c r="V3909">
        <v>0</v>
      </c>
      <c r="W3909">
        <v>0</v>
      </c>
      <c r="X3909">
        <v>1</v>
      </c>
      <c r="Z3909">
        <v>0</v>
      </c>
      <c r="AA3909">
        <v>9</v>
      </c>
      <c r="AB3909">
        <v>3</v>
      </c>
      <c r="AC3909">
        <v>0</v>
      </c>
      <c r="AD3909">
        <v>10</v>
      </c>
      <c r="AE3909">
        <v>0</v>
      </c>
      <c r="AF3909">
        <v>3</v>
      </c>
      <c r="AG3909">
        <v>2</v>
      </c>
      <c r="AH3909">
        <v>0</v>
      </c>
      <c r="AI3909" t="s">
        <v>857</v>
      </c>
      <c r="AJ3909">
        <v>28.270333000000001</v>
      </c>
      <c r="AK3909" t="s">
        <v>897</v>
      </c>
      <c r="AL3909">
        <v>-82.285323000000005</v>
      </c>
      <c r="AM3909">
        <v>100</v>
      </c>
      <c r="AN3909">
        <v>2300</v>
      </c>
      <c r="AO3909" t="s">
        <v>118</v>
      </c>
      <c r="AP3909">
        <v>-138</v>
      </c>
      <c r="AQ3909">
        <v>-36</v>
      </c>
      <c r="AR3909">
        <v>192</v>
      </c>
      <c r="AZ3909">
        <v>1200</v>
      </c>
      <c r="BA3909">
        <v>1</v>
      </c>
      <c r="BB3909" t="str">
        <f t="shared" si="1789"/>
        <v xml:space="preserve">N711JA  </v>
      </c>
      <c r="BC3909">
        <v>1</v>
      </c>
      <c r="BE3909">
        <v>0</v>
      </c>
      <c r="BF3909">
        <v>0</v>
      </c>
      <c r="BG3909">
        <v>0</v>
      </c>
      <c r="BH3909">
        <v>2300</v>
      </c>
      <c r="BI3909">
        <v>1</v>
      </c>
      <c r="BJ3909">
        <v>1</v>
      </c>
      <c r="BK3909">
        <v>0</v>
      </c>
      <c r="BL3909">
        <v>0</v>
      </c>
      <c r="BO3909">
        <v>0</v>
      </c>
      <c r="BP3909">
        <v>0</v>
      </c>
      <c r="BW3909" t="str">
        <f t="shared" si="1807"/>
        <v>14:48:20.424</v>
      </c>
      <c r="CJ3909">
        <v>0</v>
      </c>
      <c r="CK3909">
        <v>2</v>
      </c>
      <c r="CL3909">
        <v>0</v>
      </c>
      <c r="CM3909">
        <v>2</v>
      </c>
      <c r="CN3909">
        <v>0</v>
      </c>
      <c r="CO3909">
        <v>7</v>
      </c>
      <c r="CP3909" t="s">
        <v>119</v>
      </c>
      <c r="CQ3909">
        <v>8</v>
      </c>
      <c r="CR3909">
        <v>3</v>
      </c>
      <c r="CW3909">
        <v>9090929</v>
      </c>
      <c r="CY3909">
        <v>1</v>
      </c>
      <c r="CZ3909">
        <v>0</v>
      </c>
      <c r="DA3909">
        <v>1</v>
      </c>
      <c r="DB3909">
        <v>0</v>
      </c>
      <c r="DC3909">
        <v>0</v>
      </c>
      <c r="DD3909">
        <v>1</v>
      </c>
      <c r="DE3909">
        <v>0</v>
      </c>
      <c r="DF3909">
        <v>0</v>
      </c>
      <c r="DG3909">
        <v>0</v>
      </c>
      <c r="DH3909">
        <v>0</v>
      </c>
      <c r="DI3909">
        <v>0</v>
      </c>
    </row>
    <row r="3910" spans="1:113" x14ac:dyDescent="0.3">
      <c r="A3910" t="str">
        <f t="shared" si="1804"/>
        <v>05/12/2020 14:48:02.609</v>
      </c>
      <c r="C3910" t="str">
        <f t="shared" si="1786"/>
        <v>FFDFD3C0</v>
      </c>
      <c r="D3910" t="s">
        <v>126</v>
      </c>
      <c r="E3910">
        <v>7</v>
      </c>
      <c r="F3910">
        <v>1007</v>
      </c>
      <c r="G3910" t="s">
        <v>127</v>
      </c>
      <c r="J3910" t="s">
        <v>128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 t="shared" si="1805"/>
        <v>14:48:20.422</v>
      </c>
      <c r="T3910" t="str">
        <f t="shared" si="1805"/>
        <v>14:48:20.422</v>
      </c>
      <c r="U3910" t="str">
        <f t="shared" si="1806"/>
        <v>A9808D</v>
      </c>
      <c r="V3910">
        <v>0</v>
      </c>
      <c r="W3910">
        <v>0</v>
      </c>
      <c r="X3910">
        <v>1</v>
      </c>
      <c r="Z3910">
        <v>0</v>
      </c>
      <c r="AA3910">
        <v>9</v>
      </c>
      <c r="AB3910">
        <v>3</v>
      </c>
      <c r="AC3910">
        <v>0</v>
      </c>
      <c r="AD3910">
        <v>10</v>
      </c>
      <c r="AE3910">
        <v>0</v>
      </c>
      <c r="AF3910">
        <v>3</v>
      </c>
      <c r="AG3910">
        <v>2</v>
      </c>
      <c r="AH3910">
        <v>0</v>
      </c>
      <c r="AI3910" t="s">
        <v>857</v>
      </c>
      <c r="AJ3910">
        <v>28.270333000000001</v>
      </c>
      <c r="AK3910" t="s">
        <v>897</v>
      </c>
      <c r="AL3910">
        <v>-82.285323000000005</v>
      </c>
      <c r="AM3910">
        <v>100</v>
      </c>
      <c r="AN3910">
        <v>2300</v>
      </c>
      <c r="AO3910" t="s">
        <v>118</v>
      </c>
      <c r="AP3910">
        <v>-138</v>
      </c>
      <c r="AQ3910">
        <v>-36</v>
      </c>
      <c r="AR3910">
        <v>192</v>
      </c>
      <c r="AZ3910">
        <v>1200</v>
      </c>
      <c r="BA3910">
        <v>1</v>
      </c>
      <c r="BB3910" t="str">
        <f t="shared" si="1789"/>
        <v xml:space="preserve">N711JA  </v>
      </c>
      <c r="BC3910">
        <v>1</v>
      </c>
      <c r="BE3910">
        <v>0</v>
      </c>
      <c r="BF3910">
        <v>0</v>
      </c>
      <c r="BG3910">
        <v>0</v>
      </c>
      <c r="BH3910">
        <v>2300</v>
      </c>
      <c r="BI3910">
        <v>1</v>
      </c>
      <c r="BJ3910">
        <v>1</v>
      </c>
      <c r="BK3910">
        <v>0</v>
      </c>
      <c r="BL3910">
        <v>0</v>
      </c>
      <c r="BO3910">
        <v>0</v>
      </c>
      <c r="BP3910">
        <v>0</v>
      </c>
      <c r="BW3910" t="str">
        <f t="shared" si="1807"/>
        <v>14:48:20.424</v>
      </c>
      <c r="CJ3910">
        <v>0</v>
      </c>
      <c r="CK3910">
        <v>2</v>
      </c>
      <c r="CL3910">
        <v>0</v>
      </c>
      <c r="CM3910">
        <v>2</v>
      </c>
      <c r="CN3910">
        <v>0</v>
      </c>
      <c r="CO3910">
        <v>7</v>
      </c>
      <c r="CP3910" t="s">
        <v>119</v>
      </c>
      <c r="CQ3910">
        <v>8</v>
      </c>
      <c r="CR3910">
        <v>3</v>
      </c>
      <c r="CW3910">
        <v>9090929</v>
      </c>
      <c r="CY3910">
        <v>1</v>
      </c>
      <c r="CZ3910">
        <v>0</v>
      </c>
      <c r="DA3910">
        <v>1</v>
      </c>
      <c r="DB3910">
        <v>0</v>
      </c>
      <c r="DC3910">
        <v>0</v>
      </c>
      <c r="DD3910">
        <v>1</v>
      </c>
      <c r="DE3910">
        <v>0</v>
      </c>
      <c r="DF3910">
        <v>0</v>
      </c>
      <c r="DG3910">
        <v>0</v>
      </c>
      <c r="DH3910">
        <v>0</v>
      </c>
      <c r="DI3910">
        <v>0</v>
      </c>
    </row>
    <row r="3911" spans="1:113" x14ac:dyDescent="0.3">
      <c r="A3911" t="str">
        <f t="shared" si="1804"/>
        <v>05/12/2020 14:48:02.609</v>
      </c>
      <c r="C3911" t="str">
        <f t="shared" si="1786"/>
        <v>FFDFD3C0</v>
      </c>
      <c r="D3911" t="s">
        <v>131</v>
      </c>
      <c r="E3911">
        <v>12</v>
      </c>
      <c r="F3911">
        <v>2012</v>
      </c>
      <c r="G3911" t="s">
        <v>137</v>
      </c>
      <c r="J3911" t="s">
        <v>133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 t="shared" si="1805"/>
        <v>14:48:20.422</v>
      </c>
      <c r="T3911" t="str">
        <f t="shared" si="1805"/>
        <v>14:48:20.422</v>
      </c>
      <c r="U3911" t="str">
        <f t="shared" si="1806"/>
        <v>A9808D</v>
      </c>
      <c r="V3911">
        <v>0</v>
      </c>
      <c r="W3911">
        <v>0</v>
      </c>
      <c r="X3911">
        <v>1</v>
      </c>
      <c r="Z3911">
        <v>0</v>
      </c>
      <c r="AA3911">
        <v>9</v>
      </c>
      <c r="AB3911">
        <v>3</v>
      </c>
      <c r="AC3911">
        <v>0</v>
      </c>
      <c r="AD3911">
        <v>10</v>
      </c>
      <c r="AE3911">
        <v>0</v>
      </c>
      <c r="AF3911">
        <v>3</v>
      </c>
      <c r="AG3911">
        <v>2</v>
      </c>
      <c r="AH3911">
        <v>0</v>
      </c>
      <c r="AI3911" t="s">
        <v>857</v>
      </c>
      <c r="AJ3911">
        <v>28.270333000000001</v>
      </c>
      <c r="AK3911" t="s">
        <v>897</v>
      </c>
      <c r="AL3911">
        <v>-82.285323000000005</v>
      </c>
      <c r="AM3911">
        <v>100</v>
      </c>
      <c r="AN3911">
        <v>2300</v>
      </c>
      <c r="AO3911" t="s">
        <v>118</v>
      </c>
      <c r="AP3911">
        <v>-138</v>
      </c>
      <c r="AQ3911">
        <v>-36</v>
      </c>
      <c r="AR3911">
        <v>192</v>
      </c>
      <c r="AZ3911">
        <v>1200</v>
      </c>
      <c r="BA3911">
        <v>1</v>
      </c>
      <c r="BB3911" t="str">
        <f t="shared" si="1789"/>
        <v xml:space="preserve">N711JA  </v>
      </c>
      <c r="BC3911">
        <v>1</v>
      </c>
      <c r="BE3911">
        <v>0</v>
      </c>
      <c r="BF3911">
        <v>0</v>
      </c>
      <c r="BG3911">
        <v>0</v>
      </c>
      <c r="BH3911">
        <v>2300</v>
      </c>
      <c r="BI3911">
        <v>1</v>
      </c>
      <c r="BJ3911">
        <v>1</v>
      </c>
      <c r="BK3911">
        <v>0</v>
      </c>
      <c r="BL3911">
        <v>0</v>
      </c>
      <c r="BO3911">
        <v>0</v>
      </c>
      <c r="BP3911">
        <v>0</v>
      </c>
      <c r="BW3911" t="str">
        <f t="shared" si="1807"/>
        <v>14:48:20.424</v>
      </c>
      <c r="CJ3911">
        <v>0</v>
      </c>
      <c r="CK3911">
        <v>2</v>
      </c>
      <c r="CL3911">
        <v>0</v>
      </c>
      <c r="CM3911">
        <v>2</v>
      </c>
      <c r="CN3911">
        <v>0</v>
      </c>
      <c r="CO3911">
        <v>7</v>
      </c>
      <c r="CP3911" t="s">
        <v>119</v>
      </c>
      <c r="CQ3911">
        <v>8</v>
      </c>
      <c r="CR3911">
        <v>3</v>
      </c>
      <c r="CW3911">
        <v>9090929</v>
      </c>
      <c r="CY3911">
        <v>1</v>
      </c>
      <c r="CZ3911">
        <v>0</v>
      </c>
      <c r="DA3911">
        <v>1</v>
      </c>
      <c r="DB3911">
        <v>0</v>
      </c>
      <c r="DC3911">
        <v>0</v>
      </c>
      <c r="DD3911">
        <v>1</v>
      </c>
      <c r="DE3911">
        <v>0</v>
      </c>
      <c r="DF3911">
        <v>0</v>
      </c>
      <c r="DG3911">
        <v>0</v>
      </c>
      <c r="DH3911">
        <v>0</v>
      </c>
      <c r="DI3911">
        <v>0</v>
      </c>
    </row>
    <row r="3912" spans="1:113" x14ac:dyDescent="0.3">
      <c r="A3912" t="str">
        <f t="shared" si="1804"/>
        <v>05/12/2020 14:48:02.609</v>
      </c>
      <c r="C3912" t="str">
        <f t="shared" si="1786"/>
        <v>FFDFD3C0</v>
      </c>
      <c r="D3912" t="s">
        <v>131</v>
      </c>
      <c r="E3912">
        <v>18</v>
      </c>
      <c r="F3912">
        <v>2018</v>
      </c>
      <c r="G3912" t="s">
        <v>161</v>
      </c>
      <c r="J3912" t="s">
        <v>133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 t="shared" si="1805"/>
        <v>14:48:20.422</v>
      </c>
      <c r="T3912" t="str">
        <f t="shared" si="1805"/>
        <v>14:48:20.422</v>
      </c>
      <c r="U3912" t="str">
        <f t="shared" si="1806"/>
        <v>A9808D</v>
      </c>
      <c r="V3912">
        <v>0</v>
      </c>
      <c r="W3912">
        <v>0</v>
      </c>
      <c r="X3912">
        <v>1</v>
      </c>
      <c r="Z3912">
        <v>0</v>
      </c>
      <c r="AA3912">
        <v>9</v>
      </c>
      <c r="AB3912">
        <v>3</v>
      </c>
      <c r="AC3912">
        <v>0</v>
      </c>
      <c r="AD3912">
        <v>10</v>
      </c>
      <c r="AE3912">
        <v>0</v>
      </c>
      <c r="AF3912">
        <v>3</v>
      </c>
      <c r="AG3912">
        <v>2</v>
      </c>
      <c r="AH3912">
        <v>0</v>
      </c>
      <c r="AI3912" t="s">
        <v>857</v>
      </c>
      <c r="AJ3912">
        <v>28.270333000000001</v>
      </c>
      <c r="AK3912" t="s">
        <v>897</v>
      </c>
      <c r="AL3912">
        <v>-82.285323000000005</v>
      </c>
      <c r="AM3912">
        <v>100</v>
      </c>
      <c r="AN3912">
        <v>2300</v>
      </c>
      <c r="AO3912" t="s">
        <v>118</v>
      </c>
      <c r="AP3912">
        <v>-138</v>
      </c>
      <c r="AQ3912">
        <v>-36</v>
      </c>
      <c r="AR3912">
        <v>192</v>
      </c>
      <c r="AZ3912">
        <v>1200</v>
      </c>
      <c r="BA3912">
        <v>1</v>
      </c>
      <c r="BB3912" t="str">
        <f t="shared" si="1789"/>
        <v xml:space="preserve">N711JA  </v>
      </c>
      <c r="BC3912">
        <v>1</v>
      </c>
      <c r="BE3912">
        <v>0</v>
      </c>
      <c r="BF3912">
        <v>0</v>
      </c>
      <c r="BG3912">
        <v>0</v>
      </c>
      <c r="BH3912">
        <v>2300</v>
      </c>
      <c r="BI3912">
        <v>1</v>
      </c>
      <c r="BJ3912">
        <v>1</v>
      </c>
      <c r="BK3912">
        <v>0</v>
      </c>
      <c r="BL3912">
        <v>0</v>
      </c>
      <c r="BO3912">
        <v>0</v>
      </c>
      <c r="BP3912">
        <v>0</v>
      </c>
      <c r="BW3912" t="str">
        <f t="shared" si="1807"/>
        <v>14:48:20.424</v>
      </c>
      <c r="CJ3912">
        <v>0</v>
      </c>
      <c r="CK3912">
        <v>2</v>
      </c>
      <c r="CL3912">
        <v>0</v>
      </c>
      <c r="CM3912">
        <v>2</v>
      </c>
      <c r="CN3912">
        <v>0</v>
      </c>
      <c r="CO3912">
        <v>5</v>
      </c>
      <c r="CP3912" t="s">
        <v>119</v>
      </c>
      <c r="CQ3912">
        <v>62</v>
      </c>
      <c r="CR3912">
        <v>1</v>
      </c>
      <c r="CW3912">
        <v>12981528</v>
      </c>
      <c r="CY3912">
        <v>1</v>
      </c>
      <c r="CZ3912">
        <v>0</v>
      </c>
      <c r="DA3912">
        <v>1</v>
      </c>
      <c r="DB3912">
        <v>0</v>
      </c>
      <c r="DC3912">
        <v>0</v>
      </c>
      <c r="DD3912">
        <v>1</v>
      </c>
      <c r="DE3912">
        <v>0</v>
      </c>
      <c r="DF3912">
        <v>0</v>
      </c>
      <c r="DG3912">
        <v>0</v>
      </c>
      <c r="DH3912">
        <v>0</v>
      </c>
      <c r="DI3912">
        <v>0</v>
      </c>
    </row>
    <row r="3913" spans="1:113" x14ac:dyDescent="0.3">
      <c r="A3913" t="str">
        <f t="shared" si="1804"/>
        <v>05/12/2020 14:48:02.609</v>
      </c>
      <c r="C3913" t="str">
        <f t="shared" si="1786"/>
        <v>FFDFD3C0</v>
      </c>
      <c r="D3913" t="s">
        <v>138</v>
      </c>
      <c r="E3913">
        <v>2</v>
      </c>
      <c r="H3913">
        <v>8</v>
      </c>
      <c r="I3913" t="s">
        <v>139</v>
      </c>
      <c r="J3913" t="s">
        <v>136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 t="shared" si="1805"/>
        <v>14:48:20.422</v>
      </c>
      <c r="T3913" t="str">
        <f t="shared" si="1805"/>
        <v>14:48:20.422</v>
      </c>
      <c r="U3913" t="str">
        <f t="shared" si="1806"/>
        <v>A9808D</v>
      </c>
      <c r="V3913">
        <v>0</v>
      </c>
      <c r="W3913">
        <v>0</v>
      </c>
      <c r="X3913">
        <v>1</v>
      </c>
      <c r="Z3913">
        <v>0</v>
      </c>
      <c r="AA3913">
        <v>9</v>
      </c>
      <c r="AB3913">
        <v>3</v>
      </c>
      <c r="AC3913">
        <v>0</v>
      </c>
      <c r="AD3913">
        <v>10</v>
      </c>
      <c r="AE3913">
        <v>0</v>
      </c>
      <c r="AF3913">
        <v>3</v>
      </c>
      <c r="AG3913">
        <v>2</v>
      </c>
      <c r="AH3913">
        <v>0</v>
      </c>
      <c r="AI3913" t="s">
        <v>857</v>
      </c>
      <c r="AJ3913">
        <v>28.270333000000001</v>
      </c>
      <c r="AK3913" t="s">
        <v>897</v>
      </c>
      <c r="AL3913">
        <v>-82.285323000000005</v>
      </c>
      <c r="AM3913">
        <v>100</v>
      </c>
      <c r="AN3913">
        <v>2300</v>
      </c>
      <c r="AO3913" t="s">
        <v>118</v>
      </c>
      <c r="AP3913">
        <v>-138</v>
      </c>
      <c r="AQ3913">
        <v>-36</v>
      </c>
      <c r="AR3913">
        <v>192</v>
      </c>
      <c r="AZ3913">
        <v>1200</v>
      </c>
      <c r="BA3913">
        <v>1</v>
      </c>
      <c r="BB3913" t="str">
        <f t="shared" si="1789"/>
        <v xml:space="preserve">N711JA  </v>
      </c>
      <c r="BC3913">
        <v>1</v>
      </c>
      <c r="BE3913">
        <v>0</v>
      </c>
      <c r="BF3913">
        <v>0</v>
      </c>
      <c r="BG3913">
        <v>0</v>
      </c>
      <c r="BH3913">
        <v>2300</v>
      </c>
      <c r="BI3913">
        <v>1</v>
      </c>
      <c r="BJ3913">
        <v>1</v>
      </c>
      <c r="BK3913">
        <v>0</v>
      </c>
      <c r="BL3913">
        <v>0</v>
      </c>
      <c r="BO3913">
        <v>0</v>
      </c>
      <c r="BP3913">
        <v>0</v>
      </c>
      <c r="BW3913" t="str">
        <f t="shared" si="1807"/>
        <v>14:48:20.424</v>
      </c>
      <c r="CJ3913">
        <v>0</v>
      </c>
      <c r="CK3913">
        <v>2</v>
      </c>
      <c r="CL3913">
        <v>0</v>
      </c>
      <c r="CM3913">
        <v>2</v>
      </c>
      <c r="CN3913">
        <v>0</v>
      </c>
      <c r="CO3913">
        <v>7</v>
      </c>
      <c r="CP3913" t="s">
        <v>119</v>
      </c>
      <c r="CQ3913">
        <v>8</v>
      </c>
      <c r="CR3913">
        <v>3</v>
      </c>
      <c r="CW3913">
        <v>9090929</v>
      </c>
      <c r="CY3913">
        <v>1</v>
      </c>
      <c r="CZ3913">
        <v>0</v>
      </c>
      <c r="DA3913">
        <v>1</v>
      </c>
      <c r="DB3913">
        <v>0</v>
      </c>
      <c r="DC3913">
        <v>0</v>
      </c>
      <c r="DD3913">
        <v>1</v>
      </c>
      <c r="DE3913">
        <v>0</v>
      </c>
      <c r="DF3913">
        <v>0</v>
      </c>
      <c r="DG3913">
        <v>0</v>
      </c>
      <c r="DH3913">
        <v>0</v>
      </c>
      <c r="DI3913">
        <v>0</v>
      </c>
    </row>
    <row r="3914" spans="1:113" x14ac:dyDescent="0.3">
      <c r="A3914" t="str">
        <f t="shared" si="1804"/>
        <v>05/12/2020 14:48:02.609</v>
      </c>
      <c r="C3914" t="str">
        <f t="shared" si="1786"/>
        <v>FFDFD3C0</v>
      </c>
      <c r="D3914" t="s">
        <v>138</v>
      </c>
      <c r="E3914">
        <v>3</v>
      </c>
      <c r="H3914">
        <v>9</v>
      </c>
      <c r="I3914" t="s">
        <v>140</v>
      </c>
      <c r="J3914" t="s">
        <v>136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 t="shared" si="1805"/>
        <v>14:48:20.422</v>
      </c>
      <c r="T3914" t="str">
        <f t="shared" si="1805"/>
        <v>14:48:20.422</v>
      </c>
      <c r="U3914" t="str">
        <f t="shared" si="1806"/>
        <v>A9808D</v>
      </c>
      <c r="V3914">
        <v>0</v>
      </c>
      <c r="W3914">
        <v>0</v>
      </c>
      <c r="X3914">
        <v>1</v>
      </c>
      <c r="Z3914">
        <v>0</v>
      </c>
      <c r="AA3914">
        <v>9</v>
      </c>
      <c r="AB3914">
        <v>3</v>
      </c>
      <c r="AC3914">
        <v>0</v>
      </c>
      <c r="AD3914">
        <v>10</v>
      </c>
      <c r="AE3914">
        <v>0</v>
      </c>
      <c r="AF3914">
        <v>3</v>
      </c>
      <c r="AG3914">
        <v>2</v>
      </c>
      <c r="AH3914">
        <v>0</v>
      </c>
      <c r="AI3914" t="s">
        <v>857</v>
      </c>
      <c r="AJ3914">
        <v>28.270333000000001</v>
      </c>
      <c r="AK3914" t="s">
        <v>897</v>
      </c>
      <c r="AL3914">
        <v>-82.285323000000005</v>
      </c>
      <c r="AM3914">
        <v>100</v>
      </c>
      <c r="AN3914">
        <v>2300</v>
      </c>
      <c r="AO3914" t="s">
        <v>118</v>
      </c>
      <c r="AP3914">
        <v>-138</v>
      </c>
      <c r="AQ3914">
        <v>-36</v>
      </c>
      <c r="AR3914">
        <v>192</v>
      </c>
      <c r="AZ3914">
        <v>1200</v>
      </c>
      <c r="BA3914">
        <v>1</v>
      </c>
      <c r="BB3914" t="str">
        <f t="shared" si="1789"/>
        <v xml:space="preserve">N711JA  </v>
      </c>
      <c r="BC3914">
        <v>1</v>
      </c>
      <c r="BE3914">
        <v>0</v>
      </c>
      <c r="BF3914">
        <v>0</v>
      </c>
      <c r="BG3914">
        <v>0</v>
      </c>
      <c r="BH3914">
        <v>2300</v>
      </c>
      <c r="BI3914">
        <v>1</v>
      </c>
      <c r="BJ3914">
        <v>1</v>
      </c>
      <c r="BK3914">
        <v>0</v>
      </c>
      <c r="BL3914">
        <v>0</v>
      </c>
      <c r="BO3914">
        <v>0</v>
      </c>
      <c r="BP3914">
        <v>0</v>
      </c>
      <c r="BW3914" t="str">
        <f t="shared" si="1807"/>
        <v>14:48:20.424</v>
      </c>
      <c r="CJ3914">
        <v>0</v>
      </c>
      <c r="CK3914">
        <v>2</v>
      </c>
      <c r="CL3914">
        <v>0</v>
      </c>
      <c r="CM3914">
        <v>2</v>
      </c>
      <c r="CN3914">
        <v>0</v>
      </c>
      <c r="CO3914">
        <v>7</v>
      </c>
      <c r="CP3914" t="s">
        <v>119</v>
      </c>
      <c r="CQ3914">
        <v>8</v>
      </c>
      <c r="CR3914">
        <v>3</v>
      </c>
      <c r="CW3914">
        <v>9090929</v>
      </c>
      <c r="CY3914">
        <v>1</v>
      </c>
      <c r="CZ3914">
        <v>0</v>
      </c>
      <c r="DA3914">
        <v>1</v>
      </c>
      <c r="DB3914">
        <v>0</v>
      </c>
      <c r="DC3914">
        <v>0</v>
      </c>
      <c r="DD3914">
        <v>1</v>
      </c>
      <c r="DE3914">
        <v>0</v>
      </c>
      <c r="DF3914">
        <v>0</v>
      </c>
      <c r="DG3914">
        <v>0</v>
      </c>
      <c r="DH3914">
        <v>0</v>
      </c>
      <c r="DI3914">
        <v>0</v>
      </c>
    </row>
    <row r="3915" spans="1:113" x14ac:dyDescent="0.3">
      <c r="A3915" t="str">
        <f t="shared" ref="A3915:A3922" si="1808">"05/12/2020 14:48:03.486"</f>
        <v>05/12/2020 14:48:03.486</v>
      </c>
      <c r="C3915" t="str">
        <f t="shared" si="1786"/>
        <v>FFDFD3C0</v>
      </c>
      <c r="D3915" t="s">
        <v>126</v>
      </c>
      <c r="E3915">
        <v>7</v>
      </c>
      <c r="F3915">
        <v>1007</v>
      </c>
      <c r="G3915" t="s">
        <v>127</v>
      </c>
      <c r="J3915" t="s">
        <v>128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 t="shared" ref="S3915:T3922" si="1809">"14:48:21.289"</f>
        <v>14:48:21.289</v>
      </c>
      <c r="T3915" t="str">
        <f t="shared" si="1809"/>
        <v>14:48:21.289</v>
      </c>
      <c r="U3915" t="str">
        <f t="shared" si="1806"/>
        <v>A9808D</v>
      </c>
      <c r="V3915">
        <v>0</v>
      </c>
      <c r="W3915">
        <v>0</v>
      </c>
      <c r="X3915">
        <v>1</v>
      </c>
      <c r="Z3915">
        <v>0</v>
      </c>
      <c r="AA3915">
        <v>9</v>
      </c>
      <c r="AB3915">
        <v>3</v>
      </c>
      <c r="AC3915">
        <v>0</v>
      </c>
      <c r="AD3915">
        <v>10</v>
      </c>
      <c r="AE3915">
        <v>0</v>
      </c>
      <c r="AF3915">
        <v>3</v>
      </c>
      <c r="AG3915">
        <v>2</v>
      </c>
      <c r="AH3915">
        <v>0</v>
      </c>
      <c r="AI3915" t="s">
        <v>898</v>
      </c>
      <c r="AJ3915">
        <v>28.270204</v>
      </c>
      <c r="AK3915" t="s">
        <v>899</v>
      </c>
      <c r="AL3915">
        <v>-82.285988000000003</v>
      </c>
      <c r="AM3915">
        <v>100</v>
      </c>
      <c r="AN3915">
        <v>2300</v>
      </c>
      <c r="AO3915" t="s">
        <v>118</v>
      </c>
      <c r="AP3915">
        <v>-137</v>
      </c>
      <c r="AQ3915">
        <v>-38</v>
      </c>
      <c r="AR3915">
        <v>128</v>
      </c>
      <c r="AZ3915">
        <v>1200</v>
      </c>
      <c r="BA3915">
        <v>1</v>
      </c>
      <c r="BB3915" t="str">
        <f t="shared" si="1789"/>
        <v xml:space="preserve">N711JA  </v>
      </c>
      <c r="BC3915">
        <v>1</v>
      </c>
      <c r="BE3915">
        <v>0</v>
      </c>
      <c r="BF3915">
        <v>0</v>
      </c>
      <c r="BG3915">
        <v>0</v>
      </c>
      <c r="BH3915">
        <v>2300</v>
      </c>
      <c r="BI3915">
        <v>1</v>
      </c>
      <c r="BJ3915">
        <v>1</v>
      </c>
      <c r="BK3915">
        <v>0</v>
      </c>
      <c r="BL3915">
        <v>0</v>
      </c>
      <c r="BO3915">
        <v>0</v>
      </c>
      <c r="BP3915">
        <v>0</v>
      </c>
      <c r="BW3915" t="str">
        <f t="shared" ref="BW3915:BW3922" si="1810">"14:48:21.295"</f>
        <v>14:48:21.295</v>
      </c>
      <c r="CJ3915">
        <v>0</v>
      </c>
      <c r="CK3915">
        <v>2</v>
      </c>
      <c r="CL3915">
        <v>0</v>
      </c>
      <c r="CM3915">
        <v>2</v>
      </c>
      <c r="CN3915">
        <v>0</v>
      </c>
      <c r="CO3915">
        <v>7</v>
      </c>
      <c r="CP3915" t="s">
        <v>119</v>
      </c>
      <c r="CQ3915">
        <v>8</v>
      </c>
      <c r="CR3915">
        <v>3</v>
      </c>
      <c r="CW3915">
        <v>9091851</v>
      </c>
      <c r="CY3915">
        <v>1</v>
      </c>
      <c r="CZ3915">
        <v>0</v>
      </c>
      <c r="DA3915">
        <v>0</v>
      </c>
      <c r="DB3915">
        <v>0</v>
      </c>
      <c r="DC3915">
        <v>0</v>
      </c>
      <c r="DD3915">
        <v>1</v>
      </c>
      <c r="DE3915">
        <v>0</v>
      </c>
      <c r="DF3915">
        <v>0</v>
      </c>
      <c r="DG3915">
        <v>0</v>
      </c>
      <c r="DH3915">
        <v>0</v>
      </c>
      <c r="DI3915">
        <v>0</v>
      </c>
    </row>
    <row r="3916" spans="1:113" x14ac:dyDescent="0.3">
      <c r="A3916" t="str">
        <f t="shared" si="1808"/>
        <v>05/12/2020 14:48:03.486</v>
      </c>
      <c r="C3916" t="str">
        <f t="shared" si="1786"/>
        <v>FFDFD3C0</v>
      </c>
      <c r="D3916" t="s">
        <v>131</v>
      </c>
      <c r="E3916">
        <v>10</v>
      </c>
      <c r="F3916">
        <v>2010</v>
      </c>
      <c r="G3916" t="s">
        <v>132</v>
      </c>
      <c r="J3916" t="s">
        <v>133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 t="shared" si="1809"/>
        <v>14:48:21.289</v>
      </c>
      <c r="T3916" t="str">
        <f t="shared" si="1809"/>
        <v>14:48:21.289</v>
      </c>
      <c r="U3916" t="str">
        <f t="shared" si="1806"/>
        <v>A9808D</v>
      </c>
      <c r="V3916">
        <v>0</v>
      </c>
      <c r="W3916">
        <v>0</v>
      </c>
      <c r="X3916">
        <v>1</v>
      </c>
      <c r="Z3916">
        <v>0</v>
      </c>
      <c r="AA3916">
        <v>9</v>
      </c>
      <c r="AB3916">
        <v>3</v>
      </c>
      <c r="AC3916">
        <v>0</v>
      </c>
      <c r="AD3916">
        <v>10</v>
      </c>
      <c r="AE3916">
        <v>0</v>
      </c>
      <c r="AF3916">
        <v>3</v>
      </c>
      <c r="AG3916">
        <v>2</v>
      </c>
      <c r="AH3916">
        <v>0</v>
      </c>
      <c r="AI3916" t="s">
        <v>898</v>
      </c>
      <c r="AJ3916">
        <v>28.270204</v>
      </c>
      <c r="AK3916" t="s">
        <v>899</v>
      </c>
      <c r="AL3916">
        <v>-82.285988000000003</v>
      </c>
      <c r="AM3916">
        <v>100</v>
      </c>
      <c r="AN3916">
        <v>2300</v>
      </c>
      <c r="AO3916" t="s">
        <v>118</v>
      </c>
      <c r="AP3916">
        <v>-137</v>
      </c>
      <c r="AQ3916">
        <v>-38</v>
      </c>
      <c r="AR3916">
        <v>128</v>
      </c>
      <c r="AZ3916">
        <v>1200</v>
      </c>
      <c r="BA3916">
        <v>1</v>
      </c>
      <c r="BB3916" t="str">
        <f t="shared" si="1789"/>
        <v xml:space="preserve">N711JA  </v>
      </c>
      <c r="BC3916">
        <v>1</v>
      </c>
      <c r="BE3916">
        <v>0</v>
      </c>
      <c r="BF3916">
        <v>0</v>
      </c>
      <c r="BG3916">
        <v>0</v>
      </c>
      <c r="BH3916">
        <v>2300</v>
      </c>
      <c r="BI3916">
        <v>1</v>
      </c>
      <c r="BJ3916">
        <v>1</v>
      </c>
      <c r="BK3916">
        <v>0</v>
      </c>
      <c r="BL3916">
        <v>0</v>
      </c>
      <c r="BO3916">
        <v>0</v>
      </c>
      <c r="BP3916">
        <v>0</v>
      </c>
      <c r="BW3916" t="str">
        <f t="shared" si="1810"/>
        <v>14:48:21.295</v>
      </c>
      <c r="CJ3916">
        <v>0</v>
      </c>
      <c r="CK3916">
        <v>2</v>
      </c>
      <c r="CL3916">
        <v>0</v>
      </c>
      <c r="CM3916">
        <v>2</v>
      </c>
      <c r="CN3916">
        <v>0</v>
      </c>
      <c r="CO3916">
        <v>7</v>
      </c>
      <c r="CP3916" t="s">
        <v>119</v>
      </c>
      <c r="CQ3916">
        <v>8</v>
      </c>
      <c r="CR3916">
        <v>3</v>
      </c>
      <c r="CW3916">
        <v>9091851</v>
      </c>
      <c r="CY3916">
        <v>1</v>
      </c>
      <c r="CZ3916">
        <v>0</v>
      </c>
      <c r="DA3916">
        <v>1</v>
      </c>
      <c r="DB3916">
        <v>0</v>
      </c>
      <c r="DC3916">
        <v>0</v>
      </c>
      <c r="DD3916">
        <v>1</v>
      </c>
      <c r="DE3916">
        <v>0</v>
      </c>
      <c r="DF3916">
        <v>0</v>
      </c>
      <c r="DG3916">
        <v>0</v>
      </c>
      <c r="DH3916">
        <v>0</v>
      </c>
      <c r="DI3916">
        <v>0</v>
      </c>
    </row>
    <row r="3917" spans="1:113" x14ac:dyDescent="0.3">
      <c r="A3917" t="str">
        <f t="shared" si="1808"/>
        <v>05/12/2020 14:48:03.486</v>
      </c>
      <c r="C3917" t="str">
        <f t="shared" si="1786"/>
        <v>FFDFD3C0</v>
      </c>
      <c r="D3917" t="s">
        <v>131</v>
      </c>
      <c r="E3917">
        <v>12</v>
      </c>
      <c r="F3917">
        <v>2012</v>
      </c>
      <c r="G3917" t="s">
        <v>137</v>
      </c>
      <c r="J3917" t="s">
        <v>133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 t="shared" si="1809"/>
        <v>14:48:21.289</v>
      </c>
      <c r="T3917" t="str">
        <f t="shared" si="1809"/>
        <v>14:48:21.289</v>
      </c>
      <c r="U3917" t="str">
        <f t="shared" si="1806"/>
        <v>A9808D</v>
      </c>
      <c r="V3917">
        <v>0</v>
      </c>
      <c r="W3917">
        <v>0</v>
      </c>
      <c r="X3917">
        <v>1</v>
      </c>
      <c r="Z3917">
        <v>0</v>
      </c>
      <c r="AA3917">
        <v>9</v>
      </c>
      <c r="AB3917">
        <v>3</v>
      </c>
      <c r="AC3917">
        <v>0</v>
      </c>
      <c r="AD3917">
        <v>10</v>
      </c>
      <c r="AE3917">
        <v>0</v>
      </c>
      <c r="AF3917">
        <v>3</v>
      </c>
      <c r="AG3917">
        <v>2</v>
      </c>
      <c r="AH3917">
        <v>0</v>
      </c>
      <c r="AI3917" t="s">
        <v>898</v>
      </c>
      <c r="AJ3917">
        <v>28.270204</v>
      </c>
      <c r="AK3917" t="s">
        <v>899</v>
      </c>
      <c r="AL3917">
        <v>-82.285988000000003</v>
      </c>
      <c r="AM3917">
        <v>100</v>
      </c>
      <c r="AN3917">
        <v>2300</v>
      </c>
      <c r="AO3917" t="s">
        <v>118</v>
      </c>
      <c r="AP3917">
        <v>-137</v>
      </c>
      <c r="AQ3917">
        <v>-38</v>
      </c>
      <c r="AR3917">
        <v>128</v>
      </c>
      <c r="AZ3917">
        <v>1200</v>
      </c>
      <c r="BA3917">
        <v>1</v>
      </c>
      <c r="BB3917" t="str">
        <f t="shared" si="1789"/>
        <v xml:space="preserve">N711JA  </v>
      </c>
      <c r="BC3917">
        <v>1</v>
      </c>
      <c r="BE3917">
        <v>0</v>
      </c>
      <c r="BF3917">
        <v>0</v>
      </c>
      <c r="BG3917">
        <v>0</v>
      </c>
      <c r="BH3917">
        <v>2300</v>
      </c>
      <c r="BI3917">
        <v>1</v>
      </c>
      <c r="BJ3917">
        <v>1</v>
      </c>
      <c r="BK3917">
        <v>0</v>
      </c>
      <c r="BL3917">
        <v>0</v>
      </c>
      <c r="BO3917">
        <v>0</v>
      </c>
      <c r="BP3917">
        <v>0</v>
      </c>
      <c r="BW3917" t="str">
        <f t="shared" si="1810"/>
        <v>14:48:21.295</v>
      </c>
      <c r="CJ3917">
        <v>0</v>
      </c>
      <c r="CK3917">
        <v>2</v>
      </c>
      <c r="CL3917">
        <v>0</v>
      </c>
      <c r="CM3917">
        <v>2</v>
      </c>
      <c r="CN3917">
        <v>0</v>
      </c>
      <c r="CO3917">
        <v>7</v>
      </c>
      <c r="CP3917" t="s">
        <v>119</v>
      </c>
      <c r="CQ3917">
        <v>8</v>
      </c>
      <c r="CR3917">
        <v>3</v>
      </c>
      <c r="CW3917">
        <v>9091851</v>
      </c>
      <c r="CY3917">
        <v>1</v>
      </c>
      <c r="CZ3917">
        <v>0</v>
      </c>
      <c r="DA3917">
        <v>1</v>
      </c>
      <c r="DB3917">
        <v>0</v>
      </c>
      <c r="DC3917">
        <v>0</v>
      </c>
      <c r="DD3917">
        <v>1</v>
      </c>
      <c r="DE3917">
        <v>0</v>
      </c>
      <c r="DF3917">
        <v>0</v>
      </c>
      <c r="DG3917">
        <v>0</v>
      </c>
      <c r="DH3917">
        <v>0</v>
      </c>
      <c r="DI3917">
        <v>0</v>
      </c>
    </row>
    <row r="3918" spans="1:113" x14ac:dyDescent="0.3">
      <c r="A3918" t="str">
        <f t="shared" si="1808"/>
        <v>05/12/2020 14:48:03.486</v>
      </c>
      <c r="C3918" t="str">
        <f t="shared" si="1786"/>
        <v>FFDFD3C0</v>
      </c>
      <c r="D3918" t="s">
        <v>134</v>
      </c>
      <c r="E3918">
        <v>12</v>
      </c>
      <c r="H3918">
        <v>64</v>
      </c>
      <c r="I3918" t="s">
        <v>135</v>
      </c>
      <c r="J3918" t="s">
        <v>136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 t="shared" si="1809"/>
        <v>14:48:21.289</v>
      </c>
      <c r="T3918" t="str">
        <f t="shared" si="1809"/>
        <v>14:48:21.289</v>
      </c>
      <c r="U3918" t="str">
        <f t="shared" si="1806"/>
        <v>A9808D</v>
      </c>
      <c r="V3918">
        <v>0</v>
      </c>
      <c r="W3918">
        <v>0</v>
      </c>
      <c r="X3918">
        <v>1</v>
      </c>
      <c r="Z3918">
        <v>0</v>
      </c>
      <c r="AA3918">
        <v>9</v>
      </c>
      <c r="AB3918">
        <v>3</v>
      </c>
      <c r="AC3918">
        <v>0</v>
      </c>
      <c r="AD3918">
        <v>10</v>
      </c>
      <c r="AE3918">
        <v>0</v>
      </c>
      <c r="AF3918">
        <v>3</v>
      </c>
      <c r="AG3918">
        <v>2</v>
      </c>
      <c r="AH3918">
        <v>0</v>
      </c>
      <c r="AI3918" t="s">
        <v>898</v>
      </c>
      <c r="AJ3918">
        <v>28.270204</v>
      </c>
      <c r="AK3918" t="s">
        <v>899</v>
      </c>
      <c r="AL3918">
        <v>-82.285988000000003</v>
      </c>
      <c r="AM3918">
        <v>100</v>
      </c>
      <c r="AN3918">
        <v>2300</v>
      </c>
      <c r="AO3918" t="s">
        <v>118</v>
      </c>
      <c r="AP3918">
        <v>-137</v>
      </c>
      <c r="AQ3918">
        <v>-38</v>
      </c>
      <c r="AR3918">
        <v>128</v>
      </c>
      <c r="AZ3918">
        <v>1200</v>
      </c>
      <c r="BA3918">
        <v>1</v>
      </c>
      <c r="BB3918" t="str">
        <f t="shared" si="1789"/>
        <v xml:space="preserve">N711JA  </v>
      </c>
      <c r="BC3918">
        <v>1</v>
      </c>
      <c r="BE3918">
        <v>0</v>
      </c>
      <c r="BF3918">
        <v>0</v>
      </c>
      <c r="BG3918">
        <v>0</v>
      </c>
      <c r="BH3918">
        <v>2300</v>
      </c>
      <c r="BI3918">
        <v>1</v>
      </c>
      <c r="BJ3918">
        <v>1</v>
      </c>
      <c r="BK3918">
        <v>0</v>
      </c>
      <c r="BL3918">
        <v>0</v>
      </c>
      <c r="BO3918">
        <v>0</v>
      </c>
      <c r="BP3918">
        <v>0</v>
      </c>
      <c r="BW3918" t="str">
        <f t="shared" si="1810"/>
        <v>14:48:21.295</v>
      </c>
      <c r="CJ3918">
        <v>0</v>
      </c>
      <c r="CK3918">
        <v>2</v>
      </c>
      <c r="CL3918">
        <v>0</v>
      </c>
      <c r="CM3918">
        <v>2</v>
      </c>
      <c r="CN3918">
        <v>0</v>
      </c>
      <c r="CO3918">
        <v>7</v>
      </c>
      <c r="CP3918" t="s">
        <v>119</v>
      </c>
      <c r="CQ3918">
        <v>8</v>
      </c>
      <c r="CR3918">
        <v>3</v>
      </c>
      <c r="CW3918">
        <v>9091851</v>
      </c>
      <c r="CY3918">
        <v>1</v>
      </c>
      <c r="CZ3918">
        <v>0</v>
      </c>
      <c r="DA3918">
        <v>1</v>
      </c>
      <c r="DB3918">
        <v>0</v>
      </c>
      <c r="DC3918">
        <v>0</v>
      </c>
      <c r="DD3918">
        <v>1</v>
      </c>
      <c r="DE3918">
        <v>0</v>
      </c>
      <c r="DF3918">
        <v>0</v>
      </c>
      <c r="DG3918">
        <v>0</v>
      </c>
      <c r="DH3918">
        <v>0</v>
      </c>
      <c r="DI3918">
        <v>0</v>
      </c>
    </row>
    <row r="3919" spans="1:113" x14ac:dyDescent="0.3">
      <c r="A3919" t="str">
        <f t="shared" si="1808"/>
        <v>05/12/2020 14:48:03.486</v>
      </c>
      <c r="C3919" t="str">
        <f t="shared" si="1786"/>
        <v>FFDFD3C0</v>
      </c>
      <c r="D3919" t="s">
        <v>113</v>
      </c>
      <c r="E3919">
        <v>3</v>
      </c>
      <c r="H3919">
        <v>164</v>
      </c>
      <c r="I3919" t="s">
        <v>114</v>
      </c>
      <c r="J3919" t="s">
        <v>115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 t="shared" si="1809"/>
        <v>14:48:21.289</v>
      </c>
      <c r="T3919" t="str">
        <f t="shared" si="1809"/>
        <v>14:48:21.289</v>
      </c>
      <c r="U3919" t="str">
        <f t="shared" si="1806"/>
        <v>A9808D</v>
      </c>
      <c r="V3919">
        <v>0</v>
      </c>
      <c r="W3919">
        <v>0</v>
      </c>
      <c r="X3919">
        <v>1</v>
      </c>
      <c r="Z3919">
        <v>0</v>
      </c>
      <c r="AA3919">
        <v>9</v>
      </c>
      <c r="AB3919">
        <v>3</v>
      </c>
      <c r="AC3919">
        <v>0</v>
      </c>
      <c r="AD3919">
        <v>10</v>
      </c>
      <c r="AE3919">
        <v>0</v>
      </c>
      <c r="AF3919">
        <v>3</v>
      </c>
      <c r="AG3919">
        <v>2</v>
      </c>
      <c r="AH3919">
        <v>0</v>
      </c>
      <c r="AI3919" t="s">
        <v>898</v>
      </c>
      <c r="AJ3919">
        <v>28.270204</v>
      </c>
      <c r="AK3919" t="s">
        <v>899</v>
      </c>
      <c r="AL3919">
        <v>-82.285988000000003</v>
      </c>
      <c r="AM3919">
        <v>100</v>
      </c>
      <c r="AN3919">
        <v>2300</v>
      </c>
      <c r="AO3919" t="s">
        <v>118</v>
      </c>
      <c r="AP3919">
        <v>-137</v>
      </c>
      <c r="AQ3919">
        <v>-38</v>
      </c>
      <c r="AR3919">
        <v>128</v>
      </c>
      <c r="AZ3919">
        <v>1200</v>
      </c>
      <c r="BA3919">
        <v>1</v>
      </c>
      <c r="BB3919" t="str">
        <f t="shared" si="1789"/>
        <v xml:space="preserve">N711JA  </v>
      </c>
      <c r="BC3919">
        <v>1</v>
      </c>
      <c r="BE3919">
        <v>0</v>
      </c>
      <c r="BF3919">
        <v>0</v>
      </c>
      <c r="BG3919">
        <v>0</v>
      </c>
      <c r="BH3919">
        <v>2300</v>
      </c>
      <c r="BI3919">
        <v>1</v>
      </c>
      <c r="BJ3919">
        <v>1</v>
      </c>
      <c r="BK3919">
        <v>0</v>
      </c>
      <c r="BL3919">
        <v>0</v>
      </c>
      <c r="BO3919">
        <v>0</v>
      </c>
      <c r="BP3919">
        <v>0</v>
      </c>
      <c r="BW3919" t="str">
        <f t="shared" si="1810"/>
        <v>14:48:21.295</v>
      </c>
      <c r="CJ3919">
        <v>0</v>
      </c>
      <c r="CK3919">
        <v>2</v>
      </c>
      <c r="CL3919">
        <v>0</v>
      </c>
      <c r="CM3919">
        <v>2</v>
      </c>
      <c r="CN3919">
        <v>0</v>
      </c>
      <c r="CO3919">
        <v>7</v>
      </c>
      <c r="CP3919" t="s">
        <v>119</v>
      </c>
      <c r="CQ3919">
        <v>8</v>
      </c>
      <c r="CR3919">
        <v>3</v>
      </c>
      <c r="CW3919">
        <v>9091851</v>
      </c>
      <c r="CY3919">
        <v>1</v>
      </c>
      <c r="CZ3919">
        <v>0</v>
      </c>
      <c r="DA3919">
        <v>1</v>
      </c>
      <c r="DB3919">
        <v>0</v>
      </c>
      <c r="DC3919">
        <v>0</v>
      </c>
      <c r="DD3919">
        <v>1</v>
      </c>
      <c r="DE3919">
        <v>0</v>
      </c>
      <c r="DF3919">
        <v>0</v>
      </c>
      <c r="DG3919">
        <v>0</v>
      </c>
      <c r="DH3919">
        <v>0</v>
      </c>
      <c r="DI3919">
        <v>0</v>
      </c>
    </row>
    <row r="3920" spans="1:113" x14ac:dyDescent="0.3">
      <c r="A3920" t="str">
        <f t="shared" si="1808"/>
        <v>05/12/2020 14:48:03.486</v>
      </c>
      <c r="C3920" t="str">
        <f t="shared" si="1786"/>
        <v>FFDFD3C0</v>
      </c>
      <c r="D3920" t="s">
        <v>138</v>
      </c>
      <c r="E3920">
        <v>2</v>
      </c>
      <c r="H3920">
        <v>8</v>
      </c>
      <c r="I3920" t="s">
        <v>139</v>
      </c>
      <c r="J3920" t="s">
        <v>136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 t="shared" si="1809"/>
        <v>14:48:21.289</v>
      </c>
      <c r="T3920" t="str">
        <f t="shared" si="1809"/>
        <v>14:48:21.289</v>
      </c>
      <c r="U3920" t="str">
        <f t="shared" si="1806"/>
        <v>A9808D</v>
      </c>
      <c r="V3920">
        <v>0</v>
      </c>
      <c r="W3920">
        <v>0</v>
      </c>
      <c r="X3920">
        <v>1</v>
      </c>
      <c r="Z3920">
        <v>0</v>
      </c>
      <c r="AA3920">
        <v>9</v>
      </c>
      <c r="AB3920">
        <v>3</v>
      </c>
      <c r="AC3920">
        <v>0</v>
      </c>
      <c r="AD3920">
        <v>10</v>
      </c>
      <c r="AE3920">
        <v>0</v>
      </c>
      <c r="AF3920">
        <v>3</v>
      </c>
      <c r="AG3920">
        <v>2</v>
      </c>
      <c r="AH3920">
        <v>0</v>
      </c>
      <c r="AI3920" t="s">
        <v>898</v>
      </c>
      <c r="AJ3920">
        <v>28.270204</v>
      </c>
      <c r="AK3920" t="s">
        <v>899</v>
      </c>
      <c r="AL3920">
        <v>-82.285988000000003</v>
      </c>
      <c r="AM3920">
        <v>100</v>
      </c>
      <c r="AN3920">
        <v>2300</v>
      </c>
      <c r="AO3920" t="s">
        <v>118</v>
      </c>
      <c r="AP3920">
        <v>-137</v>
      </c>
      <c r="AQ3920">
        <v>-38</v>
      </c>
      <c r="AR3920">
        <v>128</v>
      </c>
      <c r="AZ3920">
        <v>1200</v>
      </c>
      <c r="BA3920">
        <v>1</v>
      </c>
      <c r="BB3920" t="str">
        <f t="shared" si="1789"/>
        <v xml:space="preserve">N711JA  </v>
      </c>
      <c r="BC3920">
        <v>1</v>
      </c>
      <c r="BE3920">
        <v>0</v>
      </c>
      <c r="BF3920">
        <v>0</v>
      </c>
      <c r="BG3920">
        <v>0</v>
      </c>
      <c r="BH3920">
        <v>2300</v>
      </c>
      <c r="BI3920">
        <v>1</v>
      </c>
      <c r="BJ3920">
        <v>1</v>
      </c>
      <c r="BK3920">
        <v>0</v>
      </c>
      <c r="BL3920">
        <v>0</v>
      </c>
      <c r="BO3920">
        <v>0</v>
      </c>
      <c r="BP3920">
        <v>0</v>
      </c>
      <c r="BW3920" t="str">
        <f t="shared" si="1810"/>
        <v>14:48:21.295</v>
      </c>
      <c r="CJ3920">
        <v>0</v>
      </c>
      <c r="CK3920">
        <v>2</v>
      </c>
      <c r="CL3920">
        <v>0</v>
      </c>
      <c r="CM3920">
        <v>2</v>
      </c>
      <c r="CN3920">
        <v>0</v>
      </c>
      <c r="CO3920">
        <v>7</v>
      </c>
      <c r="CP3920" t="s">
        <v>119</v>
      </c>
      <c r="CQ3920">
        <v>8</v>
      </c>
      <c r="CR3920">
        <v>3</v>
      </c>
      <c r="CW3920">
        <v>9091851</v>
      </c>
      <c r="CY3920">
        <v>1</v>
      </c>
      <c r="CZ3920">
        <v>0</v>
      </c>
      <c r="DA3920">
        <v>1</v>
      </c>
      <c r="DB3920">
        <v>0</v>
      </c>
      <c r="DC3920">
        <v>0</v>
      </c>
      <c r="DD3920">
        <v>1</v>
      </c>
      <c r="DE3920">
        <v>0</v>
      </c>
      <c r="DF3920">
        <v>0</v>
      </c>
      <c r="DG3920">
        <v>0</v>
      </c>
      <c r="DH3920">
        <v>0</v>
      </c>
      <c r="DI3920">
        <v>0</v>
      </c>
    </row>
    <row r="3921" spans="1:113" x14ac:dyDescent="0.3">
      <c r="A3921" t="str">
        <f t="shared" si="1808"/>
        <v>05/12/2020 14:48:03.486</v>
      </c>
      <c r="C3921" t="str">
        <f t="shared" si="1786"/>
        <v>FFDFD3C0</v>
      </c>
      <c r="D3921" t="s">
        <v>138</v>
      </c>
      <c r="E3921">
        <v>3</v>
      </c>
      <c r="H3921">
        <v>9</v>
      </c>
      <c r="I3921" t="s">
        <v>140</v>
      </c>
      <c r="J3921" t="s">
        <v>136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 t="shared" si="1809"/>
        <v>14:48:21.289</v>
      </c>
      <c r="T3921" t="str">
        <f t="shared" si="1809"/>
        <v>14:48:21.289</v>
      </c>
      <c r="U3921" t="str">
        <f t="shared" si="1806"/>
        <v>A9808D</v>
      </c>
      <c r="V3921">
        <v>0</v>
      </c>
      <c r="W3921">
        <v>0</v>
      </c>
      <c r="X3921">
        <v>1</v>
      </c>
      <c r="Z3921">
        <v>0</v>
      </c>
      <c r="AA3921">
        <v>9</v>
      </c>
      <c r="AB3921">
        <v>3</v>
      </c>
      <c r="AC3921">
        <v>0</v>
      </c>
      <c r="AD3921">
        <v>10</v>
      </c>
      <c r="AE3921">
        <v>0</v>
      </c>
      <c r="AF3921">
        <v>3</v>
      </c>
      <c r="AG3921">
        <v>2</v>
      </c>
      <c r="AH3921">
        <v>0</v>
      </c>
      <c r="AI3921" t="s">
        <v>898</v>
      </c>
      <c r="AJ3921">
        <v>28.270204</v>
      </c>
      <c r="AK3921" t="s">
        <v>899</v>
      </c>
      <c r="AL3921">
        <v>-82.285988000000003</v>
      </c>
      <c r="AM3921">
        <v>100</v>
      </c>
      <c r="AN3921">
        <v>2300</v>
      </c>
      <c r="AO3921" t="s">
        <v>118</v>
      </c>
      <c r="AP3921">
        <v>-137</v>
      </c>
      <c r="AQ3921">
        <v>-38</v>
      </c>
      <c r="AR3921">
        <v>128</v>
      </c>
      <c r="AZ3921">
        <v>1200</v>
      </c>
      <c r="BA3921">
        <v>1</v>
      </c>
      <c r="BB3921" t="str">
        <f t="shared" si="1789"/>
        <v xml:space="preserve">N711JA  </v>
      </c>
      <c r="BC3921">
        <v>1</v>
      </c>
      <c r="BE3921">
        <v>0</v>
      </c>
      <c r="BF3921">
        <v>0</v>
      </c>
      <c r="BG3921">
        <v>0</v>
      </c>
      <c r="BH3921">
        <v>2300</v>
      </c>
      <c r="BI3921">
        <v>1</v>
      </c>
      <c r="BJ3921">
        <v>1</v>
      </c>
      <c r="BK3921">
        <v>0</v>
      </c>
      <c r="BL3921">
        <v>0</v>
      </c>
      <c r="BO3921">
        <v>0</v>
      </c>
      <c r="BP3921">
        <v>0</v>
      </c>
      <c r="BW3921" t="str">
        <f t="shared" si="1810"/>
        <v>14:48:21.295</v>
      </c>
      <c r="CJ3921">
        <v>0</v>
      </c>
      <c r="CK3921">
        <v>2</v>
      </c>
      <c r="CL3921">
        <v>0</v>
      </c>
      <c r="CM3921">
        <v>2</v>
      </c>
      <c r="CN3921">
        <v>0</v>
      </c>
      <c r="CO3921">
        <v>7</v>
      </c>
      <c r="CP3921" t="s">
        <v>119</v>
      </c>
      <c r="CQ3921">
        <v>8</v>
      </c>
      <c r="CR3921">
        <v>3</v>
      </c>
      <c r="CW3921">
        <v>9091851</v>
      </c>
      <c r="CY3921">
        <v>1</v>
      </c>
      <c r="CZ3921">
        <v>0</v>
      </c>
      <c r="DA3921">
        <v>1</v>
      </c>
      <c r="DB3921">
        <v>0</v>
      </c>
      <c r="DC3921">
        <v>0</v>
      </c>
      <c r="DD3921">
        <v>1</v>
      </c>
      <c r="DE3921">
        <v>0</v>
      </c>
      <c r="DF3921">
        <v>0</v>
      </c>
      <c r="DG3921">
        <v>0</v>
      </c>
      <c r="DH3921">
        <v>0</v>
      </c>
      <c r="DI3921">
        <v>0</v>
      </c>
    </row>
    <row r="3922" spans="1:113" x14ac:dyDescent="0.3">
      <c r="A3922" t="str">
        <f t="shared" si="1808"/>
        <v>05/12/2020 14:48:03.486</v>
      </c>
      <c r="C3922" t="str">
        <f t="shared" si="1786"/>
        <v>FFDFD3C0</v>
      </c>
      <c r="D3922" t="s">
        <v>126</v>
      </c>
      <c r="E3922">
        <v>6</v>
      </c>
      <c r="F3922">
        <v>1006</v>
      </c>
      <c r="G3922" t="s">
        <v>114</v>
      </c>
      <c r="J3922" t="s">
        <v>128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 t="shared" si="1809"/>
        <v>14:48:21.289</v>
      </c>
      <c r="T3922" t="str">
        <f t="shared" si="1809"/>
        <v>14:48:21.289</v>
      </c>
      <c r="U3922" t="str">
        <f t="shared" si="1806"/>
        <v>A9808D</v>
      </c>
      <c r="V3922">
        <v>0</v>
      </c>
      <c r="W3922">
        <v>0</v>
      </c>
      <c r="X3922">
        <v>1</v>
      </c>
      <c r="Z3922">
        <v>0</v>
      </c>
      <c r="AA3922">
        <v>9</v>
      </c>
      <c r="AB3922">
        <v>3</v>
      </c>
      <c r="AC3922">
        <v>0</v>
      </c>
      <c r="AD3922">
        <v>10</v>
      </c>
      <c r="AE3922">
        <v>0</v>
      </c>
      <c r="AF3922">
        <v>3</v>
      </c>
      <c r="AG3922">
        <v>2</v>
      </c>
      <c r="AH3922">
        <v>0</v>
      </c>
      <c r="AI3922" t="s">
        <v>898</v>
      </c>
      <c r="AJ3922">
        <v>28.270204</v>
      </c>
      <c r="AK3922" t="s">
        <v>899</v>
      </c>
      <c r="AL3922">
        <v>-82.285988000000003</v>
      </c>
      <c r="AM3922">
        <v>100</v>
      </c>
      <c r="AN3922">
        <v>2300</v>
      </c>
      <c r="AO3922" t="s">
        <v>118</v>
      </c>
      <c r="AP3922">
        <v>-137</v>
      </c>
      <c r="AQ3922">
        <v>-38</v>
      </c>
      <c r="AR3922">
        <v>128</v>
      </c>
      <c r="AZ3922">
        <v>1200</v>
      </c>
      <c r="BA3922">
        <v>1</v>
      </c>
      <c r="BB3922" t="str">
        <f t="shared" si="1789"/>
        <v xml:space="preserve">N711JA  </v>
      </c>
      <c r="BC3922">
        <v>1</v>
      </c>
      <c r="BE3922">
        <v>0</v>
      </c>
      <c r="BF3922">
        <v>0</v>
      </c>
      <c r="BG3922">
        <v>0</v>
      </c>
      <c r="BH3922">
        <v>2300</v>
      </c>
      <c r="BI3922">
        <v>1</v>
      </c>
      <c r="BJ3922">
        <v>1</v>
      </c>
      <c r="BK3922">
        <v>0</v>
      </c>
      <c r="BL3922">
        <v>0</v>
      </c>
      <c r="BO3922">
        <v>0</v>
      </c>
      <c r="BP3922">
        <v>0</v>
      </c>
      <c r="BW3922" t="str">
        <f t="shared" si="1810"/>
        <v>14:48:21.295</v>
      </c>
      <c r="CJ3922">
        <v>0</v>
      </c>
      <c r="CK3922">
        <v>2</v>
      </c>
      <c r="CL3922">
        <v>0</v>
      </c>
      <c r="CM3922">
        <v>2</v>
      </c>
      <c r="CN3922">
        <v>0</v>
      </c>
      <c r="CO3922">
        <v>7</v>
      </c>
      <c r="CP3922" t="s">
        <v>119</v>
      </c>
      <c r="CQ3922">
        <v>8</v>
      </c>
      <c r="CR3922">
        <v>3</v>
      </c>
      <c r="CW3922">
        <v>9091851</v>
      </c>
      <c r="CY3922">
        <v>1</v>
      </c>
      <c r="CZ3922">
        <v>0</v>
      </c>
      <c r="DA3922">
        <v>1</v>
      </c>
      <c r="DB3922">
        <v>0</v>
      </c>
      <c r="DC3922">
        <v>0</v>
      </c>
      <c r="DD3922">
        <v>1</v>
      </c>
      <c r="DE3922">
        <v>0</v>
      </c>
      <c r="DF3922">
        <v>0</v>
      </c>
      <c r="DG3922">
        <v>0</v>
      </c>
      <c r="DH3922">
        <v>0</v>
      </c>
      <c r="DI3922">
        <v>0</v>
      </c>
    </row>
    <row r="3923" spans="1:113" x14ac:dyDescent="0.3">
      <c r="A3923" t="str">
        <f t="shared" ref="A3923:A3931" si="1811">"05/12/2020 14:48:04.542"</f>
        <v>05/12/2020 14:48:04.542</v>
      </c>
      <c r="C3923" t="str">
        <f t="shared" si="1786"/>
        <v>FFDFD3C0</v>
      </c>
      <c r="D3923" t="s">
        <v>126</v>
      </c>
      <c r="E3923">
        <v>7</v>
      </c>
      <c r="F3923">
        <v>1007</v>
      </c>
      <c r="G3923" t="s">
        <v>127</v>
      </c>
      <c r="J3923" t="s">
        <v>128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 t="shared" ref="S3923:S3931" si="1812">"14:48:22.375"</f>
        <v>14:48:22.375</v>
      </c>
      <c r="T3923" t="str">
        <f t="shared" ref="T3923:T3931" si="1813">"14:48:22.275"</f>
        <v>14:48:22.275</v>
      </c>
      <c r="U3923" t="str">
        <f t="shared" si="1806"/>
        <v>A9808D</v>
      </c>
      <c r="V3923">
        <v>0</v>
      </c>
      <c r="W3923">
        <v>0</v>
      </c>
      <c r="X3923">
        <v>1</v>
      </c>
      <c r="Z3923">
        <v>0</v>
      </c>
      <c r="AA3923">
        <v>9</v>
      </c>
      <c r="AB3923">
        <v>3</v>
      </c>
      <c r="AC3923">
        <v>0</v>
      </c>
      <c r="AD3923">
        <v>10</v>
      </c>
      <c r="AE3923">
        <v>0</v>
      </c>
      <c r="AF3923">
        <v>3</v>
      </c>
      <c r="AG3923">
        <v>2</v>
      </c>
      <c r="AH3923">
        <v>0</v>
      </c>
      <c r="AI3923" t="s">
        <v>855</v>
      </c>
      <c r="AJ3923">
        <v>28.270011</v>
      </c>
      <c r="AK3923" t="s">
        <v>900</v>
      </c>
      <c r="AL3923">
        <v>-82.286738999999997</v>
      </c>
      <c r="AM3923">
        <v>100</v>
      </c>
      <c r="AN3923">
        <v>2300</v>
      </c>
      <c r="AO3923" t="s">
        <v>118</v>
      </c>
      <c r="AP3923">
        <v>-137</v>
      </c>
      <c r="AQ3923">
        <v>-40</v>
      </c>
      <c r="AR3923">
        <v>64</v>
      </c>
      <c r="AZ3923">
        <v>1200</v>
      </c>
      <c r="BA3923">
        <v>1</v>
      </c>
      <c r="BB3923" t="str">
        <f t="shared" si="1789"/>
        <v xml:space="preserve">N711JA  </v>
      </c>
      <c r="BC3923">
        <v>1</v>
      </c>
      <c r="BE3923">
        <v>0</v>
      </c>
      <c r="BF3923">
        <v>0</v>
      </c>
      <c r="BG3923">
        <v>0</v>
      </c>
      <c r="BH3923">
        <v>2300</v>
      </c>
      <c r="BI3923">
        <v>1</v>
      </c>
      <c r="BJ3923">
        <v>1</v>
      </c>
      <c r="BK3923">
        <v>0</v>
      </c>
      <c r="BL3923">
        <v>0</v>
      </c>
      <c r="BO3923">
        <v>0</v>
      </c>
      <c r="BP3923">
        <v>0</v>
      </c>
      <c r="BW3923" t="str">
        <f t="shared" ref="BW3923:BW3931" si="1814">"14:48:22.377"</f>
        <v>14:48:22.377</v>
      </c>
      <c r="CJ3923">
        <v>0</v>
      </c>
      <c r="CK3923">
        <v>2</v>
      </c>
      <c r="CL3923">
        <v>0</v>
      </c>
      <c r="CM3923">
        <v>2</v>
      </c>
      <c r="CN3923">
        <v>0</v>
      </c>
      <c r="CO3923">
        <v>7</v>
      </c>
      <c r="CP3923" t="s">
        <v>119</v>
      </c>
      <c r="CQ3923">
        <v>8</v>
      </c>
      <c r="CR3923">
        <v>3</v>
      </c>
      <c r="CW3923">
        <v>9093000</v>
      </c>
      <c r="CY3923">
        <v>1</v>
      </c>
      <c r="CZ3923">
        <v>0</v>
      </c>
      <c r="DA3923">
        <v>0</v>
      </c>
      <c r="DB3923">
        <v>0</v>
      </c>
      <c r="DC3923">
        <v>0</v>
      </c>
      <c r="DD3923">
        <v>1</v>
      </c>
      <c r="DE3923">
        <v>0</v>
      </c>
      <c r="DF3923">
        <v>0</v>
      </c>
      <c r="DG3923">
        <v>0</v>
      </c>
      <c r="DH3923">
        <v>0</v>
      </c>
      <c r="DI3923">
        <v>0</v>
      </c>
    </row>
    <row r="3924" spans="1:113" x14ac:dyDescent="0.3">
      <c r="A3924" t="str">
        <f t="shared" si="1811"/>
        <v>05/12/2020 14:48:04.542</v>
      </c>
      <c r="C3924" t="str">
        <f t="shared" si="1786"/>
        <v>FFDFD3C0</v>
      </c>
      <c r="D3924" t="s">
        <v>131</v>
      </c>
      <c r="E3924">
        <v>10</v>
      </c>
      <c r="F3924">
        <v>2010</v>
      </c>
      <c r="G3924" t="s">
        <v>132</v>
      </c>
      <c r="J3924" t="s">
        <v>133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 t="shared" si="1812"/>
        <v>14:48:22.375</v>
      </c>
      <c r="T3924" t="str">
        <f t="shared" si="1813"/>
        <v>14:48:22.275</v>
      </c>
      <c r="U3924" t="str">
        <f t="shared" si="1806"/>
        <v>A9808D</v>
      </c>
      <c r="V3924">
        <v>0</v>
      </c>
      <c r="W3924">
        <v>0</v>
      </c>
      <c r="X3924">
        <v>1</v>
      </c>
      <c r="Z3924">
        <v>0</v>
      </c>
      <c r="AA3924">
        <v>9</v>
      </c>
      <c r="AB3924">
        <v>3</v>
      </c>
      <c r="AC3924">
        <v>0</v>
      </c>
      <c r="AD3924">
        <v>10</v>
      </c>
      <c r="AE3924">
        <v>0</v>
      </c>
      <c r="AF3924">
        <v>3</v>
      </c>
      <c r="AG3924">
        <v>2</v>
      </c>
      <c r="AH3924">
        <v>0</v>
      </c>
      <c r="AI3924" t="s">
        <v>855</v>
      </c>
      <c r="AJ3924">
        <v>28.270011</v>
      </c>
      <c r="AK3924" t="s">
        <v>900</v>
      </c>
      <c r="AL3924">
        <v>-82.286738999999997</v>
      </c>
      <c r="AM3924">
        <v>100</v>
      </c>
      <c r="AN3924">
        <v>2300</v>
      </c>
      <c r="AO3924" t="s">
        <v>118</v>
      </c>
      <c r="AP3924">
        <v>-137</v>
      </c>
      <c r="AQ3924">
        <v>-40</v>
      </c>
      <c r="AR3924">
        <v>64</v>
      </c>
      <c r="AZ3924">
        <v>1200</v>
      </c>
      <c r="BA3924">
        <v>1</v>
      </c>
      <c r="BB3924" t="str">
        <f t="shared" si="1789"/>
        <v xml:space="preserve">N711JA  </v>
      </c>
      <c r="BC3924">
        <v>1</v>
      </c>
      <c r="BE3924">
        <v>0</v>
      </c>
      <c r="BF3924">
        <v>0</v>
      </c>
      <c r="BG3924">
        <v>0</v>
      </c>
      <c r="BH3924">
        <v>2300</v>
      </c>
      <c r="BI3924">
        <v>1</v>
      </c>
      <c r="BJ3924">
        <v>1</v>
      </c>
      <c r="BK3924">
        <v>0</v>
      </c>
      <c r="BL3924">
        <v>0</v>
      </c>
      <c r="BO3924">
        <v>0</v>
      </c>
      <c r="BP3924">
        <v>0</v>
      </c>
      <c r="BW3924" t="str">
        <f t="shared" si="1814"/>
        <v>14:48:22.377</v>
      </c>
      <c r="CJ3924">
        <v>0</v>
      </c>
      <c r="CK3924">
        <v>2</v>
      </c>
      <c r="CL3924">
        <v>0</v>
      </c>
      <c r="CM3924">
        <v>2</v>
      </c>
      <c r="CN3924">
        <v>0</v>
      </c>
      <c r="CO3924">
        <v>7</v>
      </c>
      <c r="CP3924" t="s">
        <v>119</v>
      </c>
      <c r="CQ3924">
        <v>8</v>
      </c>
      <c r="CR3924">
        <v>3</v>
      </c>
      <c r="CW3924">
        <v>9093000</v>
      </c>
      <c r="CY3924">
        <v>1</v>
      </c>
      <c r="CZ3924">
        <v>0</v>
      </c>
      <c r="DA3924">
        <v>1</v>
      </c>
      <c r="DB3924">
        <v>0</v>
      </c>
      <c r="DC3924">
        <v>0</v>
      </c>
      <c r="DD3924">
        <v>1</v>
      </c>
      <c r="DE3924">
        <v>0</v>
      </c>
      <c r="DF3924">
        <v>0</v>
      </c>
      <c r="DG3924">
        <v>0</v>
      </c>
      <c r="DH3924">
        <v>0</v>
      </c>
      <c r="DI3924">
        <v>0</v>
      </c>
    </row>
    <row r="3925" spans="1:113" x14ac:dyDescent="0.3">
      <c r="A3925" t="str">
        <f t="shared" si="1811"/>
        <v>05/12/2020 14:48:04.542</v>
      </c>
      <c r="C3925" t="str">
        <f t="shared" si="1786"/>
        <v>FFDFD3C0</v>
      </c>
      <c r="D3925" t="s">
        <v>131</v>
      </c>
      <c r="E3925">
        <v>12</v>
      </c>
      <c r="F3925">
        <v>2012</v>
      </c>
      <c r="G3925" t="s">
        <v>137</v>
      </c>
      <c r="J3925" t="s">
        <v>133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 t="shared" si="1812"/>
        <v>14:48:22.375</v>
      </c>
      <c r="T3925" t="str">
        <f t="shared" si="1813"/>
        <v>14:48:22.275</v>
      </c>
      <c r="U3925" t="str">
        <f t="shared" si="1806"/>
        <v>A9808D</v>
      </c>
      <c r="V3925">
        <v>0</v>
      </c>
      <c r="W3925">
        <v>0</v>
      </c>
      <c r="X3925">
        <v>1</v>
      </c>
      <c r="Z3925">
        <v>0</v>
      </c>
      <c r="AA3925">
        <v>9</v>
      </c>
      <c r="AB3925">
        <v>3</v>
      </c>
      <c r="AC3925">
        <v>0</v>
      </c>
      <c r="AD3925">
        <v>10</v>
      </c>
      <c r="AE3925">
        <v>0</v>
      </c>
      <c r="AF3925">
        <v>3</v>
      </c>
      <c r="AG3925">
        <v>2</v>
      </c>
      <c r="AH3925">
        <v>0</v>
      </c>
      <c r="AI3925" t="s">
        <v>855</v>
      </c>
      <c r="AJ3925">
        <v>28.270011</v>
      </c>
      <c r="AK3925" t="s">
        <v>900</v>
      </c>
      <c r="AL3925">
        <v>-82.286738999999997</v>
      </c>
      <c r="AM3925">
        <v>100</v>
      </c>
      <c r="AN3925">
        <v>2300</v>
      </c>
      <c r="AO3925" t="s">
        <v>118</v>
      </c>
      <c r="AP3925">
        <v>-137</v>
      </c>
      <c r="AQ3925">
        <v>-40</v>
      </c>
      <c r="AR3925">
        <v>64</v>
      </c>
      <c r="AZ3925">
        <v>1200</v>
      </c>
      <c r="BA3925">
        <v>1</v>
      </c>
      <c r="BB3925" t="str">
        <f t="shared" si="1789"/>
        <v xml:space="preserve">N711JA  </v>
      </c>
      <c r="BC3925">
        <v>1</v>
      </c>
      <c r="BE3925">
        <v>0</v>
      </c>
      <c r="BF3925">
        <v>0</v>
      </c>
      <c r="BG3925">
        <v>0</v>
      </c>
      <c r="BH3925">
        <v>2300</v>
      </c>
      <c r="BI3925">
        <v>1</v>
      </c>
      <c r="BJ3925">
        <v>1</v>
      </c>
      <c r="BK3925">
        <v>0</v>
      </c>
      <c r="BL3925">
        <v>0</v>
      </c>
      <c r="BO3925">
        <v>0</v>
      </c>
      <c r="BP3925">
        <v>0</v>
      </c>
      <c r="BW3925" t="str">
        <f t="shared" si="1814"/>
        <v>14:48:22.377</v>
      </c>
      <c r="CJ3925">
        <v>0</v>
      </c>
      <c r="CK3925">
        <v>2</v>
      </c>
      <c r="CL3925">
        <v>0</v>
      </c>
      <c r="CM3925">
        <v>2</v>
      </c>
      <c r="CN3925">
        <v>0</v>
      </c>
      <c r="CO3925">
        <v>7</v>
      </c>
      <c r="CP3925" t="s">
        <v>119</v>
      </c>
      <c r="CQ3925">
        <v>8</v>
      </c>
      <c r="CR3925">
        <v>3</v>
      </c>
      <c r="CW3925">
        <v>9093000</v>
      </c>
      <c r="CY3925">
        <v>1</v>
      </c>
      <c r="CZ3925">
        <v>0</v>
      </c>
      <c r="DA3925">
        <v>1</v>
      </c>
      <c r="DB3925">
        <v>0</v>
      </c>
      <c r="DC3925">
        <v>0</v>
      </c>
      <c r="DD3925">
        <v>1</v>
      </c>
      <c r="DE3925">
        <v>0</v>
      </c>
      <c r="DF3925">
        <v>0</v>
      </c>
      <c r="DG3925">
        <v>0</v>
      </c>
      <c r="DH3925">
        <v>0</v>
      </c>
      <c r="DI3925">
        <v>0</v>
      </c>
    </row>
    <row r="3926" spans="1:113" x14ac:dyDescent="0.3">
      <c r="A3926" t="str">
        <f t="shared" si="1811"/>
        <v>05/12/2020 14:48:04.542</v>
      </c>
      <c r="C3926" t="str">
        <f t="shared" ref="C3926:C3989" si="1815">"FFDFD3C0"</f>
        <v>FFDFD3C0</v>
      </c>
      <c r="D3926" t="s">
        <v>131</v>
      </c>
      <c r="E3926">
        <v>18</v>
      </c>
      <c r="F3926">
        <v>2018</v>
      </c>
      <c r="G3926" t="s">
        <v>161</v>
      </c>
      <c r="J3926" t="s">
        <v>133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 t="shared" si="1812"/>
        <v>14:48:22.375</v>
      </c>
      <c r="T3926" t="str">
        <f t="shared" si="1813"/>
        <v>14:48:22.275</v>
      </c>
      <c r="U3926" t="str">
        <f t="shared" si="1806"/>
        <v>A9808D</v>
      </c>
      <c r="V3926">
        <v>0</v>
      </c>
      <c r="W3926">
        <v>0</v>
      </c>
      <c r="X3926">
        <v>1</v>
      </c>
      <c r="Z3926">
        <v>0</v>
      </c>
      <c r="AA3926">
        <v>9</v>
      </c>
      <c r="AB3926">
        <v>3</v>
      </c>
      <c r="AC3926">
        <v>0</v>
      </c>
      <c r="AD3926">
        <v>10</v>
      </c>
      <c r="AE3926">
        <v>0</v>
      </c>
      <c r="AF3926">
        <v>3</v>
      </c>
      <c r="AG3926">
        <v>2</v>
      </c>
      <c r="AH3926">
        <v>0</v>
      </c>
      <c r="AI3926" t="s">
        <v>855</v>
      </c>
      <c r="AJ3926">
        <v>28.270011</v>
      </c>
      <c r="AK3926" t="s">
        <v>900</v>
      </c>
      <c r="AL3926">
        <v>-82.286738999999997</v>
      </c>
      <c r="AM3926">
        <v>100</v>
      </c>
      <c r="AN3926">
        <v>2300</v>
      </c>
      <c r="AO3926" t="s">
        <v>118</v>
      </c>
      <c r="AP3926">
        <v>-137</v>
      </c>
      <c r="AQ3926">
        <v>-40</v>
      </c>
      <c r="AR3926">
        <v>64</v>
      </c>
      <c r="AZ3926">
        <v>1200</v>
      </c>
      <c r="BA3926">
        <v>1</v>
      </c>
      <c r="BB3926" t="str">
        <f t="shared" ref="BB3926:BB3989" si="1816">"N711JA  "</f>
        <v xml:space="preserve">N711JA  </v>
      </c>
      <c r="BC3926">
        <v>1</v>
      </c>
      <c r="BE3926">
        <v>0</v>
      </c>
      <c r="BF3926">
        <v>0</v>
      </c>
      <c r="BG3926">
        <v>0</v>
      </c>
      <c r="BH3926">
        <v>2300</v>
      </c>
      <c r="BI3926">
        <v>1</v>
      </c>
      <c r="BJ3926">
        <v>1</v>
      </c>
      <c r="BK3926">
        <v>0</v>
      </c>
      <c r="BL3926">
        <v>0</v>
      </c>
      <c r="BO3926">
        <v>0</v>
      </c>
      <c r="BP3926">
        <v>0</v>
      </c>
      <c r="BW3926" t="str">
        <f t="shared" si="1814"/>
        <v>14:48:22.377</v>
      </c>
      <c r="CJ3926">
        <v>0</v>
      </c>
      <c r="CK3926">
        <v>2</v>
      </c>
      <c r="CL3926">
        <v>0</v>
      </c>
      <c r="CM3926">
        <v>2</v>
      </c>
      <c r="CN3926">
        <v>0</v>
      </c>
      <c r="CO3926">
        <v>3</v>
      </c>
      <c r="CP3926" t="s">
        <v>119</v>
      </c>
      <c r="CQ3926">
        <v>62</v>
      </c>
      <c r="CR3926">
        <v>2</v>
      </c>
      <c r="CW3926">
        <v>13796911</v>
      </c>
      <c r="CY3926">
        <v>1</v>
      </c>
      <c r="CZ3926">
        <v>0</v>
      </c>
      <c r="DA3926">
        <v>1</v>
      </c>
      <c r="DB3926">
        <v>0</v>
      </c>
      <c r="DC3926">
        <v>0</v>
      </c>
      <c r="DD3926">
        <v>1</v>
      </c>
      <c r="DE3926">
        <v>0</v>
      </c>
      <c r="DF3926">
        <v>0</v>
      </c>
      <c r="DG3926">
        <v>0</v>
      </c>
      <c r="DH3926">
        <v>0</v>
      </c>
      <c r="DI3926">
        <v>0</v>
      </c>
    </row>
    <row r="3927" spans="1:113" x14ac:dyDescent="0.3">
      <c r="A3927" t="str">
        <f t="shared" si="1811"/>
        <v>05/12/2020 14:48:04.542</v>
      </c>
      <c r="C3927" t="str">
        <f t="shared" si="1815"/>
        <v>FFDFD3C0</v>
      </c>
      <c r="D3927" t="s">
        <v>113</v>
      </c>
      <c r="E3927">
        <v>3</v>
      </c>
      <c r="H3927">
        <v>164</v>
      </c>
      <c r="I3927" t="s">
        <v>114</v>
      </c>
      <c r="J3927" t="s">
        <v>115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 t="shared" si="1812"/>
        <v>14:48:22.375</v>
      </c>
      <c r="T3927" t="str">
        <f t="shared" si="1813"/>
        <v>14:48:22.275</v>
      </c>
      <c r="U3927" t="str">
        <f t="shared" si="1806"/>
        <v>A9808D</v>
      </c>
      <c r="V3927">
        <v>0</v>
      </c>
      <c r="W3927">
        <v>0</v>
      </c>
      <c r="X3927">
        <v>1</v>
      </c>
      <c r="Z3927">
        <v>0</v>
      </c>
      <c r="AA3927">
        <v>9</v>
      </c>
      <c r="AB3927">
        <v>3</v>
      </c>
      <c r="AC3927">
        <v>0</v>
      </c>
      <c r="AD3927">
        <v>10</v>
      </c>
      <c r="AE3927">
        <v>0</v>
      </c>
      <c r="AF3927">
        <v>3</v>
      </c>
      <c r="AG3927">
        <v>2</v>
      </c>
      <c r="AH3927">
        <v>0</v>
      </c>
      <c r="AI3927" t="s">
        <v>855</v>
      </c>
      <c r="AJ3927">
        <v>28.270011</v>
      </c>
      <c r="AK3927" t="s">
        <v>900</v>
      </c>
      <c r="AL3927">
        <v>-82.286738999999997</v>
      </c>
      <c r="AM3927">
        <v>100</v>
      </c>
      <c r="AN3927">
        <v>2300</v>
      </c>
      <c r="AO3927" t="s">
        <v>118</v>
      </c>
      <c r="AP3927">
        <v>-137</v>
      </c>
      <c r="AQ3927">
        <v>-40</v>
      </c>
      <c r="AR3927">
        <v>64</v>
      </c>
      <c r="AZ3927">
        <v>1200</v>
      </c>
      <c r="BA3927">
        <v>1</v>
      </c>
      <c r="BB3927" t="str">
        <f t="shared" si="1816"/>
        <v xml:space="preserve">N711JA  </v>
      </c>
      <c r="BC3927">
        <v>1</v>
      </c>
      <c r="BE3927">
        <v>0</v>
      </c>
      <c r="BF3927">
        <v>0</v>
      </c>
      <c r="BG3927">
        <v>0</v>
      </c>
      <c r="BH3927">
        <v>2300</v>
      </c>
      <c r="BI3927">
        <v>1</v>
      </c>
      <c r="BJ3927">
        <v>1</v>
      </c>
      <c r="BK3927">
        <v>0</v>
      </c>
      <c r="BL3927">
        <v>0</v>
      </c>
      <c r="BO3927">
        <v>0</v>
      </c>
      <c r="BP3927">
        <v>0</v>
      </c>
      <c r="BW3927" t="str">
        <f t="shared" si="1814"/>
        <v>14:48:22.377</v>
      </c>
      <c r="CJ3927">
        <v>0</v>
      </c>
      <c r="CK3927">
        <v>2</v>
      </c>
      <c r="CL3927">
        <v>0</v>
      </c>
      <c r="CM3927">
        <v>2</v>
      </c>
      <c r="CN3927">
        <v>0</v>
      </c>
      <c r="CO3927">
        <v>7</v>
      </c>
      <c r="CP3927" t="s">
        <v>119</v>
      </c>
      <c r="CQ3927">
        <v>8</v>
      </c>
      <c r="CR3927">
        <v>3</v>
      </c>
      <c r="CW3927">
        <v>9093000</v>
      </c>
      <c r="CY3927">
        <v>1</v>
      </c>
      <c r="CZ3927">
        <v>0</v>
      </c>
      <c r="DA3927">
        <v>1</v>
      </c>
      <c r="DB3927">
        <v>0</v>
      </c>
      <c r="DC3927">
        <v>0</v>
      </c>
      <c r="DD3927">
        <v>1</v>
      </c>
      <c r="DE3927">
        <v>0</v>
      </c>
      <c r="DF3927">
        <v>0</v>
      </c>
      <c r="DG3927">
        <v>0</v>
      </c>
      <c r="DH3927">
        <v>0</v>
      </c>
      <c r="DI3927">
        <v>0</v>
      </c>
    </row>
    <row r="3928" spans="1:113" x14ac:dyDescent="0.3">
      <c r="A3928" t="str">
        <f t="shared" si="1811"/>
        <v>05/12/2020 14:48:04.542</v>
      </c>
      <c r="C3928" t="str">
        <f t="shared" si="1815"/>
        <v>FFDFD3C0</v>
      </c>
      <c r="D3928" t="s">
        <v>134</v>
      </c>
      <c r="E3928">
        <v>12</v>
      </c>
      <c r="H3928">
        <v>64</v>
      </c>
      <c r="I3928" t="s">
        <v>135</v>
      </c>
      <c r="J3928" t="s">
        <v>136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 t="shared" si="1812"/>
        <v>14:48:22.375</v>
      </c>
      <c r="T3928" t="str">
        <f t="shared" si="1813"/>
        <v>14:48:22.275</v>
      </c>
      <c r="U3928" t="str">
        <f t="shared" si="1806"/>
        <v>A9808D</v>
      </c>
      <c r="V3928">
        <v>0</v>
      </c>
      <c r="W3928">
        <v>0</v>
      </c>
      <c r="X3928">
        <v>1</v>
      </c>
      <c r="Z3928">
        <v>0</v>
      </c>
      <c r="AA3928">
        <v>9</v>
      </c>
      <c r="AB3928">
        <v>3</v>
      </c>
      <c r="AC3928">
        <v>0</v>
      </c>
      <c r="AD3928">
        <v>10</v>
      </c>
      <c r="AE3928">
        <v>0</v>
      </c>
      <c r="AF3928">
        <v>3</v>
      </c>
      <c r="AG3928">
        <v>2</v>
      </c>
      <c r="AH3928">
        <v>0</v>
      </c>
      <c r="AI3928" t="s">
        <v>855</v>
      </c>
      <c r="AJ3928">
        <v>28.270011</v>
      </c>
      <c r="AK3928" t="s">
        <v>900</v>
      </c>
      <c r="AL3928">
        <v>-82.286738999999997</v>
      </c>
      <c r="AM3928">
        <v>100</v>
      </c>
      <c r="AN3928">
        <v>2300</v>
      </c>
      <c r="AO3928" t="s">
        <v>118</v>
      </c>
      <c r="AP3928">
        <v>-137</v>
      </c>
      <c r="AQ3928">
        <v>-40</v>
      </c>
      <c r="AR3928">
        <v>64</v>
      </c>
      <c r="AZ3928">
        <v>1200</v>
      </c>
      <c r="BA3928">
        <v>1</v>
      </c>
      <c r="BB3928" t="str">
        <f t="shared" si="1816"/>
        <v xml:space="preserve">N711JA  </v>
      </c>
      <c r="BC3928">
        <v>1</v>
      </c>
      <c r="BE3928">
        <v>0</v>
      </c>
      <c r="BF3928">
        <v>0</v>
      </c>
      <c r="BG3928">
        <v>0</v>
      </c>
      <c r="BH3928">
        <v>2300</v>
      </c>
      <c r="BI3928">
        <v>1</v>
      </c>
      <c r="BJ3928">
        <v>1</v>
      </c>
      <c r="BK3928">
        <v>0</v>
      </c>
      <c r="BL3928">
        <v>0</v>
      </c>
      <c r="BO3928">
        <v>0</v>
      </c>
      <c r="BP3928">
        <v>0</v>
      </c>
      <c r="BW3928" t="str">
        <f t="shared" si="1814"/>
        <v>14:48:22.377</v>
      </c>
      <c r="CJ3928">
        <v>0</v>
      </c>
      <c r="CK3928">
        <v>2</v>
      </c>
      <c r="CL3928">
        <v>0</v>
      </c>
      <c r="CM3928">
        <v>2</v>
      </c>
      <c r="CN3928">
        <v>0</v>
      </c>
      <c r="CO3928">
        <v>7</v>
      </c>
      <c r="CP3928" t="s">
        <v>119</v>
      </c>
      <c r="CQ3928">
        <v>8</v>
      </c>
      <c r="CR3928">
        <v>3</v>
      </c>
      <c r="CW3928">
        <v>9093000</v>
      </c>
      <c r="CY3928">
        <v>1</v>
      </c>
      <c r="CZ3928">
        <v>0</v>
      </c>
      <c r="DA3928">
        <v>1</v>
      </c>
      <c r="DB3928">
        <v>0</v>
      </c>
      <c r="DC3928">
        <v>0</v>
      </c>
      <c r="DD3928">
        <v>1</v>
      </c>
      <c r="DE3928">
        <v>0</v>
      </c>
      <c r="DF3928">
        <v>0</v>
      </c>
      <c r="DG3928">
        <v>0</v>
      </c>
      <c r="DH3928">
        <v>0</v>
      </c>
      <c r="DI3928">
        <v>0</v>
      </c>
    </row>
    <row r="3929" spans="1:113" x14ac:dyDescent="0.3">
      <c r="A3929" t="str">
        <f t="shared" si="1811"/>
        <v>05/12/2020 14:48:04.542</v>
      </c>
      <c r="C3929" t="str">
        <f t="shared" si="1815"/>
        <v>FFDFD3C0</v>
      </c>
      <c r="D3929" t="s">
        <v>138</v>
      </c>
      <c r="E3929">
        <v>2</v>
      </c>
      <c r="H3929">
        <v>8</v>
      </c>
      <c r="I3929" t="s">
        <v>139</v>
      </c>
      <c r="J3929" t="s">
        <v>136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 t="shared" si="1812"/>
        <v>14:48:22.375</v>
      </c>
      <c r="T3929" t="str">
        <f t="shared" si="1813"/>
        <v>14:48:22.275</v>
      </c>
      <c r="U3929" t="str">
        <f t="shared" si="1806"/>
        <v>A9808D</v>
      </c>
      <c r="V3929">
        <v>0</v>
      </c>
      <c r="W3929">
        <v>0</v>
      </c>
      <c r="X3929">
        <v>1</v>
      </c>
      <c r="Z3929">
        <v>0</v>
      </c>
      <c r="AA3929">
        <v>9</v>
      </c>
      <c r="AB3929">
        <v>3</v>
      </c>
      <c r="AC3929">
        <v>0</v>
      </c>
      <c r="AD3929">
        <v>10</v>
      </c>
      <c r="AE3929">
        <v>0</v>
      </c>
      <c r="AF3929">
        <v>3</v>
      </c>
      <c r="AG3929">
        <v>2</v>
      </c>
      <c r="AH3929">
        <v>0</v>
      </c>
      <c r="AI3929" t="s">
        <v>855</v>
      </c>
      <c r="AJ3929">
        <v>28.270011</v>
      </c>
      <c r="AK3929" t="s">
        <v>900</v>
      </c>
      <c r="AL3929">
        <v>-82.286738999999997</v>
      </c>
      <c r="AM3929">
        <v>100</v>
      </c>
      <c r="AN3929">
        <v>2300</v>
      </c>
      <c r="AO3929" t="s">
        <v>118</v>
      </c>
      <c r="AP3929">
        <v>-137</v>
      </c>
      <c r="AQ3929">
        <v>-40</v>
      </c>
      <c r="AR3929">
        <v>64</v>
      </c>
      <c r="AZ3929">
        <v>1200</v>
      </c>
      <c r="BA3929">
        <v>1</v>
      </c>
      <c r="BB3929" t="str">
        <f t="shared" si="1816"/>
        <v xml:space="preserve">N711JA  </v>
      </c>
      <c r="BC3929">
        <v>1</v>
      </c>
      <c r="BE3929">
        <v>0</v>
      </c>
      <c r="BF3929">
        <v>0</v>
      </c>
      <c r="BG3929">
        <v>0</v>
      </c>
      <c r="BH3929">
        <v>2300</v>
      </c>
      <c r="BI3929">
        <v>1</v>
      </c>
      <c r="BJ3929">
        <v>1</v>
      </c>
      <c r="BK3929">
        <v>0</v>
      </c>
      <c r="BL3929">
        <v>0</v>
      </c>
      <c r="BO3929">
        <v>0</v>
      </c>
      <c r="BP3929">
        <v>0</v>
      </c>
      <c r="BW3929" t="str">
        <f t="shared" si="1814"/>
        <v>14:48:22.377</v>
      </c>
      <c r="CJ3929">
        <v>0</v>
      </c>
      <c r="CK3929">
        <v>2</v>
      </c>
      <c r="CL3929">
        <v>0</v>
      </c>
      <c r="CM3929">
        <v>2</v>
      </c>
      <c r="CN3929">
        <v>0</v>
      </c>
      <c r="CO3929">
        <v>7</v>
      </c>
      <c r="CP3929" t="s">
        <v>119</v>
      </c>
      <c r="CQ3929">
        <v>8</v>
      </c>
      <c r="CR3929">
        <v>3</v>
      </c>
      <c r="CW3929">
        <v>9093000</v>
      </c>
      <c r="CY3929">
        <v>1</v>
      </c>
      <c r="CZ3929">
        <v>0</v>
      </c>
      <c r="DA3929">
        <v>1</v>
      </c>
      <c r="DB3929">
        <v>0</v>
      </c>
      <c r="DC3929">
        <v>0</v>
      </c>
      <c r="DD3929">
        <v>1</v>
      </c>
      <c r="DE3929">
        <v>0</v>
      </c>
      <c r="DF3929">
        <v>0</v>
      </c>
      <c r="DG3929">
        <v>0</v>
      </c>
      <c r="DH3929">
        <v>0</v>
      </c>
      <c r="DI3929">
        <v>0</v>
      </c>
    </row>
    <row r="3930" spans="1:113" x14ac:dyDescent="0.3">
      <c r="A3930" t="str">
        <f t="shared" si="1811"/>
        <v>05/12/2020 14:48:04.542</v>
      </c>
      <c r="C3930" t="str">
        <f t="shared" si="1815"/>
        <v>FFDFD3C0</v>
      </c>
      <c r="D3930" t="s">
        <v>138</v>
      </c>
      <c r="E3930">
        <v>3</v>
      </c>
      <c r="H3930">
        <v>9</v>
      </c>
      <c r="I3930" t="s">
        <v>140</v>
      </c>
      <c r="J3930" t="s">
        <v>136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 t="shared" si="1812"/>
        <v>14:48:22.375</v>
      </c>
      <c r="T3930" t="str">
        <f t="shared" si="1813"/>
        <v>14:48:22.275</v>
      </c>
      <c r="U3930" t="str">
        <f t="shared" si="1806"/>
        <v>A9808D</v>
      </c>
      <c r="V3930">
        <v>0</v>
      </c>
      <c r="W3930">
        <v>0</v>
      </c>
      <c r="X3930">
        <v>1</v>
      </c>
      <c r="Z3930">
        <v>0</v>
      </c>
      <c r="AA3930">
        <v>9</v>
      </c>
      <c r="AB3930">
        <v>3</v>
      </c>
      <c r="AC3930">
        <v>0</v>
      </c>
      <c r="AD3930">
        <v>10</v>
      </c>
      <c r="AE3930">
        <v>0</v>
      </c>
      <c r="AF3930">
        <v>3</v>
      </c>
      <c r="AG3930">
        <v>2</v>
      </c>
      <c r="AH3930">
        <v>0</v>
      </c>
      <c r="AI3930" t="s">
        <v>855</v>
      </c>
      <c r="AJ3930">
        <v>28.270011</v>
      </c>
      <c r="AK3930" t="s">
        <v>900</v>
      </c>
      <c r="AL3930">
        <v>-82.286738999999997</v>
      </c>
      <c r="AM3930">
        <v>100</v>
      </c>
      <c r="AN3930">
        <v>2300</v>
      </c>
      <c r="AO3930" t="s">
        <v>118</v>
      </c>
      <c r="AP3930">
        <v>-137</v>
      </c>
      <c r="AQ3930">
        <v>-40</v>
      </c>
      <c r="AR3930">
        <v>64</v>
      </c>
      <c r="AZ3930">
        <v>1200</v>
      </c>
      <c r="BA3930">
        <v>1</v>
      </c>
      <c r="BB3930" t="str">
        <f t="shared" si="1816"/>
        <v xml:space="preserve">N711JA  </v>
      </c>
      <c r="BC3930">
        <v>1</v>
      </c>
      <c r="BE3930">
        <v>0</v>
      </c>
      <c r="BF3930">
        <v>0</v>
      </c>
      <c r="BG3930">
        <v>0</v>
      </c>
      <c r="BH3930">
        <v>2300</v>
      </c>
      <c r="BI3930">
        <v>1</v>
      </c>
      <c r="BJ3930">
        <v>1</v>
      </c>
      <c r="BK3930">
        <v>0</v>
      </c>
      <c r="BL3930">
        <v>0</v>
      </c>
      <c r="BO3930">
        <v>0</v>
      </c>
      <c r="BP3930">
        <v>0</v>
      </c>
      <c r="BW3930" t="str">
        <f t="shared" si="1814"/>
        <v>14:48:22.377</v>
      </c>
      <c r="CJ3930">
        <v>0</v>
      </c>
      <c r="CK3930">
        <v>2</v>
      </c>
      <c r="CL3930">
        <v>0</v>
      </c>
      <c r="CM3930">
        <v>2</v>
      </c>
      <c r="CN3930">
        <v>0</v>
      </c>
      <c r="CO3930">
        <v>7</v>
      </c>
      <c r="CP3930" t="s">
        <v>119</v>
      </c>
      <c r="CQ3930">
        <v>8</v>
      </c>
      <c r="CR3930">
        <v>3</v>
      </c>
      <c r="CW3930">
        <v>9093000</v>
      </c>
      <c r="CY3930">
        <v>1</v>
      </c>
      <c r="CZ3930">
        <v>0</v>
      </c>
      <c r="DA3930">
        <v>1</v>
      </c>
      <c r="DB3930">
        <v>0</v>
      </c>
      <c r="DC3930">
        <v>0</v>
      </c>
      <c r="DD3930">
        <v>1</v>
      </c>
      <c r="DE3930">
        <v>0</v>
      </c>
      <c r="DF3930">
        <v>0</v>
      </c>
      <c r="DG3930">
        <v>0</v>
      </c>
      <c r="DH3930">
        <v>0</v>
      </c>
      <c r="DI3930">
        <v>0</v>
      </c>
    </row>
    <row r="3931" spans="1:113" x14ac:dyDescent="0.3">
      <c r="A3931" t="str">
        <f t="shared" si="1811"/>
        <v>05/12/2020 14:48:04.542</v>
      </c>
      <c r="C3931" t="str">
        <f t="shared" si="1815"/>
        <v>FFDFD3C0</v>
      </c>
      <c r="D3931" t="s">
        <v>126</v>
      </c>
      <c r="E3931">
        <v>6</v>
      </c>
      <c r="F3931">
        <v>1006</v>
      </c>
      <c r="G3931" t="s">
        <v>114</v>
      </c>
      <c r="J3931" t="s">
        <v>128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 t="shared" si="1812"/>
        <v>14:48:22.375</v>
      </c>
      <c r="T3931" t="str">
        <f t="shared" si="1813"/>
        <v>14:48:22.275</v>
      </c>
      <c r="U3931" t="str">
        <f t="shared" si="1806"/>
        <v>A9808D</v>
      </c>
      <c r="V3931">
        <v>0</v>
      </c>
      <c r="W3931">
        <v>0</v>
      </c>
      <c r="X3931">
        <v>1</v>
      </c>
      <c r="Z3931">
        <v>0</v>
      </c>
      <c r="AA3931">
        <v>9</v>
      </c>
      <c r="AB3931">
        <v>3</v>
      </c>
      <c r="AC3931">
        <v>0</v>
      </c>
      <c r="AD3931">
        <v>10</v>
      </c>
      <c r="AE3931">
        <v>0</v>
      </c>
      <c r="AF3931">
        <v>3</v>
      </c>
      <c r="AG3931">
        <v>2</v>
      </c>
      <c r="AH3931">
        <v>0</v>
      </c>
      <c r="AI3931" t="s">
        <v>855</v>
      </c>
      <c r="AJ3931">
        <v>28.270011</v>
      </c>
      <c r="AK3931" t="s">
        <v>900</v>
      </c>
      <c r="AL3931">
        <v>-82.286738999999997</v>
      </c>
      <c r="AM3931">
        <v>100</v>
      </c>
      <c r="AN3931">
        <v>2300</v>
      </c>
      <c r="AO3931" t="s">
        <v>118</v>
      </c>
      <c r="AP3931">
        <v>-137</v>
      </c>
      <c r="AQ3931">
        <v>-40</v>
      </c>
      <c r="AR3931">
        <v>64</v>
      </c>
      <c r="AZ3931">
        <v>1200</v>
      </c>
      <c r="BA3931">
        <v>1</v>
      </c>
      <c r="BB3931" t="str">
        <f t="shared" si="1816"/>
        <v xml:space="preserve">N711JA  </v>
      </c>
      <c r="BC3931">
        <v>1</v>
      </c>
      <c r="BE3931">
        <v>0</v>
      </c>
      <c r="BF3931">
        <v>0</v>
      </c>
      <c r="BG3931">
        <v>0</v>
      </c>
      <c r="BH3931">
        <v>2300</v>
      </c>
      <c r="BI3931">
        <v>1</v>
      </c>
      <c r="BJ3931">
        <v>1</v>
      </c>
      <c r="BK3931">
        <v>0</v>
      </c>
      <c r="BL3931">
        <v>0</v>
      </c>
      <c r="BO3931">
        <v>0</v>
      </c>
      <c r="BP3931">
        <v>0</v>
      </c>
      <c r="BW3931" t="str">
        <f t="shared" si="1814"/>
        <v>14:48:22.377</v>
      </c>
      <c r="CJ3931">
        <v>0</v>
      </c>
      <c r="CK3931">
        <v>2</v>
      </c>
      <c r="CL3931">
        <v>0</v>
      </c>
      <c r="CM3931">
        <v>2</v>
      </c>
      <c r="CN3931">
        <v>0</v>
      </c>
      <c r="CO3931">
        <v>7</v>
      </c>
      <c r="CP3931" t="s">
        <v>119</v>
      </c>
      <c r="CQ3931">
        <v>8</v>
      </c>
      <c r="CR3931">
        <v>3</v>
      </c>
      <c r="CW3931">
        <v>9093000</v>
      </c>
      <c r="CY3931">
        <v>1</v>
      </c>
      <c r="CZ3931">
        <v>0</v>
      </c>
      <c r="DA3931">
        <v>1</v>
      </c>
      <c r="DB3931">
        <v>0</v>
      </c>
      <c r="DC3931">
        <v>0</v>
      </c>
      <c r="DD3931">
        <v>1</v>
      </c>
      <c r="DE3931">
        <v>0</v>
      </c>
      <c r="DF3931">
        <v>0</v>
      </c>
      <c r="DG3931">
        <v>0</v>
      </c>
      <c r="DH3931">
        <v>0</v>
      </c>
      <c r="DI3931">
        <v>0</v>
      </c>
    </row>
    <row r="3932" spans="1:113" x14ac:dyDescent="0.3">
      <c r="A3932" t="str">
        <f t="shared" ref="A3932:A3940" si="1817">"05/12/2020 14:48:05.518"</f>
        <v>05/12/2020 14:48:05.518</v>
      </c>
      <c r="C3932" t="str">
        <f t="shared" si="1815"/>
        <v>FFDFD3C0</v>
      </c>
      <c r="D3932" t="s">
        <v>134</v>
      </c>
      <c r="E3932">
        <v>12</v>
      </c>
      <c r="H3932">
        <v>64</v>
      </c>
      <c r="I3932" t="s">
        <v>135</v>
      </c>
      <c r="J3932" t="s">
        <v>136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 t="shared" ref="S3932:S3940" si="1818">"14:48:23.328"</f>
        <v>14:48:23.328</v>
      </c>
      <c r="T3932" t="str">
        <f t="shared" ref="T3932:T3940" si="1819">"14:48:22.828"</f>
        <v>14:48:22.828</v>
      </c>
      <c r="U3932" t="str">
        <f t="shared" si="1806"/>
        <v>A9808D</v>
      </c>
      <c r="V3932">
        <v>0</v>
      </c>
      <c r="W3932">
        <v>0</v>
      </c>
      <c r="X3932">
        <v>1</v>
      </c>
      <c r="Z3932">
        <v>0</v>
      </c>
      <c r="AA3932">
        <v>9</v>
      </c>
      <c r="AB3932">
        <v>3</v>
      </c>
      <c r="AC3932">
        <v>0</v>
      </c>
      <c r="AD3932">
        <v>10</v>
      </c>
      <c r="AE3932">
        <v>0</v>
      </c>
      <c r="AF3932">
        <v>3</v>
      </c>
      <c r="AG3932">
        <v>2</v>
      </c>
      <c r="AH3932">
        <v>0</v>
      </c>
      <c r="AI3932" t="s">
        <v>901</v>
      </c>
      <c r="AJ3932">
        <v>28.269774999999999</v>
      </c>
      <c r="AK3932" t="s">
        <v>902</v>
      </c>
      <c r="AL3932">
        <v>-82.287425999999996</v>
      </c>
      <c r="AM3932">
        <v>100</v>
      </c>
      <c r="AN3932">
        <v>2300</v>
      </c>
      <c r="AO3932" t="s">
        <v>118</v>
      </c>
      <c r="AP3932">
        <v>-136</v>
      </c>
      <c r="AQ3932">
        <v>-42</v>
      </c>
      <c r="AR3932">
        <v>0</v>
      </c>
      <c r="AZ3932">
        <v>1200</v>
      </c>
      <c r="BA3932">
        <v>1</v>
      </c>
      <c r="BB3932" t="str">
        <f t="shared" si="1816"/>
        <v xml:space="preserve">N711JA  </v>
      </c>
      <c r="BC3932">
        <v>1</v>
      </c>
      <c r="BE3932">
        <v>0</v>
      </c>
      <c r="BF3932">
        <v>0</v>
      </c>
      <c r="BG3932">
        <v>0</v>
      </c>
      <c r="BH3932">
        <v>2300</v>
      </c>
      <c r="BI3932">
        <v>1</v>
      </c>
      <c r="BJ3932">
        <v>1</v>
      </c>
      <c r="BK3932">
        <v>0</v>
      </c>
      <c r="BL3932">
        <v>0</v>
      </c>
      <c r="BO3932">
        <v>0</v>
      </c>
      <c r="BP3932">
        <v>0</v>
      </c>
      <c r="BW3932" t="str">
        <f t="shared" ref="BW3932:BW3940" si="1820">"14:48:23.335"</f>
        <v>14:48:23.335</v>
      </c>
      <c r="CJ3932">
        <v>0</v>
      </c>
      <c r="CK3932">
        <v>2</v>
      </c>
      <c r="CL3932">
        <v>0</v>
      </c>
      <c r="CM3932">
        <v>2</v>
      </c>
      <c r="CN3932">
        <v>0</v>
      </c>
      <c r="CO3932">
        <v>7</v>
      </c>
      <c r="CP3932" t="s">
        <v>119</v>
      </c>
      <c r="CQ3932">
        <v>8</v>
      </c>
      <c r="CR3932">
        <v>3</v>
      </c>
      <c r="CW3932">
        <v>9093934</v>
      </c>
      <c r="CY3932">
        <v>1</v>
      </c>
      <c r="CZ3932">
        <v>0</v>
      </c>
      <c r="DA3932">
        <v>0</v>
      </c>
      <c r="DB3932">
        <v>0</v>
      </c>
      <c r="DC3932">
        <v>0</v>
      </c>
      <c r="DD3932">
        <v>1</v>
      </c>
      <c r="DE3932">
        <v>0</v>
      </c>
      <c r="DF3932">
        <v>0</v>
      </c>
      <c r="DG3932">
        <v>0</v>
      </c>
      <c r="DH3932">
        <v>0</v>
      </c>
      <c r="DI3932">
        <v>0</v>
      </c>
    </row>
    <row r="3933" spans="1:113" x14ac:dyDescent="0.3">
      <c r="A3933" t="str">
        <f t="shared" si="1817"/>
        <v>05/12/2020 14:48:05.518</v>
      </c>
      <c r="C3933" t="str">
        <f t="shared" si="1815"/>
        <v>FFDFD3C0</v>
      </c>
      <c r="D3933" t="s">
        <v>113</v>
      </c>
      <c r="E3933">
        <v>3</v>
      </c>
      <c r="H3933">
        <v>164</v>
      </c>
      <c r="I3933" t="s">
        <v>114</v>
      </c>
      <c r="J3933" t="s">
        <v>115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 t="shared" si="1818"/>
        <v>14:48:23.328</v>
      </c>
      <c r="T3933" t="str">
        <f t="shared" si="1819"/>
        <v>14:48:22.828</v>
      </c>
      <c r="U3933" t="str">
        <f t="shared" si="1806"/>
        <v>A9808D</v>
      </c>
      <c r="V3933">
        <v>0</v>
      </c>
      <c r="W3933">
        <v>0</v>
      </c>
      <c r="X3933">
        <v>1</v>
      </c>
      <c r="Z3933">
        <v>0</v>
      </c>
      <c r="AA3933">
        <v>9</v>
      </c>
      <c r="AB3933">
        <v>3</v>
      </c>
      <c r="AC3933">
        <v>0</v>
      </c>
      <c r="AD3933">
        <v>10</v>
      </c>
      <c r="AE3933">
        <v>0</v>
      </c>
      <c r="AF3933">
        <v>3</v>
      </c>
      <c r="AG3933">
        <v>2</v>
      </c>
      <c r="AH3933">
        <v>0</v>
      </c>
      <c r="AI3933" t="s">
        <v>901</v>
      </c>
      <c r="AJ3933">
        <v>28.269774999999999</v>
      </c>
      <c r="AK3933" t="s">
        <v>902</v>
      </c>
      <c r="AL3933">
        <v>-82.287425999999996</v>
      </c>
      <c r="AM3933">
        <v>100</v>
      </c>
      <c r="AN3933">
        <v>2300</v>
      </c>
      <c r="AO3933" t="s">
        <v>118</v>
      </c>
      <c r="AP3933">
        <v>-136</v>
      </c>
      <c r="AQ3933">
        <v>-42</v>
      </c>
      <c r="AR3933">
        <v>0</v>
      </c>
      <c r="AZ3933">
        <v>1200</v>
      </c>
      <c r="BA3933">
        <v>1</v>
      </c>
      <c r="BB3933" t="str">
        <f t="shared" si="1816"/>
        <v xml:space="preserve">N711JA  </v>
      </c>
      <c r="BC3933">
        <v>1</v>
      </c>
      <c r="BE3933">
        <v>0</v>
      </c>
      <c r="BF3933">
        <v>0</v>
      </c>
      <c r="BG3933">
        <v>0</v>
      </c>
      <c r="BH3933">
        <v>2300</v>
      </c>
      <c r="BI3933">
        <v>1</v>
      </c>
      <c r="BJ3933">
        <v>1</v>
      </c>
      <c r="BK3933">
        <v>0</v>
      </c>
      <c r="BL3933">
        <v>0</v>
      </c>
      <c r="BO3933">
        <v>0</v>
      </c>
      <c r="BP3933">
        <v>0</v>
      </c>
      <c r="BW3933" t="str">
        <f t="shared" si="1820"/>
        <v>14:48:23.335</v>
      </c>
      <c r="CJ3933">
        <v>0</v>
      </c>
      <c r="CK3933">
        <v>2</v>
      </c>
      <c r="CL3933">
        <v>0</v>
      </c>
      <c r="CM3933">
        <v>2</v>
      </c>
      <c r="CN3933">
        <v>0</v>
      </c>
      <c r="CO3933">
        <v>7</v>
      </c>
      <c r="CP3933" t="s">
        <v>119</v>
      </c>
      <c r="CQ3933">
        <v>8</v>
      </c>
      <c r="CR3933">
        <v>3</v>
      </c>
      <c r="CW3933">
        <v>9093934</v>
      </c>
      <c r="CY3933">
        <v>1</v>
      </c>
      <c r="CZ3933">
        <v>0</v>
      </c>
      <c r="DA3933">
        <v>1</v>
      </c>
      <c r="DB3933">
        <v>0</v>
      </c>
      <c r="DC3933">
        <v>0</v>
      </c>
      <c r="DD3933">
        <v>1</v>
      </c>
      <c r="DE3933">
        <v>0</v>
      </c>
      <c r="DF3933">
        <v>0</v>
      </c>
      <c r="DG3933">
        <v>0</v>
      </c>
      <c r="DH3933">
        <v>0</v>
      </c>
      <c r="DI3933">
        <v>0</v>
      </c>
    </row>
    <row r="3934" spans="1:113" x14ac:dyDescent="0.3">
      <c r="A3934" t="str">
        <f t="shared" si="1817"/>
        <v>05/12/2020 14:48:05.518</v>
      </c>
      <c r="C3934" t="str">
        <f t="shared" si="1815"/>
        <v>FFDFD3C0</v>
      </c>
      <c r="D3934" t="s">
        <v>126</v>
      </c>
      <c r="E3934">
        <v>6</v>
      </c>
      <c r="F3934">
        <v>1006</v>
      </c>
      <c r="G3934" t="s">
        <v>114</v>
      </c>
      <c r="J3934" t="s">
        <v>128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 t="shared" si="1818"/>
        <v>14:48:23.328</v>
      </c>
      <c r="T3934" t="str">
        <f t="shared" si="1819"/>
        <v>14:48:22.828</v>
      </c>
      <c r="U3934" t="str">
        <f t="shared" si="1806"/>
        <v>A9808D</v>
      </c>
      <c r="V3934">
        <v>0</v>
      </c>
      <c r="W3934">
        <v>0</v>
      </c>
      <c r="X3934">
        <v>1</v>
      </c>
      <c r="Z3934">
        <v>0</v>
      </c>
      <c r="AA3934">
        <v>9</v>
      </c>
      <c r="AB3934">
        <v>3</v>
      </c>
      <c r="AC3934">
        <v>0</v>
      </c>
      <c r="AD3934">
        <v>10</v>
      </c>
      <c r="AE3934">
        <v>0</v>
      </c>
      <c r="AF3934">
        <v>3</v>
      </c>
      <c r="AG3934">
        <v>2</v>
      </c>
      <c r="AH3934">
        <v>0</v>
      </c>
      <c r="AI3934" t="s">
        <v>901</v>
      </c>
      <c r="AJ3934">
        <v>28.269774999999999</v>
      </c>
      <c r="AK3934" t="s">
        <v>902</v>
      </c>
      <c r="AL3934">
        <v>-82.287425999999996</v>
      </c>
      <c r="AM3934">
        <v>100</v>
      </c>
      <c r="AN3934">
        <v>2300</v>
      </c>
      <c r="AO3934" t="s">
        <v>118</v>
      </c>
      <c r="AP3934">
        <v>-136</v>
      </c>
      <c r="AQ3934">
        <v>-42</v>
      </c>
      <c r="AR3934">
        <v>0</v>
      </c>
      <c r="AZ3934">
        <v>1200</v>
      </c>
      <c r="BA3934">
        <v>1</v>
      </c>
      <c r="BB3934" t="str">
        <f t="shared" si="1816"/>
        <v xml:space="preserve">N711JA  </v>
      </c>
      <c r="BC3934">
        <v>1</v>
      </c>
      <c r="BE3934">
        <v>0</v>
      </c>
      <c r="BF3934">
        <v>0</v>
      </c>
      <c r="BG3934">
        <v>0</v>
      </c>
      <c r="BH3934">
        <v>2300</v>
      </c>
      <c r="BI3934">
        <v>1</v>
      </c>
      <c r="BJ3934">
        <v>1</v>
      </c>
      <c r="BK3934">
        <v>0</v>
      </c>
      <c r="BL3934">
        <v>0</v>
      </c>
      <c r="BO3934">
        <v>0</v>
      </c>
      <c r="BP3934">
        <v>0</v>
      </c>
      <c r="BW3934" t="str">
        <f t="shared" si="1820"/>
        <v>14:48:23.335</v>
      </c>
      <c r="CJ3934">
        <v>0</v>
      </c>
      <c r="CK3934">
        <v>2</v>
      </c>
      <c r="CL3934">
        <v>0</v>
      </c>
      <c r="CM3934">
        <v>2</v>
      </c>
      <c r="CN3934">
        <v>0</v>
      </c>
      <c r="CO3934">
        <v>7</v>
      </c>
      <c r="CP3934" t="s">
        <v>119</v>
      </c>
      <c r="CQ3934">
        <v>8</v>
      </c>
      <c r="CR3934">
        <v>3</v>
      </c>
      <c r="CW3934">
        <v>9093934</v>
      </c>
      <c r="CY3934">
        <v>1</v>
      </c>
      <c r="CZ3934">
        <v>0</v>
      </c>
      <c r="DA3934">
        <v>1</v>
      </c>
      <c r="DB3934">
        <v>0</v>
      </c>
      <c r="DC3934">
        <v>0</v>
      </c>
      <c r="DD3934">
        <v>1</v>
      </c>
      <c r="DE3934">
        <v>0</v>
      </c>
      <c r="DF3934">
        <v>0</v>
      </c>
      <c r="DG3934">
        <v>0</v>
      </c>
      <c r="DH3934">
        <v>0</v>
      </c>
      <c r="DI3934">
        <v>0</v>
      </c>
    </row>
    <row r="3935" spans="1:113" x14ac:dyDescent="0.3">
      <c r="A3935" t="str">
        <f t="shared" si="1817"/>
        <v>05/12/2020 14:48:05.518</v>
      </c>
      <c r="C3935" t="str">
        <f t="shared" si="1815"/>
        <v>FFDFD3C0</v>
      </c>
      <c r="D3935" t="s">
        <v>138</v>
      </c>
      <c r="E3935">
        <v>2</v>
      </c>
      <c r="H3935">
        <v>8</v>
      </c>
      <c r="I3935" t="s">
        <v>139</v>
      </c>
      <c r="J3935" t="s">
        <v>136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 t="shared" si="1818"/>
        <v>14:48:23.328</v>
      </c>
      <c r="T3935" t="str">
        <f t="shared" si="1819"/>
        <v>14:48:22.828</v>
      </c>
      <c r="U3935" t="str">
        <f t="shared" si="1806"/>
        <v>A9808D</v>
      </c>
      <c r="V3935">
        <v>0</v>
      </c>
      <c r="W3935">
        <v>0</v>
      </c>
      <c r="X3935">
        <v>1</v>
      </c>
      <c r="Z3935">
        <v>0</v>
      </c>
      <c r="AA3935">
        <v>9</v>
      </c>
      <c r="AB3935">
        <v>3</v>
      </c>
      <c r="AC3935">
        <v>0</v>
      </c>
      <c r="AD3935">
        <v>10</v>
      </c>
      <c r="AE3935">
        <v>0</v>
      </c>
      <c r="AF3935">
        <v>3</v>
      </c>
      <c r="AG3935">
        <v>2</v>
      </c>
      <c r="AH3935">
        <v>0</v>
      </c>
      <c r="AI3935" t="s">
        <v>901</v>
      </c>
      <c r="AJ3935">
        <v>28.269774999999999</v>
      </c>
      <c r="AK3935" t="s">
        <v>902</v>
      </c>
      <c r="AL3935">
        <v>-82.287425999999996</v>
      </c>
      <c r="AM3935">
        <v>100</v>
      </c>
      <c r="AN3935">
        <v>2300</v>
      </c>
      <c r="AO3935" t="s">
        <v>118</v>
      </c>
      <c r="AP3935">
        <v>-136</v>
      </c>
      <c r="AQ3935">
        <v>-42</v>
      </c>
      <c r="AR3935">
        <v>0</v>
      </c>
      <c r="AZ3935">
        <v>1200</v>
      </c>
      <c r="BA3935">
        <v>1</v>
      </c>
      <c r="BB3935" t="str">
        <f t="shared" si="1816"/>
        <v xml:space="preserve">N711JA  </v>
      </c>
      <c r="BC3935">
        <v>1</v>
      </c>
      <c r="BE3935">
        <v>0</v>
      </c>
      <c r="BF3935">
        <v>0</v>
      </c>
      <c r="BG3935">
        <v>0</v>
      </c>
      <c r="BH3935">
        <v>2300</v>
      </c>
      <c r="BI3935">
        <v>1</v>
      </c>
      <c r="BJ3935">
        <v>1</v>
      </c>
      <c r="BK3935">
        <v>0</v>
      </c>
      <c r="BL3935">
        <v>0</v>
      </c>
      <c r="BO3935">
        <v>0</v>
      </c>
      <c r="BP3935">
        <v>0</v>
      </c>
      <c r="BW3935" t="str">
        <f t="shared" si="1820"/>
        <v>14:48:23.335</v>
      </c>
      <c r="CJ3935">
        <v>0</v>
      </c>
      <c r="CK3935">
        <v>2</v>
      </c>
      <c r="CL3935">
        <v>0</v>
      </c>
      <c r="CM3935">
        <v>2</v>
      </c>
      <c r="CN3935">
        <v>0</v>
      </c>
      <c r="CO3935">
        <v>7</v>
      </c>
      <c r="CP3935" t="s">
        <v>119</v>
      </c>
      <c r="CQ3935">
        <v>8</v>
      </c>
      <c r="CR3935">
        <v>3</v>
      </c>
      <c r="CW3935">
        <v>9093934</v>
      </c>
      <c r="CY3935">
        <v>1</v>
      </c>
      <c r="CZ3935">
        <v>0</v>
      </c>
      <c r="DA3935">
        <v>1</v>
      </c>
      <c r="DB3935">
        <v>0</v>
      </c>
      <c r="DC3935">
        <v>0</v>
      </c>
      <c r="DD3935">
        <v>1</v>
      </c>
      <c r="DE3935">
        <v>0</v>
      </c>
      <c r="DF3935">
        <v>0</v>
      </c>
      <c r="DG3935">
        <v>0</v>
      </c>
      <c r="DH3935">
        <v>0</v>
      </c>
      <c r="DI3935">
        <v>0</v>
      </c>
    </row>
    <row r="3936" spans="1:113" x14ac:dyDescent="0.3">
      <c r="A3936" t="str">
        <f t="shared" si="1817"/>
        <v>05/12/2020 14:48:05.518</v>
      </c>
      <c r="C3936" t="str">
        <f t="shared" si="1815"/>
        <v>FFDFD3C0</v>
      </c>
      <c r="D3936" t="s">
        <v>138</v>
      </c>
      <c r="E3936">
        <v>3</v>
      </c>
      <c r="H3936">
        <v>9</v>
      </c>
      <c r="I3936" t="s">
        <v>140</v>
      </c>
      <c r="J3936" t="s">
        <v>136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 t="shared" si="1818"/>
        <v>14:48:23.328</v>
      </c>
      <c r="T3936" t="str">
        <f t="shared" si="1819"/>
        <v>14:48:22.828</v>
      </c>
      <c r="U3936" t="str">
        <f t="shared" si="1806"/>
        <v>A9808D</v>
      </c>
      <c r="V3936">
        <v>0</v>
      </c>
      <c r="W3936">
        <v>0</v>
      </c>
      <c r="X3936">
        <v>1</v>
      </c>
      <c r="Z3936">
        <v>0</v>
      </c>
      <c r="AA3936">
        <v>9</v>
      </c>
      <c r="AB3936">
        <v>3</v>
      </c>
      <c r="AC3936">
        <v>0</v>
      </c>
      <c r="AD3936">
        <v>10</v>
      </c>
      <c r="AE3936">
        <v>0</v>
      </c>
      <c r="AF3936">
        <v>3</v>
      </c>
      <c r="AG3936">
        <v>2</v>
      </c>
      <c r="AH3936">
        <v>0</v>
      </c>
      <c r="AI3936" t="s">
        <v>901</v>
      </c>
      <c r="AJ3936">
        <v>28.269774999999999</v>
      </c>
      <c r="AK3936" t="s">
        <v>902</v>
      </c>
      <c r="AL3936">
        <v>-82.287425999999996</v>
      </c>
      <c r="AM3936">
        <v>100</v>
      </c>
      <c r="AN3936">
        <v>2300</v>
      </c>
      <c r="AO3936" t="s">
        <v>118</v>
      </c>
      <c r="AP3936">
        <v>-136</v>
      </c>
      <c r="AQ3936">
        <v>-42</v>
      </c>
      <c r="AR3936">
        <v>0</v>
      </c>
      <c r="AZ3936">
        <v>1200</v>
      </c>
      <c r="BA3936">
        <v>1</v>
      </c>
      <c r="BB3936" t="str">
        <f t="shared" si="1816"/>
        <v xml:space="preserve">N711JA  </v>
      </c>
      <c r="BC3936">
        <v>1</v>
      </c>
      <c r="BE3936">
        <v>0</v>
      </c>
      <c r="BF3936">
        <v>0</v>
      </c>
      <c r="BG3936">
        <v>0</v>
      </c>
      <c r="BH3936">
        <v>2300</v>
      </c>
      <c r="BI3936">
        <v>1</v>
      </c>
      <c r="BJ3936">
        <v>1</v>
      </c>
      <c r="BK3936">
        <v>0</v>
      </c>
      <c r="BL3936">
        <v>0</v>
      </c>
      <c r="BO3936">
        <v>0</v>
      </c>
      <c r="BP3936">
        <v>0</v>
      </c>
      <c r="BW3936" t="str">
        <f t="shared" si="1820"/>
        <v>14:48:23.335</v>
      </c>
      <c r="CJ3936">
        <v>0</v>
      </c>
      <c r="CK3936">
        <v>2</v>
      </c>
      <c r="CL3936">
        <v>0</v>
      </c>
      <c r="CM3936">
        <v>2</v>
      </c>
      <c r="CN3936">
        <v>0</v>
      </c>
      <c r="CO3936">
        <v>7</v>
      </c>
      <c r="CP3936" t="s">
        <v>119</v>
      </c>
      <c r="CQ3936">
        <v>8</v>
      </c>
      <c r="CR3936">
        <v>3</v>
      </c>
      <c r="CW3936">
        <v>9093934</v>
      </c>
      <c r="CY3936">
        <v>1</v>
      </c>
      <c r="CZ3936">
        <v>0</v>
      </c>
      <c r="DA3936">
        <v>1</v>
      </c>
      <c r="DB3936">
        <v>0</v>
      </c>
      <c r="DC3936">
        <v>0</v>
      </c>
      <c r="DD3936">
        <v>1</v>
      </c>
      <c r="DE3936">
        <v>0</v>
      </c>
      <c r="DF3936">
        <v>0</v>
      </c>
      <c r="DG3936">
        <v>0</v>
      </c>
      <c r="DH3936">
        <v>0</v>
      </c>
      <c r="DI3936">
        <v>0</v>
      </c>
    </row>
    <row r="3937" spans="1:113" x14ac:dyDescent="0.3">
      <c r="A3937" t="str">
        <f t="shared" si="1817"/>
        <v>05/12/2020 14:48:05.518</v>
      </c>
      <c r="C3937" t="str">
        <f t="shared" si="1815"/>
        <v>FFDFD3C0</v>
      </c>
      <c r="D3937" t="s">
        <v>126</v>
      </c>
      <c r="E3937">
        <v>7</v>
      </c>
      <c r="F3937">
        <v>1007</v>
      </c>
      <c r="G3937" t="s">
        <v>127</v>
      </c>
      <c r="J3937" t="s">
        <v>128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 t="shared" si="1818"/>
        <v>14:48:23.328</v>
      </c>
      <c r="T3937" t="str">
        <f t="shared" si="1819"/>
        <v>14:48:22.828</v>
      </c>
      <c r="U3937" t="str">
        <f t="shared" si="1806"/>
        <v>A9808D</v>
      </c>
      <c r="V3937">
        <v>0</v>
      </c>
      <c r="W3937">
        <v>0</v>
      </c>
      <c r="X3937">
        <v>1</v>
      </c>
      <c r="Z3937">
        <v>0</v>
      </c>
      <c r="AA3937">
        <v>9</v>
      </c>
      <c r="AB3937">
        <v>3</v>
      </c>
      <c r="AC3937">
        <v>0</v>
      </c>
      <c r="AD3937">
        <v>10</v>
      </c>
      <c r="AE3937">
        <v>0</v>
      </c>
      <c r="AF3937">
        <v>3</v>
      </c>
      <c r="AG3937">
        <v>2</v>
      </c>
      <c r="AH3937">
        <v>0</v>
      </c>
      <c r="AI3937" t="s">
        <v>901</v>
      </c>
      <c r="AJ3937">
        <v>28.269774999999999</v>
      </c>
      <c r="AK3937" t="s">
        <v>902</v>
      </c>
      <c r="AL3937">
        <v>-82.287425999999996</v>
      </c>
      <c r="AM3937">
        <v>100</v>
      </c>
      <c r="AN3937">
        <v>2300</v>
      </c>
      <c r="AO3937" t="s">
        <v>118</v>
      </c>
      <c r="AP3937">
        <v>-136</v>
      </c>
      <c r="AQ3937">
        <v>-42</v>
      </c>
      <c r="AR3937">
        <v>0</v>
      </c>
      <c r="AZ3937">
        <v>1200</v>
      </c>
      <c r="BA3937">
        <v>1</v>
      </c>
      <c r="BB3937" t="str">
        <f t="shared" si="1816"/>
        <v xml:space="preserve">N711JA  </v>
      </c>
      <c r="BC3937">
        <v>1</v>
      </c>
      <c r="BE3937">
        <v>0</v>
      </c>
      <c r="BF3937">
        <v>0</v>
      </c>
      <c r="BG3937">
        <v>0</v>
      </c>
      <c r="BH3937">
        <v>2300</v>
      </c>
      <c r="BI3937">
        <v>1</v>
      </c>
      <c r="BJ3937">
        <v>1</v>
      </c>
      <c r="BK3937">
        <v>0</v>
      </c>
      <c r="BL3937">
        <v>0</v>
      </c>
      <c r="BO3937">
        <v>0</v>
      </c>
      <c r="BP3937">
        <v>0</v>
      </c>
      <c r="BW3937" t="str">
        <f t="shared" si="1820"/>
        <v>14:48:23.335</v>
      </c>
      <c r="CJ3937">
        <v>0</v>
      </c>
      <c r="CK3937">
        <v>2</v>
      </c>
      <c r="CL3937">
        <v>0</v>
      </c>
      <c r="CM3937">
        <v>2</v>
      </c>
      <c r="CN3937">
        <v>0</v>
      </c>
      <c r="CO3937">
        <v>7</v>
      </c>
      <c r="CP3937" t="s">
        <v>119</v>
      </c>
      <c r="CQ3937">
        <v>8</v>
      </c>
      <c r="CR3937">
        <v>3</v>
      </c>
      <c r="CW3937">
        <v>9093934</v>
      </c>
      <c r="CY3937">
        <v>1</v>
      </c>
      <c r="CZ3937">
        <v>0</v>
      </c>
      <c r="DA3937">
        <v>1</v>
      </c>
      <c r="DB3937">
        <v>0</v>
      </c>
      <c r="DC3937">
        <v>0</v>
      </c>
      <c r="DD3937">
        <v>1</v>
      </c>
      <c r="DE3937">
        <v>0</v>
      </c>
      <c r="DF3937">
        <v>0</v>
      </c>
      <c r="DG3937">
        <v>0</v>
      </c>
      <c r="DH3937">
        <v>0</v>
      </c>
      <c r="DI3937">
        <v>0</v>
      </c>
    </row>
    <row r="3938" spans="1:113" x14ac:dyDescent="0.3">
      <c r="A3938" t="str">
        <f t="shared" si="1817"/>
        <v>05/12/2020 14:48:05.518</v>
      </c>
      <c r="C3938" t="str">
        <f t="shared" si="1815"/>
        <v>FFDFD3C0</v>
      </c>
      <c r="D3938" t="s">
        <v>131</v>
      </c>
      <c r="E3938">
        <v>10</v>
      </c>
      <c r="F3938">
        <v>2010</v>
      </c>
      <c r="G3938" t="s">
        <v>132</v>
      </c>
      <c r="J3938" t="s">
        <v>133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 t="shared" si="1818"/>
        <v>14:48:23.328</v>
      </c>
      <c r="T3938" t="str">
        <f t="shared" si="1819"/>
        <v>14:48:22.828</v>
      </c>
      <c r="U3938" t="str">
        <f t="shared" si="1806"/>
        <v>A9808D</v>
      </c>
      <c r="V3938">
        <v>0</v>
      </c>
      <c r="W3938">
        <v>0</v>
      </c>
      <c r="X3938">
        <v>1</v>
      </c>
      <c r="Z3938">
        <v>0</v>
      </c>
      <c r="AA3938">
        <v>9</v>
      </c>
      <c r="AB3938">
        <v>3</v>
      </c>
      <c r="AC3938">
        <v>0</v>
      </c>
      <c r="AD3938">
        <v>10</v>
      </c>
      <c r="AE3938">
        <v>0</v>
      </c>
      <c r="AF3938">
        <v>3</v>
      </c>
      <c r="AG3938">
        <v>2</v>
      </c>
      <c r="AH3938">
        <v>0</v>
      </c>
      <c r="AI3938" t="s">
        <v>901</v>
      </c>
      <c r="AJ3938">
        <v>28.269774999999999</v>
      </c>
      <c r="AK3938" t="s">
        <v>902</v>
      </c>
      <c r="AL3938">
        <v>-82.287425999999996</v>
      </c>
      <c r="AM3938">
        <v>100</v>
      </c>
      <c r="AN3938">
        <v>2300</v>
      </c>
      <c r="AO3938" t="s">
        <v>118</v>
      </c>
      <c r="AP3938">
        <v>-136</v>
      </c>
      <c r="AQ3938">
        <v>-42</v>
      </c>
      <c r="AR3938">
        <v>0</v>
      </c>
      <c r="AZ3938">
        <v>1200</v>
      </c>
      <c r="BA3938">
        <v>1</v>
      </c>
      <c r="BB3938" t="str">
        <f t="shared" si="1816"/>
        <v xml:space="preserve">N711JA  </v>
      </c>
      <c r="BC3938">
        <v>1</v>
      </c>
      <c r="BE3938">
        <v>0</v>
      </c>
      <c r="BF3938">
        <v>0</v>
      </c>
      <c r="BG3938">
        <v>0</v>
      </c>
      <c r="BH3938">
        <v>2300</v>
      </c>
      <c r="BI3938">
        <v>1</v>
      </c>
      <c r="BJ3938">
        <v>1</v>
      </c>
      <c r="BK3938">
        <v>0</v>
      </c>
      <c r="BL3938">
        <v>0</v>
      </c>
      <c r="BO3938">
        <v>0</v>
      </c>
      <c r="BP3938">
        <v>0</v>
      </c>
      <c r="BW3938" t="str">
        <f t="shared" si="1820"/>
        <v>14:48:23.335</v>
      </c>
      <c r="CJ3938">
        <v>0</v>
      </c>
      <c r="CK3938">
        <v>2</v>
      </c>
      <c r="CL3938">
        <v>0</v>
      </c>
      <c r="CM3938">
        <v>2</v>
      </c>
      <c r="CN3938">
        <v>0</v>
      </c>
      <c r="CO3938">
        <v>7</v>
      </c>
      <c r="CP3938" t="s">
        <v>119</v>
      </c>
      <c r="CQ3938">
        <v>8</v>
      </c>
      <c r="CR3938">
        <v>3</v>
      </c>
      <c r="CW3938">
        <v>9093934</v>
      </c>
      <c r="CY3938">
        <v>1</v>
      </c>
      <c r="CZ3938">
        <v>0</v>
      </c>
      <c r="DA3938">
        <v>1</v>
      </c>
      <c r="DB3938">
        <v>0</v>
      </c>
      <c r="DC3938">
        <v>0</v>
      </c>
      <c r="DD3938">
        <v>1</v>
      </c>
      <c r="DE3938">
        <v>0</v>
      </c>
      <c r="DF3938">
        <v>0</v>
      </c>
      <c r="DG3938">
        <v>0</v>
      </c>
      <c r="DH3938">
        <v>0</v>
      </c>
      <c r="DI3938">
        <v>0</v>
      </c>
    </row>
    <row r="3939" spans="1:113" x14ac:dyDescent="0.3">
      <c r="A3939" t="str">
        <f t="shared" si="1817"/>
        <v>05/12/2020 14:48:05.518</v>
      </c>
      <c r="C3939" t="str">
        <f t="shared" si="1815"/>
        <v>FFDFD3C0</v>
      </c>
      <c r="D3939" t="s">
        <v>131</v>
      </c>
      <c r="E3939">
        <v>12</v>
      </c>
      <c r="F3939">
        <v>2012</v>
      </c>
      <c r="G3939" t="s">
        <v>137</v>
      </c>
      <c r="J3939" t="s">
        <v>133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 t="shared" si="1818"/>
        <v>14:48:23.328</v>
      </c>
      <c r="T3939" t="str">
        <f t="shared" si="1819"/>
        <v>14:48:22.828</v>
      </c>
      <c r="U3939" t="str">
        <f t="shared" si="1806"/>
        <v>A9808D</v>
      </c>
      <c r="V3939">
        <v>0</v>
      </c>
      <c r="W3939">
        <v>0</v>
      </c>
      <c r="X3939">
        <v>1</v>
      </c>
      <c r="Z3939">
        <v>0</v>
      </c>
      <c r="AA3939">
        <v>9</v>
      </c>
      <c r="AB3939">
        <v>3</v>
      </c>
      <c r="AC3939">
        <v>0</v>
      </c>
      <c r="AD3939">
        <v>10</v>
      </c>
      <c r="AE3939">
        <v>0</v>
      </c>
      <c r="AF3939">
        <v>3</v>
      </c>
      <c r="AG3939">
        <v>2</v>
      </c>
      <c r="AH3939">
        <v>0</v>
      </c>
      <c r="AI3939" t="s">
        <v>901</v>
      </c>
      <c r="AJ3939">
        <v>28.269774999999999</v>
      </c>
      <c r="AK3939" t="s">
        <v>902</v>
      </c>
      <c r="AL3939">
        <v>-82.287425999999996</v>
      </c>
      <c r="AM3939">
        <v>100</v>
      </c>
      <c r="AN3939">
        <v>2300</v>
      </c>
      <c r="AO3939" t="s">
        <v>118</v>
      </c>
      <c r="AP3939">
        <v>-136</v>
      </c>
      <c r="AQ3939">
        <v>-42</v>
      </c>
      <c r="AR3939">
        <v>0</v>
      </c>
      <c r="AZ3939">
        <v>1200</v>
      </c>
      <c r="BA3939">
        <v>1</v>
      </c>
      <c r="BB3939" t="str">
        <f t="shared" si="1816"/>
        <v xml:space="preserve">N711JA  </v>
      </c>
      <c r="BC3939">
        <v>1</v>
      </c>
      <c r="BE3939">
        <v>0</v>
      </c>
      <c r="BF3939">
        <v>0</v>
      </c>
      <c r="BG3939">
        <v>0</v>
      </c>
      <c r="BH3939">
        <v>2300</v>
      </c>
      <c r="BI3939">
        <v>1</v>
      </c>
      <c r="BJ3939">
        <v>1</v>
      </c>
      <c r="BK3939">
        <v>0</v>
      </c>
      <c r="BL3939">
        <v>0</v>
      </c>
      <c r="BO3939">
        <v>0</v>
      </c>
      <c r="BP3939">
        <v>0</v>
      </c>
      <c r="BW3939" t="str">
        <f t="shared" si="1820"/>
        <v>14:48:23.335</v>
      </c>
      <c r="CJ3939">
        <v>0</v>
      </c>
      <c r="CK3939">
        <v>2</v>
      </c>
      <c r="CL3939">
        <v>0</v>
      </c>
      <c r="CM3939">
        <v>2</v>
      </c>
      <c r="CN3939">
        <v>0</v>
      </c>
      <c r="CO3939">
        <v>7</v>
      </c>
      <c r="CP3939" t="s">
        <v>119</v>
      </c>
      <c r="CQ3939">
        <v>8</v>
      </c>
      <c r="CR3939">
        <v>3</v>
      </c>
      <c r="CW3939">
        <v>9093934</v>
      </c>
      <c r="CY3939">
        <v>1</v>
      </c>
      <c r="CZ3939">
        <v>0</v>
      </c>
      <c r="DA3939">
        <v>1</v>
      </c>
      <c r="DB3939">
        <v>0</v>
      </c>
      <c r="DC3939">
        <v>0</v>
      </c>
      <c r="DD3939">
        <v>1</v>
      </c>
      <c r="DE3939">
        <v>0</v>
      </c>
      <c r="DF3939">
        <v>0</v>
      </c>
      <c r="DG3939">
        <v>0</v>
      </c>
      <c r="DH3939">
        <v>0</v>
      </c>
      <c r="DI3939">
        <v>0</v>
      </c>
    </row>
    <row r="3940" spans="1:113" x14ac:dyDescent="0.3">
      <c r="A3940" t="str">
        <f t="shared" si="1817"/>
        <v>05/12/2020 14:48:05.518</v>
      </c>
      <c r="C3940" t="str">
        <f t="shared" si="1815"/>
        <v>FFDFD3C0</v>
      </c>
      <c r="D3940" t="s">
        <v>131</v>
      </c>
      <c r="E3940">
        <v>18</v>
      </c>
      <c r="F3940">
        <v>2018</v>
      </c>
      <c r="G3940" t="s">
        <v>161</v>
      </c>
      <c r="J3940" t="s">
        <v>133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 t="shared" si="1818"/>
        <v>14:48:23.328</v>
      </c>
      <c r="T3940" t="str">
        <f t="shared" si="1819"/>
        <v>14:48:22.828</v>
      </c>
      <c r="U3940" t="str">
        <f t="shared" si="1806"/>
        <v>A9808D</v>
      </c>
      <c r="V3940">
        <v>0</v>
      </c>
      <c r="W3940">
        <v>0</v>
      </c>
      <c r="X3940">
        <v>1</v>
      </c>
      <c r="Z3940">
        <v>0</v>
      </c>
      <c r="AA3940">
        <v>9</v>
      </c>
      <c r="AB3940">
        <v>3</v>
      </c>
      <c r="AC3940">
        <v>0</v>
      </c>
      <c r="AD3940">
        <v>10</v>
      </c>
      <c r="AE3940">
        <v>0</v>
      </c>
      <c r="AF3940">
        <v>3</v>
      </c>
      <c r="AG3940">
        <v>2</v>
      </c>
      <c r="AH3940">
        <v>0</v>
      </c>
      <c r="AI3940" t="s">
        <v>901</v>
      </c>
      <c r="AJ3940">
        <v>28.269774999999999</v>
      </c>
      <c r="AK3940" t="s">
        <v>902</v>
      </c>
      <c r="AL3940">
        <v>-82.287425999999996</v>
      </c>
      <c r="AM3940">
        <v>100</v>
      </c>
      <c r="AN3940">
        <v>2300</v>
      </c>
      <c r="AO3940" t="s">
        <v>118</v>
      </c>
      <c r="AP3940">
        <v>-136</v>
      </c>
      <c r="AQ3940">
        <v>-42</v>
      </c>
      <c r="AR3940">
        <v>0</v>
      </c>
      <c r="AZ3940">
        <v>1200</v>
      </c>
      <c r="BA3940">
        <v>1</v>
      </c>
      <c r="BB3940" t="str">
        <f t="shared" si="1816"/>
        <v xml:space="preserve">N711JA  </v>
      </c>
      <c r="BC3940">
        <v>1</v>
      </c>
      <c r="BE3940">
        <v>0</v>
      </c>
      <c r="BF3940">
        <v>0</v>
      </c>
      <c r="BG3940">
        <v>0</v>
      </c>
      <c r="BH3940">
        <v>2300</v>
      </c>
      <c r="BI3940">
        <v>1</v>
      </c>
      <c r="BJ3940">
        <v>1</v>
      </c>
      <c r="BK3940">
        <v>0</v>
      </c>
      <c r="BL3940">
        <v>0</v>
      </c>
      <c r="BO3940">
        <v>0</v>
      </c>
      <c r="BP3940">
        <v>0</v>
      </c>
      <c r="BW3940" t="str">
        <f t="shared" si="1820"/>
        <v>14:48:23.335</v>
      </c>
      <c r="CJ3940">
        <v>0</v>
      </c>
      <c r="CK3940">
        <v>2</v>
      </c>
      <c r="CL3940">
        <v>0</v>
      </c>
      <c r="CM3940">
        <v>2</v>
      </c>
      <c r="CN3940">
        <v>0</v>
      </c>
      <c r="CO3940">
        <v>4</v>
      </c>
      <c r="CP3940" t="s">
        <v>119</v>
      </c>
      <c r="CQ3940">
        <v>62</v>
      </c>
      <c r="CR3940">
        <v>1</v>
      </c>
      <c r="CW3940">
        <v>12984735</v>
      </c>
      <c r="CY3940">
        <v>1</v>
      </c>
      <c r="CZ3940">
        <v>0</v>
      </c>
      <c r="DA3940">
        <v>1</v>
      </c>
      <c r="DB3940">
        <v>0</v>
      </c>
      <c r="DC3940">
        <v>0</v>
      </c>
      <c r="DD3940">
        <v>1</v>
      </c>
      <c r="DE3940">
        <v>0</v>
      </c>
      <c r="DF3940">
        <v>0</v>
      </c>
      <c r="DG3940">
        <v>0</v>
      </c>
      <c r="DH3940">
        <v>0</v>
      </c>
      <c r="DI3940">
        <v>0</v>
      </c>
    </row>
    <row r="3941" spans="1:113" x14ac:dyDescent="0.3">
      <c r="A3941" t="str">
        <f t="shared" ref="A3941:A3949" si="1821">"05/12/2020 14:48:06.481"</f>
        <v>05/12/2020 14:48:06.481</v>
      </c>
      <c r="C3941" t="str">
        <f t="shared" si="1815"/>
        <v>FFDFD3C0</v>
      </c>
      <c r="D3941" t="s">
        <v>134</v>
      </c>
      <c r="E3941">
        <v>12</v>
      </c>
      <c r="H3941">
        <v>64</v>
      </c>
      <c r="I3941" t="s">
        <v>135</v>
      </c>
      <c r="J3941" t="s">
        <v>136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 t="shared" ref="S3941:S3948" si="1822">"14:48:24.289"</f>
        <v>14:48:24.289</v>
      </c>
      <c r="T3941" t="str">
        <f t="shared" ref="T3941:T3948" si="1823">"14:48:23.789"</f>
        <v>14:48:23.789</v>
      </c>
      <c r="U3941" t="str">
        <f t="shared" si="1806"/>
        <v>A9808D</v>
      </c>
      <c r="V3941">
        <v>0</v>
      </c>
      <c r="W3941">
        <v>0</v>
      </c>
      <c r="X3941">
        <v>1</v>
      </c>
      <c r="Z3941">
        <v>0</v>
      </c>
      <c r="AA3941">
        <v>9</v>
      </c>
      <c r="AB3941">
        <v>3</v>
      </c>
      <c r="AC3941">
        <v>0</v>
      </c>
      <c r="AD3941">
        <v>10</v>
      </c>
      <c r="AE3941">
        <v>0</v>
      </c>
      <c r="AF3941">
        <v>3</v>
      </c>
      <c r="AG3941">
        <v>2</v>
      </c>
      <c r="AH3941">
        <v>0</v>
      </c>
      <c r="AI3941" t="s">
        <v>854</v>
      </c>
      <c r="AJ3941">
        <v>28.269582</v>
      </c>
      <c r="AK3941" t="s">
        <v>903</v>
      </c>
      <c r="AL3941">
        <v>-82.288133999999999</v>
      </c>
      <c r="AM3941">
        <v>100</v>
      </c>
      <c r="AN3941">
        <v>2300</v>
      </c>
      <c r="AO3941" t="s">
        <v>118</v>
      </c>
      <c r="AP3941">
        <v>-136</v>
      </c>
      <c r="AQ3941">
        <v>-43</v>
      </c>
      <c r="AR3941">
        <v>-64</v>
      </c>
      <c r="AZ3941">
        <v>1200</v>
      </c>
      <c r="BA3941">
        <v>1</v>
      </c>
      <c r="BB3941" t="str">
        <f t="shared" si="1816"/>
        <v xml:space="preserve">N711JA  </v>
      </c>
      <c r="BC3941">
        <v>1</v>
      </c>
      <c r="BE3941">
        <v>0</v>
      </c>
      <c r="BF3941">
        <v>0</v>
      </c>
      <c r="BG3941">
        <v>0</v>
      </c>
      <c r="BH3941">
        <v>2300</v>
      </c>
      <c r="BI3941">
        <v>1</v>
      </c>
      <c r="BJ3941">
        <v>1</v>
      </c>
      <c r="BK3941">
        <v>0</v>
      </c>
      <c r="BL3941">
        <v>0</v>
      </c>
      <c r="BO3941">
        <v>0</v>
      </c>
      <c r="BP3941">
        <v>0</v>
      </c>
      <c r="BW3941" t="str">
        <f t="shared" ref="BW3941:BW3949" si="1824">"14:48:24.297"</f>
        <v>14:48:24.297</v>
      </c>
      <c r="CJ3941">
        <v>0</v>
      </c>
      <c r="CK3941">
        <v>2</v>
      </c>
      <c r="CL3941">
        <v>0</v>
      </c>
      <c r="CM3941">
        <v>2</v>
      </c>
      <c r="CN3941">
        <v>0</v>
      </c>
      <c r="CO3941">
        <v>7</v>
      </c>
      <c r="CP3941" t="s">
        <v>119</v>
      </c>
      <c r="CQ3941">
        <v>8</v>
      </c>
      <c r="CR3941">
        <v>3</v>
      </c>
      <c r="CW3941">
        <v>9094933</v>
      </c>
      <c r="CY3941">
        <v>1</v>
      </c>
      <c r="CZ3941">
        <v>0</v>
      </c>
      <c r="DA3941">
        <v>0</v>
      </c>
      <c r="DB3941">
        <v>0</v>
      </c>
      <c r="DC3941">
        <v>0</v>
      </c>
      <c r="DD3941">
        <v>1</v>
      </c>
      <c r="DE3941">
        <v>0</v>
      </c>
      <c r="DF3941">
        <v>0</v>
      </c>
      <c r="DG3941">
        <v>0</v>
      </c>
      <c r="DH3941">
        <v>0</v>
      </c>
      <c r="DI3941">
        <v>0</v>
      </c>
    </row>
    <row r="3942" spans="1:113" x14ac:dyDescent="0.3">
      <c r="A3942" t="str">
        <f t="shared" si="1821"/>
        <v>05/12/2020 14:48:06.481</v>
      </c>
      <c r="C3942" t="str">
        <f t="shared" si="1815"/>
        <v>FFDFD3C0</v>
      </c>
      <c r="D3942" t="s">
        <v>113</v>
      </c>
      <c r="E3942">
        <v>3</v>
      </c>
      <c r="H3942">
        <v>164</v>
      </c>
      <c r="I3942" t="s">
        <v>114</v>
      </c>
      <c r="J3942" t="s">
        <v>115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 t="shared" si="1822"/>
        <v>14:48:24.289</v>
      </c>
      <c r="T3942" t="str">
        <f t="shared" si="1823"/>
        <v>14:48:23.789</v>
      </c>
      <c r="U3942" t="str">
        <f t="shared" si="1806"/>
        <v>A9808D</v>
      </c>
      <c r="V3942">
        <v>0</v>
      </c>
      <c r="W3942">
        <v>0</v>
      </c>
      <c r="X3942">
        <v>1</v>
      </c>
      <c r="Z3942">
        <v>0</v>
      </c>
      <c r="AA3942">
        <v>9</v>
      </c>
      <c r="AB3942">
        <v>3</v>
      </c>
      <c r="AC3942">
        <v>0</v>
      </c>
      <c r="AD3942">
        <v>10</v>
      </c>
      <c r="AE3942">
        <v>0</v>
      </c>
      <c r="AF3942">
        <v>3</v>
      </c>
      <c r="AG3942">
        <v>2</v>
      </c>
      <c r="AH3942">
        <v>0</v>
      </c>
      <c r="AI3942" t="s">
        <v>854</v>
      </c>
      <c r="AJ3942">
        <v>28.269582</v>
      </c>
      <c r="AK3942" t="s">
        <v>903</v>
      </c>
      <c r="AL3942">
        <v>-82.288133999999999</v>
      </c>
      <c r="AM3942">
        <v>100</v>
      </c>
      <c r="AN3942">
        <v>2300</v>
      </c>
      <c r="AO3942" t="s">
        <v>118</v>
      </c>
      <c r="AP3942">
        <v>-136</v>
      </c>
      <c r="AQ3942">
        <v>-43</v>
      </c>
      <c r="AR3942">
        <v>-64</v>
      </c>
      <c r="AZ3942">
        <v>1200</v>
      </c>
      <c r="BA3942">
        <v>1</v>
      </c>
      <c r="BB3942" t="str">
        <f t="shared" si="1816"/>
        <v xml:space="preserve">N711JA  </v>
      </c>
      <c r="BC3942">
        <v>1</v>
      </c>
      <c r="BE3942">
        <v>0</v>
      </c>
      <c r="BF3942">
        <v>0</v>
      </c>
      <c r="BG3942">
        <v>0</v>
      </c>
      <c r="BH3942">
        <v>2300</v>
      </c>
      <c r="BI3942">
        <v>1</v>
      </c>
      <c r="BJ3942">
        <v>1</v>
      </c>
      <c r="BK3942">
        <v>0</v>
      </c>
      <c r="BL3942">
        <v>0</v>
      </c>
      <c r="BO3942">
        <v>0</v>
      </c>
      <c r="BP3942">
        <v>0</v>
      </c>
      <c r="BW3942" t="str">
        <f t="shared" si="1824"/>
        <v>14:48:24.297</v>
      </c>
      <c r="CJ3942">
        <v>0</v>
      </c>
      <c r="CK3942">
        <v>2</v>
      </c>
      <c r="CL3942">
        <v>0</v>
      </c>
      <c r="CM3942">
        <v>2</v>
      </c>
      <c r="CN3942">
        <v>0</v>
      </c>
      <c r="CO3942">
        <v>7</v>
      </c>
      <c r="CP3942" t="s">
        <v>119</v>
      </c>
      <c r="CQ3942">
        <v>8</v>
      </c>
      <c r="CR3942">
        <v>3</v>
      </c>
      <c r="CW3942">
        <v>9094933</v>
      </c>
      <c r="CY3942">
        <v>1</v>
      </c>
      <c r="CZ3942">
        <v>0</v>
      </c>
      <c r="DA3942">
        <v>1</v>
      </c>
      <c r="DB3942">
        <v>0</v>
      </c>
      <c r="DC3942">
        <v>0</v>
      </c>
      <c r="DD3942">
        <v>1</v>
      </c>
      <c r="DE3942">
        <v>0</v>
      </c>
      <c r="DF3942">
        <v>0</v>
      </c>
      <c r="DG3942">
        <v>0</v>
      </c>
      <c r="DH3942">
        <v>0</v>
      </c>
      <c r="DI3942">
        <v>0</v>
      </c>
    </row>
    <row r="3943" spans="1:113" x14ac:dyDescent="0.3">
      <c r="A3943" t="str">
        <f t="shared" si="1821"/>
        <v>05/12/2020 14:48:06.481</v>
      </c>
      <c r="C3943" t="str">
        <f t="shared" si="1815"/>
        <v>FFDFD3C0</v>
      </c>
      <c r="D3943" t="s">
        <v>126</v>
      </c>
      <c r="E3943">
        <v>6</v>
      </c>
      <c r="F3943">
        <v>1006</v>
      </c>
      <c r="G3943" t="s">
        <v>114</v>
      </c>
      <c r="J3943" t="s">
        <v>128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 t="shared" si="1822"/>
        <v>14:48:24.289</v>
      </c>
      <c r="T3943" t="str">
        <f t="shared" si="1823"/>
        <v>14:48:23.789</v>
      </c>
      <c r="U3943" t="str">
        <f t="shared" si="1806"/>
        <v>A9808D</v>
      </c>
      <c r="V3943">
        <v>0</v>
      </c>
      <c r="W3943">
        <v>0</v>
      </c>
      <c r="X3943">
        <v>1</v>
      </c>
      <c r="Z3943">
        <v>0</v>
      </c>
      <c r="AA3943">
        <v>9</v>
      </c>
      <c r="AB3943">
        <v>3</v>
      </c>
      <c r="AC3943">
        <v>0</v>
      </c>
      <c r="AD3943">
        <v>10</v>
      </c>
      <c r="AE3943">
        <v>0</v>
      </c>
      <c r="AF3943">
        <v>3</v>
      </c>
      <c r="AG3943">
        <v>2</v>
      </c>
      <c r="AH3943">
        <v>0</v>
      </c>
      <c r="AI3943" t="s">
        <v>854</v>
      </c>
      <c r="AJ3943">
        <v>28.269582</v>
      </c>
      <c r="AK3943" t="s">
        <v>903</v>
      </c>
      <c r="AL3943">
        <v>-82.288133999999999</v>
      </c>
      <c r="AM3943">
        <v>100</v>
      </c>
      <c r="AN3943">
        <v>2300</v>
      </c>
      <c r="AO3943" t="s">
        <v>118</v>
      </c>
      <c r="AP3943">
        <v>-136</v>
      </c>
      <c r="AQ3943">
        <v>-43</v>
      </c>
      <c r="AR3943">
        <v>-64</v>
      </c>
      <c r="AZ3943">
        <v>1200</v>
      </c>
      <c r="BA3943">
        <v>1</v>
      </c>
      <c r="BB3943" t="str">
        <f t="shared" si="1816"/>
        <v xml:space="preserve">N711JA  </v>
      </c>
      <c r="BC3943">
        <v>1</v>
      </c>
      <c r="BE3943">
        <v>0</v>
      </c>
      <c r="BF3943">
        <v>0</v>
      </c>
      <c r="BG3943">
        <v>0</v>
      </c>
      <c r="BH3943">
        <v>2300</v>
      </c>
      <c r="BI3943">
        <v>1</v>
      </c>
      <c r="BJ3943">
        <v>1</v>
      </c>
      <c r="BK3943">
        <v>0</v>
      </c>
      <c r="BL3943">
        <v>0</v>
      </c>
      <c r="BO3943">
        <v>0</v>
      </c>
      <c r="BP3943">
        <v>0</v>
      </c>
      <c r="BW3943" t="str">
        <f t="shared" si="1824"/>
        <v>14:48:24.297</v>
      </c>
      <c r="CJ3943">
        <v>0</v>
      </c>
      <c r="CK3943">
        <v>2</v>
      </c>
      <c r="CL3943">
        <v>0</v>
      </c>
      <c r="CM3943">
        <v>2</v>
      </c>
      <c r="CN3943">
        <v>0</v>
      </c>
      <c r="CO3943">
        <v>7</v>
      </c>
      <c r="CP3943" t="s">
        <v>119</v>
      </c>
      <c r="CQ3943">
        <v>8</v>
      </c>
      <c r="CR3943">
        <v>3</v>
      </c>
      <c r="CW3943">
        <v>9094933</v>
      </c>
      <c r="CY3943">
        <v>1</v>
      </c>
      <c r="CZ3943">
        <v>0</v>
      </c>
      <c r="DA3943">
        <v>1</v>
      </c>
      <c r="DB3943">
        <v>0</v>
      </c>
      <c r="DC3943">
        <v>0</v>
      </c>
      <c r="DD3943">
        <v>1</v>
      </c>
      <c r="DE3943">
        <v>0</v>
      </c>
      <c r="DF3943">
        <v>0</v>
      </c>
      <c r="DG3943">
        <v>0</v>
      </c>
      <c r="DH3943">
        <v>0</v>
      </c>
      <c r="DI3943">
        <v>0</v>
      </c>
    </row>
    <row r="3944" spans="1:113" x14ac:dyDescent="0.3">
      <c r="A3944" t="str">
        <f t="shared" si="1821"/>
        <v>05/12/2020 14:48:06.481</v>
      </c>
      <c r="C3944" t="str">
        <f t="shared" si="1815"/>
        <v>FFDFD3C0</v>
      </c>
      <c r="D3944" t="s">
        <v>138</v>
      </c>
      <c r="E3944">
        <v>3</v>
      </c>
      <c r="H3944">
        <v>9</v>
      </c>
      <c r="I3944" t="s">
        <v>140</v>
      </c>
      <c r="J3944" t="s">
        <v>136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 t="shared" si="1822"/>
        <v>14:48:24.289</v>
      </c>
      <c r="T3944" t="str">
        <f t="shared" si="1823"/>
        <v>14:48:23.789</v>
      </c>
      <c r="U3944" t="str">
        <f t="shared" si="1806"/>
        <v>A9808D</v>
      </c>
      <c r="V3944">
        <v>0</v>
      </c>
      <c r="W3944">
        <v>0</v>
      </c>
      <c r="X3944">
        <v>1</v>
      </c>
      <c r="Z3944">
        <v>0</v>
      </c>
      <c r="AA3944">
        <v>9</v>
      </c>
      <c r="AB3944">
        <v>3</v>
      </c>
      <c r="AC3944">
        <v>0</v>
      </c>
      <c r="AD3944">
        <v>10</v>
      </c>
      <c r="AE3944">
        <v>0</v>
      </c>
      <c r="AF3944">
        <v>3</v>
      </c>
      <c r="AG3944">
        <v>2</v>
      </c>
      <c r="AH3944">
        <v>0</v>
      </c>
      <c r="AI3944" t="s">
        <v>854</v>
      </c>
      <c r="AJ3944">
        <v>28.269582</v>
      </c>
      <c r="AK3944" t="s">
        <v>903</v>
      </c>
      <c r="AL3944">
        <v>-82.288133999999999</v>
      </c>
      <c r="AM3944">
        <v>100</v>
      </c>
      <c r="AN3944">
        <v>2300</v>
      </c>
      <c r="AO3944" t="s">
        <v>118</v>
      </c>
      <c r="AP3944">
        <v>-136</v>
      </c>
      <c r="AQ3944">
        <v>-43</v>
      </c>
      <c r="AR3944">
        <v>-64</v>
      </c>
      <c r="AZ3944">
        <v>1200</v>
      </c>
      <c r="BA3944">
        <v>1</v>
      </c>
      <c r="BB3944" t="str">
        <f t="shared" si="1816"/>
        <v xml:space="preserve">N711JA  </v>
      </c>
      <c r="BC3944">
        <v>1</v>
      </c>
      <c r="BE3944">
        <v>0</v>
      </c>
      <c r="BF3944">
        <v>0</v>
      </c>
      <c r="BG3944">
        <v>0</v>
      </c>
      <c r="BH3944">
        <v>2300</v>
      </c>
      <c r="BI3944">
        <v>1</v>
      </c>
      <c r="BJ3944">
        <v>1</v>
      </c>
      <c r="BK3944">
        <v>0</v>
      </c>
      <c r="BL3944">
        <v>0</v>
      </c>
      <c r="BO3944">
        <v>0</v>
      </c>
      <c r="BP3944">
        <v>0</v>
      </c>
      <c r="BW3944" t="str">
        <f t="shared" si="1824"/>
        <v>14:48:24.297</v>
      </c>
      <c r="CJ3944">
        <v>0</v>
      </c>
      <c r="CK3944">
        <v>2</v>
      </c>
      <c r="CL3944">
        <v>0</v>
      </c>
      <c r="CM3944">
        <v>2</v>
      </c>
      <c r="CN3944">
        <v>0</v>
      </c>
      <c r="CO3944">
        <v>7</v>
      </c>
      <c r="CP3944" t="s">
        <v>119</v>
      </c>
      <c r="CQ3944">
        <v>8</v>
      </c>
      <c r="CR3944">
        <v>3</v>
      </c>
      <c r="CW3944">
        <v>9094933</v>
      </c>
      <c r="CY3944">
        <v>1</v>
      </c>
      <c r="CZ3944">
        <v>0</v>
      </c>
      <c r="DA3944">
        <v>1</v>
      </c>
      <c r="DB3944">
        <v>0</v>
      </c>
      <c r="DC3944">
        <v>0</v>
      </c>
      <c r="DD3944">
        <v>1</v>
      </c>
      <c r="DE3944">
        <v>0</v>
      </c>
      <c r="DF3944">
        <v>0</v>
      </c>
      <c r="DG3944">
        <v>0</v>
      </c>
      <c r="DH3944">
        <v>0</v>
      </c>
      <c r="DI3944">
        <v>0</v>
      </c>
    </row>
    <row r="3945" spans="1:113" x14ac:dyDescent="0.3">
      <c r="A3945" t="str">
        <f t="shared" si="1821"/>
        <v>05/12/2020 14:48:06.481</v>
      </c>
      <c r="C3945" t="str">
        <f t="shared" si="1815"/>
        <v>FFDFD3C0</v>
      </c>
      <c r="D3945" t="s">
        <v>138</v>
      </c>
      <c r="E3945">
        <v>2</v>
      </c>
      <c r="H3945">
        <v>8</v>
      </c>
      <c r="I3945" t="s">
        <v>139</v>
      </c>
      <c r="J3945" t="s">
        <v>136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 t="shared" si="1822"/>
        <v>14:48:24.289</v>
      </c>
      <c r="T3945" t="str">
        <f t="shared" si="1823"/>
        <v>14:48:23.789</v>
      </c>
      <c r="U3945" t="str">
        <f t="shared" si="1806"/>
        <v>A9808D</v>
      </c>
      <c r="V3945">
        <v>0</v>
      </c>
      <c r="W3945">
        <v>0</v>
      </c>
      <c r="X3945">
        <v>1</v>
      </c>
      <c r="Z3945">
        <v>0</v>
      </c>
      <c r="AA3945">
        <v>9</v>
      </c>
      <c r="AB3945">
        <v>3</v>
      </c>
      <c r="AC3945">
        <v>0</v>
      </c>
      <c r="AD3945">
        <v>10</v>
      </c>
      <c r="AE3945">
        <v>0</v>
      </c>
      <c r="AF3945">
        <v>3</v>
      </c>
      <c r="AG3945">
        <v>2</v>
      </c>
      <c r="AH3945">
        <v>0</v>
      </c>
      <c r="AI3945" t="s">
        <v>854</v>
      </c>
      <c r="AJ3945">
        <v>28.269582</v>
      </c>
      <c r="AK3945" t="s">
        <v>903</v>
      </c>
      <c r="AL3945">
        <v>-82.288133999999999</v>
      </c>
      <c r="AM3945">
        <v>100</v>
      </c>
      <c r="AN3945">
        <v>2300</v>
      </c>
      <c r="AO3945" t="s">
        <v>118</v>
      </c>
      <c r="AP3945">
        <v>-136</v>
      </c>
      <c r="AQ3945">
        <v>-43</v>
      </c>
      <c r="AR3945">
        <v>-64</v>
      </c>
      <c r="AZ3945">
        <v>1200</v>
      </c>
      <c r="BA3945">
        <v>1</v>
      </c>
      <c r="BB3945" t="str">
        <f t="shared" si="1816"/>
        <v xml:space="preserve">N711JA  </v>
      </c>
      <c r="BC3945">
        <v>1</v>
      </c>
      <c r="BE3945">
        <v>0</v>
      </c>
      <c r="BF3945">
        <v>0</v>
      </c>
      <c r="BG3945">
        <v>0</v>
      </c>
      <c r="BH3945">
        <v>2300</v>
      </c>
      <c r="BI3945">
        <v>1</v>
      </c>
      <c r="BJ3945">
        <v>1</v>
      </c>
      <c r="BK3945">
        <v>0</v>
      </c>
      <c r="BL3945">
        <v>0</v>
      </c>
      <c r="BO3945">
        <v>0</v>
      </c>
      <c r="BP3945">
        <v>0</v>
      </c>
      <c r="BW3945" t="str">
        <f t="shared" si="1824"/>
        <v>14:48:24.297</v>
      </c>
      <c r="CJ3945">
        <v>0</v>
      </c>
      <c r="CK3945">
        <v>2</v>
      </c>
      <c r="CL3945">
        <v>0</v>
      </c>
      <c r="CM3945">
        <v>2</v>
      </c>
      <c r="CN3945">
        <v>0</v>
      </c>
      <c r="CO3945">
        <v>7</v>
      </c>
      <c r="CP3945" t="s">
        <v>119</v>
      </c>
      <c r="CQ3945">
        <v>8</v>
      </c>
      <c r="CR3945">
        <v>3</v>
      </c>
      <c r="CW3945">
        <v>9094933</v>
      </c>
      <c r="CY3945">
        <v>1</v>
      </c>
      <c r="CZ3945">
        <v>0</v>
      </c>
      <c r="DA3945">
        <v>1</v>
      </c>
      <c r="DB3945">
        <v>0</v>
      </c>
      <c r="DC3945">
        <v>0</v>
      </c>
      <c r="DD3945">
        <v>1</v>
      </c>
      <c r="DE3945">
        <v>0</v>
      </c>
      <c r="DF3945">
        <v>0</v>
      </c>
      <c r="DG3945">
        <v>0</v>
      </c>
      <c r="DH3945">
        <v>0</v>
      </c>
      <c r="DI3945">
        <v>0</v>
      </c>
    </row>
    <row r="3946" spans="1:113" x14ac:dyDescent="0.3">
      <c r="A3946" t="str">
        <f t="shared" si="1821"/>
        <v>05/12/2020 14:48:06.481</v>
      </c>
      <c r="C3946" t="str">
        <f t="shared" si="1815"/>
        <v>FFDFD3C0</v>
      </c>
      <c r="D3946" t="s">
        <v>126</v>
      </c>
      <c r="E3946">
        <v>7</v>
      </c>
      <c r="F3946">
        <v>1007</v>
      </c>
      <c r="G3946" t="s">
        <v>127</v>
      </c>
      <c r="J3946" t="s">
        <v>128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 t="shared" si="1822"/>
        <v>14:48:24.289</v>
      </c>
      <c r="T3946" t="str">
        <f t="shared" si="1823"/>
        <v>14:48:23.789</v>
      </c>
      <c r="U3946" t="str">
        <f t="shared" si="1806"/>
        <v>A9808D</v>
      </c>
      <c r="V3946">
        <v>0</v>
      </c>
      <c r="W3946">
        <v>0</v>
      </c>
      <c r="X3946">
        <v>1</v>
      </c>
      <c r="Z3946">
        <v>0</v>
      </c>
      <c r="AA3946">
        <v>9</v>
      </c>
      <c r="AB3946">
        <v>3</v>
      </c>
      <c r="AC3946">
        <v>0</v>
      </c>
      <c r="AD3946">
        <v>10</v>
      </c>
      <c r="AE3946">
        <v>0</v>
      </c>
      <c r="AF3946">
        <v>3</v>
      </c>
      <c r="AG3946">
        <v>2</v>
      </c>
      <c r="AH3946">
        <v>0</v>
      </c>
      <c r="AI3946" t="s">
        <v>854</v>
      </c>
      <c r="AJ3946">
        <v>28.269582</v>
      </c>
      <c r="AK3946" t="s">
        <v>903</v>
      </c>
      <c r="AL3946">
        <v>-82.288133999999999</v>
      </c>
      <c r="AM3946">
        <v>100</v>
      </c>
      <c r="AN3946">
        <v>2300</v>
      </c>
      <c r="AO3946" t="s">
        <v>118</v>
      </c>
      <c r="AP3946">
        <v>-136</v>
      </c>
      <c r="AQ3946">
        <v>-43</v>
      </c>
      <c r="AR3946">
        <v>-64</v>
      </c>
      <c r="AZ3946">
        <v>1200</v>
      </c>
      <c r="BA3946">
        <v>1</v>
      </c>
      <c r="BB3946" t="str">
        <f t="shared" si="1816"/>
        <v xml:space="preserve">N711JA  </v>
      </c>
      <c r="BC3946">
        <v>1</v>
      </c>
      <c r="BE3946">
        <v>0</v>
      </c>
      <c r="BF3946">
        <v>0</v>
      </c>
      <c r="BG3946">
        <v>0</v>
      </c>
      <c r="BH3946">
        <v>2300</v>
      </c>
      <c r="BI3946">
        <v>1</v>
      </c>
      <c r="BJ3946">
        <v>1</v>
      </c>
      <c r="BK3946">
        <v>0</v>
      </c>
      <c r="BL3946">
        <v>0</v>
      </c>
      <c r="BO3946">
        <v>0</v>
      </c>
      <c r="BP3946">
        <v>0</v>
      </c>
      <c r="BW3946" t="str">
        <f t="shared" si="1824"/>
        <v>14:48:24.297</v>
      </c>
      <c r="CJ3946">
        <v>0</v>
      </c>
      <c r="CK3946">
        <v>2</v>
      </c>
      <c r="CL3946">
        <v>0</v>
      </c>
      <c r="CM3946">
        <v>2</v>
      </c>
      <c r="CN3946">
        <v>0</v>
      </c>
      <c r="CO3946">
        <v>7</v>
      </c>
      <c r="CP3946" t="s">
        <v>119</v>
      </c>
      <c r="CQ3946">
        <v>8</v>
      </c>
      <c r="CR3946">
        <v>3</v>
      </c>
      <c r="CW3946">
        <v>9094933</v>
      </c>
      <c r="CY3946">
        <v>1</v>
      </c>
      <c r="CZ3946">
        <v>0</v>
      </c>
      <c r="DA3946">
        <v>1</v>
      </c>
      <c r="DB3946">
        <v>0</v>
      </c>
      <c r="DC3946">
        <v>0</v>
      </c>
      <c r="DD3946">
        <v>1</v>
      </c>
      <c r="DE3946">
        <v>0</v>
      </c>
      <c r="DF3946">
        <v>0</v>
      </c>
      <c r="DG3946">
        <v>0</v>
      </c>
      <c r="DH3946">
        <v>0</v>
      </c>
      <c r="DI3946">
        <v>0</v>
      </c>
    </row>
    <row r="3947" spans="1:113" x14ac:dyDescent="0.3">
      <c r="A3947" t="str">
        <f t="shared" si="1821"/>
        <v>05/12/2020 14:48:06.481</v>
      </c>
      <c r="C3947" t="str">
        <f t="shared" si="1815"/>
        <v>FFDFD3C0</v>
      </c>
      <c r="D3947" t="s">
        <v>131</v>
      </c>
      <c r="E3947">
        <v>10</v>
      </c>
      <c r="F3947">
        <v>2010</v>
      </c>
      <c r="G3947" t="s">
        <v>132</v>
      </c>
      <c r="J3947" t="s">
        <v>133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 t="shared" si="1822"/>
        <v>14:48:24.289</v>
      </c>
      <c r="T3947" t="str">
        <f t="shared" si="1823"/>
        <v>14:48:23.789</v>
      </c>
      <c r="U3947" t="str">
        <f t="shared" si="1806"/>
        <v>A9808D</v>
      </c>
      <c r="V3947">
        <v>0</v>
      </c>
      <c r="W3947">
        <v>0</v>
      </c>
      <c r="X3947">
        <v>1</v>
      </c>
      <c r="Z3947">
        <v>0</v>
      </c>
      <c r="AA3947">
        <v>9</v>
      </c>
      <c r="AB3947">
        <v>3</v>
      </c>
      <c r="AC3947">
        <v>0</v>
      </c>
      <c r="AD3947">
        <v>10</v>
      </c>
      <c r="AE3947">
        <v>0</v>
      </c>
      <c r="AF3947">
        <v>3</v>
      </c>
      <c r="AG3947">
        <v>2</v>
      </c>
      <c r="AH3947">
        <v>0</v>
      </c>
      <c r="AI3947" t="s">
        <v>854</v>
      </c>
      <c r="AJ3947">
        <v>28.269582</v>
      </c>
      <c r="AK3947" t="s">
        <v>903</v>
      </c>
      <c r="AL3947">
        <v>-82.288133999999999</v>
      </c>
      <c r="AM3947">
        <v>100</v>
      </c>
      <c r="AN3947">
        <v>2300</v>
      </c>
      <c r="AO3947" t="s">
        <v>118</v>
      </c>
      <c r="AP3947">
        <v>-136</v>
      </c>
      <c r="AQ3947">
        <v>-43</v>
      </c>
      <c r="AR3947">
        <v>-64</v>
      </c>
      <c r="AZ3947">
        <v>1200</v>
      </c>
      <c r="BA3947">
        <v>1</v>
      </c>
      <c r="BB3947" t="str">
        <f t="shared" si="1816"/>
        <v xml:space="preserve">N711JA  </v>
      </c>
      <c r="BC3947">
        <v>1</v>
      </c>
      <c r="BE3947">
        <v>0</v>
      </c>
      <c r="BF3947">
        <v>0</v>
      </c>
      <c r="BG3947">
        <v>0</v>
      </c>
      <c r="BH3947">
        <v>2300</v>
      </c>
      <c r="BI3947">
        <v>1</v>
      </c>
      <c r="BJ3947">
        <v>1</v>
      </c>
      <c r="BK3947">
        <v>0</v>
      </c>
      <c r="BL3947">
        <v>0</v>
      </c>
      <c r="BO3947">
        <v>0</v>
      </c>
      <c r="BP3947">
        <v>0</v>
      </c>
      <c r="BW3947" t="str">
        <f t="shared" si="1824"/>
        <v>14:48:24.297</v>
      </c>
      <c r="CJ3947">
        <v>0</v>
      </c>
      <c r="CK3947">
        <v>2</v>
      </c>
      <c r="CL3947">
        <v>0</v>
      </c>
      <c r="CM3947">
        <v>2</v>
      </c>
      <c r="CN3947">
        <v>0</v>
      </c>
      <c r="CO3947">
        <v>7</v>
      </c>
      <c r="CP3947" t="s">
        <v>119</v>
      </c>
      <c r="CQ3947">
        <v>8</v>
      </c>
      <c r="CR3947">
        <v>3</v>
      </c>
      <c r="CW3947">
        <v>9094933</v>
      </c>
      <c r="CY3947">
        <v>1</v>
      </c>
      <c r="CZ3947">
        <v>0</v>
      </c>
      <c r="DA3947">
        <v>1</v>
      </c>
      <c r="DB3947">
        <v>0</v>
      </c>
      <c r="DC3947">
        <v>0</v>
      </c>
      <c r="DD3947">
        <v>1</v>
      </c>
      <c r="DE3947">
        <v>0</v>
      </c>
      <c r="DF3947">
        <v>0</v>
      </c>
      <c r="DG3947">
        <v>0</v>
      </c>
      <c r="DH3947">
        <v>0</v>
      </c>
      <c r="DI3947">
        <v>0</v>
      </c>
    </row>
    <row r="3948" spans="1:113" x14ac:dyDescent="0.3">
      <c r="A3948" t="str">
        <f t="shared" si="1821"/>
        <v>05/12/2020 14:48:06.481</v>
      </c>
      <c r="C3948" t="str">
        <f t="shared" si="1815"/>
        <v>FFDFD3C0</v>
      </c>
      <c r="D3948" t="s">
        <v>131</v>
      </c>
      <c r="E3948">
        <v>12</v>
      </c>
      <c r="F3948">
        <v>2012</v>
      </c>
      <c r="G3948" t="s">
        <v>137</v>
      </c>
      <c r="J3948" t="s">
        <v>133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 t="shared" si="1822"/>
        <v>14:48:24.289</v>
      </c>
      <c r="T3948" t="str">
        <f t="shared" si="1823"/>
        <v>14:48:23.789</v>
      </c>
      <c r="U3948" t="str">
        <f t="shared" si="1806"/>
        <v>A9808D</v>
      </c>
      <c r="V3948">
        <v>0</v>
      </c>
      <c r="W3948">
        <v>0</v>
      </c>
      <c r="X3948">
        <v>1</v>
      </c>
      <c r="Z3948">
        <v>0</v>
      </c>
      <c r="AA3948">
        <v>9</v>
      </c>
      <c r="AB3948">
        <v>3</v>
      </c>
      <c r="AC3948">
        <v>0</v>
      </c>
      <c r="AD3948">
        <v>10</v>
      </c>
      <c r="AE3948">
        <v>0</v>
      </c>
      <c r="AF3948">
        <v>3</v>
      </c>
      <c r="AG3948">
        <v>2</v>
      </c>
      <c r="AH3948">
        <v>0</v>
      </c>
      <c r="AI3948" t="s">
        <v>854</v>
      </c>
      <c r="AJ3948">
        <v>28.269582</v>
      </c>
      <c r="AK3948" t="s">
        <v>903</v>
      </c>
      <c r="AL3948">
        <v>-82.288133999999999</v>
      </c>
      <c r="AM3948">
        <v>100</v>
      </c>
      <c r="AN3948">
        <v>2300</v>
      </c>
      <c r="AO3948" t="s">
        <v>118</v>
      </c>
      <c r="AP3948">
        <v>-136</v>
      </c>
      <c r="AQ3948">
        <v>-43</v>
      </c>
      <c r="AR3948">
        <v>-64</v>
      </c>
      <c r="AZ3948">
        <v>1200</v>
      </c>
      <c r="BA3948">
        <v>1</v>
      </c>
      <c r="BB3948" t="str">
        <f t="shared" si="1816"/>
        <v xml:space="preserve">N711JA  </v>
      </c>
      <c r="BC3948">
        <v>1</v>
      </c>
      <c r="BE3948">
        <v>0</v>
      </c>
      <c r="BF3948">
        <v>0</v>
      </c>
      <c r="BG3948">
        <v>0</v>
      </c>
      <c r="BH3948">
        <v>2300</v>
      </c>
      <c r="BI3948">
        <v>1</v>
      </c>
      <c r="BJ3948">
        <v>1</v>
      </c>
      <c r="BK3948">
        <v>0</v>
      </c>
      <c r="BL3948">
        <v>0</v>
      </c>
      <c r="BO3948">
        <v>0</v>
      </c>
      <c r="BP3948">
        <v>0</v>
      </c>
      <c r="BW3948" t="str">
        <f t="shared" si="1824"/>
        <v>14:48:24.297</v>
      </c>
      <c r="CJ3948">
        <v>0</v>
      </c>
      <c r="CK3948">
        <v>2</v>
      </c>
      <c r="CL3948">
        <v>0</v>
      </c>
      <c r="CM3948">
        <v>2</v>
      </c>
      <c r="CN3948">
        <v>0</v>
      </c>
      <c r="CO3948">
        <v>7</v>
      </c>
      <c r="CP3948" t="s">
        <v>119</v>
      </c>
      <c r="CQ3948">
        <v>8</v>
      </c>
      <c r="CR3948">
        <v>3</v>
      </c>
      <c r="CW3948">
        <v>9094933</v>
      </c>
      <c r="CY3948">
        <v>1</v>
      </c>
      <c r="CZ3948">
        <v>0</v>
      </c>
      <c r="DA3948">
        <v>1</v>
      </c>
      <c r="DB3948">
        <v>0</v>
      </c>
      <c r="DC3948">
        <v>0</v>
      </c>
      <c r="DD3948">
        <v>1</v>
      </c>
      <c r="DE3948">
        <v>0</v>
      </c>
      <c r="DF3948">
        <v>0</v>
      </c>
      <c r="DG3948">
        <v>0</v>
      </c>
      <c r="DH3948">
        <v>0</v>
      </c>
      <c r="DI3948">
        <v>0</v>
      </c>
    </row>
    <row r="3949" spans="1:113" x14ac:dyDescent="0.3">
      <c r="A3949" t="str">
        <f t="shared" si="1821"/>
        <v>05/12/2020 14:48:06.481</v>
      </c>
      <c r="C3949" t="str">
        <f t="shared" si="1815"/>
        <v>FFDFD3C0</v>
      </c>
      <c r="D3949" t="s">
        <v>131</v>
      </c>
      <c r="E3949">
        <v>18</v>
      </c>
      <c r="F3949">
        <v>2018</v>
      </c>
      <c r="G3949" t="s">
        <v>161</v>
      </c>
      <c r="J3949" t="s">
        <v>133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>"14:48:24.297"</f>
        <v>14:48:24.297</v>
      </c>
      <c r="T3949" t="str">
        <f>"14:48:23.797"</f>
        <v>14:48:23.797</v>
      </c>
      <c r="U3949" t="str">
        <f t="shared" si="1806"/>
        <v>A9808D</v>
      </c>
      <c r="V3949">
        <v>0</v>
      </c>
      <c r="W3949">
        <v>0</v>
      </c>
      <c r="X3949">
        <v>1</v>
      </c>
      <c r="Z3949">
        <v>0</v>
      </c>
      <c r="AA3949">
        <v>9</v>
      </c>
      <c r="AB3949">
        <v>3</v>
      </c>
      <c r="AC3949">
        <v>0</v>
      </c>
      <c r="AD3949">
        <v>10</v>
      </c>
      <c r="AE3949">
        <v>0</v>
      </c>
      <c r="AF3949">
        <v>3</v>
      </c>
      <c r="AG3949">
        <v>2</v>
      </c>
      <c r="AH3949">
        <v>0</v>
      </c>
      <c r="AI3949" t="s">
        <v>854</v>
      </c>
      <c r="AJ3949">
        <v>28.269582</v>
      </c>
      <c r="AK3949" t="s">
        <v>903</v>
      </c>
      <c r="AL3949">
        <v>-82.288133999999999</v>
      </c>
      <c r="AM3949">
        <v>100</v>
      </c>
      <c r="AN3949">
        <v>2300</v>
      </c>
      <c r="AO3949" t="s">
        <v>118</v>
      </c>
      <c r="AP3949">
        <v>-136</v>
      </c>
      <c r="AQ3949">
        <v>-43</v>
      </c>
      <c r="AR3949">
        <v>-64</v>
      </c>
      <c r="AZ3949">
        <v>1200</v>
      </c>
      <c r="BA3949">
        <v>1</v>
      </c>
      <c r="BB3949" t="str">
        <f t="shared" si="1816"/>
        <v xml:space="preserve">N711JA  </v>
      </c>
      <c r="BC3949">
        <v>1</v>
      </c>
      <c r="BE3949">
        <v>0</v>
      </c>
      <c r="BF3949">
        <v>0</v>
      </c>
      <c r="BG3949">
        <v>0</v>
      </c>
      <c r="BH3949">
        <v>2300</v>
      </c>
      <c r="BI3949">
        <v>1</v>
      </c>
      <c r="BJ3949">
        <v>1</v>
      </c>
      <c r="BK3949">
        <v>0</v>
      </c>
      <c r="BL3949">
        <v>0</v>
      </c>
      <c r="BO3949">
        <v>0</v>
      </c>
      <c r="BP3949">
        <v>0</v>
      </c>
      <c r="BW3949" t="str">
        <f t="shared" si="1824"/>
        <v>14:48:24.297</v>
      </c>
      <c r="CJ3949">
        <v>0</v>
      </c>
      <c r="CK3949">
        <v>2</v>
      </c>
      <c r="CL3949">
        <v>0</v>
      </c>
      <c r="CM3949">
        <v>2</v>
      </c>
      <c r="CN3949">
        <v>0</v>
      </c>
      <c r="CO3949">
        <v>4</v>
      </c>
      <c r="CP3949" t="s">
        <v>119</v>
      </c>
      <c r="CQ3949">
        <v>62</v>
      </c>
      <c r="CR3949">
        <v>2</v>
      </c>
      <c r="CW3949">
        <v>13798265</v>
      </c>
      <c r="CY3949">
        <v>1</v>
      </c>
      <c r="CZ3949">
        <v>0</v>
      </c>
      <c r="DA3949">
        <v>1</v>
      </c>
      <c r="DB3949">
        <v>0</v>
      </c>
      <c r="DC3949">
        <v>0</v>
      </c>
      <c r="DD3949">
        <v>1</v>
      </c>
      <c r="DE3949">
        <v>0</v>
      </c>
      <c r="DF3949">
        <v>0</v>
      </c>
      <c r="DG3949">
        <v>0</v>
      </c>
      <c r="DH3949">
        <v>0</v>
      </c>
      <c r="DI3949">
        <v>0</v>
      </c>
    </row>
    <row r="3950" spans="1:113" x14ac:dyDescent="0.3">
      <c r="A3950" t="str">
        <f t="shared" ref="A3950:A3958" si="1825">"05/12/2020 14:48:07.543"</f>
        <v>05/12/2020 14:48:07.543</v>
      </c>
      <c r="C3950" t="str">
        <f t="shared" si="1815"/>
        <v>FFDFD3C0</v>
      </c>
      <c r="D3950" t="s">
        <v>126</v>
      </c>
      <c r="E3950">
        <v>6</v>
      </c>
      <c r="F3950">
        <v>1006</v>
      </c>
      <c r="G3950" t="s">
        <v>114</v>
      </c>
      <c r="J3950" t="s">
        <v>128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 t="shared" ref="S3950:S3958" si="1826">"14:48:25.352"</f>
        <v>14:48:25.352</v>
      </c>
      <c r="T3950" t="str">
        <f t="shared" ref="T3950:T3957" si="1827">"14:48:24.952"</f>
        <v>14:48:24.952</v>
      </c>
      <c r="U3950" t="str">
        <f t="shared" si="1806"/>
        <v>A9808D</v>
      </c>
      <c r="V3950">
        <v>0</v>
      </c>
      <c r="W3950">
        <v>0</v>
      </c>
      <c r="X3950">
        <v>1</v>
      </c>
      <c r="Z3950">
        <v>0</v>
      </c>
      <c r="AA3950">
        <v>9</v>
      </c>
      <c r="AB3950">
        <v>3</v>
      </c>
      <c r="AC3950">
        <v>0</v>
      </c>
      <c r="AD3950">
        <v>10</v>
      </c>
      <c r="AE3950">
        <v>0</v>
      </c>
      <c r="AF3950">
        <v>3</v>
      </c>
      <c r="AG3950">
        <v>2</v>
      </c>
      <c r="AH3950">
        <v>0</v>
      </c>
      <c r="AI3950" t="s">
        <v>904</v>
      </c>
      <c r="AJ3950">
        <v>28.269366999999999</v>
      </c>
      <c r="AK3950" t="s">
        <v>905</v>
      </c>
      <c r="AL3950">
        <v>-82.288842000000002</v>
      </c>
      <c r="AM3950">
        <v>100</v>
      </c>
      <c r="AN3950">
        <v>2300</v>
      </c>
      <c r="AO3950" t="s">
        <v>118</v>
      </c>
      <c r="AP3950">
        <v>-135</v>
      </c>
      <c r="AQ3950">
        <v>-46</v>
      </c>
      <c r="AR3950">
        <v>-128</v>
      </c>
      <c r="AZ3950">
        <v>1200</v>
      </c>
      <c r="BA3950">
        <v>1</v>
      </c>
      <c r="BB3950" t="str">
        <f t="shared" si="1816"/>
        <v xml:space="preserve">N711JA  </v>
      </c>
      <c r="BC3950">
        <v>1</v>
      </c>
      <c r="BE3950">
        <v>0</v>
      </c>
      <c r="BF3950">
        <v>0</v>
      </c>
      <c r="BG3950">
        <v>0</v>
      </c>
      <c r="BH3950">
        <v>2300</v>
      </c>
      <c r="BI3950">
        <v>1</v>
      </c>
      <c r="BJ3950">
        <v>1</v>
      </c>
      <c r="BK3950">
        <v>0</v>
      </c>
      <c r="BL3950">
        <v>0</v>
      </c>
      <c r="BO3950">
        <v>0</v>
      </c>
      <c r="BP3950">
        <v>0</v>
      </c>
      <c r="BW3950" t="str">
        <f t="shared" ref="BW3950:BW3957" si="1828">"14:48:25.354"</f>
        <v>14:48:25.354</v>
      </c>
      <c r="CJ3950">
        <v>0</v>
      </c>
      <c r="CK3950">
        <v>2</v>
      </c>
      <c r="CL3950">
        <v>0</v>
      </c>
      <c r="CM3950">
        <v>2</v>
      </c>
      <c r="CN3950">
        <v>0</v>
      </c>
      <c r="CO3950">
        <v>7</v>
      </c>
      <c r="CP3950" t="s">
        <v>119</v>
      </c>
      <c r="CQ3950">
        <v>8</v>
      </c>
      <c r="CR3950">
        <v>3</v>
      </c>
      <c r="CW3950">
        <v>9096018</v>
      </c>
      <c r="CY3950">
        <v>1</v>
      </c>
      <c r="CZ3950">
        <v>0</v>
      </c>
      <c r="DA3950">
        <v>0</v>
      </c>
      <c r="DB3950">
        <v>0</v>
      </c>
      <c r="DC3950">
        <v>0</v>
      </c>
      <c r="DD3950">
        <v>1</v>
      </c>
      <c r="DE3950">
        <v>0</v>
      </c>
      <c r="DF3950">
        <v>0</v>
      </c>
      <c r="DG3950">
        <v>0</v>
      </c>
      <c r="DH3950">
        <v>0</v>
      </c>
      <c r="DI3950">
        <v>0</v>
      </c>
    </row>
    <row r="3951" spans="1:113" x14ac:dyDescent="0.3">
      <c r="A3951" t="str">
        <f t="shared" si="1825"/>
        <v>05/12/2020 14:48:07.543</v>
      </c>
      <c r="C3951" t="str">
        <f t="shared" si="1815"/>
        <v>FFDFD3C0</v>
      </c>
      <c r="D3951" t="s">
        <v>134</v>
      </c>
      <c r="E3951">
        <v>12</v>
      </c>
      <c r="H3951">
        <v>64</v>
      </c>
      <c r="I3951" t="s">
        <v>135</v>
      </c>
      <c r="J3951" t="s">
        <v>136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 t="shared" si="1826"/>
        <v>14:48:25.352</v>
      </c>
      <c r="T3951" t="str">
        <f t="shared" si="1827"/>
        <v>14:48:24.952</v>
      </c>
      <c r="U3951" t="str">
        <f t="shared" si="1806"/>
        <v>A9808D</v>
      </c>
      <c r="V3951">
        <v>0</v>
      </c>
      <c r="W3951">
        <v>0</v>
      </c>
      <c r="X3951">
        <v>1</v>
      </c>
      <c r="Z3951">
        <v>0</v>
      </c>
      <c r="AA3951">
        <v>9</v>
      </c>
      <c r="AB3951">
        <v>3</v>
      </c>
      <c r="AC3951">
        <v>0</v>
      </c>
      <c r="AD3951">
        <v>10</v>
      </c>
      <c r="AE3951">
        <v>0</v>
      </c>
      <c r="AF3951">
        <v>3</v>
      </c>
      <c r="AG3951">
        <v>2</v>
      </c>
      <c r="AH3951">
        <v>0</v>
      </c>
      <c r="AI3951" t="s">
        <v>904</v>
      </c>
      <c r="AJ3951">
        <v>28.269366999999999</v>
      </c>
      <c r="AK3951" t="s">
        <v>905</v>
      </c>
      <c r="AL3951">
        <v>-82.288842000000002</v>
      </c>
      <c r="AM3951">
        <v>100</v>
      </c>
      <c r="AN3951">
        <v>2300</v>
      </c>
      <c r="AO3951" t="s">
        <v>118</v>
      </c>
      <c r="AP3951">
        <v>-135</v>
      </c>
      <c r="AQ3951">
        <v>-46</v>
      </c>
      <c r="AR3951">
        <v>-128</v>
      </c>
      <c r="AZ3951">
        <v>1200</v>
      </c>
      <c r="BA3951">
        <v>1</v>
      </c>
      <c r="BB3951" t="str">
        <f t="shared" si="1816"/>
        <v xml:space="preserve">N711JA  </v>
      </c>
      <c r="BC3951">
        <v>1</v>
      </c>
      <c r="BE3951">
        <v>0</v>
      </c>
      <c r="BF3951">
        <v>0</v>
      </c>
      <c r="BG3951">
        <v>0</v>
      </c>
      <c r="BH3951">
        <v>2300</v>
      </c>
      <c r="BI3951">
        <v>1</v>
      </c>
      <c r="BJ3951">
        <v>1</v>
      </c>
      <c r="BK3951">
        <v>0</v>
      </c>
      <c r="BL3951">
        <v>0</v>
      </c>
      <c r="BO3951">
        <v>0</v>
      </c>
      <c r="BP3951">
        <v>0</v>
      </c>
      <c r="BW3951" t="str">
        <f t="shared" si="1828"/>
        <v>14:48:25.354</v>
      </c>
      <c r="CJ3951">
        <v>0</v>
      </c>
      <c r="CK3951">
        <v>2</v>
      </c>
      <c r="CL3951">
        <v>0</v>
      </c>
      <c r="CM3951">
        <v>2</v>
      </c>
      <c r="CN3951">
        <v>0</v>
      </c>
      <c r="CO3951">
        <v>7</v>
      </c>
      <c r="CP3951" t="s">
        <v>119</v>
      </c>
      <c r="CQ3951">
        <v>8</v>
      </c>
      <c r="CR3951">
        <v>3</v>
      </c>
      <c r="CW3951">
        <v>9096018</v>
      </c>
      <c r="CY3951">
        <v>1</v>
      </c>
      <c r="CZ3951">
        <v>0</v>
      </c>
      <c r="DA3951">
        <v>1</v>
      </c>
      <c r="DB3951">
        <v>0</v>
      </c>
      <c r="DC3951">
        <v>0</v>
      </c>
      <c r="DD3951">
        <v>1</v>
      </c>
      <c r="DE3951">
        <v>0</v>
      </c>
      <c r="DF3951">
        <v>0</v>
      </c>
      <c r="DG3951">
        <v>0</v>
      </c>
      <c r="DH3951">
        <v>0</v>
      </c>
      <c r="DI3951">
        <v>0</v>
      </c>
    </row>
    <row r="3952" spans="1:113" x14ac:dyDescent="0.3">
      <c r="A3952" t="str">
        <f t="shared" si="1825"/>
        <v>05/12/2020 14:48:07.543</v>
      </c>
      <c r="C3952" t="str">
        <f t="shared" si="1815"/>
        <v>FFDFD3C0</v>
      </c>
      <c r="D3952" t="s">
        <v>113</v>
      </c>
      <c r="E3952">
        <v>3</v>
      </c>
      <c r="H3952">
        <v>164</v>
      </c>
      <c r="I3952" t="s">
        <v>114</v>
      </c>
      <c r="J3952" t="s">
        <v>115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 t="shared" si="1826"/>
        <v>14:48:25.352</v>
      </c>
      <c r="T3952" t="str">
        <f t="shared" si="1827"/>
        <v>14:48:24.952</v>
      </c>
      <c r="U3952" t="str">
        <f t="shared" si="1806"/>
        <v>A9808D</v>
      </c>
      <c r="V3952">
        <v>0</v>
      </c>
      <c r="W3952">
        <v>0</v>
      </c>
      <c r="X3952">
        <v>1</v>
      </c>
      <c r="Z3952">
        <v>0</v>
      </c>
      <c r="AA3952">
        <v>9</v>
      </c>
      <c r="AB3952">
        <v>3</v>
      </c>
      <c r="AC3952">
        <v>0</v>
      </c>
      <c r="AD3952">
        <v>10</v>
      </c>
      <c r="AE3952">
        <v>0</v>
      </c>
      <c r="AF3952">
        <v>3</v>
      </c>
      <c r="AG3952">
        <v>2</v>
      </c>
      <c r="AH3952">
        <v>0</v>
      </c>
      <c r="AI3952" t="s">
        <v>904</v>
      </c>
      <c r="AJ3952">
        <v>28.269366999999999</v>
      </c>
      <c r="AK3952" t="s">
        <v>905</v>
      </c>
      <c r="AL3952">
        <v>-82.288842000000002</v>
      </c>
      <c r="AM3952">
        <v>100</v>
      </c>
      <c r="AN3952">
        <v>2300</v>
      </c>
      <c r="AO3952" t="s">
        <v>118</v>
      </c>
      <c r="AP3952">
        <v>-135</v>
      </c>
      <c r="AQ3952">
        <v>-46</v>
      </c>
      <c r="AR3952">
        <v>-128</v>
      </c>
      <c r="AZ3952">
        <v>1200</v>
      </c>
      <c r="BA3952">
        <v>1</v>
      </c>
      <c r="BB3952" t="str">
        <f t="shared" si="1816"/>
        <v xml:space="preserve">N711JA  </v>
      </c>
      <c r="BC3952">
        <v>1</v>
      </c>
      <c r="BE3952">
        <v>0</v>
      </c>
      <c r="BF3952">
        <v>0</v>
      </c>
      <c r="BG3952">
        <v>0</v>
      </c>
      <c r="BH3952">
        <v>2300</v>
      </c>
      <c r="BI3952">
        <v>1</v>
      </c>
      <c r="BJ3952">
        <v>1</v>
      </c>
      <c r="BK3952">
        <v>0</v>
      </c>
      <c r="BL3952">
        <v>0</v>
      </c>
      <c r="BO3952">
        <v>0</v>
      </c>
      <c r="BP3952">
        <v>0</v>
      </c>
      <c r="BW3952" t="str">
        <f t="shared" si="1828"/>
        <v>14:48:25.354</v>
      </c>
      <c r="CJ3952">
        <v>0</v>
      </c>
      <c r="CK3952">
        <v>2</v>
      </c>
      <c r="CL3952">
        <v>0</v>
      </c>
      <c r="CM3952">
        <v>2</v>
      </c>
      <c r="CN3952">
        <v>0</v>
      </c>
      <c r="CO3952">
        <v>7</v>
      </c>
      <c r="CP3952" t="s">
        <v>119</v>
      </c>
      <c r="CQ3952">
        <v>8</v>
      </c>
      <c r="CR3952">
        <v>3</v>
      </c>
      <c r="CW3952">
        <v>9096018</v>
      </c>
      <c r="CY3952">
        <v>1</v>
      </c>
      <c r="CZ3952">
        <v>0</v>
      </c>
      <c r="DA3952">
        <v>1</v>
      </c>
      <c r="DB3952">
        <v>0</v>
      </c>
      <c r="DC3952">
        <v>0</v>
      </c>
      <c r="DD3952">
        <v>1</v>
      </c>
      <c r="DE3952">
        <v>0</v>
      </c>
      <c r="DF3952">
        <v>0</v>
      </c>
      <c r="DG3952">
        <v>0</v>
      </c>
      <c r="DH3952">
        <v>0</v>
      </c>
      <c r="DI3952">
        <v>0</v>
      </c>
    </row>
    <row r="3953" spans="1:113" x14ac:dyDescent="0.3">
      <c r="A3953" t="str">
        <f t="shared" si="1825"/>
        <v>05/12/2020 14:48:07.543</v>
      </c>
      <c r="C3953" t="str">
        <f t="shared" si="1815"/>
        <v>FFDFD3C0</v>
      </c>
      <c r="D3953" t="s">
        <v>138</v>
      </c>
      <c r="E3953">
        <v>2</v>
      </c>
      <c r="H3953">
        <v>8</v>
      </c>
      <c r="I3953" t="s">
        <v>139</v>
      </c>
      <c r="J3953" t="s">
        <v>136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 t="shared" si="1826"/>
        <v>14:48:25.352</v>
      </c>
      <c r="T3953" t="str">
        <f t="shared" si="1827"/>
        <v>14:48:24.952</v>
      </c>
      <c r="U3953" t="str">
        <f t="shared" si="1806"/>
        <v>A9808D</v>
      </c>
      <c r="V3953">
        <v>0</v>
      </c>
      <c r="W3953">
        <v>0</v>
      </c>
      <c r="X3953">
        <v>1</v>
      </c>
      <c r="Z3953">
        <v>0</v>
      </c>
      <c r="AA3953">
        <v>9</v>
      </c>
      <c r="AB3953">
        <v>3</v>
      </c>
      <c r="AC3953">
        <v>0</v>
      </c>
      <c r="AD3953">
        <v>10</v>
      </c>
      <c r="AE3953">
        <v>0</v>
      </c>
      <c r="AF3953">
        <v>3</v>
      </c>
      <c r="AG3953">
        <v>2</v>
      </c>
      <c r="AH3953">
        <v>0</v>
      </c>
      <c r="AI3953" t="s">
        <v>904</v>
      </c>
      <c r="AJ3953">
        <v>28.269366999999999</v>
      </c>
      <c r="AK3953" t="s">
        <v>905</v>
      </c>
      <c r="AL3953">
        <v>-82.288842000000002</v>
      </c>
      <c r="AM3953">
        <v>100</v>
      </c>
      <c r="AN3953">
        <v>2300</v>
      </c>
      <c r="AO3953" t="s">
        <v>118</v>
      </c>
      <c r="AP3953">
        <v>-135</v>
      </c>
      <c r="AQ3953">
        <v>-46</v>
      </c>
      <c r="AR3953">
        <v>-128</v>
      </c>
      <c r="AZ3953">
        <v>1200</v>
      </c>
      <c r="BA3953">
        <v>1</v>
      </c>
      <c r="BB3953" t="str">
        <f t="shared" si="1816"/>
        <v xml:space="preserve">N711JA  </v>
      </c>
      <c r="BC3953">
        <v>1</v>
      </c>
      <c r="BE3953">
        <v>0</v>
      </c>
      <c r="BF3953">
        <v>0</v>
      </c>
      <c r="BG3953">
        <v>0</v>
      </c>
      <c r="BH3953">
        <v>2300</v>
      </c>
      <c r="BI3953">
        <v>1</v>
      </c>
      <c r="BJ3953">
        <v>1</v>
      </c>
      <c r="BK3953">
        <v>0</v>
      </c>
      <c r="BL3953">
        <v>0</v>
      </c>
      <c r="BO3953">
        <v>0</v>
      </c>
      <c r="BP3953">
        <v>0</v>
      </c>
      <c r="BW3953" t="str">
        <f t="shared" si="1828"/>
        <v>14:48:25.354</v>
      </c>
      <c r="CJ3953">
        <v>0</v>
      </c>
      <c r="CK3953">
        <v>2</v>
      </c>
      <c r="CL3953">
        <v>0</v>
      </c>
      <c r="CM3953">
        <v>2</v>
      </c>
      <c r="CN3953">
        <v>0</v>
      </c>
      <c r="CO3953">
        <v>7</v>
      </c>
      <c r="CP3953" t="s">
        <v>119</v>
      </c>
      <c r="CQ3953">
        <v>8</v>
      </c>
      <c r="CR3953">
        <v>3</v>
      </c>
      <c r="CW3953">
        <v>9096018</v>
      </c>
      <c r="CY3953">
        <v>1</v>
      </c>
      <c r="CZ3953">
        <v>0</v>
      </c>
      <c r="DA3953">
        <v>1</v>
      </c>
      <c r="DB3953">
        <v>0</v>
      </c>
      <c r="DC3953">
        <v>0</v>
      </c>
      <c r="DD3953">
        <v>1</v>
      </c>
      <c r="DE3953">
        <v>0</v>
      </c>
      <c r="DF3953">
        <v>0</v>
      </c>
      <c r="DG3953">
        <v>0</v>
      </c>
      <c r="DH3953">
        <v>0</v>
      </c>
      <c r="DI3953">
        <v>0</v>
      </c>
    </row>
    <row r="3954" spans="1:113" x14ac:dyDescent="0.3">
      <c r="A3954" t="str">
        <f t="shared" si="1825"/>
        <v>05/12/2020 14:48:07.543</v>
      </c>
      <c r="C3954" t="str">
        <f t="shared" si="1815"/>
        <v>FFDFD3C0</v>
      </c>
      <c r="D3954" t="s">
        <v>138</v>
      </c>
      <c r="E3954">
        <v>3</v>
      </c>
      <c r="H3954">
        <v>9</v>
      </c>
      <c r="I3954" t="s">
        <v>140</v>
      </c>
      <c r="J3954" t="s">
        <v>136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 t="shared" si="1826"/>
        <v>14:48:25.352</v>
      </c>
      <c r="T3954" t="str">
        <f t="shared" si="1827"/>
        <v>14:48:24.952</v>
      </c>
      <c r="U3954" t="str">
        <f t="shared" si="1806"/>
        <v>A9808D</v>
      </c>
      <c r="V3954">
        <v>0</v>
      </c>
      <c r="W3954">
        <v>0</v>
      </c>
      <c r="X3954">
        <v>1</v>
      </c>
      <c r="Z3954">
        <v>0</v>
      </c>
      <c r="AA3954">
        <v>9</v>
      </c>
      <c r="AB3954">
        <v>3</v>
      </c>
      <c r="AC3954">
        <v>0</v>
      </c>
      <c r="AD3954">
        <v>10</v>
      </c>
      <c r="AE3954">
        <v>0</v>
      </c>
      <c r="AF3954">
        <v>3</v>
      </c>
      <c r="AG3954">
        <v>2</v>
      </c>
      <c r="AH3954">
        <v>0</v>
      </c>
      <c r="AI3954" t="s">
        <v>904</v>
      </c>
      <c r="AJ3954">
        <v>28.269366999999999</v>
      </c>
      <c r="AK3954" t="s">
        <v>905</v>
      </c>
      <c r="AL3954">
        <v>-82.288842000000002</v>
      </c>
      <c r="AM3954">
        <v>100</v>
      </c>
      <c r="AN3954">
        <v>2300</v>
      </c>
      <c r="AO3954" t="s">
        <v>118</v>
      </c>
      <c r="AP3954">
        <v>-135</v>
      </c>
      <c r="AQ3954">
        <v>-46</v>
      </c>
      <c r="AR3954">
        <v>-128</v>
      </c>
      <c r="AZ3954">
        <v>1200</v>
      </c>
      <c r="BA3954">
        <v>1</v>
      </c>
      <c r="BB3954" t="str">
        <f t="shared" si="1816"/>
        <v xml:space="preserve">N711JA  </v>
      </c>
      <c r="BC3954">
        <v>1</v>
      </c>
      <c r="BE3954">
        <v>0</v>
      </c>
      <c r="BF3954">
        <v>0</v>
      </c>
      <c r="BG3954">
        <v>0</v>
      </c>
      <c r="BH3954">
        <v>2300</v>
      </c>
      <c r="BI3954">
        <v>1</v>
      </c>
      <c r="BJ3954">
        <v>1</v>
      </c>
      <c r="BK3954">
        <v>0</v>
      </c>
      <c r="BL3954">
        <v>0</v>
      </c>
      <c r="BO3954">
        <v>0</v>
      </c>
      <c r="BP3954">
        <v>0</v>
      </c>
      <c r="BW3954" t="str">
        <f t="shared" si="1828"/>
        <v>14:48:25.354</v>
      </c>
      <c r="CJ3954">
        <v>0</v>
      </c>
      <c r="CK3954">
        <v>2</v>
      </c>
      <c r="CL3954">
        <v>0</v>
      </c>
      <c r="CM3954">
        <v>2</v>
      </c>
      <c r="CN3954">
        <v>0</v>
      </c>
      <c r="CO3954">
        <v>7</v>
      </c>
      <c r="CP3954" t="s">
        <v>119</v>
      </c>
      <c r="CQ3954">
        <v>8</v>
      </c>
      <c r="CR3954">
        <v>3</v>
      </c>
      <c r="CW3954">
        <v>9096018</v>
      </c>
      <c r="CY3954">
        <v>1</v>
      </c>
      <c r="CZ3954">
        <v>0</v>
      </c>
      <c r="DA3954">
        <v>1</v>
      </c>
      <c r="DB3954">
        <v>0</v>
      </c>
      <c r="DC3954">
        <v>0</v>
      </c>
      <c r="DD3954">
        <v>1</v>
      </c>
      <c r="DE3954">
        <v>0</v>
      </c>
      <c r="DF3954">
        <v>0</v>
      </c>
      <c r="DG3954">
        <v>0</v>
      </c>
      <c r="DH3954">
        <v>0</v>
      </c>
      <c r="DI3954">
        <v>0</v>
      </c>
    </row>
    <row r="3955" spans="1:113" x14ac:dyDescent="0.3">
      <c r="A3955" t="str">
        <f t="shared" si="1825"/>
        <v>05/12/2020 14:48:07.543</v>
      </c>
      <c r="C3955" t="str">
        <f t="shared" si="1815"/>
        <v>FFDFD3C0</v>
      </c>
      <c r="D3955" t="s">
        <v>126</v>
      </c>
      <c r="E3955">
        <v>7</v>
      </c>
      <c r="F3955">
        <v>1007</v>
      </c>
      <c r="G3955" t="s">
        <v>127</v>
      </c>
      <c r="J3955" t="s">
        <v>128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 t="shared" si="1826"/>
        <v>14:48:25.352</v>
      </c>
      <c r="T3955" t="str">
        <f t="shared" si="1827"/>
        <v>14:48:24.952</v>
      </c>
      <c r="U3955" t="str">
        <f t="shared" si="1806"/>
        <v>A9808D</v>
      </c>
      <c r="V3955">
        <v>0</v>
      </c>
      <c r="W3955">
        <v>0</v>
      </c>
      <c r="X3955">
        <v>1</v>
      </c>
      <c r="Z3955">
        <v>0</v>
      </c>
      <c r="AA3955">
        <v>9</v>
      </c>
      <c r="AB3955">
        <v>3</v>
      </c>
      <c r="AC3955">
        <v>0</v>
      </c>
      <c r="AD3955">
        <v>10</v>
      </c>
      <c r="AE3955">
        <v>0</v>
      </c>
      <c r="AF3955">
        <v>3</v>
      </c>
      <c r="AG3955">
        <v>2</v>
      </c>
      <c r="AH3955">
        <v>0</v>
      </c>
      <c r="AI3955" t="s">
        <v>904</v>
      </c>
      <c r="AJ3955">
        <v>28.269366999999999</v>
      </c>
      <c r="AK3955" t="s">
        <v>905</v>
      </c>
      <c r="AL3955">
        <v>-82.288842000000002</v>
      </c>
      <c r="AM3955">
        <v>100</v>
      </c>
      <c r="AN3955">
        <v>2300</v>
      </c>
      <c r="AO3955" t="s">
        <v>118</v>
      </c>
      <c r="AP3955">
        <v>-135</v>
      </c>
      <c r="AQ3955">
        <v>-46</v>
      </c>
      <c r="AR3955">
        <v>-128</v>
      </c>
      <c r="AZ3955">
        <v>1200</v>
      </c>
      <c r="BA3955">
        <v>1</v>
      </c>
      <c r="BB3955" t="str">
        <f t="shared" si="1816"/>
        <v xml:space="preserve">N711JA  </v>
      </c>
      <c r="BC3955">
        <v>1</v>
      </c>
      <c r="BE3955">
        <v>0</v>
      </c>
      <c r="BF3955">
        <v>0</v>
      </c>
      <c r="BG3955">
        <v>0</v>
      </c>
      <c r="BH3955">
        <v>2300</v>
      </c>
      <c r="BI3955">
        <v>1</v>
      </c>
      <c r="BJ3955">
        <v>1</v>
      </c>
      <c r="BK3955">
        <v>0</v>
      </c>
      <c r="BL3955">
        <v>0</v>
      </c>
      <c r="BO3955">
        <v>0</v>
      </c>
      <c r="BP3955">
        <v>0</v>
      </c>
      <c r="BW3955" t="str">
        <f t="shared" si="1828"/>
        <v>14:48:25.354</v>
      </c>
      <c r="CJ3955">
        <v>0</v>
      </c>
      <c r="CK3955">
        <v>2</v>
      </c>
      <c r="CL3955">
        <v>0</v>
      </c>
      <c r="CM3955">
        <v>2</v>
      </c>
      <c r="CN3955">
        <v>0</v>
      </c>
      <c r="CO3955">
        <v>7</v>
      </c>
      <c r="CP3955" t="s">
        <v>119</v>
      </c>
      <c r="CQ3955">
        <v>8</v>
      </c>
      <c r="CR3955">
        <v>3</v>
      </c>
      <c r="CW3955">
        <v>9096018</v>
      </c>
      <c r="CY3955">
        <v>1</v>
      </c>
      <c r="CZ3955">
        <v>0</v>
      </c>
      <c r="DA3955">
        <v>1</v>
      </c>
      <c r="DB3955">
        <v>0</v>
      </c>
      <c r="DC3955">
        <v>0</v>
      </c>
      <c r="DD3955">
        <v>1</v>
      </c>
      <c r="DE3955">
        <v>0</v>
      </c>
      <c r="DF3955">
        <v>0</v>
      </c>
      <c r="DG3955">
        <v>0</v>
      </c>
      <c r="DH3955">
        <v>0</v>
      </c>
      <c r="DI3955">
        <v>0</v>
      </c>
    </row>
    <row r="3956" spans="1:113" x14ac:dyDescent="0.3">
      <c r="A3956" t="str">
        <f t="shared" si="1825"/>
        <v>05/12/2020 14:48:07.543</v>
      </c>
      <c r="C3956" t="str">
        <f t="shared" si="1815"/>
        <v>FFDFD3C0</v>
      </c>
      <c r="D3956" t="s">
        <v>131</v>
      </c>
      <c r="E3956">
        <v>10</v>
      </c>
      <c r="F3956">
        <v>2010</v>
      </c>
      <c r="G3956" t="s">
        <v>132</v>
      </c>
      <c r="J3956" t="s">
        <v>133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 t="shared" si="1826"/>
        <v>14:48:25.352</v>
      </c>
      <c r="T3956" t="str">
        <f t="shared" si="1827"/>
        <v>14:48:24.952</v>
      </c>
      <c r="U3956" t="str">
        <f t="shared" si="1806"/>
        <v>A9808D</v>
      </c>
      <c r="V3956">
        <v>0</v>
      </c>
      <c r="W3956">
        <v>0</v>
      </c>
      <c r="X3956">
        <v>1</v>
      </c>
      <c r="Z3956">
        <v>0</v>
      </c>
      <c r="AA3956">
        <v>9</v>
      </c>
      <c r="AB3956">
        <v>3</v>
      </c>
      <c r="AC3956">
        <v>0</v>
      </c>
      <c r="AD3956">
        <v>10</v>
      </c>
      <c r="AE3956">
        <v>0</v>
      </c>
      <c r="AF3956">
        <v>3</v>
      </c>
      <c r="AG3956">
        <v>2</v>
      </c>
      <c r="AH3956">
        <v>0</v>
      </c>
      <c r="AI3956" t="s">
        <v>904</v>
      </c>
      <c r="AJ3956">
        <v>28.269366999999999</v>
      </c>
      <c r="AK3956" t="s">
        <v>905</v>
      </c>
      <c r="AL3956">
        <v>-82.288842000000002</v>
      </c>
      <c r="AM3956">
        <v>100</v>
      </c>
      <c r="AN3956">
        <v>2300</v>
      </c>
      <c r="AO3956" t="s">
        <v>118</v>
      </c>
      <c r="AP3956">
        <v>-135</v>
      </c>
      <c r="AQ3956">
        <v>-46</v>
      </c>
      <c r="AR3956">
        <v>-128</v>
      </c>
      <c r="AZ3956">
        <v>1200</v>
      </c>
      <c r="BA3956">
        <v>1</v>
      </c>
      <c r="BB3956" t="str">
        <f t="shared" si="1816"/>
        <v xml:space="preserve">N711JA  </v>
      </c>
      <c r="BC3956">
        <v>1</v>
      </c>
      <c r="BE3956">
        <v>0</v>
      </c>
      <c r="BF3956">
        <v>0</v>
      </c>
      <c r="BG3956">
        <v>0</v>
      </c>
      <c r="BH3956">
        <v>2300</v>
      </c>
      <c r="BI3956">
        <v>1</v>
      </c>
      <c r="BJ3956">
        <v>1</v>
      </c>
      <c r="BK3956">
        <v>0</v>
      </c>
      <c r="BL3956">
        <v>0</v>
      </c>
      <c r="BO3956">
        <v>0</v>
      </c>
      <c r="BP3956">
        <v>0</v>
      </c>
      <c r="BW3956" t="str">
        <f t="shared" si="1828"/>
        <v>14:48:25.354</v>
      </c>
      <c r="CJ3956">
        <v>0</v>
      </c>
      <c r="CK3956">
        <v>2</v>
      </c>
      <c r="CL3956">
        <v>0</v>
      </c>
      <c r="CM3956">
        <v>2</v>
      </c>
      <c r="CN3956">
        <v>0</v>
      </c>
      <c r="CO3956">
        <v>7</v>
      </c>
      <c r="CP3956" t="s">
        <v>119</v>
      </c>
      <c r="CQ3956">
        <v>8</v>
      </c>
      <c r="CR3956">
        <v>3</v>
      </c>
      <c r="CW3956">
        <v>9096018</v>
      </c>
      <c r="CY3956">
        <v>1</v>
      </c>
      <c r="CZ3956">
        <v>0</v>
      </c>
      <c r="DA3956">
        <v>1</v>
      </c>
      <c r="DB3956">
        <v>0</v>
      </c>
      <c r="DC3956">
        <v>0</v>
      </c>
      <c r="DD3956">
        <v>1</v>
      </c>
      <c r="DE3956">
        <v>0</v>
      </c>
      <c r="DF3956">
        <v>0</v>
      </c>
      <c r="DG3956">
        <v>0</v>
      </c>
      <c r="DH3956">
        <v>0</v>
      </c>
      <c r="DI3956">
        <v>0</v>
      </c>
    </row>
    <row r="3957" spans="1:113" x14ac:dyDescent="0.3">
      <c r="A3957" t="str">
        <f t="shared" si="1825"/>
        <v>05/12/2020 14:48:07.543</v>
      </c>
      <c r="C3957" t="str">
        <f t="shared" si="1815"/>
        <v>FFDFD3C0</v>
      </c>
      <c r="D3957" t="s">
        <v>131</v>
      </c>
      <c r="E3957">
        <v>12</v>
      </c>
      <c r="F3957">
        <v>2012</v>
      </c>
      <c r="G3957" t="s">
        <v>137</v>
      </c>
      <c r="J3957" t="s">
        <v>133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 t="shared" si="1826"/>
        <v>14:48:25.352</v>
      </c>
      <c r="T3957" t="str">
        <f t="shared" si="1827"/>
        <v>14:48:24.952</v>
      </c>
      <c r="U3957" t="str">
        <f t="shared" si="1806"/>
        <v>A9808D</v>
      </c>
      <c r="V3957">
        <v>0</v>
      </c>
      <c r="W3957">
        <v>0</v>
      </c>
      <c r="X3957">
        <v>1</v>
      </c>
      <c r="Z3957">
        <v>0</v>
      </c>
      <c r="AA3957">
        <v>9</v>
      </c>
      <c r="AB3957">
        <v>3</v>
      </c>
      <c r="AC3957">
        <v>0</v>
      </c>
      <c r="AD3957">
        <v>10</v>
      </c>
      <c r="AE3957">
        <v>0</v>
      </c>
      <c r="AF3957">
        <v>3</v>
      </c>
      <c r="AG3957">
        <v>2</v>
      </c>
      <c r="AH3957">
        <v>0</v>
      </c>
      <c r="AI3957" t="s">
        <v>904</v>
      </c>
      <c r="AJ3957">
        <v>28.269366999999999</v>
      </c>
      <c r="AK3957" t="s">
        <v>905</v>
      </c>
      <c r="AL3957">
        <v>-82.288842000000002</v>
      </c>
      <c r="AM3957">
        <v>100</v>
      </c>
      <c r="AN3957">
        <v>2300</v>
      </c>
      <c r="AO3957" t="s">
        <v>118</v>
      </c>
      <c r="AP3957">
        <v>-135</v>
      </c>
      <c r="AQ3957">
        <v>-46</v>
      </c>
      <c r="AR3957">
        <v>-128</v>
      </c>
      <c r="AZ3957">
        <v>1200</v>
      </c>
      <c r="BA3957">
        <v>1</v>
      </c>
      <c r="BB3957" t="str">
        <f t="shared" si="1816"/>
        <v xml:space="preserve">N711JA  </v>
      </c>
      <c r="BC3957">
        <v>1</v>
      </c>
      <c r="BE3957">
        <v>0</v>
      </c>
      <c r="BF3957">
        <v>0</v>
      </c>
      <c r="BG3957">
        <v>0</v>
      </c>
      <c r="BH3957">
        <v>2300</v>
      </c>
      <c r="BI3957">
        <v>1</v>
      </c>
      <c r="BJ3957">
        <v>1</v>
      </c>
      <c r="BK3957">
        <v>0</v>
      </c>
      <c r="BL3957">
        <v>0</v>
      </c>
      <c r="BO3957">
        <v>0</v>
      </c>
      <c r="BP3957">
        <v>0</v>
      </c>
      <c r="BW3957" t="str">
        <f t="shared" si="1828"/>
        <v>14:48:25.354</v>
      </c>
      <c r="CJ3957">
        <v>0</v>
      </c>
      <c r="CK3957">
        <v>2</v>
      </c>
      <c r="CL3957">
        <v>0</v>
      </c>
      <c r="CM3957">
        <v>2</v>
      </c>
      <c r="CN3957">
        <v>0</v>
      </c>
      <c r="CO3957">
        <v>7</v>
      </c>
      <c r="CP3957" t="s">
        <v>119</v>
      </c>
      <c r="CQ3957">
        <v>8</v>
      </c>
      <c r="CR3957">
        <v>3</v>
      </c>
      <c r="CW3957">
        <v>9096018</v>
      </c>
      <c r="CY3957">
        <v>1</v>
      </c>
      <c r="CZ3957">
        <v>0</v>
      </c>
      <c r="DA3957">
        <v>1</v>
      </c>
      <c r="DB3957">
        <v>0</v>
      </c>
      <c r="DC3957">
        <v>0</v>
      </c>
      <c r="DD3957">
        <v>1</v>
      </c>
      <c r="DE3957">
        <v>0</v>
      </c>
      <c r="DF3957">
        <v>0</v>
      </c>
      <c r="DG3957">
        <v>0</v>
      </c>
      <c r="DH3957">
        <v>0</v>
      </c>
      <c r="DI3957">
        <v>0</v>
      </c>
    </row>
    <row r="3958" spans="1:113" x14ac:dyDescent="0.3">
      <c r="A3958" t="str">
        <f t="shared" si="1825"/>
        <v>05/12/2020 14:48:07.543</v>
      </c>
      <c r="C3958" t="str">
        <f t="shared" si="1815"/>
        <v>FFDFD3C0</v>
      </c>
      <c r="D3958" t="s">
        <v>131</v>
      </c>
      <c r="E3958">
        <v>18</v>
      </c>
      <c r="F3958">
        <v>2018</v>
      </c>
      <c r="G3958" t="s">
        <v>161</v>
      </c>
      <c r="J3958" t="s">
        <v>133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 t="shared" si="1826"/>
        <v>14:48:25.352</v>
      </c>
      <c r="T3958" t="str">
        <f>"14:48:24.352"</f>
        <v>14:48:24.352</v>
      </c>
      <c r="U3958" t="str">
        <f t="shared" si="1806"/>
        <v>A9808D</v>
      </c>
      <c r="V3958">
        <v>0</v>
      </c>
      <c r="W3958">
        <v>0</v>
      </c>
      <c r="X3958">
        <v>1</v>
      </c>
      <c r="Z3958">
        <v>0</v>
      </c>
      <c r="AA3958">
        <v>9</v>
      </c>
      <c r="AB3958">
        <v>3</v>
      </c>
      <c r="AC3958">
        <v>0</v>
      </c>
      <c r="AD3958">
        <v>10</v>
      </c>
      <c r="AE3958">
        <v>0</v>
      </c>
      <c r="AF3958">
        <v>3</v>
      </c>
      <c r="AG3958">
        <v>2</v>
      </c>
      <c r="AH3958">
        <v>0</v>
      </c>
      <c r="AI3958" t="s">
        <v>904</v>
      </c>
      <c r="AJ3958">
        <v>28.269366999999999</v>
      </c>
      <c r="AK3958" t="s">
        <v>905</v>
      </c>
      <c r="AL3958">
        <v>-82.288842000000002</v>
      </c>
      <c r="AM3958">
        <v>100</v>
      </c>
      <c r="AN3958">
        <v>2300</v>
      </c>
      <c r="AO3958" t="s">
        <v>118</v>
      </c>
      <c r="AP3958">
        <v>-135</v>
      </c>
      <c r="AQ3958">
        <v>-45</v>
      </c>
      <c r="AR3958">
        <v>-64</v>
      </c>
      <c r="AZ3958">
        <v>1200</v>
      </c>
      <c r="BA3958">
        <v>1</v>
      </c>
      <c r="BB3958" t="str">
        <f t="shared" si="1816"/>
        <v xml:space="preserve">N711JA  </v>
      </c>
      <c r="BC3958">
        <v>1</v>
      </c>
      <c r="BE3958">
        <v>0</v>
      </c>
      <c r="BF3958">
        <v>0</v>
      </c>
      <c r="BG3958">
        <v>0</v>
      </c>
      <c r="BH3958">
        <v>2300</v>
      </c>
      <c r="BI3958">
        <v>1</v>
      </c>
      <c r="BJ3958">
        <v>1</v>
      </c>
      <c r="BK3958">
        <v>0</v>
      </c>
      <c r="BL3958">
        <v>0</v>
      </c>
      <c r="BO3958">
        <v>0</v>
      </c>
      <c r="BP3958">
        <v>0</v>
      </c>
      <c r="BW3958" t="str">
        <f>"14:48:25.355"</f>
        <v>14:48:25.355</v>
      </c>
      <c r="CJ3958">
        <v>0</v>
      </c>
      <c r="CK3958">
        <v>2</v>
      </c>
      <c r="CL3958">
        <v>0</v>
      </c>
      <c r="CM3958">
        <v>2</v>
      </c>
      <c r="CN3958">
        <v>0</v>
      </c>
      <c r="CO3958">
        <v>5</v>
      </c>
      <c r="CP3958" t="s">
        <v>119</v>
      </c>
      <c r="CQ3958">
        <v>62</v>
      </c>
      <c r="CR3958">
        <v>1</v>
      </c>
      <c r="CW3958">
        <v>12986949</v>
      </c>
      <c r="CY3958">
        <v>1</v>
      </c>
      <c r="CZ3958">
        <v>0</v>
      </c>
      <c r="DA3958">
        <v>1</v>
      </c>
      <c r="DB3958">
        <v>0</v>
      </c>
      <c r="DC3958">
        <v>0</v>
      </c>
      <c r="DD3958">
        <v>1</v>
      </c>
      <c r="DE3958">
        <v>0</v>
      </c>
      <c r="DF3958">
        <v>0</v>
      </c>
      <c r="DG3958">
        <v>0</v>
      </c>
      <c r="DH3958">
        <v>0</v>
      </c>
      <c r="DI3958">
        <v>0</v>
      </c>
    </row>
    <row r="3959" spans="1:113" x14ac:dyDescent="0.3">
      <c r="A3959" t="str">
        <f t="shared" ref="A3959:A3967" si="1829">"05/12/2020 14:48:08.608"</f>
        <v>05/12/2020 14:48:08.608</v>
      </c>
      <c r="C3959" t="str">
        <f t="shared" si="1815"/>
        <v>FFDFD3C0</v>
      </c>
      <c r="D3959" t="s">
        <v>134</v>
      </c>
      <c r="E3959">
        <v>12</v>
      </c>
      <c r="H3959">
        <v>64</v>
      </c>
      <c r="I3959" t="s">
        <v>135</v>
      </c>
      <c r="J3959" t="s">
        <v>136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 t="shared" ref="S3959:S3967" si="1830">"14:48:26.445"</f>
        <v>14:48:26.445</v>
      </c>
      <c r="T3959" t="str">
        <f t="shared" ref="T3959:T3964" si="1831">"14:48:26.345"</f>
        <v>14:48:26.345</v>
      </c>
      <c r="U3959" t="str">
        <f t="shared" si="1806"/>
        <v>A9808D</v>
      </c>
      <c r="V3959">
        <v>0</v>
      </c>
      <c r="W3959">
        <v>0</v>
      </c>
      <c r="X3959">
        <v>1</v>
      </c>
      <c r="Z3959">
        <v>0</v>
      </c>
      <c r="AA3959">
        <v>9</v>
      </c>
      <c r="AB3959">
        <v>3</v>
      </c>
      <c r="AC3959">
        <v>0</v>
      </c>
      <c r="AD3959">
        <v>10</v>
      </c>
      <c r="AE3959">
        <v>0</v>
      </c>
      <c r="AF3959">
        <v>3</v>
      </c>
      <c r="AG3959">
        <v>2</v>
      </c>
      <c r="AH3959">
        <v>0</v>
      </c>
      <c r="AI3959" t="s">
        <v>906</v>
      </c>
      <c r="AJ3959">
        <v>28.269110000000001</v>
      </c>
      <c r="AK3959" t="s">
        <v>907</v>
      </c>
      <c r="AL3959">
        <v>-82.289614999999998</v>
      </c>
      <c r="AM3959">
        <v>100</v>
      </c>
      <c r="AN3959">
        <v>2300</v>
      </c>
      <c r="AO3959" t="s">
        <v>118</v>
      </c>
      <c r="AP3959">
        <v>-134</v>
      </c>
      <c r="AQ3959">
        <v>-50</v>
      </c>
      <c r="AR3959">
        <v>-64</v>
      </c>
      <c r="AZ3959">
        <v>1200</v>
      </c>
      <c r="BA3959">
        <v>1</v>
      </c>
      <c r="BB3959" t="str">
        <f t="shared" si="1816"/>
        <v xml:space="preserve">N711JA  </v>
      </c>
      <c r="BC3959">
        <v>1</v>
      </c>
      <c r="BE3959">
        <v>0</v>
      </c>
      <c r="BF3959">
        <v>0</v>
      </c>
      <c r="BG3959">
        <v>0</v>
      </c>
      <c r="BH3959">
        <v>2300</v>
      </c>
      <c r="BI3959">
        <v>1</v>
      </c>
      <c r="BJ3959">
        <v>1</v>
      </c>
      <c r="BK3959">
        <v>0</v>
      </c>
      <c r="BL3959">
        <v>0</v>
      </c>
      <c r="BO3959">
        <v>0</v>
      </c>
      <c r="BP3959">
        <v>0</v>
      </c>
      <c r="BW3959" t="str">
        <f t="shared" ref="BW3959:BW3967" si="1832">"14:48:26.452"</f>
        <v>14:48:26.452</v>
      </c>
      <c r="CJ3959">
        <v>0</v>
      </c>
      <c r="CK3959">
        <v>2</v>
      </c>
      <c r="CL3959">
        <v>0</v>
      </c>
      <c r="CM3959">
        <v>2</v>
      </c>
      <c r="CN3959">
        <v>0</v>
      </c>
      <c r="CO3959">
        <v>7</v>
      </c>
      <c r="CP3959" t="s">
        <v>119</v>
      </c>
      <c r="CQ3959">
        <v>8</v>
      </c>
      <c r="CR3959">
        <v>3</v>
      </c>
      <c r="CW3959">
        <v>9097178</v>
      </c>
      <c r="CY3959">
        <v>1</v>
      </c>
      <c r="CZ3959">
        <v>0</v>
      </c>
      <c r="DA3959">
        <v>0</v>
      </c>
      <c r="DB3959">
        <v>0</v>
      </c>
      <c r="DC3959">
        <v>0</v>
      </c>
      <c r="DD3959">
        <v>1</v>
      </c>
      <c r="DE3959">
        <v>0</v>
      </c>
      <c r="DF3959">
        <v>0</v>
      </c>
      <c r="DG3959">
        <v>0</v>
      </c>
      <c r="DH3959">
        <v>0</v>
      </c>
      <c r="DI3959">
        <v>0</v>
      </c>
    </row>
    <row r="3960" spans="1:113" x14ac:dyDescent="0.3">
      <c r="A3960" t="str">
        <f t="shared" si="1829"/>
        <v>05/12/2020 14:48:08.608</v>
      </c>
      <c r="C3960" t="str">
        <f t="shared" si="1815"/>
        <v>FFDFD3C0</v>
      </c>
      <c r="D3960" t="s">
        <v>113</v>
      </c>
      <c r="E3960">
        <v>3</v>
      </c>
      <c r="H3960">
        <v>164</v>
      </c>
      <c r="I3960" t="s">
        <v>114</v>
      </c>
      <c r="J3960" t="s">
        <v>115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 t="shared" si="1830"/>
        <v>14:48:26.445</v>
      </c>
      <c r="T3960" t="str">
        <f t="shared" si="1831"/>
        <v>14:48:26.345</v>
      </c>
      <c r="U3960" t="str">
        <f t="shared" si="1806"/>
        <v>A9808D</v>
      </c>
      <c r="V3960">
        <v>0</v>
      </c>
      <c r="W3960">
        <v>0</v>
      </c>
      <c r="X3960">
        <v>1</v>
      </c>
      <c r="Z3960">
        <v>0</v>
      </c>
      <c r="AA3960">
        <v>9</v>
      </c>
      <c r="AB3960">
        <v>3</v>
      </c>
      <c r="AC3960">
        <v>0</v>
      </c>
      <c r="AD3960">
        <v>10</v>
      </c>
      <c r="AE3960">
        <v>0</v>
      </c>
      <c r="AF3960">
        <v>3</v>
      </c>
      <c r="AG3960">
        <v>2</v>
      </c>
      <c r="AH3960">
        <v>0</v>
      </c>
      <c r="AI3960" t="s">
        <v>906</v>
      </c>
      <c r="AJ3960">
        <v>28.269110000000001</v>
      </c>
      <c r="AK3960" t="s">
        <v>907</v>
      </c>
      <c r="AL3960">
        <v>-82.289614999999998</v>
      </c>
      <c r="AM3960">
        <v>100</v>
      </c>
      <c r="AN3960">
        <v>2300</v>
      </c>
      <c r="AO3960" t="s">
        <v>118</v>
      </c>
      <c r="AP3960">
        <v>-134</v>
      </c>
      <c r="AQ3960">
        <v>-50</v>
      </c>
      <c r="AR3960">
        <v>-64</v>
      </c>
      <c r="AZ3960">
        <v>1200</v>
      </c>
      <c r="BA3960">
        <v>1</v>
      </c>
      <c r="BB3960" t="str">
        <f t="shared" si="1816"/>
        <v xml:space="preserve">N711JA  </v>
      </c>
      <c r="BC3960">
        <v>1</v>
      </c>
      <c r="BE3960">
        <v>0</v>
      </c>
      <c r="BF3960">
        <v>0</v>
      </c>
      <c r="BG3960">
        <v>0</v>
      </c>
      <c r="BH3960">
        <v>2300</v>
      </c>
      <c r="BI3960">
        <v>1</v>
      </c>
      <c r="BJ3960">
        <v>1</v>
      </c>
      <c r="BK3960">
        <v>0</v>
      </c>
      <c r="BL3960">
        <v>0</v>
      </c>
      <c r="BO3960">
        <v>0</v>
      </c>
      <c r="BP3960">
        <v>0</v>
      </c>
      <c r="BW3960" t="str">
        <f t="shared" si="1832"/>
        <v>14:48:26.452</v>
      </c>
      <c r="CJ3960">
        <v>0</v>
      </c>
      <c r="CK3960">
        <v>2</v>
      </c>
      <c r="CL3960">
        <v>0</v>
      </c>
      <c r="CM3960">
        <v>2</v>
      </c>
      <c r="CN3960">
        <v>0</v>
      </c>
      <c r="CO3960">
        <v>7</v>
      </c>
      <c r="CP3960" t="s">
        <v>119</v>
      </c>
      <c r="CQ3960">
        <v>8</v>
      </c>
      <c r="CR3960">
        <v>3</v>
      </c>
      <c r="CW3960">
        <v>9097178</v>
      </c>
      <c r="CY3960">
        <v>1</v>
      </c>
      <c r="CZ3960">
        <v>0</v>
      </c>
      <c r="DA3960">
        <v>1</v>
      </c>
      <c r="DB3960">
        <v>0</v>
      </c>
      <c r="DC3960">
        <v>0</v>
      </c>
      <c r="DD3960">
        <v>1</v>
      </c>
      <c r="DE3960">
        <v>0</v>
      </c>
      <c r="DF3960">
        <v>0</v>
      </c>
      <c r="DG3960">
        <v>0</v>
      </c>
      <c r="DH3960">
        <v>0</v>
      </c>
      <c r="DI3960">
        <v>0</v>
      </c>
    </row>
    <row r="3961" spans="1:113" x14ac:dyDescent="0.3">
      <c r="A3961" t="str">
        <f t="shared" si="1829"/>
        <v>05/12/2020 14:48:08.608</v>
      </c>
      <c r="C3961" t="str">
        <f t="shared" si="1815"/>
        <v>FFDFD3C0</v>
      </c>
      <c r="D3961" t="s">
        <v>126</v>
      </c>
      <c r="E3961">
        <v>7</v>
      </c>
      <c r="F3961">
        <v>1007</v>
      </c>
      <c r="G3961" t="s">
        <v>127</v>
      </c>
      <c r="J3961" t="s">
        <v>128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 t="shared" si="1830"/>
        <v>14:48:26.445</v>
      </c>
      <c r="T3961" t="str">
        <f t="shared" si="1831"/>
        <v>14:48:26.345</v>
      </c>
      <c r="U3961" t="str">
        <f t="shared" si="1806"/>
        <v>A9808D</v>
      </c>
      <c r="V3961">
        <v>0</v>
      </c>
      <c r="W3961">
        <v>0</v>
      </c>
      <c r="X3961">
        <v>1</v>
      </c>
      <c r="Z3961">
        <v>0</v>
      </c>
      <c r="AA3961">
        <v>9</v>
      </c>
      <c r="AB3961">
        <v>3</v>
      </c>
      <c r="AC3961">
        <v>0</v>
      </c>
      <c r="AD3961">
        <v>10</v>
      </c>
      <c r="AE3961">
        <v>0</v>
      </c>
      <c r="AF3961">
        <v>3</v>
      </c>
      <c r="AG3961">
        <v>2</v>
      </c>
      <c r="AH3961">
        <v>0</v>
      </c>
      <c r="AI3961" t="s">
        <v>906</v>
      </c>
      <c r="AJ3961">
        <v>28.269110000000001</v>
      </c>
      <c r="AK3961" t="s">
        <v>907</v>
      </c>
      <c r="AL3961">
        <v>-82.289614999999998</v>
      </c>
      <c r="AM3961">
        <v>100</v>
      </c>
      <c r="AN3961">
        <v>2300</v>
      </c>
      <c r="AO3961" t="s">
        <v>118</v>
      </c>
      <c r="AP3961">
        <v>-134</v>
      </c>
      <c r="AQ3961">
        <v>-50</v>
      </c>
      <c r="AR3961">
        <v>-64</v>
      </c>
      <c r="AZ3961">
        <v>1200</v>
      </c>
      <c r="BA3961">
        <v>1</v>
      </c>
      <c r="BB3961" t="str">
        <f t="shared" si="1816"/>
        <v xml:space="preserve">N711JA  </v>
      </c>
      <c r="BC3961">
        <v>1</v>
      </c>
      <c r="BE3961">
        <v>0</v>
      </c>
      <c r="BF3961">
        <v>0</v>
      </c>
      <c r="BG3961">
        <v>0</v>
      </c>
      <c r="BH3961">
        <v>2300</v>
      </c>
      <c r="BI3961">
        <v>1</v>
      </c>
      <c r="BJ3961">
        <v>1</v>
      </c>
      <c r="BK3961">
        <v>0</v>
      </c>
      <c r="BL3961">
        <v>0</v>
      </c>
      <c r="BO3961">
        <v>0</v>
      </c>
      <c r="BP3961">
        <v>0</v>
      </c>
      <c r="BW3961" t="str">
        <f t="shared" si="1832"/>
        <v>14:48:26.452</v>
      </c>
      <c r="CJ3961">
        <v>0</v>
      </c>
      <c r="CK3961">
        <v>2</v>
      </c>
      <c r="CL3961">
        <v>0</v>
      </c>
      <c r="CM3961">
        <v>2</v>
      </c>
      <c r="CN3961">
        <v>0</v>
      </c>
      <c r="CO3961">
        <v>7</v>
      </c>
      <c r="CP3961" t="s">
        <v>119</v>
      </c>
      <c r="CQ3961">
        <v>8</v>
      </c>
      <c r="CR3961">
        <v>3</v>
      </c>
      <c r="CW3961">
        <v>9097178</v>
      </c>
      <c r="CY3961">
        <v>1</v>
      </c>
      <c r="CZ3961">
        <v>0</v>
      </c>
      <c r="DA3961">
        <v>1</v>
      </c>
      <c r="DB3961">
        <v>0</v>
      </c>
      <c r="DC3961">
        <v>0</v>
      </c>
      <c r="DD3961">
        <v>1</v>
      </c>
      <c r="DE3961">
        <v>0</v>
      </c>
      <c r="DF3961">
        <v>0</v>
      </c>
      <c r="DG3961">
        <v>0</v>
      </c>
      <c r="DH3961">
        <v>0</v>
      </c>
      <c r="DI3961">
        <v>0</v>
      </c>
    </row>
    <row r="3962" spans="1:113" x14ac:dyDescent="0.3">
      <c r="A3962" t="str">
        <f t="shared" si="1829"/>
        <v>05/12/2020 14:48:08.608</v>
      </c>
      <c r="C3962" t="str">
        <f t="shared" si="1815"/>
        <v>FFDFD3C0</v>
      </c>
      <c r="D3962" t="s">
        <v>131</v>
      </c>
      <c r="E3962">
        <v>10</v>
      </c>
      <c r="F3962">
        <v>2010</v>
      </c>
      <c r="G3962" t="s">
        <v>132</v>
      </c>
      <c r="J3962" t="s">
        <v>133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 t="shared" si="1830"/>
        <v>14:48:26.445</v>
      </c>
      <c r="T3962" t="str">
        <f t="shared" si="1831"/>
        <v>14:48:26.345</v>
      </c>
      <c r="U3962" t="str">
        <f t="shared" si="1806"/>
        <v>A9808D</v>
      </c>
      <c r="V3962">
        <v>0</v>
      </c>
      <c r="W3962">
        <v>0</v>
      </c>
      <c r="X3962">
        <v>1</v>
      </c>
      <c r="Z3962">
        <v>0</v>
      </c>
      <c r="AA3962">
        <v>9</v>
      </c>
      <c r="AB3962">
        <v>3</v>
      </c>
      <c r="AC3962">
        <v>0</v>
      </c>
      <c r="AD3962">
        <v>10</v>
      </c>
      <c r="AE3962">
        <v>0</v>
      </c>
      <c r="AF3962">
        <v>3</v>
      </c>
      <c r="AG3962">
        <v>2</v>
      </c>
      <c r="AH3962">
        <v>0</v>
      </c>
      <c r="AI3962" t="s">
        <v>906</v>
      </c>
      <c r="AJ3962">
        <v>28.269110000000001</v>
      </c>
      <c r="AK3962" t="s">
        <v>907</v>
      </c>
      <c r="AL3962">
        <v>-82.289614999999998</v>
      </c>
      <c r="AM3962">
        <v>100</v>
      </c>
      <c r="AN3962">
        <v>2300</v>
      </c>
      <c r="AO3962" t="s">
        <v>118</v>
      </c>
      <c r="AP3962">
        <v>-134</v>
      </c>
      <c r="AQ3962">
        <v>-50</v>
      </c>
      <c r="AR3962">
        <v>-64</v>
      </c>
      <c r="AZ3962">
        <v>1200</v>
      </c>
      <c r="BA3962">
        <v>1</v>
      </c>
      <c r="BB3962" t="str">
        <f t="shared" si="1816"/>
        <v xml:space="preserve">N711JA  </v>
      </c>
      <c r="BC3962">
        <v>1</v>
      </c>
      <c r="BE3962">
        <v>0</v>
      </c>
      <c r="BF3962">
        <v>0</v>
      </c>
      <c r="BG3962">
        <v>0</v>
      </c>
      <c r="BH3962">
        <v>2300</v>
      </c>
      <c r="BI3962">
        <v>1</v>
      </c>
      <c r="BJ3962">
        <v>1</v>
      </c>
      <c r="BK3962">
        <v>0</v>
      </c>
      <c r="BL3962">
        <v>0</v>
      </c>
      <c r="BO3962">
        <v>0</v>
      </c>
      <c r="BP3962">
        <v>0</v>
      </c>
      <c r="BW3962" t="str">
        <f t="shared" si="1832"/>
        <v>14:48:26.452</v>
      </c>
      <c r="CJ3962">
        <v>0</v>
      </c>
      <c r="CK3962">
        <v>2</v>
      </c>
      <c r="CL3962">
        <v>0</v>
      </c>
      <c r="CM3962">
        <v>2</v>
      </c>
      <c r="CN3962">
        <v>0</v>
      </c>
      <c r="CO3962">
        <v>7</v>
      </c>
      <c r="CP3962" t="s">
        <v>119</v>
      </c>
      <c r="CQ3962">
        <v>8</v>
      </c>
      <c r="CR3962">
        <v>3</v>
      </c>
      <c r="CW3962">
        <v>9097178</v>
      </c>
      <c r="CY3962">
        <v>1</v>
      </c>
      <c r="CZ3962">
        <v>0</v>
      </c>
      <c r="DA3962">
        <v>1</v>
      </c>
      <c r="DB3962">
        <v>0</v>
      </c>
      <c r="DC3962">
        <v>0</v>
      </c>
      <c r="DD3962">
        <v>1</v>
      </c>
      <c r="DE3962">
        <v>0</v>
      </c>
      <c r="DF3962">
        <v>0</v>
      </c>
      <c r="DG3962">
        <v>0</v>
      </c>
      <c r="DH3962">
        <v>0</v>
      </c>
      <c r="DI3962">
        <v>0</v>
      </c>
    </row>
    <row r="3963" spans="1:113" x14ac:dyDescent="0.3">
      <c r="A3963" t="str">
        <f t="shared" si="1829"/>
        <v>05/12/2020 14:48:08.608</v>
      </c>
      <c r="C3963" t="str">
        <f t="shared" si="1815"/>
        <v>FFDFD3C0</v>
      </c>
      <c r="D3963" t="s">
        <v>131</v>
      </c>
      <c r="E3963">
        <v>12</v>
      </c>
      <c r="F3963">
        <v>2012</v>
      </c>
      <c r="G3963" t="s">
        <v>137</v>
      </c>
      <c r="J3963" t="s">
        <v>133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 t="shared" si="1830"/>
        <v>14:48:26.445</v>
      </c>
      <c r="T3963" t="str">
        <f t="shared" si="1831"/>
        <v>14:48:26.345</v>
      </c>
      <c r="U3963" t="str">
        <f t="shared" si="1806"/>
        <v>A9808D</v>
      </c>
      <c r="V3963">
        <v>0</v>
      </c>
      <c r="W3963">
        <v>0</v>
      </c>
      <c r="X3963">
        <v>1</v>
      </c>
      <c r="Z3963">
        <v>0</v>
      </c>
      <c r="AA3963">
        <v>9</v>
      </c>
      <c r="AB3963">
        <v>3</v>
      </c>
      <c r="AC3963">
        <v>0</v>
      </c>
      <c r="AD3963">
        <v>10</v>
      </c>
      <c r="AE3963">
        <v>0</v>
      </c>
      <c r="AF3963">
        <v>3</v>
      </c>
      <c r="AG3963">
        <v>2</v>
      </c>
      <c r="AH3963">
        <v>0</v>
      </c>
      <c r="AI3963" t="s">
        <v>906</v>
      </c>
      <c r="AJ3963">
        <v>28.269110000000001</v>
      </c>
      <c r="AK3963" t="s">
        <v>907</v>
      </c>
      <c r="AL3963">
        <v>-82.289614999999998</v>
      </c>
      <c r="AM3963">
        <v>100</v>
      </c>
      <c r="AN3963">
        <v>2300</v>
      </c>
      <c r="AO3963" t="s">
        <v>118</v>
      </c>
      <c r="AP3963">
        <v>-134</v>
      </c>
      <c r="AQ3963">
        <v>-50</v>
      </c>
      <c r="AR3963">
        <v>-64</v>
      </c>
      <c r="AZ3963">
        <v>1200</v>
      </c>
      <c r="BA3963">
        <v>1</v>
      </c>
      <c r="BB3963" t="str">
        <f t="shared" si="1816"/>
        <v xml:space="preserve">N711JA  </v>
      </c>
      <c r="BC3963">
        <v>1</v>
      </c>
      <c r="BE3963">
        <v>0</v>
      </c>
      <c r="BF3963">
        <v>0</v>
      </c>
      <c r="BG3963">
        <v>0</v>
      </c>
      <c r="BH3963">
        <v>2300</v>
      </c>
      <c r="BI3963">
        <v>1</v>
      </c>
      <c r="BJ3963">
        <v>1</v>
      </c>
      <c r="BK3963">
        <v>0</v>
      </c>
      <c r="BL3963">
        <v>0</v>
      </c>
      <c r="BO3963">
        <v>0</v>
      </c>
      <c r="BP3963">
        <v>0</v>
      </c>
      <c r="BW3963" t="str">
        <f t="shared" si="1832"/>
        <v>14:48:26.452</v>
      </c>
      <c r="CJ3963">
        <v>0</v>
      </c>
      <c r="CK3963">
        <v>2</v>
      </c>
      <c r="CL3963">
        <v>0</v>
      </c>
      <c r="CM3963">
        <v>2</v>
      </c>
      <c r="CN3963">
        <v>0</v>
      </c>
      <c r="CO3963">
        <v>7</v>
      </c>
      <c r="CP3963" t="s">
        <v>119</v>
      </c>
      <c r="CQ3963">
        <v>8</v>
      </c>
      <c r="CR3963">
        <v>3</v>
      </c>
      <c r="CW3963">
        <v>9097178</v>
      </c>
      <c r="CY3963">
        <v>1</v>
      </c>
      <c r="CZ3963">
        <v>0</v>
      </c>
      <c r="DA3963">
        <v>1</v>
      </c>
      <c r="DB3963">
        <v>0</v>
      </c>
      <c r="DC3963">
        <v>0</v>
      </c>
      <c r="DD3963">
        <v>1</v>
      </c>
      <c r="DE3963">
        <v>0</v>
      </c>
      <c r="DF3963">
        <v>0</v>
      </c>
      <c r="DG3963">
        <v>0</v>
      </c>
      <c r="DH3963">
        <v>0</v>
      </c>
      <c r="DI3963">
        <v>0</v>
      </c>
    </row>
    <row r="3964" spans="1:113" x14ac:dyDescent="0.3">
      <c r="A3964" t="str">
        <f t="shared" si="1829"/>
        <v>05/12/2020 14:48:08.608</v>
      </c>
      <c r="C3964" t="str">
        <f t="shared" si="1815"/>
        <v>FFDFD3C0</v>
      </c>
      <c r="D3964" t="s">
        <v>138</v>
      </c>
      <c r="E3964">
        <v>2</v>
      </c>
      <c r="H3964">
        <v>8</v>
      </c>
      <c r="I3964" t="s">
        <v>139</v>
      </c>
      <c r="J3964" t="s">
        <v>136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 t="shared" si="1830"/>
        <v>14:48:26.445</v>
      </c>
      <c r="T3964" t="str">
        <f t="shared" si="1831"/>
        <v>14:48:26.345</v>
      </c>
      <c r="U3964" t="str">
        <f t="shared" si="1806"/>
        <v>A9808D</v>
      </c>
      <c r="V3964">
        <v>0</v>
      </c>
      <c r="W3964">
        <v>0</v>
      </c>
      <c r="X3964">
        <v>1</v>
      </c>
      <c r="Z3964">
        <v>0</v>
      </c>
      <c r="AA3964">
        <v>9</v>
      </c>
      <c r="AB3964">
        <v>3</v>
      </c>
      <c r="AC3964">
        <v>0</v>
      </c>
      <c r="AD3964">
        <v>10</v>
      </c>
      <c r="AE3964">
        <v>0</v>
      </c>
      <c r="AF3964">
        <v>3</v>
      </c>
      <c r="AG3964">
        <v>2</v>
      </c>
      <c r="AH3964">
        <v>0</v>
      </c>
      <c r="AI3964" t="s">
        <v>906</v>
      </c>
      <c r="AJ3964">
        <v>28.269110000000001</v>
      </c>
      <c r="AK3964" t="s">
        <v>907</v>
      </c>
      <c r="AL3964">
        <v>-82.289614999999998</v>
      </c>
      <c r="AM3964">
        <v>100</v>
      </c>
      <c r="AN3964">
        <v>2300</v>
      </c>
      <c r="AO3964" t="s">
        <v>118</v>
      </c>
      <c r="AP3964">
        <v>-134</v>
      </c>
      <c r="AQ3964">
        <v>-50</v>
      </c>
      <c r="AR3964">
        <v>-64</v>
      </c>
      <c r="AZ3964">
        <v>1200</v>
      </c>
      <c r="BA3964">
        <v>1</v>
      </c>
      <c r="BB3964" t="str">
        <f t="shared" si="1816"/>
        <v xml:space="preserve">N711JA  </v>
      </c>
      <c r="BC3964">
        <v>1</v>
      </c>
      <c r="BE3964">
        <v>0</v>
      </c>
      <c r="BF3964">
        <v>0</v>
      </c>
      <c r="BG3964">
        <v>0</v>
      </c>
      <c r="BH3964">
        <v>2300</v>
      </c>
      <c r="BI3964">
        <v>1</v>
      </c>
      <c r="BJ3964">
        <v>1</v>
      </c>
      <c r="BK3964">
        <v>0</v>
      </c>
      <c r="BL3964">
        <v>0</v>
      </c>
      <c r="BO3964">
        <v>0</v>
      </c>
      <c r="BP3964">
        <v>0</v>
      </c>
      <c r="BW3964" t="str">
        <f t="shared" si="1832"/>
        <v>14:48:26.452</v>
      </c>
      <c r="CJ3964">
        <v>0</v>
      </c>
      <c r="CK3964">
        <v>2</v>
      </c>
      <c r="CL3964">
        <v>0</v>
      </c>
      <c r="CM3964">
        <v>2</v>
      </c>
      <c r="CN3964">
        <v>0</v>
      </c>
      <c r="CO3964">
        <v>7</v>
      </c>
      <c r="CP3964" t="s">
        <v>119</v>
      </c>
      <c r="CQ3964">
        <v>8</v>
      </c>
      <c r="CR3964">
        <v>3</v>
      </c>
      <c r="CW3964">
        <v>9097178</v>
      </c>
      <c r="CY3964">
        <v>1</v>
      </c>
      <c r="CZ3964">
        <v>0</v>
      </c>
      <c r="DA3964">
        <v>1</v>
      </c>
      <c r="DB3964">
        <v>0</v>
      </c>
      <c r="DC3964">
        <v>0</v>
      </c>
      <c r="DD3964">
        <v>1</v>
      </c>
      <c r="DE3964">
        <v>0</v>
      </c>
      <c r="DF3964">
        <v>0</v>
      </c>
      <c r="DG3964">
        <v>0</v>
      </c>
      <c r="DH3964">
        <v>0</v>
      </c>
      <c r="DI3964">
        <v>0</v>
      </c>
    </row>
    <row r="3965" spans="1:113" x14ac:dyDescent="0.3">
      <c r="A3965" t="str">
        <f t="shared" si="1829"/>
        <v>05/12/2020 14:48:08.608</v>
      </c>
      <c r="C3965" t="str">
        <f t="shared" si="1815"/>
        <v>FFDFD3C0</v>
      </c>
      <c r="D3965" t="s">
        <v>131</v>
      </c>
      <c r="E3965">
        <v>18</v>
      </c>
      <c r="F3965">
        <v>2018</v>
      </c>
      <c r="G3965" t="s">
        <v>161</v>
      </c>
      <c r="J3965" t="s">
        <v>133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 t="shared" si="1830"/>
        <v>14:48:26.445</v>
      </c>
      <c r="T3965" t="str">
        <f>"14:48:25.845"</f>
        <v>14:48:25.845</v>
      </c>
      <c r="U3965" t="str">
        <f t="shared" si="1806"/>
        <v>A9808D</v>
      </c>
      <c r="V3965">
        <v>0</v>
      </c>
      <c r="W3965">
        <v>0</v>
      </c>
      <c r="X3965">
        <v>1</v>
      </c>
      <c r="Z3965">
        <v>0</v>
      </c>
      <c r="AA3965">
        <v>9</v>
      </c>
      <c r="AB3965">
        <v>3</v>
      </c>
      <c r="AC3965">
        <v>0</v>
      </c>
      <c r="AD3965">
        <v>10</v>
      </c>
      <c r="AE3965">
        <v>0</v>
      </c>
      <c r="AF3965">
        <v>3</v>
      </c>
      <c r="AG3965">
        <v>2</v>
      </c>
      <c r="AH3965">
        <v>0</v>
      </c>
      <c r="AI3965" t="s">
        <v>906</v>
      </c>
      <c r="AJ3965">
        <v>28.269110000000001</v>
      </c>
      <c r="AK3965" t="s">
        <v>907</v>
      </c>
      <c r="AL3965">
        <v>-82.289614999999998</v>
      </c>
      <c r="AM3965">
        <v>100</v>
      </c>
      <c r="AN3965">
        <v>2300</v>
      </c>
      <c r="AO3965" t="s">
        <v>118</v>
      </c>
      <c r="AP3965">
        <v>-134</v>
      </c>
      <c r="AQ3965">
        <v>-49</v>
      </c>
      <c r="AR3965">
        <v>-64</v>
      </c>
      <c r="AZ3965">
        <v>1200</v>
      </c>
      <c r="BA3965">
        <v>1</v>
      </c>
      <c r="BB3965" t="str">
        <f t="shared" si="1816"/>
        <v xml:space="preserve">N711JA  </v>
      </c>
      <c r="BC3965">
        <v>1</v>
      </c>
      <c r="BE3965">
        <v>0</v>
      </c>
      <c r="BF3965">
        <v>0</v>
      </c>
      <c r="BG3965">
        <v>0</v>
      </c>
      <c r="BH3965">
        <v>2300</v>
      </c>
      <c r="BI3965">
        <v>1</v>
      </c>
      <c r="BJ3965">
        <v>1</v>
      </c>
      <c r="BK3965">
        <v>0</v>
      </c>
      <c r="BL3965">
        <v>0</v>
      </c>
      <c r="BO3965">
        <v>0</v>
      </c>
      <c r="BP3965">
        <v>0</v>
      </c>
      <c r="BW3965" t="str">
        <f t="shared" si="1832"/>
        <v>14:48:26.452</v>
      </c>
      <c r="CJ3965">
        <v>0</v>
      </c>
      <c r="CK3965">
        <v>2</v>
      </c>
      <c r="CL3965">
        <v>0</v>
      </c>
      <c r="CM3965">
        <v>2</v>
      </c>
      <c r="CN3965">
        <v>0</v>
      </c>
      <c r="CO3965">
        <v>5</v>
      </c>
      <c r="CP3965" t="s">
        <v>119</v>
      </c>
      <c r="CQ3965">
        <v>62</v>
      </c>
      <c r="CR3965">
        <v>1</v>
      </c>
      <c r="CW3965">
        <v>12988190</v>
      </c>
      <c r="CY3965">
        <v>1</v>
      </c>
      <c r="CZ3965">
        <v>0</v>
      </c>
      <c r="DA3965">
        <v>1</v>
      </c>
      <c r="DB3965">
        <v>0</v>
      </c>
      <c r="DC3965">
        <v>0</v>
      </c>
      <c r="DD3965">
        <v>1</v>
      </c>
      <c r="DE3965">
        <v>0</v>
      </c>
      <c r="DF3965">
        <v>0</v>
      </c>
      <c r="DG3965">
        <v>0</v>
      </c>
      <c r="DH3965">
        <v>0</v>
      </c>
      <c r="DI3965">
        <v>0</v>
      </c>
    </row>
    <row r="3966" spans="1:113" x14ac:dyDescent="0.3">
      <c r="A3966" t="str">
        <f t="shared" si="1829"/>
        <v>05/12/2020 14:48:08.608</v>
      </c>
      <c r="C3966" t="str">
        <f t="shared" si="1815"/>
        <v>FFDFD3C0</v>
      </c>
      <c r="D3966" t="s">
        <v>138</v>
      </c>
      <c r="E3966">
        <v>3</v>
      </c>
      <c r="H3966">
        <v>9</v>
      </c>
      <c r="I3966" t="s">
        <v>140</v>
      </c>
      <c r="J3966" t="s">
        <v>136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 t="shared" si="1830"/>
        <v>14:48:26.445</v>
      </c>
      <c r="T3966" t="str">
        <f>"14:48:26.345"</f>
        <v>14:48:26.345</v>
      </c>
      <c r="U3966" t="str">
        <f t="shared" si="1806"/>
        <v>A9808D</v>
      </c>
      <c r="V3966">
        <v>0</v>
      </c>
      <c r="W3966">
        <v>0</v>
      </c>
      <c r="X3966">
        <v>1</v>
      </c>
      <c r="Z3966">
        <v>0</v>
      </c>
      <c r="AA3966">
        <v>9</v>
      </c>
      <c r="AB3966">
        <v>3</v>
      </c>
      <c r="AC3966">
        <v>0</v>
      </c>
      <c r="AD3966">
        <v>10</v>
      </c>
      <c r="AE3966">
        <v>0</v>
      </c>
      <c r="AF3966">
        <v>3</v>
      </c>
      <c r="AG3966">
        <v>2</v>
      </c>
      <c r="AH3966">
        <v>0</v>
      </c>
      <c r="AI3966" t="s">
        <v>906</v>
      </c>
      <c r="AJ3966">
        <v>28.269110000000001</v>
      </c>
      <c r="AK3966" t="s">
        <v>907</v>
      </c>
      <c r="AL3966">
        <v>-82.289614999999998</v>
      </c>
      <c r="AM3966">
        <v>100</v>
      </c>
      <c r="AN3966">
        <v>2300</v>
      </c>
      <c r="AO3966" t="s">
        <v>118</v>
      </c>
      <c r="AP3966">
        <v>-134</v>
      </c>
      <c r="AQ3966">
        <v>-50</v>
      </c>
      <c r="AR3966">
        <v>-64</v>
      </c>
      <c r="AZ3966">
        <v>1200</v>
      </c>
      <c r="BA3966">
        <v>1</v>
      </c>
      <c r="BB3966" t="str">
        <f t="shared" si="1816"/>
        <v xml:space="preserve">N711JA  </v>
      </c>
      <c r="BC3966">
        <v>1</v>
      </c>
      <c r="BE3966">
        <v>0</v>
      </c>
      <c r="BF3966">
        <v>0</v>
      </c>
      <c r="BG3966">
        <v>0</v>
      </c>
      <c r="BH3966">
        <v>2300</v>
      </c>
      <c r="BI3966">
        <v>1</v>
      </c>
      <c r="BJ3966">
        <v>1</v>
      </c>
      <c r="BK3966">
        <v>0</v>
      </c>
      <c r="BL3966">
        <v>0</v>
      </c>
      <c r="BO3966">
        <v>0</v>
      </c>
      <c r="BP3966">
        <v>0</v>
      </c>
      <c r="BW3966" t="str">
        <f t="shared" si="1832"/>
        <v>14:48:26.452</v>
      </c>
      <c r="CJ3966">
        <v>0</v>
      </c>
      <c r="CK3966">
        <v>2</v>
      </c>
      <c r="CL3966">
        <v>0</v>
      </c>
      <c r="CM3966">
        <v>2</v>
      </c>
      <c r="CN3966">
        <v>0</v>
      </c>
      <c r="CO3966">
        <v>7</v>
      </c>
      <c r="CP3966" t="s">
        <v>119</v>
      </c>
      <c r="CQ3966">
        <v>8</v>
      </c>
      <c r="CR3966">
        <v>3</v>
      </c>
      <c r="CW3966">
        <v>9097178</v>
      </c>
      <c r="CY3966">
        <v>1</v>
      </c>
      <c r="CZ3966">
        <v>0</v>
      </c>
      <c r="DA3966">
        <v>1</v>
      </c>
      <c r="DB3966">
        <v>0</v>
      </c>
      <c r="DC3966">
        <v>0</v>
      </c>
      <c r="DD3966">
        <v>1</v>
      </c>
      <c r="DE3966">
        <v>0</v>
      </c>
      <c r="DF3966">
        <v>0</v>
      </c>
      <c r="DG3966">
        <v>0</v>
      </c>
      <c r="DH3966">
        <v>0</v>
      </c>
      <c r="DI3966">
        <v>0</v>
      </c>
    </row>
    <row r="3967" spans="1:113" x14ac:dyDescent="0.3">
      <c r="A3967" t="str">
        <f t="shared" si="1829"/>
        <v>05/12/2020 14:48:08.608</v>
      </c>
      <c r="C3967" t="str">
        <f t="shared" si="1815"/>
        <v>FFDFD3C0</v>
      </c>
      <c r="D3967" t="s">
        <v>126</v>
      </c>
      <c r="E3967">
        <v>6</v>
      </c>
      <c r="F3967">
        <v>1006</v>
      </c>
      <c r="G3967" t="s">
        <v>114</v>
      </c>
      <c r="J3967" t="s">
        <v>128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 t="shared" si="1830"/>
        <v>14:48:26.445</v>
      </c>
      <c r="T3967" t="str">
        <f>"14:48:26.345"</f>
        <v>14:48:26.345</v>
      </c>
      <c r="U3967" t="str">
        <f t="shared" si="1806"/>
        <v>A9808D</v>
      </c>
      <c r="V3967">
        <v>0</v>
      </c>
      <c r="W3967">
        <v>0</v>
      </c>
      <c r="X3967">
        <v>1</v>
      </c>
      <c r="Z3967">
        <v>0</v>
      </c>
      <c r="AA3967">
        <v>9</v>
      </c>
      <c r="AB3967">
        <v>3</v>
      </c>
      <c r="AC3967">
        <v>0</v>
      </c>
      <c r="AD3967">
        <v>10</v>
      </c>
      <c r="AE3967">
        <v>0</v>
      </c>
      <c r="AF3967">
        <v>3</v>
      </c>
      <c r="AG3967">
        <v>2</v>
      </c>
      <c r="AH3967">
        <v>0</v>
      </c>
      <c r="AI3967" t="s">
        <v>906</v>
      </c>
      <c r="AJ3967">
        <v>28.269110000000001</v>
      </c>
      <c r="AK3967" t="s">
        <v>907</v>
      </c>
      <c r="AL3967">
        <v>-82.289614999999998</v>
      </c>
      <c r="AM3967">
        <v>100</v>
      </c>
      <c r="AN3967">
        <v>2300</v>
      </c>
      <c r="AO3967" t="s">
        <v>118</v>
      </c>
      <c r="AP3967">
        <v>-134</v>
      </c>
      <c r="AQ3967">
        <v>-50</v>
      </c>
      <c r="AR3967">
        <v>-64</v>
      </c>
      <c r="AZ3967">
        <v>1200</v>
      </c>
      <c r="BA3967">
        <v>1</v>
      </c>
      <c r="BB3967" t="str">
        <f t="shared" si="1816"/>
        <v xml:space="preserve">N711JA  </v>
      </c>
      <c r="BC3967">
        <v>1</v>
      </c>
      <c r="BE3967">
        <v>0</v>
      </c>
      <c r="BF3967">
        <v>0</v>
      </c>
      <c r="BG3967">
        <v>0</v>
      </c>
      <c r="BH3967">
        <v>2300</v>
      </c>
      <c r="BI3967">
        <v>1</v>
      </c>
      <c r="BJ3967">
        <v>1</v>
      </c>
      <c r="BK3967">
        <v>0</v>
      </c>
      <c r="BL3967">
        <v>0</v>
      </c>
      <c r="BO3967">
        <v>0</v>
      </c>
      <c r="BP3967">
        <v>0</v>
      </c>
      <c r="BW3967" t="str">
        <f t="shared" si="1832"/>
        <v>14:48:26.452</v>
      </c>
      <c r="CJ3967">
        <v>0</v>
      </c>
      <c r="CK3967">
        <v>2</v>
      </c>
      <c r="CL3967">
        <v>0</v>
      </c>
      <c r="CM3967">
        <v>2</v>
      </c>
      <c r="CN3967">
        <v>0</v>
      </c>
      <c r="CO3967">
        <v>7</v>
      </c>
      <c r="CP3967" t="s">
        <v>119</v>
      </c>
      <c r="CQ3967">
        <v>8</v>
      </c>
      <c r="CR3967">
        <v>3</v>
      </c>
      <c r="CW3967">
        <v>9097178</v>
      </c>
      <c r="CY3967">
        <v>1</v>
      </c>
      <c r="CZ3967">
        <v>0</v>
      </c>
      <c r="DA3967">
        <v>1</v>
      </c>
      <c r="DB3967">
        <v>0</v>
      </c>
      <c r="DC3967">
        <v>0</v>
      </c>
      <c r="DD3967">
        <v>1</v>
      </c>
      <c r="DE3967">
        <v>0</v>
      </c>
      <c r="DF3967">
        <v>0</v>
      </c>
      <c r="DG3967">
        <v>0</v>
      </c>
      <c r="DH3967">
        <v>0</v>
      </c>
      <c r="DI3967">
        <v>0</v>
      </c>
    </row>
    <row r="3968" spans="1:113" x14ac:dyDescent="0.3">
      <c r="A3968" t="str">
        <f t="shared" ref="A3968:A3976" si="1833">"05/12/2020 14:48:09.721"</f>
        <v>05/12/2020 14:48:09.721</v>
      </c>
      <c r="C3968" t="str">
        <f t="shared" si="1815"/>
        <v>FFDFD3C0</v>
      </c>
      <c r="D3968" t="s">
        <v>131</v>
      </c>
      <c r="E3968">
        <v>10</v>
      </c>
      <c r="F3968">
        <v>2010</v>
      </c>
      <c r="G3968" t="s">
        <v>132</v>
      </c>
      <c r="J3968" t="s">
        <v>133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 t="shared" ref="S3968:S3976" si="1834">"14:48:27.563"</f>
        <v>14:48:27.563</v>
      </c>
      <c r="T3968" t="str">
        <f t="shared" ref="T3968:T3976" si="1835">"14:48:27.363"</f>
        <v>14:48:27.363</v>
      </c>
      <c r="U3968" t="str">
        <f t="shared" si="1806"/>
        <v>A9808D</v>
      </c>
      <c r="V3968">
        <v>0</v>
      </c>
      <c r="W3968">
        <v>0</v>
      </c>
      <c r="X3968">
        <v>1</v>
      </c>
      <c r="Z3968">
        <v>0</v>
      </c>
      <c r="AA3968">
        <v>9</v>
      </c>
      <c r="AB3968">
        <v>3</v>
      </c>
      <c r="AC3968">
        <v>0</v>
      </c>
      <c r="AD3968">
        <v>10</v>
      </c>
      <c r="AE3968">
        <v>0</v>
      </c>
      <c r="AF3968">
        <v>3</v>
      </c>
      <c r="AG3968">
        <v>2</v>
      </c>
      <c r="AH3968">
        <v>0</v>
      </c>
      <c r="AI3968" t="s">
        <v>908</v>
      </c>
      <c r="AJ3968">
        <v>28.268851999999999</v>
      </c>
      <c r="AK3968" t="s">
        <v>909</v>
      </c>
      <c r="AL3968">
        <v>-82.290408999999997</v>
      </c>
      <c r="AM3968">
        <v>100</v>
      </c>
      <c r="AN3968">
        <v>2300</v>
      </c>
      <c r="AO3968" t="s">
        <v>118</v>
      </c>
      <c r="AP3968">
        <v>-133</v>
      </c>
      <c r="AQ3968">
        <v>-53</v>
      </c>
      <c r="AR3968">
        <v>-64</v>
      </c>
      <c r="AZ3968">
        <v>1200</v>
      </c>
      <c r="BA3968">
        <v>1</v>
      </c>
      <c r="BB3968" t="str">
        <f t="shared" si="1816"/>
        <v xml:space="preserve">N711JA  </v>
      </c>
      <c r="BC3968">
        <v>1</v>
      </c>
      <c r="BE3968">
        <v>0</v>
      </c>
      <c r="BF3968">
        <v>0</v>
      </c>
      <c r="BG3968">
        <v>0</v>
      </c>
      <c r="BH3968">
        <v>2300</v>
      </c>
      <c r="BI3968">
        <v>1</v>
      </c>
      <c r="BJ3968">
        <v>1</v>
      </c>
      <c r="BK3968">
        <v>0</v>
      </c>
      <c r="BL3968">
        <v>0</v>
      </c>
      <c r="BO3968">
        <v>0</v>
      </c>
      <c r="BP3968">
        <v>0</v>
      </c>
      <c r="BW3968" t="str">
        <f t="shared" ref="BW3968:BW3976" si="1836">"14:48:27.566"</f>
        <v>14:48:27.566</v>
      </c>
      <c r="CJ3968">
        <v>0</v>
      </c>
      <c r="CK3968">
        <v>2</v>
      </c>
      <c r="CL3968">
        <v>0</v>
      </c>
      <c r="CM3968">
        <v>2</v>
      </c>
      <c r="CN3968">
        <v>0</v>
      </c>
      <c r="CO3968">
        <v>7</v>
      </c>
      <c r="CP3968" t="s">
        <v>119</v>
      </c>
      <c r="CQ3968">
        <v>8</v>
      </c>
      <c r="CR3968">
        <v>3</v>
      </c>
      <c r="CW3968">
        <v>9098290</v>
      </c>
      <c r="CY3968">
        <v>1</v>
      </c>
      <c r="CZ3968">
        <v>0</v>
      </c>
      <c r="DA3968">
        <v>0</v>
      </c>
      <c r="DB3968">
        <v>0</v>
      </c>
      <c r="DC3968">
        <v>0</v>
      </c>
      <c r="DD3968">
        <v>1</v>
      </c>
      <c r="DE3968">
        <v>0</v>
      </c>
      <c r="DF3968">
        <v>0</v>
      </c>
      <c r="DG3968">
        <v>0</v>
      </c>
      <c r="DH3968">
        <v>0</v>
      </c>
      <c r="DI3968">
        <v>0</v>
      </c>
    </row>
    <row r="3969" spans="1:113" x14ac:dyDescent="0.3">
      <c r="A3969" t="str">
        <f t="shared" si="1833"/>
        <v>05/12/2020 14:48:09.721</v>
      </c>
      <c r="C3969" t="str">
        <f t="shared" si="1815"/>
        <v>FFDFD3C0</v>
      </c>
      <c r="D3969" t="s">
        <v>131</v>
      </c>
      <c r="E3969">
        <v>12</v>
      </c>
      <c r="F3969">
        <v>2012</v>
      </c>
      <c r="G3969" t="s">
        <v>137</v>
      </c>
      <c r="J3969" t="s">
        <v>133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 t="shared" si="1834"/>
        <v>14:48:27.563</v>
      </c>
      <c r="T3969" t="str">
        <f t="shared" si="1835"/>
        <v>14:48:27.363</v>
      </c>
      <c r="U3969" t="str">
        <f t="shared" si="1806"/>
        <v>A9808D</v>
      </c>
      <c r="V3969">
        <v>0</v>
      </c>
      <c r="W3969">
        <v>0</v>
      </c>
      <c r="X3969">
        <v>1</v>
      </c>
      <c r="Z3969">
        <v>0</v>
      </c>
      <c r="AA3969">
        <v>9</v>
      </c>
      <c r="AB3969">
        <v>3</v>
      </c>
      <c r="AC3969">
        <v>0</v>
      </c>
      <c r="AD3969">
        <v>10</v>
      </c>
      <c r="AE3969">
        <v>0</v>
      </c>
      <c r="AF3969">
        <v>3</v>
      </c>
      <c r="AG3969">
        <v>2</v>
      </c>
      <c r="AH3969">
        <v>0</v>
      </c>
      <c r="AI3969" t="s">
        <v>908</v>
      </c>
      <c r="AJ3969">
        <v>28.268851999999999</v>
      </c>
      <c r="AK3969" t="s">
        <v>909</v>
      </c>
      <c r="AL3969">
        <v>-82.290408999999997</v>
      </c>
      <c r="AM3969">
        <v>100</v>
      </c>
      <c r="AN3969">
        <v>2300</v>
      </c>
      <c r="AO3969" t="s">
        <v>118</v>
      </c>
      <c r="AP3969">
        <v>-133</v>
      </c>
      <c r="AQ3969">
        <v>-53</v>
      </c>
      <c r="AR3969">
        <v>-64</v>
      </c>
      <c r="AZ3969">
        <v>1200</v>
      </c>
      <c r="BA3969">
        <v>1</v>
      </c>
      <c r="BB3969" t="str">
        <f t="shared" si="1816"/>
        <v xml:space="preserve">N711JA  </v>
      </c>
      <c r="BC3969">
        <v>1</v>
      </c>
      <c r="BE3969">
        <v>0</v>
      </c>
      <c r="BF3969">
        <v>0</v>
      </c>
      <c r="BG3969">
        <v>0</v>
      </c>
      <c r="BH3969">
        <v>2300</v>
      </c>
      <c r="BI3969">
        <v>1</v>
      </c>
      <c r="BJ3969">
        <v>1</v>
      </c>
      <c r="BK3969">
        <v>0</v>
      </c>
      <c r="BL3969">
        <v>0</v>
      </c>
      <c r="BO3969">
        <v>0</v>
      </c>
      <c r="BP3969">
        <v>0</v>
      </c>
      <c r="BW3969" t="str">
        <f t="shared" si="1836"/>
        <v>14:48:27.566</v>
      </c>
      <c r="CJ3969">
        <v>0</v>
      </c>
      <c r="CK3969">
        <v>2</v>
      </c>
      <c r="CL3969">
        <v>0</v>
      </c>
      <c r="CM3969">
        <v>2</v>
      </c>
      <c r="CN3969">
        <v>0</v>
      </c>
      <c r="CO3969">
        <v>7</v>
      </c>
      <c r="CP3969" t="s">
        <v>119</v>
      </c>
      <c r="CQ3969">
        <v>8</v>
      </c>
      <c r="CR3969">
        <v>3</v>
      </c>
      <c r="CW3969">
        <v>9098290</v>
      </c>
      <c r="CY3969">
        <v>1</v>
      </c>
      <c r="CZ3969">
        <v>0</v>
      </c>
      <c r="DA3969">
        <v>1</v>
      </c>
      <c r="DB3969">
        <v>0</v>
      </c>
      <c r="DC3969">
        <v>0</v>
      </c>
      <c r="DD3969">
        <v>1</v>
      </c>
      <c r="DE3969">
        <v>0</v>
      </c>
      <c r="DF3969">
        <v>0</v>
      </c>
      <c r="DG3969">
        <v>0</v>
      </c>
      <c r="DH3969">
        <v>0</v>
      </c>
      <c r="DI3969">
        <v>0</v>
      </c>
    </row>
    <row r="3970" spans="1:113" x14ac:dyDescent="0.3">
      <c r="A3970" t="str">
        <f t="shared" si="1833"/>
        <v>05/12/2020 14:48:09.721</v>
      </c>
      <c r="C3970" t="str">
        <f t="shared" si="1815"/>
        <v>FFDFD3C0</v>
      </c>
      <c r="D3970" t="s">
        <v>113</v>
      </c>
      <c r="E3970">
        <v>3</v>
      </c>
      <c r="H3970">
        <v>164</v>
      </c>
      <c r="I3970" t="s">
        <v>114</v>
      </c>
      <c r="J3970" t="s">
        <v>115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 t="shared" si="1834"/>
        <v>14:48:27.563</v>
      </c>
      <c r="T3970" t="str">
        <f t="shared" si="1835"/>
        <v>14:48:27.363</v>
      </c>
      <c r="U3970" t="str">
        <f t="shared" ref="U3970:U4033" si="1837">"A9808D"</f>
        <v>A9808D</v>
      </c>
      <c r="V3970">
        <v>0</v>
      </c>
      <c r="W3970">
        <v>0</v>
      </c>
      <c r="X3970">
        <v>1</v>
      </c>
      <c r="Z3970">
        <v>0</v>
      </c>
      <c r="AA3970">
        <v>9</v>
      </c>
      <c r="AB3970">
        <v>3</v>
      </c>
      <c r="AC3970">
        <v>0</v>
      </c>
      <c r="AD3970">
        <v>10</v>
      </c>
      <c r="AE3970">
        <v>0</v>
      </c>
      <c r="AF3970">
        <v>3</v>
      </c>
      <c r="AG3970">
        <v>2</v>
      </c>
      <c r="AH3970">
        <v>0</v>
      </c>
      <c r="AI3970" t="s">
        <v>908</v>
      </c>
      <c r="AJ3970">
        <v>28.268851999999999</v>
      </c>
      <c r="AK3970" t="s">
        <v>909</v>
      </c>
      <c r="AL3970">
        <v>-82.290408999999997</v>
      </c>
      <c r="AM3970">
        <v>100</v>
      </c>
      <c r="AN3970">
        <v>2300</v>
      </c>
      <c r="AO3970" t="s">
        <v>118</v>
      </c>
      <c r="AP3970">
        <v>-133</v>
      </c>
      <c r="AQ3970">
        <v>-53</v>
      </c>
      <c r="AR3970">
        <v>-64</v>
      </c>
      <c r="AZ3970">
        <v>1200</v>
      </c>
      <c r="BA3970">
        <v>1</v>
      </c>
      <c r="BB3970" t="str">
        <f t="shared" si="1816"/>
        <v xml:space="preserve">N711JA  </v>
      </c>
      <c r="BC3970">
        <v>1</v>
      </c>
      <c r="BE3970">
        <v>0</v>
      </c>
      <c r="BF3970">
        <v>0</v>
      </c>
      <c r="BG3970">
        <v>0</v>
      </c>
      <c r="BH3970">
        <v>2300</v>
      </c>
      <c r="BI3970">
        <v>1</v>
      </c>
      <c r="BJ3970">
        <v>1</v>
      </c>
      <c r="BK3970">
        <v>0</v>
      </c>
      <c r="BL3970">
        <v>0</v>
      </c>
      <c r="BO3970">
        <v>0</v>
      </c>
      <c r="BP3970">
        <v>0</v>
      </c>
      <c r="BW3970" t="str">
        <f t="shared" si="1836"/>
        <v>14:48:27.566</v>
      </c>
      <c r="CJ3970">
        <v>0</v>
      </c>
      <c r="CK3970">
        <v>2</v>
      </c>
      <c r="CL3970">
        <v>0</v>
      </c>
      <c r="CM3970">
        <v>2</v>
      </c>
      <c r="CN3970">
        <v>0</v>
      </c>
      <c r="CO3970">
        <v>7</v>
      </c>
      <c r="CP3970" t="s">
        <v>119</v>
      </c>
      <c r="CQ3970">
        <v>8</v>
      </c>
      <c r="CR3970">
        <v>3</v>
      </c>
      <c r="CW3970">
        <v>9098290</v>
      </c>
      <c r="CY3970">
        <v>1</v>
      </c>
      <c r="CZ3970">
        <v>0</v>
      </c>
      <c r="DA3970">
        <v>1</v>
      </c>
      <c r="DB3970">
        <v>0</v>
      </c>
      <c r="DC3970">
        <v>0</v>
      </c>
      <c r="DD3970">
        <v>1</v>
      </c>
      <c r="DE3970">
        <v>0</v>
      </c>
      <c r="DF3970">
        <v>0</v>
      </c>
      <c r="DG3970">
        <v>0</v>
      </c>
      <c r="DH3970">
        <v>0</v>
      </c>
      <c r="DI3970">
        <v>0</v>
      </c>
    </row>
    <row r="3971" spans="1:113" x14ac:dyDescent="0.3">
      <c r="A3971" t="str">
        <f t="shared" si="1833"/>
        <v>05/12/2020 14:48:09.721</v>
      </c>
      <c r="C3971" t="str">
        <f t="shared" si="1815"/>
        <v>FFDFD3C0</v>
      </c>
      <c r="D3971" t="s">
        <v>131</v>
      </c>
      <c r="E3971">
        <v>18</v>
      </c>
      <c r="F3971">
        <v>2018</v>
      </c>
      <c r="G3971" t="s">
        <v>161</v>
      </c>
      <c r="J3971" t="s">
        <v>133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 t="shared" si="1834"/>
        <v>14:48:27.563</v>
      </c>
      <c r="T3971" t="str">
        <f t="shared" si="1835"/>
        <v>14:48:27.363</v>
      </c>
      <c r="U3971" t="str">
        <f t="shared" si="1837"/>
        <v>A9808D</v>
      </c>
      <c r="V3971">
        <v>0</v>
      </c>
      <c r="W3971">
        <v>0</v>
      </c>
      <c r="X3971">
        <v>1</v>
      </c>
      <c r="Z3971">
        <v>0</v>
      </c>
      <c r="AA3971">
        <v>9</v>
      </c>
      <c r="AB3971">
        <v>3</v>
      </c>
      <c r="AC3971">
        <v>0</v>
      </c>
      <c r="AD3971">
        <v>10</v>
      </c>
      <c r="AE3971">
        <v>0</v>
      </c>
      <c r="AF3971">
        <v>3</v>
      </c>
      <c r="AG3971">
        <v>2</v>
      </c>
      <c r="AH3971">
        <v>0</v>
      </c>
      <c r="AI3971" t="s">
        <v>908</v>
      </c>
      <c r="AJ3971">
        <v>28.268851999999999</v>
      </c>
      <c r="AK3971" t="s">
        <v>909</v>
      </c>
      <c r="AL3971">
        <v>-82.290408999999997</v>
      </c>
      <c r="AM3971">
        <v>100</v>
      </c>
      <c r="AN3971">
        <v>2300</v>
      </c>
      <c r="AO3971" t="s">
        <v>118</v>
      </c>
      <c r="AP3971">
        <v>-133</v>
      </c>
      <c r="AQ3971">
        <v>-53</v>
      </c>
      <c r="AR3971">
        <v>-64</v>
      </c>
      <c r="AZ3971">
        <v>1200</v>
      </c>
      <c r="BA3971">
        <v>1</v>
      </c>
      <c r="BB3971" t="str">
        <f t="shared" si="1816"/>
        <v xml:space="preserve">N711JA  </v>
      </c>
      <c r="BC3971">
        <v>1</v>
      </c>
      <c r="BE3971">
        <v>0</v>
      </c>
      <c r="BF3971">
        <v>0</v>
      </c>
      <c r="BG3971">
        <v>0</v>
      </c>
      <c r="BH3971">
        <v>2300</v>
      </c>
      <c r="BI3971">
        <v>1</v>
      </c>
      <c r="BJ3971">
        <v>1</v>
      </c>
      <c r="BK3971">
        <v>0</v>
      </c>
      <c r="BL3971">
        <v>0</v>
      </c>
      <c r="BO3971">
        <v>0</v>
      </c>
      <c r="BP3971">
        <v>0</v>
      </c>
      <c r="BW3971" t="str">
        <f t="shared" si="1836"/>
        <v>14:48:27.566</v>
      </c>
      <c r="CJ3971">
        <v>0</v>
      </c>
      <c r="CK3971">
        <v>2</v>
      </c>
      <c r="CL3971">
        <v>0</v>
      </c>
      <c r="CM3971">
        <v>2</v>
      </c>
      <c r="CN3971">
        <v>0</v>
      </c>
      <c r="CO3971">
        <v>5</v>
      </c>
      <c r="CP3971" t="s">
        <v>119</v>
      </c>
      <c r="CQ3971">
        <v>62</v>
      </c>
      <c r="CR3971">
        <v>1</v>
      </c>
      <c r="CW3971">
        <v>12989455</v>
      </c>
      <c r="CY3971">
        <v>1</v>
      </c>
      <c r="CZ3971">
        <v>0</v>
      </c>
      <c r="DA3971">
        <v>1</v>
      </c>
      <c r="DB3971">
        <v>0</v>
      </c>
      <c r="DC3971">
        <v>0</v>
      </c>
      <c r="DD3971">
        <v>1</v>
      </c>
      <c r="DE3971">
        <v>0</v>
      </c>
      <c r="DF3971">
        <v>0</v>
      </c>
      <c r="DG3971">
        <v>0</v>
      </c>
      <c r="DH3971">
        <v>0</v>
      </c>
      <c r="DI3971">
        <v>0</v>
      </c>
    </row>
    <row r="3972" spans="1:113" x14ac:dyDescent="0.3">
      <c r="A3972" t="str">
        <f t="shared" si="1833"/>
        <v>05/12/2020 14:48:09.721</v>
      </c>
      <c r="C3972" t="str">
        <f t="shared" si="1815"/>
        <v>FFDFD3C0</v>
      </c>
      <c r="D3972" t="s">
        <v>138</v>
      </c>
      <c r="E3972">
        <v>2</v>
      </c>
      <c r="H3972">
        <v>8</v>
      </c>
      <c r="I3972" t="s">
        <v>139</v>
      </c>
      <c r="J3972" t="s">
        <v>136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 t="shared" si="1834"/>
        <v>14:48:27.563</v>
      </c>
      <c r="T3972" t="str">
        <f t="shared" si="1835"/>
        <v>14:48:27.363</v>
      </c>
      <c r="U3972" t="str">
        <f t="shared" si="1837"/>
        <v>A9808D</v>
      </c>
      <c r="V3972">
        <v>0</v>
      </c>
      <c r="W3972">
        <v>0</v>
      </c>
      <c r="X3972">
        <v>1</v>
      </c>
      <c r="Z3972">
        <v>0</v>
      </c>
      <c r="AA3972">
        <v>9</v>
      </c>
      <c r="AB3972">
        <v>3</v>
      </c>
      <c r="AC3972">
        <v>0</v>
      </c>
      <c r="AD3972">
        <v>10</v>
      </c>
      <c r="AE3972">
        <v>0</v>
      </c>
      <c r="AF3972">
        <v>3</v>
      </c>
      <c r="AG3972">
        <v>2</v>
      </c>
      <c r="AH3972">
        <v>0</v>
      </c>
      <c r="AI3972" t="s">
        <v>908</v>
      </c>
      <c r="AJ3972">
        <v>28.268851999999999</v>
      </c>
      <c r="AK3972" t="s">
        <v>909</v>
      </c>
      <c r="AL3972">
        <v>-82.290408999999997</v>
      </c>
      <c r="AM3972">
        <v>100</v>
      </c>
      <c r="AN3972">
        <v>2300</v>
      </c>
      <c r="AO3972" t="s">
        <v>118</v>
      </c>
      <c r="AP3972">
        <v>-133</v>
      </c>
      <c r="AQ3972">
        <v>-53</v>
      </c>
      <c r="AR3972">
        <v>-64</v>
      </c>
      <c r="AZ3972">
        <v>1200</v>
      </c>
      <c r="BA3972">
        <v>1</v>
      </c>
      <c r="BB3972" t="str">
        <f t="shared" si="1816"/>
        <v xml:space="preserve">N711JA  </v>
      </c>
      <c r="BC3972">
        <v>1</v>
      </c>
      <c r="BE3972">
        <v>0</v>
      </c>
      <c r="BF3972">
        <v>0</v>
      </c>
      <c r="BG3972">
        <v>0</v>
      </c>
      <c r="BH3972">
        <v>2300</v>
      </c>
      <c r="BI3972">
        <v>1</v>
      </c>
      <c r="BJ3972">
        <v>1</v>
      </c>
      <c r="BK3972">
        <v>0</v>
      </c>
      <c r="BL3972">
        <v>0</v>
      </c>
      <c r="BO3972">
        <v>0</v>
      </c>
      <c r="BP3972">
        <v>0</v>
      </c>
      <c r="BW3972" t="str">
        <f t="shared" si="1836"/>
        <v>14:48:27.566</v>
      </c>
      <c r="CJ3972">
        <v>0</v>
      </c>
      <c r="CK3972">
        <v>2</v>
      </c>
      <c r="CL3972">
        <v>0</v>
      </c>
      <c r="CM3972">
        <v>2</v>
      </c>
      <c r="CN3972">
        <v>0</v>
      </c>
      <c r="CO3972">
        <v>7</v>
      </c>
      <c r="CP3972" t="s">
        <v>119</v>
      </c>
      <c r="CQ3972">
        <v>8</v>
      </c>
      <c r="CR3972">
        <v>3</v>
      </c>
      <c r="CW3972">
        <v>9098290</v>
      </c>
      <c r="CY3972">
        <v>1</v>
      </c>
      <c r="CZ3972">
        <v>0</v>
      </c>
      <c r="DA3972">
        <v>1</v>
      </c>
      <c r="DB3972">
        <v>0</v>
      </c>
      <c r="DC3972">
        <v>0</v>
      </c>
      <c r="DD3972">
        <v>1</v>
      </c>
      <c r="DE3972">
        <v>0</v>
      </c>
      <c r="DF3972">
        <v>0</v>
      </c>
      <c r="DG3972">
        <v>0</v>
      </c>
      <c r="DH3972">
        <v>0</v>
      </c>
      <c r="DI3972">
        <v>0</v>
      </c>
    </row>
    <row r="3973" spans="1:113" x14ac:dyDescent="0.3">
      <c r="A3973" t="str">
        <f t="shared" si="1833"/>
        <v>05/12/2020 14:48:09.721</v>
      </c>
      <c r="C3973" t="str">
        <f t="shared" si="1815"/>
        <v>FFDFD3C0</v>
      </c>
      <c r="D3973" t="s">
        <v>138</v>
      </c>
      <c r="E3973">
        <v>3</v>
      </c>
      <c r="H3973">
        <v>9</v>
      </c>
      <c r="I3973" t="s">
        <v>140</v>
      </c>
      <c r="J3973" t="s">
        <v>136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 t="shared" si="1834"/>
        <v>14:48:27.563</v>
      </c>
      <c r="T3973" t="str">
        <f t="shared" si="1835"/>
        <v>14:48:27.363</v>
      </c>
      <c r="U3973" t="str">
        <f t="shared" si="1837"/>
        <v>A9808D</v>
      </c>
      <c r="V3973">
        <v>0</v>
      </c>
      <c r="W3973">
        <v>0</v>
      </c>
      <c r="X3973">
        <v>1</v>
      </c>
      <c r="Z3973">
        <v>0</v>
      </c>
      <c r="AA3973">
        <v>9</v>
      </c>
      <c r="AB3973">
        <v>3</v>
      </c>
      <c r="AC3973">
        <v>0</v>
      </c>
      <c r="AD3973">
        <v>10</v>
      </c>
      <c r="AE3973">
        <v>0</v>
      </c>
      <c r="AF3973">
        <v>3</v>
      </c>
      <c r="AG3973">
        <v>2</v>
      </c>
      <c r="AH3973">
        <v>0</v>
      </c>
      <c r="AI3973" t="s">
        <v>908</v>
      </c>
      <c r="AJ3973">
        <v>28.268851999999999</v>
      </c>
      <c r="AK3973" t="s">
        <v>909</v>
      </c>
      <c r="AL3973">
        <v>-82.290408999999997</v>
      </c>
      <c r="AM3973">
        <v>100</v>
      </c>
      <c r="AN3973">
        <v>2300</v>
      </c>
      <c r="AO3973" t="s">
        <v>118</v>
      </c>
      <c r="AP3973">
        <v>-133</v>
      </c>
      <c r="AQ3973">
        <v>-53</v>
      </c>
      <c r="AR3973">
        <v>-64</v>
      </c>
      <c r="AZ3973">
        <v>1200</v>
      </c>
      <c r="BA3973">
        <v>1</v>
      </c>
      <c r="BB3973" t="str">
        <f t="shared" si="1816"/>
        <v xml:space="preserve">N711JA  </v>
      </c>
      <c r="BC3973">
        <v>1</v>
      </c>
      <c r="BE3973">
        <v>0</v>
      </c>
      <c r="BF3973">
        <v>0</v>
      </c>
      <c r="BG3973">
        <v>0</v>
      </c>
      <c r="BH3973">
        <v>2300</v>
      </c>
      <c r="BI3973">
        <v>1</v>
      </c>
      <c r="BJ3973">
        <v>1</v>
      </c>
      <c r="BK3973">
        <v>0</v>
      </c>
      <c r="BL3973">
        <v>0</v>
      </c>
      <c r="BO3973">
        <v>0</v>
      </c>
      <c r="BP3973">
        <v>0</v>
      </c>
      <c r="BW3973" t="str">
        <f t="shared" si="1836"/>
        <v>14:48:27.566</v>
      </c>
      <c r="CJ3973">
        <v>0</v>
      </c>
      <c r="CK3973">
        <v>2</v>
      </c>
      <c r="CL3973">
        <v>0</v>
      </c>
      <c r="CM3973">
        <v>2</v>
      </c>
      <c r="CN3973">
        <v>0</v>
      </c>
      <c r="CO3973">
        <v>7</v>
      </c>
      <c r="CP3973" t="s">
        <v>119</v>
      </c>
      <c r="CQ3973">
        <v>8</v>
      </c>
      <c r="CR3973">
        <v>3</v>
      </c>
      <c r="CW3973">
        <v>9098290</v>
      </c>
      <c r="CY3973">
        <v>1</v>
      </c>
      <c r="CZ3973">
        <v>0</v>
      </c>
      <c r="DA3973">
        <v>1</v>
      </c>
      <c r="DB3973">
        <v>0</v>
      </c>
      <c r="DC3973">
        <v>0</v>
      </c>
      <c r="DD3973">
        <v>1</v>
      </c>
      <c r="DE3973">
        <v>0</v>
      </c>
      <c r="DF3973">
        <v>0</v>
      </c>
      <c r="DG3973">
        <v>0</v>
      </c>
      <c r="DH3973">
        <v>0</v>
      </c>
      <c r="DI3973">
        <v>0</v>
      </c>
    </row>
    <row r="3974" spans="1:113" x14ac:dyDescent="0.3">
      <c r="A3974" t="str">
        <f t="shared" si="1833"/>
        <v>05/12/2020 14:48:09.721</v>
      </c>
      <c r="C3974" t="str">
        <f t="shared" si="1815"/>
        <v>FFDFD3C0</v>
      </c>
      <c r="D3974" t="s">
        <v>126</v>
      </c>
      <c r="E3974">
        <v>6</v>
      </c>
      <c r="F3974">
        <v>1006</v>
      </c>
      <c r="G3974" t="s">
        <v>114</v>
      </c>
      <c r="J3974" t="s">
        <v>128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 t="shared" si="1834"/>
        <v>14:48:27.563</v>
      </c>
      <c r="T3974" t="str">
        <f t="shared" si="1835"/>
        <v>14:48:27.363</v>
      </c>
      <c r="U3974" t="str">
        <f t="shared" si="1837"/>
        <v>A9808D</v>
      </c>
      <c r="V3974">
        <v>0</v>
      </c>
      <c r="W3974">
        <v>0</v>
      </c>
      <c r="X3974">
        <v>1</v>
      </c>
      <c r="Z3974">
        <v>0</v>
      </c>
      <c r="AA3974">
        <v>9</v>
      </c>
      <c r="AB3974">
        <v>3</v>
      </c>
      <c r="AC3974">
        <v>0</v>
      </c>
      <c r="AD3974">
        <v>10</v>
      </c>
      <c r="AE3974">
        <v>0</v>
      </c>
      <c r="AF3974">
        <v>3</v>
      </c>
      <c r="AG3974">
        <v>2</v>
      </c>
      <c r="AH3974">
        <v>0</v>
      </c>
      <c r="AI3974" t="s">
        <v>908</v>
      </c>
      <c r="AJ3974">
        <v>28.268851999999999</v>
      </c>
      <c r="AK3974" t="s">
        <v>909</v>
      </c>
      <c r="AL3974">
        <v>-82.290408999999997</v>
      </c>
      <c r="AM3974">
        <v>100</v>
      </c>
      <c r="AN3974">
        <v>2300</v>
      </c>
      <c r="AO3974" t="s">
        <v>118</v>
      </c>
      <c r="AP3974">
        <v>-133</v>
      </c>
      <c r="AQ3974">
        <v>-53</v>
      </c>
      <c r="AR3974">
        <v>-64</v>
      </c>
      <c r="AZ3974">
        <v>1200</v>
      </c>
      <c r="BA3974">
        <v>1</v>
      </c>
      <c r="BB3974" t="str">
        <f t="shared" si="1816"/>
        <v xml:space="preserve">N711JA  </v>
      </c>
      <c r="BC3974">
        <v>1</v>
      </c>
      <c r="BE3974">
        <v>0</v>
      </c>
      <c r="BF3974">
        <v>0</v>
      </c>
      <c r="BG3974">
        <v>0</v>
      </c>
      <c r="BH3974">
        <v>2300</v>
      </c>
      <c r="BI3974">
        <v>1</v>
      </c>
      <c r="BJ3974">
        <v>1</v>
      </c>
      <c r="BK3974">
        <v>0</v>
      </c>
      <c r="BL3974">
        <v>0</v>
      </c>
      <c r="BO3974">
        <v>0</v>
      </c>
      <c r="BP3974">
        <v>0</v>
      </c>
      <c r="BW3974" t="str">
        <f t="shared" si="1836"/>
        <v>14:48:27.566</v>
      </c>
      <c r="CJ3974">
        <v>0</v>
      </c>
      <c r="CK3974">
        <v>2</v>
      </c>
      <c r="CL3974">
        <v>0</v>
      </c>
      <c r="CM3974">
        <v>2</v>
      </c>
      <c r="CN3974">
        <v>0</v>
      </c>
      <c r="CO3974">
        <v>7</v>
      </c>
      <c r="CP3974" t="s">
        <v>119</v>
      </c>
      <c r="CQ3974">
        <v>8</v>
      </c>
      <c r="CR3974">
        <v>3</v>
      </c>
      <c r="CW3974">
        <v>9098290</v>
      </c>
      <c r="CY3974">
        <v>1</v>
      </c>
      <c r="CZ3974">
        <v>0</v>
      </c>
      <c r="DA3974">
        <v>1</v>
      </c>
      <c r="DB3974">
        <v>0</v>
      </c>
      <c r="DC3974">
        <v>0</v>
      </c>
      <c r="DD3974">
        <v>1</v>
      </c>
      <c r="DE3974">
        <v>0</v>
      </c>
      <c r="DF3974">
        <v>0</v>
      </c>
      <c r="DG3974">
        <v>0</v>
      </c>
      <c r="DH3974">
        <v>0</v>
      </c>
      <c r="DI3974">
        <v>0</v>
      </c>
    </row>
    <row r="3975" spans="1:113" x14ac:dyDescent="0.3">
      <c r="A3975" t="str">
        <f t="shared" si="1833"/>
        <v>05/12/2020 14:48:09.721</v>
      </c>
      <c r="C3975" t="str">
        <f t="shared" si="1815"/>
        <v>FFDFD3C0</v>
      </c>
      <c r="D3975" t="s">
        <v>126</v>
      </c>
      <c r="E3975">
        <v>7</v>
      </c>
      <c r="F3975">
        <v>1007</v>
      </c>
      <c r="G3975" t="s">
        <v>127</v>
      </c>
      <c r="J3975" t="s">
        <v>128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 t="shared" si="1834"/>
        <v>14:48:27.563</v>
      </c>
      <c r="T3975" t="str">
        <f t="shared" si="1835"/>
        <v>14:48:27.363</v>
      </c>
      <c r="U3975" t="str">
        <f t="shared" si="1837"/>
        <v>A9808D</v>
      </c>
      <c r="V3975">
        <v>0</v>
      </c>
      <c r="W3975">
        <v>0</v>
      </c>
      <c r="X3975">
        <v>1</v>
      </c>
      <c r="Z3975">
        <v>0</v>
      </c>
      <c r="AA3975">
        <v>9</v>
      </c>
      <c r="AB3975">
        <v>3</v>
      </c>
      <c r="AC3975">
        <v>0</v>
      </c>
      <c r="AD3975">
        <v>10</v>
      </c>
      <c r="AE3975">
        <v>0</v>
      </c>
      <c r="AF3975">
        <v>3</v>
      </c>
      <c r="AG3975">
        <v>2</v>
      </c>
      <c r="AH3975">
        <v>0</v>
      </c>
      <c r="AI3975" t="s">
        <v>908</v>
      </c>
      <c r="AJ3975">
        <v>28.268851999999999</v>
      </c>
      <c r="AK3975" t="s">
        <v>909</v>
      </c>
      <c r="AL3975">
        <v>-82.290408999999997</v>
      </c>
      <c r="AM3975">
        <v>100</v>
      </c>
      <c r="AN3975">
        <v>2300</v>
      </c>
      <c r="AO3975" t="s">
        <v>118</v>
      </c>
      <c r="AP3975">
        <v>-133</v>
      </c>
      <c r="AQ3975">
        <v>-53</v>
      </c>
      <c r="AR3975">
        <v>-64</v>
      </c>
      <c r="AZ3975">
        <v>1200</v>
      </c>
      <c r="BA3975">
        <v>1</v>
      </c>
      <c r="BB3975" t="str">
        <f t="shared" si="1816"/>
        <v xml:space="preserve">N711JA  </v>
      </c>
      <c r="BC3975">
        <v>1</v>
      </c>
      <c r="BE3975">
        <v>0</v>
      </c>
      <c r="BF3975">
        <v>0</v>
      </c>
      <c r="BG3975">
        <v>0</v>
      </c>
      <c r="BH3975">
        <v>2300</v>
      </c>
      <c r="BI3975">
        <v>1</v>
      </c>
      <c r="BJ3975">
        <v>1</v>
      </c>
      <c r="BK3975">
        <v>0</v>
      </c>
      <c r="BL3975">
        <v>0</v>
      </c>
      <c r="BO3975">
        <v>0</v>
      </c>
      <c r="BP3975">
        <v>0</v>
      </c>
      <c r="BW3975" t="str">
        <f t="shared" si="1836"/>
        <v>14:48:27.566</v>
      </c>
      <c r="CJ3975">
        <v>0</v>
      </c>
      <c r="CK3975">
        <v>2</v>
      </c>
      <c r="CL3975">
        <v>0</v>
      </c>
      <c r="CM3975">
        <v>2</v>
      </c>
      <c r="CN3975">
        <v>0</v>
      </c>
      <c r="CO3975">
        <v>7</v>
      </c>
      <c r="CP3975" t="s">
        <v>119</v>
      </c>
      <c r="CQ3975">
        <v>8</v>
      </c>
      <c r="CR3975">
        <v>3</v>
      </c>
      <c r="CW3975">
        <v>9098290</v>
      </c>
      <c r="CY3975">
        <v>1</v>
      </c>
      <c r="CZ3975">
        <v>0</v>
      </c>
      <c r="DA3975">
        <v>1</v>
      </c>
      <c r="DB3975">
        <v>0</v>
      </c>
      <c r="DC3975">
        <v>0</v>
      </c>
      <c r="DD3975">
        <v>1</v>
      </c>
      <c r="DE3975">
        <v>0</v>
      </c>
      <c r="DF3975">
        <v>0</v>
      </c>
      <c r="DG3975">
        <v>0</v>
      </c>
      <c r="DH3975">
        <v>0</v>
      </c>
      <c r="DI3975">
        <v>0</v>
      </c>
    </row>
    <row r="3976" spans="1:113" x14ac:dyDescent="0.3">
      <c r="A3976" t="str">
        <f t="shared" si="1833"/>
        <v>05/12/2020 14:48:09.721</v>
      </c>
      <c r="C3976" t="str">
        <f t="shared" si="1815"/>
        <v>FFDFD3C0</v>
      </c>
      <c r="D3976" t="s">
        <v>134</v>
      </c>
      <c r="E3976">
        <v>12</v>
      </c>
      <c r="H3976">
        <v>64</v>
      </c>
      <c r="I3976" t="s">
        <v>135</v>
      </c>
      <c r="J3976" t="s">
        <v>136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 t="shared" si="1834"/>
        <v>14:48:27.563</v>
      </c>
      <c r="T3976" t="str">
        <f t="shared" si="1835"/>
        <v>14:48:27.363</v>
      </c>
      <c r="U3976" t="str">
        <f t="shared" si="1837"/>
        <v>A9808D</v>
      </c>
      <c r="V3976">
        <v>0</v>
      </c>
      <c r="W3976">
        <v>0</v>
      </c>
      <c r="X3976">
        <v>1</v>
      </c>
      <c r="Z3976">
        <v>0</v>
      </c>
      <c r="AA3976">
        <v>9</v>
      </c>
      <c r="AB3976">
        <v>3</v>
      </c>
      <c r="AC3976">
        <v>0</v>
      </c>
      <c r="AD3976">
        <v>10</v>
      </c>
      <c r="AE3976">
        <v>0</v>
      </c>
      <c r="AF3976">
        <v>3</v>
      </c>
      <c r="AG3976">
        <v>2</v>
      </c>
      <c r="AH3976">
        <v>0</v>
      </c>
      <c r="AI3976" t="s">
        <v>908</v>
      </c>
      <c r="AJ3976">
        <v>28.268851999999999</v>
      </c>
      <c r="AK3976" t="s">
        <v>909</v>
      </c>
      <c r="AL3976">
        <v>-82.290408999999997</v>
      </c>
      <c r="AM3976">
        <v>100</v>
      </c>
      <c r="AN3976">
        <v>2300</v>
      </c>
      <c r="AO3976" t="s">
        <v>118</v>
      </c>
      <c r="AP3976">
        <v>-133</v>
      </c>
      <c r="AQ3976">
        <v>-53</v>
      </c>
      <c r="AR3976">
        <v>-64</v>
      </c>
      <c r="AZ3976">
        <v>1200</v>
      </c>
      <c r="BA3976">
        <v>1</v>
      </c>
      <c r="BB3976" t="str">
        <f t="shared" si="1816"/>
        <v xml:space="preserve">N711JA  </v>
      </c>
      <c r="BC3976">
        <v>1</v>
      </c>
      <c r="BE3976">
        <v>0</v>
      </c>
      <c r="BF3976">
        <v>0</v>
      </c>
      <c r="BG3976">
        <v>0</v>
      </c>
      <c r="BH3976">
        <v>2300</v>
      </c>
      <c r="BI3976">
        <v>1</v>
      </c>
      <c r="BJ3976">
        <v>1</v>
      </c>
      <c r="BK3976">
        <v>0</v>
      </c>
      <c r="BL3976">
        <v>0</v>
      </c>
      <c r="BO3976">
        <v>0</v>
      </c>
      <c r="BP3976">
        <v>0</v>
      </c>
      <c r="BW3976" t="str">
        <f t="shared" si="1836"/>
        <v>14:48:27.566</v>
      </c>
      <c r="CJ3976">
        <v>0</v>
      </c>
      <c r="CK3976">
        <v>2</v>
      </c>
      <c r="CL3976">
        <v>0</v>
      </c>
      <c r="CM3976">
        <v>2</v>
      </c>
      <c r="CN3976">
        <v>0</v>
      </c>
      <c r="CO3976">
        <v>7</v>
      </c>
      <c r="CP3976" t="s">
        <v>119</v>
      </c>
      <c r="CQ3976">
        <v>8</v>
      </c>
      <c r="CR3976">
        <v>3</v>
      </c>
      <c r="CW3976">
        <v>9098290</v>
      </c>
      <c r="CY3976">
        <v>1</v>
      </c>
      <c r="CZ3976">
        <v>0</v>
      </c>
      <c r="DA3976">
        <v>1</v>
      </c>
      <c r="DB3976">
        <v>0</v>
      </c>
      <c r="DC3976">
        <v>0</v>
      </c>
      <c r="DD3976">
        <v>1</v>
      </c>
      <c r="DE3976">
        <v>0</v>
      </c>
      <c r="DF3976">
        <v>0</v>
      </c>
      <c r="DG3976">
        <v>0</v>
      </c>
      <c r="DH3976">
        <v>0</v>
      </c>
      <c r="DI3976">
        <v>0</v>
      </c>
    </row>
    <row r="3977" spans="1:113" x14ac:dyDescent="0.3">
      <c r="A3977" t="str">
        <f t="shared" ref="A3977:A3984" si="1838">"05/12/2020 14:48:10.763"</f>
        <v>05/12/2020 14:48:10.763</v>
      </c>
      <c r="C3977" t="str">
        <f t="shared" si="1815"/>
        <v>FFDFD3C0</v>
      </c>
      <c r="D3977" t="s">
        <v>126</v>
      </c>
      <c r="E3977">
        <v>6</v>
      </c>
      <c r="F3977">
        <v>1006</v>
      </c>
      <c r="G3977" t="s">
        <v>114</v>
      </c>
      <c r="J3977" t="s">
        <v>128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 t="shared" ref="S3977:S3984" si="1839">"14:48:28.570"</f>
        <v>14:48:28.570</v>
      </c>
      <c r="T3977" t="str">
        <f t="shared" ref="T3977:T3984" si="1840">"14:48:28.370"</f>
        <v>14:48:28.370</v>
      </c>
      <c r="U3977" t="str">
        <f t="shared" si="1837"/>
        <v>A9808D</v>
      </c>
      <c r="V3977">
        <v>0</v>
      </c>
      <c r="W3977">
        <v>0</v>
      </c>
      <c r="X3977">
        <v>1</v>
      </c>
      <c r="Z3977">
        <v>0</v>
      </c>
      <c r="AA3977">
        <v>9</v>
      </c>
      <c r="AB3977">
        <v>3</v>
      </c>
      <c r="AC3977">
        <v>0</v>
      </c>
      <c r="AD3977">
        <v>10</v>
      </c>
      <c r="AE3977">
        <v>0</v>
      </c>
      <c r="AF3977">
        <v>3</v>
      </c>
      <c r="AG3977">
        <v>2</v>
      </c>
      <c r="AH3977">
        <v>0</v>
      </c>
      <c r="AI3977" t="s">
        <v>910</v>
      </c>
      <c r="AJ3977">
        <v>28.268573</v>
      </c>
      <c r="AK3977" t="s">
        <v>911</v>
      </c>
      <c r="AL3977">
        <v>-82.291094999999999</v>
      </c>
      <c r="AM3977">
        <v>100</v>
      </c>
      <c r="AN3977">
        <v>2300</v>
      </c>
      <c r="AO3977" t="s">
        <v>118</v>
      </c>
      <c r="AP3977">
        <v>-132</v>
      </c>
      <c r="AQ3977">
        <v>-56</v>
      </c>
      <c r="AR3977">
        <v>-64</v>
      </c>
      <c r="AZ3977">
        <v>1200</v>
      </c>
      <c r="BA3977">
        <v>1</v>
      </c>
      <c r="BB3977" t="str">
        <f t="shared" si="1816"/>
        <v xml:space="preserve">N711JA  </v>
      </c>
      <c r="BC3977">
        <v>1</v>
      </c>
      <c r="BE3977">
        <v>0</v>
      </c>
      <c r="BF3977">
        <v>0</v>
      </c>
      <c r="BG3977">
        <v>0</v>
      </c>
      <c r="BH3977">
        <v>2300</v>
      </c>
      <c r="BI3977">
        <v>1</v>
      </c>
      <c r="BJ3977">
        <v>1</v>
      </c>
      <c r="BK3977">
        <v>0</v>
      </c>
      <c r="BL3977">
        <v>0</v>
      </c>
      <c r="BO3977">
        <v>0</v>
      </c>
      <c r="BP3977">
        <v>0</v>
      </c>
      <c r="BW3977" t="str">
        <f t="shared" ref="BW3977:BW3984" si="1841">"14:48:28.576"</f>
        <v>14:48:28.576</v>
      </c>
      <c r="CJ3977">
        <v>0</v>
      </c>
      <c r="CK3977">
        <v>2</v>
      </c>
      <c r="CL3977">
        <v>0</v>
      </c>
      <c r="CM3977">
        <v>2</v>
      </c>
      <c r="CN3977">
        <v>0</v>
      </c>
      <c r="CO3977">
        <v>7</v>
      </c>
      <c r="CP3977" t="s">
        <v>119</v>
      </c>
      <c r="CQ3977">
        <v>8</v>
      </c>
      <c r="CR3977">
        <v>3</v>
      </c>
      <c r="CW3977">
        <v>9099334</v>
      </c>
      <c r="CY3977">
        <v>1</v>
      </c>
      <c r="CZ3977">
        <v>0</v>
      </c>
      <c r="DA3977">
        <v>0</v>
      </c>
      <c r="DB3977">
        <v>0</v>
      </c>
      <c r="DC3977">
        <v>0</v>
      </c>
      <c r="DD3977">
        <v>1</v>
      </c>
      <c r="DE3977">
        <v>0</v>
      </c>
      <c r="DF3977">
        <v>0</v>
      </c>
      <c r="DG3977">
        <v>0</v>
      </c>
      <c r="DH3977">
        <v>0</v>
      </c>
      <c r="DI3977">
        <v>0</v>
      </c>
    </row>
    <row r="3978" spans="1:113" x14ac:dyDescent="0.3">
      <c r="A3978" t="str">
        <f t="shared" si="1838"/>
        <v>05/12/2020 14:48:10.763</v>
      </c>
      <c r="C3978" t="str">
        <f t="shared" si="1815"/>
        <v>FFDFD3C0</v>
      </c>
      <c r="D3978" t="s">
        <v>126</v>
      </c>
      <c r="E3978">
        <v>7</v>
      </c>
      <c r="F3978">
        <v>1007</v>
      </c>
      <c r="G3978" t="s">
        <v>127</v>
      </c>
      <c r="J3978" t="s">
        <v>128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 t="shared" si="1839"/>
        <v>14:48:28.570</v>
      </c>
      <c r="T3978" t="str">
        <f t="shared" si="1840"/>
        <v>14:48:28.370</v>
      </c>
      <c r="U3978" t="str">
        <f t="shared" si="1837"/>
        <v>A9808D</v>
      </c>
      <c r="V3978">
        <v>0</v>
      </c>
      <c r="W3978">
        <v>0</v>
      </c>
      <c r="X3978">
        <v>1</v>
      </c>
      <c r="Z3978">
        <v>0</v>
      </c>
      <c r="AA3978">
        <v>9</v>
      </c>
      <c r="AB3978">
        <v>3</v>
      </c>
      <c r="AC3978">
        <v>0</v>
      </c>
      <c r="AD3978">
        <v>10</v>
      </c>
      <c r="AE3978">
        <v>0</v>
      </c>
      <c r="AF3978">
        <v>3</v>
      </c>
      <c r="AG3978">
        <v>2</v>
      </c>
      <c r="AH3978">
        <v>0</v>
      </c>
      <c r="AI3978" t="s">
        <v>910</v>
      </c>
      <c r="AJ3978">
        <v>28.268573</v>
      </c>
      <c r="AK3978" t="s">
        <v>911</v>
      </c>
      <c r="AL3978">
        <v>-82.291094999999999</v>
      </c>
      <c r="AM3978">
        <v>100</v>
      </c>
      <c r="AN3978">
        <v>2300</v>
      </c>
      <c r="AO3978" t="s">
        <v>118</v>
      </c>
      <c r="AP3978">
        <v>-132</v>
      </c>
      <c r="AQ3978">
        <v>-56</v>
      </c>
      <c r="AR3978">
        <v>-64</v>
      </c>
      <c r="AZ3978">
        <v>1200</v>
      </c>
      <c r="BA3978">
        <v>1</v>
      </c>
      <c r="BB3978" t="str">
        <f t="shared" si="1816"/>
        <v xml:space="preserve">N711JA  </v>
      </c>
      <c r="BC3978">
        <v>1</v>
      </c>
      <c r="BE3978">
        <v>0</v>
      </c>
      <c r="BF3978">
        <v>0</v>
      </c>
      <c r="BG3978">
        <v>0</v>
      </c>
      <c r="BH3978">
        <v>2300</v>
      </c>
      <c r="BI3978">
        <v>1</v>
      </c>
      <c r="BJ3978">
        <v>1</v>
      </c>
      <c r="BK3978">
        <v>0</v>
      </c>
      <c r="BL3978">
        <v>0</v>
      </c>
      <c r="BO3978">
        <v>0</v>
      </c>
      <c r="BP3978">
        <v>0</v>
      </c>
      <c r="BW3978" t="str">
        <f t="shared" si="1841"/>
        <v>14:48:28.576</v>
      </c>
      <c r="CJ3978">
        <v>0</v>
      </c>
      <c r="CK3978">
        <v>2</v>
      </c>
      <c r="CL3978">
        <v>0</v>
      </c>
      <c r="CM3978">
        <v>2</v>
      </c>
      <c r="CN3978">
        <v>0</v>
      </c>
      <c r="CO3978">
        <v>7</v>
      </c>
      <c r="CP3978" t="s">
        <v>119</v>
      </c>
      <c r="CQ3978">
        <v>8</v>
      </c>
      <c r="CR3978">
        <v>3</v>
      </c>
      <c r="CW3978">
        <v>9099334</v>
      </c>
      <c r="CY3978">
        <v>1</v>
      </c>
      <c r="CZ3978">
        <v>0</v>
      </c>
      <c r="DA3978">
        <v>1</v>
      </c>
      <c r="DB3978">
        <v>0</v>
      </c>
      <c r="DC3978">
        <v>0</v>
      </c>
      <c r="DD3978">
        <v>1</v>
      </c>
      <c r="DE3978">
        <v>0</v>
      </c>
      <c r="DF3978">
        <v>0</v>
      </c>
      <c r="DG3978">
        <v>0</v>
      </c>
      <c r="DH3978">
        <v>0</v>
      </c>
      <c r="DI3978">
        <v>0</v>
      </c>
    </row>
    <row r="3979" spans="1:113" x14ac:dyDescent="0.3">
      <c r="A3979" t="str">
        <f t="shared" si="1838"/>
        <v>05/12/2020 14:48:10.763</v>
      </c>
      <c r="C3979" t="str">
        <f t="shared" si="1815"/>
        <v>FFDFD3C0</v>
      </c>
      <c r="D3979" t="s">
        <v>131</v>
      </c>
      <c r="E3979">
        <v>10</v>
      </c>
      <c r="F3979">
        <v>2010</v>
      </c>
      <c r="G3979" t="s">
        <v>132</v>
      </c>
      <c r="J3979" t="s">
        <v>133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 t="shared" si="1839"/>
        <v>14:48:28.570</v>
      </c>
      <c r="T3979" t="str">
        <f t="shared" si="1840"/>
        <v>14:48:28.370</v>
      </c>
      <c r="U3979" t="str">
        <f t="shared" si="1837"/>
        <v>A9808D</v>
      </c>
      <c r="V3979">
        <v>0</v>
      </c>
      <c r="W3979">
        <v>0</v>
      </c>
      <c r="X3979">
        <v>1</v>
      </c>
      <c r="Z3979">
        <v>0</v>
      </c>
      <c r="AA3979">
        <v>9</v>
      </c>
      <c r="AB3979">
        <v>3</v>
      </c>
      <c r="AC3979">
        <v>0</v>
      </c>
      <c r="AD3979">
        <v>10</v>
      </c>
      <c r="AE3979">
        <v>0</v>
      </c>
      <c r="AF3979">
        <v>3</v>
      </c>
      <c r="AG3979">
        <v>2</v>
      </c>
      <c r="AH3979">
        <v>0</v>
      </c>
      <c r="AI3979" t="s">
        <v>910</v>
      </c>
      <c r="AJ3979">
        <v>28.268573</v>
      </c>
      <c r="AK3979" t="s">
        <v>911</v>
      </c>
      <c r="AL3979">
        <v>-82.291094999999999</v>
      </c>
      <c r="AM3979">
        <v>100</v>
      </c>
      <c r="AN3979">
        <v>2300</v>
      </c>
      <c r="AO3979" t="s">
        <v>118</v>
      </c>
      <c r="AP3979">
        <v>-132</v>
      </c>
      <c r="AQ3979">
        <v>-56</v>
      </c>
      <c r="AR3979">
        <v>-64</v>
      </c>
      <c r="AZ3979">
        <v>1200</v>
      </c>
      <c r="BA3979">
        <v>1</v>
      </c>
      <c r="BB3979" t="str">
        <f t="shared" si="1816"/>
        <v xml:space="preserve">N711JA  </v>
      </c>
      <c r="BC3979">
        <v>1</v>
      </c>
      <c r="BE3979">
        <v>0</v>
      </c>
      <c r="BF3979">
        <v>0</v>
      </c>
      <c r="BG3979">
        <v>0</v>
      </c>
      <c r="BH3979">
        <v>2300</v>
      </c>
      <c r="BI3979">
        <v>1</v>
      </c>
      <c r="BJ3979">
        <v>1</v>
      </c>
      <c r="BK3979">
        <v>0</v>
      </c>
      <c r="BL3979">
        <v>0</v>
      </c>
      <c r="BO3979">
        <v>0</v>
      </c>
      <c r="BP3979">
        <v>0</v>
      </c>
      <c r="BW3979" t="str">
        <f t="shared" si="1841"/>
        <v>14:48:28.576</v>
      </c>
      <c r="CJ3979">
        <v>0</v>
      </c>
      <c r="CK3979">
        <v>2</v>
      </c>
      <c r="CL3979">
        <v>0</v>
      </c>
      <c r="CM3979">
        <v>2</v>
      </c>
      <c r="CN3979">
        <v>0</v>
      </c>
      <c r="CO3979">
        <v>7</v>
      </c>
      <c r="CP3979" t="s">
        <v>119</v>
      </c>
      <c r="CQ3979">
        <v>8</v>
      </c>
      <c r="CR3979">
        <v>3</v>
      </c>
      <c r="CW3979">
        <v>9099334</v>
      </c>
      <c r="CY3979">
        <v>1</v>
      </c>
      <c r="CZ3979">
        <v>0</v>
      </c>
      <c r="DA3979">
        <v>1</v>
      </c>
      <c r="DB3979">
        <v>0</v>
      </c>
      <c r="DC3979">
        <v>0</v>
      </c>
      <c r="DD3979">
        <v>1</v>
      </c>
      <c r="DE3979">
        <v>0</v>
      </c>
      <c r="DF3979">
        <v>0</v>
      </c>
      <c r="DG3979">
        <v>0</v>
      </c>
      <c r="DH3979">
        <v>0</v>
      </c>
      <c r="DI3979">
        <v>0</v>
      </c>
    </row>
    <row r="3980" spans="1:113" x14ac:dyDescent="0.3">
      <c r="A3980" t="str">
        <f t="shared" si="1838"/>
        <v>05/12/2020 14:48:10.763</v>
      </c>
      <c r="C3980" t="str">
        <f t="shared" si="1815"/>
        <v>FFDFD3C0</v>
      </c>
      <c r="D3980" t="s">
        <v>131</v>
      </c>
      <c r="E3980">
        <v>12</v>
      </c>
      <c r="F3980">
        <v>2012</v>
      </c>
      <c r="G3980" t="s">
        <v>137</v>
      </c>
      <c r="J3980" t="s">
        <v>133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 t="shared" si="1839"/>
        <v>14:48:28.570</v>
      </c>
      <c r="T3980" t="str">
        <f t="shared" si="1840"/>
        <v>14:48:28.370</v>
      </c>
      <c r="U3980" t="str">
        <f t="shared" si="1837"/>
        <v>A9808D</v>
      </c>
      <c r="V3980">
        <v>0</v>
      </c>
      <c r="W3980">
        <v>0</v>
      </c>
      <c r="X3980">
        <v>1</v>
      </c>
      <c r="Z3980">
        <v>0</v>
      </c>
      <c r="AA3980">
        <v>9</v>
      </c>
      <c r="AB3980">
        <v>3</v>
      </c>
      <c r="AC3980">
        <v>0</v>
      </c>
      <c r="AD3980">
        <v>10</v>
      </c>
      <c r="AE3980">
        <v>0</v>
      </c>
      <c r="AF3980">
        <v>3</v>
      </c>
      <c r="AG3980">
        <v>2</v>
      </c>
      <c r="AH3980">
        <v>0</v>
      </c>
      <c r="AI3980" t="s">
        <v>910</v>
      </c>
      <c r="AJ3980">
        <v>28.268573</v>
      </c>
      <c r="AK3980" t="s">
        <v>911</v>
      </c>
      <c r="AL3980">
        <v>-82.291094999999999</v>
      </c>
      <c r="AM3980">
        <v>100</v>
      </c>
      <c r="AN3980">
        <v>2300</v>
      </c>
      <c r="AO3980" t="s">
        <v>118</v>
      </c>
      <c r="AP3980">
        <v>-132</v>
      </c>
      <c r="AQ3980">
        <v>-56</v>
      </c>
      <c r="AR3980">
        <v>-64</v>
      </c>
      <c r="AZ3980">
        <v>1200</v>
      </c>
      <c r="BA3980">
        <v>1</v>
      </c>
      <c r="BB3980" t="str">
        <f t="shared" si="1816"/>
        <v xml:space="preserve">N711JA  </v>
      </c>
      <c r="BC3980">
        <v>1</v>
      </c>
      <c r="BE3980">
        <v>0</v>
      </c>
      <c r="BF3980">
        <v>0</v>
      </c>
      <c r="BG3980">
        <v>0</v>
      </c>
      <c r="BH3980">
        <v>2300</v>
      </c>
      <c r="BI3980">
        <v>1</v>
      </c>
      <c r="BJ3980">
        <v>1</v>
      </c>
      <c r="BK3980">
        <v>0</v>
      </c>
      <c r="BL3980">
        <v>0</v>
      </c>
      <c r="BO3980">
        <v>0</v>
      </c>
      <c r="BP3980">
        <v>0</v>
      </c>
      <c r="BW3980" t="str">
        <f t="shared" si="1841"/>
        <v>14:48:28.576</v>
      </c>
      <c r="CJ3980">
        <v>0</v>
      </c>
      <c r="CK3980">
        <v>2</v>
      </c>
      <c r="CL3980">
        <v>0</v>
      </c>
      <c r="CM3980">
        <v>2</v>
      </c>
      <c r="CN3980">
        <v>0</v>
      </c>
      <c r="CO3980">
        <v>7</v>
      </c>
      <c r="CP3980" t="s">
        <v>119</v>
      </c>
      <c r="CQ3980">
        <v>8</v>
      </c>
      <c r="CR3980">
        <v>3</v>
      </c>
      <c r="CW3980">
        <v>9099334</v>
      </c>
      <c r="CY3980">
        <v>1</v>
      </c>
      <c r="CZ3980">
        <v>0</v>
      </c>
      <c r="DA3980">
        <v>1</v>
      </c>
      <c r="DB3980">
        <v>0</v>
      </c>
      <c r="DC3980">
        <v>0</v>
      </c>
      <c r="DD3980">
        <v>1</v>
      </c>
      <c r="DE3980">
        <v>0</v>
      </c>
      <c r="DF3980">
        <v>0</v>
      </c>
      <c r="DG3980">
        <v>0</v>
      </c>
      <c r="DH3980">
        <v>0</v>
      </c>
      <c r="DI3980">
        <v>0</v>
      </c>
    </row>
    <row r="3981" spans="1:113" x14ac:dyDescent="0.3">
      <c r="A3981" t="str">
        <f t="shared" si="1838"/>
        <v>05/12/2020 14:48:10.763</v>
      </c>
      <c r="C3981" t="str">
        <f t="shared" si="1815"/>
        <v>FFDFD3C0</v>
      </c>
      <c r="D3981" t="s">
        <v>134</v>
      </c>
      <c r="E3981">
        <v>12</v>
      </c>
      <c r="H3981">
        <v>64</v>
      </c>
      <c r="I3981" t="s">
        <v>135</v>
      </c>
      <c r="J3981" t="s">
        <v>136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 t="shared" si="1839"/>
        <v>14:48:28.570</v>
      </c>
      <c r="T3981" t="str">
        <f t="shared" si="1840"/>
        <v>14:48:28.370</v>
      </c>
      <c r="U3981" t="str">
        <f t="shared" si="1837"/>
        <v>A9808D</v>
      </c>
      <c r="V3981">
        <v>0</v>
      </c>
      <c r="W3981">
        <v>0</v>
      </c>
      <c r="X3981">
        <v>1</v>
      </c>
      <c r="Z3981">
        <v>0</v>
      </c>
      <c r="AA3981">
        <v>9</v>
      </c>
      <c r="AB3981">
        <v>3</v>
      </c>
      <c r="AC3981">
        <v>0</v>
      </c>
      <c r="AD3981">
        <v>10</v>
      </c>
      <c r="AE3981">
        <v>0</v>
      </c>
      <c r="AF3981">
        <v>3</v>
      </c>
      <c r="AG3981">
        <v>2</v>
      </c>
      <c r="AH3981">
        <v>0</v>
      </c>
      <c r="AI3981" t="s">
        <v>910</v>
      </c>
      <c r="AJ3981">
        <v>28.268573</v>
      </c>
      <c r="AK3981" t="s">
        <v>911</v>
      </c>
      <c r="AL3981">
        <v>-82.291094999999999</v>
      </c>
      <c r="AM3981">
        <v>100</v>
      </c>
      <c r="AN3981">
        <v>2300</v>
      </c>
      <c r="AO3981" t="s">
        <v>118</v>
      </c>
      <c r="AP3981">
        <v>-132</v>
      </c>
      <c r="AQ3981">
        <v>-56</v>
      </c>
      <c r="AR3981">
        <v>-64</v>
      </c>
      <c r="AZ3981">
        <v>1200</v>
      </c>
      <c r="BA3981">
        <v>1</v>
      </c>
      <c r="BB3981" t="str">
        <f t="shared" si="1816"/>
        <v xml:space="preserve">N711JA  </v>
      </c>
      <c r="BC3981">
        <v>1</v>
      </c>
      <c r="BE3981">
        <v>0</v>
      </c>
      <c r="BF3981">
        <v>0</v>
      </c>
      <c r="BG3981">
        <v>0</v>
      </c>
      <c r="BH3981">
        <v>2300</v>
      </c>
      <c r="BI3981">
        <v>1</v>
      </c>
      <c r="BJ3981">
        <v>1</v>
      </c>
      <c r="BK3981">
        <v>0</v>
      </c>
      <c r="BL3981">
        <v>0</v>
      </c>
      <c r="BO3981">
        <v>0</v>
      </c>
      <c r="BP3981">
        <v>0</v>
      </c>
      <c r="BW3981" t="str">
        <f t="shared" si="1841"/>
        <v>14:48:28.576</v>
      </c>
      <c r="CJ3981">
        <v>0</v>
      </c>
      <c r="CK3981">
        <v>2</v>
      </c>
      <c r="CL3981">
        <v>0</v>
      </c>
      <c r="CM3981">
        <v>2</v>
      </c>
      <c r="CN3981">
        <v>0</v>
      </c>
      <c r="CO3981">
        <v>7</v>
      </c>
      <c r="CP3981" t="s">
        <v>119</v>
      </c>
      <c r="CQ3981">
        <v>8</v>
      </c>
      <c r="CR3981">
        <v>3</v>
      </c>
      <c r="CW3981">
        <v>9099334</v>
      </c>
      <c r="CY3981">
        <v>1</v>
      </c>
      <c r="CZ3981">
        <v>0</v>
      </c>
      <c r="DA3981">
        <v>1</v>
      </c>
      <c r="DB3981">
        <v>0</v>
      </c>
      <c r="DC3981">
        <v>0</v>
      </c>
      <c r="DD3981">
        <v>1</v>
      </c>
      <c r="DE3981">
        <v>0</v>
      </c>
      <c r="DF3981">
        <v>0</v>
      </c>
      <c r="DG3981">
        <v>0</v>
      </c>
      <c r="DH3981">
        <v>0</v>
      </c>
      <c r="DI3981">
        <v>0</v>
      </c>
    </row>
    <row r="3982" spans="1:113" x14ac:dyDescent="0.3">
      <c r="A3982" t="str">
        <f t="shared" si="1838"/>
        <v>05/12/2020 14:48:10.763</v>
      </c>
      <c r="C3982" t="str">
        <f t="shared" si="1815"/>
        <v>FFDFD3C0</v>
      </c>
      <c r="D3982" t="s">
        <v>113</v>
      </c>
      <c r="E3982">
        <v>3</v>
      </c>
      <c r="H3982">
        <v>164</v>
      </c>
      <c r="I3982" t="s">
        <v>114</v>
      </c>
      <c r="J3982" t="s">
        <v>115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 t="shared" si="1839"/>
        <v>14:48:28.570</v>
      </c>
      <c r="T3982" t="str">
        <f t="shared" si="1840"/>
        <v>14:48:28.370</v>
      </c>
      <c r="U3982" t="str">
        <f t="shared" si="1837"/>
        <v>A9808D</v>
      </c>
      <c r="V3982">
        <v>0</v>
      </c>
      <c r="W3982">
        <v>0</v>
      </c>
      <c r="X3982">
        <v>1</v>
      </c>
      <c r="Z3982">
        <v>0</v>
      </c>
      <c r="AA3982">
        <v>9</v>
      </c>
      <c r="AB3982">
        <v>3</v>
      </c>
      <c r="AC3982">
        <v>0</v>
      </c>
      <c r="AD3982">
        <v>10</v>
      </c>
      <c r="AE3982">
        <v>0</v>
      </c>
      <c r="AF3982">
        <v>3</v>
      </c>
      <c r="AG3982">
        <v>2</v>
      </c>
      <c r="AH3982">
        <v>0</v>
      </c>
      <c r="AI3982" t="s">
        <v>910</v>
      </c>
      <c r="AJ3982">
        <v>28.268573</v>
      </c>
      <c r="AK3982" t="s">
        <v>911</v>
      </c>
      <c r="AL3982">
        <v>-82.291094999999999</v>
      </c>
      <c r="AM3982">
        <v>100</v>
      </c>
      <c r="AN3982">
        <v>2300</v>
      </c>
      <c r="AO3982" t="s">
        <v>118</v>
      </c>
      <c r="AP3982">
        <v>-132</v>
      </c>
      <c r="AQ3982">
        <v>-56</v>
      </c>
      <c r="AR3982">
        <v>-64</v>
      </c>
      <c r="AZ3982">
        <v>1200</v>
      </c>
      <c r="BA3982">
        <v>1</v>
      </c>
      <c r="BB3982" t="str">
        <f t="shared" si="1816"/>
        <v xml:space="preserve">N711JA  </v>
      </c>
      <c r="BC3982">
        <v>1</v>
      </c>
      <c r="BE3982">
        <v>0</v>
      </c>
      <c r="BF3982">
        <v>0</v>
      </c>
      <c r="BG3982">
        <v>0</v>
      </c>
      <c r="BH3982">
        <v>2300</v>
      </c>
      <c r="BI3982">
        <v>1</v>
      </c>
      <c r="BJ3982">
        <v>1</v>
      </c>
      <c r="BK3982">
        <v>0</v>
      </c>
      <c r="BL3982">
        <v>0</v>
      </c>
      <c r="BO3982">
        <v>0</v>
      </c>
      <c r="BP3982">
        <v>0</v>
      </c>
      <c r="BW3982" t="str">
        <f t="shared" si="1841"/>
        <v>14:48:28.576</v>
      </c>
      <c r="CJ3982">
        <v>0</v>
      </c>
      <c r="CK3982">
        <v>2</v>
      </c>
      <c r="CL3982">
        <v>0</v>
      </c>
      <c r="CM3982">
        <v>2</v>
      </c>
      <c r="CN3982">
        <v>0</v>
      </c>
      <c r="CO3982">
        <v>7</v>
      </c>
      <c r="CP3982" t="s">
        <v>119</v>
      </c>
      <c r="CQ3982">
        <v>8</v>
      </c>
      <c r="CR3982">
        <v>3</v>
      </c>
      <c r="CW3982">
        <v>9099334</v>
      </c>
      <c r="CY3982">
        <v>1</v>
      </c>
      <c r="CZ3982">
        <v>0</v>
      </c>
      <c r="DA3982">
        <v>1</v>
      </c>
      <c r="DB3982">
        <v>0</v>
      </c>
      <c r="DC3982">
        <v>0</v>
      </c>
      <c r="DD3982">
        <v>1</v>
      </c>
      <c r="DE3982">
        <v>0</v>
      </c>
      <c r="DF3982">
        <v>0</v>
      </c>
      <c r="DG3982">
        <v>0</v>
      </c>
      <c r="DH3982">
        <v>0</v>
      </c>
      <c r="DI3982">
        <v>0</v>
      </c>
    </row>
    <row r="3983" spans="1:113" x14ac:dyDescent="0.3">
      <c r="A3983" t="str">
        <f t="shared" si="1838"/>
        <v>05/12/2020 14:48:10.763</v>
      </c>
      <c r="C3983" t="str">
        <f t="shared" si="1815"/>
        <v>FFDFD3C0</v>
      </c>
      <c r="D3983" t="s">
        <v>138</v>
      </c>
      <c r="E3983">
        <v>2</v>
      </c>
      <c r="H3983">
        <v>8</v>
      </c>
      <c r="I3983" t="s">
        <v>139</v>
      </c>
      <c r="J3983" t="s">
        <v>136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 t="shared" si="1839"/>
        <v>14:48:28.570</v>
      </c>
      <c r="T3983" t="str">
        <f t="shared" si="1840"/>
        <v>14:48:28.370</v>
      </c>
      <c r="U3983" t="str">
        <f t="shared" si="1837"/>
        <v>A9808D</v>
      </c>
      <c r="V3983">
        <v>0</v>
      </c>
      <c r="W3983">
        <v>0</v>
      </c>
      <c r="X3983">
        <v>1</v>
      </c>
      <c r="Z3983">
        <v>0</v>
      </c>
      <c r="AA3983">
        <v>9</v>
      </c>
      <c r="AB3983">
        <v>3</v>
      </c>
      <c r="AC3983">
        <v>0</v>
      </c>
      <c r="AD3983">
        <v>10</v>
      </c>
      <c r="AE3983">
        <v>0</v>
      </c>
      <c r="AF3983">
        <v>3</v>
      </c>
      <c r="AG3983">
        <v>2</v>
      </c>
      <c r="AH3983">
        <v>0</v>
      </c>
      <c r="AI3983" t="s">
        <v>910</v>
      </c>
      <c r="AJ3983">
        <v>28.268573</v>
      </c>
      <c r="AK3983" t="s">
        <v>911</v>
      </c>
      <c r="AL3983">
        <v>-82.291094999999999</v>
      </c>
      <c r="AM3983">
        <v>100</v>
      </c>
      <c r="AN3983">
        <v>2300</v>
      </c>
      <c r="AO3983" t="s">
        <v>118</v>
      </c>
      <c r="AP3983">
        <v>-132</v>
      </c>
      <c r="AQ3983">
        <v>-56</v>
      </c>
      <c r="AR3983">
        <v>-64</v>
      </c>
      <c r="AZ3983">
        <v>1200</v>
      </c>
      <c r="BA3983">
        <v>1</v>
      </c>
      <c r="BB3983" t="str">
        <f t="shared" si="1816"/>
        <v xml:space="preserve">N711JA  </v>
      </c>
      <c r="BC3983">
        <v>1</v>
      </c>
      <c r="BE3983">
        <v>0</v>
      </c>
      <c r="BF3983">
        <v>0</v>
      </c>
      <c r="BG3983">
        <v>0</v>
      </c>
      <c r="BH3983">
        <v>2300</v>
      </c>
      <c r="BI3983">
        <v>1</v>
      </c>
      <c r="BJ3983">
        <v>1</v>
      </c>
      <c r="BK3983">
        <v>0</v>
      </c>
      <c r="BL3983">
        <v>0</v>
      </c>
      <c r="BO3983">
        <v>0</v>
      </c>
      <c r="BP3983">
        <v>0</v>
      </c>
      <c r="BW3983" t="str">
        <f t="shared" si="1841"/>
        <v>14:48:28.576</v>
      </c>
      <c r="CJ3983">
        <v>0</v>
      </c>
      <c r="CK3983">
        <v>2</v>
      </c>
      <c r="CL3983">
        <v>0</v>
      </c>
      <c r="CM3983">
        <v>2</v>
      </c>
      <c r="CN3983">
        <v>0</v>
      </c>
      <c r="CO3983">
        <v>7</v>
      </c>
      <c r="CP3983" t="s">
        <v>119</v>
      </c>
      <c r="CQ3983">
        <v>8</v>
      </c>
      <c r="CR3983">
        <v>3</v>
      </c>
      <c r="CW3983">
        <v>9099334</v>
      </c>
      <c r="CY3983">
        <v>1</v>
      </c>
      <c r="CZ3983">
        <v>0</v>
      </c>
      <c r="DA3983">
        <v>1</v>
      </c>
      <c r="DB3983">
        <v>0</v>
      </c>
      <c r="DC3983">
        <v>0</v>
      </c>
      <c r="DD3983">
        <v>1</v>
      </c>
      <c r="DE3983">
        <v>0</v>
      </c>
      <c r="DF3983">
        <v>0</v>
      </c>
      <c r="DG3983">
        <v>0</v>
      </c>
      <c r="DH3983">
        <v>0</v>
      </c>
      <c r="DI3983">
        <v>0</v>
      </c>
    </row>
    <row r="3984" spans="1:113" x14ac:dyDescent="0.3">
      <c r="A3984" t="str">
        <f t="shared" si="1838"/>
        <v>05/12/2020 14:48:10.763</v>
      </c>
      <c r="C3984" t="str">
        <f t="shared" si="1815"/>
        <v>FFDFD3C0</v>
      </c>
      <c r="D3984" t="s">
        <v>138</v>
      </c>
      <c r="E3984">
        <v>3</v>
      </c>
      <c r="H3984">
        <v>9</v>
      </c>
      <c r="I3984" t="s">
        <v>140</v>
      </c>
      <c r="J3984" t="s">
        <v>136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 t="shared" si="1839"/>
        <v>14:48:28.570</v>
      </c>
      <c r="T3984" t="str">
        <f t="shared" si="1840"/>
        <v>14:48:28.370</v>
      </c>
      <c r="U3984" t="str">
        <f t="shared" si="1837"/>
        <v>A9808D</v>
      </c>
      <c r="V3984">
        <v>0</v>
      </c>
      <c r="W3984">
        <v>0</v>
      </c>
      <c r="X3984">
        <v>1</v>
      </c>
      <c r="Z3984">
        <v>0</v>
      </c>
      <c r="AA3984">
        <v>9</v>
      </c>
      <c r="AB3984">
        <v>3</v>
      </c>
      <c r="AC3984">
        <v>0</v>
      </c>
      <c r="AD3984">
        <v>10</v>
      </c>
      <c r="AE3984">
        <v>0</v>
      </c>
      <c r="AF3984">
        <v>3</v>
      </c>
      <c r="AG3984">
        <v>2</v>
      </c>
      <c r="AH3984">
        <v>0</v>
      </c>
      <c r="AI3984" t="s">
        <v>910</v>
      </c>
      <c r="AJ3984">
        <v>28.268573</v>
      </c>
      <c r="AK3984" t="s">
        <v>911</v>
      </c>
      <c r="AL3984">
        <v>-82.291094999999999</v>
      </c>
      <c r="AM3984">
        <v>100</v>
      </c>
      <c r="AN3984">
        <v>2300</v>
      </c>
      <c r="AO3984" t="s">
        <v>118</v>
      </c>
      <c r="AP3984">
        <v>-132</v>
      </c>
      <c r="AQ3984">
        <v>-56</v>
      </c>
      <c r="AR3984">
        <v>-64</v>
      </c>
      <c r="AZ3984">
        <v>1200</v>
      </c>
      <c r="BA3984">
        <v>1</v>
      </c>
      <c r="BB3984" t="str">
        <f t="shared" si="1816"/>
        <v xml:space="preserve">N711JA  </v>
      </c>
      <c r="BC3984">
        <v>1</v>
      </c>
      <c r="BE3984">
        <v>0</v>
      </c>
      <c r="BF3984">
        <v>0</v>
      </c>
      <c r="BG3984">
        <v>0</v>
      </c>
      <c r="BH3984">
        <v>2300</v>
      </c>
      <c r="BI3984">
        <v>1</v>
      </c>
      <c r="BJ3984">
        <v>1</v>
      </c>
      <c r="BK3984">
        <v>0</v>
      </c>
      <c r="BL3984">
        <v>0</v>
      </c>
      <c r="BO3984">
        <v>0</v>
      </c>
      <c r="BP3984">
        <v>0</v>
      </c>
      <c r="BW3984" t="str">
        <f t="shared" si="1841"/>
        <v>14:48:28.576</v>
      </c>
      <c r="CJ3984">
        <v>0</v>
      </c>
      <c r="CK3984">
        <v>2</v>
      </c>
      <c r="CL3984">
        <v>0</v>
      </c>
      <c r="CM3984">
        <v>2</v>
      </c>
      <c r="CN3984">
        <v>0</v>
      </c>
      <c r="CO3984">
        <v>7</v>
      </c>
      <c r="CP3984" t="s">
        <v>119</v>
      </c>
      <c r="CQ3984">
        <v>8</v>
      </c>
      <c r="CR3984">
        <v>3</v>
      </c>
      <c r="CW3984">
        <v>9099334</v>
      </c>
      <c r="CY3984">
        <v>1</v>
      </c>
      <c r="CZ3984">
        <v>0</v>
      </c>
      <c r="DA3984">
        <v>1</v>
      </c>
      <c r="DB3984">
        <v>0</v>
      </c>
      <c r="DC3984">
        <v>0</v>
      </c>
      <c r="DD3984">
        <v>1</v>
      </c>
      <c r="DE3984">
        <v>0</v>
      </c>
      <c r="DF3984">
        <v>0</v>
      </c>
      <c r="DG3984">
        <v>0</v>
      </c>
      <c r="DH3984">
        <v>0</v>
      </c>
      <c r="DI3984">
        <v>0</v>
      </c>
    </row>
    <row r="3985" spans="1:113" x14ac:dyDescent="0.3">
      <c r="A3985" t="str">
        <f t="shared" ref="A3985:A3993" si="1842">"05/12/2020 14:48:11.888"</f>
        <v>05/12/2020 14:48:11.888</v>
      </c>
      <c r="C3985" t="str">
        <f t="shared" si="1815"/>
        <v>FFDFD3C0</v>
      </c>
      <c r="D3985" t="s">
        <v>131</v>
      </c>
      <c r="E3985">
        <v>12</v>
      </c>
      <c r="F3985">
        <v>2012</v>
      </c>
      <c r="G3985" t="s">
        <v>137</v>
      </c>
      <c r="J3985" t="s">
        <v>133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 t="shared" ref="S3985:S3993" si="1843">"14:48:29.695"</f>
        <v>14:48:29.695</v>
      </c>
      <c r="T3985" t="str">
        <f>"14:48:28.795"</f>
        <v>14:48:28.795</v>
      </c>
      <c r="U3985" t="str">
        <f t="shared" si="1837"/>
        <v>A9808D</v>
      </c>
      <c r="V3985">
        <v>0</v>
      </c>
      <c r="W3985">
        <v>0</v>
      </c>
      <c r="X3985">
        <v>1</v>
      </c>
      <c r="Z3985">
        <v>0</v>
      </c>
      <c r="AA3985">
        <v>9</v>
      </c>
      <c r="AB3985">
        <v>3</v>
      </c>
      <c r="AC3985">
        <v>0</v>
      </c>
      <c r="AD3985">
        <v>10</v>
      </c>
      <c r="AE3985">
        <v>0</v>
      </c>
      <c r="AF3985">
        <v>3</v>
      </c>
      <c r="AG3985">
        <v>2</v>
      </c>
      <c r="AH3985">
        <v>0</v>
      </c>
      <c r="AI3985" t="s">
        <v>912</v>
      </c>
      <c r="AJ3985">
        <v>28.268250999999999</v>
      </c>
      <c r="AK3985" t="s">
        <v>913</v>
      </c>
      <c r="AL3985">
        <v>-82.291910999999999</v>
      </c>
      <c r="AM3985">
        <v>100</v>
      </c>
      <c r="AN3985">
        <v>2300</v>
      </c>
      <c r="AO3985" t="s">
        <v>118</v>
      </c>
      <c r="AP3985">
        <v>-131</v>
      </c>
      <c r="AQ3985">
        <v>-58</v>
      </c>
      <c r="AR3985">
        <v>-64</v>
      </c>
      <c r="AZ3985">
        <v>1200</v>
      </c>
      <c r="BA3985">
        <v>1</v>
      </c>
      <c r="BB3985" t="str">
        <f t="shared" si="1816"/>
        <v xml:space="preserve">N711JA  </v>
      </c>
      <c r="BC3985">
        <v>1</v>
      </c>
      <c r="BE3985">
        <v>0</v>
      </c>
      <c r="BF3985">
        <v>0</v>
      </c>
      <c r="BG3985">
        <v>0</v>
      </c>
      <c r="BH3985">
        <v>2300</v>
      </c>
      <c r="BI3985">
        <v>1</v>
      </c>
      <c r="BJ3985">
        <v>1</v>
      </c>
      <c r="BK3985">
        <v>0</v>
      </c>
      <c r="BL3985">
        <v>0</v>
      </c>
      <c r="BO3985">
        <v>0</v>
      </c>
      <c r="BP3985">
        <v>0</v>
      </c>
      <c r="BW3985" t="str">
        <f>"14:48:29.699"</f>
        <v>14:48:29.699</v>
      </c>
      <c r="CJ3985">
        <v>0</v>
      </c>
      <c r="CK3985">
        <v>2</v>
      </c>
      <c r="CL3985">
        <v>0</v>
      </c>
      <c r="CM3985">
        <v>2</v>
      </c>
      <c r="CN3985">
        <v>0</v>
      </c>
      <c r="CO3985">
        <v>7</v>
      </c>
      <c r="CP3985" t="s">
        <v>119</v>
      </c>
      <c r="CQ3985">
        <v>8</v>
      </c>
      <c r="CR3985">
        <v>3</v>
      </c>
      <c r="CW3985">
        <v>9100546</v>
      </c>
      <c r="CY3985">
        <v>1</v>
      </c>
      <c r="CZ3985">
        <v>0</v>
      </c>
      <c r="DA3985">
        <v>0</v>
      </c>
      <c r="DB3985">
        <v>0</v>
      </c>
      <c r="DC3985">
        <v>0</v>
      </c>
      <c r="DD3985">
        <v>1</v>
      </c>
      <c r="DE3985">
        <v>0</v>
      </c>
      <c r="DF3985">
        <v>0</v>
      </c>
      <c r="DG3985">
        <v>0</v>
      </c>
      <c r="DH3985">
        <v>0</v>
      </c>
      <c r="DI3985">
        <v>0</v>
      </c>
    </row>
    <row r="3986" spans="1:113" x14ac:dyDescent="0.3">
      <c r="A3986" t="str">
        <f t="shared" si="1842"/>
        <v>05/12/2020 14:48:11.888</v>
      </c>
      <c r="C3986" t="str">
        <f t="shared" si="1815"/>
        <v>FFDFD3C0</v>
      </c>
      <c r="D3986" t="s">
        <v>126</v>
      </c>
      <c r="E3986">
        <v>7</v>
      </c>
      <c r="F3986">
        <v>1007</v>
      </c>
      <c r="G3986" t="s">
        <v>127</v>
      </c>
      <c r="J3986" t="s">
        <v>128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 t="shared" si="1843"/>
        <v>14:48:29.695</v>
      </c>
      <c r="T3986" t="str">
        <f t="shared" ref="T3986:T3991" si="1844">"14:48:29.695"</f>
        <v>14:48:29.695</v>
      </c>
      <c r="U3986" t="str">
        <f t="shared" si="1837"/>
        <v>A9808D</v>
      </c>
      <c r="V3986">
        <v>0</v>
      </c>
      <c r="W3986">
        <v>0</v>
      </c>
      <c r="X3986">
        <v>1</v>
      </c>
      <c r="Z3986">
        <v>0</v>
      </c>
      <c r="AA3986">
        <v>9</v>
      </c>
      <c r="AB3986">
        <v>3</v>
      </c>
      <c r="AC3986">
        <v>0</v>
      </c>
      <c r="AD3986">
        <v>10</v>
      </c>
      <c r="AE3986">
        <v>0</v>
      </c>
      <c r="AF3986">
        <v>3</v>
      </c>
      <c r="AG3986">
        <v>2</v>
      </c>
      <c r="AH3986">
        <v>0</v>
      </c>
      <c r="AI3986" t="s">
        <v>912</v>
      </c>
      <c r="AJ3986">
        <v>28.268250999999999</v>
      </c>
      <c r="AK3986" t="s">
        <v>913</v>
      </c>
      <c r="AL3986">
        <v>-82.291910999999999</v>
      </c>
      <c r="AM3986">
        <v>100</v>
      </c>
      <c r="AN3986">
        <v>2300</v>
      </c>
      <c r="AO3986" t="s">
        <v>118</v>
      </c>
      <c r="AP3986">
        <v>-130</v>
      </c>
      <c r="AQ3986">
        <v>-61</v>
      </c>
      <c r="AR3986">
        <v>-64</v>
      </c>
      <c r="AZ3986">
        <v>1200</v>
      </c>
      <c r="BA3986">
        <v>1</v>
      </c>
      <c r="BB3986" t="str">
        <f t="shared" si="1816"/>
        <v xml:space="preserve">N711JA  </v>
      </c>
      <c r="BC3986">
        <v>1</v>
      </c>
      <c r="BE3986">
        <v>0</v>
      </c>
      <c r="BF3986">
        <v>0</v>
      </c>
      <c r="BG3986">
        <v>0</v>
      </c>
      <c r="BH3986">
        <v>2300</v>
      </c>
      <c r="BI3986">
        <v>1</v>
      </c>
      <c r="BJ3986">
        <v>1</v>
      </c>
      <c r="BK3986">
        <v>0</v>
      </c>
      <c r="BL3986">
        <v>0</v>
      </c>
      <c r="BO3986">
        <v>0</v>
      </c>
      <c r="BP3986">
        <v>0</v>
      </c>
      <c r="BW3986" t="str">
        <f>"14:48:29.699"</f>
        <v>14:48:29.699</v>
      </c>
      <c r="CJ3986">
        <v>0</v>
      </c>
      <c r="CK3986">
        <v>2</v>
      </c>
      <c r="CL3986">
        <v>0</v>
      </c>
      <c r="CM3986">
        <v>2</v>
      </c>
      <c r="CN3986">
        <v>0</v>
      </c>
      <c r="CO3986">
        <v>6</v>
      </c>
      <c r="CP3986" t="s">
        <v>119</v>
      </c>
      <c r="CQ3986">
        <v>358</v>
      </c>
      <c r="CR3986">
        <v>0</v>
      </c>
      <c r="CW3986">
        <v>5063250</v>
      </c>
      <c r="CY3986">
        <v>1</v>
      </c>
      <c r="CZ3986">
        <v>0</v>
      </c>
      <c r="DA3986">
        <v>1</v>
      </c>
      <c r="DB3986">
        <v>0</v>
      </c>
      <c r="DC3986">
        <v>0</v>
      </c>
      <c r="DD3986">
        <v>1</v>
      </c>
      <c r="DE3986">
        <v>0</v>
      </c>
      <c r="DF3986">
        <v>0</v>
      </c>
      <c r="DG3986">
        <v>0</v>
      </c>
      <c r="DH3986">
        <v>0</v>
      </c>
      <c r="DI3986">
        <v>0</v>
      </c>
    </row>
    <row r="3987" spans="1:113" x14ac:dyDescent="0.3">
      <c r="A3987" t="str">
        <f t="shared" si="1842"/>
        <v>05/12/2020 14:48:11.888</v>
      </c>
      <c r="C3987" t="str">
        <f t="shared" si="1815"/>
        <v>FFDFD3C0</v>
      </c>
      <c r="D3987" t="s">
        <v>131</v>
      </c>
      <c r="E3987">
        <v>10</v>
      </c>
      <c r="F3987">
        <v>2010</v>
      </c>
      <c r="G3987" t="s">
        <v>132</v>
      </c>
      <c r="J3987" t="s">
        <v>133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 t="shared" si="1843"/>
        <v>14:48:29.695</v>
      </c>
      <c r="T3987" t="str">
        <f t="shared" si="1844"/>
        <v>14:48:29.695</v>
      </c>
      <c r="U3987" t="str">
        <f t="shared" si="1837"/>
        <v>A9808D</v>
      </c>
      <c r="V3987">
        <v>0</v>
      </c>
      <c r="W3987">
        <v>0</v>
      </c>
      <c r="X3987">
        <v>1</v>
      </c>
      <c r="Z3987">
        <v>0</v>
      </c>
      <c r="AA3987">
        <v>9</v>
      </c>
      <c r="AB3987">
        <v>3</v>
      </c>
      <c r="AC3987">
        <v>0</v>
      </c>
      <c r="AD3987">
        <v>10</v>
      </c>
      <c r="AE3987">
        <v>0</v>
      </c>
      <c r="AF3987">
        <v>3</v>
      </c>
      <c r="AG3987">
        <v>2</v>
      </c>
      <c r="AH3987">
        <v>0</v>
      </c>
      <c r="AI3987" t="s">
        <v>912</v>
      </c>
      <c r="AJ3987">
        <v>28.268250999999999</v>
      </c>
      <c r="AK3987" t="s">
        <v>913</v>
      </c>
      <c r="AL3987">
        <v>-82.291910999999999</v>
      </c>
      <c r="AM3987">
        <v>100</v>
      </c>
      <c r="AN3987">
        <v>2300</v>
      </c>
      <c r="AO3987" t="s">
        <v>118</v>
      </c>
      <c r="AP3987">
        <v>-130</v>
      </c>
      <c r="AQ3987">
        <v>-61</v>
      </c>
      <c r="AR3987">
        <v>-64</v>
      </c>
      <c r="AZ3987">
        <v>1200</v>
      </c>
      <c r="BA3987">
        <v>1</v>
      </c>
      <c r="BB3987" t="str">
        <f t="shared" si="1816"/>
        <v xml:space="preserve">N711JA  </v>
      </c>
      <c r="BC3987">
        <v>1</v>
      </c>
      <c r="BE3987">
        <v>0</v>
      </c>
      <c r="BF3987">
        <v>0</v>
      </c>
      <c r="BG3987">
        <v>0</v>
      </c>
      <c r="BH3987">
        <v>2300</v>
      </c>
      <c r="BI3987">
        <v>1</v>
      </c>
      <c r="BJ3987">
        <v>1</v>
      </c>
      <c r="BK3987">
        <v>0</v>
      </c>
      <c r="BL3987">
        <v>0</v>
      </c>
      <c r="BO3987">
        <v>0</v>
      </c>
      <c r="BP3987">
        <v>0</v>
      </c>
      <c r="BW3987" t="str">
        <f>"14:48:29.699"</f>
        <v>14:48:29.699</v>
      </c>
      <c r="CJ3987">
        <v>0</v>
      </c>
      <c r="CK3987">
        <v>2</v>
      </c>
      <c r="CL3987">
        <v>0</v>
      </c>
      <c r="CM3987">
        <v>2</v>
      </c>
      <c r="CN3987">
        <v>0</v>
      </c>
      <c r="CO3987">
        <v>6</v>
      </c>
      <c r="CP3987" t="s">
        <v>119</v>
      </c>
      <c r="CQ3987">
        <v>358</v>
      </c>
      <c r="CR3987">
        <v>0</v>
      </c>
      <c r="CW3987">
        <v>5063250</v>
      </c>
      <c r="CY3987">
        <v>1</v>
      </c>
      <c r="CZ3987">
        <v>0</v>
      </c>
      <c r="DA3987">
        <v>1</v>
      </c>
      <c r="DB3987">
        <v>0</v>
      </c>
      <c r="DC3987">
        <v>0</v>
      </c>
      <c r="DD3987">
        <v>1</v>
      </c>
      <c r="DE3987">
        <v>0</v>
      </c>
      <c r="DF3987">
        <v>0</v>
      </c>
      <c r="DG3987">
        <v>0</v>
      </c>
      <c r="DH3987">
        <v>0</v>
      </c>
      <c r="DI3987">
        <v>0</v>
      </c>
    </row>
    <row r="3988" spans="1:113" x14ac:dyDescent="0.3">
      <c r="A3988" t="str">
        <f t="shared" si="1842"/>
        <v>05/12/2020 14:48:11.888</v>
      </c>
      <c r="C3988" t="str">
        <f t="shared" si="1815"/>
        <v>FFDFD3C0</v>
      </c>
      <c r="D3988" t="s">
        <v>126</v>
      </c>
      <c r="E3988">
        <v>6</v>
      </c>
      <c r="F3988">
        <v>1006</v>
      </c>
      <c r="G3988" t="s">
        <v>114</v>
      </c>
      <c r="J3988" t="s">
        <v>128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 t="shared" si="1843"/>
        <v>14:48:29.695</v>
      </c>
      <c r="T3988" t="str">
        <f t="shared" si="1844"/>
        <v>14:48:29.695</v>
      </c>
      <c r="U3988" t="str">
        <f t="shared" si="1837"/>
        <v>A9808D</v>
      </c>
      <c r="V3988">
        <v>0</v>
      </c>
      <c r="W3988">
        <v>0</v>
      </c>
      <c r="X3988">
        <v>1</v>
      </c>
      <c r="Z3988">
        <v>0</v>
      </c>
      <c r="AA3988">
        <v>9</v>
      </c>
      <c r="AB3988">
        <v>3</v>
      </c>
      <c r="AC3988">
        <v>0</v>
      </c>
      <c r="AD3988">
        <v>10</v>
      </c>
      <c r="AE3988">
        <v>0</v>
      </c>
      <c r="AF3988">
        <v>3</v>
      </c>
      <c r="AG3988">
        <v>2</v>
      </c>
      <c r="AH3988">
        <v>0</v>
      </c>
      <c r="AI3988" t="s">
        <v>912</v>
      </c>
      <c r="AJ3988">
        <v>28.268250999999999</v>
      </c>
      <c r="AK3988" t="s">
        <v>913</v>
      </c>
      <c r="AL3988">
        <v>-82.291910999999999</v>
      </c>
      <c r="AM3988">
        <v>100</v>
      </c>
      <c r="AN3988">
        <v>2300</v>
      </c>
      <c r="AO3988" t="s">
        <v>118</v>
      </c>
      <c r="AP3988">
        <v>-130</v>
      </c>
      <c r="AQ3988">
        <v>-61</v>
      </c>
      <c r="AR3988">
        <v>-64</v>
      </c>
      <c r="AZ3988">
        <v>1200</v>
      </c>
      <c r="BA3988">
        <v>1</v>
      </c>
      <c r="BB3988" t="str">
        <f t="shared" si="1816"/>
        <v xml:space="preserve">N711JA  </v>
      </c>
      <c r="BC3988">
        <v>1</v>
      </c>
      <c r="BE3988">
        <v>0</v>
      </c>
      <c r="BF3988">
        <v>0</v>
      </c>
      <c r="BG3988">
        <v>0</v>
      </c>
      <c r="BH3988">
        <v>2300</v>
      </c>
      <c r="BI3988">
        <v>1</v>
      </c>
      <c r="BJ3988">
        <v>1</v>
      </c>
      <c r="BK3988">
        <v>0</v>
      </c>
      <c r="BL3988">
        <v>0</v>
      </c>
      <c r="BO3988">
        <v>0</v>
      </c>
      <c r="BP3988">
        <v>0</v>
      </c>
      <c r="BW3988" t="str">
        <f>"14:48:29.699"</f>
        <v>14:48:29.699</v>
      </c>
      <c r="CJ3988">
        <v>0</v>
      </c>
      <c r="CK3988">
        <v>2</v>
      </c>
      <c r="CL3988">
        <v>0</v>
      </c>
      <c r="CM3988">
        <v>2</v>
      </c>
      <c r="CN3988">
        <v>0</v>
      </c>
      <c r="CO3988">
        <v>6</v>
      </c>
      <c r="CP3988" t="s">
        <v>119</v>
      </c>
      <c r="CQ3988">
        <v>358</v>
      </c>
      <c r="CR3988">
        <v>0</v>
      </c>
      <c r="CW3988">
        <v>5063250</v>
      </c>
      <c r="CY3988">
        <v>1</v>
      </c>
      <c r="CZ3988">
        <v>0</v>
      </c>
      <c r="DA3988">
        <v>1</v>
      </c>
      <c r="DB3988">
        <v>0</v>
      </c>
      <c r="DC3988">
        <v>0</v>
      </c>
      <c r="DD3988">
        <v>1</v>
      </c>
      <c r="DE3988">
        <v>0</v>
      </c>
      <c r="DF3988">
        <v>0</v>
      </c>
      <c r="DG3988">
        <v>0</v>
      </c>
      <c r="DH3988">
        <v>0</v>
      </c>
      <c r="DI3988">
        <v>0</v>
      </c>
    </row>
    <row r="3989" spans="1:113" x14ac:dyDescent="0.3">
      <c r="A3989" t="str">
        <f t="shared" si="1842"/>
        <v>05/12/2020 14:48:11.888</v>
      </c>
      <c r="C3989" t="str">
        <f t="shared" si="1815"/>
        <v>FFDFD3C0</v>
      </c>
      <c r="D3989" t="s">
        <v>131</v>
      </c>
      <c r="E3989">
        <v>18</v>
      </c>
      <c r="F3989">
        <v>2018</v>
      </c>
      <c r="G3989" t="s">
        <v>161</v>
      </c>
      <c r="J3989" t="s">
        <v>133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 t="shared" si="1843"/>
        <v>14:48:29.695</v>
      </c>
      <c r="T3989" t="str">
        <f t="shared" si="1844"/>
        <v>14:48:29.695</v>
      </c>
      <c r="U3989" t="str">
        <f t="shared" si="1837"/>
        <v>A9808D</v>
      </c>
      <c r="V3989">
        <v>0</v>
      </c>
      <c r="W3989">
        <v>0</v>
      </c>
      <c r="X3989">
        <v>1</v>
      </c>
      <c r="Z3989">
        <v>0</v>
      </c>
      <c r="AA3989">
        <v>9</v>
      </c>
      <c r="AB3989">
        <v>3</v>
      </c>
      <c r="AC3989">
        <v>0</v>
      </c>
      <c r="AD3989">
        <v>10</v>
      </c>
      <c r="AE3989">
        <v>0</v>
      </c>
      <c r="AF3989">
        <v>3</v>
      </c>
      <c r="AG3989">
        <v>2</v>
      </c>
      <c r="AH3989">
        <v>0</v>
      </c>
      <c r="AI3989" t="s">
        <v>912</v>
      </c>
      <c r="AJ3989">
        <v>28.268250999999999</v>
      </c>
      <c r="AK3989" t="s">
        <v>913</v>
      </c>
      <c r="AL3989">
        <v>-82.291910999999999</v>
      </c>
      <c r="AM3989">
        <v>100</v>
      </c>
      <c r="AN3989">
        <v>2300</v>
      </c>
      <c r="AO3989" t="s">
        <v>118</v>
      </c>
      <c r="AP3989">
        <v>-130</v>
      </c>
      <c r="AQ3989">
        <v>-61</v>
      </c>
      <c r="AR3989">
        <v>-64</v>
      </c>
      <c r="AZ3989">
        <v>1200</v>
      </c>
      <c r="BA3989">
        <v>1</v>
      </c>
      <c r="BB3989" t="str">
        <f t="shared" si="1816"/>
        <v xml:space="preserve">N711JA  </v>
      </c>
      <c r="BC3989">
        <v>1</v>
      </c>
      <c r="BE3989">
        <v>0</v>
      </c>
      <c r="BF3989">
        <v>0</v>
      </c>
      <c r="BG3989">
        <v>0</v>
      </c>
      <c r="BH3989">
        <v>2300</v>
      </c>
      <c r="BI3989">
        <v>1</v>
      </c>
      <c r="BJ3989">
        <v>1</v>
      </c>
      <c r="BK3989">
        <v>0</v>
      </c>
      <c r="BL3989">
        <v>0</v>
      </c>
      <c r="BO3989">
        <v>0</v>
      </c>
      <c r="BP3989">
        <v>0</v>
      </c>
      <c r="BW3989" t="str">
        <f>"14:48:29.700"</f>
        <v>14:48:29.700</v>
      </c>
      <c r="CJ3989">
        <v>0</v>
      </c>
      <c r="CK3989">
        <v>2</v>
      </c>
      <c r="CL3989">
        <v>0</v>
      </c>
      <c r="CM3989">
        <v>2</v>
      </c>
      <c r="CN3989">
        <v>0</v>
      </c>
      <c r="CO3989">
        <v>5</v>
      </c>
      <c r="CP3989" t="s">
        <v>119</v>
      </c>
      <c r="CQ3989">
        <v>62</v>
      </c>
      <c r="CR3989">
        <v>1</v>
      </c>
      <c r="CW3989">
        <v>12991776</v>
      </c>
      <c r="CY3989">
        <v>1</v>
      </c>
      <c r="CZ3989">
        <v>0</v>
      </c>
      <c r="DA3989">
        <v>1</v>
      </c>
      <c r="DB3989">
        <v>0</v>
      </c>
      <c r="DC3989">
        <v>0</v>
      </c>
      <c r="DD3989">
        <v>1</v>
      </c>
      <c r="DE3989">
        <v>0</v>
      </c>
      <c r="DF3989">
        <v>0</v>
      </c>
      <c r="DG3989">
        <v>0</v>
      </c>
      <c r="DH3989">
        <v>0</v>
      </c>
      <c r="DI3989">
        <v>0</v>
      </c>
    </row>
    <row r="3990" spans="1:113" x14ac:dyDescent="0.3">
      <c r="A3990" t="str">
        <f t="shared" si="1842"/>
        <v>05/12/2020 14:48:11.888</v>
      </c>
      <c r="C3990" t="str">
        <f t="shared" ref="C3990:C4053" si="1845">"FFDFD3C0"</f>
        <v>FFDFD3C0</v>
      </c>
      <c r="D3990" t="s">
        <v>134</v>
      </c>
      <c r="E3990">
        <v>12</v>
      </c>
      <c r="H3990">
        <v>64</v>
      </c>
      <c r="I3990" t="s">
        <v>135</v>
      </c>
      <c r="J3990" t="s">
        <v>136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 t="shared" si="1843"/>
        <v>14:48:29.695</v>
      </c>
      <c r="T3990" t="str">
        <f t="shared" si="1844"/>
        <v>14:48:29.695</v>
      </c>
      <c r="U3990" t="str">
        <f t="shared" si="1837"/>
        <v>A9808D</v>
      </c>
      <c r="V3990">
        <v>0</v>
      </c>
      <c r="W3990">
        <v>0</v>
      </c>
      <c r="X3990">
        <v>1</v>
      </c>
      <c r="Z3990">
        <v>0</v>
      </c>
      <c r="AA3990">
        <v>9</v>
      </c>
      <c r="AB3990">
        <v>3</v>
      </c>
      <c r="AC3990">
        <v>0</v>
      </c>
      <c r="AD3990">
        <v>10</v>
      </c>
      <c r="AE3990">
        <v>0</v>
      </c>
      <c r="AF3990">
        <v>3</v>
      </c>
      <c r="AG3990">
        <v>2</v>
      </c>
      <c r="AH3990">
        <v>0</v>
      </c>
      <c r="AI3990" t="s">
        <v>912</v>
      </c>
      <c r="AJ3990">
        <v>28.268250999999999</v>
      </c>
      <c r="AK3990" t="s">
        <v>913</v>
      </c>
      <c r="AL3990">
        <v>-82.291910999999999</v>
      </c>
      <c r="AM3990">
        <v>100</v>
      </c>
      <c r="AN3990">
        <v>2300</v>
      </c>
      <c r="AO3990" t="s">
        <v>118</v>
      </c>
      <c r="AP3990">
        <v>-130</v>
      </c>
      <c r="AQ3990">
        <v>-61</v>
      </c>
      <c r="AR3990">
        <v>-64</v>
      </c>
      <c r="AZ3990">
        <v>1200</v>
      </c>
      <c r="BA3990">
        <v>1</v>
      </c>
      <c r="BB3990" t="str">
        <f t="shared" ref="BB3990:BB4053" si="1846">"N711JA  "</f>
        <v xml:space="preserve">N711JA  </v>
      </c>
      <c r="BC3990">
        <v>1</v>
      </c>
      <c r="BE3990">
        <v>0</v>
      </c>
      <c r="BF3990">
        <v>0</v>
      </c>
      <c r="BG3990">
        <v>0</v>
      </c>
      <c r="BH3990">
        <v>2300</v>
      </c>
      <c r="BI3990">
        <v>1</v>
      </c>
      <c r="BJ3990">
        <v>1</v>
      </c>
      <c r="BK3990">
        <v>0</v>
      </c>
      <c r="BL3990">
        <v>0</v>
      </c>
      <c r="BO3990">
        <v>0</v>
      </c>
      <c r="BP3990">
        <v>0</v>
      </c>
      <c r="BW3990" t="str">
        <f>"14:48:29.699"</f>
        <v>14:48:29.699</v>
      </c>
      <c r="CJ3990">
        <v>0</v>
      </c>
      <c r="CK3990">
        <v>2</v>
      </c>
      <c r="CL3990">
        <v>0</v>
      </c>
      <c r="CM3990">
        <v>2</v>
      </c>
      <c r="CN3990">
        <v>0</v>
      </c>
      <c r="CO3990">
        <v>6</v>
      </c>
      <c r="CP3990" t="s">
        <v>119</v>
      </c>
      <c r="CQ3990">
        <v>358</v>
      </c>
      <c r="CR3990">
        <v>0</v>
      </c>
      <c r="CW3990">
        <v>5063250</v>
      </c>
      <c r="CY3990">
        <v>1</v>
      </c>
      <c r="CZ3990">
        <v>0</v>
      </c>
      <c r="DA3990">
        <v>1</v>
      </c>
      <c r="DB3990">
        <v>0</v>
      </c>
      <c r="DC3990">
        <v>0</v>
      </c>
      <c r="DD3990">
        <v>1</v>
      </c>
      <c r="DE3990">
        <v>0</v>
      </c>
      <c r="DF3990">
        <v>0</v>
      </c>
      <c r="DG3990">
        <v>0</v>
      </c>
      <c r="DH3990">
        <v>0</v>
      </c>
      <c r="DI3990">
        <v>0</v>
      </c>
    </row>
    <row r="3991" spans="1:113" x14ac:dyDescent="0.3">
      <c r="A3991" t="str">
        <f t="shared" si="1842"/>
        <v>05/12/2020 14:48:11.888</v>
      </c>
      <c r="C3991" t="str">
        <f t="shared" si="1845"/>
        <v>FFDFD3C0</v>
      </c>
      <c r="D3991" t="s">
        <v>113</v>
      </c>
      <c r="E3991">
        <v>3</v>
      </c>
      <c r="H3991">
        <v>164</v>
      </c>
      <c r="I3991" t="s">
        <v>114</v>
      </c>
      <c r="J3991" t="s">
        <v>115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 t="shared" si="1843"/>
        <v>14:48:29.695</v>
      </c>
      <c r="T3991" t="str">
        <f t="shared" si="1844"/>
        <v>14:48:29.695</v>
      </c>
      <c r="U3991" t="str">
        <f t="shared" si="1837"/>
        <v>A9808D</v>
      </c>
      <c r="V3991">
        <v>0</v>
      </c>
      <c r="W3991">
        <v>0</v>
      </c>
      <c r="X3991">
        <v>1</v>
      </c>
      <c r="Z3991">
        <v>0</v>
      </c>
      <c r="AA3991">
        <v>9</v>
      </c>
      <c r="AB3991">
        <v>3</v>
      </c>
      <c r="AC3991">
        <v>0</v>
      </c>
      <c r="AD3991">
        <v>10</v>
      </c>
      <c r="AE3991">
        <v>0</v>
      </c>
      <c r="AF3991">
        <v>3</v>
      </c>
      <c r="AG3991">
        <v>2</v>
      </c>
      <c r="AH3991">
        <v>0</v>
      </c>
      <c r="AI3991" t="s">
        <v>912</v>
      </c>
      <c r="AJ3991">
        <v>28.268250999999999</v>
      </c>
      <c r="AK3991" t="s">
        <v>913</v>
      </c>
      <c r="AL3991">
        <v>-82.291910999999999</v>
      </c>
      <c r="AM3991">
        <v>100</v>
      </c>
      <c r="AN3991">
        <v>2300</v>
      </c>
      <c r="AO3991" t="s">
        <v>118</v>
      </c>
      <c r="AP3991">
        <v>-130</v>
      </c>
      <c r="AQ3991">
        <v>-61</v>
      </c>
      <c r="AR3991">
        <v>-64</v>
      </c>
      <c r="AZ3991">
        <v>1200</v>
      </c>
      <c r="BA3991">
        <v>1</v>
      </c>
      <c r="BB3991" t="str">
        <f t="shared" si="1846"/>
        <v xml:space="preserve">N711JA  </v>
      </c>
      <c r="BC3991">
        <v>1</v>
      </c>
      <c r="BE3991">
        <v>0</v>
      </c>
      <c r="BF3991">
        <v>0</v>
      </c>
      <c r="BG3991">
        <v>0</v>
      </c>
      <c r="BH3991">
        <v>2300</v>
      </c>
      <c r="BI3991">
        <v>1</v>
      </c>
      <c r="BJ3991">
        <v>1</v>
      </c>
      <c r="BK3991">
        <v>0</v>
      </c>
      <c r="BL3991">
        <v>0</v>
      </c>
      <c r="BO3991">
        <v>0</v>
      </c>
      <c r="BP3991">
        <v>0</v>
      </c>
      <c r="BW3991" t="str">
        <f>"14:48:29.700"</f>
        <v>14:48:29.700</v>
      </c>
      <c r="CJ3991">
        <v>0</v>
      </c>
      <c r="CK3991">
        <v>2</v>
      </c>
      <c r="CL3991">
        <v>0</v>
      </c>
      <c r="CM3991">
        <v>2</v>
      </c>
      <c r="CN3991">
        <v>0</v>
      </c>
      <c r="CO3991">
        <v>5</v>
      </c>
      <c r="CP3991" t="s">
        <v>119</v>
      </c>
      <c r="CQ3991">
        <v>9</v>
      </c>
      <c r="CR3991">
        <v>0</v>
      </c>
      <c r="CW3991">
        <v>12912585</v>
      </c>
      <c r="CY3991">
        <v>1</v>
      </c>
      <c r="CZ3991">
        <v>0</v>
      </c>
      <c r="DA3991">
        <v>1</v>
      </c>
      <c r="DB3991">
        <v>0</v>
      </c>
      <c r="DC3991">
        <v>0</v>
      </c>
      <c r="DD3991">
        <v>1</v>
      </c>
      <c r="DE3991">
        <v>0</v>
      </c>
      <c r="DF3991">
        <v>0</v>
      </c>
      <c r="DG3991">
        <v>0</v>
      </c>
      <c r="DH3991">
        <v>0</v>
      </c>
      <c r="DI3991">
        <v>0</v>
      </c>
    </row>
    <row r="3992" spans="1:113" x14ac:dyDescent="0.3">
      <c r="A3992" t="str">
        <f t="shared" si="1842"/>
        <v>05/12/2020 14:48:11.888</v>
      </c>
      <c r="C3992" t="str">
        <f t="shared" si="1845"/>
        <v>FFDFD3C0</v>
      </c>
      <c r="D3992" t="s">
        <v>138</v>
      </c>
      <c r="E3992">
        <v>2</v>
      </c>
      <c r="H3992">
        <v>8</v>
      </c>
      <c r="I3992" t="s">
        <v>139</v>
      </c>
      <c r="J3992" t="s">
        <v>136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 t="shared" si="1843"/>
        <v>14:48:29.695</v>
      </c>
      <c r="T3992" t="str">
        <f>"14:48:28.795"</f>
        <v>14:48:28.795</v>
      </c>
      <c r="U3992" t="str">
        <f t="shared" si="1837"/>
        <v>A9808D</v>
      </c>
      <c r="V3992">
        <v>0</v>
      </c>
      <c r="W3992">
        <v>0</v>
      </c>
      <c r="X3992">
        <v>1</v>
      </c>
      <c r="Z3992">
        <v>0</v>
      </c>
      <c r="AA3992">
        <v>9</v>
      </c>
      <c r="AB3992">
        <v>3</v>
      </c>
      <c r="AC3992">
        <v>0</v>
      </c>
      <c r="AD3992">
        <v>10</v>
      </c>
      <c r="AE3992">
        <v>0</v>
      </c>
      <c r="AF3992">
        <v>3</v>
      </c>
      <c r="AG3992">
        <v>2</v>
      </c>
      <c r="AH3992">
        <v>0</v>
      </c>
      <c r="AI3992" t="s">
        <v>912</v>
      </c>
      <c r="AJ3992">
        <v>28.268250999999999</v>
      </c>
      <c r="AK3992" t="s">
        <v>913</v>
      </c>
      <c r="AL3992">
        <v>-82.291910999999999</v>
      </c>
      <c r="AM3992">
        <v>100</v>
      </c>
      <c r="AN3992">
        <v>2300</v>
      </c>
      <c r="AO3992" t="s">
        <v>118</v>
      </c>
      <c r="AP3992">
        <v>-131</v>
      </c>
      <c r="AQ3992">
        <v>-58</v>
      </c>
      <c r="AR3992">
        <v>-64</v>
      </c>
      <c r="AZ3992">
        <v>1200</v>
      </c>
      <c r="BA3992">
        <v>1</v>
      </c>
      <c r="BB3992" t="str">
        <f t="shared" si="1846"/>
        <v xml:space="preserve">N711JA  </v>
      </c>
      <c r="BC3992">
        <v>1</v>
      </c>
      <c r="BE3992">
        <v>0</v>
      </c>
      <c r="BF3992">
        <v>0</v>
      </c>
      <c r="BG3992">
        <v>0</v>
      </c>
      <c r="BH3992">
        <v>2300</v>
      </c>
      <c r="BI3992">
        <v>1</v>
      </c>
      <c r="BJ3992">
        <v>1</v>
      </c>
      <c r="BK3992">
        <v>0</v>
      </c>
      <c r="BL3992">
        <v>0</v>
      </c>
      <c r="BO3992">
        <v>0</v>
      </c>
      <c r="BP3992">
        <v>0</v>
      </c>
      <c r="BW3992" t="str">
        <f>"14:48:29.699"</f>
        <v>14:48:29.699</v>
      </c>
      <c r="CJ3992">
        <v>0</v>
      </c>
      <c r="CK3992">
        <v>2</v>
      </c>
      <c r="CL3992">
        <v>0</v>
      </c>
      <c r="CM3992">
        <v>2</v>
      </c>
      <c r="CN3992">
        <v>0</v>
      </c>
      <c r="CO3992">
        <v>7</v>
      </c>
      <c r="CP3992" t="s">
        <v>119</v>
      </c>
      <c r="CQ3992">
        <v>8</v>
      </c>
      <c r="CR3992">
        <v>3</v>
      </c>
      <c r="CW3992">
        <v>9100546</v>
      </c>
      <c r="CY3992">
        <v>1</v>
      </c>
      <c r="CZ3992">
        <v>0</v>
      </c>
      <c r="DA3992">
        <v>1</v>
      </c>
      <c r="DB3992">
        <v>0</v>
      </c>
      <c r="DC3992">
        <v>0</v>
      </c>
      <c r="DD3992">
        <v>1</v>
      </c>
      <c r="DE3992">
        <v>0</v>
      </c>
      <c r="DF3992">
        <v>0</v>
      </c>
      <c r="DG3992">
        <v>0</v>
      </c>
      <c r="DH3992">
        <v>0</v>
      </c>
      <c r="DI3992">
        <v>0</v>
      </c>
    </row>
    <row r="3993" spans="1:113" x14ac:dyDescent="0.3">
      <c r="A3993" t="str">
        <f t="shared" si="1842"/>
        <v>05/12/2020 14:48:11.888</v>
      </c>
      <c r="C3993" t="str">
        <f t="shared" si="1845"/>
        <v>FFDFD3C0</v>
      </c>
      <c r="D3993" t="s">
        <v>138</v>
      </c>
      <c r="E3993">
        <v>3</v>
      </c>
      <c r="H3993">
        <v>9</v>
      </c>
      <c r="I3993" t="s">
        <v>140</v>
      </c>
      <c r="J3993" t="s">
        <v>136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 t="shared" si="1843"/>
        <v>14:48:29.695</v>
      </c>
      <c r="T3993" t="str">
        <f>"14:48:29.695"</f>
        <v>14:48:29.695</v>
      </c>
      <c r="U3993" t="str">
        <f t="shared" si="1837"/>
        <v>A9808D</v>
      </c>
      <c r="V3993">
        <v>0</v>
      </c>
      <c r="W3993">
        <v>0</v>
      </c>
      <c r="X3993">
        <v>1</v>
      </c>
      <c r="Z3993">
        <v>0</v>
      </c>
      <c r="AA3993">
        <v>9</v>
      </c>
      <c r="AB3993">
        <v>3</v>
      </c>
      <c r="AC3993">
        <v>0</v>
      </c>
      <c r="AD3993">
        <v>10</v>
      </c>
      <c r="AE3993">
        <v>0</v>
      </c>
      <c r="AF3993">
        <v>3</v>
      </c>
      <c r="AG3993">
        <v>2</v>
      </c>
      <c r="AH3993">
        <v>0</v>
      </c>
      <c r="AI3993" t="s">
        <v>912</v>
      </c>
      <c r="AJ3993">
        <v>28.268250999999999</v>
      </c>
      <c r="AK3993" t="s">
        <v>913</v>
      </c>
      <c r="AL3993">
        <v>-82.291910999999999</v>
      </c>
      <c r="AM3993">
        <v>100</v>
      </c>
      <c r="AN3993">
        <v>2300</v>
      </c>
      <c r="AO3993" t="s">
        <v>118</v>
      </c>
      <c r="AP3993">
        <v>-130</v>
      </c>
      <c r="AQ3993">
        <v>-61</v>
      </c>
      <c r="AR3993">
        <v>-64</v>
      </c>
      <c r="AZ3993">
        <v>1200</v>
      </c>
      <c r="BA3993">
        <v>1</v>
      </c>
      <c r="BB3993" t="str">
        <f t="shared" si="1846"/>
        <v xml:space="preserve">N711JA  </v>
      </c>
      <c r="BC3993">
        <v>1</v>
      </c>
      <c r="BE3993">
        <v>0</v>
      </c>
      <c r="BF3993">
        <v>0</v>
      </c>
      <c r="BG3993">
        <v>0</v>
      </c>
      <c r="BH3993">
        <v>2300</v>
      </c>
      <c r="BI3993">
        <v>1</v>
      </c>
      <c r="BJ3993">
        <v>1</v>
      </c>
      <c r="BK3993">
        <v>0</v>
      </c>
      <c r="BL3993">
        <v>0</v>
      </c>
      <c r="BO3993">
        <v>0</v>
      </c>
      <c r="BP3993">
        <v>0</v>
      </c>
      <c r="BW3993" t="str">
        <f>"14:48:29.699"</f>
        <v>14:48:29.699</v>
      </c>
      <c r="CJ3993">
        <v>0</v>
      </c>
      <c r="CK3993">
        <v>2</v>
      </c>
      <c r="CL3993">
        <v>0</v>
      </c>
      <c r="CM3993">
        <v>2</v>
      </c>
      <c r="CN3993">
        <v>0</v>
      </c>
      <c r="CO3993">
        <v>6</v>
      </c>
      <c r="CP3993" t="s">
        <v>119</v>
      </c>
      <c r="CQ3993">
        <v>358</v>
      </c>
      <c r="CR3993">
        <v>0</v>
      </c>
      <c r="CW3993">
        <v>5063250</v>
      </c>
      <c r="CY3993">
        <v>1</v>
      </c>
      <c r="CZ3993">
        <v>0</v>
      </c>
      <c r="DA3993">
        <v>1</v>
      </c>
      <c r="DB3993">
        <v>0</v>
      </c>
      <c r="DC3993">
        <v>0</v>
      </c>
      <c r="DD3993">
        <v>1</v>
      </c>
      <c r="DE3993">
        <v>0</v>
      </c>
      <c r="DF3993">
        <v>0</v>
      </c>
      <c r="DG3993">
        <v>0</v>
      </c>
      <c r="DH3993">
        <v>0</v>
      </c>
      <c r="DI3993">
        <v>0</v>
      </c>
    </row>
    <row r="3994" spans="1:113" x14ac:dyDescent="0.3">
      <c r="A3994" t="str">
        <f t="shared" ref="A3994:A4002" si="1847">"05/12/2020 14:48:12.687"</f>
        <v>05/12/2020 14:48:12.687</v>
      </c>
      <c r="C3994" t="str">
        <f t="shared" si="1845"/>
        <v>FFDFD3C0</v>
      </c>
      <c r="D3994" t="s">
        <v>126</v>
      </c>
      <c r="E3994">
        <v>7</v>
      </c>
      <c r="F3994">
        <v>1007</v>
      </c>
      <c r="G3994" t="s">
        <v>127</v>
      </c>
      <c r="J3994" t="s">
        <v>128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 t="shared" ref="S3994:S4002" si="1848">"14:48:30.516"</f>
        <v>14:48:30.516</v>
      </c>
      <c r="T3994" t="str">
        <f t="shared" ref="T3994:T4002" si="1849">"14:48:30.116"</f>
        <v>14:48:30.116</v>
      </c>
      <c r="U3994" t="str">
        <f t="shared" si="1837"/>
        <v>A9808D</v>
      </c>
      <c r="V3994">
        <v>0</v>
      </c>
      <c r="W3994">
        <v>0</v>
      </c>
      <c r="X3994">
        <v>1</v>
      </c>
      <c r="Z3994">
        <v>0</v>
      </c>
      <c r="AA3994">
        <v>9</v>
      </c>
      <c r="AB3994">
        <v>3</v>
      </c>
      <c r="AC3994">
        <v>0</v>
      </c>
      <c r="AD3994">
        <v>10</v>
      </c>
      <c r="AE3994">
        <v>0</v>
      </c>
      <c r="AF3994">
        <v>3</v>
      </c>
      <c r="AG3994">
        <v>2</v>
      </c>
      <c r="AH3994">
        <v>0</v>
      </c>
      <c r="AI3994" t="s">
        <v>914</v>
      </c>
      <c r="AJ3994">
        <v>28.268014999999998</v>
      </c>
      <c r="AK3994" t="s">
        <v>732</v>
      </c>
      <c r="AL3994">
        <v>-82.292446999999996</v>
      </c>
      <c r="AM3994">
        <v>100</v>
      </c>
      <c r="AN3994">
        <v>2300</v>
      </c>
      <c r="AO3994" t="s">
        <v>118</v>
      </c>
      <c r="AP3994">
        <v>-129</v>
      </c>
      <c r="AQ3994">
        <v>-62</v>
      </c>
      <c r="AR3994">
        <v>-64</v>
      </c>
      <c r="AZ3994">
        <v>1200</v>
      </c>
      <c r="BA3994">
        <v>1</v>
      </c>
      <c r="BB3994" t="str">
        <f t="shared" si="1846"/>
        <v xml:space="preserve">N711JA  </v>
      </c>
      <c r="BC3994">
        <v>1</v>
      </c>
      <c r="BE3994">
        <v>0</v>
      </c>
      <c r="BF3994">
        <v>0</v>
      </c>
      <c r="BG3994">
        <v>0</v>
      </c>
      <c r="BH3994">
        <v>2300</v>
      </c>
      <c r="BI3994">
        <v>1</v>
      </c>
      <c r="BJ3994">
        <v>1</v>
      </c>
      <c r="BK3994">
        <v>0</v>
      </c>
      <c r="BL3994">
        <v>0</v>
      </c>
      <c r="BO3994">
        <v>0</v>
      </c>
      <c r="BP3994">
        <v>0</v>
      </c>
      <c r="BW3994" t="str">
        <f t="shared" ref="BW3994:BW4002" si="1850">"14:48:30.519"</f>
        <v>14:48:30.519</v>
      </c>
      <c r="CJ3994">
        <v>0</v>
      </c>
      <c r="CK3994">
        <v>2</v>
      </c>
      <c r="CL3994">
        <v>0</v>
      </c>
      <c r="CM3994">
        <v>2</v>
      </c>
      <c r="CN3994">
        <v>0</v>
      </c>
      <c r="CO3994">
        <v>7</v>
      </c>
      <c r="CP3994" t="s">
        <v>119</v>
      </c>
      <c r="CQ3994">
        <v>8</v>
      </c>
      <c r="CR3994">
        <v>3</v>
      </c>
      <c r="CW3994">
        <v>9101440</v>
      </c>
      <c r="CY3994">
        <v>1</v>
      </c>
      <c r="CZ3994">
        <v>0</v>
      </c>
      <c r="DA3994">
        <v>0</v>
      </c>
      <c r="DB3994">
        <v>0</v>
      </c>
      <c r="DC3994">
        <v>0</v>
      </c>
      <c r="DD3994">
        <v>1</v>
      </c>
      <c r="DE3994">
        <v>0</v>
      </c>
      <c r="DF3994">
        <v>0</v>
      </c>
      <c r="DG3994">
        <v>0</v>
      </c>
      <c r="DH3994">
        <v>0</v>
      </c>
      <c r="DI3994">
        <v>0</v>
      </c>
    </row>
    <row r="3995" spans="1:113" x14ac:dyDescent="0.3">
      <c r="A3995" t="str">
        <f t="shared" si="1847"/>
        <v>05/12/2020 14:48:12.687</v>
      </c>
      <c r="C3995" t="str">
        <f t="shared" si="1845"/>
        <v>FFDFD3C0</v>
      </c>
      <c r="D3995" t="s">
        <v>131</v>
      </c>
      <c r="E3995">
        <v>10</v>
      </c>
      <c r="F3995">
        <v>2010</v>
      </c>
      <c r="G3995" t="s">
        <v>132</v>
      </c>
      <c r="J3995" t="s">
        <v>133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 t="shared" si="1848"/>
        <v>14:48:30.516</v>
      </c>
      <c r="T3995" t="str">
        <f t="shared" si="1849"/>
        <v>14:48:30.116</v>
      </c>
      <c r="U3995" t="str">
        <f t="shared" si="1837"/>
        <v>A9808D</v>
      </c>
      <c r="V3995">
        <v>0</v>
      </c>
      <c r="W3995">
        <v>0</v>
      </c>
      <c r="X3995">
        <v>1</v>
      </c>
      <c r="Z3995">
        <v>0</v>
      </c>
      <c r="AA3995">
        <v>9</v>
      </c>
      <c r="AB3995">
        <v>3</v>
      </c>
      <c r="AC3995">
        <v>0</v>
      </c>
      <c r="AD3995">
        <v>10</v>
      </c>
      <c r="AE3995">
        <v>0</v>
      </c>
      <c r="AF3995">
        <v>3</v>
      </c>
      <c r="AG3995">
        <v>2</v>
      </c>
      <c r="AH3995">
        <v>0</v>
      </c>
      <c r="AI3995" t="s">
        <v>914</v>
      </c>
      <c r="AJ3995">
        <v>28.268014999999998</v>
      </c>
      <c r="AK3995" t="s">
        <v>732</v>
      </c>
      <c r="AL3995">
        <v>-82.292446999999996</v>
      </c>
      <c r="AM3995">
        <v>100</v>
      </c>
      <c r="AN3995">
        <v>2300</v>
      </c>
      <c r="AO3995" t="s">
        <v>118</v>
      </c>
      <c r="AP3995">
        <v>-129</v>
      </c>
      <c r="AQ3995">
        <v>-62</v>
      </c>
      <c r="AR3995">
        <v>-64</v>
      </c>
      <c r="AZ3995">
        <v>1200</v>
      </c>
      <c r="BA3995">
        <v>1</v>
      </c>
      <c r="BB3995" t="str">
        <f t="shared" si="1846"/>
        <v xml:space="preserve">N711JA  </v>
      </c>
      <c r="BC3995">
        <v>1</v>
      </c>
      <c r="BE3995">
        <v>0</v>
      </c>
      <c r="BF3995">
        <v>0</v>
      </c>
      <c r="BG3995">
        <v>0</v>
      </c>
      <c r="BH3995">
        <v>2300</v>
      </c>
      <c r="BI3995">
        <v>1</v>
      </c>
      <c r="BJ3995">
        <v>1</v>
      </c>
      <c r="BK3995">
        <v>0</v>
      </c>
      <c r="BL3995">
        <v>0</v>
      </c>
      <c r="BO3995">
        <v>0</v>
      </c>
      <c r="BP3995">
        <v>0</v>
      </c>
      <c r="BW3995" t="str">
        <f t="shared" si="1850"/>
        <v>14:48:30.519</v>
      </c>
      <c r="CJ3995">
        <v>0</v>
      </c>
      <c r="CK3995">
        <v>2</v>
      </c>
      <c r="CL3995">
        <v>0</v>
      </c>
      <c r="CM3995">
        <v>2</v>
      </c>
      <c r="CN3995">
        <v>0</v>
      </c>
      <c r="CO3995">
        <v>7</v>
      </c>
      <c r="CP3995" t="s">
        <v>119</v>
      </c>
      <c r="CQ3995">
        <v>8</v>
      </c>
      <c r="CR3995">
        <v>3</v>
      </c>
      <c r="CW3995">
        <v>9101440</v>
      </c>
      <c r="CY3995">
        <v>1</v>
      </c>
      <c r="CZ3995">
        <v>0</v>
      </c>
      <c r="DA3995">
        <v>1</v>
      </c>
      <c r="DB3995">
        <v>0</v>
      </c>
      <c r="DC3995">
        <v>0</v>
      </c>
      <c r="DD3995">
        <v>1</v>
      </c>
      <c r="DE3995">
        <v>0</v>
      </c>
      <c r="DF3995">
        <v>0</v>
      </c>
      <c r="DG3995">
        <v>0</v>
      </c>
      <c r="DH3995">
        <v>0</v>
      </c>
      <c r="DI3995">
        <v>0</v>
      </c>
    </row>
    <row r="3996" spans="1:113" x14ac:dyDescent="0.3">
      <c r="A3996" t="str">
        <f t="shared" si="1847"/>
        <v>05/12/2020 14:48:12.687</v>
      </c>
      <c r="C3996" t="str">
        <f t="shared" si="1845"/>
        <v>FFDFD3C0</v>
      </c>
      <c r="D3996" t="s">
        <v>131</v>
      </c>
      <c r="E3996">
        <v>12</v>
      </c>
      <c r="F3996">
        <v>2012</v>
      </c>
      <c r="G3996" t="s">
        <v>137</v>
      </c>
      <c r="J3996" t="s">
        <v>133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 t="shared" si="1848"/>
        <v>14:48:30.516</v>
      </c>
      <c r="T3996" t="str">
        <f t="shared" si="1849"/>
        <v>14:48:30.116</v>
      </c>
      <c r="U3996" t="str">
        <f t="shared" si="1837"/>
        <v>A9808D</v>
      </c>
      <c r="V3996">
        <v>0</v>
      </c>
      <c r="W3996">
        <v>0</v>
      </c>
      <c r="X3996">
        <v>1</v>
      </c>
      <c r="Z3996">
        <v>0</v>
      </c>
      <c r="AA3996">
        <v>9</v>
      </c>
      <c r="AB3996">
        <v>3</v>
      </c>
      <c r="AC3996">
        <v>0</v>
      </c>
      <c r="AD3996">
        <v>10</v>
      </c>
      <c r="AE3996">
        <v>0</v>
      </c>
      <c r="AF3996">
        <v>3</v>
      </c>
      <c r="AG3996">
        <v>2</v>
      </c>
      <c r="AH3996">
        <v>0</v>
      </c>
      <c r="AI3996" t="s">
        <v>914</v>
      </c>
      <c r="AJ3996">
        <v>28.268014999999998</v>
      </c>
      <c r="AK3996" t="s">
        <v>732</v>
      </c>
      <c r="AL3996">
        <v>-82.292446999999996</v>
      </c>
      <c r="AM3996">
        <v>100</v>
      </c>
      <c r="AN3996">
        <v>2300</v>
      </c>
      <c r="AO3996" t="s">
        <v>118</v>
      </c>
      <c r="AP3996">
        <v>-129</v>
      </c>
      <c r="AQ3996">
        <v>-62</v>
      </c>
      <c r="AR3996">
        <v>-64</v>
      </c>
      <c r="AZ3996">
        <v>1200</v>
      </c>
      <c r="BA3996">
        <v>1</v>
      </c>
      <c r="BB3996" t="str">
        <f t="shared" si="1846"/>
        <v xml:space="preserve">N711JA  </v>
      </c>
      <c r="BC3996">
        <v>1</v>
      </c>
      <c r="BE3996">
        <v>0</v>
      </c>
      <c r="BF3996">
        <v>0</v>
      </c>
      <c r="BG3996">
        <v>0</v>
      </c>
      <c r="BH3996">
        <v>2300</v>
      </c>
      <c r="BI3996">
        <v>1</v>
      </c>
      <c r="BJ3996">
        <v>1</v>
      </c>
      <c r="BK3996">
        <v>0</v>
      </c>
      <c r="BL3996">
        <v>0</v>
      </c>
      <c r="BO3996">
        <v>0</v>
      </c>
      <c r="BP3996">
        <v>0</v>
      </c>
      <c r="BW3996" t="str">
        <f t="shared" si="1850"/>
        <v>14:48:30.519</v>
      </c>
      <c r="CJ3996">
        <v>0</v>
      </c>
      <c r="CK3996">
        <v>2</v>
      </c>
      <c r="CL3996">
        <v>0</v>
      </c>
      <c r="CM3996">
        <v>2</v>
      </c>
      <c r="CN3996">
        <v>0</v>
      </c>
      <c r="CO3996">
        <v>7</v>
      </c>
      <c r="CP3996" t="s">
        <v>119</v>
      </c>
      <c r="CQ3996">
        <v>8</v>
      </c>
      <c r="CR3996">
        <v>3</v>
      </c>
      <c r="CW3996">
        <v>9101440</v>
      </c>
      <c r="CY3996">
        <v>1</v>
      </c>
      <c r="CZ3996">
        <v>0</v>
      </c>
      <c r="DA3996">
        <v>1</v>
      </c>
      <c r="DB3996">
        <v>0</v>
      </c>
      <c r="DC3996">
        <v>0</v>
      </c>
      <c r="DD3996">
        <v>1</v>
      </c>
      <c r="DE3996">
        <v>0</v>
      </c>
      <c r="DF3996">
        <v>0</v>
      </c>
      <c r="DG3996">
        <v>0</v>
      </c>
      <c r="DH3996">
        <v>0</v>
      </c>
      <c r="DI3996">
        <v>0</v>
      </c>
    </row>
    <row r="3997" spans="1:113" x14ac:dyDescent="0.3">
      <c r="A3997" t="str">
        <f t="shared" si="1847"/>
        <v>05/12/2020 14:48:12.687</v>
      </c>
      <c r="C3997" t="str">
        <f t="shared" si="1845"/>
        <v>FFDFD3C0</v>
      </c>
      <c r="D3997" t="s">
        <v>131</v>
      </c>
      <c r="E3997">
        <v>18</v>
      </c>
      <c r="F3997">
        <v>2018</v>
      </c>
      <c r="G3997" t="s">
        <v>161</v>
      </c>
      <c r="J3997" t="s">
        <v>133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 t="shared" si="1848"/>
        <v>14:48:30.516</v>
      </c>
      <c r="T3997" t="str">
        <f t="shared" si="1849"/>
        <v>14:48:30.116</v>
      </c>
      <c r="U3997" t="str">
        <f t="shared" si="1837"/>
        <v>A9808D</v>
      </c>
      <c r="V3997">
        <v>0</v>
      </c>
      <c r="W3997">
        <v>0</v>
      </c>
      <c r="X3997">
        <v>1</v>
      </c>
      <c r="Z3997">
        <v>0</v>
      </c>
      <c r="AA3997">
        <v>9</v>
      </c>
      <c r="AB3997">
        <v>3</v>
      </c>
      <c r="AC3997">
        <v>0</v>
      </c>
      <c r="AD3997">
        <v>10</v>
      </c>
      <c r="AE3997">
        <v>0</v>
      </c>
      <c r="AF3997">
        <v>3</v>
      </c>
      <c r="AG3997">
        <v>2</v>
      </c>
      <c r="AH3997">
        <v>0</v>
      </c>
      <c r="AI3997" t="s">
        <v>914</v>
      </c>
      <c r="AJ3997">
        <v>28.268014999999998</v>
      </c>
      <c r="AK3997" t="s">
        <v>732</v>
      </c>
      <c r="AL3997">
        <v>-82.292446999999996</v>
      </c>
      <c r="AM3997">
        <v>100</v>
      </c>
      <c r="AN3997">
        <v>2300</v>
      </c>
      <c r="AO3997" t="s">
        <v>118</v>
      </c>
      <c r="AP3997">
        <v>-129</v>
      </c>
      <c r="AQ3997">
        <v>-62</v>
      </c>
      <c r="AR3997">
        <v>-64</v>
      </c>
      <c r="AZ3997">
        <v>1200</v>
      </c>
      <c r="BA3997">
        <v>1</v>
      </c>
      <c r="BB3997" t="str">
        <f t="shared" si="1846"/>
        <v xml:space="preserve">N711JA  </v>
      </c>
      <c r="BC3997">
        <v>1</v>
      </c>
      <c r="BE3997">
        <v>0</v>
      </c>
      <c r="BF3997">
        <v>0</v>
      </c>
      <c r="BG3997">
        <v>0</v>
      </c>
      <c r="BH3997">
        <v>2300</v>
      </c>
      <c r="BI3997">
        <v>1</v>
      </c>
      <c r="BJ3997">
        <v>1</v>
      </c>
      <c r="BK3997">
        <v>0</v>
      </c>
      <c r="BL3997">
        <v>0</v>
      </c>
      <c r="BO3997">
        <v>0</v>
      </c>
      <c r="BP3997">
        <v>0</v>
      </c>
      <c r="BW3997" t="str">
        <f t="shared" si="1850"/>
        <v>14:48:30.519</v>
      </c>
      <c r="CJ3997">
        <v>0</v>
      </c>
      <c r="CK3997">
        <v>2</v>
      </c>
      <c r="CL3997">
        <v>0</v>
      </c>
      <c r="CM3997">
        <v>2</v>
      </c>
      <c r="CN3997">
        <v>0</v>
      </c>
      <c r="CO3997">
        <v>5</v>
      </c>
      <c r="CP3997" t="s">
        <v>119</v>
      </c>
      <c r="CQ3997">
        <v>62</v>
      </c>
      <c r="CR3997">
        <v>1</v>
      </c>
      <c r="CW3997">
        <v>12992684</v>
      </c>
      <c r="CY3997">
        <v>1</v>
      </c>
      <c r="CZ3997">
        <v>0</v>
      </c>
      <c r="DA3997">
        <v>1</v>
      </c>
      <c r="DB3997">
        <v>0</v>
      </c>
      <c r="DC3997">
        <v>0</v>
      </c>
      <c r="DD3997">
        <v>1</v>
      </c>
      <c r="DE3997">
        <v>0</v>
      </c>
      <c r="DF3997">
        <v>0</v>
      </c>
      <c r="DG3997">
        <v>0</v>
      </c>
      <c r="DH3997">
        <v>0</v>
      </c>
      <c r="DI3997">
        <v>0</v>
      </c>
    </row>
    <row r="3998" spans="1:113" x14ac:dyDescent="0.3">
      <c r="A3998" t="str">
        <f t="shared" si="1847"/>
        <v>05/12/2020 14:48:12.687</v>
      </c>
      <c r="C3998" t="str">
        <f t="shared" si="1845"/>
        <v>FFDFD3C0</v>
      </c>
      <c r="D3998" t="s">
        <v>134</v>
      </c>
      <c r="E3998">
        <v>12</v>
      </c>
      <c r="H3998">
        <v>64</v>
      </c>
      <c r="I3998" t="s">
        <v>135</v>
      </c>
      <c r="J3998" t="s">
        <v>136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 t="shared" si="1848"/>
        <v>14:48:30.516</v>
      </c>
      <c r="T3998" t="str">
        <f t="shared" si="1849"/>
        <v>14:48:30.116</v>
      </c>
      <c r="U3998" t="str">
        <f t="shared" si="1837"/>
        <v>A9808D</v>
      </c>
      <c r="V3998">
        <v>0</v>
      </c>
      <c r="W3998">
        <v>0</v>
      </c>
      <c r="X3998">
        <v>1</v>
      </c>
      <c r="Z3998">
        <v>0</v>
      </c>
      <c r="AA3998">
        <v>9</v>
      </c>
      <c r="AB3998">
        <v>3</v>
      </c>
      <c r="AC3998">
        <v>0</v>
      </c>
      <c r="AD3998">
        <v>10</v>
      </c>
      <c r="AE3998">
        <v>0</v>
      </c>
      <c r="AF3998">
        <v>3</v>
      </c>
      <c r="AG3998">
        <v>2</v>
      </c>
      <c r="AH3998">
        <v>0</v>
      </c>
      <c r="AI3998" t="s">
        <v>914</v>
      </c>
      <c r="AJ3998">
        <v>28.268014999999998</v>
      </c>
      <c r="AK3998" t="s">
        <v>732</v>
      </c>
      <c r="AL3998">
        <v>-82.292446999999996</v>
      </c>
      <c r="AM3998">
        <v>100</v>
      </c>
      <c r="AN3998">
        <v>2300</v>
      </c>
      <c r="AO3998" t="s">
        <v>118</v>
      </c>
      <c r="AP3998">
        <v>-129</v>
      </c>
      <c r="AQ3998">
        <v>-62</v>
      </c>
      <c r="AR3998">
        <v>-64</v>
      </c>
      <c r="AZ3998">
        <v>1200</v>
      </c>
      <c r="BA3998">
        <v>1</v>
      </c>
      <c r="BB3998" t="str">
        <f t="shared" si="1846"/>
        <v xml:space="preserve">N711JA  </v>
      </c>
      <c r="BC3998">
        <v>1</v>
      </c>
      <c r="BE3998">
        <v>0</v>
      </c>
      <c r="BF3998">
        <v>0</v>
      </c>
      <c r="BG3998">
        <v>0</v>
      </c>
      <c r="BH3998">
        <v>2300</v>
      </c>
      <c r="BI3998">
        <v>1</v>
      </c>
      <c r="BJ3998">
        <v>1</v>
      </c>
      <c r="BK3998">
        <v>0</v>
      </c>
      <c r="BL3998">
        <v>0</v>
      </c>
      <c r="BO3998">
        <v>0</v>
      </c>
      <c r="BP3998">
        <v>0</v>
      </c>
      <c r="BW3998" t="str">
        <f t="shared" si="1850"/>
        <v>14:48:30.519</v>
      </c>
      <c r="CJ3998">
        <v>0</v>
      </c>
      <c r="CK3998">
        <v>2</v>
      </c>
      <c r="CL3998">
        <v>0</v>
      </c>
      <c r="CM3998">
        <v>2</v>
      </c>
      <c r="CN3998">
        <v>0</v>
      </c>
      <c r="CO3998">
        <v>7</v>
      </c>
      <c r="CP3998" t="s">
        <v>119</v>
      </c>
      <c r="CQ3998">
        <v>8</v>
      </c>
      <c r="CR3998">
        <v>3</v>
      </c>
      <c r="CW3998">
        <v>9101440</v>
      </c>
      <c r="CY3998">
        <v>1</v>
      </c>
      <c r="CZ3998">
        <v>0</v>
      </c>
      <c r="DA3998">
        <v>1</v>
      </c>
      <c r="DB3998">
        <v>0</v>
      </c>
      <c r="DC3998">
        <v>0</v>
      </c>
      <c r="DD3998">
        <v>1</v>
      </c>
      <c r="DE3998">
        <v>0</v>
      </c>
      <c r="DF3998">
        <v>0</v>
      </c>
      <c r="DG3998">
        <v>0</v>
      </c>
      <c r="DH3998">
        <v>0</v>
      </c>
      <c r="DI3998">
        <v>0</v>
      </c>
    </row>
    <row r="3999" spans="1:113" x14ac:dyDescent="0.3">
      <c r="A3999" t="str">
        <f t="shared" si="1847"/>
        <v>05/12/2020 14:48:12.687</v>
      </c>
      <c r="C3999" t="str">
        <f t="shared" si="1845"/>
        <v>FFDFD3C0</v>
      </c>
      <c r="D3999" t="s">
        <v>113</v>
      </c>
      <c r="E3999">
        <v>3</v>
      </c>
      <c r="H3999">
        <v>164</v>
      </c>
      <c r="I3999" t="s">
        <v>114</v>
      </c>
      <c r="J3999" t="s">
        <v>115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 t="shared" si="1848"/>
        <v>14:48:30.516</v>
      </c>
      <c r="T3999" t="str">
        <f t="shared" si="1849"/>
        <v>14:48:30.116</v>
      </c>
      <c r="U3999" t="str">
        <f t="shared" si="1837"/>
        <v>A9808D</v>
      </c>
      <c r="V3999">
        <v>0</v>
      </c>
      <c r="W3999">
        <v>0</v>
      </c>
      <c r="X3999">
        <v>1</v>
      </c>
      <c r="Z3999">
        <v>0</v>
      </c>
      <c r="AA3999">
        <v>9</v>
      </c>
      <c r="AB3999">
        <v>3</v>
      </c>
      <c r="AC3999">
        <v>0</v>
      </c>
      <c r="AD3999">
        <v>10</v>
      </c>
      <c r="AE3999">
        <v>0</v>
      </c>
      <c r="AF3999">
        <v>3</v>
      </c>
      <c r="AG3999">
        <v>2</v>
      </c>
      <c r="AH3999">
        <v>0</v>
      </c>
      <c r="AI3999" t="s">
        <v>914</v>
      </c>
      <c r="AJ3999">
        <v>28.268014999999998</v>
      </c>
      <c r="AK3999" t="s">
        <v>732</v>
      </c>
      <c r="AL3999">
        <v>-82.292446999999996</v>
      </c>
      <c r="AM3999">
        <v>100</v>
      </c>
      <c r="AN3999">
        <v>2300</v>
      </c>
      <c r="AO3999" t="s">
        <v>118</v>
      </c>
      <c r="AP3999">
        <v>-129</v>
      </c>
      <c r="AQ3999">
        <v>-62</v>
      </c>
      <c r="AR3999">
        <v>-64</v>
      </c>
      <c r="AZ3999">
        <v>1200</v>
      </c>
      <c r="BA3999">
        <v>1</v>
      </c>
      <c r="BB3999" t="str">
        <f t="shared" si="1846"/>
        <v xml:space="preserve">N711JA  </v>
      </c>
      <c r="BC3999">
        <v>1</v>
      </c>
      <c r="BE3999">
        <v>0</v>
      </c>
      <c r="BF3999">
        <v>0</v>
      </c>
      <c r="BG3999">
        <v>0</v>
      </c>
      <c r="BH3999">
        <v>2300</v>
      </c>
      <c r="BI3999">
        <v>1</v>
      </c>
      <c r="BJ3999">
        <v>1</v>
      </c>
      <c r="BK3999">
        <v>0</v>
      </c>
      <c r="BL3999">
        <v>0</v>
      </c>
      <c r="BO3999">
        <v>0</v>
      </c>
      <c r="BP3999">
        <v>0</v>
      </c>
      <c r="BW3999" t="str">
        <f t="shared" si="1850"/>
        <v>14:48:30.519</v>
      </c>
      <c r="CJ3999">
        <v>0</v>
      </c>
      <c r="CK3999">
        <v>2</v>
      </c>
      <c r="CL3999">
        <v>0</v>
      </c>
      <c r="CM3999">
        <v>2</v>
      </c>
      <c r="CN3999">
        <v>0</v>
      </c>
      <c r="CO3999">
        <v>7</v>
      </c>
      <c r="CP3999" t="s">
        <v>119</v>
      </c>
      <c r="CQ3999">
        <v>8</v>
      </c>
      <c r="CR3999">
        <v>3</v>
      </c>
      <c r="CW3999">
        <v>9101440</v>
      </c>
      <c r="CY3999">
        <v>1</v>
      </c>
      <c r="CZ3999">
        <v>0</v>
      </c>
      <c r="DA3999">
        <v>1</v>
      </c>
      <c r="DB3999">
        <v>0</v>
      </c>
      <c r="DC3999">
        <v>0</v>
      </c>
      <c r="DD3999">
        <v>1</v>
      </c>
      <c r="DE3999">
        <v>0</v>
      </c>
      <c r="DF3999">
        <v>0</v>
      </c>
      <c r="DG3999">
        <v>0</v>
      </c>
      <c r="DH3999">
        <v>0</v>
      </c>
      <c r="DI3999">
        <v>0</v>
      </c>
    </row>
    <row r="4000" spans="1:113" x14ac:dyDescent="0.3">
      <c r="A4000" t="str">
        <f t="shared" si="1847"/>
        <v>05/12/2020 14:48:12.687</v>
      </c>
      <c r="C4000" t="str">
        <f t="shared" si="1845"/>
        <v>FFDFD3C0</v>
      </c>
      <c r="D4000" t="s">
        <v>138</v>
      </c>
      <c r="E4000">
        <v>2</v>
      </c>
      <c r="H4000">
        <v>8</v>
      </c>
      <c r="I4000" t="s">
        <v>139</v>
      </c>
      <c r="J4000" t="s">
        <v>136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 t="shared" si="1848"/>
        <v>14:48:30.516</v>
      </c>
      <c r="T4000" t="str">
        <f t="shared" si="1849"/>
        <v>14:48:30.116</v>
      </c>
      <c r="U4000" t="str">
        <f t="shared" si="1837"/>
        <v>A9808D</v>
      </c>
      <c r="V4000">
        <v>0</v>
      </c>
      <c r="W4000">
        <v>0</v>
      </c>
      <c r="X4000">
        <v>1</v>
      </c>
      <c r="Z4000">
        <v>0</v>
      </c>
      <c r="AA4000">
        <v>9</v>
      </c>
      <c r="AB4000">
        <v>3</v>
      </c>
      <c r="AC4000">
        <v>0</v>
      </c>
      <c r="AD4000">
        <v>10</v>
      </c>
      <c r="AE4000">
        <v>0</v>
      </c>
      <c r="AF4000">
        <v>3</v>
      </c>
      <c r="AG4000">
        <v>2</v>
      </c>
      <c r="AH4000">
        <v>0</v>
      </c>
      <c r="AI4000" t="s">
        <v>914</v>
      </c>
      <c r="AJ4000">
        <v>28.268014999999998</v>
      </c>
      <c r="AK4000" t="s">
        <v>732</v>
      </c>
      <c r="AL4000">
        <v>-82.292446999999996</v>
      </c>
      <c r="AM4000">
        <v>100</v>
      </c>
      <c r="AN4000">
        <v>2300</v>
      </c>
      <c r="AO4000" t="s">
        <v>118</v>
      </c>
      <c r="AP4000">
        <v>-129</v>
      </c>
      <c r="AQ4000">
        <v>-62</v>
      </c>
      <c r="AR4000">
        <v>-64</v>
      </c>
      <c r="AZ4000">
        <v>1200</v>
      </c>
      <c r="BA4000">
        <v>1</v>
      </c>
      <c r="BB4000" t="str">
        <f t="shared" si="1846"/>
        <v xml:space="preserve">N711JA  </v>
      </c>
      <c r="BC4000">
        <v>1</v>
      </c>
      <c r="BE4000">
        <v>0</v>
      </c>
      <c r="BF4000">
        <v>0</v>
      </c>
      <c r="BG4000">
        <v>0</v>
      </c>
      <c r="BH4000">
        <v>2300</v>
      </c>
      <c r="BI4000">
        <v>1</v>
      </c>
      <c r="BJ4000">
        <v>1</v>
      </c>
      <c r="BK4000">
        <v>0</v>
      </c>
      <c r="BL4000">
        <v>0</v>
      </c>
      <c r="BO4000">
        <v>0</v>
      </c>
      <c r="BP4000">
        <v>0</v>
      </c>
      <c r="BW4000" t="str">
        <f t="shared" si="1850"/>
        <v>14:48:30.519</v>
      </c>
      <c r="CJ4000">
        <v>0</v>
      </c>
      <c r="CK4000">
        <v>2</v>
      </c>
      <c r="CL4000">
        <v>0</v>
      </c>
      <c r="CM4000">
        <v>2</v>
      </c>
      <c r="CN4000">
        <v>0</v>
      </c>
      <c r="CO4000">
        <v>7</v>
      </c>
      <c r="CP4000" t="s">
        <v>119</v>
      </c>
      <c r="CQ4000">
        <v>8</v>
      </c>
      <c r="CR4000">
        <v>3</v>
      </c>
      <c r="CW4000">
        <v>9101440</v>
      </c>
      <c r="CY4000">
        <v>1</v>
      </c>
      <c r="CZ4000">
        <v>0</v>
      </c>
      <c r="DA4000">
        <v>1</v>
      </c>
      <c r="DB4000">
        <v>0</v>
      </c>
      <c r="DC4000">
        <v>0</v>
      </c>
      <c r="DD4000">
        <v>1</v>
      </c>
      <c r="DE4000">
        <v>0</v>
      </c>
      <c r="DF4000">
        <v>0</v>
      </c>
      <c r="DG4000">
        <v>0</v>
      </c>
      <c r="DH4000">
        <v>0</v>
      </c>
      <c r="DI4000">
        <v>0</v>
      </c>
    </row>
    <row r="4001" spans="1:113" x14ac:dyDescent="0.3">
      <c r="A4001" t="str">
        <f t="shared" si="1847"/>
        <v>05/12/2020 14:48:12.687</v>
      </c>
      <c r="C4001" t="str">
        <f t="shared" si="1845"/>
        <v>FFDFD3C0</v>
      </c>
      <c r="D4001" t="s">
        <v>138</v>
      </c>
      <c r="E4001">
        <v>3</v>
      </c>
      <c r="H4001">
        <v>9</v>
      </c>
      <c r="I4001" t="s">
        <v>140</v>
      </c>
      <c r="J4001" t="s">
        <v>136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 t="shared" si="1848"/>
        <v>14:48:30.516</v>
      </c>
      <c r="T4001" t="str">
        <f t="shared" si="1849"/>
        <v>14:48:30.116</v>
      </c>
      <c r="U4001" t="str">
        <f t="shared" si="1837"/>
        <v>A9808D</v>
      </c>
      <c r="V4001">
        <v>0</v>
      </c>
      <c r="W4001">
        <v>0</v>
      </c>
      <c r="X4001">
        <v>1</v>
      </c>
      <c r="Z4001">
        <v>0</v>
      </c>
      <c r="AA4001">
        <v>9</v>
      </c>
      <c r="AB4001">
        <v>3</v>
      </c>
      <c r="AC4001">
        <v>0</v>
      </c>
      <c r="AD4001">
        <v>10</v>
      </c>
      <c r="AE4001">
        <v>0</v>
      </c>
      <c r="AF4001">
        <v>3</v>
      </c>
      <c r="AG4001">
        <v>2</v>
      </c>
      <c r="AH4001">
        <v>0</v>
      </c>
      <c r="AI4001" t="s">
        <v>914</v>
      </c>
      <c r="AJ4001">
        <v>28.268014999999998</v>
      </c>
      <c r="AK4001" t="s">
        <v>732</v>
      </c>
      <c r="AL4001">
        <v>-82.292446999999996</v>
      </c>
      <c r="AM4001">
        <v>100</v>
      </c>
      <c r="AN4001">
        <v>2300</v>
      </c>
      <c r="AO4001" t="s">
        <v>118</v>
      </c>
      <c r="AP4001">
        <v>-129</v>
      </c>
      <c r="AQ4001">
        <v>-62</v>
      </c>
      <c r="AR4001">
        <v>-64</v>
      </c>
      <c r="AZ4001">
        <v>1200</v>
      </c>
      <c r="BA4001">
        <v>1</v>
      </c>
      <c r="BB4001" t="str">
        <f t="shared" si="1846"/>
        <v xml:space="preserve">N711JA  </v>
      </c>
      <c r="BC4001">
        <v>1</v>
      </c>
      <c r="BE4001">
        <v>0</v>
      </c>
      <c r="BF4001">
        <v>0</v>
      </c>
      <c r="BG4001">
        <v>0</v>
      </c>
      <c r="BH4001">
        <v>2300</v>
      </c>
      <c r="BI4001">
        <v>1</v>
      </c>
      <c r="BJ4001">
        <v>1</v>
      </c>
      <c r="BK4001">
        <v>0</v>
      </c>
      <c r="BL4001">
        <v>0</v>
      </c>
      <c r="BO4001">
        <v>0</v>
      </c>
      <c r="BP4001">
        <v>0</v>
      </c>
      <c r="BW4001" t="str">
        <f t="shared" si="1850"/>
        <v>14:48:30.519</v>
      </c>
      <c r="CJ4001">
        <v>0</v>
      </c>
      <c r="CK4001">
        <v>2</v>
      </c>
      <c r="CL4001">
        <v>0</v>
      </c>
      <c r="CM4001">
        <v>2</v>
      </c>
      <c r="CN4001">
        <v>0</v>
      </c>
      <c r="CO4001">
        <v>7</v>
      </c>
      <c r="CP4001" t="s">
        <v>119</v>
      </c>
      <c r="CQ4001">
        <v>8</v>
      </c>
      <c r="CR4001">
        <v>3</v>
      </c>
      <c r="CW4001">
        <v>9101440</v>
      </c>
      <c r="CY4001">
        <v>1</v>
      </c>
      <c r="CZ4001">
        <v>0</v>
      </c>
      <c r="DA4001">
        <v>1</v>
      </c>
      <c r="DB4001">
        <v>0</v>
      </c>
      <c r="DC4001">
        <v>0</v>
      </c>
      <c r="DD4001">
        <v>1</v>
      </c>
      <c r="DE4001">
        <v>0</v>
      </c>
      <c r="DF4001">
        <v>0</v>
      </c>
      <c r="DG4001">
        <v>0</v>
      </c>
      <c r="DH4001">
        <v>0</v>
      </c>
      <c r="DI4001">
        <v>0</v>
      </c>
    </row>
    <row r="4002" spans="1:113" x14ac:dyDescent="0.3">
      <c r="A4002" t="str">
        <f t="shared" si="1847"/>
        <v>05/12/2020 14:48:12.687</v>
      </c>
      <c r="C4002" t="str">
        <f t="shared" si="1845"/>
        <v>FFDFD3C0</v>
      </c>
      <c r="D4002" t="s">
        <v>126</v>
      </c>
      <c r="E4002">
        <v>6</v>
      </c>
      <c r="F4002">
        <v>1006</v>
      </c>
      <c r="G4002" t="s">
        <v>114</v>
      </c>
      <c r="J4002" t="s">
        <v>128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 t="shared" si="1848"/>
        <v>14:48:30.516</v>
      </c>
      <c r="T4002" t="str">
        <f t="shared" si="1849"/>
        <v>14:48:30.116</v>
      </c>
      <c r="U4002" t="str">
        <f t="shared" si="1837"/>
        <v>A9808D</v>
      </c>
      <c r="V4002">
        <v>0</v>
      </c>
      <c r="W4002">
        <v>0</v>
      </c>
      <c r="X4002">
        <v>1</v>
      </c>
      <c r="Z4002">
        <v>0</v>
      </c>
      <c r="AA4002">
        <v>9</v>
      </c>
      <c r="AB4002">
        <v>3</v>
      </c>
      <c r="AC4002">
        <v>0</v>
      </c>
      <c r="AD4002">
        <v>10</v>
      </c>
      <c r="AE4002">
        <v>0</v>
      </c>
      <c r="AF4002">
        <v>3</v>
      </c>
      <c r="AG4002">
        <v>2</v>
      </c>
      <c r="AH4002">
        <v>0</v>
      </c>
      <c r="AI4002" t="s">
        <v>914</v>
      </c>
      <c r="AJ4002">
        <v>28.268014999999998</v>
      </c>
      <c r="AK4002" t="s">
        <v>732</v>
      </c>
      <c r="AL4002">
        <v>-82.292446999999996</v>
      </c>
      <c r="AM4002">
        <v>100</v>
      </c>
      <c r="AN4002">
        <v>2300</v>
      </c>
      <c r="AO4002" t="s">
        <v>118</v>
      </c>
      <c r="AP4002">
        <v>-129</v>
      </c>
      <c r="AQ4002">
        <v>-62</v>
      </c>
      <c r="AR4002">
        <v>-64</v>
      </c>
      <c r="AZ4002">
        <v>1200</v>
      </c>
      <c r="BA4002">
        <v>1</v>
      </c>
      <c r="BB4002" t="str">
        <f t="shared" si="1846"/>
        <v xml:space="preserve">N711JA  </v>
      </c>
      <c r="BC4002">
        <v>1</v>
      </c>
      <c r="BE4002">
        <v>0</v>
      </c>
      <c r="BF4002">
        <v>0</v>
      </c>
      <c r="BG4002">
        <v>0</v>
      </c>
      <c r="BH4002">
        <v>2300</v>
      </c>
      <c r="BI4002">
        <v>1</v>
      </c>
      <c r="BJ4002">
        <v>1</v>
      </c>
      <c r="BK4002">
        <v>0</v>
      </c>
      <c r="BL4002">
        <v>0</v>
      </c>
      <c r="BO4002">
        <v>0</v>
      </c>
      <c r="BP4002">
        <v>0</v>
      </c>
      <c r="BW4002" t="str">
        <f t="shared" si="1850"/>
        <v>14:48:30.519</v>
      </c>
      <c r="CJ4002">
        <v>0</v>
      </c>
      <c r="CK4002">
        <v>2</v>
      </c>
      <c r="CL4002">
        <v>0</v>
      </c>
      <c r="CM4002">
        <v>2</v>
      </c>
      <c r="CN4002">
        <v>0</v>
      </c>
      <c r="CO4002">
        <v>7</v>
      </c>
      <c r="CP4002" t="s">
        <v>119</v>
      </c>
      <c r="CQ4002">
        <v>8</v>
      </c>
      <c r="CR4002">
        <v>3</v>
      </c>
      <c r="CW4002">
        <v>9101440</v>
      </c>
      <c r="CY4002">
        <v>1</v>
      </c>
      <c r="CZ4002">
        <v>0</v>
      </c>
      <c r="DA4002">
        <v>1</v>
      </c>
      <c r="DB4002">
        <v>0</v>
      </c>
      <c r="DC4002">
        <v>0</v>
      </c>
      <c r="DD4002">
        <v>1</v>
      </c>
      <c r="DE4002">
        <v>0</v>
      </c>
      <c r="DF4002">
        <v>0</v>
      </c>
      <c r="DG4002">
        <v>0</v>
      </c>
      <c r="DH4002">
        <v>0</v>
      </c>
      <c r="DI4002">
        <v>0</v>
      </c>
    </row>
    <row r="4003" spans="1:113" x14ac:dyDescent="0.3">
      <c r="A4003" t="str">
        <f t="shared" ref="A4003:A4011" si="1851">"05/12/2020 14:48:13.770"</f>
        <v>05/12/2020 14:48:13.770</v>
      </c>
      <c r="C4003" t="str">
        <f t="shared" si="1845"/>
        <v>FFDFD3C0</v>
      </c>
      <c r="D4003" t="s">
        <v>134</v>
      </c>
      <c r="E4003">
        <v>12</v>
      </c>
      <c r="H4003">
        <v>64</v>
      </c>
      <c r="I4003" t="s">
        <v>135</v>
      </c>
      <c r="J4003" t="s">
        <v>136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 t="shared" ref="S4003:S4011" si="1852">"14:48:31.586"</f>
        <v>14:48:31.586</v>
      </c>
      <c r="T4003" t="str">
        <f t="shared" ref="T4003:T4011" si="1853">"14:48:31.186"</f>
        <v>14:48:31.186</v>
      </c>
      <c r="U4003" t="str">
        <f t="shared" si="1837"/>
        <v>A9808D</v>
      </c>
      <c r="V4003">
        <v>0</v>
      </c>
      <c r="W4003">
        <v>0</v>
      </c>
      <c r="X4003">
        <v>1</v>
      </c>
      <c r="Z4003">
        <v>0</v>
      </c>
      <c r="AA4003">
        <v>9</v>
      </c>
      <c r="AB4003">
        <v>3</v>
      </c>
      <c r="AC4003">
        <v>0</v>
      </c>
      <c r="AD4003">
        <v>10</v>
      </c>
      <c r="AE4003">
        <v>0</v>
      </c>
      <c r="AF4003">
        <v>3</v>
      </c>
      <c r="AG4003">
        <v>2</v>
      </c>
      <c r="AH4003">
        <v>0</v>
      </c>
      <c r="AI4003" t="s">
        <v>915</v>
      </c>
      <c r="AJ4003">
        <v>28.267693999999999</v>
      </c>
      <c r="AK4003" t="s">
        <v>916</v>
      </c>
      <c r="AL4003">
        <v>-82.293133999999995</v>
      </c>
      <c r="AM4003">
        <v>100</v>
      </c>
      <c r="AN4003">
        <v>2300</v>
      </c>
      <c r="AO4003" t="s">
        <v>118</v>
      </c>
      <c r="AP4003">
        <v>-127</v>
      </c>
      <c r="AQ4003">
        <v>-66</v>
      </c>
      <c r="AR4003">
        <v>-64</v>
      </c>
      <c r="AZ4003">
        <v>1200</v>
      </c>
      <c r="BA4003">
        <v>1</v>
      </c>
      <c r="BB4003" t="str">
        <f t="shared" si="1846"/>
        <v xml:space="preserve">N711JA  </v>
      </c>
      <c r="BC4003">
        <v>1</v>
      </c>
      <c r="BE4003">
        <v>0</v>
      </c>
      <c r="BF4003">
        <v>0</v>
      </c>
      <c r="BG4003">
        <v>0</v>
      </c>
      <c r="BH4003">
        <v>2300</v>
      </c>
      <c r="BI4003">
        <v>1</v>
      </c>
      <c r="BJ4003">
        <v>1</v>
      </c>
      <c r="BK4003">
        <v>0</v>
      </c>
      <c r="BL4003">
        <v>0</v>
      </c>
      <c r="BO4003">
        <v>0</v>
      </c>
      <c r="BP4003">
        <v>0</v>
      </c>
      <c r="BW4003" t="str">
        <f t="shared" ref="BW4003:BW4011" si="1854">"14:48:31.593"</f>
        <v>14:48:31.593</v>
      </c>
      <c r="CJ4003">
        <v>0</v>
      </c>
      <c r="CK4003">
        <v>2</v>
      </c>
      <c r="CL4003">
        <v>0</v>
      </c>
      <c r="CM4003">
        <v>2</v>
      </c>
      <c r="CN4003">
        <v>0</v>
      </c>
      <c r="CO4003">
        <v>7</v>
      </c>
      <c r="CP4003" t="s">
        <v>119</v>
      </c>
      <c r="CQ4003">
        <v>8</v>
      </c>
      <c r="CR4003">
        <v>3</v>
      </c>
      <c r="CW4003">
        <v>9102549</v>
      </c>
      <c r="CY4003">
        <v>1</v>
      </c>
      <c r="CZ4003">
        <v>0</v>
      </c>
      <c r="DA4003">
        <v>0</v>
      </c>
      <c r="DB4003">
        <v>0</v>
      </c>
      <c r="DC4003">
        <v>0</v>
      </c>
      <c r="DD4003">
        <v>1</v>
      </c>
      <c r="DE4003">
        <v>0</v>
      </c>
      <c r="DF4003">
        <v>0</v>
      </c>
      <c r="DG4003">
        <v>0</v>
      </c>
      <c r="DH4003">
        <v>0</v>
      </c>
      <c r="DI4003">
        <v>0</v>
      </c>
    </row>
    <row r="4004" spans="1:113" x14ac:dyDescent="0.3">
      <c r="A4004" t="str">
        <f t="shared" si="1851"/>
        <v>05/12/2020 14:48:13.770</v>
      </c>
      <c r="C4004" t="str">
        <f t="shared" si="1845"/>
        <v>FFDFD3C0</v>
      </c>
      <c r="D4004" t="s">
        <v>113</v>
      </c>
      <c r="E4004">
        <v>3</v>
      </c>
      <c r="H4004">
        <v>164</v>
      </c>
      <c r="I4004" t="s">
        <v>114</v>
      </c>
      <c r="J4004" t="s">
        <v>115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 t="shared" si="1852"/>
        <v>14:48:31.586</v>
      </c>
      <c r="T4004" t="str">
        <f t="shared" si="1853"/>
        <v>14:48:31.186</v>
      </c>
      <c r="U4004" t="str">
        <f t="shared" si="1837"/>
        <v>A9808D</v>
      </c>
      <c r="V4004">
        <v>0</v>
      </c>
      <c r="W4004">
        <v>0</v>
      </c>
      <c r="X4004">
        <v>1</v>
      </c>
      <c r="Z4004">
        <v>0</v>
      </c>
      <c r="AA4004">
        <v>9</v>
      </c>
      <c r="AB4004">
        <v>3</v>
      </c>
      <c r="AC4004">
        <v>0</v>
      </c>
      <c r="AD4004">
        <v>10</v>
      </c>
      <c r="AE4004">
        <v>0</v>
      </c>
      <c r="AF4004">
        <v>3</v>
      </c>
      <c r="AG4004">
        <v>2</v>
      </c>
      <c r="AH4004">
        <v>0</v>
      </c>
      <c r="AI4004" t="s">
        <v>915</v>
      </c>
      <c r="AJ4004">
        <v>28.267693999999999</v>
      </c>
      <c r="AK4004" t="s">
        <v>916</v>
      </c>
      <c r="AL4004">
        <v>-82.293133999999995</v>
      </c>
      <c r="AM4004">
        <v>100</v>
      </c>
      <c r="AN4004">
        <v>2300</v>
      </c>
      <c r="AO4004" t="s">
        <v>118</v>
      </c>
      <c r="AP4004">
        <v>-127</v>
      </c>
      <c r="AQ4004">
        <v>-66</v>
      </c>
      <c r="AR4004">
        <v>-64</v>
      </c>
      <c r="AZ4004">
        <v>1200</v>
      </c>
      <c r="BA4004">
        <v>1</v>
      </c>
      <c r="BB4004" t="str">
        <f t="shared" si="1846"/>
        <v xml:space="preserve">N711JA  </v>
      </c>
      <c r="BC4004">
        <v>1</v>
      </c>
      <c r="BE4004">
        <v>0</v>
      </c>
      <c r="BF4004">
        <v>0</v>
      </c>
      <c r="BG4004">
        <v>0</v>
      </c>
      <c r="BH4004">
        <v>2300</v>
      </c>
      <c r="BI4004">
        <v>1</v>
      </c>
      <c r="BJ4004">
        <v>1</v>
      </c>
      <c r="BK4004">
        <v>0</v>
      </c>
      <c r="BL4004">
        <v>0</v>
      </c>
      <c r="BO4004">
        <v>0</v>
      </c>
      <c r="BP4004">
        <v>0</v>
      </c>
      <c r="BW4004" t="str">
        <f t="shared" si="1854"/>
        <v>14:48:31.593</v>
      </c>
      <c r="CJ4004">
        <v>0</v>
      </c>
      <c r="CK4004">
        <v>2</v>
      </c>
      <c r="CL4004">
        <v>0</v>
      </c>
      <c r="CM4004">
        <v>2</v>
      </c>
      <c r="CN4004">
        <v>0</v>
      </c>
      <c r="CO4004">
        <v>7</v>
      </c>
      <c r="CP4004" t="s">
        <v>119</v>
      </c>
      <c r="CQ4004">
        <v>8</v>
      </c>
      <c r="CR4004">
        <v>3</v>
      </c>
      <c r="CW4004">
        <v>9102549</v>
      </c>
      <c r="CY4004">
        <v>1</v>
      </c>
      <c r="CZ4004">
        <v>0</v>
      </c>
      <c r="DA4004">
        <v>1</v>
      </c>
      <c r="DB4004">
        <v>0</v>
      </c>
      <c r="DC4004">
        <v>0</v>
      </c>
      <c r="DD4004">
        <v>1</v>
      </c>
      <c r="DE4004">
        <v>0</v>
      </c>
      <c r="DF4004">
        <v>0</v>
      </c>
      <c r="DG4004">
        <v>0</v>
      </c>
      <c r="DH4004">
        <v>0</v>
      </c>
      <c r="DI4004">
        <v>0</v>
      </c>
    </row>
    <row r="4005" spans="1:113" x14ac:dyDescent="0.3">
      <c r="A4005" t="str">
        <f t="shared" si="1851"/>
        <v>05/12/2020 14:48:13.770</v>
      </c>
      <c r="C4005" t="str">
        <f t="shared" si="1845"/>
        <v>FFDFD3C0</v>
      </c>
      <c r="D4005" t="s">
        <v>138</v>
      </c>
      <c r="E4005">
        <v>2</v>
      </c>
      <c r="H4005">
        <v>8</v>
      </c>
      <c r="I4005" t="s">
        <v>139</v>
      </c>
      <c r="J4005" t="s">
        <v>136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 t="shared" si="1852"/>
        <v>14:48:31.586</v>
      </c>
      <c r="T4005" t="str">
        <f t="shared" si="1853"/>
        <v>14:48:31.186</v>
      </c>
      <c r="U4005" t="str">
        <f t="shared" si="1837"/>
        <v>A9808D</v>
      </c>
      <c r="V4005">
        <v>0</v>
      </c>
      <c r="W4005">
        <v>0</v>
      </c>
      <c r="X4005">
        <v>1</v>
      </c>
      <c r="Z4005">
        <v>0</v>
      </c>
      <c r="AA4005">
        <v>9</v>
      </c>
      <c r="AB4005">
        <v>3</v>
      </c>
      <c r="AC4005">
        <v>0</v>
      </c>
      <c r="AD4005">
        <v>10</v>
      </c>
      <c r="AE4005">
        <v>0</v>
      </c>
      <c r="AF4005">
        <v>3</v>
      </c>
      <c r="AG4005">
        <v>2</v>
      </c>
      <c r="AH4005">
        <v>0</v>
      </c>
      <c r="AI4005" t="s">
        <v>915</v>
      </c>
      <c r="AJ4005">
        <v>28.267693999999999</v>
      </c>
      <c r="AK4005" t="s">
        <v>916</v>
      </c>
      <c r="AL4005">
        <v>-82.293133999999995</v>
      </c>
      <c r="AM4005">
        <v>100</v>
      </c>
      <c r="AN4005">
        <v>2300</v>
      </c>
      <c r="AO4005" t="s">
        <v>118</v>
      </c>
      <c r="AP4005">
        <v>-127</v>
      </c>
      <c r="AQ4005">
        <v>-66</v>
      </c>
      <c r="AR4005">
        <v>-64</v>
      </c>
      <c r="AZ4005">
        <v>1200</v>
      </c>
      <c r="BA4005">
        <v>1</v>
      </c>
      <c r="BB4005" t="str">
        <f t="shared" si="1846"/>
        <v xml:space="preserve">N711JA  </v>
      </c>
      <c r="BC4005">
        <v>1</v>
      </c>
      <c r="BE4005">
        <v>0</v>
      </c>
      <c r="BF4005">
        <v>0</v>
      </c>
      <c r="BG4005">
        <v>0</v>
      </c>
      <c r="BH4005">
        <v>2300</v>
      </c>
      <c r="BI4005">
        <v>1</v>
      </c>
      <c r="BJ4005">
        <v>1</v>
      </c>
      <c r="BK4005">
        <v>0</v>
      </c>
      <c r="BL4005">
        <v>0</v>
      </c>
      <c r="BO4005">
        <v>0</v>
      </c>
      <c r="BP4005">
        <v>0</v>
      </c>
      <c r="BW4005" t="str">
        <f t="shared" si="1854"/>
        <v>14:48:31.593</v>
      </c>
      <c r="CJ4005">
        <v>0</v>
      </c>
      <c r="CK4005">
        <v>2</v>
      </c>
      <c r="CL4005">
        <v>0</v>
      </c>
      <c r="CM4005">
        <v>2</v>
      </c>
      <c r="CN4005">
        <v>0</v>
      </c>
      <c r="CO4005">
        <v>7</v>
      </c>
      <c r="CP4005" t="s">
        <v>119</v>
      </c>
      <c r="CQ4005">
        <v>8</v>
      </c>
      <c r="CR4005">
        <v>3</v>
      </c>
      <c r="CW4005">
        <v>9102549</v>
      </c>
      <c r="CY4005">
        <v>1</v>
      </c>
      <c r="CZ4005">
        <v>0</v>
      </c>
      <c r="DA4005">
        <v>1</v>
      </c>
      <c r="DB4005">
        <v>0</v>
      </c>
      <c r="DC4005">
        <v>0</v>
      </c>
      <c r="DD4005">
        <v>1</v>
      </c>
      <c r="DE4005">
        <v>0</v>
      </c>
      <c r="DF4005">
        <v>0</v>
      </c>
      <c r="DG4005">
        <v>0</v>
      </c>
      <c r="DH4005">
        <v>0</v>
      </c>
      <c r="DI4005">
        <v>0</v>
      </c>
    </row>
    <row r="4006" spans="1:113" x14ac:dyDescent="0.3">
      <c r="A4006" t="str">
        <f t="shared" si="1851"/>
        <v>05/12/2020 14:48:13.770</v>
      </c>
      <c r="C4006" t="str">
        <f t="shared" si="1845"/>
        <v>FFDFD3C0</v>
      </c>
      <c r="D4006" t="s">
        <v>138</v>
      </c>
      <c r="E4006">
        <v>3</v>
      </c>
      <c r="H4006">
        <v>9</v>
      </c>
      <c r="I4006" t="s">
        <v>140</v>
      </c>
      <c r="J4006" t="s">
        <v>136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 t="shared" si="1852"/>
        <v>14:48:31.586</v>
      </c>
      <c r="T4006" t="str">
        <f t="shared" si="1853"/>
        <v>14:48:31.186</v>
      </c>
      <c r="U4006" t="str">
        <f t="shared" si="1837"/>
        <v>A9808D</v>
      </c>
      <c r="V4006">
        <v>0</v>
      </c>
      <c r="W4006">
        <v>0</v>
      </c>
      <c r="X4006">
        <v>1</v>
      </c>
      <c r="Z4006">
        <v>0</v>
      </c>
      <c r="AA4006">
        <v>9</v>
      </c>
      <c r="AB4006">
        <v>3</v>
      </c>
      <c r="AC4006">
        <v>0</v>
      </c>
      <c r="AD4006">
        <v>10</v>
      </c>
      <c r="AE4006">
        <v>0</v>
      </c>
      <c r="AF4006">
        <v>3</v>
      </c>
      <c r="AG4006">
        <v>2</v>
      </c>
      <c r="AH4006">
        <v>0</v>
      </c>
      <c r="AI4006" t="s">
        <v>915</v>
      </c>
      <c r="AJ4006">
        <v>28.267693999999999</v>
      </c>
      <c r="AK4006" t="s">
        <v>916</v>
      </c>
      <c r="AL4006">
        <v>-82.293133999999995</v>
      </c>
      <c r="AM4006">
        <v>100</v>
      </c>
      <c r="AN4006">
        <v>2300</v>
      </c>
      <c r="AO4006" t="s">
        <v>118</v>
      </c>
      <c r="AP4006">
        <v>-127</v>
      </c>
      <c r="AQ4006">
        <v>-66</v>
      </c>
      <c r="AR4006">
        <v>-64</v>
      </c>
      <c r="AZ4006">
        <v>1200</v>
      </c>
      <c r="BA4006">
        <v>1</v>
      </c>
      <c r="BB4006" t="str">
        <f t="shared" si="1846"/>
        <v xml:space="preserve">N711JA  </v>
      </c>
      <c r="BC4006">
        <v>1</v>
      </c>
      <c r="BE4006">
        <v>0</v>
      </c>
      <c r="BF4006">
        <v>0</v>
      </c>
      <c r="BG4006">
        <v>0</v>
      </c>
      <c r="BH4006">
        <v>2300</v>
      </c>
      <c r="BI4006">
        <v>1</v>
      </c>
      <c r="BJ4006">
        <v>1</v>
      </c>
      <c r="BK4006">
        <v>0</v>
      </c>
      <c r="BL4006">
        <v>0</v>
      </c>
      <c r="BO4006">
        <v>0</v>
      </c>
      <c r="BP4006">
        <v>0</v>
      </c>
      <c r="BW4006" t="str">
        <f t="shared" si="1854"/>
        <v>14:48:31.593</v>
      </c>
      <c r="CJ4006">
        <v>0</v>
      </c>
      <c r="CK4006">
        <v>2</v>
      </c>
      <c r="CL4006">
        <v>0</v>
      </c>
      <c r="CM4006">
        <v>2</v>
      </c>
      <c r="CN4006">
        <v>0</v>
      </c>
      <c r="CO4006">
        <v>7</v>
      </c>
      <c r="CP4006" t="s">
        <v>119</v>
      </c>
      <c r="CQ4006">
        <v>8</v>
      </c>
      <c r="CR4006">
        <v>3</v>
      </c>
      <c r="CW4006">
        <v>9102549</v>
      </c>
      <c r="CY4006">
        <v>1</v>
      </c>
      <c r="CZ4006">
        <v>0</v>
      </c>
      <c r="DA4006">
        <v>1</v>
      </c>
      <c r="DB4006">
        <v>0</v>
      </c>
      <c r="DC4006">
        <v>0</v>
      </c>
      <c r="DD4006">
        <v>1</v>
      </c>
      <c r="DE4006">
        <v>0</v>
      </c>
      <c r="DF4006">
        <v>0</v>
      </c>
      <c r="DG4006">
        <v>0</v>
      </c>
      <c r="DH4006">
        <v>0</v>
      </c>
      <c r="DI4006">
        <v>0</v>
      </c>
    </row>
    <row r="4007" spans="1:113" x14ac:dyDescent="0.3">
      <c r="A4007" t="str">
        <f t="shared" si="1851"/>
        <v>05/12/2020 14:48:13.770</v>
      </c>
      <c r="C4007" t="str">
        <f t="shared" si="1845"/>
        <v>FFDFD3C0</v>
      </c>
      <c r="D4007" t="s">
        <v>126</v>
      </c>
      <c r="E4007">
        <v>6</v>
      </c>
      <c r="F4007">
        <v>1006</v>
      </c>
      <c r="G4007" t="s">
        <v>114</v>
      </c>
      <c r="J4007" t="s">
        <v>128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 t="shared" si="1852"/>
        <v>14:48:31.586</v>
      </c>
      <c r="T4007" t="str">
        <f t="shared" si="1853"/>
        <v>14:48:31.186</v>
      </c>
      <c r="U4007" t="str">
        <f t="shared" si="1837"/>
        <v>A9808D</v>
      </c>
      <c r="V4007">
        <v>0</v>
      </c>
      <c r="W4007">
        <v>0</v>
      </c>
      <c r="X4007">
        <v>1</v>
      </c>
      <c r="Z4007">
        <v>0</v>
      </c>
      <c r="AA4007">
        <v>9</v>
      </c>
      <c r="AB4007">
        <v>3</v>
      </c>
      <c r="AC4007">
        <v>0</v>
      </c>
      <c r="AD4007">
        <v>10</v>
      </c>
      <c r="AE4007">
        <v>0</v>
      </c>
      <c r="AF4007">
        <v>3</v>
      </c>
      <c r="AG4007">
        <v>2</v>
      </c>
      <c r="AH4007">
        <v>0</v>
      </c>
      <c r="AI4007" t="s">
        <v>915</v>
      </c>
      <c r="AJ4007">
        <v>28.267693999999999</v>
      </c>
      <c r="AK4007" t="s">
        <v>916</v>
      </c>
      <c r="AL4007">
        <v>-82.293133999999995</v>
      </c>
      <c r="AM4007">
        <v>100</v>
      </c>
      <c r="AN4007">
        <v>2300</v>
      </c>
      <c r="AO4007" t="s">
        <v>118</v>
      </c>
      <c r="AP4007">
        <v>-127</v>
      </c>
      <c r="AQ4007">
        <v>-66</v>
      </c>
      <c r="AR4007">
        <v>-64</v>
      </c>
      <c r="AZ4007">
        <v>1200</v>
      </c>
      <c r="BA4007">
        <v>1</v>
      </c>
      <c r="BB4007" t="str">
        <f t="shared" si="1846"/>
        <v xml:space="preserve">N711JA  </v>
      </c>
      <c r="BC4007">
        <v>1</v>
      </c>
      <c r="BE4007">
        <v>0</v>
      </c>
      <c r="BF4007">
        <v>0</v>
      </c>
      <c r="BG4007">
        <v>0</v>
      </c>
      <c r="BH4007">
        <v>2300</v>
      </c>
      <c r="BI4007">
        <v>1</v>
      </c>
      <c r="BJ4007">
        <v>1</v>
      </c>
      <c r="BK4007">
        <v>0</v>
      </c>
      <c r="BL4007">
        <v>0</v>
      </c>
      <c r="BO4007">
        <v>0</v>
      </c>
      <c r="BP4007">
        <v>0</v>
      </c>
      <c r="BW4007" t="str">
        <f t="shared" si="1854"/>
        <v>14:48:31.593</v>
      </c>
      <c r="CJ4007">
        <v>0</v>
      </c>
      <c r="CK4007">
        <v>2</v>
      </c>
      <c r="CL4007">
        <v>0</v>
      </c>
      <c r="CM4007">
        <v>2</v>
      </c>
      <c r="CN4007">
        <v>0</v>
      </c>
      <c r="CO4007">
        <v>7</v>
      </c>
      <c r="CP4007" t="s">
        <v>119</v>
      </c>
      <c r="CQ4007">
        <v>8</v>
      </c>
      <c r="CR4007">
        <v>3</v>
      </c>
      <c r="CW4007">
        <v>9102549</v>
      </c>
      <c r="CY4007">
        <v>1</v>
      </c>
      <c r="CZ4007">
        <v>0</v>
      </c>
      <c r="DA4007">
        <v>1</v>
      </c>
      <c r="DB4007">
        <v>0</v>
      </c>
      <c r="DC4007">
        <v>0</v>
      </c>
      <c r="DD4007">
        <v>1</v>
      </c>
      <c r="DE4007">
        <v>0</v>
      </c>
      <c r="DF4007">
        <v>0</v>
      </c>
      <c r="DG4007">
        <v>0</v>
      </c>
      <c r="DH4007">
        <v>0</v>
      </c>
      <c r="DI4007">
        <v>0</v>
      </c>
    </row>
    <row r="4008" spans="1:113" x14ac:dyDescent="0.3">
      <c r="A4008" t="str">
        <f t="shared" si="1851"/>
        <v>05/12/2020 14:48:13.770</v>
      </c>
      <c r="C4008" t="str">
        <f t="shared" si="1845"/>
        <v>FFDFD3C0</v>
      </c>
      <c r="D4008" t="s">
        <v>126</v>
      </c>
      <c r="E4008">
        <v>7</v>
      </c>
      <c r="F4008">
        <v>1007</v>
      </c>
      <c r="G4008" t="s">
        <v>127</v>
      </c>
      <c r="J4008" t="s">
        <v>128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 t="shared" si="1852"/>
        <v>14:48:31.586</v>
      </c>
      <c r="T4008" t="str">
        <f t="shared" si="1853"/>
        <v>14:48:31.186</v>
      </c>
      <c r="U4008" t="str">
        <f t="shared" si="1837"/>
        <v>A9808D</v>
      </c>
      <c r="V4008">
        <v>0</v>
      </c>
      <c r="W4008">
        <v>0</v>
      </c>
      <c r="X4008">
        <v>1</v>
      </c>
      <c r="Z4008">
        <v>0</v>
      </c>
      <c r="AA4008">
        <v>9</v>
      </c>
      <c r="AB4008">
        <v>3</v>
      </c>
      <c r="AC4008">
        <v>0</v>
      </c>
      <c r="AD4008">
        <v>10</v>
      </c>
      <c r="AE4008">
        <v>0</v>
      </c>
      <c r="AF4008">
        <v>3</v>
      </c>
      <c r="AG4008">
        <v>2</v>
      </c>
      <c r="AH4008">
        <v>0</v>
      </c>
      <c r="AI4008" t="s">
        <v>915</v>
      </c>
      <c r="AJ4008">
        <v>28.267693999999999</v>
      </c>
      <c r="AK4008" t="s">
        <v>916</v>
      </c>
      <c r="AL4008">
        <v>-82.293133999999995</v>
      </c>
      <c r="AM4008">
        <v>100</v>
      </c>
      <c r="AN4008">
        <v>2300</v>
      </c>
      <c r="AO4008" t="s">
        <v>118</v>
      </c>
      <c r="AP4008">
        <v>-127</v>
      </c>
      <c r="AQ4008">
        <v>-66</v>
      </c>
      <c r="AR4008">
        <v>-64</v>
      </c>
      <c r="AZ4008">
        <v>1200</v>
      </c>
      <c r="BA4008">
        <v>1</v>
      </c>
      <c r="BB4008" t="str">
        <f t="shared" si="1846"/>
        <v xml:space="preserve">N711JA  </v>
      </c>
      <c r="BC4008">
        <v>1</v>
      </c>
      <c r="BE4008">
        <v>0</v>
      </c>
      <c r="BF4008">
        <v>0</v>
      </c>
      <c r="BG4008">
        <v>0</v>
      </c>
      <c r="BH4008">
        <v>2300</v>
      </c>
      <c r="BI4008">
        <v>1</v>
      </c>
      <c r="BJ4008">
        <v>1</v>
      </c>
      <c r="BK4008">
        <v>0</v>
      </c>
      <c r="BL4008">
        <v>0</v>
      </c>
      <c r="BO4008">
        <v>0</v>
      </c>
      <c r="BP4008">
        <v>0</v>
      </c>
      <c r="BW4008" t="str">
        <f t="shared" si="1854"/>
        <v>14:48:31.593</v>
      </c>
      <c r="CJ4008">
        <v>0</v>
      </c>
      <c r="CK4008">
        <v>2</v>
      </c>
      <c r="CL4008">
        <v>0</v>
      </c>
      <c r="CM4008">
        <v>2</v>
      </c>
      <c r="CN4008">
        <v>0</v>
      </c>
      <c r="CO4008">
        <v>7</v>
      </c>
      <c r="CP4008" t="s">
        <v>119</v>
      </c>
      <c r="CQ4008">
        <v>8</v>
      </c>
      <c r="CR4008">
        <v>3</v>
      </c>
      <c r="CW4008">
        <v>9102549</v>
      </c>
      <c r="CY4008">
        <v>1</v>
      </c>
      <c r="CZ4008">
        <v>0</v>
      </c>
      <c r="DA4008">
        <v>1</v>
      </c>
      <c r="DB4008">
        <v>0</v>
      </c>
      <c r="DC4008">
        <v>0</v>
      </c>
      <c r="DD4008">
        <v>1</v>
      </c>
      <c r="DE4008">
        <v>0</v>
      </c>
      <c r="DF4008">
        <v>0</v>
      </c>
      <c r="DG4008">
        <v>0</v>
      </c>
      <c r="DH4008">
        <v>0</v>
      </c>
      <c r="DI4008">
        <v>0</v>
      </c>
    </row>
    <row r="4009" spans="1:113" x14ac:dyDescent="0.3">
      <c r="A4009" t="str">
        <f t="shared" si="1851"/>
        <v>05/12/2020 14:48:13.770</v>
      </c>
      <c r="C4009" t="str">
        <f t="shared" si="1845"/>
        <v>FFDFD3C0</v>
      </c>
      <c r="D4009" t="s">
        <v>131</v>
      </c>
      <c r="E4009">
        <v>10</v>
      </c>
      <c r="F4009">
        <v>2010</v>
      </c>
      <c r="G4009" t="s">
        <v>132</v>
      </c>
      <c r="J4009" t="s">
        <v>133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 t="shared" si="1852"/>
        <v>14:48:31.586</v>
      </c>
      <c r="T4009" t="str">
        <f t="shared" si="1853"/>
        <v>14:48:31.186</v>
      </c>
      <c r="U4009" t="str">
        <f t="shared" si="1837"/>
        <v>A9808D</v>
      </c>
      <c r="V4009">
        <v>0</v>
      </c>
      <c r="W4009">
        <v>0</v>
      </c>
      <c r="X4009">
        <v>1</v>
      </c>
      <c r="Z4009">
        <v>0</v>
      </c>
      <c r="AA4009">
        <v>9</v>
      </c>
      <c r="AB4009">
        <v>3</v>
      </c>
      <c r="AC4009">
        <v>0</v>
      </c>
      <c r="AD4009">
        <v>10</v>
      </c>
      <c r="AE4009">
        <v>0</v>
      </c>
      <c r="AF4009">
        <v>3</v>
      </c>
      <c r="AG4009">
        <v>2</v>
      </c>
      <c r="AH4009">
        <v>0</v>
      </c>
      <c r="AI4009" t="s">
        <v>915</v>
      </c>
      <c r="AJ4009">
        <v>28.267693999999999</v>
      </c>
      <c r="AK4009" t="s">
        <v>916</v>
      </c>
      <c r="AL4009">
        <v>-82.293133999999995</v>
      </c>
      <c r="AM4009">
        <v>100</v>
      </c>
      <c r="AN4009">
        <v>2300</v>
      </c>
      <c r="AO4009" t="s">
        <v>118</v>
      </c>
      <c r="AP4009">
        <v>-127</v>
      </c>
      <c r="AQ4009">
        <v>-66</v>
      </c>
      <c r="AR4009">
        <v>-64</v>
      </c>
      <c r="AZ4009">
        <v>1200</v>
      </c>
      <c r="BA4009">
        <v>1</v>
      </c>
      <c r="BB4009" t="str">
        <f t="shared" si="1846"/>
        <v xml:space="preserve">N711JA  </v>
      </c>
      <c r="BC4009">
        <v>1</v>
      </c>
      <c r="BE4009">
        <v>0</v>
      </c>
      <c r="BF4009">
        <v>0</v>
      </c>
      <c r="BG4009">
        <v>0</v>
      </c>
      <c r="BH4009">
        <v>2300</v>
      </c>
      <c r="BI4009">
        <v>1</v>
      </c>
      <c r="BJ4009">
        <v>1</v>
      </c>
      <c r="BK4009">
        <v>0</v>
      </c>
      <c r="BL4009">
        <v>0</v>
      </c>
      <c r="BO4009">
        <v>0</v>
      </c>
      <c r="BP4009">
        <v>0</v>
      </c>
      <c r="BW4009" t="str">
        <f t="shared" si="1854"/>
        <v>14:48:31.593</v>
      </c>
      <c r="CJ4009">
        <v>0</v>
      </c>
      <c r="CK4009">
        <v>2</v>
      </c>
      <c r="CL4009">
        <v>0</v>
      </c>
      <c r="CM4009">
        <v>2</v>
      </c>
      <c r="CN4009">
        <v>0</v>
      </c>
      <c r="CO4009">
        <v>7</v>
      </c>
      <c r="CP4009" t="s">
        <v>119</v>
      </c>
      <c r="CQ4009">
        <v>8</v>
      </c>
      <c r="CR4009">
        <v>3</v>
      </c>
      <c r="CW4009">
        <v>9102549</v>
      </c>
      <c r="CY4009">
        <v>1</v>
      </c>
      <c r="CZ4009">
        <v>0</v>
      </c>
      <c r="DA4009">
        <v>1</v>
      </c>
      <c r="DB4009">
        <v>0</v>
      </c>
      <c r="DC4009">
        <v>0</v>
      </c>
      <c r="DD4009">
        <v>1</v>
      </c>
      <c r="DE4009">
        <v>0</v>
      </c>
      <c r="DF4009">
        <v>0</v>
      </c>
      <c r="DG4009">
        <v>0</v>
      </c>
      <c r="DH4009">
        <v>0</v>
      </c>
      <c r="DI4009">
        <v>0</v>
      </c>
    </row>
    <row r="4010" spans="1:113" x14ac:dyDescent="0.3">
      <c r="A4010" t="str">
        <f t="shared" si="1851"/>
        <v>05/12/2020 14:48:13.770</v>
      </c>
      <c r="C4010" t="str">
        <f t="shared" si="1845"/>
        <v>FFDFD3C0</v>
      </c>
      <c r="D4010" t="s">
        <v>131</v>
      </c>
      <c r="E4010">
        <v>12</v>
      </c>
      <c r="F4010">
        <v>2012</v>
      </c>
      <c r="G4010" t="s">
        <v>137</v>
      </c>
      <c r="J4010" t="s">
        <v>133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 t="shared" si="1852"/>
        <v>14:48:31.586</v>
      </c>
      <c r="T4010" t="str">
        <f t="shared" si="1853"/>
        <v>14:48:31.186</v>
      </c>
      <c r="U4010" t="str">
        <f t="shared" si="1837"/>
        <v>A9808D</v>
      </c>
      <c r="V4010">
        <v>0</v>
      </c>
      <c r="W4010">
        <v>0</v>
      </c>
      <c r="X4010">
        <v>1</v>
      </c>
      <c r="Z4010">
        <v>0</v>
      </c>
      <c r="AA4010">
        <v>9</v>
      </c>
      <c r="AB4010">
        <v>3</v>
      </c>
      <c r="AC4010">
        <v>0</v>
      </c>
      <c r="AD4010">
        <v>10</v>
      </c>
      <c r="AE4010">
        <v>0</v>
      </c>
      <c r="AF4010">
        <v>3</v>
      </c>
      <c r="AG4010">
        <v>2</v>
      </c>
      <c r="AH4010">
        <v>0</v>
      </c>
      <c r="AI4010" t="s">
        <v>915</v>
      </c>
      <c r="AJ4010">
        <v>28.267693999999999</v>
      </c>
      <c r="AK4010" t="s">
        <v>916</v>
      </c>
      <c r="AL4010">
        <v>-82.293133999999995</v>
      </c>
      <c r="AM4010">
        <v>100</v>
      </c>
      <c r="AN4010">
        <v>2300</v>
      </c>
      <c r="AO4010" t="s">
        <v>118</v>
      </c>
      <c r="AP4010">
        <v>-127</v>
      </c>
      <c r="AQ4010">
        <v>-66</v>
      </c>
      <c r="AR4010">
        <v>-64</v>
      </c>
      <c r="AZ4010">
        <v>1200</v>
      </c>
      <c r="BA4010">
        <v>1</v>
      </c>
      <c r="BB4010" t="str">
        <f t="shared" si="1846"/>
        <v xml:space="preserve">N711JA  </v>
      </c>
      <c r="BC4010">
        <v>1</v>
      </c>
      <c r="BE4010">
        <v>0</v>
      </c>
      <c r="BF4010">
        <v>0</v>
      </c>
      <c r="BG4010">
        <v>0</v>
      </c>
      <c r="BH4010">
        <v>2300</v>
      </c>
      <c r="BI4010">
        <v>1</v>
      </c>
      <c r="BJ4010">
        <v>1</v>
      </c>
      <c r="BK4010">
        <v>0</v>
      </c>
      <c r="BL4010">
        <v>0</v>
      </c>
      <c r="BO4010">
        <v>0</v>
      </c>
      <c r="BP4010">
        <v>0</v>
      </c>
      <c r="BW4010" t="str">
        <f t="shared" si="1854"/>
        <v>14:48:31.593</v>
      </c>
      <c r="CJ4010">
        <v>0</v>
      </c>
      <c r="CK4010">
        <v>2</v>
      </c>
      <c r="CL4010">
        <v>0</v>
      </c>
      <c r="CM4010">
        <v>2</v>
      </c>
      <c r="CN4010">
        <v>0</v>
      </c>
      <c r="CO4010">
        <v>7</v>
      </c>
      <c r="CP4010" t="s">
        <v>119</v>
      </c>
      <c r="CQ4010">
        <v>8</v>
      </c>
      <c r="CR4010">
        <v>3</v>
      </c>
      <c r="CW4010">
        <v>9102549</v>
      </c>
      <c r="CY4010">
        <v>1</v>
      </c>
      <c r="CZ4010">
        <v>0</v>
      </c>
      <c r="DA4010">
        <v>1</v>
      </c>
      <c r="DB4010">
        <v>0</v>
      </c>
      <c r="DC4010">
        <v>0</v>
      </c>
      <c r="DD4010">
        <v>1</v>
      </c>
      <c r="DE4010">
        <v>0</v>
      </c>
      <c r="DF4010">
        <v>0</v>
      </c>
      <c r="DG4010">
        <v>0</v>
      </c>
      <c r="DH4010">
        <v>0</v>
      </c>
      <c r="DI4010">
        <v>0</v>
      </c>
    </row>
    <row r="4011" spans="1:113" x14ac:dyDescent="0.3">
      <c r="A4011" t="str">
        <f t="shared" si="1851"/>
        <v>05/12/2020 14:48:13.770</v>
      </c>
      <c r="C4011" t="str">
        <f t="shared" si="1845"/>
        <v>FFDFD3C0</v>
      </c>
      <c r="D4011" t="s">
        <v>131</v>
      </c>
      <c r="E4011">
        <v>18</v>
      </c>
      <c r="F4011">
        <v>2018</v>
      </c>
      <c r="G4011" t="s">
        <v>161</v>
      </c>
      <c r="J4011" t="s">
        <v>133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 t="shared" si="1852"/>
        <v>14:48:31.586</v>
      </c>
      <c r="T4011" t="str">
        <f t="shared" si="1853"/>
        <v>14:48:31.186</v>
      </c>
      <c r="U4011" t="str">
        <f t="shared" si="1837"/>
        <v>A9808D</v>
      </c>
      <c r="V4011">
        <v>0</v>
      </c>
      <c r="W4011">
        <v>0</v>
      </c>
      <c r="X4011">
        <v>1</v>
      </c>
      <c r="Z4011">
        <v>0</v>
      </c>
      <c r="AA4011">
        <v>9</v>
      </c>
      <c r="AB4011">
        <v>3</v>
      </c>
      <c r="AC4011">
        <v>0</v>
      </c>
      <c r="AD4011">
        <v>10</v>
      </c>
      <c r="AE4011">
        <v>0</v>
      </c>
      <c r="AF4011">
        <v>3</v>
      </c>
      <c r="AG4011">
        <v>2</v>
      </c>
      <c r="AH4011">
        <v>0</v>
      </c>
      <c r="AI4011" t="s">
        <v>915</v>
      </c>
      <c r="AJ4011">
        <v>28.267693999999999</v>
      </c>
      <c r="AK4011" t="s">
        <v>916</v>
      </c>
      <c r="AL4011">
        <v>-82.293133999999995</v>
      </c>
      <c r="AM4011">
        <v>100</v>
      </c>
      <c r="AN4011">
        <v>2300</v>
      </c>
      <c r="AO4011" t="s">
        <v>118</v>
      </c>
      <c r="AP4011">
        <v>-127</v>
      </c>
      <c r="AQ4011">
        <v>-66</v>
      </c>
      <c r="AR4011">
        <v>-64</v>
      </c>
      <c r="AZ4011">
        <v>1200</v>
      </c>
      <c r="BA4011">
        <v>1</v>
      </c>
      <c r="BB4011" t="str">
        <f t="shared" si="1846"/>
        <v xml:space="preserve">N711JA  </v>
      </c>
      <c r="BC4011">
        <v>1</v>
      </c>
      <c r="BE4011">
        <v>0</v>
      </c>
      <c r="BF4011">
        <v>0</v>
      </c>
      <c r="BG4011">
        <v>0</v>
      </c>
      <c r="BH4011">
        <v>2300</v>
      </c>
      <c r="BI4011">
        <v>1</v>
      </c>
      <c r="BJ4011">
        <v>1</v>
      </c>
      <c r="BK4011">
        <v>0</v>
      </c>
      <c r="BL4011">
        <v>0</v>
      </c>
      <c r="BO4011">
        <v>0</v>
      </c>
      <c r="BP4011">
        <v>0</v>
      </c>
      <c r="BW4011" t="str">
        <f t="shared" si="1854"/>
        <v>14:48:31.593</v>
      </c>
      <c r="CJ4011">
        <v>0</v>
      </c>
      <c r="CK4011">
        <v>2</v>
      </c>
      <c r="CL4011">
        <v>0</v>
      </c>
      <c r="CM4011">
        <v>2</v>
      </c>
      <c r="CN4011">
        <v>0</v>
      </c>
      <c r="CO4011">
        <v>5</v>
      </c>
      <c r="CP4011" t="s">
        <v>119</v>
      </c>
      <c r="CQ4011">
        <v>62</v>
      </c>
      <c r="CR4011">
        <v>1</v>
      </c>
      <c r="CW4011">
        <v>12993879</v>
      </c>
      <c r="CY4011">
        <v>1</v>
      </c>
      <c r="CZ4011">
        <v>0</v>
      </c>
      <c r="DA4011">
        <v>1</v>
      </c>
      <c r="DB4011">
        <v>0</v>
      </c>
      <c r="DC4011">
        <v>0</v>
      </c>
      <c r="DD4011">
        <v>1</v>
      </c>
      <c r="DE4011">
        <v>0</v>
      </c>
      <c r="DF4011">
        <v>0</v>
      </c>
      <c r="DG4011">
        <v>0</v>
      </c>
      <c r="DH4011">
        <v>0</v>
      </c>
      <c r="DI4011">
        <v>0</v>
      </c>
    </row>
    <row r="4012" spans="1:113" x14ac:dyDescent="0.3">
      <c r="A4012" t="str">
        <f t="shared" ref="A4012:A4020" si="1855">"05/12/2020 14:48:14.784"</f>
        <v>05/12/2020 14:48:14.784</v>
      </c>
      <c r="C4012" t="str">
        <f t="shared" si="1845"/>
        <v>FFDFD3C0</v>
      </c>
      <c r="D4012" t="s">
        <v>134</v>
      </c>
      <c r="E4012">
        <v>12</v>
      </c>
      <c r="H4012">
        <v>64</v>
      </c>
      <c r="I4012" t="s">
        <v>135</v>
      </c>
      <c r="J4012" t="s">
        <v>136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 t="shared" ref="S4012:S4020" si="1856">"14:48:32.586"</f>
        <v>14:48:32.586</v>
      </c>
      <c r="T4012" t="str">
        <f t="shared" ref="T4012:T4020" si="1857">"14:48:32.186"</f>
        <v>14:48:32.186</v>
      </c>
      <c r="U4012" t="str">
        <f t="shared" si="1837"/>
        <v>A9808D</v>
      </c>
      <c r="V4012">
        <v>0</v>
      </c>
      <c r="W4012">
        <v>0</v>
      </c>
      <c r="X4012">
        <v>1</v>
      </c>
      <c r="Z4012">
        <v>0</v>
      </c>
      <c r="AA4012">
        <v>9</v>
      </c>
      <c r="AB4012">
        <v>3</v>
      </c>
      <c r="AC4012">
        <v>0</v>
      </c>
      <c r="AD4012">
        <v>10</v>
      </c>
      <c r="AE4012">
        <v>0</v>
      </c>
      <c r="AF4012">
        <v>3</v>
      </c>
      <c r="AG4012">
        <v>2</v>
      </c>
      <c r="AH4012">
        <v>0</v>
      </c>
      <c r="AI4012" t="s">
        <v>917</v>
      </c>
      <c r="AJ4012">
        <v>28.267329</v>
      </c>
      <c r="AK4012" t="s">
        <v>918</v>
      </c>
      <c r="AL4012">
        <v>-82.293819999999997</v>
      </c>
      <c r="AM4012">
        <v>100</v>
      </c>
      <c r="AN4012">
        <v>2300</v>
      </c>
      <c r="AO4012" t="s">
        <v>118</v>
      </c>
      <c r="AP4012">
        <v>-125</v>
      </c>
      <c r="AQ4012">
        <v>-69</v>
      </c>
      <c r="AR4012">
        <v>-64</v>
      </c>
      <c r="AZ4012">
        <v>1200</v>
      </c>
      <c r="BA4012">
        <v>1</v>
      </c>
      <c r="BB4012" t="str">
        <f t="shared" si="1846"/>
        <v xml:space="preserve">N711JA  </v>
      </c>
      <c r="BC4012">
        <v>1</v>
      </c>
      <c r="BE4012">
        <v>0</v>
      </c>
      <c r="BF4012">
        <v>0</v>
      </c>
      <c r="BG4012">
        <v>0</v>
      </c>
      <c r="BH4012">
        <v>2300</v>
      </c>
      <c r="BI4012">
        <v>1</v>
      </c>
      <c r="BJ4012">
        <v>1</v>
      </c>
      <c r="BK4012">
        <v>0</v>
      </c>
      <c r="BL4012">
        <v>0</v>
      </c>
      <c r="BO4012">
        <v>0</v>
      </c>
      <c r="BP4012">
        <v>0</v>
      </c>
      <c r="BW4012" t="str">
        <f t="shared" ref="BW4012:BW4020" si="1858">"14:48:32.591"</f>
        <v>14:48:32.591</v>
      </c>
      <c r="CJ4012">
        <v>0</v>
      </c>
      <c r="CK4012">
        <v>2</v>
      </c>
      <c r="CL4012">
        <v>0</v>
      </c>
      <c r="CM4012">
        <v>2</v>
      </c>
      <c r="CN4012">
        <v>0</v>
      </c>
      <c r="CO4012">
        <v>7</v>
      </c>
      <c r="CP4012" t="s">
        <v>119</v>
      </c>
      <c r="CQ4012">
        <v>358</v>
      </c>
      <c r="CR4012">
        <v>0</v>
      </c>
      <c r="CW4012">
        <v>5066886</v>
      </c>
      <c r="CY4012">
        <v>1</v>
      </c>
      <c r="CZ4012">
        <v>0</v>
      </c>
      <c r="DA4012">
        <v>0</v>
      </c>
      <c r="DB4012">
        <v>0</v>
      </c>
      <c r="DC4012">
        <v>0</v>
      </c>
      <c r="DD4012">
        <v>1</v>
      </c>
      <c r="DE4012">
        <v>0</v>
      </c>
      <c r="DF4012">
        <v>0</v>
      </c>
      <c r="DG4012">
        <v>0</v>
      </c>
      <c r="DH4012">
        <v>0</v>
      </c>
      <c r="DI4012">
        <v>0</v>
      </c>
    </row>
    <row r="4013" spans="1:113" x14ac:dyDescent="0.3">
      <c r="A4013" t="str">
        <f t="shared" si="1855"/>
        <v>05/12/2020 14:48:14.784</v>
      </c>
      <c r="C4013" t="str">
        <f t="shared" si="1845"/>
        <v>FFDFD3C0</v>
      </c>
      <c r="D4013" t="s">
        <v>113</v>
      </c>
      <c r="E4013">
        <v>3</v>
      </c>
      <c r="H4013">
        <v>164</v>
      </c>
      <c r="I4013" t="s">
        <v>114</v>
      </c>
      <c r="J4013" t="s">
        <v>115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 t="shared" si="1856"/>
        <v>14:48:32.586</v>
      </c>
      <c r="T4013" t="str">
        <f t="shared" si="1857"/>
        <v>14:48:32.186</v>
      </c>
      <c r="U4013" t="str">
        <f t="shared" si="1837"/>
        <v>A9808D</v>
      </c>
      <c r="V4013">
        <v>0</v>
      </c>
      <c r="W4013">
        <v>0</v>
      </c>
      <c r="X4013">
        <v>1</v>
      </c>
      <c r="Z4013">
        <v>0</v>
      </c>
      <c r="AA4013">
        <v>9</v>
      </c>
      <c r="AB4013">
        <v>3</v>
      </c>
      <c r="AC4013">
        <v>0</v>
      </c>
      <c r="AD4013">
        <v>10</v>
      </c>
      <c r="AE4013">
        <v>0</v>
      </c>
      <c r="AF4013">
        <v>3</v>
      </c>
      <c r="AG4013">
        <v>2</v>
      </c>
      <c r="AH4013">
        <v>0</v>
      </c>
      <c r="AI4013" t="s">
        <v>917</v>
      </c>
      <c r="AJ4013">
        <v>28.267329</v>
      </c>
      <c r="AK4013" t="s">
        <v>918</v>
      </c>
      <c r="AL4013">
        <v>-82.293819999999997</v>
      </c>
      <c r="AM4013">
        <v>100</v>
      </c>
      <c r="AN4013">
        <v>2300</v>
      </c>
      <c r="AO4013" t="s">
        <v>118</v>
      </c>
      <c r="AP4013">
        <v>-125</v>
      </c>
      <c r="AQ4013">
        <v>-69</v>
      </c>
      <c r="AR4013">
        <v>-64</v>
      </c>
      <c r="AZ4013">
        <v>1200</v>
      </c>
      <c r="BA4013">
        <v>1</v>
      </c>
      <c r="BB4013" t="str">
        <f t="shared" si="1846"/>
        <v xml:space="preserve">N711JA  </v>
      </c>
      <c r="BC4013">
        <v>1</v>
      </c>
      <c r="BE4013">
        <v>0</v>
      </c>
      <c r="BF4013">
        <v>0</v>
      </c>
      <c r="BG4013">
        <v>0</v>
      </c>
      <c r="BH4013">
        <v>2300</v>
      </c>
      <c r="BI4013">
        <v>1</v>
      </c>
      <c r="BJ4013">
        <v>1</v>
      </c>
      <c r="BK4013">
        <v>0</v>
      </c>
      <c r="BL4013">
        <v>0</v>
      </c>
      <c r="BO4013">
        <v>0</v>
      </c>
      <c r="BP4013">
        <v>0</v>
      </c>
      <c r="BW4013" t="str">
        <f t="shared" si="1858"/>
        <v>14:48:32.591</v>
      </c>
      <c r="CJ4013">
        <v>0</v>
      </c>
      <c r="CK4013">
        <v>2</v>
      </c>
      <c r="CL4013">
        <v>0</v>
      </c>
      <c r="CM4013">
        <v>2</v>
      </c>
      <c r="CN4013">
        <v>0</v>
      </c>
      <c r="CO4013">
        <v>7</v>
      </c>
      <c r="CP4013" t="s">
        <v>119</v>
      </c>
      <c r="CQ4013">
        <v>8</v>
      </c>
      <c r="CR4013">
        <v>3</v>
      </c>
      <c r="CW4013">
        <v>9103528</v>
      </c>
      <c r="CY4013">
        <v>1</v>
      </c>
      <c r="CZ4013">
        <v>0</v>
      </c>
      <c r="DA4013">
        <v>1</v>
      </c>
      <c r="DB4013">
        <v>0</v>
      </c>
      <c r="DC4013">
        <v>0</v>
      </c>
      <c r="DD4013">
        <v>1</v>
      </c>
      <c r="DE4013">
        <v>0</v>
      </c>
      <c r="DF4013">
        <v>0</v>
      </c>
      <c r="DG4013">
        <v>0</v>
      </c>
      <c r="DH4013">
        <v>0</v>
      </c>
      <c r="DI4013">
        <v>0</v>
      </c>
    </row>
    <row r="4014" spans="1:113" x14ac:dyDescent="0.3">
      <c r="A4014" t="str">
        <f t="shared" si="1855"/>
        <v>05/12/2020 14:48:14.784</v>
      </c>
      <c r="C4014" t="str">
        <f t="shared" si="1845"/>
        <v>FFDFD3C0</v>
      </c>
      <c r="D4014" t="s">
        <v>126</v>
      </c>
      <c r="E4014">
        <v>6</v>
      </c>
      <c r="F4014">
        <v>1006</v>
      </c>
      <c r="G4014" t="s">
        <v>114</v>
      </c>
      <c r="J4014" t="s">
        <v>128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 t="shared" si="1856"/>
        <v>14:48:32.586</v>
      </c>
      <c r="T4014" t="str">
        <f t="shared" si="1857"/>
        <v>14:48:32.186</v>
      </c>
      <c r="U4014" t="str">
        <f t="shared" si="1837"/>
        <v>A9808D</v>
      </c>
      <c r="V4014">
        <v>0</v>
      </c>
      <c r="W4014">
        <v>0</v>
      </c>
      <c r="X4014">
        <v>1</v>
      </c>
      <c r="Z4014">
        <v>0</v>
      </c>
      <c r="AA4014">
        <v>9</v>
      </c>
      <c r="AB4014">
        <v>3</v>
      </c>
      <c r="AC4014">
        <v>0</v>
      </c>
      <c r="AD4014">
        <v>10</v>
      </c>
      <c r="AE4014">
        <v>0</v>
      </c>
      <c r="AF4014">
        <v>3</v>
      </c>
      <c r="AG4014">
        <v>2</v>
      </c>
      <c r="AH4014">
        <v>0</v>
      </c>
      <c r="AI4014" t="s">
        <v>917</v>
      </c>
      <c r="AJ4014">
        <v>28.267329</v>
      </c>
      <c r="AK4014" t="s">
        <v>918</v>
      </c>
      <c r="AL4014">
        <v>-82.293819999999997</v>
      </c>
      <c r="AM4014">
        <v>100</v>
      </c>
      <c r="AN4014">
        <v>2300</v>
      </c>
      <c r="AO4014" t="s">
        <v>118</v>
      </c>
      <c r="AP4014">
        <v>-125</v>
      </c>
      <c r="AQ4014">
        <v>-69</v>
      </c>
      <c r="AR4014">
        <v>-64</v>
      </c>
      <c r="AZ4014">
        <v>1200</v>
      </c>
      <c r="BA4014">
        <v>1</v>
      </c>
      <c r="BB4014" t="str">
        <f t="shared" si="1846"/>
        <v xml:space="preserve">N711JA  </v>
      </c>
      <c r="BC4014">
        <v>1</v>
      </c>
      <c r="BE4014">
        <v>0</v>
      </c>
      <c r="BF4014">
        <v>0</v>
      </c>
      <c r="BG4014">
        <v>0</v>
      </c>
      <c r="BH4014">
        <v>2300</v>
      </c>
      <c r="BI4014">
        <v>1</v>
      </c>
      <c r="BJ4014">
        <v>1</v>
      </c>
      <c r="BK4014">
        <v>0</v>
      </c>
      <c r="BL4014">
        <v>0</v>
      </c>
      <c r="BO4014">
        <v>0</v>
      </c>
      <c r="BP4014">
        <v>0</v>
      </c>
      <c r="BW4014" t="str">
        <f t="shared" si="1858"/>
        <v>14:48:32.591</v>
      </c>
      <c r="CJ4014">
        <v>0</v>
      </c>
      <c r="CK4014">
        <v>2</v>
      </c>
      <c r="CL4014">
        <v>0</v>
      </c>
      <c r="CM4014">
        <v>2</v>
      </c>
      <c r="CN4014">
        <v>0</v>
      </c>
      <c r="CO4014">
        <v>7</v>
      </c>
      <c r="CP4014" t="s">
        <v>119</v>
      </c>
      <c r="CQ4014">
        <v>358</v>
      </c>
      <c r="CR4014">
        <v>0</v>
      </c>
      <c r="CW4014">
        <v>5066886</v>
      </c>
      <c r="CY4014">
        <v>1</v>
      </c>
      <c r="CZ4014">
        <v>0</v>
      </c>
      <c r="DA4014">
        <v>1</v>
      </c>
      <c r="DB4014">
        <v>0</v>
      </c>
      <c r="DC4014">
        <v>0</v>
      </c>
      <c r="DD4014">
        <v>1</v>
      </c>
      <c r="DE4014">
        <v>0</v>
      </c>
      <c r="DF4014">
        <v>0</v>
      </c>
      <c r="DG4014">
        <v>0</v>
      </c>
      <c r="DH4014">
        <v>0</v>
      </c>
      <c r="DI4014">
        <v>0</v>
      </c>
    </row>
    <row r="4015" spans="1:113" x14ac:dyDescent="0.3">
      <c r="A4015" t="str">
        <f t="shared" si="1855"/>
        <v>05/12/2020 14:48:14.784</v>
      </c>
      <c r="C4015" t="str">
        <f t="shared" si="1845"/>
        <v>FFDFD3C0</v>
      </c>
      <c r="D4015" t="s">
        <v>138</v>
      </c>
      <c r="E4015">
        <v>2</v>
      </c>
      <c r="H4015">
        <v>8</v>
      </c>
      <c r="I4015" t="s">
        <v>139</v>
      </c>
      <c r="J4015" t="s">
        <v>136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 t="shared" si="1856"/>
        <v>14:48:32.586</v>
      </c>
      <c r="T4015" t="str">
        <f t="shared" si="1857"/>
        <v>14:48:32.186</v>
      </c>
      <c r="U4015" t="str">
        <f t="shared" si="1837"/>
        <v>A9808D</v>
      </c>
      <c r="V4015">
        <v>0</v>
      </c>
      <c r="W4015">
        <v>0</v>
      </c>
      <c r="X4015">
        <v>1</v>
      </c>
      <c r="Z4015">
        <v>0</v>
      </c>
      <c r="AA4015">
        <v>9</v>
      </c>
      <c r="AB4015">
        <v>3</v>
      </c>
      <c r="AC4015">
        <v>0</v>
      </c>
      <c r="AD4015">
        <v>10</v>
      </c>
      <c r="AE4015">
        <v>0</v>
      </c>
      <c r="AF4015">
        <v>3</v>
      </c>
      <c r="AG4015">
        <v>2</v>
      </c>
      <c r="AH4015">
        <v>0</v>
      </c>
      <c r="AI4015" t="s">
        <v>917</v>
      </c>
      <c r="AJ4015">
        <v>28.267329</v>
      </c>
      <c r="AK4015" t="s">
        <v>918</v>
      </c>
      <c r="AL4015">
        <v>-82.293819999999997</v>
      </c>
      <c r="AM4015">
        <v>100</v>
      </c>
      <c r="AN4015">
        <v>2300</v>
      </c>
      <c r="AO4015" t="s">
        <v>118</v>
      </c>
      <c r="AP4015">
        <v>-125</v>
      </c>
      <c r="AQ4015">
        <v>-69</v>
      </c>
      <c r="AR4015">
        <v>-64</v>
      </c>
      <c r="AZ4015">
        <v>1200</v>
      </c>
      <c r="BA4015">
        <v>1</v>
      </c>
      <c r="BB4015" t="str">
        <f t="shared" si="1846"/>
        <v xml:space="preserve">N711JA  </v>
      </c>
      <c r="BC4015">
        <v>1</v>
      </c>
      <c r="BE4015">
        <v>0</v>
      </c>
      <c r="BF4015">
        <v>0</v>
      </c>
      <c r="BG4015">
        <v>0</v>
      </c>
      <c r="BH4015">
        <v>2300</v>
      </c>
      <c r="BI4015">
        <v>1</v>
      </c>
      <c r="BJ4015">
        <v>1</v>
      </c>
      <c r="BK4015">
        <v>0</v>
      </c>
      <c r="BL4015">
        <v>0</v>
      </c>
      <c r="BO4015">
        <v>0</v>
      </c>
      <c r="BP4015">
        <v>0</v>
      </c>
      <c r="BW4015" t="str">
        <f t="shared" si="1858"/>
        <v>14:48:32.591</v>
      </c>
      <c r="CJ4015">
        <v>0</v>
      </c>
      <c r="CK4015">
        <v>2</v>
      </c>
      <c r="CL4015">
        <v>0</v>
      </c>
      <c r="CM4015">
        <v>2</v>
      </c>
      <c r="CN4015">
        <v>0</v>
      </c>
      <c r="CO4015">
        <v>7</v>
      </c>
      <c r="CP4015" t="s">
        <v>119</v>
      </c>
      <c r="CQ4015">
        <v>8</v>
      </c>
      <c r="CR4015">
        <v>3</v>
      </c>
      <c r="CW4015">
        <v>9103528</v>
      </c>
      <c r="CY4015">
        <v>1</v>
      </c>
      <c r="CZ4015">
        <v>0</v>
      </c>
      <c r="DA4015">
        <v>1</v>
      </c>
      <c r="DB4015">
        <v>0</v>
      </c>
      <c r="DC4015">
        <v>0</v>
      </c>
      <c r="DD4015">
        <v>1</v>
      </c>
      <c r="DE4015">
        <v>0</v>
      </c>
      <c r="DF4015">
        <v>0</v>
      </c>
      <c r="DG4015">
        <v>0</v>
      </c>
      <c r="DH4015">
        <v>0</v>
      </c>
      <c r="DI4015">
        <v>0</v>
      </c>
    </row>
    <row r="4016" spans="1:113" x14ac:dyDescent="0.3">
      <c r="A4016" t="str">
        <f t="shared" si="1855"/>
        <v>05/12/2020 14:48:14.784</v>
      </c>
      <c r="C4016" t="str">
        <f t="shared" si="1845"/>
        <v>FFDFD3C0</v>
      </c>
      <c r="D4016" t="s">
        <v>138</v>
      </c>
      <c r="E4016">
        <v>3</v>
      </c>
      <c r="H4016">
        <v>9</v>
      </c>
      <c r="I4016" t="s">
        <v>140</v>
      </c>
      <c r="J4016" t="s">
        <v>136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 t="shared" si="1856"/>
        <v>14:48:32.586</v>
      </c>
      <c r="T4016" t="str">
        <f t="shared" si="1857"/>
        <v>14:48:32.186</v>
      </c>
      <c r="U4016" t="str">
        <f t="shared" si="1837"/>
        <v>A9808D</v>
      </c>
      <c r="V4016">
        <v>0</v>
      </c>
      <c r="W4016">
        <v>0</v>
      </c>
      <c r="X4016">
        <v>1</v>
      </c>
      <c r="Z4016">
        <v>0</v>
      </c>
      <c r="AA4016">
        <v>9</v>
      </c>
      <c r="AB4016">
        <v>3</v>
      </c>
      <c r="AC4016">
        <v>0</v>
      </c>
      <c r="AD4016">
        <v>10</v>
      </c>
      <c r="AE4016">
        <v>0</v>
      </c>
      <c r="AF4016">
        <v>3</v>
      </c>
      <c r="AG4016">
        <v>2</v>
      </c>
      <c r="AH4016">
        <v>0</v>
      </c>
      <c r="AI4016" t="s">
        <v>917</v>
      </c>
      <c r="AJ4016">
        <v>28.267329</v>
      </c>
      <c r="AK4016" t="s">
        <v>918</v>
      </c>
      <c r="AL4016">
        <v>-82.293819999999997</v>
      </c>
      <c r="AM4016">
        <v>100</v>
      </c>
      <c r="AN4016">
        <v>2300</v>
      </c>
      <c r="AO4016" t="s">
        <v>118</v>
      </c>
      <c r="AP4016">
        <v>-125</v>
      </c>
      <c r="AQ4016">
        <v>-69</v>
      </c>
      <c r="AR4016">
        <v>-64</v>
      </c>
      <c r="AZ4016">
        <v>1200</v>
      </c>
      <c r="BA4016">
        <v>1</v>
      </c>
      <c r="BB4016" t="str">
        <f t="shared" si="1846"/>
        <v xml:space="preserve">N711JA  </v>
      </c>
      <c r="BC4016">
        <v>1</v>
      </c>
      <c r="BE4016">
        <v>0</v>
      </c>
      <c r="BF4016">
        <v>0</v>
      </c>
      <c r="BG4016">
        <v>0</v>
      </c>
      <c r="BH4016">
        <v>2300</v>
      </c>
      <c r="BI4016">
        <v>1</v>
      </c>
      <c r="BJ4016">
        <v>1</v>
      </c>
      <c r="BK4016">
        <v>0</v>
      </c>
      <c r="BL4016">
        <v>0</v>
      </c>
      <c r="BO4016">
        <v>0</v>
      </c>
      <c r="BP4016">
        <v>0</v>
      </c>
      <c r="BW4016" t="str">
        <f t="shared" si="1858"/>
        <v>14:48:32.591</v>
      </c>
      <c r="CJ4016">
        <v>0</v>
      </c>
      <c r="CK4016">
        <v>2</v>
      </c>
      <c r="CL4016">
        <v>0</v>
      </c>
      <c r="CM4016">
        <v>2</v>
      </c>
      <c r="CN4016">
        <v>0</v>
      </c>
      <c r="CO4016">
        <v>7</v>
      </c>
      <c r="CP4016" t="s">
        <v>119</v>
      </c>
      <c r="CQ4016">
        <v>358</v>
      </c>
      <c r="CR4016">
        <v>0</v>
      </c>
      <c r="CW4016">
        <v>5066886</v>
      </c>
      <c r="CY4016">
        <v>1</v>
      </c>
      <c r="CZ4016">
        <v>0</v>
      </c>
      <c r="DA4016">
        <v>1</v>
      </c>
      <c r="DB4016">
        <v>0</v>
      </c>
      <c r="DC4016">
        <v>0</v>
      </c>
      <c r="DD4016">
        <v>1</v>
      </c>
      <c r="DE4016">
        <v>0</v>
      </c>
      <c r="DF4016">
        <v>0</v>
      </c>
      <c r="DG4016">
        <v>0</v>
      </c>
      <c r="DH4016">
        <v>0</v>
      </c>
      <c r="DI4016">
        <v>0</v>
      </c>
    </row>
    <row r="4017" spans="1:113" x14ac:dyDescent="0.3">
      <c r="A4017" t="str">
        <f t="shared" si="1855"/>
        <v>05/12/2020 14:48:14.784</v>
      </c>
      <c r="C4017" t="str">
        <f t="shared" si="1845"/>
        <v>FFDFD3C0</v>
      </c>
      <c r="D4017" t="s">
        <v>126</v>
      </c>
      <c r="E4017">
        <v>7</v>
      </c>
      <c r="F4017">
        <v>1007</v>
      </c>
      <c r="G4017" t="s">
        <v>127</v>
      </c>
      <c r="J4017" t="s">
        <v>128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 t="shared" si="1856"/>
        <v>14:48:32.586</v>
      </c>
      <c r="T4017" t="str">
        <f t="shared" si="1857"/>
        <v>14:48:32.186</v>
      </c>
      <c r="U4017" t="str">
        <f t="shared" si="1837"/>
        <v>A9808D</v>
      </c>
      <c r="V4017">
        <v>0</v>
      </c>
      <c r="W4017">
        <v>0</v>
      </c>
      <c r="X4017">
        <v>1</v>
      </c>
      <c r="Z4017">
        <v>0</v>
      </c>
      <c r="AA4017">
        <v>9</v>
      </c>
      <c r="AB4017">
        <v>3</v>
      </c>
      <c r="AC4017">
        <v>0</v>
      </c>
      <c r="AD4017">
        <v>10</v>
      </c>
      <c r="AE4017">
        <v>0</v>
      </c>
      <c r="AF4017">
        <v>3</v>
      </c>
      <c r="AG4017">
        <v>2</v>
      </c>
      <c r="AH4017">
        <v>0</v>
      </c>
      <c r="AI4017" t="s">
        <v>917</v>
      </c>
      <c r="AJ4017">
        <v>28.267329</v>
      </c>
      <c r="AK4017" t="s">
        <v>918</v>
      </c>
      <c r="AL4017">
        <v>-82.293819999999997</v>
      </c>
      <c r="AM4017">
        <v>100</v>
      </c>
      <c r="AN4017">
        <v>2300</v>
      </c>
      <c r="AO4017" t="s">
        <v>118</v>
      </c>
      <c r="AP4017">
        <v>-125</v>
      </c>
      <c r="AQ4017">
        <v>-69</v>
      </c>
      <c r="AR4017">
        <v>-64</v>
      </c>
      <c r="AZ4017">
        <v>1200</v>
      </c>
      <c r="BA4017">
        <v>1</v>
      </c>
      <c r="BB4017" t="str">
        <f t="shared" si="1846"/>
        <v xml:space="preserve">N711JA  </v>
      </c>
      <c r="BC4017">
        <v>1</v>
      </c>
      <c r="BE4017">
        <v>0</v>
      </c>
      <c r="BF4017">
        <v>0</v>
      </c>
      <c r="BG4017">
        <v>0</v>
      </c>
      <c r="BH4017">
        <v>2300</v>
      </c>
      <c r="BI4017">
        <v>1</v>
      </c>
      <c r="BJ4017">
        <v>1</v>
      </c>
      <c r="BK4017">
        <v>0</v>
      </c>
      <c r="BL4017">
        <v>0</v>
      </c>
      <c r="BO4017">
        <v>0</v>
      </c>
      <c r="BP4017">
        <v>0</v>
      </c>
      <c r="BW4017" t="str">
        <f t="shared" si="1858"/>
        <v>14:48:32.591</v>
      </c>
      <c r="CJ4017">
        <v>0</v>
      </c>
      <c r="CK4017">
        <v>2</v>
      </c>
      <c r="CL4017">
        <v>0</v>
      </c>
      <c r="CM4017">
        <v>2</v>
      </c>
      <c r="CN4017">
        <v>0</v>
      </c>
      <c r="CO4017">
        <v>7</v>
      </c>
      <c r="CP4017" t="s">
        <v>119</v>
      </c>
      <c r="CQ4017">
        <v>358</v>
      </c>
      <c r="CR4017">
        <v>0</v>
      </c>
      <c r="CW4017">
        <v>5066886</v>
      </c>
      <c r="CY4017">
        <v>1</v>
      </c>
      <c r="CZ4017">
        <v>0</v>
      </c>
      <c r="DA4017">
        <v>1</v>
      </c>
      <c r="DB4017">
        <v>0</v>
      </c>
      <c r="DC4017">
        <v>0</v>
      </c>
      <c r="DD4017">
        <v>1</v>
      </c>
      <c r="DE4017">
        <v>0</v>
      </c>
      <c r="DF4017">
        <v>0</v>
      </c>
      <c r="DG4017">
        <v>0</v>
      </c>
      <c r="DH4017">
        <v>0</v>
      </c>
      <c r="DI4017">
        <v>0</v>
      </c>
    </row>
    <row r="4018" spans="1:113" x14ac:dyDescent="0.3">
      <c r="A4018" t="str">
        <f t="shared" si="1855"/>
        <v>05/12/2020 14:48:14.784</v>
      </c>
      <c r="C4018" t="str">
        <f t="shared" si="1845"/>
        <v>FFDFD3C0</v>
      </c>
      <c r="D4018" t="s">
        <v>131</v>
      </c>
      <c r="E4018">
        <v>10</v>
      </c>
      <c r="F4018">
        <v>2010</v>
      </c>
      <c r="G4018" t="s">
        <v>132</v>
      </c>
      <c r="J4018" t="s">
        <v>133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 t="shared" si="1856"/>
        <v>14:48:32.586</v>
      </c>
      <c r="T4018" t="str">
        <f t="shared" si="1857"/>
        <v>14:48:32.186</v>
      </c>
      <c r="U4018" t="str">
        <f t="shared" si="1837"/>
        <v>A9808D</v>
      </c>
      <c r="V4018">
        <v>0</v>
      </c>
      <c r="W4018">
        <v>0</v>
      </c>
      <c r="X4018">
        <v>1</v>
      </c>
      <c r="Z4018">
        <v>0</v>
      </c>
      <c r="AA4018">
        <v>9</v>
      </c>
      <c r="AB4018">
        <v>3</v>
      </c>
      <c r="AC4018">
        <v>0</v>
      </c>
      <c r="AD4018">
        <v>10</v>
      </c>
      <c r="AE4018">
        <v>0</v>
      </c>
      <c r="AF4018">
        <v>3</v>
      </c>
      <c r="AG4018">
        <v>2</v>
      </c>
      <c r="AH4018">
        <v>0</v>
      </c>
      <c r="AI4018" t="s">
        <v>917</v>
      </c>
      <c r="AJ4018">
        <v>28.267329</v>
      </c>
      <c r="AK4018" t="s">
        <v>918</v>
      </c>
      <c r="AL4018">
        <v>-82.293819999999997</v>
      </c>
      <c r="AM4018">
        <v>100</v>
      </c>
      <c r="AN4018">
        <v>2300</v>
      </c>
      <c r="AO4018" t="s">
        <v>118</v>
      </c>
      <c r="AP4018">
        <v>-125</v>
      </c>
      <c r="AQ4018">
        <v>-69</v>
      </c>
      <c r="AR4018">
        <v>-64</v>
      </c>
      <c r="AZ4018">
        <v>1200</v>
      </c>
      <c r="BA4018">
        <v>1</v>
      </c>
      <c r="BB4018" t="str">
        <f t="shared" si="1846"/>
        <v xml:space="preserve">N711JA  </v>
      </c>
      <c r="BC4018">
        <v>1</v>
      </c>
      <c r="BE4018">
        <v>0</v>
      </c>
      <c r="BF4018">
        <v>0</v>
      </c>
      <c r="BG4018">
        <v>0</v>
      </c>
      <c r="BH4018">
        <v>2300</v>
      </c>
      <c r="BI4018">
        <v>1</v>
      </c>
      <c r="BJ4018">
        <v>1</v>
      </c>
      <c r="BK4018">
        <v>0</v>
      </c>
      <c r="BL4018">
        <v>0</v>
      </c>
      <c r="BO4018">
        <v>0</v>
      </c>
      <c r="BP4018">
        <v>0</v>
      </c>
      <c r="BW4018" t="str">
        <f t="shared" si="1858"/>
        <v>14:48:32.591</v>
      </c>
      <c r="CJ4018">
        <v>0</v>
      </c>
      <c r="CK4018">
        <v>2</v>
      </c>
      <c r="CL4018">
        <v>0</v>
      </c>
      <c r="CM4018">
        <v>2</v>
      </c>
      <c r="CN4018">
        <v>0</v>
      </c>
      <c r="CO4018">
        <v>7</v>
      </c>
      <c r="CP4018" t="s">
        <v>119</v>
      </c>
      <c r="CQ4018">
        <v>358</v>
      </c>
      <c r="CR4018">
        <v>0</v>
      </c>
      <c r="CW4018">
        <v>5066886</v>
      </c>
      <c r="CY4018">
        <v>1</v>
      </c>
      <c r="CZ4018">
        <v>0</v>
      </c>
      <c r="DA4018">
        <v>1</v>
      </c>
      <c r="DB4018">
        <v>0</v>
      </c>
      <c r="DC4018">
        <v>0</v>
      </c>
      <c r="DD4018">
        <v>1</v>
      </c>
      <c r="DE4018">
        <v>0</v>
      </c>
      <c r="DF4018">
        <v>0</v>
      </c>
      <c r="DG4018">
        <v>0</v>
      </c>
      <c r="DH4018">
        <v>0</v>
      </c>
      <c r="DI4018">
        <v>0</v>
      </c>
    </row>
    <row r="4019" spans="1:113" x14ac:dyDescent="0.3">
      <c r="A4019" t="str">
        <f t="shared" si="1855"/>
        <v>05/12/2020 14:48:14.784</v>
      </c>
      <c r="C4019" t="str">
        <f t="shared" si="1845"/>
        <v>FFDFD3C0</v>
      </c>
      <c r="D4019" t="s">
        <v>131</v>
      </c>
      <c r="E4019">
        <v>12</v>
      </c>
      <c r="F4019">
        <v>2012</v>
      </c>
      <c r="G4019" t="s">
        <v>137</v>
      </c>
      <c r="J4019" t="s">
        <v>133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 t="shared" si="1856"/>
        <v>14:48:32.586</v>
      </c>
      <c r="T4019" t="str">
        <f t="shared" si="1857"/>
        <v>14:48:32.186</v>
      </c>
      <c r="U4019" t="str">
        <f t="shared" si="1837"/>
        <v>A9808D</v>
      </c>
      <c r="V4019">
        <v>0</v>
      </c>
      <c r="W4019">
        <v>0</v>
      </c>
      <c r="X4019">
        <v>1</v>
      </c>
      <c r="Z4019">
        <v>0</v>
      </c>
      <c r="AA4019">
        <v>9</v>
      </c>
      <c r="AB4019">
        <v>3</v>
      </c>
      <c r="AC4019">
        <v>0</v>
      </c>
      <c r="AD4019">
        <v>10</v>
      </c>
      <c r="AE4019">
        <v>0</v>
      </c>
      <c r="AF4019">
        <v>3</v>
      </c>
      <c r="AG4019">
        <v>2</v>
      </c>
      <c r="AH4019">
        <v>0</v>
      </c>
      <c r="AI4019" t="s">
        <v>917</v>
      </c>
      <c r="AJ4019">
        <v>28.267329</v>
      </c>
      <c r="AK4019" t="s">
        <v>918</v>
      </c>
      <c r="AL4019">
        <v>-82.293819999999997</v>
      </c>
      <c r="AM4019">
        <v>100</v>
      </c>
      <c r="AN4019">
        <v>2300</v>
      </c>
      <c r="AO4019" t="s">
        <v>118</v>
      </c>
      <c r="AP4019">
        <v>-125</v>
      </c>
      <c r="AQ4019">
        <v>-69</v>
      </c>
      <c r="AR4019">
        <v>-64</v>
      </c>
      <c r="AZ4019">
        <v>1200</v>
      </c>
      <c r="BA4019">
        <v>1</v>
      </c>
      <c r="BB4019" t="str">
        <f t="shared" si="1846"/>
        <v xml:space="preserve">N711JA  </v>
      </c>
      <c r="BC4019">
        <v>1</v>
      </c>
      <c r="BE4019">
        <v>0</v>
      </c>
      <c r="BF4019">
        <v>0</v>
      </c>
      <c r="BG4019">
        <v>0</v>
      </c>
      <c r="BH4019">
        <v>2300</v>
      </c>
      <c r="BI4019">
        <v>1</v>
      </c>
      <c r="BJ4019">
        <v>1</v>
      </c>
      <c r="BK4019">
        <v>0</v>
      </c>
      <c r="BL4019">
        <v>0</v>
      </c>
      <c r="BO4019">
        <v>0</v>
      </c>
      <c r="BP4019">
        <v>0</v>
      </c>
      <c r="BW4019" t="str">
        <f t="shared" si="1858"/>
        <v>14:48:32.591</v>
      </c>
      <c r="CJ4019">
        <v>0</v>
      </c>
      <c r="CK4019">
        <v>2</v>
      </c>
      <c r="CL4019">
        <v>0</v>
      </c>
      <c r="CM4019">
        <v>2</v>
      </c>
      <c r="CN4019">
        <v>0</v>
      </c>
      <c r="CO4019">
        <v>7</v>
      </c>
      <c r="CP4019" t="s">
        <v>119</v>
      </c>
      <c r="CQ4019">
        <v>8</v>
      </c>
      <c r="CR4019">
        <v>3</v>
      </c>
      <c r="CW4019">
        <v>9103528</v>
      </c>
      <c r="CY4019">
        <v>1</v>
      </c>
      <c r="CZ4019">
        <v>0</v>
      </c>
      <c r="DA4019">
        <v>1</v>
      </c>
      <c r="DB4019">
        <v>0</v>
      </c>
      <c r="DC4019">
        <v>0</v>
      </c>
      <c r="DD4019">
        <v>1</v>
      </c>
      <c r="DE4019">
        <v>0</v>
      </c>
      <c r="DF4019">
        <v>0</v>
      </c>
      <c r="DG4019">
        <v>0</v>
      </c>
      <c r="DH4019">
        <v>0</v>
      </c>
      <c r="DI4019">
        <v>0</v>
      </c>
    </row>
    <row r="4020" spans="1:113" x14ac:dyDescent="0.3">
      <c r="A4020" t="str">
        <f t="shared" si="1855"/>
        <v>05/12/2020 14:48:14.784</v>
      </c>
      <c r="C4020" t="str">
        <f t="shared" si="1845"/>
        <v>FFDFD3C0</v>
      </c>
      <c r="D4020" t="s">
        <v>131</v>
      </c>
      <c r="E4020">
        <v>18</v>
      </c>
      <c r="F4020">
        <v>2018</v>
      </c>
      <c r="G4020" t="s">
        <v>161</v>
      </c>
      <c r="J4020" t="s">
        <v>133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 t="shared" si="1856"/>
        <v>14:48:32.586</v>
      </c>
      <c r="T4020" t="str">
        <f t="shared" si="1857"/>
        <v>14:48:32.186</v>
      </c>
      <c r="U4020" t="str">
        <f t="shared" si="1837"/>
        <v>A9808D</v>
      </c>
      <c r="V4020">
        <v>0</v>
      </c>
      <c r="W4020">
        <v>0</v>
      </c>
      <c r="X4020">
        <v>1</v>
      </c>
      <c r="Z4020">
        <v>0</v>
      </c>
      <c r="AA4020">
        <v>9</v>
      </c>
      <c r="AB4020">
        <v>3</v>
      </c>
      <c r="AC4020">
        <v>0</v>
      </c>
      <c r="AD4020">
        <v>10</v>
      </c>
      <c r="AE4020">
        <v>0</v>
      </c>
      <c r="AF4020">
        <v>3</v>
      </c>
      <c r="AG4020">
        <v>2</v>
      </c>
      <c r="AH4020">
        <v>0</v>
      </c>
      <c r="AI4020" t="s">
        <v>917</v>
      </c>
      <c r="AJ4020">
        <v>28.267329</v>
      </c>
      <c r="AK4020" t="s">
        <v>918</v>
      </c>
      <c r="AL4020">
        <v>-82.293819999999997</v>
      </c>
      <c r="AM4020">
        <v>100</v>
      </c>
      <c r="AN4020">
        <v>2300</v>
      </c>
      <c r="AO4020" t="s">
        <v>118</v>
      </c>
      <c r="AP4020">
        <v>-125</v>
      </c>
      <c r="AQ4020">
        <v>-69</v>
      </c>
      <c r="AR4020">
        <v>-64</v>
      </c>
      <c r="AZ4020">
        <v>1200</v>
      </c>
      <c r="BA4020">
        <v>1</v>
      </c>
      <c r="BB4020" t="str">
        <f t="shared" si="1846"/>
        <v xml:space="preserve">N711JA  </v>
      </c>
      <c r="BC4020">
        <v>1</v>
      </c>
      <c r="BE4020">
        <v>0</v>
      </c>
      <c r="BF4020">
        <v>0</v>
      </c>
      <c r="BG4020">
        <v>0</v>
      </c>
      <c r="BH4020">
        <v>2300</v>
      </c>
      <c r="BI4020">
        <v>1</v>
      </c>
      <c r="BJ4020">
        <v>1</v>
      </c>
      <c r="BK4020">
        <v>0</v>
      </c>
      <c r="BL4020">
        <v>0</v>
      </c>
      <c r="BO4020">
        <v>0</v>
      </c>
      <c r="BP4020">
        <v>0</v>
      </c>
      <c r="BW4020" t="str">
        <f t="shared" si="1858"/>
        <v>14:48:32.591</v>
      </c>
      <c r="CJ4020">
        <v>0</v>
      </c>
      <c r="CK4020">
        <v>2</v>
      </c>
      <c r="CL4020">
        <v>0</v>
      </c>
      <c r="CM4020">
        <v>2</v>
      </c>
      <c r="CN4020">
        <v>0</v>
      </c>
      <c r="CO4020">
        <v>5</v>
      </c>
      <c r="CP4020" t="s">
        <v>119</v>
      </c>
      <c r="CQ4020">
        <v>62</v>
      </c>
      <c r="CR4020">
        <v>1</v>
      </c>
      <c r="CW4020">
        <v>12994969</v>
      </c>
      <c r="CY4020">
        <v>1</v>
      </c>
      <c r="CZ4020">
        <v>0</v>
      </c>
      <c r="DA4020">
        <v>1</v>
      </c>
      <c r="DB4020">
        <v>0</v>
      </c>
      <c r="DC4020">
        <v>0</v>
      </c>
      <c r="DD4020">
        <v>1</v>
      </c>
      <c r="DE4020">
        <v>0</v>
      </c>
      <c r="DF4020">
        <v>0</v>
      </c>
      <c r="DG4020">
        <v>0</v>
      </c>
      <c r="DH4020">
        <v>0</v>
      </c>
      <c r="DI4020">
        <v>0</v>
      </c>
    </row>
    <row r="4021" spans="1:113" x14ac:dyDescent="0.3">
      <c r="A4021" t="str">
        <f t="shared" ref="A4021:A4029" si="1859">"05/12/2020 14:48:15.754"</f>
        <v>05/12/2020 14:48:15.754</v>
      </c>
      <c r="C4021" t="str">
        <f t="shared" si="1845"/>
        <v>FFDFD3C0</v>
      </c>
      <c r="D4021" t="s">
        <v>126</v>
      </c>
      <c r="E4021">
        <v>7</v>
      </c>
      <c r="F4021">
        <v>1007</v>
      </c>
      <c r="G4021" t="s">
        <v>127</v>
      </c>
      <c r="J4021" t="s">
        <v>128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 t="shared" ref="S4021:S4029" si="1860">"14:48:33.586"</f>
        <v>14:48:33.586</v>
      </c>
      <c r="T4021" t="str">
        <f t="shared" ref="T4021:T4029" si="1861">"14:48:33.286"</f>
        <v>14:48:33.286</v>
      </c>
      <c r="U4021" t="str">
        <f t="shared" si="1837"/>
        <v>A9808D</v>
      </c>
      <c r="V4021">
        <v>0</v>
      </c>
      <c r="W4021">
        <v>0</v>
      </c>
      <c r="X4021">
        <v>1</v>
      </c>
      <c r="Z4021">
        <v>0</v>
      </c>
      <c r="AA4021">
        <v>9</v>
      </c>
      <c r="AB4021">
        <v>3</v>
      </c>
      <c r="AC4021">
        <v>0</v>
      </c>
      <c r="AD4021">
        <v>10</v>
      </c>
      <c r="AE4021">
        <v>0</v>
      </c>
      <c r="AF4021">
        <v>3</v>
      </c>
      <c r="AG4021">
        <v>2</v>
      </c>
      <c r="AH4021">
        <v>0</v>
      </c>
      <c r="AI4021" t="s">
        <v>919</v>
      </c>
      <c r="AJ4021">
        <v>28.267007</v>
      </c>
      <c r="AK4021" t="s">
        <v>920</v>
      </c>
      <c r="AL4021">
        <v>-82.294464000000005</v>
      </c>
      <c r="AM4021">
        <v>100</v>
      </c>
      <c r="AN4021">
        <v>2300</v>
      </c>
      <c r="AO4021" t="s">
        <v>118</v>
      </c>
      <c r="AP4021">
        <v>-123</v>
      </c>
      <c r="AQ4021">
        <v>-73</v>
      </c>
      <c r="AR4021">
        <v>-64</v>
      </c>
      <c r="AZ4021">
        <v>1200</v>
      </c>
      <c r="BA4021">
        <v>1</v>
      </c>
      <c r="BB4021" t="str">
        <f t="shared" si="1846"/>
        <v xml:space="preserve">N711JA  </v>
      </c>
      <c r="BC4021">
        <v>1</v>
      </c>
      <c r="BE4021">
        <v>0</v>
      </c>
      <c r="BF4021">
        <v>0</v>
      </c>
      <c r="BG4021">
        <v>0</v>
      </c>
      <c r="BH4021">
        <v>2300</v>
      </c>
      <c r="BI4021">
        <v>1</v>
      </c>
      <c r="BJ4021">
        <v>1</v>
      </c>
      <c r="BK4021">
        <v>0</v>
      </c>
      <c r="BL4021">
        <v>0</v>
      </c>
      <c r="BO4021">
        <v>0</v>
      </c>
      <c r="BP4021">
        <v>0</v>
      </c>
      <c r="BW4021" t="str">
        <f>"14:48:33.591"</f>
        <v>14:48:33.591</v>
      </c>
      <c r="CJ4021">
        <v>0</v>
      </c>
      <c r="CK4021">
        <v>2</v>
      </c>
      <c r="CL4021">
        <v>0</v>
      </c>
      <c r="CM4021">
        <v>2</v>
      </c>
      <c r="CN4021">
        <v>0</v>
      </c>
      <c r="CO4021">
        <v>7</v>
      </c>
      <c r="CP4021" t="s">
        <v>119</v>
      </c>
      <c r="CQ4021">
        <v>358</v>
      </c>
      <c r="CR4021">
        <v>0</v>
      </c>
      <c r="CW4021">
        <v>5068106</v>
      </c>
      <c r="CY4021">
        <v>1</v>
      </c>
      <c r="CZ4021">
        <v>0</v>
      </c>
      <c r="DA4021">
        <v>0</v>
      </c>
      <c r="DB4021">
        <v>0</v>
      </c>
      <c r="DC4021">
        <v>0</v>
      </c>
      <c r="DD4021">
        <v>1</v>
      </c>
      <c r="DE4021">
        <v>0</v>
      </c>
      <c r="DF4021">
        <v>0</v>
      </c>
      <c r="DG4021">
        <v>0</v>
      </c>
      <c r="DH4021">
        <v>0</v>
      </c>
      <c r="DI4021">
        <v>0</v>
      </c>
    </row>
    <row r="4022" spans="1:113" x14ac:dyDescent="0.3">
      <c r="A4022" t="str">
        <f t="shared" si="1859"/>
        <v>05/12/2020 14:48:15.754</v>
      </c>
      <c r="C4022" t="str">
        <f t="shared" si="1845"/>
        <v>FFDFD3C0</v>
      </c>
      <c r="D4022" t="s">
        <v>138</v>
      </c>
      <c r="E4022">
        <v>2</v>
      </c>
      <c r="H4022">
        <v>8</v>
      </c>
      <c r="I4022" t="s">
        <v>139</v>
      </c>
      <c r="J4022" t="s">
        <v>136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 t="shared" si="1860"/>
        <v>14:48:33.586</v>
      </c>
      <c r="T4022" t="str">
        <f t="shared" si="1861"/>
        <v>14:48:33.286</v>
      </c>
      <c r="U4022" t="str">
        <f t="shared" si="1837"/>
        <v>A9808D</v>
      </c>
      <c r="V4022">
        <v>0</v>
      </c>
      <c r="W4022">
        <v>0</v>
      </c>
      <c r="X4022">
        <v>1</v>
      </c>
      <c r="Z4022">
        <v>0</v>
      </c>
      <c r="AA4022">
        <v>9</v>
      </c>
      <c r="AB4022">
        <v>3</v>
      </c>
      <c r="AC4022">
        <v>0</v>
      </c>
      <c r="AD4022">
        <v>10</v>
      </c>
      <c r="AE4022">
        <v>0</v>
      </c>
      <c r="AF4022">
        <v>3</v>
      </c>
      <c r="AG4022">
        <v>2</v>
      </c>
      <c r="AH4022">
        <v>0</v>
      </c>
      <c r="AI4022" t="s">
        <v>919</v>
      </c>
      <c r="AJ4022">
        <v>28.267007</v>
      </c>
      <c r="AK4022" t="s">
        <v>920</v>
      </c>
      <c r="AL4022">
        <v>-82.294464000000005</v>
      </c>
      <c r="AM4022">
        <v>100</v>
      </c>
      <c r="AN4022">
        <v>2300</v>
      </c>
      <c r="AO4022" t="s">
        <v>118</v>
      </c>
      <c r="AP4022">
        <v>-123</v>
      </c>
      <c r="AQ4022">
        <v>-73</v>
      </c>
      <c r="AR4022">
        <v>-64</v>
      </c>
      <c r="AZ4022">
        <v>1200</v>
      </c>
      <c r="BA4022">
        <v>1</v>
      </c>
      <c r="BB4022" t="str">
        <f t="shared" si="1846"/>
        <v xml:space="preserve">N711JA  </v>
      </c>
      <c r="BC4022">
        <v>1</v>
      </c>
      <c r="BE4022">
        <v>0</v>
      </c>
      <c r="BF4022">
        <v>0</v>
      </c>
      <c r="BG4022">
        <v>0</v>
      </c>
      <c r="BH4022">
        <v>2300</v>
      </c>
      <c r="BI4022">
        <v>1</v>
      </c>
      <c r="BJ4022">
        <v>1</v>
      </c>
      <c r="BK4022">
        <v>0</v>
      </c>
      <c r="BL4022">
        <v>0</v>
      </c>
      <c r="BO4022">
        <v>0</v>
      </c>
      <c r="BP4022">
        <v>0</v>
      </c>
      <c r="BW4022" t="str">
        <f>"14:48:33.590"</f>
        <v>14:48:33.590</v>
      </c>
      <c r="CJ4022">
        <v>0</v>
      </c>
      <c r="CK4022">
        <v>2</v>
      </c>
      <c r="CL4022">
        <v>0</v>
      </c>
      <c r="CM4022">
        <v>2</v>
      </c>
      <c r="CN4022">
        <v>0</v>
      </c>
      <c r="CO4022">
        <v>7</v>
      </c>
      <c r="CP4022" t="s">
        <v>119</v>
      </c>
      <c r="CQ4022">
        <v>8</v>
      </c>
      <c r="CR4022">
        <v>3</v>
      </c>
      <c r="CW4022">
        <v>9104552</v>
      </c>
      <c r="CY4022">
        <v>1</v>
      </c>
      <c r="CZ4022">
        <v>0</v>
      </c>
      <c r="DA4022">
        <v>1</v>
      </c>
      <c r="DB4022">
        <v>0</v>
      </c>
      <c r="DC4022">
        <v>0</v>
      </c>
      <c r="DD4022">
        <v>1</v>
      </c>
      <c r="DE4022">
        <v>0</v>
      </c>
      <c r="DF4022">
        <v>0</v>
      </c>
      <c r="DG4022">
        <v>0</v>
      </c>
      <c r="DH4022">
        <v>0</v>
      </c>
      <c r="DI4022">
        <v>0</v>
      </c>
    </row>
    <row r="4023" spans="1:113" x14ac:dyDescent="0.3">
      <c r="A4023" t="str">
        <f t="shared" si="1859"/>
        <v>05/12/2020 14:48:15.754</v>
      </c>
      <c r="C4023" t="str">
        <f t="shared" si="1845"/>
        <v>FFDFD3C0</v>
      </c>
      <c r="D4023" t="s">
        <v>138</v>
      </c>
      <c r="E4023">
        <v>3</v>
      </c>
      <c r="H4023">
        <v>9</v>
      </c>
      <c r="I4023" t="s">
        <v>140</v>
      </c>
      <c r="J4023" t="s">
        <v>136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 t="shared" si="1860"/>
        <v>14:48:33.586</v>
      </c>
      <c r="T4023" t="str">
        <f t="shared" si="1861"/>
        <v>14:48:33.286</v>
      </c>
      <c r="U4023" t="str">
        <f t="shared" si="1837"/>
        <v>A9808D</v>
      </c>
      <c r="V4023">
        <v>0</v>
      </c>
      <c r="W4023">
        <v>0</v>
      </c>
      <c r="X4023">
        <v>1</v>
      </c>
      <c r="Z4023">
        <v>0</v>
      </c>
      <c r="AA4023">
        <v>9</v>
      </c>
      <c r="AB4023">
        <v>3</v>
      </c>
      <c r="AC4023">
        <v>0</v>
      </c>
      <c r="AD4023">
        <v>10</v>
      </c>
      <c r="AE4023">
        <v>0</v>
      </c>
      <c r="AF4023">
        <v>3</v>
      </c>
      <c r="AG4023">
        <v>2</v>
      </c>
      <c r="AH4023">
        <v>0</v>
      </c>
      <c r="AI4023" t="s">
        <v>919</v>
      </c>
      <c r="AJ4023">
        <v>28.267007</v>
      </c>
      <c r="AK4023" t="s">
        <v>920</v>
      </c>
      <c r="AL4023">
        <v>-82.294464000000005</v>
      </c>
      <c r="AM4023">
        <v>100</v>
      </c>
      <c r="AN4023">
        <v>2300</v>
      </c>
      <c r="AO4023" t="s">
        <v>118</v>
      </c>
      <c r="AP4023">
        <v>-123</v>
      </c>
      <c r="AQ4023">
        <v>-73</v>
      </c>
      <c r="AR4023">
        <v>-64</v>
      </c>
      <c r="AZ4023">
        <v>1200</v>
      </c>
      <c r="BA4023">
        <v>1</v>
      </c>
      <c r="BB4023" t="str">
        <f t="shared" si="1846"/>
        <v xml:space="preserve">N711JA  </v>
      </c>
      <c r="BC4023">
        <v>1</v>
      </c>
      <c r="BE4023">
        <v>0</v>
      </c>
      <c r="BF4023">
        <v>0</v>
      </c>
      <c r="BG4023">
        <v>0</v>
      </c>
      <c r="BH4023">
        <v>2300</v>
      </c>
      <c r="BI4023">
        <v>1</v>
      </c>
      <c r="BJ4023">
        <v>1</v>
      </c>
      <c r="BK4023">
        <v>0</v>
      </c>
      <c r="BL4023">
        <v>0</v>
      </c>
      <c r="BO4023">
        <v>0</v>
      </c>
      <c r="BP4023">
        <v>0</v>
      </c>
      <c r="BW4023" t="str">
        <f>"14:48:33.591"</f>
        <v>14:48:33.591</v>
      </c>
      <c r="CJ4023">
        <v>0</v>
      </c>
      <c r="CK4023">
        <v>2</v>
      </c>
      <c r="CL4023">
        <v>0</v>
      </c>
      <c r="CM4023">
        <v>2</v>
      </c>
      <c r="CN4023">
        <v>0</v>
      </c>
      <c r="CO4023">
        <v>7</v>
      </c>
      <c r="CP4023" t="s">
        <v>119</v>
      </c>
      <c r="CQ4023">
        <v>358</v>
      </c>
      <c r="CR4023">
        <v>0</v>
      </c>
      <c r="CW4023">
        <v>5068106</v>
      </c>
      <c r="CY4023">
        <v>1</v>
      </c>
      <c r="CZ4023">
        <v>0</v>
      </c>
      <c r="DA4023">
        <v>1</v>
      </c>
      <c r="DB4023">
        <v>0</v>
      </c>
      <c r="DC4023">
        <v>0</v>
      </c>
      <c r="DD4023">
        <v>1</v>
      </c>
      <c r="DE4023">
        <v>0</v>
      </c>
      <c r="DF4023">
        <v>0</v>
      </c>
      <c r="DG4023">
        <v>0</v>
      </c>
      <c r="DH4023">
        <v>0</v>
      </c>
      <c r="DI4023">
        <v>0</v>
      </c>
    </row>
    <row r="4024" spans="1:113" x14ac:dyDescent="0.3">
      <c r="A4024" t="str">
        <f t="shared" si="1859"/>
        <v>05/12/2020 14:48:15.754</v>
      </c>
      <c r="C4024" t="str">
        <f t="shared" si="1845"/>
        <v>FFDFD3C0</v>
      </c>
      <c r="D4024" t="s">
        <v>131</v>
      </c>
      <c r="E4024">
        <v>10</v>
      </c>
      <c r="F4024">
        <v>2010</v>
      </c>
      <c r="G4024" t="s">
        <v>132</v>
      </c>
      <c r="J4024" t="s">
        <v>133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 t="shared" si="1860"/>
        <v>14:48:33.586</v>
      </c>
      <c r="T4024" t="str">
        <f t="shared" si="1861"/>
        <v>14:48:33.286</v>
      </c>
      <c r="U4024" t="str">
        <f t="shared" si="1837"/>
        <v>A9808D</v>
      </c>
      <c r="V4024">
        <v>0</v>
      </c>
      <c r="W4024">
        <v>0</v>
      </c>
      <c r="X4024">
        <v>1</v>
      </c>
      <c r="Z4024">
        <v>0</v>
      </c>
      <c r="AA4024">
        <v>9</v>
      </c>
      <c r="AB4024">
        <v>3</v>
      </c>
      <c r="AC4024">
        <v>0</v>
      </c>
      <c r="AD4024">
        <v>10</v>
      </c>
      <c r="AE4024">
        <v>0</v>
      </c>
      <c r="AF4024">
        <v>3</v>
      </c>
      <c r="AG4024">
        <v>2</v>
      </c>
      <c r="AH4024">
        <v>0</v>
      </c>
      <c r="AI4024" t="s">
        <v>919</v>
      </c>
      <c r="AJ4024">
        <v>28.267007</v>
      </c>
      <c r="AK4024" t="s">
        <v>920</v>
      </c>
      <c r="AL4024">
        <v>-82.294464000000005</v>
      </c>
      <c r="AM4024">
        <v>100</v>
      </c>
      <c r="AN4024">
        <v>2300</v>
      </c>
      <c r="AO4024" t="s">
        <v>118</v>
      </c>
      <c r="AP4024">
        <v>-123</v>
      </c>
      <c r="AQ4024">
        <v>-73</v>
      </c>
      <c r="AR4024">
        <v>-64</v>
      </c>
      <c r="AZ4024">
        <v>1200</v>
      </c>
      <c r="BA4024">
        <v>1</v>
      </c>
      <c r="BB4024" t="str">
        <f t="shared" si="1846"/>
        <v xml:space="preserve">N711JA  </v>
      </c>
      <c r="BC4024">
        <v>1</v>
      </c>
      <c r="BE4024">
        <v>0</v>
      </c>
      <c r="BF4024">
        <v>0</v>
      </c>
      <c r="BG4024">
        <v>0</v>
      </c>
      <c r="BH4024">
        <v>2300</v>
      </c>
      <c r="BI4024">
        <v>1</v>
      </c>
      <c r="BJ4024">
        <v>1</v>
      </c>
      <c r="BK4024">
        <v>0</v>
      </c>
      <c r="BL4024">
        <v>0</v>
      </c>
      <c r="BO4024">
        <v>0</v>
      </c>
      <c r="BP4024">
        <v>0</v>
      </c>
      <c r="BW4024" t="str">
        <f>"14:48:33.591"</f>
        <v>14:48:33.591</v>
      </c>
      <c r="CJ4024">
        <v>0</v>
      </c>
      <c r="CK4024">
        <v>2</v>
      </c>
      <c r="CL4024">
        <v>0</v>
      </c>
      <c r="CM4024">
        <v>2</v>
      </c>
      <c r="CN4024">
        <v>0</v>
      </c>
      <c r="CO4024">
        <v>7</v>
      </c>
      <c r="CP4024" t="s">
        <v>119</v>
      </c>
      <c r="CQ4024">
        <v>358</v>
      </c>
      <c r="CR4024">
        <v>0</v>
      </c>
      <c r="CW4024">
        <v>5068106</v>
      </c>
      <c r="CY4024">
        <v>1</v>
      </c>
      <c r="CZ4024">
        <v>0</v>
      </c>
      <c r="DA4024">
        <v>1</v>
      </c>
      <c r="DB4024">
        <v>0</v>
      </c>
      <c r="DC4024">
        <v>0</v>
      </c>
      <c r="DD4024">
        <v>1</v>
      </c>
      <c r="DE4024">
        <v>0</v>
      </c>
      <c r="DF4024">
        <v>0</v>
      </c>
      <c r="DG4024">
        <v>0</v>
      </c>
      <c r="DH4024">
        <v>0</v>
      </c>
      <c r="DI4024">
        <v>0</v>
      </c>
    </row>
    <row r="4025" spans="1:113" x14ac:dyDescent="0.3">
      <c r="A4025" t="str">
        <f t="shared" si="1859"/>
        <v>05/12/2020 14:48:15.754</v>
      </c>
      <c r="C4025" t="str">
        <f t="shared" si="1845"/>
        <v>FFDFD3C0</v>
      </c>
      <c r="D4025" t="s">
        <v>131</v>
      </c>
      <c r="E4025">
        <v>12</v>
      </c>
      <c r="F4025">
        <v>2012</v>
      </c>
      <c r="G4025" t="s">
        <v>137</v>
      </c>
      <c r="J4025" t="s">
        <v>133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 t="shared" si="1860"/>
        <v>14:48:33.586</v>
      </c>
      <c r="T4025" t="str">
        <f t="shared" si="1861"/>
        <v>14:48:33.286</v>
      </c>
      <c r="U4025" t="str">
        <f t="shared" si="1837"/>
        <v>A9808D</v>
      </c>
      <c r="V4025">
        <v>0</v>
      </c>
      <c r="W4025">
        <v>0</v>
      </c>
      <c r="X4025">
        <v>1</v>
      </c>
      <c r="Z4025">
        <v>0</v>
      </c>
      <c r="AA4025">
        <v>9</v>
      </c>
      <c r="AB4025">
        <v>3</v>
      </c>
      <c r="AC4025">
        <v>0</v>
      </c>
      <c r="AD4025">
        <v>10</v>
      </c>
      <c r="AE4025">
        <v>0</v>
      </c>
      <c r="AF4025">
        <v>3</v>
      </c>
      <c r="AG4025">
        <v>2</v>
      </c>
      <c r="AH4025">
        <v>0</v>
      </c>
      <c r="AI4025" t="s">
        <v>919</v>
      </c>
      <c r="AJ4025">
        <v>28.267007</v>
      </c>
      <c r="AK4025" t="s">
        <v>920</v>
      </c>
      <c r="AL4025">
        <v>-82.294464000000005</v>
      </c>
      <c r="AM4025">
        <v>100</v>
      </c>
      <c r="AN4025">
        <v>2300</v>
      </c>
      <c r="AO4025" t="s">
        <v>118</v>
      </c>
      <c r="AP4025">
        <v>-123</v>
      </c>
      <c r="AQ4025">
        <v>-73</v>
      </c>
      <c r="AR4025">
        <v>-64</v>
      </c>
      <c r="AZ4025">
        <v>1200</v>
      </c>
      <c r="BA4025">
        <v>1</v>
      </c>
      <c r="BB4025" t="str">
        <f t="shared" si="1846"/>
        <v xml:space="preserve">N711JA  </v>
      </c>
      <c r="BC4025">
        <v>1</v>
      </c>
      <c r="BE4025">
        <v>0</v>
      </c>
      <c r="BF4025">
        <v>0</v>
      </c>
      <c r="BG4025">
        <v>0</v>
      </c>
      <c r="BH4025">
        <v>2300</v>
      </c>
      <c r="BI4025">
        <v>1</v>
      </c>
      <c r="BJ4025">
        <v>1</v>
      </c>
      <c r="BK4025">
        <v>0</v>
      </c>
      <c r="BL4025">
        <v>0</v>
      </c>
      <c r="BO4025">
        <v>0</v>
      </c>
      <c r="BP4025">
        <v>0</v>
      </c>
      <c r="BW4025" t="str">
        <f>"14:48:33.590"</f>
        <v>14:48:33.590</v>
      </c>
      <c r="CJ4025">
        <v>0</v>
      </c>
      <c r="CK4025">
        <v>2</v>
      </c>
      <c r="CL4025">
        <v>0</v>
      </c>
      <c r="CM4025">
        <v>2</v>
      </c>
      <c r="CN4025">
        <v>0</v>
      </c>
      <c r="CO4025">
        <v>7</v>
      </c>
      <c r="CP4025" t="s">
        <v>119</v>
      </c>
      <c r="CQ4025">
        <v>8</v>
      </c>
      <c r="CR4025">
        <v>3</v>
      </c>
      <c r="CW4025">
        <v>9104552</v>
      </c>
      <c r="CY4025">
        <v>1</v>
      </c>
      <c r="CZ4025">
        <v>0</v>
      </c>
      <c r="DA4025">
        <v>1</v>
      </c>
      <c r="DB4025">
        <v>0</v>
      </c>
      <c r="DC4025">
        <v>0</v>
      </c>
      <c r="DD4025">
        <v>1</v>
      </c>
      <c r="DE4025">
        <v>0</v>
      </c>
      <c r="DF4025">
        <v>0</v>
      </c>
      <c r="DG4025">
        <v>0</v>
      </c>
      <c r="DH4025">
        <v>0</v>
      </c>
      <c r="DI4025">
        <v>0</v>
      </c>
    </row>
    <row r="4026" spans="1:113" x14ac:dyDescent="0.3">
      <c r="A4026" t="str">
        <f t="shared" si="1859"/>
        <v>05/12/2020 14:48:15.754</v>
      </c>
      <c r="C4026" t="str">
        <f t="shared" si="1845"/>
        <v>FFDFD3C0</v>
      </c>
      <c r="D4026" t="s">
        <v>131</v>
      </c>
      <c r="E4026">
        <v>18</v>
      </c>
      <c r="F4026">
        <v>2018</v>
      </c>
      <c r="G4026" t="s">
        <v>161</v>
      </c>
      <c r="J4026" t="s">
        <v>133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 t="shared" si="1860"/>
        <v>14:48:33.586</v>
      </c>
      <c r="T4026" t="str">
        <f t="shared" si="1861"/>
        <v>14:48:33.286</v>
      </c>
      <c r="U4026" t="str">
        <f t="shared" si="1837"/>
        <v>A9808D</v>
      </c>
      <c r="V4026">
        <v>0</v>
      </c>
      <c r="W4026">
        <v>0</v>
      </c>
      <c r="X4026">
        <v>1</v>
      </c>
      <c r="Z4026">
        <v>0</v>
      </c>
      <c r="AA4026">
        <v>9</v>
      </c>
      <c r="AB4026">
        <v>3</v>
      </c>
      <c r="AC4026">
        <v>0</v>
      </c>
      <c r="AD4026">
        <v>10</v>
      </c>
      <c r="AE4026">
        <v>0</v>
      </c>
      <c r="AF4026">
        <v>3</v>
      </c>
      <c r="AG4026">
        <v>2</v>
      </c>
      <c r="AH4026">
        <v>0</v>
      </c>
      <c r="AI4026" t="s">
        <v>919</v>
      </c>
      <c r="AJ4026">
        <v>28.267007</v>
      </c>
      <c r="AK4026" t="s">
        <v>920</v>
      </c>
      <c r="AL4026">
        <v>-82.294464000000005</v>
      </c>
      <c r="AM4026">
        <v>100</v>
      </c>
      <c r="AN4026">
        <v>2300</v>
      </c>
      <c r="AO4026" t="s">
        <v>118</v>
      </c>
      <c r="AP4026">
        <v>-123</v>
      </c>
      <c r="AQ4026">
        <v>-73</v>
      </c>
      <c r="AR4026">
        <v>-64</v>
      </c>
      <c r="AZ4026">
        <v>1200</v>
      </c>
      <c r="BA4026">
        <v>1</v>
      </c>
      <c r="BB4026" t="str">
        <f t="shared" si="1846"/>
        <v xml:space="preserve">N711JA  </v>
      </c>
      <c r="BC4026">
        <v>1</v>
      </c>
      <c r="BE4026">
        <v>0</v>
      </c>
      <c r="BF4026">
        <v>0</v>
      </c>
      <c r="BG4026">
        <v>0</v>
      </c>
      <c r="BH4026">
        <v>2300</v>
      </c>
      <c r="BI4026">
        <v>1</v>
      </c>
      <c r="BJ4026">
        <v>1</v>
      </c>
      <c r="BK4026">
        <v>0</v>
      </c>
      <c r="BL4026">
        <v>0</v>
      </c>
      <c r="BO4026">
        <v>0</v>
      </c>
      <c r="BP4026">
        <v>0</v>
      </c>
      <c r="BW4026" t="str">
        <f>"14:48:33.591"</f>
        <v>14:48:33.591</v>
      </c>
      <c r="CJ4026">
        <v>0</v>
      </c>
      <c r="CK4026">
        <v>2</v>
      </c>
      <c r="CL4026">
        <v>0</v>
      </c>
      <c r="CM4026">
        <v>2</v>
      </c>
      <c r="CN4026">
        <v>0</v>
      </c>
      <c r="CO4026">
        <v>5</v>
      </c>
      <c r="CP4026" t="s">
        <v>119</v>
      </c>
      <c r="CQ4026">
        <v>62</v>
      </c>
      <c r="CR4026">
        <v>1</v>
      </c>
      <c r="CW4026">
        <v>12996029</v>
      </c>
      <c r="CY4026">
        <v>1</v>
      </c>
      <c r="CZ4026">
        <v>0</v>
      </c>
      <c r="DA4026">
        <v>1</v>
      </c>
      <c r="DB4026">
        <v>0</v>
      </c>
      <c r="DC4026">
        <v>0</v>
      </c>
      <c r="DD4026">
        <v>1</v>
      </c>
      <c r="DE4026">
        <v>0</v>
      </c>
      <c r="DF4026">
        <v>0</v>
      </c>
      <c r="DG4026">
        <v>0</v>
      </c>
      <c r="DH4026">
        <v>0</v>
      </c>
      <c r="DI4026">
        <v>0</v>
      </c>
    </row>
    <row r="4027" spans="1:113" x14ac:dyDescent="0.3">
      <c r="A4027" t="str">
        <f t="shared" si="1859"/>
        <v>05/12/2020 14:48:15.754</v>
      </c>
      <c r="C4027" t="str">
        <f t="shared" si="1845"/>
        <v>FFDFD3C0</v>
      </c>
      <c r="D4027" t="s">
        <v>134</v>
      </c>
      <c r="E4027">
        <v>12</v>
      </c>
      <c r="H4027">
        <v>64</v>
      </c>
      <c r="I4027" t="s">
        <v>135</v>
      </c>
      <c r="J4027" t="s">
        <v>136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 t="shared" si="1860"/>
        <v>14:48:33.586</v>
      </c>
      <c r="T4027" t="str">
        <f t="shared" si="1861"/>
        <v>14:48:33.286</v>
      </c>
      <c r="U4027" t="str">
        <f t="shared" si="1837"/>
        <v>A9808D</v>
      </c>
      <c r="V4027">
        <v>0</v>
      </c>
      <c r="W4027">
        <v>0</v>
      </c>
      <c r="X4027">
        <v>1</v>
      </c>
      <c r="Z4027">
        <v>0</v>
      </c>
      <c r="AA4027">
        <v>9</v>
      </c>
      <c r="AB4027">
        <v>3</v>
      </c>
      <c r="AC4027">
        <v>0</v>
      </c>
      <c r="AD4027">
        <v>10</v>
      </c>
      <c r="AE4027">
        <v>0</v>
      </c>
      <c r="AF4027">
        <v>3</v>
      </c>
      <c r="AG4027">
        <v>2</v>
      </c>
      <c r="AH4027">
        <v>0</v>
      </c>
      <c r="AI4027" t="s">
        <v>919</v>
      </c>
      <c r="AJ4027">
        <v>28.267007</v>
      </c>
      <c r="AK4027" t="s">
        <v>920</v>
      </c>
      <c r="AL4027">
        <v>-82.294464000000005</v>
      </c>
      <c r="AM4027">
        <v>100</v>
      </c>
      <c r="AN4027">
        <v>2300</v>
      </c>
      <c r="AO4027" t="s">
        <v>118</v>
      </c>
      <c r="AP4027">
        <v>-123</v>
      </c>
      <c r="AQ4027">
        <v>-73</v>
      </c>
      <c r="AR4027">
        <v>-64</v>
      </c>
      <c r="AZ4027">
        <v>1200</v>
      </c>
      <c r="BA4027">
        <v>1</v>
      </c>
      <c r="BB4027" t="str">
        <f t="shared" si="1846"/>
        <v xml:space="preserve">N711JA  </v>
      </c>
      <c r="BC4027">
        <v>1</v>
      </c>
      <c r="BE4027">
        <v>0</v>
      </c>
      <c r="BF4027">
        <v>0</v>
      </c>
      <c r="BG4027">
        <v>0</v>
      </c>
      <c r="BH4027">
        <v>2300</v>
      </c>
      <c r="BI4027">
        <v>1</v>
      </c>
      <c r="BJ4027">
        <v>1</v>
      </c>
      <c r="BK4027">
        <v>0</v>
      </c>
      <c r="BL4027">
        <v>0</v>
      </c>
      <c r="BO4027">
        <v>0</v>
      </c>
      <c r="BP4027">
        <v>0</v>
      </c>
      <c r="BW4027" t="str">
        <f>"14:48:33.591"</f>
        <v>14:48:33.591</v>
      </c>
      <c r="CJ4027">
        <v>0</v>
      </c>
      <c r="CK4027">
        <v>2</v>
      </c>
      <c r="CL4027">
        <v>0</v>
      </c>
      <c r="CM4027">
        <v>2</v>
      </c>
      <c r="CN4027">
        <v>0</v>
      </c>
      <c r="CO4027">
        <v>7</v>
      </c>
      <c r="CP4027" t="s">
        <v>119</v>
      </c>
      <c r="CQ4027">
        <v>358</v>
      </c>
      <c r="CR4027">
        <v>0</v>
      </c>
      <c r="CW4027">
        <v>5068106</v>
      </c>
      <c r="CY4027">
        <v>1</v>
      </c>
      <c r="CZ4027">
        <v>0</v>
      </c>
      <c r="DA4027">
        <v>1</v>
      </c>
      <c r="DB4027">
        <v>0</v>
      </c>
      <c r="DC4027">
        <v>0</v>
      </c>
      <c r="DD4027">
        <v>1</v>
      </c>
      <c r="DE4027">
        <v>0</v>
      </c>
      <c r="DF4027">
        <v>0</v>
      </c>
      <c r="DG4027">
        <v>0</v>
      </c>
      <c r="DH4027">
        <v>0</v>
      </c>
      <c r="DI4027">
        <v>0</v>
      </c>
    </row>
    <row r="4028" spans="1:113" x14ac:dyDescent="0.3">
      <c r="A4028" t="str">
        <f t="shared" si="1859"/>
        <v>05/12/2020 14:48:15.754</v>
      </c>
      <c r="C4028" t="str">
        <f t="shared" si="1845"/>
        <v>FFDFD3C0</v>
      </c>
      <c r="D4028" t="s">
        <v>126</v>
      </c>
      <c r="E4028">
        <v>6</v>
      </c>
      <c r="F4028">
        <v>1006</v>
      </c>
      <c r="G4028" t="s">
        <v>114</v>
      </c>
      <c r="J4028" t="s">
        <v>128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 t="shared" si="1860"/>
        <v>14:48:33.586</v>
      </c>
      <c r="T4028" t="str">
        <f t="shared" si="1861"/>
        <v>14:48:33.286</v>
      </c>
      <c r="U4028" t="str">
        <f t="shared" si="1837"/>
        <v>A9808D</v>
      </c>
      <c r="V4028">
        <v>0</v>
      </c>
      <c r="W4028">
        <v>0</v>
      </c>
      <c r="X4028">
        <v>1</v>
      </c>
      <c r="Z4028">
        <v>0</v>
      </c>
      <c r="AA4028">
        <v>9</v>
      </c>
      <c r="AB4028">
        <v>3</v>
      </c>
      <c r="AC4028">
        <v>0</v>
      </c>
      <c r="AD4028">
        <v>10</v>
      </c>
      <c r="AE4028">
        <v>0</v>
      </c>
      <c r="AF4028">
        <v>3</v>
      </c>
      <c r="AG4028">
        <v>2</v>
      </c>
      <c r="AH4028">
        <v>0</v>
      </c>
      <c r="AI4028" t="s">
        <v>919</v>
      </c>
      <c r="AJ4028">
        <v>28.267007</v>
      </c>
      <c r="AK4028" t="s">
        <v>920</v>
      </c>
      <c r="AL4028">
        <v>-82.294464000000005</v>
      </c>
      <c r="AM4028">
        <v>100</v>
      </c>
      <c r="AN4028">
        <v>2300</v>
      </c>
      <c r="AO4028" t="s">
        <v>118</v>
      </c>
      <c r="AP4028">
        <v>-123</v>
      </c>
      <c r="AQ4028">
        <v>-73</v>
      </c>
      <c r="AR4028">
        <v>-64</v>
      </c>
      <c r="AZ4028">
        <v>1200</v>
      </c>
      <c r="BA4028">
        <v>1</v>
      </c>
      <c r="BB4028" t="str">
        <f t="shared" si="1846"/>
        <v xml:space="preserve">N711JA  </v>
      </c>
      <c r="BC4028">
        <v>1</v>
      </c>
      <c r="BE4028">
        <v>0</v>
      </c>
      <c r="BF4028">
        <v>0</v>
      </c>
      <c r="BG4028">
        <v>0</v>
      </c>
      <c r="BH4028">
        <v>2300</v>
      </c>
      <c r="BI4028">
        <v>1</v>
      </c>
      <c r="BJ4028">
        <v>1</v>
      </c>
      <c r="BK4028">
        <v>0</v>
      </c>
      <c r="BL4028">
        <v>0</v>
      </c>
      <c r="BO4028">
        <v>0</v>
      </c>
      <c r="BP4028">
        <v>0</v>
      </c>
      <c r="BW4028" t="str">
        <f>"14:48:33.591"</f>
        <v>14:48:33.591</v>
      </c>
      <c r="CJ4028">
        <v>0</v>
      </c>
      <c r="CK4028">
        <v>2</v>
      </c>
      <c r="CL4028">
        <v>0</v>
      </c>
      <c r="CM4028">
        <v>2</v>
      </c>
      <c r="CN4028">
        <v>0</v>
      </c>
      <c r="CO4028">
        <v>7</v>
      </c>
      <c r="CP4028" t="s">
        <v>119</v>
      </c>
      <c r="CQ4028">
        <v>358</v>
      </c>
      <c r="CR4028">
        <v>0</v>
      </c>
      <c r="CW4028">
        <v>5068106</v>
      </c>
      <c r="CY4028">
        <v>1</v>
      </c>
      <c r="CZ4028">
        <v>0</v>
      </c>
      <c r="DA4028">
        <v>1</v>
      </c>
      <c r="DB4028">
        <v>0</v>
      </c>
      <c r="DC4028">
        <v>0</v>
      </c>
      <c r="DD4028">
        <v>1</v>
      </c>
      <c r="DE4028">
        <v>0</v>
      </c>
      <c r="DF4028">
        <v>0</v>
      </c>
      <c r="DG4028">
        <v>0</v>
      </c>
      <c r="DH4028">
        <v>0</v>
      </c>
      <c r="DI4028">
        <v>0</v>
      </c>
    </row>
    <row r="4029" spans="1:113" x14ac:dyDescent="0.3">
      <c r="A4029" t="str">
        <f t="shared" si="1859"/>
        <v>05/12/2020 14:48:15.754</v>
      </c>
      <c r="C4029" t="str">
        <f t="shared" si="1845"/>
        <v>FFDFD3C0</v>
      </c>
      <c r="D4029" t="s">
        <v>113</v>
      </c>
      <c r="E4029">
        <v>3</v>
      </c>
      <c r="H4029">
        <v>164</v>
      </c>
      <c r="I4029" t="s">
        <v>114</v>
      </c>
      <c r="J4029" t="s">
        <v>115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 t="shared" si="1860"/>
        <v>14:48:33.586</v>
      </c>
      <c r="T4029" t="str">
        <f t="shared" si="1861"/>
        <v>14:48:33.286</v>
      </c>
      <c r="U4029" t="str">
        <f t="shared" si="1837"/>
        <v>A9808D</v>
      </c>
      <c r="V4029">
        <v>0</v>
      </c>
      <c r="W4029">
        <v>0</v>
      </c>
      <c r="X4029">
        <v>1</v>
      </c>
      <c r="Z4029">
        <v>0</v>
      </c>
      <c r="AA4029">
        <v>9</v>
      </c>
      <c r="AB4029">
        <v>3</v>
      </c>
      <c r="AC4029">
        <v>0</v>
      </c>
      <c r="AD4029">
        <v>10</v>
      </c>
      <c r="AE4029">
        <v>0</v>
      </c>
      <c r="AF4029">
        <v>3</v>
      </c>
      <c r="AG4029">
        <v>2</v>
      </c>
      <c r="AH4029">
        <v>0</v>
      </c>
      <c r="AI4029" t="s">
        <v>919</v>
      </c>
      <c r="AJ4029">
        <v>28.267007</v>
      </c>
      <c r="AK4029" t="s">
        <v>920</v>
      </c>
      <c r="AL4029">
        <v>-82.294464000000005</v>
      </c>
      <c r="AM4029">
        <v>100</v>
      </c>
      <c r="AN4029">
        <v>2300</v>
      </c>
      <c r="AO4029" t="s">
        <v>118</v>
      </c>
      <c r="AP4029">
        <v>-123</v>
      </c>
      <c r="AQ4029">
        <v>-73</v>
      </c>
      <c r="AR4029">
        <v>-64</v>
      </c>
      <c r="AZ4029">
        <v>1200</v>
      </c>
      <c r="BA4029">
        <v>1</v>
      </c>
      <c r="BB4029" t="str">
        <f t="shared" si="1846"/>
        <v xml:space="preserve">N711JA  </v>
      </c>
      <c r="BC4029">
        <v>1</v>
      </c>
      <c r="BE4029">
        <v>0</v>
      </c>
      <c r="BF4029">
        <v>0</v>
      </c>
      <c r="BG4029">
        <v>0</v>
      </c>
      <c r="BH4029">
        <v>2300</v>
      </c>
      <c r="BI4029">
        <v>1</v>
      </c>
      <c r="BJ4029">
        <v>1</v>
      </c>
      <c r="BK4029">
        <v>0</v>
      </c>
      <c r="BL4029">
        <v>0</v>
      </c>
      <c r="BO4029">
        <v>0</v>
      </c>
      <c r="BP4029">
        <v>0</v>
      </c>
      <c r="BW4029" t="str">
        <f>"14:48:33.590"</f>
        <v>14:48:33.590</v>
      </c>
      <c r="CJ4029">
        <v>0</v>
      </c>
      <c r="CK4029">
        <v>2</v>
      </c>
      <c r="CL4029">
        <v>0</v>
      </c>
      <c r="CM4029">
        <v>2</v>
      </c>
      <c r="CN4029">
        <v>0</v>
      </c>
      <c r="CO4029">
        <v>7</v>
      </c>
      <c r="CP4029" t="s">
        <v>119</v>
      </c>
      <c r="CQ4029">
        <v>8</v>
      </c>
      <c r="CR4029">
        <v>3</v>
      </c>
      <c r="CW4029">
        <v>9104552</v>
      </c>
      <c r="CY4029">
        <v>1</v>
      </c>
      <c r="CZ4029">
        <v>0</v>
      </c>
      <c r="DA4029">
        <v>1</v>
      </c>
      <c r="DB4029">
        <v>0</v>
      </c>
      <c r="DC4029">
        <v>0</v>
      </c>
      <c r="DD4029">
        <v>1</v>
      </c>
      <c r="DE4029">
        <v>0</v>
      </c>
      <c r="DF4029">
        <v>0</v>
      </c>
      <c r="DG4029">
        <v>0</v>
      </c>
      <c r="DH4029">
        <v>0</v>
      </c>
      <c r="DI4029">
        <v>0</v>
      </c>
    </row>
    <row r="4030" spans="1:113" x14ac:dyDescent="0.3">
      <c r="A4030" t="str">
        <f t="shared" ref="A4030:A4038" si="1862">"05/12/2020 14:48:17.871"</f>
        <v>05/12/2020 14:48:17.871</v>
      </c>
      <c r="C4030" t="str">
        <f t="shared" si="1845"/>
        <v>FFDFD3C0</v>
      </c>
      <c r="D4030" t="s">
        <v>131</v>
      </c>
      <c r="E4030">
        <v>12</v>
      </c>
      <c r="F4030">
        <v>2012</v>
      </c>
      <c r="G4030" t="s">
        <v>137</v>
      </c>
      <c r="J4030" t="s">
        <v>133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 t="shared" ref="S4030:S4038" si="1863">"14:48:35.656"</f>
        <v>14:48:35.656</v>
      </c>
      <c r="T4030" t="str">
        <f>"14:48:35.156"</f>
        <v>14:48:35.156</v>
      </c>
      <c r="U4030" t="str">
        <f t="shared" si="1837"/>
        <v>A9808D</v>
      </c>
      <c r="V4030">
        <v>0</v>
      </c>
      <c r="W4030">
        <v>0</v>
      </c>
      <c r="X4030">
        <v>1</v>
      </c>
      <c r="Z4030">
        <v>0</v>
      </c>
      <c r="AA4030">
        <v>9</v>
      </c>
      <c r="AB4030">
        <v>3</v>
      </c>
      <c r="AC4030">
        <v>0</v>
      </c>
      <c r="AD4030">
        <v>10</v>
      </c>
      <c r="AE4030">
        <v>0</v>
      </c>
      <c r="AF4030">
        <v>3</v>
      </c>
      <c r="AG4030">
        <v>2</v>
      </c>
      <c r="AH4030">
        <v>0</v>
      </c>
      <c r="AI4030" t="s">
        <v>921</v>
      </c>
      <c r="AJ4030">
        <v>28.266255999999998</v>
      </c>
      <c r="AK4030" t="s">
        <v>922</v>
      </c>
      <c r="AL4030">
        <v>-82.295730000000006</v>
      </c>
      <c r="AM4030">
        <v>100</v>
      </c>
      <c r="AN4030">
        <v>2300</v>
      </c>
      <c r="AO4030" t="s">
        <v>118</v>
      </c>
      <c r="AP4030">
        <v>-121</v>
      </c>
      <c r="AQ4030">
        <v>-77</v>
      </c>
      <c r="AR4030">
        <v>0</v>
      </c>
      <c r="AZ4030">
        <v>1200</v>
      </c>
      <c r="BA4030">
        <v>1</v>
      </c>
      <c r="BB4030" t="str">
        <f t="shared" si="1846"/>
        <v xml:space="preserve">N711JA  </v>
      </c>
      <c r="BC4030">
        <v>1</v>
      </c>
      <c r="BE4030">
        <v>0</v>
      </c>
      <c r="BF4030">
        <v>0</v>
      </c>
      <c r="BG4030">
        <v>0</v>
      </c>
      <c r="BH4030">
        <v>2300</v>
      </c>
      <c r="BI4030">
        <v>1</v>
      </c>
      <c r="BJ4030">
        <v>1</v>
      </c>
      <c r="BK4030">
        <v>0</v>
      </c>
      <c r="BL4030">
        <v>0</v>
      </c>
      <c r="BO4030">
        <v>0</v>
      </c>
      <c r="BP4030">
        <v>0</v>
      </c>
      <c r="BW4030" t="str">
        <f t="shared" ref="BW4030:BW4038" si="1864">"14:48:35.662"</f>
        <v>14:48:35.662</v>
      </c>
      <c r="CJ4030">
        <v>0</v>
      </c>
      <c r="CK4030">
        <v>2</v>
      </c>
      <c r="CL4030">
        <v>0</v>
      </c>
      <c r="CM4030">
        <v>2</v>
      </c>
      <c r="CN4030">
        <v>0</v>
      </c>
      <c r="CO4030">
        <v>7</v>
      </c>
      <c r="CP4030" t="s">
        <v>119</v>
      </c>
      <c r="CQ4030">
        <v>56</v>
      </c>
      <c r="CR4030">
        <v>2</v>
      </c>
      <c r="CW4030">
        <v>5097036</v>
      </c>
      <c r="CY4030">
        <v>1</v>
      </c>
      <c r="CZ4030">
        <v>0</v>
      </c>
      <c r="DA4030">
        <v>0</v>
      </c>
      <c r="DB4030">
        <v>0</v>
      </c>
      <c r="DC4030">
        <v>0</v>
      </c>
      <c r="DD4030">
        <v>1</v>
      </c>
      <c r="DE4030">
        <v>0</v>
      </c>
      <c r="DF4030">
        <v>0</v>
      </c>
      <c r="DG4030">
        <v>0</v>
      </c>
      <c r="DH4030">
        <v>0</v>
      </c>
      <c r="DI4030">
        <v>0</v>
      </c>
    </row>
    <row r="4031" spans="1:113" x14ac:dyDescent="0.3">
      <c r="A4031" t="str">
        <f t="shared" si="1862"/>
        <v>05/12/2020 14:48:17.871</v>
      </c>
      <c r="C4031" t="str">
        <f t="shared" si="1845"/>
        <v>FFDFD3C0</v>
      </c>
      <c r="D4031" t="s">
        <v>126</v>
      </c>
      <c r="E4031">
        <v>7</v>
      </c>
      <c r="F4031">
        <v>1007</v>
      </c>
      <c r="G4031" t="s">
        <v>127</v>
      </c>
      <c r="J4031" t="s">
        <v>128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 t="shared" si="1863"/>
        <v>14:48:35.656</v>
      </c>
      <c r="T4031" t="str">
        <f t="shared" ref="T4031:T4036" si="1865">"14:48:35.656"</f>
        <v>14:48:35.656</v>
      </c>
      <c r="U4031" t="str">
        <f t="shared" si="1837"/>
        <v>A9808D</v>
      </c>
      <c r="V4031">
        <v>0</v>
      </c>
      <c r="W4031">
        <v>0</v>
      </c>
      <c r="X4031">
        <v>1</v>
      </c>
      <c r="Z4031">
        <v>0</v>
      </c>
      <c r="AA4031">
        <v>9</v>
      </c>
      <c r="AB4031">
        <v>3</v>
      </c>
      <c r="AC4031">
        <v>0</v>
      </c>
      <c r="AD4031">
        <v>10</v>
      </c>
      <c r="AE4031">
        <v>0</v>
      </c>
      <c r="AF4031">
        <v>3</v>
      </c>
      <c r="AG4031">
        <v>2</v>
      </c>
      <c r="AH4031">
        <v>0</v>
      </c>
      <c r="AI4031" t="s">
        <v>921</v>
      </c>
      <c r="AJ4031">
        <v>28.266255999999998</v>
      </c>
      <c r="AK4031" t="s">
        <v>922</v>
      </c>
      <c r="AL4031">
        <v>-82.295730000000006</v>
      </c>
      <c r="AM4031">
        <v>100</v>
      </c>
      <c r="AN4031">
        <v>2300</v>
      </c>
      <c r="AO4031" t="s">
        <v>118</v>
      </c>
      <c r="AP4031">
        <v>-121</v>
      </c>
      <c r="AQ4031">
        <v>-77</v>
      </c>
      <c r="AR4031">
        <v>0</v>
      </c>
      <c r="AZ4031">
        <v>1200</v>
      </c>
      <c r="BA4031">
        <v>1</v>
      </c>
      <c r="BB4031" t="str">
        <f t="shared" si="1846"/>
        <v xml:space="preserve">N711JA  </v>
      </c>
      <c r="BC4031">
        <v>1</v>
      </c>
      <c r="BE4031">
        <v>0</v>
      </c>
      <c r="BF4031">
        <v>0</v>
      </c>
      <c r="BG4031">
        <v>0</v>
      </c>
      <c r="BH4031">
        <v>2300</v>
      </c>
      <c r="BI4031">
        <v>1</v>
      </c>
      <c r="BJ4031">
        <v>1</v>
      </c>
      <c r="BK4031">
        <v>0</v>
      </c>
      <c r="BL4031">
        <v>0</v>
      </c>
      <c r="BO4031">
        <v>0</v>
      </c>
      <c r="BP4031">
        <v>0</v>
      </c>
      <c r="BW4031" t="str">
        <f t="shared" si="1864"/>
        <v>14:48:35.662</v>
      </c>
      <c r="CJ4031">
        <v>0</v>
      </c>
      <c r="CK4031">
        <v>2</v>
      </c>
      <c r="CL4031">
        <v>0</v>
      </c>
      <c r="CM4031">
        <v>2</v>
      </c>
      <c r="CN4031">
        <v>0</v>
      </c>
      <c r="CO4031">
        <v>6</v>
      </c>
      <c r="CP4031" t="s">
        <v>119</v>
      </c>
      <c r="CQ4031">
        <v>358</v>
      </c>
      <c r="CR4031">
        <v>0</v>
      </c>
      <c r="CW4031">
        <v>5070806</v>
      </c>
      <c r="CY4031">
        <v>1</v>
      </c>
      <c r="CZ4031">
        <v>0</v>
      </c>
      <c r="DA4031">
        <v>1</v>
      </c>
      <c r="DB4031">
        <v>0</v>
      </c>
      <c r="DC4031">
        <v>0</v>
      </c>
      <c r="DD4031">
        <v>1</v>
      </c>
      <c r="DE4031">
        <v>0</v>
      </c>
      <c r="DF4031">
        <v>0</v>
      </c>
      <c r="DG4031">
        <v>0</v>
      </c>
      <c r="DH4031">
        <v>0</v>
      </c>
      <c r="DI4031">
        <v>0</v>
      </c>
    </row>
    <row r="4032" spans="1:113" x14ac:dyDescent="0.3">
      <c r="A4032" t="str">
        <f t="shared" si="1862"/>
        <v>05/12/2020 14:48:17.871</v>
      </c>
      <c r="C4032" t="str">
        <f t="shared" si="1845"/>
        <v>FFDFD3C0</v>
      </c>
      <c r="D4032" t="s">
        <v>134</v>
      </c>
      <c r="E4032">
        <v>12</v>
      </c>
      <c r="H4032">
        <v>64</v>
      </c>
      <c r="I4032" t="s">
        <v>135</v>
      </c>
      <c r="J4032" t="s">
        <v>136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 t="shared" si="1863"/>
        <v>14:48:35.656</v>
      </c>
      <c r="T4032" t="str">
        <f t="shared" si="1865"/>
        <v>14:48:35.656</v>
      </c>
      <c r="U4032" t="str">
        <f t="shared" si="1837"/>
        <v>A9808D</v>
      </c>
      <c r="V4032">
        <v>0</v>
      </c>
      <c r="W4032">
        <v>0</v>
      </c>
      <c r="X4032">
        <v>1</v>
      </c>
      <c r="Z4032">
        <v>0</v>
      </c>
      <c r="AA4032">
        <v>9</v>
      </c>
      <c r="AB4032">
        <v>3</v>
      </c>
      <c r="AC4032">
        <v>0</v>
      </c>
      <c r="AD4032">
        <v>10</v>
      </c>
      <c r="AE4032">
        <v>0</v>
      </c>
      <c r="AF4032">
        <v>3</v>
      </c>
      <c r="AG4032">
        <v>2</v>
      </c>
      <c r="AH4032">
        <v>0</v>
      </c>
      <c r="AI4032" t="s">
        <v>921</v>
      </c>
      <c r="AJ4032">
        <v>28.266255999999998</v>
      </c>
      <c r="AK4032" t="s">
        <v>922</v>
      </c>
      <c r="AL4032">
        <v>-82.295730000000006</v>
      </c>
      <c r="AM4032">
        <v>100</v>
      </c>
      <c r="AN4032">
        <v>2300</v>
      </c>
      <c r="AO4032" t="s">
        <v>118</v>
      </c>
      <c r="AP4032">
        <v>-121</v>
      </c>
      <c r="AQ4032">
        <v>-77</v>
      </c>
      <c r="AR4032">
        <v>0</v>
      </c>
      <c r="AZ4032">
        <v>1200</v>
      </c>
      <c r="BA4032">
        <v>1</v>
      </c>
      <c r="BB4032" t="str">
        <f t="shared" si="1846"/>
        <v xml:space="preserve">N711JA  </v>
      </c>
      <c r="BC4032">
        <v>1</v>
      </c>
      <c r="BE4032">
        <v>0</v>
      </c>
      <c r="BF4032">
        <v>0</v>
      </c>
      <c r="BG4032">
        <v>0</v>
      </c>
      <c r="BH4032">
        <v>2300</v>
      </c>
      <c r="BI4032">
        <v>1</v>
      </c>
      <c r="BJ4032">
        <v>1</v>
      </c>
      <c r="BK4032">
        <v>0</v>
      </c>
      <c r="BL4032">
        <v>0</v>
      </c>
      <c r="BO4032">
        <v>0</v>
      </c>
      <c r="BP4032">
        <v>0</v>
      </c>
      <c r="BW4032" t="str">
        <f t="shared" si="1864"/>
        <v>14:48:35.662</v>
      </c>
      <c r="CJ4032">
        <v>0</v>
      </c>
      <c r="CK4032">
        <v>2</v>
      </c>
      <c r="CL4032">
        <v>0</v>
      </c>
      <c r="CM4032">
        <v>2</v>
      </c>
      <c r="CN4032">
        <v>0</v>
      </c>
      <c r="CO4032">
        <v>6</v>
      </c>
      <c r="CP4032" t="s">
        <v>119</v>
      </c>
      <c r="CQ4032">
        <v>358</v>
      </c>
      <c r="CR4032">
        <v>0</v>
      </c>
      <c r="CW4032">
        <v>5070806</v>
      </c>
      <c r="CY4032">
        <v>1</v>
      </c>
      <c r="CZ4032">
        <v>0</v>
      </c>
      <c r="DA4032">
        <v>1</v>
      </c>
      <c r="DB4032">
        <v>0</v>
      </c>
      <c r="DC4032">
        <v>0</v>
      </c>
      <c r="DD4032">
        <v>1</v>
      </c>
      <c r="DE4032">
        <v>0</v>
      </c>
      <c r="DF4032">
        <v>0</v>
      </c>
      <c r="DG4032">
        <v>0</v>
      </c>
      <c r="DH4032">
        <v>0</v>
      </c>
      <c r="DI4032">
        <v>0</v>
      </c>
    </row>
    <row r="4033" spans="1:113" x14ac:dyDescent="0.3">
      <c r="A4033" t="str">
        <f t="shared" si="1862"/>
        <v>05/12/2020 14:48:17.871</v>
      </c>
      <c r="C4033" t="str">
        <f t="shared" si="1845"/>
        <v>FFDFD3C0</v>
      </c>
      <c r="D4033" t="s">
        <v>131</v>
      </c>
      <c r="E4033">
        <v>10</v>
      </c>
      <c r="F4033">
        <v>2010</v>
      </c>
      <c r="G4033" t="s">
        <v>132</v>
      </c>
      <c r="J4033" t="s">
        <v>133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 t="shared" si="1863"/>
        <v>14:48:35.656</v>
      </c>
      <c r="T4033" t="str">
        <f t="shared" si="1865"/>
        <v>14:48:35.656</v>
      </c>
      <c r="U4033" t="str">
        <f t="shared" si="1837"/>
        <v>A9808D</v>
      </c>
      <c r="V4033">
        <v>0</v>
      </c>
      <c r="W4033">
        <v>0</v>
      </c>
      <c r="X4033">
        <v>1</v>
      </c>
      <c r="Z4033">
        <v>0</v>
      </c>
      <c r="AA4033">
        <v>9</v>
      </c>
      <c r="AB4033">
        <v>3</v>
      </c>
      <c r="AC4033">
        <v>0</v>
      </c>
      <c r="AD4033">
        <v>10</v>
      </c>
      <c r="AE4033">
        <v>0</v>
      </c>
      <c r="AF4033">
        <v>3</v>
      </c>
      <c r="AG4033">
        <v>2</v>
      </c>
      <c r="AH4033">
        <v>0</v>
      </c>
      <c r="AI4033" t="s">
        <v>921</v>
      </c>
      <c r="AJ4033">
        <v>28.266255999999998</v>
      </c>
      <c r="AK4033" t="s">
        <v>922</v>
      </c>
      <c r="AL4033">
        <v>-82.295730000000006</v>
      </c>
      <c r="AM4033">
        <v>100</v>
      </c>
      <c r="AN4033">
        <v>2300</v>
      </c>
      <c r="AO4033" t="s">
        <v>118</v>
      </c>
      <c r="AP4033">
        <v>-121</v>
      </c>
      <c r="AQ4033">
        <v>-77</v>
      </c>
      <c r="AR4033">
        <v>0</v>
      </c>
      <c r="AZ4033">
        <v>1200</v>
      </c>
      <c r="BA4033">
        <v>1</v>
      </c>
      <c r="BB4033" t="str">
        <f t="shared" si="1846"/>
        <v xml:space="preserve">N711JA  </v>
      </c>
      <c r="BC4033">
        <v>1</v>
      </c>
      <c r="BE4033">
        <v>0</v>
      </c>
      <c r="BF4033">
        <v>0</v>
      </c>
      <c r="BG4033">
        <v>0</v>
      </c>
      <c r="BH4033">
        <v>2300</v>
      </c>
      <c r="BI4033">
        <v>1</v>
      </c>
      <c r="BJ4033">
        <v>1</v>
      </c>
      <c r="BK4033">
        <v>0</v>
      </c>
      <c r="BL4033">
        <v>0</v>
      </c>
      <c r="BO4033">
        <v>0</v>
      </c>
      <c r="BP4033">
        <v>0</v>
      </c>
      <c r="BW4033" t="str">
        <f t="shared" si="1864"/>
        <v>14:48:35.662</v>
      </c>
      <c r="CJ4033">
        <v>0</v>
      </c>
      <c r="CK4033">
        <v>2</v>
      </c>
      <c r="CL4033">
        <v>0</v>
      </c>
      <c r="CM4033">
        <v>2</v>
      </c>
      <c r="CN4033">
        <v>0</v>
      </c>
      <c r="CO4033">
        <v>6</v>
      </c>
      <c r="CP4033" t="s">
        <v>119</v>
      </c>
      <c r="CQ4033">
        <v>358</v>
      </c>
      <c r="CR4033">
        <v>0</v>
      </c>
      <c r="CW4033">
        <v>5070806</v>
      </c>
      <c r="CY4033">
        <v>1</v>
      </c>
      <c r="CZ4033">
        <v>0</v>
      </c>
      <c r="DA4033">
        <v>1</v>
      </c>
      <c r="DB4033">
        <v>0</v>
      </c>
      <c r="DC4033">
        <v>0</v>
      </c>
      <c r="DD4033">
        <v>1</v>
      </c>
      <c r="DE4033">
        <v>0</v>
      </c>
      <c r="DF4033">
        <v>0</v>
      </c>
      <c r="DG4033">
        <v>0</v>
      </c>
      <c r="DH4033">
        <v>0</v>
      </c>
      <c r="DI4033">
        <v>0</v>
      </c>
    </row>
    <row r="4034" spans="1:113" x14ac:dyDescent="0.3">
      <c r="A4034" t="str">
        <f t="shared" si="1862"/>
        <v>05/12/2020 14:48:17.871</v>
      </c>
      <c r="C4034" t="str">
        <f t="shared" si="1845"/>
        <v>FFDFD3C0</v>
      </c>
      <c r="D4034" t="s">
        <v>126</v>
      </c>
      <c r="E4034">
        <v>6</v>
      </c>
      <c r="F4034">
        <v>1006</v>
      </c>
      <c r="G4034" t="s">
        <v>114</v>
      </c>
      <c r="J4034" t="s">
        <v>128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 t="shared" si="1863"/>
        <v>14:48:35.656</v>
      </c>
      <c r="T4034" t="str">
        <f t="shared" si="1865"/>
        <v>14:48:35.656</v>
      </c>
      <c r="U4034" t="str">
        <f t="shared" ref="U4034:U4097" si="1866">"A9808D"</f>
        <v>A9808D</v>
      </c>
      <c r="V4034">
        <v>0</v>
      </c>
      <c r="W4034">
        <v>0</v>
      </c>
      <c r="X4034">
        <v>1</v>
      </c>
      <c r="Z4034">
        <v>0</v>
      </c>
      <c r="AA4034">
        <v>9</v>
      </c>
      <c r="AB4034">
        <v>3</v>
      </c>
      <c r="AC4034">
        <v>0</v>
      </c>
      <c r="AD4034">
        <v>10</v>
      </c>
      <c r="AE4034">
        <v>0</v>
      </c>
      <c r="AF4034">
        <v>3</v>
      </c>
      <c r="AG4034">
        <v>2</v>
      </c>
      <c r="AH4034">
        <v>0</v>
      </c>
      <c r="AI4034" t="s">
        <v>921</v>
      </c>
      <c r="AJ4034">
        <v>28.266255999999998</v>
      </c>
      <c r="AK4034" t="s">
        <v>922</v>
      </c>
      <c r="AL4034">
        <v>-82.295730000000006</v>
      </c>
      <c r="AM4034">
        <v>100</v>
      </c>
      <c r="AN4034">
        <v>2300</v>
      </c>
      <c r="AO4034" t="s">
        <v>118</v>
      </c>
      <c r="AP4034">
        <v>-121</v>
      </c>
      <c r="AQ4034">
        <v>-77</v>
      </c>
      <c r="AR4034">
        <v>0</v>
      </c>
      <c r="AZ4034">
        <v>1200</v>
      </c>
      <c r="BA4034">
        <v>1</v>
      </c>
      <c r="BB4034" t="str">
        <f t="shared" si="1846"/>
        <v xml:space="preserve">N711JA  </v>
      </c>
      <c r="BC4034">
        <v>1</v>
      </c>
      <c r="BE4034">
        <v>0</v>
      </c>
      <c r="BF4034">
        <v>0</v>
      </c>
      <c r="BG4034">
        <v>0</v>
      </c>
      <c r="BH4034">
        <v>2300</v>
      </c>
      <c r="BI4034">
        <v>1</v>
      </c>
      <c r="BJ4034">
        <v>1</v>
      </c>
      <c r="BK4034">
        <v>0</v>
      </c>
      <c r="BL4034">
        <v>0</v>
      </c>
      <c r="BO4034">
        <v>0</v>
      </c>
      <c r="BP4034">
        <v>0</v>
      </c>
      <c r="BW4034" t="str">
        <f t="shared" si="1864"/>
        <v>14:48:35.662</v>
      </c>
      <c r="CJ4034">
        <v>0</v>
      </c>
      <c r="CK4034">
        <v>2</v>
      </c>
      <c r="CL4034">
        <v>0</v>
      </c>
      <c r="CM4034">
        <v>2</v>
      </c>
      <c r="CN4034">
        <v>0</v>
      </c>
      <c r="CO4034">
        <v>6</v>
      </c>
      <c r="CP4034" t="s">
        <v>119</v>
      </c>
      <c r="CQ4034">
        <v>358</v>
      </c>
      <c r="CR4034">
        <v>0</v>
      </c>
      <c r="CW4034">
        <v>5070806</v>
      </c>
      <c r="CY4034">
        <v>1</v>
      </c>
      <c r="CZ4034">
        <v>0</v>
      </c>
      <c r="DA4034">
        <v>1</v>
      </c>
      <c r="DB4034">
        <v>0</v>
      </c>
      <c r="DC4034">
        <v>0</v>
      </c>
      <c r="DD4034">
        <v>1</v>
      </c>
      <c r="DE4034">
        <v>0</v>
      </c>
      <c r="DF4034">
        <v>0</v>
      </c>
      <c r="DG4034">
        <v>0</v>
      </c>
      <c r="DH4034">
        <v>0</v>
      </c>
      <c r="DI4034">
        <v>0</v>
      </c>
    </row>
    <row r="4035" spans="1:113" x14ac:dyDescent="0.3">
      <c r="A4035" t="str">
        <f t="shared" si="1862"/>
        <v>05/12/2020 14:48:17.871</v>
      </c>
      <c r="C4035" t="str">
        <f t="shared" si="1845"/>
        <v>FFDFD3C0</v>
      </c>
      <c r="D4035" t="s">
        <v>113</v>
      </c>
      <c r="E4035">
        <v>3</v>
      </c>
      <c r="H4035">
        <v>164</v>
      </c>
      <c r="I4035" t="s">
        <v>114</v>
      </c>
      <c r="J4035" t="s">
        <v>115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 t="shared" si="1863"/>
        <v>14:48:35.656</v>
      </c>
      <c r="T4035" t="str">
        <f t="shared" si="1865"/>
        <v>14:48:35.656</v>
      </c>
      <c r="U4035" t="str">
        <f t="shared" si="1866"/>
        <v>A9808D</v>
      </c>
      <c r="V4035">
        <v>0</v>
      </c>
      <c r="W4035">
        <v>0</v>
      </c>
      <c r="X4035">
        <v>1</v>
      </c>
      <c r="Z4035">
        <v>0</v>
      </c>
      <c r="AA4035">
        <v>9</v>
      </c>
      <c r="AB4035">
        <v>3</v>
      </c>
      <c r="AC4035">
        <v>0</v>
      </c>
      <c r="AD4035">
        <v>10</v>
      </c>
      <c r="AE4035">
        <v>0</v>
      </c>
      <c r="AF4035">
        <v>3</v>
      </c>
      <c r="AG4035">
        <v>2</v>
      </c>
      <c r="AH4035">
        <v>0</v>
      </c>
      <c r="AI4035" t="s">
        <v>921</v>
      </c>
      <c r="AJ4035">
        <v>28.266255999999998</v>
      </c>
      <c r="AK4035" t="s">
        <v>922</v>
      </c>
      <c r="AL4035">
        <v>-82.295730000000006</v>
      </c>
      <c r="AM4035">
        <v>100</v>
      </c>
      <c r="AN4035">
        <v>2300</v>
      </c>
      <c r="AO4035" t="s">
        <v>118</v>
      </c>
      <c r="AP4035">
        <v>-121</v>
      </c>
      <c r="AQ4035">
        <v>-77</v>
      </c>
      <c r="AR4035">
        <v>0</v>
      </c>
      <c r="AZ4035">
        <v>1200</v>
      </c>
      <c r="BA4035">
        <v>1</v>
      </c>
      <c r="BB4035" t="str">
        <f t="shared" si="1846"/>
        <v xml:space="preserve">N711JA  </v>
      </c>
      <c r="BC4035">
        <v>1</v>
      </c>
      <c r="BE4035">
        <v>0</v>
      </c>
      <c r="BF4035">
        <v>0</v>
      </c>
      <c r="BG4035">
        <v>0</v>
      </c>
      <c r="BH4035">
        <v>2300</v>
      </c>
      <c r="BI4035">
        <v>1</v>
      </c>
      <c r="BJ4035">
        <v>1</v>
      </c>
      <c r="BK4035">
        <v>0</v>
      </c>
      <c r="BL4035">
        <v>0</v>
      </c>
      <c r="BO4035">
        <v>0</v>
      </c>
      <c r="BP4035">
        <v>0</v>
      </c>
      <c r="BW4035" t="str">
        <f t="shared" si="1864"/>
        <v>14:48:35.662</v>
      </c>
      <c r="CJ4035">
        <v>0</v>
      </c>
      <c r="CK4035">
        <v>2</v>
      </c>
      <c r="CL4035">
        <v>0</v>
      </c>
      <c r="CM4035">
        <v>2</v>
      </c>
      <c r="CN4035">
        <v>0</v>
      </c>
      <c r="CO4035">
        <v>3</v>
      </c>
      <c r="CP4035" t="s">
        <v>119</v>
      </c>
      <c r="CQ4035">
        <v>62</v>
      </c>
      <c r="CR4035">
        <v>2</v>
      </c>
      <c r="CW4035">
        <v>13806238</v>
      </c>
      <c r="CY4035">
        <v>1</v>
      </c>
      <c r="CZ4035">
        <v>0</v>
      </c>
      <c r="DA4035">
        <v>1</v>
      </c>
      <c r="DB4035">
        <v>0</v>
      </c>
      <c r="DC4035">
        <v>0</v>
      </c>
      <c r="DD4035">
        <v>1</v>
      </c>
      <c r="DE4035">
        <v>0</v>
      </c>
      <c r="DF4035">
        <v>0</v>
      </c>
      <c r="DG4035">
        <v>0</v>
      </c>
      <c r="DH4035">
        <v>0</v>
      </c>
      <c r="DI4035">
        <v>0</v>
      </c>
    </row>
    <row r="4036" spans="1:113" x14ac:dyDescent="0.3">
      <c r="A4036" t="str">
        <f t="shared" si="1862"/>
        <v>05/12/2020 14:48:17.871</v>
      </c>
      <c r="C4036" t="str">
        <f t="shared" si="1845"/>
        <v>FFDFD3C0</v>
      </c>
      <c r="D4036" t="s">
        <v>131</v>
      </c>
      <c r="E4036">
        <v>18</v>
      </c>
      <c r="F4036">
        <v>2018</v>
      </c>
      <c r="G4036" t="s">
        <v>161</v>
      </c>
      <c r="J4036" t="s">
        <v>133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 t="shared" si="1863"/>
        <v>14:48:35.656</v>
      </c>
      <c r="T4036" t="str">
        <f t="shared" si="1865"/>
        <v>14:48:35.656</v>
      </c>
      <c r="U4036" t="str">
        <f t="shared" si="1866"/>
        <v>A9808D</v>
      </c>
      <c r="V4036">
        <v>0</v>
      </c>
      <c r="W4036">
        <v>0</v>
      </c>
      <c r="X4036">
        <v>1</v>
      </c>
      <c r="Z4036">
        <v>0</v>
      </c>
      <c r="AA4036">
        <v>9</v>
      </c>
      <c r="AB4036">
        <v>3</v>
      </c>
      <c r="AC4036">
        <v>0</v>
      </c>
      <c r="AD4036">
        <v>10</v>
      </c>
      <c r="AE4036">
        <v>0</v>
      </c>
      <c r="AF4036">
        <v>3</v>
      </c>
      <c r="AG4036">
        <v>2</v>
      </c>
      <c r="AH4036">
        <v>0</v>
      </c>
      <c r="AI4036" t="s">
        <v>921</v>
      </c>
      <c r="AJ4036">
        <v>28.266255999999998</v>
      </c>
      <c r="AK4036" t="s">
        <v>922</v>
      </c>
      <c r="AL4036">
        <v>-82.295730000000006</v>
      </c>
      <c r="AM4036">
        <v>100</v>
      </c>
      <c r="AN4036">
        <v>2300</v>
      </c>
      <c r="AO4036" t="s">
        <v>118</v>
      </c>
      <c r="AP4036">
        <v>-121</v>
      </c>
      <c r="AQ4036">
        <v>-77</v>
      </c>
      <c r="AR4036">
        <v>0</v>
      </c>
      <c r="AZ4036">
        <v>1200</v>
      </c>
      <c r="BA4036">
        <v>1</v>
      </c>
      <c r="BB4036" t="str">
        <f t="shared" si="1846"/>
        <v xml:space="preserve">N711JA  </v>
      </c>
      <c r="BC4036">
        <v>1</v>
      </c>
      <c r="BE4036">
        <v>0</v>
      </c>
      <c r="BF4036">
        <v>0</v>
      </c>
      <c r="BG4036">
        <v>0</v>
      </c>
      <c r="BH4036">
        <v>2300</v>
      </c>
      <c r="BI4036">
        <v>1</v>
      </c>
      <c r="BJ4036">
        <v>1</v>
      </c>
      <c r="BK4036">
        <v>0</v>
      </c>
      <c r="BL4036">
        <v>0</v>
      </c>
      <c r="BO4036">
        <v>0</v>
      </c>
      <c r="BP4036">
        <v>0</v>
      </c>
      <c r="BW4036" t="str">
        <f t="shared" si="1864"/>
        <v>14:48:35.662</v>
      </c>
      <c r="CJ4036">
        <v>0</v>
      </c>
      <c r="CK4036">
        <v>2</v>
      </c>
      <c r="CL4036">
        <v>0</v>
      </c>
      <c r="CM4036">
        <v>2</v>
      </c>
      <c r="CN4036">
        <v>0</v>
      </c>
      <c r="CO4036">
        <v>3</v>
      </c>
      <c r="CP4036" t="s">
        <v>119</v>
      </c>
      <c r="CQ4036">
        <v>62</v>
      </c>
      <c r="CR4036">
        <v>2</v>
      </c>
      <c r="CW4036">
        <v>13806238</v>
      </c>
      <c r="CY4036">
        <v>1</v>
      </c>
      <c r="CZ4036">
        <v>0</v>
      </c>
      <c r="DA4036">
        <v>1</v>
      </c>
      <c r="DB4036">
        <v>0</v>
      </c>
      <c r="DC4036">
        <v>0</v>
      </c>
      <c r="DD4036">
        <v>1</v>
      </c>
      <c r="DE4036">
        <v>0</v>
      </c>
      <c r="DF4036">
        <v>0</v>
      </c>
      <c r="DG4036">
        <v>0</v>
      </c>
      <c r="DH4036">
        <v>0</v>
      </c>
      <c r="DI4036">
        <v>0</v>
      </c>
    </row>
    <row r="4037" spans="1:113" x14ac:dyDescent="0.3">
      <c r="A4037" t="str">
        <f t="shared" si="1862"/>
        <v>05/12/2020 14:48:17.871</v>
      </c>
      <c r="C4037" t="str">
        <f t="shared" si="1845"/>
        <v>FFDFD3C0</v>
      </c>
      <c r="D4037" t="s">
        <v>138</v>
      </c>
      <c r="E4037">
        <v>2</v>
      </c>
      <c r="H4037">
        <v>8</v>
      </c>
      <c r="I4037" t="s">
        <v>139</v>
      </c>
      <c r="J4037" t="s">
        <v>136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 t="shared" si="1863"/>
        <v>14:48:35.656</v>
      </c>
      <c r="T4037" t="str">
        <f>"14:48:35.156"</f>
        <v>14:48:35.156</v>
      </c>
      <c r="U4037" t="str">
        <f t="shared" si="1866"/>
        <v>A9808D</v>
      </c>
      <c r="V4037">
        <v>0</v>
      </c>
      <c r="W4037">
        <v>0</v>
      </c>
      <c r="X4037">
        <v>1</v>
      </c>
      <c r="Z4037">
        <v>0</v>
      </c>
      <c r="AA4037">
        <v>9</v>
      </c>
      <c r="AB4037">
        <v>3</v>
      </c>
      <c r="AC4037">
        <v>0</v>
      </c>
      <c r="AD4037">
        <v>10</v>
      </c>
      <c r="AE4037">
        <v>0</v>
      </c>
      <c r="AF4037">
        <v>3</v>
      </c>
      <c r="AG4037">
        <v>2</v>
      </c>
      <c r="AH4037">
        <v>0</v>
      </c>
      <c r="AI4037" t="s">
        <v>921</v>
      </c>
      <c r="AJ4037">
        <v>28.266255999999998</v>
      </c>
      <c r="AK4037" t="s">
        <v>922</v>
      </c>
      <c r="AL4037">
        <v>-82.295730000000006</v>
      </c>
      <c r="AM4037">
        <v>100</v>
      </c>
      <c r="AN4037">
        <v>2300</v>
      </c>
      <c r="AO4037" t="s">
        <v>118</v>
      </c>
      <c r="AP4037">
        <v>-121</v>
      </c>
      <c r="AQ4037">
        <v>-77</v>
      </c>
      <c r="AR4037">
        <v>0</v>
      </c>
      <c r="AZ4037">
        <v>1200</v>
      </c>
      <c r="BA4037">
        <v>1</v>
      </c>
      <c r="BB4037" t="str">
        <f t="shared" si="1846"/>
        <v xml:space="preserve">N711JA  </v>
      </c>
      <c r="BC4037">
        <v>1</v>
      </c>
      <c r="BE4037">
        <v>0</v>
      </c>
      <c r="BF4037">
        <v>0</v>
      </c>
      <c r="BG4037">
        <v>0</v>
      </c>
      <c r="BH4037">
        <v>2300</v>
      </c>
      <c r="BI4037">
        <v>1</v>
      </c>
      <c r="BJ4037">
        <v>1</v>
      </c>
      <c r="BK4037">
        <v>0</v>
      </c>
      <c r="BL4037">
        <v>0</v>
      </c>
      <c r="BO4037">
        <v>0</v>
      </c>
      <c r="BP4037">
        <v>0</v>
      </c>
      <c r="BW4037" t="str">
        <f t="shared" si="1864"/>
        <v>14:48:35.662</v>
      </c>
      <c r="CJ4037">
        <v>0</v>
      </c>
      <c r="CK4037">
        <v>2</v>
      </c>
      <c r="CL4037">
        <v>0</v>
      </c>
      <c r="CM4037">
        <v>2</v>
      </c>
      <c r="CN4037">
        <v>0</v>
      </c>
      <c r="CO4037">
        <v>7</v>
      </c>
      <c r="CP4037" t="s">
        <v>119</v>
      </c>
      <c r="CQ4037">
        <v>56</v>
      </c>
      <c r="CR4037">
        <v>2</v>
      </c>
      <c r="CW4037">
        <v>5097036</v>
      </c>
      <c r="CY4037">
        <v>1</v>
      </c>
      <c r="CZ4037">
        <v>0</v>
      </c>
      <c r="DA4037">
        <v>1</v>
      </c>
      <c r="DB4037">
        <v>0</v>
      </c>
      <c r="DC4037">
        <v>0</v>
      </c>
      <c r="DD4037">
        <v>1</v>
      </c>
      <c r="DE4037">
        <v>0</v>
      </c>
      <c r="DF4037">
        <v>0</v>
      </c>
      <c r="DG4037">
        <v>0</v>
      </c>
      <c r="DH4037">
        <v>0</v>
      </c>
      <c r="DI4037">
        <v>0</v>
      </c>
    </row>
    <row r="4038" spans="1:113" x14ac:dyDescent="0.3">
      <c r="A4038" t="str">
        <f t="shared" si="1862"/>
        <v>05/12/2020 14:48:17.871</v>
      </c>
      <c r="C4038" t="str">
        <f t="shared" si="1845"/>
        <v>FFDFD3C0</v>
      </c>
      <c r="D4038" t="s">
        <v>138</v>
      </c>
      <c r="E4038">
        <v>3</v>
      </c>
      <c r="H4038">
        <v>9</v>
      </c>
      <c r="I4038" t="s">
        <v>140</v>
      </c>
      <c r="J4038" t="s">
        <v>136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 t="shared" si="1863"/>
        <v>14:48:35.656</v>
      </c>
      <c r="T4038" t="str">
        <f>"14:48:35.656"</f>
        <v>14:48:35.656</v>
      </c>
      <c r="U4038" t="str">
        <f t="shared" si="1866"/>
        <v>A9808D</v>
      </c>
      <c r="V4038">
        <v>0</v>
      </c>
      <c r="W4038">
        <v>0</v>
      </c>
      <c r="X4038">
        <v>1</v>
      </c>
      <c r="Z4038">
        <v>0</v>
      </c>
      <c r="AA4038">
        <v>9</v>
      </c>
      <c r="AB4038">
        <v>3</v>
      </c>
      <c r="AC4038">
        <v>0</v>
      </c>
      <c r="AD4038">
        <v>10</v>
      </c>
      <c r="AE4038">
        <v>0</v>
      </c>
      <c r="AF4038">
        <v>3</v>
      </c>
      <c r="AG4038">
        <v>2</v>
      </c>
      <c r="AH4038">
        <v>0</v>
      </c>
      <c r="AI4038" t="s">
        <v>921</v>
      </c>
      <c r="AJ4038">
        <v>28.266255999999998</v>
      </c>
      <c r="AK4038" t="s">
        <v>922</v>
      </c>
      <c r="AL4038">
        <v>-82.295730000000006</v>
      </c>
      <c r="AM4038">
        <v>100</v>
      </c>
      <c r="AN4038">
        <v>2300</v>
      </c>
      <c r="AO4038" t="s">
        <v>118</v>
      </c>
      <c r="AP4038">
        <v>-121</v>
      </c>
      <c r="AQ4038">
        <v>-77</v>
      </c>
      <c r="AR4038">
        <v>0</v>
      </c>
      <c r="AZ4038">
        <v>1200</v>
      </c>
      <c r="BA4038">
        <v>1</v>
      </c>
      <c r="BB4038" t="str">
        <f t="shared" si="1846"/>
        <v xml:space="preserve">N711JA  </v>
      </c>
      <c r="BC4038">
        <v>1</v>
      </c>
      <c r="BE4038">
        <v>0</v>
      </c>
      <c r="BF4038">
        <v>0</v>
      </c>
      <c r="BG4038">
        <v>0</v>
      </c>
      <c r="BH4038">
        <v>2300</v>
      </c>
      <c r="BI4038">
        <v>1</v>
      </c>
      <c r="BJ4038">
        <v>1</v>
      </c>
      <c r="BK4038">
        <v>0</v>
      </c>
      <c r="BL4038">
        <v>0</v>
      </c>
      <c r="BO4038">
        <v>0</v>
      </c>
      <c r="BP4038">
        <v>0</v>
      </c>
      <c r="BW4038" t="str">
        <f t="shared" si="1864"/>
        <v>14:48:35.662</v>
      </c>
      <c r="CJ4038">
        <v>0</v>
      </c>
      <c r="CK4038">
        <v>2</v>
      </c>
      <c r="CL4038">
        <v>0</v>
      </c>
      <c r="CM4038">
        <v>2</v>
      </c>
      <c r="CN4038">
        <v>0</v>
      </c>
      <c r="CO4038">
        <v>6</v>
      </c>
      <c r="CP4038" t="s">
        <v>119</v>
      </c>
      <c r="CQ4038">
        <v>358</v>
      </c>
      <c r="CR4038">
        <v>0</v>
      </c>
      <c r="CW4038">
        <v>5070806</v>
      </c>
      <c r="CY4038">
        <v>1</v>
      </c>
      <c r="CZ4038">
        <v>0</v>
      </c>
      <c r="DA4038">
        <v>1</v>
      </c>
      <c r="DB4038">
        <v>0</v>
      </c>
      <c r="DC4038">
        <v>0</v>
      </c>
      <c r="DD4038">
        <v>1</v>
      </c>
      <c r="DE4038">
        <v>0</v>
      </c>
      <c r="DF4038">
        <v>0</v>
      </c>
      <c r="DG4038">
        <v>0</v>
      </c>
      <c r="DH4038">
        <v>0</v>
      </c>
      <c r="DI4038">
        <v>0</v>
      </c>
    </row>
    <row r="4039" spans="1:113" x14ac:dyDescent="0.3">
      <c r="A4039" t="str">
        <f t="shared" ref="A4039:A4047" si="1867">"05/12/2020 14:48:18.780"</f>
        <v>05/12/2020 14:48:18.780</v>
      </c>
      <c r="C4039" t="str">
        <f t="shared" si="1845"/>
        <v>FFDFD3C0</v>
      </c>
      <c r="D4039" t="s">
        <v>134</v>
      </c>
      <c r="E4039">
        <v>12</v>
      </c>
      <c r="H4039">
        <v>64</v>
      </c>
      <c r="I4039" t="s">
        <v>135</v>
      </c>
      <c r="J4039" t="s">
        <v>136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 t="shared" ref="S4039:S4047" si="1868">"14:48:36.609"</f>
        <v>14:48:36.609</v>
      </c>
      <c r="T4039" t="str">
        <f t="shared" ref="T4039:T4047" si="1869">"14:48:36.209"</f>
        <v>14:48:36.209</v>
      </c>
      <c r="U4039" t="str">
        <f t="shared" si="1866"/>
        <v>A9808D</v>
      </c>
      <c r="V4039">
        <v>0</v>
      </c>
      <c r="W4039">
        <v>0</v>
      </c>
      <c r="X4039">
        <v>1</v>
      </c>
      <c r="Z4039">
        <v>0</v>
      </c>
      <c r="AA4039">
        <v>9</v>
      </c>
      <c r="AB4039">
        <v>3</v>
      </c>
      <c r="AC4039">
        <v>0</v>
      </c>
      <c r="AD4039">
        <v>10</v>
      </c>
      <c r="AE4039">
        <v>0</v>
      </c>
      <c r="AF4039">
        <v>3</v>
      </c>
      <c r="AG4039">
        <v>2</v>
      </c>
      <c r="AH4039">
        <v>0</v>
      </c>
      <c r="AI4039" t="s">
        <v>923</v>
      </c>
      <c r="AJ4039">
        <v>28.265955000000002</v>
      </c>
      <c r="AK4039" t="s">
        <v>924</v>
      </c>
      <c r="AL4039">
        <v>-82.296374</v>
      </c>
      <c r="AM4039">
        <v>100</v>
      </c>
      <c r="AN4039">
        <v>2300</v>
      </c>
      <c r="AO4039" t="s">
        <v>118</v>
      </c>
      <c r="AP4039">
        <v>-120</v>
      </c>
      <c r="AQ4039">
        <v>-78</v>
      </c>
      <c r="AR4039">
        <v>0</v>
      </c>
      <c r="AZ4039">
        <v>1200</v>
      </c>
      <c r="BA4039">
        <v>1</v>
      </c>
      <c r="BB4039" t="str">
        <f t="shared" si="1846"/>
        <v xml:space="preserve">N711JA  </v>
      </c>
      <c r="BC4039">
        <v>1</v>
      </c>
      <c r="BE4039">
        <v>0</v>
      </c>
      <c r="BF4039">
        <v>0</v>
      </c>
      <c r="BG4039">
        <v>0</v>
      </c>
      <c r="BH4039">
        <v>2300</v>
      </c>
      <c r="BI4039">
        <v>1</v>
      </c>
      <c r="BJ4039">
        <v>1</v>
      </c>
      <c r="BK4039">
        <v>0</v>
      </c>
      <c r="BL4039">
        <v>0</v>
      </c>
      <c r="BO4039">
        <v>0</v>
      </c>
      <c r="BP4039">
        <v>0</v>
      </c>
      <c r="BW4039" t="str">
        <f t="shared" ref="BW4039:BW4047" si="1870">"14:48:36.614"</f>
        <v>14:48:36.614</v>
      </c>
      <c r="CJ4039">
        <v>0</v>
      </c>
      <c r="CK4039">
        <v>2</v>
      </c>
      <c r="CL4039">
        <v>0</v>
      </c>
      <c r="CM4039">
        <v>2</v>
      </c>
      <c r="CN4039">
        <v>0</v>
      </c>
      <c r="CO4039">
        <v>6</v>
      </c>
      <c r="CP4039" t="s">
        <v>119</v>
      </c>
      <c r="CQ4039">
        <v>358</v>
      </c>
      <c r="CR4039">
        <v>0</v>
      </c>
      <c r="CW4039">
        <v>5071946</v>
      </c>
      <c r="CY4039">
        <v>1</v>
      </c>
      <c r="CZ4039">
        <v>0</v>
      </c>
      <c r="DA4039">
        <v>0</v>
      </c>
      <c r="DB4039">
        <v>0</v>
      </c>
      <c r="DC4039">
        <v>0</v>
      </c>
      <c r="DD4039">
        <v>1</v>
      </c>
      <c r="DE4039">
        <v>0</v>
      </c>
      <c r="DF4039">
        <v>0</v>
      </c>
      <c r="DG4039">
        <v>0</v>
      </c>
      <c r="DH4039">
        <v>0</v>
      </c>
      <c r="DI4039">
        <v>0</v>
      </c>
    </row>
    <row r="4040" spans="1:113" x14ac:dyDescent="0.3">
      <c r="A4040" t="str">
        <f t="shared" si="1867"/>
        <v>05/12/2020 14:48:18.780</v>
      </c>
      <c r="C4040" t="str">
        <f t="shared" si="1845"/>
        <v>FFDFD3C0</v>
      </c>
      <c r="D4040" t="s">
        <v>131</v>
      </c>
      <c r="E4040">
        <v>18</v>
      </c>
      <c r="F4040">
        <v>2018</v>
      </c>
      <c r="G4040" t="s">
        <v>161</v>
      </c>
      <c r="J4040" t="s">
        <v>133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 t="shared" si="1868"/>
        <v>14:48:36.609</v>
      </c>
      <c r="T4040" t="str">
        <f t="shared" si="1869"/>
        <v>14:48:36.209</v>
      </c>
      <c r="U4040" t="str">
        <f t="shared" si="1866"/>
        <v>A9808D</v>
      </c>
      <c r="V4040">
        <v>0</v>
      </c>
      <c r="W4040">
        <v>0</v>
      </c>
      <c r="X4040">
        <v>1</v>
      </c>
      <c r="Z4040">
        <v>0</v>
      </c>
      <c r="AA4040">
        <v>9</v>
      </c>
      <c r="AB4040">
        <v>3</v>
      </c>
      <c r="AC4040">
        <v>0</v>
      </c>
      <c r="AD4040">
        <v>10</v>
      </c>
      <c r="AE4040">
        <v>0</v>
      </c>
      <c r="AF4040">
        <v>3</v>
      </c>
      <c r="AG4040">
        <v>2</v>
      </c>
      <c r="AH4040">
        <v>0</v>
      </c>
      <c r="AI4040" t="s">
        <v>923</v>
      </c>
      <c r="AJ4040">
        <v>28.265955000000002</v>
      </c>
      <c r="AK4040" t="s">
        <v>924</v>
      </c>
      <c r="AL4040">
        <v>-82.296374</v>
      </c>
      <c r="AM4040">
        <v>100</v>
      </c>
      <c r="AN4040">
        <v>2300</v>
      </c>
      <c r="AO4040" t="s">
        <v>118</v>
      </c>
      <c r="AP4040">
        <v>-120</v>
      </c>
      <c r="AQ4040">
        <v>-78</v>
      </c>
      <c r="AR4040">
        <v>0</v>
      </c>
      <c r="AZ4040">
        <v>1200</v>
      </c>
      <c r="BA4040">
        <v>1</v>
      </c>
      <c r="BB4040" t="str">
        <f t="shared" si="1846"/>
        <v xml:space="preserve">N711JA  </v>
      </c>
      <c r="BC4040">
        <v>1</v>
      </c>
      <c r="BE4040">
        <v>0</v>
      </c>
      <c r="BF4040">
        <v>0</v>
      </c>
      <c r="BG4040">
        <v>0</v>
      </c>
      <c r="BH4040">
        <v>2300</v>
      </c>
      <c r="BI4040">
        <v>1</v>
      </c>
      <c r="BJ4040">
        <v>1</v>
      </c>
      <c r="BK4040">
        <v>0</v>
      </c>
      <c r="BL4040">
        <v>0</v>
      </c>
      <c r="BO4040">
        <v>0</v>
      </c>
      <c r="BP4040">
        <v>0</v>
      </c>
      <c r="BW4040" t="str">
        <f t="shared" si="1870"/>
        <v>14:48:36.614</v>
      </c>
      <c r="CJ4040">
        <v>0</v>
      </c>
      <c r="CK4040">
        <v>2</v>
      </c>
      <c r="CL4040">
        <v>0</v>
      </c>
      <c r="CM4040">
        <v>2</v>
      </c>
      <c r="CN4040">
        <v>0</v>
      </c>
      <c r="CO4040">
        <v>6</v>
      </c>
      <c r="CP4040" t="s">
        <v>119</v>
      </c>
      <c r="CQ4040">
        <v>56</v>
      </c>
      <c r="CR4040">
        <v>2</v>
      </c>
      <c r="CW4040">
        <v>5098212</v>
      </c>
      <c r="CY4040">
        <v>1</v>
      </c>
      <c r="CZ4040">
        <v>0</v>
      </c>
      <c r="DA4040">
        <v>1</v>
      </c>
      <c r="DB4040">
        <v>0</v>
      </c>
      <c r="DC4040">
        <v>0</v>
      </c>
      <c r="DD4040">
        <v>1</v>
      </c>
      <c r="DE4040">
        <v>0</v>
      </c>
      <c r="DF4040">
        <v>0</v>
      </c>
      <c r="DG4040">
        <v>0</v>
      </c>
      <c r="DH4040">
        <v>0</v>
      </c>
      <c r="DI4040">
        <v>0</v>
      </c>
    </row>
    <row r="4041" spans="1:113" x14ac:dyDescent="0.3">
      <c r="A4041" t="str">
        <f t="shared" si="1867"/>
        <v>05/12/2020 14:48:18.780</v>
      </c>
      <c r="C4041" t="str">
        <f t="shared" si="1845"/>
        <v>FFDFD3C0</v>
      </c>
      <c r="D4041" t="s">
        <v>113</v>
      </c>
      <c r="E4041">
        <v>3</v>
      </c>
      <c r="H4041">
        <v>164</v>
      </c>
      <c r="I4041" t="s">
        <v>114</v>
      </c>
      <c r="J4041" t="s">
        <v>115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 t="shared" si="1868"/>
        <v>14:48:36.609</v>
      </c>
      <c r="T4041" t="str">
        <f t="shared" si="1869"/>
        <v>14:48:36.209</v>
      </c>
      <c r="U4041" t="str">
        <f t="shared" si="1866"/>
        <v>A9808D</v>
      </c>
      <c r="V4041">
        <v>0</v>
      </c>
      <c r="W4041">
        <v>0</v>
      </c>
      <c r="X4041">
        <v>1</v>
      </c>
      <c r="Z4041">
        <v>0</v>
      </c>
      <c r="AA4041">
        <v>9</v>
      </c>
      <c r="AB4041">
        <v>3</v>
      </c>
      <c r="AC4041">
        <v>0</v>
      </c>
      <c r="AD4041">
        <v>10</v>
      </c>
      <c r="AE4041">
        <v>0</v>
      </c>
      <c r="AF4041">
        <v>3</v>
      </c>
      <c r="AG4041">
        <v>2</v>
      </c>
      <c r="AH4041">
        <v>0</v>
      </c>
      <c r="AI4041" t="s">
        <v>923</v>
      </c>
      <c r="AJ4041">
        <v>28.265955000000002</v>
      </c>
      <c r="AK4041" t="s">
        <v>924</v>
      </c>
      <c r="AL4041">
        <v>-82.296374</v>
      </c>
      <c r="AM4041">
        <v>100</v>
      </c>
      <c r="AN4041">
        <v>2300</v>
      </c>
      <c r="AO4041" t="s">
        <v>118</v>
      </c>
      <c r="AP4041">
        <v>-120</v>
      </c>
      <c r="AQ4041">
        <v>-78</v>
      </c>
      <c r="AR4041">
        <v>0</v>
      </c>
      <c r="AZ4041">
        <v>1200</v>
      </c>
      <c r="BA4041">
        <v>1</v>
      </c>
      <c r="BB4041" t="str">
        <f t="shared" si="1846"/>
        <v xml:space="preserve">N711JA  </v>
      </c>
      <c r="BC4041">
        <v>1</v>
      </c>
      <c r="BE4041">
        <v>0</v>
      </c>
      <c r="BF4041">
        <v>0</v>
      </c>
      <c r="BG4041">
        <v>0</v>
      </c>
      <c r="BH4041">
        <v>2300</v>
      </c>
      <c r="BI4041">
        <v>1</v>
      </c>
      <c r="BJ4041">
        <v>1</v>
      </c>
      <c r="BK4041">
        <v>0</v>
      </c>
      <c r="BL4041">
        <v>0</v>
      </c>
      <c r="BO4041">
        <v>0</v>
      </c>
      <c r="BP4041">
        <v>0</v>
      </c>
      <c r="BW4041" t="str">
        <f t="shared" si="1870"/>
        <v>14:48:36.614</v>
      </c>
      <c r="CJ4041">
        <v>0</v>
      </c>
      <c r="CK4041">
        <v>2</v>
      </c>
      <c r="CL4041">
        <v>0</v>
      </c>
      <c r="CM4041">
        <v>2</v>
      </c>
      <c r="CN4041">
        <v>0</v>
      </c>
      <c r="CO4041">
        <v>6</v>
      </c>
      <c r="CP4041" t="s">
        <v>119</v>
      </c>
      <c r="CQ4041">
        <v>56</v>
      </c>
      <c r="CR4041">
        <v>2</v>
      </c>
      <c r="CW4041">
        <v>5098212</v>
      </c>
      <c r="CY4041">
        <v>1</v>
      </c>
      <c r="CZ4041">
        <v>0</v>
      </c>
      <c r="DA4041">
        <v>1</v>
      </c>
      <c r="DB4041">
        <v>0</v>
      </c>
      <c r="DC4041">
        <v>0</v>
      </c>
      <c r="DD4041">
        <v>1</v>
      </c>
      <c r="DE4041">
        <v>0</v>
      </c>
      <c r="DF4041">
        <v>0</v>
      </c>
      <c r="DG4041">
        <v>0</v>
      </c>
      <c r="DH4041">
        <v>0</v>
      </c>
      <c r="DI4041">
        <v>0</v>
      </c>
    </row>
    <row r="4042" spans="1:113" x14ac:dyDescent="0.3">
      <c r="A4042" t="str">
        <f t="shared" si="1867"/>
        <v>05/12/2020 14:48:18.780</v>
      </c>
      <c r="C4042" t="str">
        <f t="shared" si="1845"/>
        <v>FFDFD3C0</v>
      </c>
      <c r="D4042" t="s">
        <v>138</v>
      </c>
      <c r="E4042">
        <v>3</v>
      </c>
      <c r="H4042">
        <v>9</v>
      </c>
      <c r="I4042" t="s">
        <v>140</v>
      </c>
      <c r="J4042" t="s">
        <v>136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 t="shared" si="1868"/>
        <v>14:48:36.609</v>
      </c>
      <c r="T4042" t="str">
        <f t="shared" si="1869"/>
        <v>14:48:36.209</v>
      </c>
      <c r="U4042" t="str">
        <f t="shared" si="1866"/>
        <v>A9808D</v>
      </c>
      <c r="V4042">
        <v>0</v>
      </c>
      <c r="W4042">
        <v>0</v>
      </c>
      <c r="X4042">
        <v>1</v>
      </c>
      <c r="Z4042">
        <v>0</v>
      </c>
      <c r="AA4042">
        <v>9</v>
      </c>
      <c r="AB4042">
        <v>3</v>
      </c>
      <c r="AC4042">
        <v>0</v>
      </c>
      <c r="AD4042">
        <v>10</v>
      </c>
      <c r="AE4042">
        <v>0</v>
      </c>
      <c r="AF4042">
        <v>3</v>
      </c>
      <c r="AG4042">
        <v>2</v>
      </c>
      <c r="AH4042">
        <v>0</v>
      </c>
      <c r="AI4042" t="s">
        <v>923</v>
      </c>
      <c r="AJ4042">
        <v>28.265955000000002</v>
      </c>
      <c r="AK4042" t="s">
        <v>924</v>
      </c>
      <c r="AL4042">
        <v>-82.296374</v>
      </c>
      <c r="AM4042">
        <v>100</v>
      </c>
      <c r="AN4042">
        <v>2300</v>
      </c>
      <c r="AO4042" t="s">
        <v>118</v>
      </c>
      <c r="AP4042">
        <v>-120</v>
      </c>
      <c r="AQ4042">
        <v>-78</v>
      </c>
      <c r="AR4042">
        <v>0</v>
      </c>
      <c r="AZ4042">
        <v>1200</v>
      </c>
      <c r="BA4042">
        <v>1</v>
      </c>
      <c r="BB4042" t="str">
        <f t="shared" si="1846"/>
        <v xml:space="preserve">N711JA  </v>
      </c>
      <c r="BC4042">
        <v>1</v>
      </c>
      <c r="BE4042">
        <v>0</v>
      </c>
      <c r="BF4042">
        <v>0</v>
      </c>
      <c r="BG4042">
        <v>0</v>
      </c>
      <c r="BH4042">
        <v>2300</v>
      </c>
      <c r="BI4042">
        <v>1</v>
      </c>
      <c r="BJ4042">
        <v>1</v>
      </c>
      <c r="BK4042">
        <v>0</v>
      </c>
      <c r="BL4042">
        <v>0</v>
      </c>
      <c r="BO4042">
        <v>0</v>
      </c>
      <c r="BP4042">
        <v>0</v>
      </c>
      <c r="BW4042" t="str">
        <f t="shared" si="1870"/>
        <v>14:48:36.614</v>
      </c>
      <c r="CJ4042">
        <v>0</v>
      </c>
      <c r="CK4042">
        <v>2</v>
      </c>
      <c r="CL4042">
        <v>0</v>
      </c>
      <c r="CM4042">
        <v>2</v>
      </c>
      <c r="CN4042">
        <v>0</v>
      </c>
      <c r="CO4042">
        <v>6</v>
      </c>
      <c r="CP4042" t="s">
        <v>119</v>
      </c>
      <c r="CQ4042">
        <v>358</v>
      </c>
      <c r="CR4042">
        <v>0</v>
      </c>
      <c r="CW4042">
        <v>5071946</v>
      </c>
      <c r="CY4042">
        <v>1</v>
      </c>
      <c r="CZ4042">
        <v>0</v>
      </c>
      <c r="DA4042">
        <v>1</v>
      </c>
      <c r="DB4042">
        <v>0</v>
      </c>
      <c r="DC4042">
        <v>0</v>
      </c>
      <c r="DD4042">
        <v>1</v>
      </c>
      <c r="DE4042">
        <v>0</v>
      </c>
      <c r="DF4042">
        <v>0</v>
      </c>
      <c r="DG4042">
        <v>0</v>
      </c>
      <c r="DH4042">
        <v>0</v>
      </c>
      <c r="DI4042">
        <v>0</v>
      </c>
    </row>
    <row r="4043" spans="1:113" x14ac:dyDescent="0.3">
      <c r="A4043" t="str">
        <f t="shared" si="1867"/>
        <v>05/12/2020 14:48:18.780</v>
      </c>
      <c r="C4043" t="str">
        <f t="shared" si="1845"/>
        <v>FFDFD3C0</v>
      </c>
      <c r="D4043" t="s">
        <v>138</v>
      </c>
      <c r="E4043">
        <v>2</v>
      </c>
      <c r="H4043">
        <v>8</v>
      </c>
      <c r="I4043" t="s">
        <v>139</v>
      </c>
      <c r="J4043" t="s">
        <v>136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 t="shared" si="1868"/>
        <v>14:48:36.609</v>
      </c>
      <c r="T4043" t="str">
        <f t="shared" si="1869"/>
        <v>14:48:36.209</v>
      </c>
      <c r="U4043" t="str">
        <f t="shared" si="1866"/>
        <v>A9808D</v>
      </c>
      <c r="V4043">
        <v>0</v>
      </c>
      <c r="W4043">
        <v>0</v>
      </c>
      <c r="X4043">
        <v>1</v>
      </c>
      <c r="Z4043">
        <v>0</v>
      </c>
      <c r="AA4043">
        <v>9</v>
      </c>
      <c r="AB4043">
        <v>3</v>
      </c>
      <c r="AC4043">
        <v>0</v>
      </c>
      <c r="AD4043">
        <v>10</v>
      </c>
      <c r="AE4043">
        <v>0</v>
      </c>
      <c r="AF4043">
        <v>3</v>
      </c>
      <c r="AG4043">
        <v>2</v>
      </c>
      <c r="AH4043">
        <v>0</v>
      </c>
      <c r="AI4043" t="s">
        <v>923</v>
      </c>
      <c r="AJ4043">
        <v>28.265955000000002</v>
      </c>
      <c r="AK4043" t="s">
        <v>924</v>
      </c>
      <c r="AL4043">
        <v>-82.296374</v>
      </c>
      <c r="AM4043">
        <v>100</v>
      </c>
      <c r="AN4043">
        <v>2300</v>
      </c>
      <c r="AO4043" t="s">
        <v>118</v>
      </c>
      <c r="AP4043">
        <v>-120</v>
      </c>
      <c r="AQ4043">
        <v>-78</v>
      </c>
      <c r="AR4043">
        <v>0</v>
      </c>
      <c r="AZ4043">
        <v>1200</v>
      </c>
      <c r="BA4043">
        <v>1</v>
      </c>
      <c r="BB4043" t="str">
        <f t="shared" si="1846"/>
        <v xml:space="preserve">N711JA  </v>
      </c>
      <c r="BC4043">
        <v>1</v>
      </c>
      <c r="BE4043">
        <v>0</v>
      </c>
      <c r="BF4043">
        <v>0</v>
      </c>
      <c r="BG4043">
        <v>0</v>
      </c>
      <c r="BH4043">
        <v>2300</v>
      </c>
      <c r="BI4043">
        <v>1</v>
      </c>
      <c r="BJ4043">
        <v>1</v>
      </c>
      <c r="BK4043">
        <v>0</v>
      </c>
      <c r="BL4043">
        <v>0</v>
      </c>
      <c r="BO4043">
        <v>0</v>
      </c>
      <c r="BP4043">
        <v>0</v>
      </c>
      <c r="BW4043" t="str">
        <f t="shared" si="1870"/>
        <v>14:48:36.614</v>
      </c>
      <c r="CJ4043">
        <v>0</v>
      </c>
      <c r="CK4043">
        <v>2</v>
      </c>
      <c r="CL4043">
        <v>0</v>
      </c>
      <c r="CM4043">
        <v>2</v>
      </c>
      <c r="CN4043">
        <v>0</v>
      </c>
      <c r="CO4043">
        <v>6</v>
      </c>
      <c r="CP4043" t="s">
        <v>119</v>
      </c>
      <c r="CQ4043">
        <v>56</v>
      </c>
      <c r="CR4043">
        <v>2</v>
      </c>
      <c r="CW4043">
        <v>5098212</v>
      </c>
      <c r="CY4043">
        <v>1</v>
      </c>
      <c r="CZ4043">
        <v>0</v>
      </c>
      <c r="DA4043">
        <v>1</v>
      </c>
      <c r="DB4043">
        <v>0</v>
      </c>
      <c r="DC4043">
        <v>0</v>
      </c>
      <c r="DD4043">
        <v>1</v>
      </c>
      <c r="DE4043">
        <v>0</v>
      </c>
      <c r="DF4043">
        <v>0</v>
      </c>
      <c r="DG4043">
        <v>0</v>
      </c>
      <c r="DH4043">
        <v>0</v>
      </c>
      <c r="DI4043">
        <v>0</v>
      </c>
    </row>
    <row r="4044" spans="1:113" x14ac:dyDescent="0.3">
      <c r="A4044" t="str">
        <f t="shared" si="1867"/>
        <v>05/12/2020 14:48:18.780</v>
      </c>
      <c r="C4044" t="str">
        <f t="shared" si="1845"/>
        <v>FFDFD3C0</v>
      </c>
      <c r="D4044" t="s">
        <v>126</v>
      </c>
      <c r="E4044">
        <v>6</v>
      </c>
      <c r="F4044">
        <v>1006</v>
      </c>
      <c r="G4044" t="s">
        <v>114</v>
      </c>
      <c r="J4044" t="s">
        <v>128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 t="shared" si="1868"/>
        <v>14:48:36.609</v>
      </c>
      <c r="T4044" t="str">
        <f t="shared" si="1869"/>
        <v>14:48:36.209</v>
      </c>
      <c r="U4044" t="str">
        <f t="shared" si="1866"/>
        <v>A9808D</v>
      </c>
      <c r="V4044">
        <v>0</v>
      </c>
      <c r="W4044">
        <v>0</v>
      </c>
      <c r="X4044">
        <v>1</v>
      </c>
      <c r="Z4044">
        <v>0</v>
      </c>
      <c r="AA4044">
        <v>9</v>
      </c>
      <c r="AB4044">
        <v>3</v>
      </c>
      <c r="AC4044">
        <v>0</v>
      </c>
      <c r="AD4044">
        <v>10</v>
      </c>
      <c r="AE4044">
        <v>0</v>
      </c>
      <c r="AF4044">
        <v>3</v>
      </c>
      <c r="AG4044">
        <v>2</v>
      </c>
      <c r="AH4044">
        <v>0</v>
      </c>
      <c r="AI4044" t="s">
        <v>923</v>
      </c>
      <c r="AJ4044">
        <v>28.265955000000002</v>
      </c>
      <c r="AK4044" t="s">
        <v>924</v>
      </c>
      <c r="AL4044">
        <v>-82.296374</v>
      </c>
      <c r="AM4044">
        <v>100</v>
      </c>
      <c r="AN4044">
        <v>2300</v>
      </c>
      <c r="AO4044" t="s">
        <v>118</v>
      </c>
      <c r="AP4044">
        <v>-120</v>
      </c>
      <c r="AQ4044">
        <v>-78</v>
      </c>
      <c r="AR4044">
        <v>0</v>
      </c>
      <c r="AZ4044">
        <v>1200</v>
      </c>
      <c r="BA4044">
        <v>1</v>
      </c>
      <c r="BB4044" t="str">
        <f t="shared" si="1846"/>
        <v xml:space="preserve">N711JA  </v>
      </c>
      <c r="BC4044">
        <v>1</v>
      </c>
      <c r="BE4044">
        <v>0</v>
      </c>
      <c r="BF4044">
        <v>0</v>
      </c>
      <c r="BG4044">
        <v>0</v>
      </c>
      <c r="BH4044">
        <v>2300</v>
      </c>
      <c r="BI4044">
        <v>1</v>
      </c>
      <c r="BJ4044">
        <v>1</v>
      </c>
      <c r="BK4044">
        <v>0</v>
      </c>
      <c r="BL4044">
        <v>0</v>
      </c>
      <c r="BO4044">
        <v>0</v>
      </c>
      <c r="BP4044">
        <v>0</v>
      </c>
      <c r="BW4044" t="str">
        <f t="shared" si="1870"/>
        <v>14:48:36.614</v>
      </c>
      <c r="CJ4044">
        <v>0</v>
      </c>
      <c r="CK4044">
        <v>2</v>
      </c>
      <c r="CL4044">
        <v>0</v>
      </c>
      <c r="CM4044">
        <v>2</v>
      </c>
      <c r="CN4044">
        <v>0</v>
      </c>
      <c r="CO4044">
        <v>6</v>
      </c>
      <c r="CP4044" t="s">
        <v>119</v>
      </c>
      <c r="CQ4044">
        <v>358</v>
      </c>
      <c r="CR4044">
        <v>0</v>
      </c>
      <c r="CW4044">
        <v>5071946</v>
      </c>
      <c r="CY4044">
        <v>1</v>
      </c>
      <c r="CZ4044">
        <v>0</v>
      </c>
      <c r="DA4044">
        <v>1</v>
      </c>
      <c r="DB4044">
        <v>0</v>
      </c>
      <c r="DC4044">
        <v>0</v>
      </c>
      <c r="DD4044">
        <v>1</v>
      </c>
      <c r="DE4044">
        <v>0</v>
      </c>
      <c r="DF4044">
        <v>0</v>
      </c>
      <c r="DG4044">
        <v>0</v>
      </c>
      <c r="DH4044">
        <v>0</v>
      </c>
      <c r="DI4044">
        <v>0</v>
      </c>
    </row>
    <row r="4045" spans="1:113" x14ac:dyDescent="0.3">
      <c r="A4045" t="str">
        <f t="shared" si="1867"/>
        <v>05/12/2020 14:48:18.780</v>
      </c>
      <c r="C4045" t="str">
        <f t="shared" si="1845"/>
        <v>FFDFD3C0</v>
      </c>
      <c r="D4045" t="s">
        <v>126</v>
      </c>
      <c r="E4045">
        <v>7</v>
      </c>
      <c r="F4045">
        <v>1007</v>
      </c>
      <c r="G4045" t="s">
        <v>127</v>
      </c>
      <c r="J4045" t="s">
        <v>128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 t="shared" si="1868"/>
        <v>14:48:36.609</v>
      </c>
      <c r="T4045" t="str">
        <f t="shared" si="1869"/>
        <v>14:48:36.209</v>
      </c>
      <c r="U4045" t="str">
        <f t="shared" si="1866"/>
        <v>A9808D</v>
      </c>
      <c r="V4045">
        <v>0</v>
      </c>
      <c r="W4045">
        <v>0</v>
      </c>
      <c r="X4045">
        <v>1</v>
      </c>
      <c r="Z4045">
        <v>0</v>
      </c>
      <c r="AA4045">
        <v>9</v>
      </c>
      <c r="AB4045">
        <v>3</v>
      </c>
      <c r="AC4045">
        <v>0</v>
      </c>
      <c r="AD4045">
        <v>10</v>
      </c>
      <c r="AE4045">
        <v>0</v>
      </c>
      <c r="AF4045">
        <v>3</v>
      </c>
      <c r="AG4045">
        <v>2</v>
      </c>
      <c r="AH4045">
        <v>0</v>
      </c>
      <c r="AI4045" t="s">
        <v>923</v>
      </c>
      <c r="AJ4045">
        <v>28.265955000000002</v>
      </c>
      <c r="AK4045" t="s">
        <v>924</v>
      </c>
      <c r="AL4045">
        <v>-82.296374</v>
      </c>
      <c r="AM4045">
        <v>100</v>
      </c>
      <c r="AN4045">
        <v>2300</v>
      </c>
      <c r="AO4045" t="s">
        <v>118</v>
      </c>
      <c r="AP4045">
        <v>-120</v>
      </c>
      <c r="AQ4045">
        <v>-78</v>
      </c>
      <c r="AR4045">
        <v>0</v>
      </c>
      <c r="AZ4045">
        <v>1200</v>
      </c>
      <c r="BA4045">
        <v>1</v>
      </c>
      <c r="BB4045" t="str">
        <f t="shared" si="1846"/>
        <v xml:space="preserve">N711JA  </v>
      </c>
      <c r="BC4045">
        <v>1</v>
      </c>
      <c r="BE4045">
        <v>0</v>
      </c>
      <c r="BF4045">
        <v>0</v>
      </c>
      <c r="BG4045">
        <v>0</v>
      </c>
      <c r="BH4045">
        <v>2300</v>
      </c>
      <c r="BI4045">
        <v>1</v>
      </c>
      <c r="BJ4045">
        <v>1</v>
      </c>
      <c r="BK4045">
        <v>0</v>
      </c>
      <c r="BL4045">
        <v>0</v>
      </c>
      <c r="BO4045">
        <v>0</v>
      </c>
      <c r="BP4045">
        <v>0</v>
      </c>
      <c r="BW4045" t="str">
        <f t="shared" si="1870"/>
        <v>14:48:36.614</v>
      </c>
      <c r="CJ4045">
        <v>0</v>
      </c>
      <c r="CK4045">
        <v>2</v>
      </c>
      <c r="CL4045">
        <v>0</v>
      </c>
      <c r="CM4045">
        <v>2</v>
      </c>
      <c r="CN4045">
        <v>0</v>
      </c>
      <c r="CO4045">
        <v>6</v>
      </c>
      <c r="CP4045" t="s">
        <v>119</v>
      </c>
      <c r="CQ4045">
        <v>358</v>
      </c>
      <c r="CR4045">
        <v>0</v>
      </c>
      <c r="CW4045">
        <v>5071946</v>
      </c>
      <c r="CY4045">
        <v>1</v>
      </c>
      <c r="CZ4045">
        <v>0</v>
      </c>
      <c r="DA4045">
        <v>1</v>
      </c>
      <c r="DB4045">
        <v>0</v>
      </c>
      <c r="DC4045">
        <v>0</v>
      </c>
      <c r="DD4045">
        <v>1</v>
      </c>
      <c r="DE4045">
        <v>0</v>
      </c>
      <c r="DF4045">
        <v>0</v>
      </c>
      <c r="DG4045">
        <v>0</v>
      </c>
      <c r="DH4045">
        <v>0</v>
      </c>
      <c r="DI4045">
        <v>0</v>
      </c>
    </row>
    <row r="4046" spans="1:113" x14ac:dyDescent="0.3">
      <c r="A4046" t="str">
        <f t="shared" si="1867"/>
        <v>05/12/2020 14:48:18.780</v>
      </c>
      <c r="C4046" t="str">
        <f t="shared" si="1845"/>
        <v>FFDFD3C0</v>
      </c>
      <c r="D4046" t="s">
        <v>131</v>
      </c>
      <c r="E4046">
        <v>10</v>
      </c>
      <c r="F4046">
        <v>2010</v>
      </c>
      <c r="G4046" t="s">
        <v>132</v>
      </c>
      <c r="J4046" t="s">
        <v>133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 t="shared" si="1868"/>
        <v>14:48:36.609</v>
      </c>
      <c r="T4046" t="str">
        <f t="shared" si="1869"/>
        <v>14:48:36.209</v>
      </c>
      <c r="U4046" t="str">
        <f t="shared" si="1866"/>
        <v>A9808D</v>
      </c>
      <c r="V4046">
        <v>0</v>
      </c>
      <c r="W4046">
        <v>0</v>
      </c>
      <c r="X4046">
        <v>1</v>
      </c>
      <c r="Z4046">
        <v>0</v>
      </c>
      <c r="AA4046">
        <v>9</v>
      </c>
      <c r="AB4046">
        <v>3</v>
      </c>
      <c r="AC4046">
        <v>0</v>
      </c>
      <c r="AD4046">
        <v>10</v>
      </c>
      <c r="AE4046">
        <v>0</v>
      </c>
      <c r="AF4046">
        <v>3</v>
      </c>
      <c r="AG4046">
        <v>2</v>
      </c>
      <c r="AH4046">
        <v>0</v>
      </c>
      <c r="AI4046" t="s">
        <v>923</v>
      </c>
      <c r="AJ4046">
        <v>28.265955000000002</v>
      </c>
      <c r="AK4046" t="s">
        <v>924</v>
      </c>
      <c r="AL4046">
        <v>-82.296374</v>
      </c>
      <c r="AM4046">
        <v>100</v>
      </c>
      <c r="AN4046">
        <v>2300</v>
      </c>
      <c r="AO4046" t="s">
        <v>118</v>
      </c>
      <c r="AP4046">
        <v>-120</v>
      </c>
      <c r="AQ4046">
        <v>-78</v>
      </c>
      <c r="AR4046">
        <v>0</v>
      </c>
      <c r="AZ4046">
        <v>1200</v>
      </c>
      <c r="BA4046">
        <v>1</v>
      </c>
      <c r="BB4046" t="str">
        <f t="shared" si="1846"/>
        <v xml:space="preserve">N711JA  </v>
      </c>
      <c r="BC4046">
        <v>1</v>
      </c>
      <c r="BE4046">
        <v>0</v>
      </c>
      <c r="BF4046">
        <v>0</v>
      </c>
      <c r="BG4046">
        <v>0</v>
      </c>
      <c r="BH4046">
        <v>2300</v>
      </c>
      <c r="BI4046">
        <v>1</v>
      </c>
      <c r="BJ4046">
        <v>1</v>
      </c>
      <c r="BK4046">
        <v>0</v>
      </c>
      <c r="BL4046">
        <v>0</v>
      </c>
      <c r="BO4046">
        <v>0</v>
      </c>
      <c r="BP4046">
        <v>0</v>
      </c>
      <c r="BW4046" t="str">
        <f t="shared" si="1870"/>
        <v>14:48:36.614</v>
      </c>
      <c r="CJ4046">
        <v>0</v>
      </c>
      <c r="CK4046">
        <v>2</v>
      </c>
      <c r="CL4046">
        <v>0</v>
      </c>
      <c r="CM4046">
        <v>2</v>
      </c>
      <c r="CN4046">
        <v>0</v>
      </c>
      <c r="CO4046">
        <v>6</v>
      </c>
      <c r="CP4046" t="s">
        <v>119</v>
      </c>
      <c r="CQ4046">
        <v>358</v>
      </c>
      <c r="CR4046">
        <v>0</v>
      </c>
      <c r="CW4046">
        <v>5071946</v>
      </c>
      <c r="CY4046">
        <v>1</v>
      </c>
      <c r="CZ4046">
        <v>0</v>
      </c>
      <c r="DA4046">
        <v>1</v>
      </c>
      <c r="DB4046">
        <v>0</v>
      </c>
      <c r="DC4046">
        <v>0</v>
      </c>
      <c r="DD4046">
        <v>1</v>
      </c>
      <c r="DE4046">
        <v>0</v>
      </c>
      <c r="DF4046">
        <v>0</v>
      </c>
      <c r="DG4046">
        <v>0</v>
      </c>
      <c r="DH4046">
        <v>0</v>
      </c>
      <c r="DI4046">
        <v>0</v>
      </c>
    </row>
    <row r="4047" spans="1:113" x14ac:dyDescent="0.3">
      <c r="A4047" t="str">
        <f t="shared" si="1867"/>
        <v>05/12/2020 14:48:18.780</v>
      </c>
      <c r="C4047" t="str">
        <f t="shared" si="1845"/>
        <v>FFDFD3C0</v>
      </c>
      <c r="D4047" t="s">
        <v>131</v>
      </c>
      <c r="E4047">
        <v>12</v>
      </c>
      <c r="F4047">
        <v>2012</v>
      </c>
      <c r="G4047" t="s">
        <v>137</v>
      </c>
      <c r="J4047" t="s">
        <v>133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 t="shared" si="1868"/>
        <v>14:48:36.609</v>
      </c>
      <c r="T4047" t="str">
        <f t="shared" si="1869"/>
        <v>14:48:36.209</v>
      </c>
      <c r="U4047" t="str">
        <f t="shared" si="1866"/>
        <v>A9808D</v>
      </c>
      <c r="V4047">
        <v>0</v>
      </c>
      <c r="W4047">
        <v>0</v>
      </c>
      <c r="X4047">
        <v>1</v>
      </c>
      <c r="Z4047">
        <v>0</v>
      </c>
      <c r="AA4047">
        <v>9</v>
      </c>
      <c r="AB4047">
        <v>3</v>
      </c>
      <c r="AC4047">
        <v>0</v>
      </c>
      <c r="AD4047">
        <v>10</v>
      </c>
      <c r="AE4047">
        <v>0</v>
      </c>
      <c r="AF4047">
        <v>3</v>
      </c>
      <c r="AG4047">
        <v>2</v>
      </c>
      <c r="AH4047">
        <v>0</v>
      </c>
      <c r="AI4047" t="s">
        <v>923</v>
      </c>
      <c r="AJ4047">
        <v>28.265955000000002</v>
      </c>
      <c r="AK4047" t="s">
        <v>924</v>
      </c>
      <c r="AL4047">
        <v>-82.296374</v>
      </c>
      <c r="AM4047">
        <v>100</v>
      </c>
      <c r="AN4047">
        <v>2300</v>
      </c>
      <c r="AO4047" t="s">
        <v>118</v>
      </c>
      <c r="AP4047">
        <v>-120</v>
      </c>
      <c r="AQ4047">
        <v>-78</v>
      </c>
      <c r="AR4047">
        <v>0</v>
      </c>
      <c r="AZ4047">
        <v>1200</v>
      </c>
      <c r="BA4047">
        <v>1</v>
      </c>
      <c r="BB4047" t="str">
        <f t="shared" si="1846"/>
        <v xml:space="preserve">N711JA  </v>
      </c>
      <c r="BC4047">
        <v>1</v>
      </c>
      <c r="BE4047">
        <v>0</v>
      </c>
      <c r="BF4047">
        <v>0</v>
      </c>
      <c r="BG4047">
        <v>0</v>
      </c>
      <c r="BH4047">
        <v>2300</v>
      </c>
      <c r="BI4047">
        <v>1</v>
      </c>
      <c r="BJ4047">
        <v>1</v>
      </c>
      <c r="BK4047">
        <v>0</v>
      </c>
      <c r="BL4047">
        <v>0</v>
      </c>
      <c r="BO4047">
        <v>0</v>
      </c>
      <c r="BP4047">
        <v>0</v>
      </c>
      <c r="BW4047" t="str">
        <f t="shared" si="1870"/>
        <v>14:48:36.614</v>
      </c>
      <c r="CJ4047">
        <v>0</v>
      </c>
      <c r="CK4047">
        <v>2</v>
      </c>
      <c r="CL4047">
        <v>0</v>
      </c>
      <c r="CM4047">
        <v>2</v>
      </c>
      <c r="CN4047">
        <v>0</v>
      </c>
      <c r="CO4047">
        <v>6</v>
      </c>
      <c r="CP4047" t="s">
        <v>119</v>
      </c>
      <c r="CQ4047">
        <v>56</v>
      </c>
      <c r="CR4047">
        <v>2</v>
      </c>
      <c r="CW4047">
        <v>5098212</v>
      </c>
      <c r="CY4047">
        <v>1</v>
      </c>
      <c r="CZ4047">
        <v>0</v>
      </c>
      <c r="DA4047">
        <v>1</v>
      </c>
      <c r="DB4047">
        <v>0</v>
      </c>
      <c r="DC4047">
        <v>0</v>
      </c>
      <c r="DD4047">
        <v>1</v>
      </c>
      <c r="DE4047">
        <v>0</v>
      </c>
      <c r="DF4047">
        <v>0</v>
      </c>
      <c r="DG4047">
        <v>0</v>
      </c>
      <c r="DH4047">
        <v>0</v>
      </c>
      <c r="DI4047">
        <v>0</v>
      </c>
    </row>
    <row r="4048" spans="1:113" x14ac:dyDescent="0.3">
      <c r="A4048" t="str">
        <f t="shared" ref="A4048:A4056" si="1871">"05/12/2020 14:48:19.671"</f>
        <v>05/12/2020 14:48:19.671</v>
      </c>
      <c r="C4048" t="str">
        <f t="shared" si="1845"/>
        <v>FFDFD3C0</v>
      </c>
      <c r="D4048" t="s">
        <v>126</v>
      </c>
      <c r="E4048">
        <v>6</v>
      </c>
      <c r="F4048">
        <v>1006</v>
      </c>
      <c r="G4048" t="s">
        <v>114</v>
      </c>
      <c r="J4048" t="s">
        <v>128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 t="shared" ref="S4048:S4056" si="1872">"14:48:37.492"</f>
        <v>14:48:37.492</v>
      </c>
      <c r="T4048" t="str">
        <f t="shared" ref="T4048:T4056" si="1873">"14:48:37.292"</f>
        <v>14:48:37.292</v>
      </c>
      <c r="U4048" t="str">
        <f t="shared" si="1866"/>
        <v>A9808D</v>
      </c>
      <c r="V4048">
        <v>0</v>
      </c>
      <c r="W4048">
        <v>0</v>
      </c>
      <c r="X4048">
        <v>1</v>
      </c>
      <c r="Z4048">
        <v>0</v>
      </c>
      <c r="AA4048">
        <v>9</v>
      </c>
      <c r="AB4048">
        <v>3</v>
      </c>
      <c r="AC4048">
        <v>0</v>
      </c>
      <c r="AD4048">
        <v>10</v>
      </c>
      <c r="AE4048">
        <v>0</v>
      </c>
      <c r="AF4048">
        <v>3</v>
      </c>
      <c r="AG4048">
        <v>2</v>
      </c>
      <c r="AH4048">
        <v>0</v>
      </c>
      <c r="AI4048" t="s">
        <v>925</v>
      </c>
      <c r="AJ4048">
        <v>28.265591000000001</v>
      </c>
      <c r="AK4048" t="s">
        <v>926</v>
      </c>
      <c r="AL4048">
        <v>-82.296909999999997</v>
      </c>
      <c r="AM4048">
        <v>100</v>
      </c>
      <c r="AN4048">
        <v>2300</v>
      </c>
      <c r="AO4048" t="s">
        <v>118</v>
      </c>
      <c r="AP4048">
        <v>-120</v>
      </c>
      <c r="AQ4048">
        <v>-78</v>
      </c>
      <c r="AR4048">
        <v>64</v>
      </c>
      <c r="AZ4048">
        <v>1200</v>
      </c>
      <c r="BA4048">
        <v>1</v>
      </c>
      <c r="BB4048" t="str">
        <f t="shared" si="1846"/>
        <v xml:space="preserve">N711JA  </v>
      </c>
      <c r="BC4048">
        <v>1</v>
      </c>
      <c r="BE4048">
        <v>0</v>
      </c>
      <c r="BF4048">
        <v>0</v>
      </c>
      <c r="BG4048">
        <v>0</v>
      </c>
      <c r="BH4048">
        <v>2300</v>
      </c>
      <c r="BI4048">
        <v>1</v>
      </c>
      <c r="BJ4048">
        <v>1</v>
      </c>
      <c r="BK4048">
        <v>0</v>
      </c>
      <c r="BL4048">
        <v>0</v>
      </c>
      <c r="BO4048">
        <v>0</v>
      </c>
      <c r="BP4048">
        <v>0</v>
      </c>
      <c r="BW4048" t="str">
        <f t="shared" ref="BW4048:BW4056" si="1874">"14:48:37.498"</f>
        <v>14:48:37.498</v>
      </c>
      <c r="CJ4048">
        <v>0</v>
      </c>
      <c r="CK4048">
        <v>2</v>
      </c>
      <c r="CL4048">
        <v>0</v>
      </c>
      <c r="CM4048">
        <v>2</v>
      </c>
      <c r="CN4048">
        <v>0</v>
      </c>
      <c r="CO4048">
        <v>6</v>
      </c>
      <c r="CP4048" t="s">
        <v>119</v>
      </c>
      <c r="CQ4048">
        <v>56</v>
      </c>
      <c r="CR4048">
        <v>2</v>
      </c>
      <c r="CW4048">
        <v>5099362</v>
      </c>
      <c r="CY4048">
        <v>1</v>
      </c>
      <c r="CZ4048">
        <v>0</v>
      </c>
      <c r="DA4048">
        <v>0</v>
      </c>
      <c r="DB4048">
        <v>0</v>
      </c>
      <c r="DC4048">
        <v>0</v>
      </c>
      <c r="DD4048">
        <v>1</v>
      </c>
      <c r="DE4048">
        <v>0</v>
      </c>
      <c r="DF4048">
        <v>0</v>
      </c>
      <c r="DG4048">
        <v>0</v>
      </c>
      <c r="DH4048">
        <v>0</v>
      </c>
      <c r="DI4048">
        <v>0</v>
      </c>
    </row>
    <row r="4049" spans="1:113" x14ac:dyDescent="0.3">
      <c r="A4049" t="str">
        <f t="shared" si="1871"/>
        <v>05/12/2020 14:48:19.671</v>
      </c>
      <c r="C4049" t="str">
        <f t="shared" si="1845"/>
        <v>FFDFD3C0</v>
      </c>
      <c r="D4049" t="s">
        <v>126</v>
      </c>
      <c r="E4049">
        <v>7</v>
      </c>
      <c r="F4049">
        <v>1007</v>
      </c>
      <c r="G4049" t="s">
        <v>127</v>
      </c>
      <c r="J4049" t="s">
        <v>128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 t="shared" si="1872"/>
        <v>14:48:37.492</v>
      </c>
      <c r="T4049" t="str">
        <f t="shared" si="1873"/>
        <v>14:48:37.292</v>
      </c>
      <c r="U4049" t="str">
        <f t="shared" si="1866"/>
        <v>A9808D</v>
      </c>
      <c r="V4049">
        <v>0</v>
      </c>
      <c r="W4049">
        <v>0</v>
      </c>
      <c r="X4049">
        <v>1</v>
      </c>
      <c r="Z4049">
        <v>0</v>
      </c>
      <c r="AA4049">
        <v>9</v>
      </c>
      <c r="AB4049">
        <v>3</v>
      </c>
      <c r="AC4049">
        <v>0</v>
      </c>
      <c r="AD4049">
        <v>10</v>
      </c>
      <c r="AE4049">
        <v>0</v>
      </c>
      <c r="AF4049">
        <v>3</v>
      </c>
      <c r="AG4049">
        <v>2</v>
      </c>
      <c r="AH4049">
        <v>0</v>
      </c>
      <c r="AI4049" t="s">
        <v>925</v>
      </c>
      <c r="AJ4049">
        <v>28.265591000000001</v>
      </c>
      <c r="AK4049" t="s">
        <v>926</v>
      </c>
      <c r="AL4049">
        <v>-82.296909999999997</v>
      </c>
      <c r="AM4049">
        <v>100</v>
      </c>
      <c r="AN4049">
        <v>2300</v>
      </c>
      <c r="AO4049" t="s">
        <v>118</v>
      </c>
      <c r="AP4049">
        <v>-120</v>
      </c>
      <c r="AQ4049">
        <v>-78</v>
      </c>
      <c r="AR4049">
        <v>64</v>
      </c>
      <c r="AZ4049">
        <v>1200</v>
      </c>
      <c r="BA4049">
        <v>1</v>
      </c>
      <c r="BB4049" t="str">
        <f t="shared" si="1846"/>
        <v xml:space="preserve">N711JA  </v>
      </c>
      <c r="BC4049">
        <v>1</v>
      </c>
      <c r="BE4049">
        <v>0</v>
      </c>
      <c r="BF4049">
        <v>0</v>
      </c>
      <c r="BG4049">
        <v>0</v>
      </c>
      <c r="BH4049">
        <v>2300</v>
      </c>
      <c r="BI4049">
        <v>1</v>
      </c>
      <c r="BJ4049">
        <v>1</v>
      </c>
      <c r="BK4049">
        <v>0</v>
      </c>
      <c r="BL4049">
        <v>0</v>
      </c>
      <c r="BO4049">
        <v>0</v>
      </c>
      <c r="BP4049">
        <v>0</v>
      </c>
      <c r="BW4049" t="str">
        <f t="shared" si="1874"/>
        <v>14:48:37.498</v>
      </c>
      <c r="CJ4049">
        <v>0</v>
      </c>
      <c r="CK4049">
        <v>2</v>
      </c>
      <c r="CL4049">
        <v>0</v>
      </c>
      <c r="CM4049">
        <v>2</v>
      </c>
      <c r="CN4049">
        <v>0</v>
      </c>
      <c r="CO4049">
        <v>6</v>
      </c>
      <c r="CP4049" t="s">
        <v>119</v>
      </c>
      <c r="CQ4049">
        <v>56</v>
      </c>
      <c r="CR4049">
        <v>2</v>
      </c>
      <c r="CW4049">
        <v>5099362</v>
      </c>
      <c r="CY4049">
        <v>1</v>
      </c>
      <c r="CZ4049">
        <v>0</v>
      </c>
      <c r="DA4049">
        <v>1</v>
      </c>
      <c r="DB4049">
        <v>0</v>
      </c>
      <c r="DC4049">
        <v>0</v>
      </c>
      <c r="DD4049">
        <v>1</v>
      </c>
      <c r="DE4049">
        <v>0</v>
      </c>
      <c r="DF4049">
        <v>0</v>
      </c>
      <c r="DG4049">
        <v>0</v>
      </c>
      <c r="DH4049">
        <v>0</v>
      </c>
      <c r="DI4049">
        <v>0</v>
      </c>
    </row>
    <row r="4050" spans="1:113" x14ac:dyDescent="0.3">
      <c r="A4050" t="str">
        <f t="shared" si="1871"/>
        <v>05/12/2020 14:48:19.671</v>
      </c>
      <c r="C4050" t="str">
        <f t="shared" si="1845"/>
        <v>FFDFD3C0</v>
      </c>
      <c r="D4050" t="s">
        <v>131</v>
      </c>
      <c r="E4050">
        <v>10</v>
      </c>
      <c r="F4050">
        <v>2010</v>
      </c>
      <c r="G4050" t="s">
        <v>132</v>
      </c>
      <c r="J4050" t="s">
        <v>133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 t="shared" si="1872"/>
        <v>14:48:37.492</v>
      </c>
      <c r="T4050" t="str">
        <f t="shared" si="1873"/>
        <v>14:48:37.292</v>
      </c>
      <c r="U4050" t="str">
        <f t="shared" si="1866"/>
        <v>A9808D</v>
      </c>
      <c r="V4050">
        <v>0</v>
      </c>
      <c r="W4050">
        <v>0</v>
      </c>
      <c r="X4050">
        <v>1</v>
      </c>
      <c r="Z4050">
        <v>0</v>
      </c>
      <c r="AA4050">
        <v>9</v>
      </c>
      <c r="AB4050">
        <v>3</v>
      </c>
      <c r="AC4050">
        <v>0</v>
      </c>
      <c r="AD4050">
        <v>10</v>
      </c>
      <c r="AE4050">
        <v>0</v>
      </c>
      <c r="AF4050">
        <v>3</v>
      </c>
      <c r="AG4050">
        <v>2</v>
      </c>
      <c r="AH4050">
        <v>0</v>
      </c>
      <c r="AI4050" t="s">
        <v>925</v>
      </c>
      <c r="AJ4050">
        <v>28.265591000000001</v>
      </c>
      <c r="AK4050" t="s">
        <v>926</v>
      </c>
      <c r="AL4050">
        <v>-82.296909999999997</v>
      </c>
      <c r="AM4050">
        <v>100</v>
      </c>
      <c r="AN4050">
        <v>2300</v>
      </c>
      <c r="AO4050" t="s">
        <v>118</v>
      </c>
      <c r="AP4050">
        <v>-120</v>
      </c>
      <c r="AQ4050">
        <v>-78</v>
      </c>
      <c r="AR4050">
        <v>64</v>
      </c>
      <c r="AZ4050">
        <v>1200</v>
      </c>
      <c r="BA4050">
        <v>1</v>
      </c>
      <c r="BB4050" t="str">
        <f t="shared" si="1846"/>
        <v xml:space="preserve">N711JA  </v>
      </c>
      <c r="BC4050">
        <v>1</v>
      </c>
      <c r="BE4050">
        <v>0</v>
      </c>
      <c r="BF4050">
        <v>0</v>
      </c>
      <c r="BG4050">
        <v>0</v>
      </c>
      <c r="BH4050">
        <v>2300</v>
      </c>
      <c r="BI4050">
        <v>1</v>
      </c>
      <c r="BJ4050">
        <v>1</v>
      </c>
      <c r="BK4050">
        <v>0</v>
      </c>
      <c r="BL4050">
        <v>0</v>
      </c>
      <c r="BO4050">
        <v>0</v>
      </c>
      <c r="BP4050">
        <v>0</v>
      </c>
      <c r="BW4050" t="str">
        <f t="shared" si="1874"/>
        <v>14:48:37.498</v>
      </c>
      <c r="CJ4050">
        <v>0</v>
      </c>
      <c r="CK4050">
        <v>2</v>
      </c>
      <c r="CL4050">
        <v>0</v>
      </c>
      <c r="CM4050">
        <v>2</v>
      </c>
      <c r="CN4050">
        <v>0</v>
      </c>
      <c r="CO4050">
        <v>6</v>
      </c>
      <c r="CP4050" t="s">
        <v>119</v>
      </c>
      <c r="CQ4050">
        <v>56</v>
      </c>
      <c r="CR4050">
        <v>2</v>
      </c>
      <c r="CW4050">
        <v>5099362</v>
      </c>
      <c r="CY4050">
        <v>1</v>
      </c>
      <c r="CZ4050">
        <v>0</v>
      </c>
      <c r="DA4050">
        <v>1</v>
      </c>
      <c r="DB4050">
        <v>0</v>
      </c>
      <c r="DC4050">
        <v>0</v>
      </c>
      <c r="DD4050">
        <v>1</v>
      </c>
      <c r="DE4050">
        <v>0</v>
      </c>
      <c r="DF4050">
        <v>0</v>
      </c>
      <c r="DG4050">
        <v>0</v>
      </c>
      <c r="DH4050">
        <v>0</v>
      </c>
      <c r="DI4050">
        <v>0</v>
      </c>
    </row>
    <row r="4051" spans="1:113" x14ac:dyDescent="0.3">
      <c r="A4051" t="str">
        <f t="shared" si="1871"/>
        <v>05/12/2020 14:48:19.671</v>
      </c>
      <c r="C4051" t="str">
        <f t="shared" si="1845"/>
        <v>FFDFD3C0</v>
      </c>
      <c r="D4051" t="s">
        <v>131</v>
      </c>
      <c r="E4051">
        <v>12</v>
      </c>
      <c r="F4051">
        <v>2012</v>
      </c>
      <c r="G4051" t="s">
        <v>137</v>
      </c>
      <c r="J4051" t="s">
        <v>133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 t="shared" si="1872"/>
        <v>14:48:37.492</v>
      </c>
      <c r="T4051" t="str">
        <f t="shared" si="1873"/>
        <v>14:48:37.292</v>
      </c>
      <c r="U4051" t="str">
        <f t="shared" si="1866"/>
        <v>A9808D</v>
      </c>
      <c r="V4051">
        <v>0</v>
      </c>
      <c r="W4051">
        <v>0</v>
      </c>
      <c r="X4051">
        <v>1</v>
      </c>
      <c r="Z4051">
        <v>0</v>
      </c>
      <c r="AA4051">
        <v>9</v>
      </c>
      <c r="AB4051">
        <v>3</v>
      </c>
      <c r="AC4051">
        <v>0</v>
      </c>
      <c r="AD4051">
        <v>10</v>
      </c>
      <c r="AE4051">
        <v>0</v>
      </c>
      <c r="AF4051">
        <v>3</v>
      </c>
      <c r="AG4051">
        <v>2</v>
      </c>
      <c r="AH4051">
        <v>0</v>
      </c>
      <c r="AI4051" t="s">
        <v>925</v>
      </c>
      <c r="AJ4051">
        <v>28.265591000000001</v>
      </c>
      <c r="AK4051" t="s">
        <v>926</v>
      </c>
      <c r="AL4051">
        <v>-82.296909999999997</v>
      </c>
      <c r="AM4051">
        <v>100</v>
      </c>
      <c r="AN4051">
        <v>2300</v>
      </c>
      <c r="AO4051" t="s">
        <v>118</v>
      </c>
      <c r="AP4051">
        <v>-120</v>
      </c>
      <c r="AQ4051">
        <v>-78</v>
      </c>
      <c r="AR4051">
        <v>64</v>
      </c>
      <c r="AZ4051">
        <v>1200</v>
      </c>
      <c r="BA4051">
        <v>1</v>
      </c>
      <c r="BB4051" t="str">
        <f t="shared" si="1846"/>
        <v xml:space="preserve">N711JA  </v>
      </c>
      <c r="BC4051">
        <v>1</v>
      </c>
      <c r="BE4051">
        <v>0</v>
      </c>
      <c r="BF4051">
        <v>0</v>
      </c>
      <c r="BG4051">
        <v>0</v>
      </c>
      <c r="BH4051">
        <v>2300</v>
      </c>
      <c r="BI4051">
        <v>1</v>
      </c>
      <c r="BJ4051">
        <v>1</v>
      </c>
      <c r="BK4051">
        <v>0</v>
      </c>
      <c r="BL4051">
        <v>0</v>
      </c>
      <c r="BO4051">
        <v>0</v>
      </c>
      <c r="BP4051">
        <v>0</v>
      </c>
      <c r="BW4051" t="str">
        <f t="shared" si="1874"/>
        <v>14:48:37.498</v>
      </c>
      <c r="CJ4051">
        <v>0</v>
      </c>
      <c r="CK4051">
        <v>2</v>
      </c>
      <c r="CL4051">
        <v>0</v>
      </c>
      <c r="CM4051">
        <v>2</v>
      </c>
      <c r="CN4051">
        <v>0</v>
      </c>
      <c r="CO4051">
        <v>6</v>
      </c>
      <c r="CP4051" t="s">
        <v>119</v>
      </c>
      <c r="CQ4051">
        <v>56</v>
      </c>
      <c r="CR4051">
        <v>2</v>
      </c>
      <c r="CW4051">
        <v>5099362</v>
      </c>
      <c r="CY4051">
        <v>1</v>
      </c>
      <c r="CZ4051">
        <v>0</v>
      </c>
      <c r="DA4051">
        <v>1</v>
      </c>
      <c r="DB4051">
        <v>0</v>
      </c>
      <c r="DC4051">
        <v>0</v>
      </c>
      <c r="DD4051">
        <v>1</v>
      </c>
      <c r="DE4051">
        <v>0</v>
      </c>
      <c r="DF4051">
        <v>0</v>
      </c>
      <c r="DG4051">
        <v>0</v>
      </c>
      <c r="DH4051">
        <v>0</v>
      </c>
      <c r="DI4051">
        <v>0</v>
      </c>
    </row>
    <row r="4052" spans="1:113" x14ac:dyDescent="0.3">
      <c r="A4052" t="str">
        <f t="shared" si="1871"/>
        <v>05/12/2020 14:48:19.671</v>
      </c>
      <c r="C4052" t="str">
        <f t="shared" si="1845"/>
        <v>FFDFD3C0</v>
      </c>
      <c r="D4052" t="s">
        <v>131</v>
      </c>
      <c r="E4052">
        <v>18</v>
      </c>
      <c r="F4052">
        <v>2018</v>
      </c>
      <c r="G4052" t="s">
        <v>161</v>
      </c>
      <c r="J4052" t="s">
        <v>133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 t="shared" si="1872"/>
        <v>14:48:37.492</v>
      </c>
      <c r="T4052" t="str">
        <f t="shared" si="1873"/>
        <v>14:48:37.292</v>
      </c>
      <c r="U4052" t="str">
        <f t="shared" si="1866"/>
        <v>A9808D</v>
      </c>
      <c r="V4052">
        <v>0</v>
      </c>
      <c r="W4052">
        <v>0</v>
      </c>
      <c r="X4052">
        <v>1</v>
      </c>
      <c r="Z4052">
        <v>0</v>
      </c>
      <c r="AA4052">
        <v>9</v>
      </c>
      <c r="AB4052">
        <v>3</v>
      </c>
      <c r="AC4052">
        <v>0</v>
      </c>
      <c r="AD4052">
        <v>10</v>
      </c>
      <c r="AE4052">
        <v>0</v>
      </c>
      <c r="AF4052">
        <v>3</v>
      </c>
      <c r="AG4052">
        <v>2</v>
      </c>
      <c r="AH4052">
        <v>0</v>
      </c>
      <c r="AI4052" t="s">
        <v>925</v>
      </c>
      <c r="AJ4052">
        <v>28.265591000000001</v>
      </c>
      <c r="AK4052" t="s">
        <v>926</v>
      </c>
      <c r="AL4052">
        <v>-82.296909999999997</v>
      </c>
      <c r="AM4052">
        <v>100</v>
      </c>
      <c r="AN4052">
        <v>2300</v>
      </c>
      <c r="AO4052" t="s">
        <v>118</v>
      </c>
      <c r="AP4052">
        <v>-120</v>
      </c>
      <c r="AQ4052">
        <v>-78</v>
      </c>
      <c r="AR4052">
        <v>64</v>
      </c>
      <c r="AZ4052">
        <v>1200</v>
      </c>
      <c r="BA4052">
        <v>1</v>
      </c>
      <c r="BB4052" t="str">
        <f t="shared" si="1846"/>
        <v xml:space="preserve">N711JA  </v>
      </c>
      <c r="BC4052">
        <v>1</v>
      </c>
      <c r="BE4052">
        <v>0</v>
      </c>
      <c r="BF4052">
        <v>0</v>
      </c>
      <c r="BG4052">
        <v>0</v>
      </c>
      <c r="BH4052">
        <v>2300</v>
      </c>
      <c r="BI4052">
        <v>1</v>
      </c>
      <c r="BJ4052">
        <v>1</v>
      </c>
      <c r="BK4052">
        <v>0</v>
      </c>
      <c r="BL4052">
        <v>0</v>
      </c>
      <c r="BO4052">
        <v>0</v>
      </c>
      <c r="BP4052">
        <v>0</v>
      </c>
      <c r="BW4052" t="str">
        <f t="shared" si="1874"/>
        <v>14:48:37.498</v>
      </c>
      <c r="CJ4052">
        <v>0</v>
      </c>
      <c r="CK4052">
        <v>2</v>
      </c>
      <c r="CL4052">
        <v>0</v>
      </c>
      <c r="CM4052">
        <v>2</v>
      </c>
      <c r="CN4052">
        <v>0</v>
      </c>
      <c r="CO4052">
        <v>6</v>
      </c>
      <c r="CP4052" t="s">
        <v>119</v>
      </c>
      <c r="CQ4052">
        <v>56</v>
      </c>
      <c r="CR4052">
        <v>2</v>
      </c>
      <c r="CW4052">
        <v>5099362</v>
      </c>
      <c r="CY4052">
        <v>1</v>
      </c>
      <c r="CZ4052">
        <v>0</v>
      </c>
      <c r="DA4052">
        <v>1</v>
      </c>
      <c r="DB4052">
        <v>0</v>
      </c>
      <c r="DC4052">
        <v>0</v>
      </c>
      <c r="DD4052">
        <v>1</v>
      </c>
      <c r="DE4052">
        <v>0</v>
      </c>
      <c r="DF4052">
        <v>0</v>
      </c>
      <c r="DG4052">
        <v>0</v>
      </c>
      <c r="DH4052">
        <v>0</v>
      </c>
      <c r="DI4052">
        <v>0</v>
      </c>
    </row>
    <row r="4053" spans="1:113" x14ac:dyDescent="0.3">
      <c r="A4053" t="str">
        <f t="shared" si="1871"/>
        <v>05/12/2020 14:48:19.671</v>
      </c>
      <c r="C4053" t="str">
        <f t="shared" si="1845"/>
        <v>FFDFD3C0</v>
      </c>
      <c r="D4053" t="s">
        <v>134</v>
      </c>
      <c r="E4053">
        <v>12</v>
      </c>
      <c r="H4053">
        <v>64</v>
      </c>
      <c r="I4053" t="s">
        <v>135</v>
      </c>
      <c r="J4053" t="s">
        <v>136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 t="shared" si="1872"/>
        <v>14:48:37.492</v>
      </c>
      <c r="T4053" t="str">
        <f t="shared" si="1873"/>
        <v>14:48:37.292</v>
      </c>
      <c r="U4053" t="str">
        <f t="shared" si="1866"/>
        <v>A9808D</v>
      </c>
      <c r="V4053">
        <v>0</v>
      </c>
      <c r="W4053">
        <v>0</v>
      </c>
      <c r="X4053">
        <v>1</v>
      </c>
      <c r="Z4053">
        <v>0</v>
      </c>
      <c r="AA4053">
        <v>9</v>
      </c>
      <c r="AB4053">
        <v>3</v>
      </c>
      <c r="AC4053">
        <v>0</v>
      </c>
      <c r="AD4053">
        <v>10</v>
      </c>
      <c r="AE4053">
        <v>0</v>
      </c>
      <c r="AF4053">
        <v>3</v>
      </c>
      <c r="AG4053">
        <v>2</v>
      </c>
      <c r="AH4053">
        <v>0</v>
      </c>
      <c r="AI4053" t="s">
        <v>925</v>
      </c>
      <c r="AJ4053">
        <v>28.265591000000001</v>
      </c>
      <c r="AK4053" t="s">
        <v>926</v>
      </c>
      <c r="AL4053">
        <v>-82.296909999999997</v>
      </c>
      <c r="AM4053">
        <v>100</v>
      </c>
      <c r="AN4053">
        <v>2300</v>
      </c>
      <c r="AO4053" t="s">
        <v>118</v>
      </c>
      <c r="AP4053">
        <v>-120</v>
      </c>
      <c r="AQ4053">
        <v>-78</v>
      </c>
      <c r="AR4053">
        <v>64</v>
      </c>
      <c r="AZ4053">
        <v>1200</v>
      </c>
      <c r="BA4053">
        <v>1</v>
      </c>
      <c r="BB4053" t="str">
        <f t="shared" si="1846"/>
        <v xml:space="preserve">N711JA  </v>
      </c>
      <c r="BC4053">
        <v>1</v>
      </c>
      <c r="BE4053">
        <v>0</v>
      </c>
      <c r="BF4053">
        <v>0</v>
      </c>
      <c r="BG4053">
        <v>0</v>
      </c>
      <c r="BH4053">
        <v>2300</v>
      </c>
      <c r="BI4053">
        <v>1</v>
      </c>
      <c r="BJ4053">
        <v>1</v>
      </c>
      <c r="BK4053">
        <v>0</v>
      </c>
      <c r="BL4053">
        <v>0</v>
      </c>
      <c r="BO4053">
        <v>0</v>
      </c>
      <c r="BP4053">
        <v>0</v>
      </c>
      <c r="BW4053" t="str">
        <f t="shared" si="1874"/>
        <v>14:48:37.498</v>
      </c>
      <c r="CJ4053">
        <v>0</v>
      </c>
      <c r="CK4053">
        <v>2</v>
      </c>
      <c r="CL4053">
        <v>0</v>
      </c>
      <c r="CM4053">
        <v>2</v>
      </c>
      <c r="CN4053">
        <v>0</v>
      </c>
      <c r="CO4053">
        <v>5</v>
      </c>
      <c r="CP4053" t="s">
        <v>119</v>
      </c>
      <c r="CQ4053">
        <v>9</v>
      </c>
      <c r="CR4053">
        <v>0</v>
      </c>
      <c r="CW4053">
        <v>12922766</v>
      </c>
      <c r="CY4053">
        <v>1</v>
      </c>
      <c r="CZ4053">
        <v>0</v>
      </c>
      <c r="DA4053">
        <v>1</v>
      </c>
      <c r="DB4053">
        <v>0</v>
      </c>
      <c r="DC4053">
        <v>0</v>
      </c>
      <c r="DD4053">
        <v>1</v>
      </c>
      <c r="DE4053">
        <v>0</v>
      </c>
      <c r="DF4053">
        <v>0</v>
      </c>
      <c r="DG4053">
        <v>0</v>
      </c>
      <c r="DH4053">
        <v>0</v>
      </c>
      <c r="DI4053">
        <v>0</v>
      </c>
    </row>
    <row r="4054" spans="1:113" x14ac:dyDescent="0.3">
      <c r="A4054" t="str">
        <f t="shared" si="1871"/>
        <v>05/12/2020 14:48:19.671</v>
      </c>
      <c r="C4054" t="str">
        <f t="shared" ref="C4054:C4117" si="1875">"FFDFD3C0"</f>
        <v>FFDFD3C0</v>
      </c>
      <c r="D4054" t="s">
        <v>113</v>
      </c>
      <c r="E4054">
        <v>3</v>
      </c>
      <c r="H4054">
        <v>164</v>
      </c>
      <c r="I4054" t="s">
        <v>114</v>
      </c>
      <c r="J4054" t="s">
        <v>115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 t="shared" si="1872"/>
        <v>14:48:37.492</v>
      </c>
      <c r="T4054" t="str">
        <f t="shared" si="1873"/>
        <v>14:48:37.292</v>
      </c>
      <c r="U4054" t="str">
        <f t="shared" si="1866"/>
        <v>A9808D</v>
      </c>
      <c r="V4054">
        <v>0</v>
      </c>
      <c r="W4054">
        <v>0</v>
      </c>
      <c r="X4054">
        <v>1</v>
      </c>
      <c r="Z4054">
        <v>0</v>
      </c>
      <c r="AA4054">
        <v>9</v>
      </c>
      <c r="AB4054">
        <v>3</v>
      </c>
      <c r="AC4054">
        <v>0</v>
      </c>
      <c r="AD4054">
        <v>10</v>
      </c>
      <c r="AE4054">
        <v>0</v>
      </c>
      <c r="AF4054">
        <v>3</v>
      </c>
      <c r="AG4054">
        <v>2</v>
      </c>
      <c r="AH4054">
        <v>0</v>
      </c>
      <c r="AI4054" t="s">
        <v>925</v>
      </c>
      <c r="AJ4054">
        <v>28.265591000000001</v>
      </c>
      <c r="AK4054" t="s">
        <v>926</v>
      </c>
      <c r="AL4054">
        <v>-82.296909999999997</v>
      </c>
      <c r="AM4054">
        <v>100</v>
      </c>
      <c r="AN4054">
        <v>2300</v>
      </c>
      <c r="AO4054" t="s">
        <v>118</v>
      </c>
      <c r="AP4054">
        <v>-120</v>
      </c>
      <c r="AQ4054">
        <v>-78</v>
      </c>
      <c r="AR4054">
        <v>64</v>
      </c>
      <c r="AZ4054">
        <v>1200</v>
      </c>
      <c r="BA4054">
        <v>1</v>
      </c>
      <c r="BB4054" t="str">
        <f t="shared" ref="BB4054:BB4117" si="1876">"N711JA  "</f>
        <v xml:space="preserve">N711JA  </v>
      </c>
      <c r="BC4054">
        <v>1</v>
      </c>
      <c r="BE4054">
        <v>0</v>
      </c>
      <c r="BF4054">
        <v>0</v>
      </c>
      <c r="BG4054">
        <v>0</v>
      </c>
      <c r="BH4054">
        <v>2300</v>
      </c>
      <c r="BI4054">
        <v>1</v>
      </c>
      <c r="BJ4054">
        <v>1</v>
      </c>
      <c r="BK4054">
        <v>0</v>
      </c>
      <c r="BL4054">
        <v>0</v>
      </c>
      <c r="BO4054">
        <v>0</v>
      </c>
      <c r="BP4054">
        <v>0</v>
      </c>
      <c r="BW4054" t="str">
        <f t="shared" si="1874"/>
        <v>14:48:37.498</v>
      </c>
      <c r="CJ4054">
        <v>0</v>
      </c>
      <c r="CK4054">
        <v>2</v>
      </c>
      <c r="CL4054">
        <v>0</v>
      </c>
      <c r="CM4054">
        <v>2</v>
      </c>
      <c r="CN4054">
        <v>0</v>
      </c>
      <c r="CO4054">
        <v>6</v>
      </c>
      <c r="CP4054" t="s">
        <v>119</v>
      </c>
      <c r="CQ4054">
        <v>56</v>
      </c>
      <c r="CR4054">
        <v>2</v>
      </c>
      <c r="CW4054">
        <v>5099362</v>
      </c>
      <c r="CY4054">
        <v>1</v>
      </c>
      <c r="CZ4054">
        <v>0</v>
      </c>
      <c r="DA4054">
        <v>1</v>
      </c>
      <c r="DB4054">
        <v>0</v>
      </c>
      <c r="DC4054">
        <v>0</v>
      </c>
      <c r="DD4054">
        <v>1</v>
      </c>
      <c r="DE4054">
        <v>0</v>
      </c>
      <c r="DF4054">
        <v>0</v>
      </c>
      <c r="DG4054">
        <v>0</v>
      </c>
      <c r="DH4054">
        <v>0</v>
      </c>
      <c r="DI4054">
        <v>0</v>
      </c>
    </row>
    <row r="4055" spans="1:113" x14ac:dyDescent="0.3">
      <c r="A4055" t="str">
        <f t="shared" si="1871"/>
        <v>05/12/2020 14:48:19.671</v>
      </c>
      <c r="C4055" t="str">
        <f t="shared" si="1875"/>
        <v>FFDFD3C0</v>
      </c>
      <c r="D4055" t="s">
        <v>138</v>
      </c>
      <c r="E4055">
        <v>2</v>
      </c>
      <c r="H4055">
        <v>8</v>
      </c>
      <c r="I4055" t="s">
        <v>139</v>
      </c>
      <c r="J4055" t="s">
        <v>136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 t="shared" si="1872"/>
        <v>14:48:37.492</v>
      </c>
      <c r="T4055" t="str">
        <f t="shared" si="1873"/>
        <v>14:48:37.292</v>
      </c>
      <c r="U4055" t="str">
        <f t="shared" si="1866"/>
        <v>A9808D</v>
      </c>
      <c r="V4055">
        <v>0</v>
      </c>
      <c r="W4055">
        <v>0</v>
      </c>
      <c r="X4055">
        <v>1</v>
      </c>
      <c r="Z4055">
        <v>0</v>
      </c>
      <c r="AA4055">
        <v>9</v>
      </c>
      <c r="AB4055">
        <v>3</v>
      </c>
      <c r="AC4055">
        <v>0</v>
      </c>
      <c r="AD4055">
        <v>10</v>
      </c>
      <c r="AE4055">
        <v>0</v>
      </c>
      <c r="AF4055">
        <v>3</v>
      </c>
      <c r="AG4055">
        <v>2</v>
      </c>
      <c r="AH4055">
        <v>0</v>
      </c>
      <c r="AI4055" t="s">
        <v>925</v>
      </c>
      <c r="AJ4055">
        <v>28.265591000000001</v>
      </c>
      <c r="AK4055" t="s">
        <v>926</v>
      </c>
      <c r="AL4055">
        <v>-82.296909999999997</v>
      </c>
      <c r="AM4055">
        <v>100</v>
      </c>
      <c r="AN4055">
        <v>2300</v>
      </c>
      <c r="AO4055" t="s">
        <v>118</v>
      </c>
      <c r="AP4055">
        <v>-120</v>
      </c>
      <c r="AQ4055">
        <v>-78</v>
      </c>
      <c r="AR4055">
        <v>64</v>
      </c>
      <c r="AZ4055">
        <v>1200</v>
      </c>
      <c r="BA4055">
        <v>1</v>
      </c>
      <c r="BB4055" t="str">
        <f t="shared" si="1876"/>
        <v xml:space="preserve">N711JA  </v>
      </c>
      <c r="BC4055">
        <v>1</v>
      </c>
      <c r="BE4055">
        <v>0</v>
      </c>
      <c r="BF4055">
        <v>0</v>
      </c>
      <c r="BG4055">
        <v>0</v>
      </c>
      <c r="BH4055">
        <v>2300</v>
      </c>
      <c r="BI4055">
        <v>1</v>
      </c>
      <c r="BJ4055">
        <v>1</v>
      </c>
      <c r="BK4055">
        <v>0</v>
      </c>
      <c r="BL4055">
        <v>0</v>
      </c>
      <c r="BO4055">
        <v>0</v>
      </c>
      <c r="BP4055">
        <v>0</v>
      </c>
      <c r="BW4055" t="str">
        <f t="shared" si="1874"/>
        <v>14:48:37.498</v>
      </c>
      <c r="CJ4055">
        <v>0</v>
      </c>
      <c r="CK4055">
        <v>2</v>
      </c>
      <c r="CL4055">
        <v>0</v>
      </c>
      <c r="CM4055">
        <v>2</v>
      </c>
      <c r="CN4055">
        <v>0</v>
      </c>
      <c r="CO4055">
        <v>6</v>
      </c>
      <c r="CP4055" t="s">
        <v>119</v>
      </c>
      <c r="CQ4055">
        <v>56</v>
      </c>
      <c r="CR4055">
        <v>2</v>
      </c>
      <c r="CW4055">
        <v>5099362</v>
      </c>
      <c r="CY4055">
        <v>1</v>
      </c>
      <c r="CZ4055">
        <v>0</v>
      </c>
      <c r="DA4055">
        <v>1</v>
      </c>
      <c r="DB4055">
        <v>0</v>
      </c>
      <c r="DC4055">
        <v>0</v>
      </c>
      <c r="DD4055">
        <v>1</v>
      </c>
      <c r="DE4055">
        <v>0</v>
      </c>
      <c r="DF4055">
        <v>0</v>
      </c>
      <c r="DG4055">
        <v>0</v>
      </c>
      <c r="DH4055">
        <v>0</v>
      </c>
      <c r="DI4055">
        <v>0</v>
      </c>
    </row>
    <row r="4056" spans="1:113" x14ac:dyDescent="0.3">
      <c r="A4056" t="str">
        <f t="shared" si="1871"/>
        <v>05/12/2020 14:48:19.671</v>
      </c>
      <c r="C4056" t="str">
        <f t="shared" si="1875"/>
        <v>FFDFD3C0</v>
      </c>
      <c r="D4056" t="s">
        <v>138</v>
      </c>
      <c r="E4056">
        <v>3</v>
      </c>
      <c r="H4056">
        <v>9</v>
      </c>
      <c r="I4056" t="s">
        <v>140</v>
      </c>
      <c r="J4056" t="s">
        <v>136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 t="shared" si="1872"/>
        <v>14:48:37.492</v>
      </c>
      <c r="T4056" t="str">
        <f t="shared" si="1873"/>
        <v>14:48:37.292</v>
      </c>
      <c r="U4056" t="str">
        <f t="shared" si="1866"/>
        <v>A9808D</v>
      </c>
      <c r="V4056">
        <v>0</v>
      </c>
      <c r="W4056">
        <v>0</v>
      </c>
      <c r="X4056">
        <v>1</v>
      </c>
      <c r="Z4056">
        <v>0</v>
      </c>
      <c r="AA4056">
        <v>9</v>
      </c>
      <c r="AB4056">
        <v>3</v>
      </c>
      <c r="AC4056">
        <v>0</v>
      </c>
      <c r="AD4056">
        <v>10</v>
      </c>
      <c r="AE4056">
        <v>0</v>
      </c>
      <c r="AF4056">
        <v>3</v>
      </c>
      <c r="AG4056">
        <v>2</v>
      </c>
      <c r="AH4056">
        <v>0</v>
      </c>
      <c r="AI4056" t="s">
        <v>925</v>
      </c>
      <c r="AJ4056">
        <v>28.265591000000001</v>
      </c>
      <c r="AK4056" t="s">
        <v>926</v>
      </c>
      <c r="AL4056">
        <v>-82.296909999999997</v>
      </c>
      <c r="AM4056">
        <v>100</v>
      </c>
      <c r="AN4056">
        <v>2300</v>
      </c>
      <c r="AO4056" t="s">
        <v>118</v>
      </c>
      <c r="AP4056">
        <v>-120</v>
      </c>
      <c r="AQ4056">
        <v>-78</v>
      </c>
      <c r="AR4056">
        <v>64</v>
      </c>
      <c r="AZ4056">
        <v>1200</v>
      </c>
      <c r="BA4056">
        <v>1</v>
      </c>
      <c r="BB4056" t="str">
        <f t="shared" si="1876"/>
        <v xml:space="preserve">N711JA  </v>
      </c>
      <c r="BC4056">
        <v>1</v>
      </c>
      <c r="BE4056">
        <v>0</v>
      </c>
      <c r="BF4056">
        <v>0</v>
      </c>
      <c r="BG4056">
        <v>0</v>
      </c>
      <c r="BH4056">
        <v>2300</v>
      </c>
      <c r="BI4056">
        <v>1</v>
      </c>
      <c r="BJ4056">
        <v>1</v>
      </c>
      <c r="BK4056">
        <v>0</v>
      </c>
      <c r="BL4056">
        <v>0</v>
      </c>
      <c r="BO4056">
        <v>0</v>
      </c>
      <c r="BP4056">
        <v>0</v>
      </c>
      <c r="BW4056" t="str">
        <f t="shared" si="1874"/>
        <v>14:48:37.498</v>
      </c>
      <c r="CJ4056">
        <v>0</v>
      </c>
      <c r="CK4056">
        <v>2</v>
      </c>
      <c r="CL4056">
        <v>0</v>
      </c>
      <c r="CM4056">
        <v>2</v>
      </c>
      <c r="CN4056">
        <v>0</v>
      </c>
      <c r="CO4056">
        <v>6</v>
      </c>
      <c r="CP4056" t="s">
        <v>119</v>
      </c>
      <c r="CQ4056">
        <v>56</v>
      </c>
      <c r="CR4056">
        <v>2</v>
      </c>
      <c r="CW4056">
        <v>5099362</v>
      </c>
      <c r="CY4056">
        <v>1</v>
      </c>
      <c r="CZ4056">
        <v>0</v>
      </c>
      <c r="DA4056">
        <v>1</v>
      </c>
      <c r="DB4056">
        <v>0</v>
      </c>
      <c r="DC4056">
        <v>0</v>
      </c>
      <c r="DD4056">
        <v>1</v>
      </c>
      <c r="DE4056">
        <v>0</v>
      </c>
      <c r="DF4056">
        <v>0</v>
      </c>
      <c r="DG4056">
        <v>0</v>
      </c>
      <c r="DH4056">
        <v>0</v>
      </c>
      <c r="DI4056">
        <v>0</v>
      </c>
    </row>
    <row r="4057" spans="1:113" x14ac:dyDescent="0.3">
      <c r="A4057" t="str">
        <f t="shared" ref="A4057:A4064" si="1877">"05/12/2020 14:48:20.796"</f>
        <v>05/12/2020 14:48:20.796</v>
      </c>
      <c r="C4057" t="str">
        <f t="shared" si="1875"/>
        <v>FFDFD3C0</v>
      </c>
      <c r="D4057" t="s">
        <v>131</v>
      </c>
      <c r="E4057">
        <v>18</v>
      </c>
      <c r="F4057">
        <v>2018</v>
      </c>
      <c r="G4057" t="s">
        <v>161</v>
      </c>
      <c r="J4057" t="s">
        <v>133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 t="shared" ref="S4057:S4064" si="1878">"14:48:38.609"</f>
        <v>14:48:38.609</v>
      </c>
      <c r="T4057" t="str">
        <f t="shared" ref="T4057:T4064" si="1879">"14:48:38.209"</f>
        <v>14:48:38.209</v>
      </c>
      <c r="U4057" t="str">
        <f t="shared" si="1866"/>
        <v>A9808D</v>
      </c>
      <c r="V4057">
        <v>0</v>
      </c>
      <c r="W4057">
        <v>0</v>
      </c>
      <c r="X4057">
        <v>1</v>
      </c>
      <c r="Z4057">
        <v>0</v>
      </c>
      <c r="AA4057">
        <v>9</v>
      </c>
      <c r="AB4057">
        <v>3</v>
      </c>
      <c r="AC4057">
        <v>0</v>
      </c>
      <c r="AD4057">
        <v>10</v>
      </c>
      <c r="AE4057">
        <v>0</v>
      </c>
      <c r="AF4057">
        <v>3</v>
      </c>
      <c r="AG4057">
        <v>2</v>
      </c>
      <c r="AH4057">
        <v>0</v>
      </c>
      <c r="AI4057" t="s">
        <v>927</v>
      </c>
      <c r="AJ4057">
        <v>28.265204000000001</v>
      </c>
      <c r="AK4057" t="s">
        <v>928</v>
      </c>
      <c r="AL4057">
        <v>-82.297640000000001</v>
      </c>
      <c r="AM4057">
        <v>100</v>
      </c>
      <c r="AN4057">
        <v>2300</v>
      </c>
      <c r="AO4057" t="s">
        <v>118</v>
      </c>
      <c r="AP4057">
        <v>-120</v>
      </c>
      <c r="AQ4057">
        <v>-79</v>
      </c>
      <c r="AR4057">
        <v>64</v>
      </c>
      <c r="AZ4057">
        <v>1200</v>
      </c>
      <c r="BA4057">
        <v>1</v>
      </c>
      <c r="BB4057" t="str">
        <f t="shared" si="1876"/>
        <v xml:space="preserve">N711JA  </v>
      </c>
      <c r="BC4057">
        <v>1</v>
      </c>
      <c r="BE4057">
        <v>0</v>
      </c>
      <c r="BF4057">
        <v>0</v>
      </c>
      <c r="BG4057">
        <v>0</v>
      </c>
      <c r="BH4057">
        <v>2300</v>
      </c>
      <c r="BI4057">
        <v>1</v>
      </c>
      <c r="BJ4057">
        <v>1</v>
      </c>
      <c r="BK4057">
        <v>0</v>
      </c>
      <c r="BL4057">
        <v>0</v>
      </c>
      <c r="BO4057">
        <v>0</v>
      </c>
      <c r="BP4057">
        <v>0</v>
      </c>
      <c r="BW4057" t="str">
        <f t="shared" ref="BW4057:BW4064" si="1880">"14:48:38.615"</f>
        <v>14:48:38.615</v>
      </c>
      <c r="CJ4057">
        <v>0</v>
      </c>
      <c r="CK4057">
        <v>2</v>
      </c>
      <c r="CL4057">
        <v>0</v>
      </c>
      <c r="CM4057">
        <v>2</v>
      </c>
      <c r="CN4057">
        <v>0</v>
      </c>
      <c r="CO4057">
        <v>6</v>
      </c>
      <c r="CP4057" t="s">
        <v>119</v>
      </c>
      <c r="CQ4057">
        <v>56</v>
      </c>
      <c r="CR4057">
        <v>2</v>
      </c>
      <c r="CW4057">
        <v>5100757</v>
      </c>
      <c r="CY4057">
        <v>1</v>
      </c>
      <c r="CZ4057">
        <v>0</v>
      </c>
      <c r="DA4057">
        <v>0</v>
      </c>
      <c r="DB4057">
        <v>0</v>
      </c>
      <c r="DC4057">
        <v>0</v>
      </c>
      <c r="DD4057">
        <v>1</v>
      </c>
      <c r="DE4057">
        <v>0</v>
      </c>
      <c r="DF4057">
        <v>0</v>
      </c>
      <c r="DG4057">
        <v>0</v>
      </c>
      <c r="DH4057">
        <v>0</v>
      </c>
      <c r="DI4057">
        <v>0</v>
      </c>
    </row>
    <row r="4058" spans="1:113" x14ac:dyDescent="0.3">
      <c r="A4058" t="str">
        <f t="shared" si="1877"/>
        <v>05/12/2020 14:48:20.796</v>
      </c>
      <c r="C4058" t="str">
        <f t="shared" si="1875"/>
        <v>FFDFD3C0</v>
      </c>
      <c r="D4058" t="s">
        <v>113</v>
      </c>
      <c r="E4058">
        <v>3</v>
      </c>
      <c r="H4058">
        <v>164</v>
      </c>
      <c r="I4058" t="s">
        <v>114</v>
      </c>
      <c r="J4058" t="s">
        <v>115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 t="shared" si="1878"/>
        <v>14:48:38.609</v>
      </c>
      <c r="T4058" t="str">
        <f t="shared" si="1879"/>
        <v>14:48:38.209</v>
      </c>
      <c r="U4058" t="str">
        <f t="shared" si="1866"/>
        <v>A9808D</v>
      </c>
      <c r="V4058">
        <v>0</v>
      </c>
      <c r="W4058">
        <v>0</v>
      </c>
      <c r="X4058">
        <v>1</v>
      </c>
      <c r="Z4058">
        <v>0</v>
      </c>
      <c r="AA4058">
        <v>9</v>
      </c>
      <c r="AB4058">
        <v>3</v>
      </c>
      <c r="AC4058">
        <v>0</v>
      </c>
      <c r="AD4058">
        <v>10</v>
      </c>
      <c r="AE4058">
        <v>0</v>
      </c>
      <c r="AF4058">
        <v>3</v>
      </c>
      <c r="AG4058">
        <v>2</v>
      </c>
      <c r="AH4058">
        <v>0</v>
      </c>
      <c r="AI4058" t="s">
        <v>927</v>
      </c>
      <c r="AJ4058">
        <v>28.265204000000001</v>
      </c>
      <c r="AK4058" t="s">
        <v>928</v>
      </c>
      <c r="AL4058">
        <v>-82.297640000000001</v>
      </c>
      <c r="AM4058">
        <v>100</v>
      </c>
      <c r="AN4058">
        <v>2300</v>
      </c>
      <c r="AO4058" t="s">
        <v>118</v>
      </c>
      <c r="AP4058">
        <v>-120</v>
      </c>
      <c r="AQ4058">
        <v>-79</v>
      </c>
      <c r="AR4058">
        <v>64</v>
      </c>
      <c r="AZ4058">
        <v>1200</v>
      </c>
      <c r="BA4058">
        <v>1</v>
      </c>
      <c r="BB4058" t="str">
        <f t="shared" si="1876"/>
        <v xml:space="preserve">N711JA  </v>
      </c>
      <c r="BC4058">
        <v>1</v>
      </c>
      <c r="BE4058">
        <v>0</v>
      </c>
      <c r="BF4058">
        <v>0</v>
      </c>
      <c r="BG4058">
        <v>0</v>
      </c>
      <c r="BH4058">
        <v>2300</v>
      </c>
      <c r="BI4058">
        <v>1</v>
      </c>
      <c r="BJ4058">
        <v>1</v>
      </c>
      <c r="BK4058">
        <v>0</v>
      </c>
      <c r="BL4058">
        <v>0</v>
      </c>
      <c r="BO4058">
        <v>0</v>
      </c>
      <c r="BP4058">
        <v>0</v>
      </c>
      <c r="BW4058" t="str">
        <f t="shared" si="1880"/>
        <v>14:48:38.615</v>
      </c>
      <c r="CJ4058">
        <v>0</v>
      </c>
      <c r="CK4058">
        <v>2</v>
      </c>
      <c r="CL4058">
        <v>0</v>
      </c>
      <c r="CM4058">
        <v>2</v>
      </c>
      <c r="CN4058">
        <v>0</v>
      </c>
      <c r="CO4058">
        <v>6</v>
      </c>
      <c r="CP4058" t="s">
        <v>119</v>
      </c>
      <c r="CQ4058">
        <v>56</v>
      </c>
      <c r="CR4058">
        <v>2</v>
      </c>
      <c r="CW4058">
        <v>5100757</v>
      </c>
      <c r="CY4058">
        <v>1</v>
      </c>
      <c r="CZ4058">
        <v>0</v>
      </c>
      <c r="DA4058">
        <v>1</v>
      </c>
      <c r="DB4058">
        <v>0</v>
      </c>
      <c r="DC4058">
        <v>0</v>
      </c>
      <c r="DD4058">
        <v>1</v>
      </c>
      <c r="DE4058">
        <v>0</v>
      </c>
      <c r="DF4058">
        <v>0</v>
      </c>
      <c r="DG4058">
        <v>0</v>
      </c>
      <c r="DH4058">
        <v>0</v>
      </c>
      <c r="DI4058">
        <v>0</v>
      </c>
    </row>
    <row r="4059" spans="1:113" x14ac:dyDescent="0.3">
      <c r="A4059" t="str">
        <f t="shared" si="1877"/>
        <v>05/12/2020 14:48:20.796</v>
      </c>
      <c r="C4059" t="str">
        <f t="shared" si="1875"/>
        <v>FFDFD3C0</v>
      </c>
      <c r="D4059" t="s">
        <v>138</v>
      </c>
      <c r="E4059">
        <v>3</v>
      </c>
      <c r="H4059">
        <v>9</v>
      </c>
      <c r="I4059" t="s">
        <v>140</v>
      </c>
      <c r="J4059" t="s">
        <v>136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 t="shared" si="1878"/>
        <v>14:48:38.609</v>
      </c>
      <c r="T4059" t="str">
        <f t="shared" si="1879"/>
        <v>14:48:38.209</v>
      </c>
      <c r="U4059" t="str">
        <f t="shared" si="1866"/>
        <v>A9808D</v>
      </c>
      <c r="V4059">
        <v>0</v>
      </c>
      <c r="W4059">
        <v>0</v>
      </c>
      <c r="X4059">
        <v>1</v>
      </c>
      <c r="Z4059">
        <v>0</v>
      </c>
      <c r="AA4059">
        <v>9</v>
      </c>
      <c r="AB4059">
        <v>3</v>
      </c>
      <c r="AC4059">
        <v>0</v>
      </c>
      <c r="AD4059">
        <v>10</v>
      </c>
      <c r="AE4059">
        <v>0</v>
      </c>
      <c r="AF4059">
        <v>3</v>
      </c>
      <c r="AG4059">
        <v>2</v>
      </c>
      <c r="AH4059">
        <v>0</v>
      </c>
      <c r="AI4059" t="s">
        <v>927</v>
      </c>
      <c r="AJ4059">
        <v>28.265204000000001</v>
      </c>
      <c r="AK4059" t="s">
        <v>928</v>
      </c>
      <c r="AL4059">
        <v>-82.297640000000001</v>
      </c>
      <c r="AM4059">
        <v>100</v>
      </c>
      <c r="AN4059">
        <v>2300</v>
      </c>
      <c r="AO4059" t="s">
        <v>118</v>
      </c>
      <c r="AP4059">
        <v>-120</v>
      </c>
      <c r="AQ4059">
        <v>-79</v>
      </c>
      <c r="AR4059">
        <v>64</v>
      </c>
      <c r="AZ4059">
        <v>1200</v>
      </c>
      <c r="BA4059">
        <v>1</v>
      </c>
      <c r="BB4059" t="str">
        <f t="shared" si="1876"/>
        <v xml:space="preserve">N711JA  </v>
      </c>
      <c r="BC4059">
        <v>1</v>
      </c>
      <c r="BE4059">
        <v>0</v>
      </c>
      <c r="BF4059">
        <v>0</v>
      </c>
      <c r="BG4059">
        <v>0</v>
      </c>
      <c r="BH4059">
        <v>2300</v>
      </c>
      <c r="BI4059">
        <v>1</v>
      </c>
      <c r="BJ4059">
        <v>1</v>
      </c>
      <c r="BK4059">
        <v>0</v>
      </c>
      <c r="BL4059">
        <v>0</v>
      </c>
      <c r="BO4059">
        <v>0</v>
      </c>
      <c r="BP4059">
        <v>0</v>
      </c>
      <c r="BW4059" t="str">
        <f t="shared" si="1880"/>
        <v>14:48:38.615</v>
      </c>
      <c r="CJ4059">
        <v>0</v>
      </c>
      <c r="CK4059">
        <v>2</v>
      </c>
      <c r="CL4059">
        <v>0</v>
      </c>
      <c r="CM4059">
        <v>2</v>
      </c>
      <c r="CN4059">
        <v>0</v>
      </c>
      <c r="CO4059">
        <v>6</v>
      </c>
      <c r="CP4059" t="s">
        <v>119</v>
      </c>
      <c r="CQ4059">
        <v>56</v>
      </c>
      <c r="CR4059">
        <v>2</v>
      </c>
      <c r="CW4059">
        <v>5100757</v>
      </c>
      <c r="CY4059">
        <v>1</v>
      </c>
      <c r="CZ4059">
        <v>0</v>
      </c>
      <c r="DA4059">
        <v>1</v>
      </c>
      <c r="DB4059">
        <v>0</v>
      </c>
      <c r="DC4059">
        <v>0</v>
      </c>
      <c r="DD4059">
        <v>1</v>
      </c>
      <c r="DE4059">
        <v>0</v>
      </c>
      <c r="DF4059">
        <v>0</v>
      </c>
      <c r="DG4059">
        <v>0</v>
      </c>
      <c r="DH4059">
        <v>0</v>
      </c>
      <c r="DI4059">
        <v>0</v>
      </c>
    </row>
    <row r="4060" spans="1:113" x14ac:dyDescent="0.3">
      <c r="A4060" t="str">
        <f t="shared" si="1877"/>
        <v>05/12/2020 14:48:20.796</v>
      </c>
      <c r="C4060" t="str">
        <f t="shared" si="1875"/>
        <v>FFDFD3C0</v>
      </c>
      <c r="D4060" t="s">
        <v>138</v>
      </c>
      <c r="E4060">
        <v>2</v>
      </c>
      <c r="H4060">
        <v>8</v>
      </c>
      <c r="I4060" t="s">
        <v>139</v>
      </c>
      <c r="J4060" t="s">
        <v>136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 t="shared" si="1878"/>
        <v>14:48:38.609</v>
      </c>
      <c r="T4060" t="str">
        <f t="shared" si="1879"/>
        <v>14:48:38.209</v>
      </c>
      <c r="U4060" t="str">
        <f t="shared" si="1866"/>
        <v>A9808D</v>
      </c>
      <c r="V4060">
        <v>0</v>
      </c>
      <c r="W4060">
        <v>0</v>
      </c>
      <c r="X4060">
        <v>1</v>
      </c>
      <c r="Z4060">
        <v>0</v>
      </c>
      <c r="AA4060">
        <v>9</v>
      </c>
      <c r="AB4060">
        <v>3</v>
      </c>
      <c r="AC4060">
        <v>0</v>
      </c>
      <c r="AD4060">
        <v>10</v>
      </c>
      <c r="AE4060">
        <v>0</v>
      </c>
      <c r="AF4060">
        <v>3</v>
      </c>
      <c r="AG4060">
        <v>2</v>
      </c>
      <c r="AH4060">
        <v>0</v>
      </c>
      <c r="AI4060" t="s">
        <v>927</v>
      </c>
      <c r="AJ4060">
        <v>28.265204000000001</v>
      </c>
      <c r="AK4060" t="s">
        <v>928</v>
      </c>
      <c r="AL4060">
        <v>-82.297640000000001</v>
      </c>
      <c r="AM4060">
        <v>100</v>
      </c>
      <c r="AN4060">
        <v>2300</v>
      </c>
      <c r="AO4060" t="s">
        <v>118</v>
      </c>
      <c r="AP4060">
        <v>-120</v>
      </c>
      <c r="AQ4060">
        <v>-79</v>
      </c>
      <c r="AR4060">
        <v>64</v>
      </c>
      <c r="AZ4060">
        <v>1200</v>
      </c>
      <c r="BA4060">
        <v>1</v>
      </c>
      <c r="BB4060" t="str">
        <f t="shared" si="1876"/>
        <v xml:space="preserve">N711JA  </v>
      </c>
      <c r="BC4060">
        <v>1</v>
      </c>
      <c r="BE4060">
        <v>0</v>
      </c>
      <c r="BF4060">
        <v>0</v>
      </c>
      <c r="BG4060">
        <v>0</v>
      </c>
      <c r="BH4060">
        <v>2300</v>
      </c>
      <c r="BI4060">
        <v>1</v>
      </c>
      <c r="BJ4060">
        <v>1</v>
      </c>
      <c r="BK4060">
        <v>0</v>
      </c>
      <c r="BL4060">
        <v>0</v>
      </c>
      <c r="BO4060">
        <v>0</v>
      </c>
      <c r="BP4060">
        <v>0</v>
      </c>
      <c r="BW4060" t="str">
        <f t="shared" si="1880"/>
        <v>14:48:38.615</v>
      </c>
      <c r="CJ4060">
        <v>0</v>
      </c>
      <c r="CK4060">
        <v>2</v>
      </c>
      <c r="CL4060">
        <v>0</v>
      </c>
      <c r="CM4060">
        <v>2</v>
      </c>
      <c r="CN4060">
        <v>0</v>
      </c>
      <c r="CO4060">
        <v>6</v>
      </c>
      <c r="CP4060" t="s">
        <v>119</v>
      </c>
      <c r="CQ4060">
        <v>56</v>
      </c>
      <c r="CR4060">
        <v>2</v>
      </c>
      <c r="CW4060">
        <v>5100757</v>
      </c>
      <c r="CY4060">
        <v>1</v>
      </c>
      <c r="CZ4060">
        <v>0</v>
      </c>
      <c r="DA4060">
        <v>1</v>
      </c>
      <c r="DB4060">
        <v>0</v>
      </c>
      <c r="DC4060">
        <v>0</v>
      </c>
      <c r="DD4060">
        <v>1</v>
      </c>
      <c r="DE4060">
        <v>0</v>
      </c>
      <c r="DF4060">
        <v>0</v>
      </c>
      <c r="DG4060">
        <v>0</v>
      </c>
      <c r="DH4060">
        <v>0</v>
      </c>
      <c r="DI4060">
        <v>0</v>
      </c>
    </row>
    <row r="4061" spans="1:113" x14ac:dyDescent="0.3">
      <c r="A4061" t="str">
        <f t="shared" si="1877"/>
        <v>05/12/2020 14:48:20.796</v>
      </c>
      <c r="C4061" t="str">
        <f t="shared" si="1875"/>
        <v>FFDFD3C0</v>
      </c>
      <c r="D4061" t="s">
        <v>126</v>
      </c>
      <c r="E4061">
        <v>6</v>
      </c>
      <c r="F4061">
        <v>1006</v>
      </c>
      <c r="G4061" t="s">
        <v>114</v>
      </c>
      <c r="J4061" t="s">
        <v>128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 t="shared" si="1878"/>
        <v>14:48:38.609</v>
      </c>
      <c r="T4061" t="str">
        <f t="shared" si="1879"/>
        <v>14:48:38.209</v>
      </c>
      <c r="U4061" t="str">
        <f t="shared" si="1866"/>
        <v>A9808D</v>
      </c>
      <c r="V4061">
        <v>0</v>
      </c>
      <c r="W4061">
        <v>0</v>
      </c>
      <c r="X4061">
        <v>1</v>
      </c>
      <c r="Z4061">
        <v>0</v>
      </c>
      <c r="AA4061">
        <v>9</v>
      </c>
      <c r="AB4061">
        <v>3</v>
      </c>
      <c r="AC4061">
        <v>0</v>
      </c>
      <c r="AD4061">
        <v>10</v>
      </c>
      <c r="AE4061">
        <v>0</v>
      </c>
      <c r="AF4061">
        <v>3</v>
      </c>
      <c r="AG4061">
        <v>2</v>
      </c>
      <c r="AH4061">
        <v>0</v>
      </c>
      <c r="AI4061" t="s">
        <v>927</v>
      </c>
      <c r="AJ4061">
        <v>28.265204000000001</v>
      </c>
      <c r="AK4061" t="s">
        <v>928</v>
      </c>
      <c r="AL4061">
        <v>-82.297640000000001</v>
      </c>
      <c r="AM4061">
        <v>100</v>
      </c>
      <c r="AN4061">
        <v>2300</v>
      </c>
      <c r="AO4061" t="s">
        <v>118</v>
      </c>
      <c r="AP4061">
        <v>-120</v>
      </c>
      <c r="AQ4061">
        <v>-79</v>
      </c>
      <c r="AR4061">
        <v>64</v>
      </c>
      <c r="AZ4061">
        <v>1200</v>
      </c>
      <c r="BA4061">
        <v>1</v>
      </c>
      <c r="BB4061" t="str">
        <f t="shared" si="1876"/>
        <v xml:space="preserve">N711JA  </v>
      </c>
      <c r="BC4061">
        <v>1</v>
      </c>
      <c r="BE4061">
        <v>0</v>
      </c>
      <c r="BF4061">
        <v>0</v>
      </c>
      <c r="BG4061">
        <v>0</v>
      </c>
      <c r="BH4061">
        <v>2300</v>
      </c>
      <c r="BI4061">
        <v>1</v>
      </c>
      <c r="BJ4061">
        <v>1</v>
      </c>
      <c r="BK4061">
        <v>0</v>
      </c>
      <c r="BL4061">
        <v>0</v>
      </c>
      <c r="BO4061">
        <v>0</v>
      </c>
      <c r="BP4061">
        <v>0</v>
      </c>
      <c r="BW4061" t="str">
        <f t="shared" si="1880"/>
        <v>14:48:38.615</v>
      </c>
      <c r="CJ4061">
        <v>0</v>
      </c>
      <c r="CK4061">
        <v>2</v>
      </c>
      <c r="CL4061">
        <v>0</v>
      </c>
      <c r="CM4061">
        <v>2</v>
      </c>
      <c r="CN4061">
        <v>0</v>
      </c>
      <c r="CO4061">
        <v>6</v>
      </c>
      <c r="CP4061" t="s">
        <v>119</v>
      </c>
      <c r="CQ4061">
        <v>56</v>
      </c>
      <c r="CR4061">
        <v>2</v>
      </c>
      <c r="CW4061">
        <v>5100757</v>
      </c>
      <c r="CY4061">
        <v>1</v>
      </c>
      <c r="CZ4061">
        <v>0</v>
      </c>
      <c r="DA4061">
        <v>1</v>
      </c>
      <c r="DB4061">
        <v>0</v>
      </c>
      <c r="DC4061">
        <v>0</v>
      </c>
      <c r="DD4061">
        <v>1</v>
      </c>
      <c r="DE4061">
        <v>0</v>
      </c>
      <c r="DF4061">
        <v>0</v>
      </c>
      <c r="DG4061">
        <v>0</v>
      </c>
      <c r="DH4061">
        <v>0</v>
      </c>
      <c r="DI4061">
        <v>0</v>
      </c>
    </row>
    <row r="4062" spans="1:113" x14ac:dyDescent="0.3">
      <c r="A4062" t="str">
        <f t="shared" si="1877"/>
        <v>05/12/2020 14:48:20.796</v>
      </c>
      <c r="C4062" t="str">
        <f t="shared" si="1875"/>
        <v>FFDFD3C0</v>
      </c>
      <c r="D4062" t="s">
        <v>126</v>
      </c>
      <c r="E4062">
        <v>7</v>
      </c>
      <c r="F4062">
        <v>1007</v>
      </c>
      <c r="G4062" t="s">
        <v>127</v>
      </c>
      <c r="J4062" t="s">
        <v>128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 t="shared" si="1878"/>
        <v>14:48:38.609</v>
      </c>
      <c r="T4062" t="str">
        <f t="shared" si="1879"/>
        <v>14:48:38.209</v>
      </c>
      <c r="U4062" t="str">
        <f t="shared" si="1866"/>
        <v>A9808D</v>
      </c>
      <c r="V4062">
        <v>0</v>
      </c>
      <c r="W4062">
        <v>0</v>
      </c>
      <c r="X4062">
        <v>1</v>
      </c>
      <c r="Z4062">
        <v>0</v>
      </c>
      <c r="AA4062">
        <v>9</v>
      </c>
      <c r="AB4062">
        <v>3</v>
      </c>
      <c r="AC4062">
        <v>0</v>
      </c>
      <c r="AD4062">
        <v>10</v>
      </c>
      <c r="AE4062">
        <v>0</v>
      </c>
      <c r="AF4062">
        <v>3</v>
      </c>
      <c r="AG4062">
        <v>2</v>
      </c>
      <c r="AH4062">
        <v>0</v>
      </c>
      <c r="AI4062" t="s">
        <v>927</v>
      </c>
      <c r="AJ4062">
        <v>28.265204000000001</v>
      </c>
      <c r="AK4062" t="s">
        <v>928</v>
      </c>
      <c r="AL4062">
        <v>-82.297640000000001</v>
      </c>
      <c r="AM4062">
        <v>100</v>
      </c>
      <c r="AN4062">
        <v>2300</v>
      </c>
      <c r="AO4062" t="s">
        <v>118</v>
      </c>
      <c r="AP4062">
        <v>-120</v>
      </c>
      <c r="AQ4062">
        <v>-79</v>
      </c>
      <c r="AR4062">
        <v>64</v>
      </c>
      <c r="AZ4062">
        <v>1200</v>
      </c>
      <c r="BA4062">
        <v>1</v>
      </c>
      <c r="BB4062" t="str">
        <f t="shared" si="1876"/>
        <v xml:space="preserve">N711JA  </v>
      </c>
      <c r="BC4062">
        <v>1</v>
      </c>
      <c r="BE4062">
        <v>0</v>
      </c>
      <c r="BF4062">
        <v>0</v>
      </c>
      <c r="BG4062">
        <v>0</v>
      </c>
      <c r="BH4062">
        <v>2300</v>
      </c>
      <c r="BI4062">
        <v>1</v>
      </c>
      <c r="BJ4062">
        <v>1</v>
      </c>
      <c r="BK4062">
        <v>0</v>
      </c>
      <c r="BL4062">
        <v>0</v>
      </c>
      <c r="BO4062">
        <v>0</v>
      </c>
      <c r="BP4062">
        <v>0</v>
      </c>
      <c r="BW4062" t="str">
        <f t="shared" si="1880"/>
        <v>14:48:38.615</v>
      </c>
      <c r="CJ4062">
        <v>0</v>
      </c>
      <c r="CK4062">
        <v>2</v>
      </c>
      <c r="CL4062">
        <v>0</v>
      </c>
      <c r="CM4062">
        <v>2</v>
      </c>
      <c r="CN4062">
        <v>0</v>
      </c>
      <c r="CO4062">
        <v>6</v>
      </c>
      <c r="CP4062" t="s">
        <v>119</v>
      </c>
      <c r="CQ4062">
        <v>56</v>
      </c>
      <c r="CR4062">
        <v>2</v>
      </c>
      <c r="CW4062">
        <v>5100757</v>
      </c>
      <c r="CY4062">
        <v>1</v>
      </c>
      <c r="CZ4062">
        <v>0</v>
      </c>
      <c r="DA4062">
        <v>1</v>
      </c>
      <c r="DB4062">
        <v>0</v>
      </c>
      <c r="DC4062">
        <v>0</v>
      </c>
      <c r="DD4062">
        <v>1</v>
      </c>
      <c r="DE4062">
        <v>0</v>
      </c>
      <c r="DF4062">
        <v>0</v>
      </c>
      <c r="DG4062">
        <v>0</v>
      </c>
      <c r="DH4062">
        <v>0</v>
      </c>
      <c r="DI4062">
        <v>0</v>
      </c>
    </row>
    <row r="4063" spans="1:113" x14ac:dyDescent="0.3">
      <c r="A4063" t="str">
        <f t="shared" si="1877"/>
        <v>05/12/2020 14:48:20.796</v>
      </c>
      <c r="C4063" t="str">
        <f t="shared" si="1875"/>
        <v>FFDFD3C0</v>
      </c>
      <c r="D4063" t="s">
        <v>131</v>
      </c>
      <c r="E4063">
        <v>10</v>
      </c>
      <c r="F4063">
        <v>2010</v>
      </c>
      <c r="G4063" t="s">
        <v>132</v>
      </c>
      <c r="J4063" t="s">
        <v>133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 t="shared" si="1878"/>
        <v>14:48:38.609</v>
      </c>
      <c r="T4063" t="str">
        <f t="shared" si="1879"/>
        <v>14:48:38.209</v>
      </c>
      <c r="U4063" t="str">
        <f t="shared" si="1866"/>
        <v>A9808D</v>
      </c>
      <c r="V4063">
        <v>0</v>
      </c>
      <c r="W4063">
        <v>0</v>
      </c>
      <c r="X4063">
        <v>1</v>
      </c>
      <c r="Z4063">
        <v>0</v>
      </c>
      <c r="AA4063">
        <v>9</v>
      </c>
      <c r="AB4063">
        <v>3</v>
      </c>
      <c r="AC4063">
        <v>0</v>
      </c>
      <c r="AD4063">
        <v>10</v>
      </c>
      <c r="AE4063">
        <v>0</v>
      </c>
      <c r="AF4063">
        <v>3</v>
      </c>
      <c r="AG4063">
        <v>2</v>
      </c>
      <c r="AH4063">
        <v>0</v>
      </c>
      <c r="AI4063" t="s">
        <v>927</v>
      </c>
      <c r="AJ4063">
        <v>28.265204000000001</v>
      </c>
      <c r="AK4063" t="s">
        <v>928</v>
      </c>
      <c r="AL4063">
        <v>-82.297640000000001</v>
      </c>
      <c r="AM4063">
        <v>100</v>
      </c>
      <c r="AN4063">
        <v>2300</v>
      </c>
      <c r="AO4063" t="s">
        <v>118</v>
      </c>
      <c r="AP4063">
        <v>-120</v>
      </c>
      <c r="AQ4063">
        <v>-79</v>
      </c>
      <c r="AR4063">
        <v>64</v>
      </c>
      <c r="AZ4063">
        <v>1200</v>
      </c>
      <c r="BA4063">
        <v>1</v>
      </c>
      <c r="BB4063" t="str">
        <f t="shared" si="1876"/>
        <v xml:space="preserve">N711JA  </v>
      </c>
      <c r="BC4063">
        <v>1</v>
      </c>
      <c r="BE4063">
        <v>0</v>
      </c>
      <c r="BF4063">
        <v>0</v>
      </c>
      <c r="BG4063">
        <v>0</v>
      </c>
      <c r="BH4063">
        <v>2300</v>
      </c>
      <c r="BI4063">
        <v>1</v>
      </c>
      <c r="BJ4063">
        <v>1</v>
      </c>
      <c r="BK4063">
        <v>0</v>
      </c>
      <c r="BL4063">
        <v>0</v>
      </c>
      <c r="BO4063">
        <v>0</v>
      </c>
      <c r="BP4063">
        <v>0</v>
      </c>
      <c r="BW4063" t="str">
        <f t="shared" si="1880"/>
        <v>14:48:38.615</v>
      </c>
      <c r="CJ4063">
        <v>0</v>
      </c>
      <c r="CK4063">
        <v>2</v>
      </c>
      <c r="CL4063">
        <v>0</v>
      </c>
      <c r="CM4063">
        <v>2</v>
      </c>
      <c r="CN4063">
        <v>0</v>
      </c>
      <c r="CO4063">
        <v>6</v>
      </c>
      <c r="CP4063" t="s">
        <v>119</v>
      </c>
      <c r="CQ4063">
        <v>56</v>
      </c>
      <c r="CR4063">
        <v>2</v>
      </c>
      <c r="CW4063">
        <v>5100757</v>
      </c>
      <c r="CY4063">
        <v>1</v>
      </c>
      <c r="CZ4063">
        <v>0</v>
      </c>
      <c r="DA4063">
        <v>1</v>
      </c>
      <c r="DB4063">
        <v>0</v>
      </c>
      <c r="DC4063">
        <v>0</v>
      </c>
      <c r="DD4063">
        <v>1</v>
      </c>
      <c r="DE4063">
        <v>0</v>
      </c>
      <c r="DF4063">
        <v>0</v>
      </c>
      <c r="DG4063">
        <v>0</v>
      </c>
      <c r="DH4063">
        <v>0</v>
      </c>
      <c r="DI4063">
        <v>0</v>
      </c>
    </row>
    <row r="4064" spans="1:113" x14ac:dyDescent="0.3">
      <c r="A4064" t="str">
        <f t="shared" si="1877"/>
        <v>05/12/2020 14:48:20.796</v>
      </c>
      <c r="C4064" t="str">
        <f t="shared" si="1875"/>
        <v>FFDFD3C0</v>
      </c>
      <c r="D4064" t="s">
        <v>131</v>
      </c>
      <c r="E4064">
        <v>12</v>
      </c>
      <c r="F4064">
        <v>2012</v>
      </c>
      <c r="G4064" t="s">
        <v>137</v>
      </c>
      <c r="J4064" t="s">
        <v>133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 t="shared" si="1878"/>
        <v>14:48:38.609</v>
      </c>
      <c r="T4064" t="str">
        <f t="shared" si="1879"/>
        <v>14:48:38.209</v>
      </c>
      <c r="U4064" t="str">
        <f t="shared" si="1866"/>
        <v>A9808D</v>
      </c>
      <c r="V4064">
        <v>0</v>
      </c>
      <c r="W4064">
        <v>0</v>
      </c>
      <c r="X4064">
        <v>1</v>
      </c>
      <c r="Z4064">
        <v>0</v>
      </c>
      <c r="AA4064">
        <v>9</v>
      </c>
      <c r="AB4064">
        <v>3</v>
      </c>
      <c r="AC4064">
        <v>0</v>
      </c>
      <c r="AD4064">
        <v>10</v>
      </c>
      <c r="AE4064">
        <v>0</v>
      </c>
      <c r="AF4064">
        <v>3</v>
      </c>
      <c r="AG4064">
        <v>2</v>
      </c>
      <c r="AH4064">
        <v>0</v>
      </c>
      <c r="AI4064" t="s">
        <v>927</v>
      </c>
      <c r="AJ4064">
        <v>28.265204000000001</v>
      </c>
      <c r="AK4064" t="s">
        <v>928</v>
      </c>
      <c r="AL4064">
        <v>-82.297640000000001</v>
      </c>
      <c r="AM4064">
        <v>100</v>
      </c>
      <c r="AN4064">
        <v>2300</v>
      </c>
      <c r="AO4064" t="s">
        <v>118</v>
      </c>
      <c r="AP4064">
        <v>-120</v>
      </c>
      <c r="AQ4064">
        <v>-79</v>
      </c>
      <c r="AR4064">
        <v>64</v>
      </c>
      <c r="AZ4064">
        <v>1200</v>
      </c>
      <c r="BA4064">
        <v>1</v>
      </c>
      <c r="BB4064" t="str">
        <f t="shared" si="1876"/>
        <v xml:space="preserve">N711JA  </v>
      </c>
      <c r="BC4064">
        <v>1</v>
      </c>
      <c r="BE4064">
        <v>0</v>
      </c>
      <c r="BF4064">
        <v>0</v>
      </c>
      <c r="BG4064">
        <v>0</v>
      </c>
      <c r="BH4064">
        <v>2300</v>
      </c>
      <c r="BI4064">
        <v>1</v>
      </c>
      <c r="BJ4064">
        <v>1</v>
      </c>
      <c r="BK4064">
        <v>0</v>
      </c>
      <c r="BL4064">
        <v>0</v>
      </c>
      <c r="BO4064">
        <v>0</v>
      </c>
      <c r="BP4064">
        <v>0</v>
      </c>
      <c r="BW4064" t="str">
        <f t="shared" si="1880"/>
        <v>14:48:38.615</v>
      </c>
      <c r="CJ4064">
        <v>0</v>
      </c>
      <c r="CK4064">
        <v>2</v>
      </c>
      <c r="CL4064">
        <v>0</v>
      </c>
      <c r="CM4064">
        <v>2</v>
      </c>
      <c r="CN4064">
        <v>0</v>
      </c>
      <c r="CO4064">
        <v>6</v>
      </c>
      <c r="CP4064" t="s">
        <v>119</v>
      </c>
      <c r="CQ4064">
        <v>56</v>
      </c>
      <c r="CR4064">
        <v>2</v>
      </c>
      <c r="CW4064">
        <v>5100757</v>
      </c>
      <c r="CY4064">
        <v>1</v>
      </c>
      <c r="CZ4064">
        <v>0</v>
      </c>
      <c r="DA4064">
        <v>1</v>
      </c>
      <c r="DB4064">
        <v>0</v>
      </c>
      <c r="DC4064">
        <v>0</v>
      </c>
      <c r="DD4064">
        <v>1</v>
      </c>
      <c r="DE4064">
        <v>0</v>
      </c>
      <c r="DF4064">
        <v>0</v>
      </c>
      <c r="DG4064">
        <v>0</v>
      </c>
      <c r="DH4064">
        <v>0</v>
      </c>
      <c r="DI4064">
        <v>0</v>
      </c>
    </row>
    <row r="4065" spans="1:113" x14ac:dyDescent="0.3">
      <c r="A4065" t="str">
        <f t="shared" ref="A4065:A4073" si="1881">"05/12/2020 14:48:21.717"</f>
        <v>05/12/2020 14:48:21.717</v>
      </c>
      <c r="C4065" t="str">
        <f t="shared" si="1875"/>
        <v>FFDFD3C0</v>
      </c>
      <c r="D4065" t="s">
        <v>134</v>
      </c>
      <c r="E4065">
        <v>12</v>
      </c>
      <c r="H4065">
        <v>64</v>
      </c>
      <c r="I4065" t="s">
        <v>135</v>
      </c>
      <c r="J4065" t="s">
        <v>136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 t="shared" ref="S4065:S4073" si="1882">"14:48:39.555"</f>
        <v>14:48:39.555</v>
      </c>
      <c r="T4065" t="str">
        <f t="shared" ref="T4065:T4073" si="1883">"14:48:39.155"</f>
        <v>14:48:39.155</v>
      </c>
      <c r="U4065" t="str">
        <f t="shared" si="1866"/>
        <v>A9808D</v>
      </c>
      <c r="V4065">
        <v>0</v>
      </c>
      <c r="W4065">
        <v>0</v>
      </c>
      <c r="X4065">
        <v>1</v>
      </c>
      <c r="Z4065">
        <v>0</v>
      </c>
      <c r="AA4065">
        <v>9</v>
      </c>
      <c r="AB4065">
        <v>3</v>
      </c>
      <c r="AC4065">
        <v>0</v>
      </c>
      <c r="AD4065">
        <v>10</v>
      </c>
      <c r="AE4065">
        <v>0</v>
      </c>
      <c r="AF4065">
        <v>3</v>
      </c>
      <c r="AG4065">
        <v>2</v>
      </c>
      <c r="AH4065">
        <v>0</v>
      </c>
      <c r="AI4065" t="s">
        <v>929</v>
      </c>
      <c r="AJ4065">
        <v>28.26484</v>
      </c>
      <c r="AK4065" t="s">
        <v>930</v>
      </c>
      <c r="AL4065">
        <v>-82.298154999999994</v>
      </c>
      <c r="AM4065">
        <v>100</v>
      </c>
      <c r="AN4065">
        <v>2300</v>
      </c>
      <c r="AO4065" t="s">
        <v>118</v>
      </c>
      <c r="AP4065">
        <v>-119</v>
      </c>
      <c r="AQ4065">
        <v>-80</v>
      </c>
      <c r="AR4065">
        <v>128</v>
      </c>
      <c r="AZ4065">
        <v>1200</v>
      </c>
      <c r="BA4065">
        <v>1</v>
      </c>
      <c r="BB4065" t="str">
        <f t="shared" si="1876"/>
        <v xml:space="preserve">N711JA  </v>
      </c>
      <c r="BC4065">
        <v>1</v>
      </c>
      <c r="BE4065">
        <v>0</v>
      </c>
      <c r="BF4065">
        <v>0</v>
      </c>
      <c r="BG4065">
        <v>0</v>
      </c>
      <c r="BH4065">
        <v>2300</v>
      </c>
      <c r="BI4065">
        <v>1</v>
      </c>
      <c r="BJ4065">
        <v>1</v>
      </c>
      <c r="BK4065">
        <v>0</v>
      </c>
      <c r="BL4065">
        <v>0</v>
      </c>
      <c r="BO4065">
        <v>0</v>
      </c>
      <c r="BP4065">
        <v>0</v>
      </c>
      <c r="BW4065" t="str">
        <f t="shared" ref="BW4065:BW4073" si="1884">"14:48:39.557"</f>
        <v>14:48:39.557</v>
      </c>
      <c r="CJ4065">
        <v>0</v>
      </c>
      <c r="CK4065">
        <v>2</v>
      </c>
      <c r="CL4065">
        <v>0</v>
      </c>
      <c r="CM4065">
        <v>2</v>
      </c>
      <c r="CN4065">
        <v>0</v>
      </c>
      <c r="CO4065">
        <v>6</v>
      </c>
      <c r="CP4065" t="s">
        <v>119</v>
      </c>
      <c r="CQ4065">
        <v>358</v>
      </c>
      <c r="CR4065">
        <v>0</v>
      </c>
      <c r="CW4065">
        <v>5075534</v>
      </c>
      <c r="CY4065">
        <v>1</v>
      </c>
      <c r="CZ4065">
        <v>0</v>
      </c>
      <c r="DA4065">
        <v>0</v>
      </c>
      <c r="DB4065">
        <v>0</v>
      </c>
      <c r="DC4065">
        <v>0</v>
      </c>
      <c r="DD4065">
        <v>1</v>
      </c>
      <c r="DE4065">
        <v>0</v>
      </c>
      <c r="DF4065">
        <v>0</v>
      </c>
      <c r="DG4065">
        <v>0</v>
      </c>
      <c r="DH4065">
        <v>0</v>
      </c>
      <c r="DI4065">
        <v>0</v>
      </c>
    </row>
    <row r="4066" spans="1:113" x14ac:dyDescent="0.3">
      <c r="A4066" t="str">
        <f t="shared" si="1881"/>
        <v>05/12/2020 14:48:21.717</v>
      </c>
      <c r="C4066" t="str">
        <f t="shared" si="1875"/>
        <v>FFDFD3C0</v>
      </c>
      <c r="D4066" t="s">
        <v>113</v>
      </c>
      <c r="E4066">
        <v>3</v>
      </c>
      <c r="H4066">
        <v>164</v>
      </c>
      <c r="I4066" t="s">
        <v>114</v>
      </c>
      <c r="J4066" t="s">
        <v>115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 t="shared" si="1882"/>
        <v>14:48:39.555</v>
      </c>
      <c r="T4066" t="str">
        <f t="shared" si="1883"/>
        <v>14:48:39.155</v>
      </c>
      <c r="U4066" t="str">
        <f t="shared" si="1866"/>
        <v>A9808D</v>
      </c>
      <c r="V4066">
        <v>0</v>
      </c>
      <c r="W4066">
        <v>0</v>
      </c>
      <c r="X4066">
        <v>1</v>
      </c>
      <c r="Z4066">
        <v>0</v>
      </c>
      <c r="AA4066">
        <v>9</v>
      </c>
      <c r="AB4066">
        <v>3</v>
      </c>
      <c r="AC4066">
        <v>0</v>
      </c>
      <c r="AD4066">
        <v>10</v>
      </c>
      <c r="AE4066">
        <v>0</v>
      </c>
      <c r="AF4066">
        <v>3</v>
      </c>
      <c r="AG4066">
        <v>2</v>
      </c>
      <c r="AH4066">
        <v>0</v>
      </c>
      <c r="AI4066" t="s">
        <v>929</v>
      </c>
      <c r="AJ4066">
        <v>28.26484</v>
      </c>
      <c r="AK4066" t="s">
        <v>930</v>
      </c>
      <c r="AL4066">
        <v>-82.298154999999994</v>
      </c>
      <c r="AM4066">
        <v>100</v>
      </c>
      <c r="AN4066">
        <v>2300</v>
      </c>
      <c r="AO4066" t="s">
        <v>118</v>
      </c>
      <c r="AP4066">
        <v>-119</v>
      </c>
      <c r="AQ4066">
        <v>-80</v>
      </c>
      <c r="AR4066">
        <v>128</v>
      </c>
      <c r="AZ4066">
        <v>1200</v>
      </c>
      <c r="BA4066">
        <v>1</v>
      </c>
      <c r="BB4066" t="str">
        <f t="shared" si="1876"/>
        <v xml:space="preserve">N711JA  </v>
      </c>
      <c r="BC4066">
        <v>1</v>
      </c>
      <c r="BE4066">
        <v>0</v>
      </c>
      <c r="BF4066">
        <v>0</v>
      </c>
      <c r="BG4066">
        <v>0</v>
      </c>
      <c r="BH4066">
        <v>2300</v>
      </c>
      <c r="BI4066">
        <v>1</v>
      </c>
      <c r="BJ4066">
        <v>1</v>
      </c>
      <c r="BK4066">
        <v>0</v>
      </c>
      <c r="BL4066">
        <v>0</v>
      </c>
      <c r="BO4066">
        <v>0</v>
      </c>
      <c r="BP4066">
        <v>0</v>
      </c>
      <c r="BW4066" t="str">
        <f t="shared" si="1884"/>
        <v>14:48:39.557</v>
      </c>
      <c r="CJ4066">
        <v>0</v>
      </c>
      <c r="CK4066">
        <v>2</v>
      </c>
      <c r="CL4066">
        <v>0</v>
      </c>
      <c r="CM4066">
        <v>2</v>
      </c>
      <c r="CN4066">
        <v>0</v>
      </c>
      <c r="CO4066">
        <v>6</v>
      </c>
      <c r="CP4066" t="s">
        <v>119</v>
      </c>
      <c r="CQ4066">
        <v>56</v>
      </c>
      <c r="CR4066">
        <v>2</v>
      </c>
      <c r="CW4066">
        <v>5101903</v>
      </c>
      <c r="CY4066">
        <v>1</v>
      </c>
      <c r="CZ4066">
        <v>0</v>
      </c>
      <c r="DA4066">
        <v>1</v>
      </c>
      <c r="DB4066">
        <v>0</v>
      </c>
      <c r="DC4066">
        <v>0</v>
      </c>
      <c r="DD4066">
        <v>1</v>
      </c>
      <c r="DE4066">
        <v>0</v>
      </c>
      <c r="DF4066">
        <v>0</v>
      </c>
      <c r="DG4066">
        <v>0</v>
      </c>
      <c r="DH4066">
        <v>0</v>
      </c>
      <c r="DI4066">
        <v>0</v>
      </c>
    </row>
    <row r="4067" spans="1:113" x14ac:dyDescent="0.3">
      <c r="A4067" t="str">
        <f t="shared" si="1881"/>
        <v>05/12/2020 14:48:21.717</v>
      </c>
      <c r="C4067" t="str">
        <f t="shared" si="1875"/>
        <v>FFDFD3C0</v>
      </c>
      <c r="D4067" t="s">
        <v>138</v>
      </c>
      <c r="E4067">
        <v>3</v>
      </c>
      <c r="H4067">
        <v>9</v>
      </c>
      <c r="I4067" t="s">
        <v>140</v>
      </c>
      <c r="J4067" t="s">
        <v>136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 t="shared" si="1882"/>
        <v>14:48:39.555</v>
      </c>
      <c r="T4067" t="str">
        <f t="shared" si="1883"/>
        <v>14:48:39.155</v>
      </c>
      <c r="U4067" t="str">
        <f t="shared" si="1866"/>
        <v>A9808D</v>
      </c>
      <c r="V4067">
        <v>0</v>
      </c>
      <c r="W4067">
        <v>0</v>
      </c>
      <c r="X4067">
        <v>1</v>
      </c>
      <c r="Z4067">
        <v>0</v>
      </c>
      <c r="AA4067">
        <v>9</v>
      </c>
      <c r="AB4067">
        <v>3</v>
      </c>
      <c r="AC4067">
        <v>0</v>
      </c>
      <c r="AD4067">
        <v>10</v>
      </c>
      <c r="AE4067">
        <v>0</v>
      </c>
      <c r="AF4067">
        <v>3</v>
      </c>
      <c r="AG4067">
        <v>2</v>
      </c>
      <c r="AH4067">
        <v>0</v>
      </c>
      <c r="AI4067" t="s">
        <v>929</v>
      </c>
      <c r="AJ4067">
        <v>28.26484</v>
      </c>
      <c r="AK4067" t="s">
        <v>930</v>
      </c>
      <c r="AL4067">
        <v>-82.298154999999994</v>
      </c>
      <c r="AM4067">
        <v>100</v>
      </c>
      <c r="AN4067">
        <v>2300</v>
      </c>
      <c r="AO4067" t="s">
        <v>118</v>
      </c>
      <c r="AP4067">
        <v>-119</v>
      </c>
      <c r="AQ4067">
        <v>-80</v>
      </c>
      <c r="AR4067">
        <v>128</v>
      </c>
      <c r="AZ4067">
        <v>1200</v>
      </c>
      <c r="BA4067">
        <v>1</v>
      </c>
      <c r="BB4067" t="str">
        <f t="shared" si="1876"/>
        <v xml:space="preserve">N711JA  </v>
      </c>
      <c r="BC4067">
        <v>1</v>
      </c>
      <c r="BE4067">
        <v>0</v>
      </c>
      <c r="BF4067">
        <v>0</v>
      </c>
      <c r="BG4067">
        <v>0</v>
      </c>
      <c r="BH4067">
        <v>2300</v>
      </c>
      <c r="BI4067">
        <v>1</v>
      </c>
      <c r="BJ4067">
        <v>1</v>
      </c>
      <c r="BK4067">
        <v>0</v>
      </c>
      <c r="BL4067">
        <v>0</v>
      </c>
      <c r="BO4067">
        <v>0</v>
      </c>
      <c r="BP4067">
        <v>0</v>
      </c>
      <c r="BW4067" t="str">
        <f t="shared" si="1884"/>
        <v>14:48:39.557</v>
      </c>
      <c r="CJ4067">
        <v>0</v>
      </c>
      <c r="CK4067">
        <v>2</v>
      </c>
      <c r="CL4067">
        <v>0</v>
      </c>
      <c r="CM4067">
        <v>2</v>
      </c>
      <c r="CN4067">
        <v>0</v>
      </c>
      <c r="CO4067">
        <v>6</v>
      </c>
      <c r="CP4067" t="s">
        <v>119</v>
      </c>
      <c r="CQ4067">
        <v>358</v>
      </c>
      <c r="CR4067">
        <v>0</v>
      </c>
      <c r="CW4067">
        <v>5075534</v>
      </c>
      <c r="CY4067">
        <v>1</v>
      </c>
      <c r="CZ4067">
        <v>0</v>
      </c>
      <c r="DA4067">
        <v>1</v>
      </c>
      <c r="DB4067">
        <v>0</v>
      </c>
      <c r="DC4067">
        <v>0</v>
      </c>
      <c r="DD4067">
        <v>1</v>
      </c>
      <c r="DE4067">
        <v>0</v>
      </c>
      <c r="DF4067">
        <v>0</v>
      </c>
      <c r="DG4067">
        <v>0</v>
      </c>
      <c r="DH4067">
        <v>0</v>
      </c>
      <c r="DI4067">
        <v>0</v>
      </c>
    </row>
    <row r="4068" spans="1:113" x14ac:dyDescent="0.3">
      <c r="A4068" t="str">
        <f t="shared" si="1881"/>
        <v>05/12/2020 14:48:21.717</v>
      </c>
      <c r="C4068" t="str">
        <f t="shared" si="1875"/>
        <v>FFDFD3C0</v>
      </c>
      <c r="D4068" t="s">
        <v>138</v>
      </c>
      <c r="E4068">
        <v>2</v>
      </c>
      <c r="H4068">
        <v>8</v>
      </c>
      <c r="I4068" t="s">
        <v>139</v>
      </c>
      <c r="J4068" t="s">
        <v>136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 t="shared" si="1882"/>
        <v>14:48:39.555</v>
      </c>
      <c r="T4068" t="str">
        <f t="shared" si="1883"/>
        <v>14:48:39.155</v>
      </c>
      <c r="U4068" t="str">
        <f t="shared" si="1866"/>
        <v>A9808D</v>
      </c>
      <c r="V4068">
        <v>0</v>
      </c>
      <c r="W4068">
        <v>0</v>
      </c>
      <c r="X4068">
        <v>1</v>
      </c>
      <c r="Z4068">
        <v>0</v>
      </c>
      <c r="AA4068">
        <v>9</v>
      </c>
      <c r="AB4068">
        <v>3</v>
      </c>
      <c r="AC4068">
        <v>0</v>
      </c>
      <c r="AD4068">
        <v>10</v>
      </c>
      <c r="AE4068">
        <v>0</v>
      </c>
      <c r="AF4068">
        <v>3</v>
      </c>
      <c r="AG4068">
        <v>2</v>
      </c>
      <c r="AH4068">
        <v>0</v>
      </c>
      <c r="AI4068" t="s">
        <v>929</v>
      </c>
      <c r="AJ4068">
        <v>28.26484</v>
      </c>
      <c r="AK4068" t="s">
        <v>930</v>
      </c>
      <c r="AL4068">
        <v>-82.298154999999994</v>
      </c>
      <c r="AM4068">
        <v>100</v>
      </c>
      <c r="AN4068">
        <v>2300</v>
      </c>
      <c r="AO4068" t="s">
        <v>118</v>
      </c>
      <c r="AP4068">
        <v>-119</v>
      </c>
      <c r="AQ4068">
        <v>-80</v>
      </c>
      <c r="AR4068">
        <v>128</v>
      </c>
      <c r="AZ4068">
        <v>1200</v>
      </c>
      <c r="BA4068">
        <v>1</v>
      </c>
      <c r="BB4068" t="str">
        <f t="shared" si="1876"/>
        <v xml:space="preserve">N711JA  </v>
      </c>
      <c r="BC4068">
        <v>1</v>
      </c>
      <c r="BE4068">
        <v>0</v>
      </c>
      <c r="BF4068">
        <v>0</v>
      </c>
      <c r="BG4068">
        <v>0</v>
      </c>
      <c r="BH4068">
        <v>2300</v>
      </c>
      <c r="BI4068">
        <v>1</v>
      </c>
      <c r="BJ4068">
        <v>1</v>
      </c>
      <c r="BK4068">
        <v>0</v>
      </c>
      <c r="BL4068">
        <v>0</v>
      </c>
      <c r="BO4068">
        <v>0</v>
      </c>
      <c r="BP4068">
        <v>0</v>
      </c>
      <c r="BW4068" t="str">
        <f t="shared" si="1884"/>
        <v>14:48:39.557</v>
      </c>
      <c r="CJ4068">
        <v>0</v>
      </c>
      <c r="CK4068">
        <v>2</v>
      </c>
      <c r="CL4068">
        <v>0</v>
      </c>
      <c r="CM4068">
        <v>2</v>
      </c>
      <c r="CN4068">
        <v>0</v>
      </c>
      <c r="CO4068">
        <v>6</v>
      </c>
      <c r="CP4068" t="s">
        <v>119</v>
      </c>
      <c r="CQ4068">
        <v>56</v>
      </c>
      <c r="CR4068">
        <v>2</v>
      </c>
      <c r="CW4068">
        <v>5101903</v>
      </c>
      <c r="CY4068">
        <v>1</v>
      </c>
      <c r="CZ4068">
        <v>0</v>
      </c>
      <c r="DA4068">
        <v>1</v>
      </c>
      <c r="DB4068">
        <v>0</v>
      </c>
      <c r="DC4068">
        <v>0</v>
      </c>
      <c r="DD4068">
        <v>1</v>
      </c>
      <c r="DE4068">
        <v>0</v>
      </c>
      <c r="DF4068">
        <v>0</v>
      </c>
      <c r="DG4068">
        <v>0</v>
      </c>
      <c r="DH4068">
        <v>0</v>
      </c>
      <c r="DI4068">
        <v>0</v>
      </c>
    </row>
    <row r="4069" spans="1:113" x14ac:dyDescent="0.3">
      <c r="A4069" t="str">
        <f t="shared" si="1881"/>
        <v>05/12/2020 14:48:21.717</v>
      </c>
      <c r="C4069" t="str">
        <f t="shared" si="1875"/>
        <v>FFDFD3C0</v>
      </c>
      <c r="D4069" t="s">
        <v>126</v>
      </c>
      <c r="E4069">
        <v>6</v>
      </c>
      <c r="F4069">
        <v>1006</v>
      </c>
      <c r="G4069" t="s">
        <v>114</v>
      </c>
      <c r="J4069" t="s">
        <v>128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 t="shared" si="1882"/>
        <v>14:48:39.555</v>
      </c>
      <c r="T4069" t="str">
        <f t="shared" si="1883"/>
        <v>14:48:39.155</v>
      </c>
      <c r="U4069" t="str">
        <f t="shared" si="1866"/>
        <v>A9808D</v>
      </c>
      <c r="V4069">
        <v>0</v>
      </c>
      <c r="W4069">
        <v>0</v>
      </c>
      <c r="X4069">
        <v>1</v>
      </c>
      <c r="Z4069">
        <v>0</v>
      </c>
      <c r="AA4069">
        <v>9</v>
      </c>
      <c r="AB4069">
        <v>3</v>
      </c>
      <c r="AC4069">
        <v>0</v>
      </c>
      <c r="AD4069">
        <v>10</v>
      </c>
      <c r="AE4069">
        <v>0</v>
      </c>
      <c r="AF4069">
        <v>3</v>
      </c>
      <c r="AG4069">
        <v>2</v>
      </c>
      <c r="AH4069">
        <v>0</v>
      </c>
      <c r="AI4069" t="s">
        <v>929</v>
      </c>
      <c r="AJ4069">
        <v>28.26484</v>
      </c>
      <c r="AK4069" t="s">
        <v>930</v>
      </c>
      <c r="AL4069">
        <v>-82.298154999999994</v>
      </c>
      <c r="AM4069">
        <v>100</v>
      </c>
      <c r="AN4069">
        <v>2300</v>
      </c>
      <c r="AO4069" t="s">
        <v>118</v>
      </c>
      <c r="AP4069">
        <v>-119</v>
      </c>
      <c r="AQ4069">
        <v>-80</v>
      </c>
      <c r="AR4069">
        <v>128</v>
      </c>
      <c r="AZ4069">
        <v>1200</v>
      </c>
      <c r="BA4069">
        <v>1</v>
      </c>
      <c r="BB4069" t="str">
        <f t="shared" si="1876"/>
        <v xml:space="preserve">N711JA  </v>
      </c>
      <c r="BC4069">
        <v>1</v>
      </c>
      <c r="BE4069">
        <v>0</v>
      </c>
      <c r="BF4069">
        <v>0</v>
      </c>
      <c r="BG4069">
        <v>0</v>
      </c>
      <c r="BH4069">
        <v>2300</v>
      </c>
      <c r="BI4069">
        <v>1</v>
      </c>
      <c r="BJ4069">
        <v>1</v>
      </c>
      <c r="BK4069">
        <v>0</v>
      </c>
      <c r="BL4069">
        <v>0</v>
      </c>
      <c r="BO4069">
        <v>0</v>
      </c>
      <c r="BP4069">
        <v>0</v>
      </c>
      <c r="BW4069" t="str">
        <f t="shared" si="1884"/>
        <v>14:48:39.557</v>
      </c>
      <c r="CJ4069">
        <v>0</v>
      </c>
      <c r="CK4069">
        <v>2</v>
      </c>
      <c r="CL4069">
        <v>0</v>
      </c>
      <c r="CM4069">
        <v>2</v>
      </c>
      <c r="CN4069">
        <v>0</v>
      </c>
      <c r="CO4069">
        <v>6</v>
      </c>
      <c r="CP4069" t="s">
        <v>119</v>
      </c>
      <c r="CQ4069">
        <v>358</v>
      </c>
      <c r="CR4069">
        <v>0</v>
      </c>
      <c r="CW4069">
        <v>5075534</v>
      </c>
      <c r="CY4069">
        <v>1</v>
      </c>
      <c r="CZ4069">
        <v>0</v>
      </c>
      <c r="DA4069">
        <v>1</v>
      </c>
      <c r="DB4069">
        <v>0</v>
      </c>
      <c r="DC4069">
        <v>0</v>
      </c>
      <c r="DD4069">
        <v>1</v>
      </c>
      <c r="DE4069">
        <v>0</v>
      </c>
      <c r="DF4069">
        <v>0</v>
      </c>
      <c r="DG4069">
        <v>0</v>
      </c>
      <c r="DH4069">
        <v>0</v>
      </c>
      <c r="DI4069">
        <v>0</v>
      </c>
    </row>
    <row r="4070" spans="1:113" x14ac:dyDescent="0.3">
      <c r="A4070" t="str">
        <f t="shared" si="1881"/>
        <v>05/12/2020 14:48:21.717</v>
      </c>
      <c r="C4070" t="str">
        <f t="shared" si="1875"/>
        <v>FFDFD3C0</v>
      </c>
      <c r="D4070" t="s">
        <v>126</v>
      </c>
      <c r="E4070">
        <v>7</v>
      </c>
      <c r="F4070">
        <v>1007</v>
      </c>
      <c r="G4070" t="s">
        <v>127</v>
      </c>
      <c r="J4070" t="s">
        <v>128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 t="shared" si="1882"/>
        <v>14:48:39.555</v>
      </c>
      <c r="T4070" t="str">
        <f t="shared" si="1883"/>
        <v>14:48:39.155</v>
      </c>
      <c r="U4070" t="str">
        <f t="shared" si="1866"/>
        <v>A9808D</v>
      </c>
      <c r="V4070">
        <v>0</v>
      </c>
      <c r="W4070">
        <v>0</v>
      </c>
      <c r="X4070">
        <v>1</v>
      </c>
      <c r="Z4070">
        <v>0</v>
      </c>
      <c r="AA4070">
        <v>9</v>
      </c>
      <c r="AB4070">
        <v>3</v>
      </c>
      <c r="AC4070">
        <v>0</v>
      </c>
      <c r="AD4070">
        <v>10</v>
      </c>
      <c r="AE4070">
        <v>0</v>
      </c>
      <c r="AF4070">
        <v>3</v>
      </c>
      <c r="AG4070">
        <v>2</v>
      </c>
      <c r="AH4070">
        <v>0</v>
      </c>
      <c r="AI4070" t="s">
        <v>929</v>
      </c>
      <c r="AJ4070">
        <v>28.26484</v>
      </c>
      <c r="AK4070" t="s">
        <v>930</v>
      </c>
      <c r="AL4070">
        <v>-82.298154999999994</v>
      </c>
      <c r="AM4070">
        <v>100</v>
      </c>
      <c r="AN4070">
        <v>2300</v>
      </c>
      <c r="AO4070" t="s">
        <v>118</v>
      </c>
      <c r="AP4070">
        <v>-119</v>
      </c>
      <c r="AQ4070">
        <v>-80</v>
      </c>
      <c r="AR4070">
        <v>128</v>
      </c>
      <c r="AZ4070">
        <v>1200</v>
      </c>
      <c r="BA4070">
        <v>1</v>
      </c>
      <c r="BB4070" t="str">
        <f t="shared" si="1876"/>
        <v xml:space="preserve">N711JA  </v>
      </c>
      <c r="BC4070">
        <v>1</v>
      </c>
      <c r="BE4070">
        <v>0</v>
      </c>
      <c r="BF4070">
        <v>0</v>
      </c>
      <c r="BG4070">
        <v>0</v>
      </c>
      <c r="BH4070">
        <v>2300</v>
      </c>
      <c r="BI4070">
        <v>1</v>
      </c>
      <c r="BJ4070">
        <v>1</v>
      </c>
      <c r="BK4070">
        <v>0</v>
      </c>
      <c r="BL4070">
        <v>0</v>
      </c>
      <c r="BO4070">
        <v>0</v>
      </c>
      <c r="BP4070">
        <v>0</v>
      </c>
      <c r="BW4070" t="str">
        <f t="shared" si="1884"/>
        <v>14:48:39.557</v>
      </c>
      <c r="CJ4070">
        <v>0</v>
      </c>
      <c r="CK4070">
        <v>2</v>
      </c>
      <c r="CL4070">
        <v>0</v>
      </c>
      <c r="CM4070">
        <v>2</v>
      </c>
      <c r="CN4070">
        <v>0</v>
      </c>
      <c r="CO4070">
        <v>6</v>
      </c>
      <c r="CP4070" t="s">
        <v>119</v>
      </c>
      <c r="CQ4070">
        <v>358</v>
      </c>
      <c r="CR4070">
        <v>0</v>
      </c>
      <c r="CW4070">
        <v>5075534</v>
      </c>
      <c r="CY4070">
        <v>1</v>
      </c>
      <c r="CZ4070">
        <v>0</v>
      </c>
      <c r="DA4070">
        <v>1</v>
      </c>
      <c r="DB4070">
        <v>0</v>
      </c>
      <c r="DC4070">
        <v>0</v>
      </c>
      <c r="DD4070">
        <v>1</v>
      </c>
      <c r="DE4070">
        <v>0</v>
      </c>
      <c r="DF4070">
        <v>0</v>
      </c>
      <c r="DG4070">
        <v>0</v>
      </c>
      <c r="DH4070">
        <v>0</v>
      </c>
      <c r="DI4070">
        <v>0</v>
      </c>
    </row>
    <row r="4071" spans="1:113" x14ac:dyDescent="0.3">
      <c r="A4071" t="str">
        <f t="shared" si="1881"/>
        <v>05/12/2020 14:48:21.717</v>
      </c>
      <c r="C4071" t="str">
        <f t="shared" si="1875"/>
        <v>FFDFD3C0</v>
      </c>
      <c r="D4071" t="s">
        <v>131</v>
      </c>
      <c r="E4071">
        <v>10</v>
      </c>
      <c r="F4071">
        <v>2010</v>
      </c>
      <c r="G4071" t="s">
        <v>132</v>
      </c>
      <c r="J4071" t="s">
        <v>133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 t="shared" si="1882"/>
        <v>14:48:39.555</v>
      </c>
      <c r="T4071" t="str">
        <f t="shared" si="1883"/>
        <v>14:48:39.155</v>
      </c>
      <c r="U4071" t="str">
        <f t="shared" si="1866"/>
        <v>A9808D</v>
      </c>
      <c r="V4071">
        <v>0</v>
      </c>
      <c r="W4071">
        <v>0</v>
      </c>
      <c r="X4071">
        <v>1</v>
      </c>
      <c r="Z4071">
        <v>0</v>
      </c>
      <c r="AA4071">
        <v>9</v>
      </c>
      <c r="AB4071">
        <v>3</v>
      </c>
      <c r="AC4071">
        <v>0</v>
      </c>
      <c r="AD4071">
        <v>10</v>
      </c>
      <c r="AE4071">
        <v>0</v>
      </c>
      <c r="AF4071">
        <v>3</v>
      </c>
      <c r="AG4071">
        <v>2</v>
      </c>
      <c r="AH4071">
        <v>0</v>
      </c>
      <c r="AI4071" t="s">
        <v>929</v>
      </c>
      <c r="AJ4071">
        <v>28.26484</v>
      </c>
      <c r="AK4071" t="s">
        <v>930</v>
      </c>
      <c r="AL4071">
        <v>-82.298154999999994</v>
      </c>
      <c r="AM4071">
        <v>100</v>
      </c>
      <c r="AN4071">
        <v>2300</v>
      </c>
      <c r="AO4071" t="s">
        <v>118</v>
      </c>
      <c r="AP4071">
        <v>-119</v>
      </c>
      <c r="AQ4071">
        <v>-80</v>
      </c>
      <c r="AR4071">
        <v>128</v>
      </c>
      <c r="AZ4071">
        <v>1200</v>
      </c>
      <c r="BA4071">
        <v>1</v>
      </c>
      <c r="BB4071" t="str">
        <f t="shared" si="1876"/>
        <v xml:space="preserve">N711JA  </v>
      </c>
      <c r="BC4071">
        <v>1</v>
      </c>
      <c r="BE4071">
        <v>0</v>
      </c>
      <c r="BF4071">
        <v>0</v>
      </c>
      <c r="BG4071">
        <v>0</v>
      </c>
      <c r="BH4071">
        <v>2300</v>
      </c>
      <c r="BI4071">
        <v>1</v>
      </c>
      <c r="BJ4071">
        <v>1</v>
      </c>
      <c r="BK4071">
        <v>0</v>
      </c>
      <c r="BL4071">
        <v>0</v>
      </c>
      <c r="BO4071">
        <v>0</v>
      </c>
      <c r="BP4071">
        <v>0</v>
      </c>
      <c r="BW4071" t="str">
        <f t="shared" si="1884"/>
        <v>14:48:39.557</v>
      </c>
      <c r="CJ4071">
        <v>0</v>
      </c>
      <c r="CK4071">
        <v>2</v>
      </c>
      <c r="CL4071">
        <v>0</v>
      </c>
      <c r="CM4071">
        <v>2</v>
      </c>
      <c r="CN4071">
        <v>0</v>
      </c>
      <c r="CO4071">
        <v>6</v>
      </c>
      <c r="CP4071" t="s">
        <v>119</v>
      </c>
      <c r="CQ4071">
        <v>358</v>
      </c>
      <c r="CR4071">
        <v>0</v>
      </c>
      <c r="CW4071">
        <v>5075534</v>
      </c>
      <c r="CY4071">
        <v>1</v>
      </c>
      <c r="CZ4071">
        <v>0</v>
      </c>
      <c r="DA4071">
        <v>1</v>
      </c>
      <c r="DB4071">
        <v>0</v>
      </c>
      <c r="DC4071">
        <v>0</v>
      </c>
      <c r="DD4071">
        <v>1</v>
      </c>
      <c r="DE4071">
        <v>0</v>
      </c>
      <c r="DF4071">
        <v>0</v>
      </c>
      <c r="DG4071">
        <v>0</v>
      </c>
      <c r="DH4071">
        <v>0</v>
      </c>
      <c r="DI4071">
        <v>0</v>
      </c>
    </row>
    <row r="4072" spans="1:113" x14ac:dyDescent="0.3">
      <c r="A4072" t="str">
        <f t="shared" si="1881"/>
        <v>05/12/2020 14:48:21.717</v>
      </c>
      <c r="C4072" t="str">
        <f t="shared" si="1875"/>
        <v>FFDFD3C0</v>
      </c>
      <c r="D4072" t="s">
        <v>131</v>
      </c>
      <c r="E4072">
        <v>12</v>
      </c>
      <c r="F4072">
        <v>2012</v>
      </c>
      <c r="G4072" t="s">
        <v>137</v>
      </c>
      <c r="J4072" t="s">
        <v>133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 t="shared" si="1882"/>
        <v>14:48:39.555</v>
      </c>
      <c r="T4072" t="str">
        <f t="shared" si="1883"/>
        <v>14:48:39.155</v>
      </c>
      <c r="U4072" t="str">
        <f t="shared" si="1866"/>
        <v>A9808D</v>
      </c>
      <c r="V4072">
        <v>0</v>
      </c>
      <c r="W4072">
        <v>0</v>
      </c>
      <c r="X4072">
        <v>1</v>
      </c>
      <c r="Z4072">
        <v>0</v>
      </c>
      <c r="AA4072">
        <v>9</v>
      </c>
      <c r="AB4072">
        <v>3</v>
      </c>
      <c r="AC4072">
        <v>0</v>
      </c>
      <c r="AD4072">
        <v>10</v>
      </c>
      <c r="AE4072">
        <v>0</v>
      </c>
      <c r="AF4072">
        <v>3</v>
      </c>
      <c r="AG4072">
        <v>2</v>
      </c>
      <c r="AH4072">
        <v>0</v>
      </c>
      <c r="AI4072" t="s">
        <v>929</v>
      </c>
      <c r="AJ4072">
        <v>28.26484</v>
      </c>
      <c r="AK4072" t="s">
        <v>930</v>
      </c>
      <c r="AL4072">
        <v>-82.298154999999994</v>
      </c>
      <c r="AM4072">
        <v>100</v>
      </c>
      <c r="AN4072">
        <v>2300</v>
      </c>
      <c r="AO4072" t="s">
        <v>118</v>
      </c>
      <c r="AP4072">
        <v>-119</v>
      </c>
      <c r="AQ4072">
        <v>-80</v>
      </c>
      <c r="AR4072">
        <v>128</v>
      </c>
      <c r="AZ4072">
        <v>1200</v>
      </c>
      <c r="BA4072">
        <v>1</v>
      </c>
      <c r="BB4072" t="str">
        <f t="shared" si="1876"/>
        <v xml:space="preserve">N711JA  </v>
      </c>
      <c r="BC4072">
        <v>1</v>
      </c>
      <c r="BE4072">
        <v>0</v>
      </c>
      <c r="BF4072">
        <v>0</v>
      </c>
      <c r="BG4072">
        <v>0</v>
      </c>
      <c r="BH4072">
        <v>2300</v>
      </c>
      <c r="BI4072">
        <v>1</v>
      </c>
      <c r="BJ4072">
        <v>1</v>
      </c>
      <c r="BK4072">
        <v>0</v>
      </c>
      <c r="BL4072">
        <v>0</v>
      </c>
      <c r="BO4072">
        <v>0</v>
      </c>
      <c r="BP4072">
        <v>0</v>
      </c>
      <c r="BW4072" t="str">
        <f t="shared" si="1884"/>
        <v>14:48:39.557</v>
      </c>
      <c r="CJ4072">
        <v>0</v>
      </c>
      <c r="CK4072">
        <v>2</v>
      </c>
      <c r="CL4072">
        <v>0</v>
      </c>
      <c r="CM4072">
        <v>2</v>
      </c>
      <c r="CN4072">
        <v>0</v>
      </c>
      <c r="CO4072">
        <v>6</v>
      </c>
      <c r="CP4072" t="s">
        <v>119</v>
      </c>
      <c r="CQ4072">
        <v>56</v>
      </c>
      <c r="CR4072">
        <v>2</v>
      </c>
      <c r="CW4072">
        <v>5101903</v>
      </c>
      <c r="CY4072">
        <v>1</v>
      </c>
      <c r="CZ4072">
        <v>0</v>
      </c>
      <c r="DA4072">
        <v>1</v>
      </c>
      <c r="DB4072">
        <v>0</v>
      </c>
      <c r="DC4072">
        <v>0</v>
      </c>
      <c r="DD4072">
        <v>1</v>
      </c>
      <c r="DE4072">
        <v>0</v>
      </c>
      <c r="DF4072">
        <v>0</v>
      </c>
      <c r="DG4072">
        <v>0</v>
      </c>
      <c r="DH4072">
        <v>0</v>
      </c>
      <c r="DI4072">
        <v>0</v>
      </c>
    </row>
    <row r="4073" spans="1:113" x14ac:dyDescent="0.3">
      <c r="A4073" t="str">
        <f t="shared" si="1881"/>
        <v>05/12/2020 14:48:21.717</v>
      </c>
      <c r="C4073" t="str">
        <f t="shared" si="1875"/>
        <v>FFDFD3C0</v>
      </c>
      <c r="D4073" t="s">
        <v>131</v>
      </c>
      <c r="E4073">
        <v>18</v>
      </c>
      <c r="F4073">
        <v>2018</v>
      </c>
      <c r="G4073" t="s">
        <v>161</v>
      </c>
      <c r="J4073" t="s">
        <v>133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 t="shared" si="1882"/>
        <v>14:48:39.555</v>
      </c>
      <c r="T4073" t="str">
        <f t="shared" si="1883"/>
        <v>14:48:39.155</v>
      </c>
      <c r="U4073" t="str">
        <f t="shared" si="1866"/>
        <v>A9808D</v>
      </c>
      <c r="V4073">
        <v>0</v>
      </c>
      <c r="W4073">
        <v>0</v>
      </c>
      <c r="X4073">
        <v>1</v>
      </c>
      <c r="Z4073">
        <v>0</v>
      </c>
      <c r="AA4073">
        <v>9</v>
      </c>
      <c r="AB4073">
        <v>3</v>
      </c>
      <c r="AC4073">
        <v>0</v>
      </c>
      <c r="AD4073">
        <v>10</v>
      </c>
      <c r="AE4073">
        <v>0</v>
      </c>
      <c r="AF4073">
        <v>3</v>
      </c>
      <c r="AG4073">
        <v>2</v>
      </c>
      <c r="AH4073">
        <v>0</v>
      </c>
      <c r="AI4073" t="s">
        <v>929</v>
      </c>
      <c r="AJ4073">
        <v>28.26484</v>
      </c>
      <c r="AK4073" t="s">
        <v>930</v>
      </c>
      <c r="AL4073">
        <v>-82.298154999999994</v>
      </c>
      <c r="AM4073">
        <v>100</v>
      </c>
      <c r="AN4073">
        <v>2300</v>
      </c>
      <c r="AO4073" t="s">
        <v>118</v>
      </c>
      <c r="AP4073">
        <v>-119</v>
      </c>
      <c r="AQ4073">
        <v>-80</v>
      </c>
      <c r="AR4073">
        <v>128</v>
      </c>
      <c r="AZ4073">
        <v>1200</v>
      </c>
      <c r="BA4073">
        <v>1</v>
      </c>
      <c r="BB4073" t="str">
        <f t="shared" si="1876"/>
        <v xml:space="preserve">N711JA  </v>
      </c>
      <c r="BC4073">
        <v>1</v>
      </c>
      <c r="BE4073">
        <v>0</v>
      </c>
      <c r="BF4073">
        <v>0</v>
      </c>
      <c r="BG4073">
        <v>0</v>
      </c>
      <c r="BH4073">
        <v>2300</v>
      </c>
      <c r="BI4073">
        <v>1</v>
      </c>
      <c r="BJ4073">
        <v>1</v>
      </c>
      <c r="BK4073">
        <v>0</v>
      </c>
      <c r="BL4073">
        <v>0</v>
      </c>
      <c r="BO4073">
        <v>0</v>
      </c>
      <c r="BP4073">
        <v>0</v>
      </c>
      <c r="BW4073" t="str">
        <f t="shared" si="1884"/>
        <v>14:48:39.557</v>
      </c>
      <c r="CJ4073">
        <v>0</v>
      </c>
      <c r="CK4073">
        <v>2</v>
      </c>
      <c r="CL4073">
        <v>0</v>
      </c>
      <c r="CM4073">
        <v>2</v>
      </c>
      <c r="CN4073">
        <v>0</v>
      </c>
      <c r="CO4073">
        <v>6</v>
      </c>
      <c r="CP4073" t="s">
        <v>119</v>
      </c>
      <c r="CQ4073">
        <v>56</v>
      </c>
      <c r="CR4073">
        <v>2</v>
      </c>
      <c r="CW4073">
        <v>5101903</v>
      </c>
      <c r="CY4073">
        <v>1</v>
      </c>
      <c r="CZ4073">
        <v>0</v>
      </c>
      <c r="DA4073">
        <v>1</v>
      </c>
      <c r="DB4073">
        <v>0</v>
      </c>
      <c r="DC4073">
        <v>0</v>
      </c>
      <c r="DD4073">
        <v>1</v>
      </c>
      <c r="DE4073">
        <v>0</v>
      </c>
      <c r="DF4073">
        <v>0</v>
      </c>
      <c r="DG4073">
        <v>0</v>
      </c>
      <c r="DH4073">
        <v>0</v>
      </c>
      <c r="DI4073">
        <v>0</v>
      </c>
    </row>
    <row r="4074" spans="1:113" x14ac:dyDescent="0.3">
      <c r="A4074" t="str">
        <f t="shared" ref="A4074:A4082" si="1885">"05/12/2020 14:48:22.658"</f>
        <v>05/12/2020 14:48:22.658</v>
      </c>
      <c r="C4074" t="str">
        <f t="shared" si="1875"/>
        <v>FFDFD3C0</v>
      </c>
      <c r="D4074" t="s">
        <v>131</v>
      </c>
      <c r="E4074">
        <v>18</v>
      </c>
      <c r="F4074">
        <v>2018</v>
      </c>
      <c r="G4074" t="s">
        <v>161</v>
      </c>
      <c r="J4074" t="s">
        <v>133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 t="shared" ref="S4074:S4082" si="1886">"14:48:40.477"</f>
        <v>14:48:40.477</v>
      </c>
      <c r="T4074" t="str">
        <f t="shared" ref="T4074:T4082" si="1887">"14:48:40.177"</f>
        <v>14:48:40.177</v>
      </c>
      <c r="U4074" t="str">
        <f t="shared" si="1866"/>
        <v>A9808D</v>
      </c>
      <c r="V4074">
        <v>0</v>
      </c>
      <c r="W4074">
        <v>0</v>
      </c>
      <c r="X4074">
        <v>1</v>
      </c>
      <c r="Z4074">
        <v>0</v>
      </c>
      <c r="AA4074">
        <v>9</v>
      </c>
      <c r="AB4074">
        <v>3</v>
      </c>
      <c r="AC4074">
        <v>0</v>
      </c>
      <c r="AD4074">
        <v>10</v>
      </c>
      <c r="AE4074">
        <v>0</v>
      </c>
      <c r="AF4074">
        <v>3</v>
      </c>
      <c r="AG4074">
        <v>2</v>
      </c>
      <c r="AH4074">
        <v>0</v>
      </c>
      <c r="AI4074" t="s">
        <v>931</v>
      </c>
      <c r="AJ4074">
        <v>28.264517999999999</v>
      </c>
      <c r="AK4074" t="s">
        <v>932</v>
      </c>
      <c r="AL4074">
        <v>-82.298733999999996</v>
      </c>
      <c r="AM4074">
        <v>100</v>
      </c>
      <c r="AN4074">
        <v>2300</v>
      </c>
      <c r="AO4074" t="s">
        <v>118</v>
      </c>
      <c r="AP4074">
        <v>-118</v>
      </c>
      <c r="AQ4074">
        <v>-81</v>
      </c>
      <c r="AR4074">
        <v>192</v>
      </c>
      <c r="AZ4074">
        <v>1200</v>
      </c>
      <c r="BA4074">
        <v>1</v>
      </c>
      <c r="BB4074" t="str">
        <f t="shared" si="1876"/>
        <v xml:space="preserve">N711JA  </v>
      </c>
      <c r="BC4074">
        <v>1</v>
      </c>
      <c r="BE4074">
        <v>0</v>
      </c>
      <c r="BF4074">
        <v>0</v>
      </c>
      <c r="BG4074">
        <v>0</v>
      </c>
      <c r="BH4074">
        <v>2300</v>
      </c>
      <c r="BI4074">
        <v>1</v>
      </c>
      <c r="BJ4074">
        <v>1</v>
      </c>
      <c r="BK4074">
        <v>0</v>
      </c>
      <c r="BL4074">
        <v>0</v>
      </c>
      <c r="BO4074">
        <v>0</v>
      </c>
      <c r="BP4074">
        <v>0</v>
      </c>
      <c r="BW4074" t="str">
        <f t="shared" ref="BW4074:BW4082" si="1888">"14:48:40.477"</f>
        <v>14:48:40.477</v>
      </c>
      <c r="CJ4074">
        <v>0</v>
      </c>
      <c r="CK4074">
        <v>2</v>
      </c>
      <c r="CL4074">
        <v>0</v>
      </c>
      <c r="CM4074">
        <v>2</v>
      </c>
      <c r="CN4074">
        <v>0</v>
      </c>
      <c r="CO4074">
        <v>6</v>
      </c>
      <c r="CP4074" t="s">
        <v>119</v>
      </c>
      <c r="CQ4074">
        <v>56</v>
      </c>
      <c r="CR4074">
        <v>2</v>
      </c>
      <c r="CW4074">
        <v>5103084</v>
      </c>
      <c r="CY4074">
        <v>1</v>
      </c>
      <c r="CZ4074">
        <v>0</v>
      </c>
      <c r="DA4074">
        <v>0</v>
      </c>
      <c r="DB4074">
        <v>0</v>
      </c>
      <c r="DC4074">
        <v>0</v>
      </c>
      <c r="DD4074">
        <v>1</v>
      </c>
      <c r="DE4074">
        <v>0</v>
      </c>
      <c r="DF4074">
        <v>0</v>
      </c>
      <c r="DG4074">
        <v>0</v>
      </c>
      <c r="DH4074">
        <v>0</v>
      </c>
      <c r="DI4074">
        <v>0</v>
      </c>
    </row>
    <row r="4075" spans="1:113" x14ac:dyDescent="0.3">
      <c r="A4075" t="str">
        <f t="shared" si="1885"/>
        <v>05/12/2020 14:48:22.658</v>
      </c>
      <c r="C4075" t="str">
        <f t="shared" si="1875"/>
        <v>FFDFD3C0</v>
      </c>
      <c r="D4075" t="s">
        <v>134</v>
      </c>
      <c r="E4075">
        <v>12</v>
      </c>
      <c r="H4075">
        <v>64</v>
      </c>
      <c r="I4075" t="s">
        <v>135</v>
      </c>
      <c r="J4075" t="s">
        <v>136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 t="shared" si="1886"/>
        <v>14:48:40.477</v>
      </c>
      <c r="T4075" t="str">
        <f t="shared" si="1887"/>
        <v>14:48:40.177</v>
      </c>
      <c r="U4075" t="str">
        <f t="shared" si="1866"/>
        <v>A9808D</v>
      </c>
      <c r="V4075">
        <v>0</v>
      </c>
      <c r="W4075">
        <v>0</v>
      </c>
      <c r="X4075">
        <v>1</v>
      </c>
      <c r="Z4075">
        <v>0</v>
      </c>
      <c r="AA4075">
        <v>9</v>
      </c>
      <c r="AB4075">
        <v>3</v>
      </c>
      <c r="AC4075">
        <v>0</v>
      </c>
      <c r="AD4075">
        <v>10</v>
      </c>
      <c r="AE4075">
        <v>0</v>
      </c>
      <c r="AF4075">
        <v>3</v>
      </c>
      <c r="AG4075">
        <v>2</v>
      </c>
      <c r="AH4075">
        <v>0</v>
      </c>
      <c r="AI4075" t="s">
        <v>931</v>
      </c>
      <c r="AJ4075">
        <v>28.264517999999999</v>
      </c>
      <c r="AK4075" t="s">
        <v>932</v>
      </c>
      <c r="AL4075">
        <v>-82.298733999999996</v>
      </c>
      <c r="AM4075">
        <v>100</v>
      </c>
      <c r="AN4075">
        <v>2300</v>
      </c>
      <c r="AO4075" t="s">
        <v>118</v>
      </c>
      <c r="AP4075">
        <v>-118</v>
      </c>
      <c r="AQ4075">
        <v>-81</v>
      </c>
      <c r="AR4075">
        <v>192</v>
      </c>
      <c r="AZ4075">
        <v>1200</v>
      </c>
      <c r="BA4075">
        <v>1</v>
      </c>
      <c r="BB4075" t="str">
        <f t="shared" si="1876"/>
        <v xml:space="preserve">N711JA  </v>
      </c>
      <c r="BC4075">
        <v>1</v>
      </c>
      <c r="BE4075">
        <v>0</v>
      </c>
      <c r="BF4075">
        <v>0</v>
      </c>
      <c r="BG4075">
        <v>0</v>
      </c>
      <c r="BH4075">
        <v>2300</v>
      </c>
      <c r="BI4075">
        <v>1</v>
      </c>
      <c r="BJ4075">
        <v>1</v>
      </c>
      <c r="BK4075">
        <v>0</v>
      </c>
      <c r="BL4075">
        <v>0</v>
      </c>
      <c r="BO4075">
        <v>0</v>
      </c>
      <c r="BP4075">
        <v>0</v>
      </c>
      <c r="BW4075" t="str">
        <f t="shared" si="1888"/>
        <v>14:48:40.477</v>
      </c>
      <c r="CJ4075">
        <v>0</v>
      </c>
      <c r="CK4075">
        <v>2</v>
      </c>
      <c r="CL4075">
        <v>0</v>
      </c>
      <c r="CM4075">
        <v>2</v>
      </c>
      <c r="CN4075">
        <v>0</v>
      </c>
      <c r="CO4075">
        <v>6</v>
      </c>
      <c r="CP4075" t="s">
        <v>119</v>
      </c>
      <c r="CQ4075">
        <v>358</v>
      </c>
      <c r="CR4075">
        <v>0</v>
      </c>
      <c r="CW4075">
        <v>5076734</v>
      </c>
      <c r="CY4075">
        <v>1</v>
      </c>
      <c r="CZ4075">
        <v>0</v>
      </c>
      <c r="DA4075">
        <v>1</v>
      </c>
      <c r="DB4075">
        <v>0</v>
      </c>
      <c r="DC4075">
        <v>0</v>
      </c>
      <c r="DD4075">
        <v>1</v>
      </c>
      <c r="DE4075">
        <v>0</v>
      </c>
      <c r="DF4075">
        <v>0</v>
      </c>
      <c r="DG4075">
        <v>0</v>
      </c>
      <c r="DH4075">
        <v>0</v>
      </c>
      <c r="DI4075">
        <v>0</v>
      </c>
    </row>
    <row r="4076" spans="1:113" x14ac:dyDescent="0.3">
      <c r="A4076" t="str">
        <f t="shared" si="1885"/>
        <v>05/12/2020 14:48:22.658</v>
      </c>
      <c r="C4076" t="str">
        <f t="shared" si="1875"/>
        <v>FFDFD3C0</v>
      </c>
      <c r="D4076" t="s">
        <v>126</v>
      </c>
      <c r="E4076">
        <v>6</v>
      </c>
      <c r="F4076">
        <v>1006</v>
      </c>
      <c r="G4076" t="s">
        <v>114</v>
      </c>
      <c r="J4076" t="s">
        <v>128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 t="shared" si="1886"/>
        <v>14:48:40.477</v>
      </c>
      <c r="T4076" t="str">
        <f t="shared" si="1887"/>
        <v>14:48:40.177</v>
      </c>
      <c r="U4076" t="str">
        <f t="shared" si="1866"/>
        <v>A9808D</v>
      </c>
      <c r="V4076">
        <v>0</v>
      </c>
      <c r="W4076">
        <v>0</v>
      </c>
      <c r="X4076">
        <v>1</v>
      </c>
      <c r="Z4076">
        <v>0</v>
      </c>
      <c r="AA4076">
        <v>9</v>
      </c>
      <c r="AB4076">
        <v>3</v>
      </c>
      <c r="AC4076">
        <v>0</v>
      </c>
      <c r="AD4076">
        <v>10</v>
      </c>
      <c r="AE4076">
        <v>0</v>
      </c>
      <c r="AF4076">
        <v>3</v>
      </c>
      <c r="AG4076">
        <v>2</v>
      </c>
      <c r="AH4076">
        <v>0</v>
      </c>
      <c r="AI4076" t="s">
        <v>931</v>
      </c>
      <c r="AJ4076">
        <v>28.264517999999999</v>
      </c>
      <c r="AK4076" t="s">
        <v>932</v>
      </c>
      <c r="AL4076">
        <v>-82.298733999999996</v>
      </c>
      <c r="AM4076">
        <v>100</v>
      </c>
      <c r="AN4076">
        <v>2300</v>
      </c>
      <c r="AO4076" t="s">
        <v>118</v>
      </c>
      <c r="AP4076">
        <v>-118</v>
      </c>
      <c r="AQ4076">
        <v>-81</v>
      </c>
      <c r="AR4076">
        <v>192</v>
      </c>
      <c r="AZ4076">
        <v>1200</v>
      </c>
      <c r="BA4076">
        <v>1</v>
      </c>
      <c r="BB4076" t="str">
        <f t="shared" si="1876"/>
        <v xml:space="preserve">N711JA  </v>
      </c>
      <c r="BC4076">
        <v>1</v>
      </c>
      <c r="BE4076">
        <v>0</v>
      </c>
      <c r="BF4076">
        <v>0</v>
      </c>
      <c r="BG4076">
        <v>0</v>
      </c>
      <c r="BH4076">
        <v>2300</v>
      </c>
      <c r="BI4076">
        <v>1</v>
      </c>
      <c r="BJ4076">
        <v>1</v>
      </c>
      <c r="BK4076">
        <v>0</v>
      </c>
      <c r="BL4076">
        <v>0</v>
      </c>
      <c r="BO4076">
        <v>0</v>
      </c>
      <c r="BP4076">
        <v>0</v>
      </c>
      <c r="BW4076" t="str">
        <f t="shared" si="1888"/>
        <v>14:48:40.477</v>
      </c>
      <c r="CJ4076">
        <v>0</v>
      </c>
      <c r="CK4076">
        <v>2</v>
      </c>
      <c r="CL4076">
        <v>0</v>
      </c>
      <c r="CM4076">
        <v>2</v>
      </c>
      <c r="CN4076">
        <v>0</v>
      </c>
      <c r="CO4076">
        <v>6</v>
      </c>
      <c r="CP4076" t="s">
        <v>119</v>
      </c>
      <c r="CQ4076">
        <v>358</v>
      </c>
      <c r="CR4076">
        <v>0</v>
      </c>
      <c r="CW4076">
        <v>5076734</v>
      </c>
      <c r="CY4076">
        <v>1</v>
      </c>
      <c r="CZ4076">
        <v>0</v>
      </c>
      <c r="DA4076">
        <v>1</v>
      </c>
      <c r="DB4076">
        <v>0</v>
      </c>
      <c r="DC4076">
        <v>0</v>
      </c>
      <c r="DD4076">
        <v>1</v>
      </c>
      <c r="DE4076">
        <v>0</v>
      </c>
      <c r="DF4076">
        <v>0</v>
      </c>
      <c r="DG4076">
        <v>0</v>
      </c>
      <c r="DH4076">
        <v>0</v>
      </c>
      <c r="DI4076">
        <v>0</v>
      </c>
    </row>
    <row r="4077" spans="1:113" x14ac:dyDescent="0.3">
      <c r="A4077" t="str">
        <f t="shared" si="1885"/>
        <v>05/12/2020 14:48:22.658</v>
      </c>
      <c r="C4077" t="str">
        <f t="shared" si="1875"/>
        <v>FFDFD3C0</v>
      </c>
      <c r="D4077" t="s">
        <v>113</v>
      </c>
      <c r="E4077">
        <v>3</v>
      </c>
      <c r="H4077">
        <v>164</v>
      </c>
      <c r="I4077" t="s">
        <v>114</v>
      </c>
      <c r="J4077" t="s">
        <v>115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 t="shared" si="1886"/>
        <v>14:48:40.477</v>
      </c>
      <c r="T4077" t="str">
        <f t="shared" si="1887"/>
        <v>14:48:40.177</v>
      </c>
      <c r="U4077" t="str">
        <f t="shared" si="1866"/>
        <v>A9808D</v>
      </c>
      <c r="V4077">
        <v>0</v>
      </c>
      <c r="W4077">
        <v>0</v>
      </c>
      <c r="X4077">
        <v>1</v>
      </c>
      <c r="Z4077">
        <v>0</v>
      </c>
      <c r="AA4077">
        <v>9</v>
      </c>
      <c r="AB4077">
        <v>3</v>
      </c>
      <c r="AC4077">
        <v>0</v>
      </c>
      <c r="AD4077">
        <v>10</v>
      </c>
      <c r="AE4077">
        <v>0</v>
      </c>
      <c r="AF4077">
        <v>3</v>
      </c>
      <c r="AG4077">
        <v>2</v>
      </c>
      <c r="AH4077">
        <v>0</v>
      </c>
      <c r="AI4077" t="s">
        <v>931</v>
      </c>
      <c r="AJ4077">
        <v>28.264517999999999</v>
      </c>
      <c r="AK4077" t="s">
        <v>932</v>
      </c>
      <c r="AL4077">
        <v>-82.298733999999996</v>
      </c>
      <c r="AM4077">
        <v>100</v>
      </c>
      <c r="AN4077">
        <v>2300</v>
      </c>
      <c r="AO4077" t="s">
        <v>118</v>
      </c>
      <c r="AP4077">
        <v>-118</v>
      </c>
      <c r="AQ4077">
        <v>-81</v>
      </c>
      <c r="AR4077">
        <v>192</v>
      </c>
      <c r="AZ4077">
        <v>1200</v>
      </c>
      <c r="BA4077">
        <v>1</v>
      </c>
      <c r="BB4077" t="str">
        <f t="shared" si="1876"/>
        <v xml:space="preserve">N711JA  </v>
      </c>
      <c r="BC4077">
        <v>1</v>
      </c>
      <c r="BE4077">
        <v>0</v>
      </c>
      <c r="BF4077">
        <v>0</v>
      </c>
      <c r="BG4077">
        <v>0</v>
      </c>
      <c r="BH4077">
        <v>2300</v>
      </c>
      <c r="BI4077">
        <v>1</v>
      </c>
      <c r="BJ4077">
        <v>1</v>
      </c>
      <c r="BK4077">
        <v>0</v>
      </c>
      <c r="BL4077">
        <v>0</v>
      </c>
      <c r="BO4077">
        <v>0</v>
      </c>
      <c r="BP4077">
        <v>0</v>
      </c>
      <c r="BW4077" t="str">
        <f t="shared" si="1888"/>
        <v>14:48:40.477</v>
      </c>
      <c r="CJ4077">
        <v>0</v>
      </c>
      <c r="CK4077">
        <v>2</v>
      </c>
      <c r="CL4077">
        <v>0</v>
      </c>
      <c r="CM4077">
        <v>2</v>
      </c>
      <c r="CN4077">
        <v>0</v>
      </c>
      <c r="CO4077">
        <v>6</v>
      </c>
      <c r="CP4077" t="s">
        <v>119</v>
      </c>
      <c r="CQ4077">
        <v>56</v>
      </c>
      <c r="CR4077">
        <v>2</v>
      </c>
      <c r="CW4077">
        <v>5103084</v>
      </c>
      <c r="CY4077">
        <v>1</v>
      </c>
      <c r="CZ4077">
        <v>0</v>
      </c>
      <c r="DA4077">
        <v>1</v>
      </c>
      <c r="DB4077">
        <v>0</v>
      </c>
      <c r="DC4077">
        <v>0</v>
      </c>
      <c r="DD4077">
        <v>1</v>
      </c>
      <c r="DE4077">
        <v>0</v>
      </c>
      <c r="DF4077">
        <v>0</v>
      </c>
      <c r="DG4077">
        <v>0</v>
      </c>
      <c r="DH4077">
        <v>0</v>
      </c>
      <c r="DI4077">
        <v>0</v>
      </c>
    </row>
    <row r="4078" spans="1:113" x14ac:dyDescent="0.3">
      <c r="A4078" t="str">
        <f t="shared" si="1885"/>
        <v>05/12/2020 14:48:22.658</v>
      </c>
      <c r="C4078" t="str">
        <f t="shared" si="1875"/>
        <v>FFDFD3C0</v>
      </c>
      <c r="D4078" t="s">
        <v>138</v>
      </c>
      <c r="E4078">
        <v>3</v>
      </c>
      <c r="H4078">
        <v>9</v>
      </c>
      <c r="I4078" t="s">
        <v>140</v>
      </c>
      <c r="J4078" t="s">
        <v>136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 t="shared" si="1886"/>
        <v>14:48:40.477</v>
      </c>
      <c r="T4078" t="str">
        <f t="shared" si="1887"/>
        <v>14:48:40.177</v>
      </c>
      <c r="U4078" t="str">
        <f t="shared" si="1866"/>
        <v>A9808D</v>
      </c>
      <c r="V4078">
        <v>0</v>
      </c>
      <c r="W4078">
        <v>0</v>
      </c>
      <c r="X4078">
        <v>1</v>
      </c>
      <c r="Z4078">
        <v>0</v>
      </c>
      <c r="AA4078">
        <v>9</v>
      </c>
      <c r="AB4078">
        <v>3</v>
      </c>
      <c r="AC4078">
        <v>0</v>
      </c>
      <c r="AD4078">
        <v>10</v>
      </c>
      <c r="AE4078">
        <v>0</v>
      </c>
      <c r="AF4078">
        <v>3</v>
      </c>
      <c r="AG4078">
        <v>2</v>
      </c>
      <c r="AH4078">
        <v>0</v>
      </c>
      <c r="AI4078" t="s">
        <v>931</v>
      </c>
      <c r="AJ4078">
        <v>28.264517999999999</v>
      </c>
      <c r="AK4078" t="s">
        <v>932</v>
      </c>
      <c r="AL4078">
        <v>-82.298733999999996</v>
      </c>
      <c r="AM4078">
        <v>100</v>
      </c>
      <c r="AN4078">
        <v>2300</v>
      </c>
      <c r="AO4078" t="s">
        <v>118</v>
      </c>
      <c r="AP4078">
        <v>-118</v>
      </c>
      <c r="AQ4078">
        <v>-81</v>
      </c>
      <c r="AR4078">
        <v>192</v>
      </c>
      <c r="AZ4078">
        <v>1200</v>
      </c>
      <c r="BA4078">
        <v>1</v>
      </c>
      <c r="BB4078" t="str">
        <f t="shared" si="1876"/>
        <v xml:space="preserve">N711JA  </v>
      </c>
      <c r="BC4078">
        <v>1</v>
      </c>
      <c r="BE4078">
        <v>0</v>
      </c>
      <c r="BF4078">
        <v>0</v>
      </c>
      <c r="BG4078">
        <v>0</v>
      </c>
      <c r="BH4078">
        <v>2300</v>
      </c>
      <c r="BI4078">
        <v>1</v>
      </c>
      <c r="BJ4078">
        <v>1</v>
      </c>
      <c r="BK4078">
        <v>0</v>
      </c>
      <c r="BL4078">
        <v>0</v>
      </c>
      <c r="BO4078">
        <v>0</v>
      </c>
      <c r="BP4078">
        <v>0</v>
      </c>
      <c r="BW4078" t="str">
        <f t="shared" si="1888"/>
        <v>14:48:40.477</v>
      </c>
      <c r="CJ4078">
        <v>0</v>
      </c>
      <c r="CK4078">
        <v>2</v>
      </c>
      <c r="CL4078">
        <v>0</v>
      </c>
      <c r="CM4078">
        <v>2</v>
      </c>
      <c r="CN4078">
        <v>0</v>
      </c>
      <c r="CO4078">
        <v>6</v>
      </c>
      <c r="CP4078" t="s">
        <v>119</v>
      </c>
      <c r="CQ4078">
        <v>358</v>
      </c>
      <c r="CR4078">
        <v>0</v>
      </c>
      <c r="CW4078">
        <v>5076734</v>
      </c>
      <c r="CY4078">
        <v>1</v>
      </c>
      <c r="CZ4078">
        <v>0</v>
      </c>
      <c r="DA4078">
        <v>1</v>
      </c>
      <c r="DB4078">
        <v>0</v>
      </c>
      <c r="DC4078">
        <v>0</v>
      </c>
      <c r="DD4078">
        <v>1</v>
      </c>
      <c r="DE4078">
        <v>0</v>
      </c>
      <c r="DF4078">
        <v>0</v>
      </c>
      <c r="DG4078">
        <v>0</v>
      </c>
      <c r="DH4078">
        <v>0</v>
      </c>
      <c r="DI4078">
        <v>0</v>
      </c>
    </row>
    <row r="4079" spans="1:113" x14ac:dyDescent="0.3">
      <c r="A4079" t="str">
        <f t="shared" si="1885"/>
        <v>05/12/2020 14:48:22.658</v>
      </c>
      <c r="C4079" t="str">
        <f t="shared" si="1875"/>
        <v>FFDFD3C0</v>
      </c>
      <c r="D4079" t="s">
        <v>138</v>
      </c>
      <c r="E4079">
        <v>2</v>
      </c>
      <c r="H4079">
        <v>8</v>
      </c>
      <c r="I4079" t="s">
        <v>139</v>
      </c>
      <c r="J4079" t="s">
        <v>136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 t="shared" si="1886"/>
        <v>14:48:40.477</v>
      </c>
      <c r="T4079" t="str">
        <f t="shared" si="1887"/>
        <v>14:48:40.177</v>
      </c>
      <c r="U4079" t="str">
        <f t="shared" si="1866"/>
        <v>A9808D</v>
      </c>
      <c r="V4079">
        <v>0</v>
      </c>
      <c r="W4079">
        <v>0</v>
      </c>
      <c r="X4079">
        <v>1</v>
      </c>
      <c r="Z4079">
        <v>0</v>
      </c>
      <c r="AA4079">
        <v>9</v>
      </c>
      <c r="AB4079">
        <v>3</v>
      </c>
      <c r="AC4079">
        <v>0</v>
      </c>
      <c r="AD4079">
        <v>10</v>
      </c>
      <c r="AE4079">
        <v>0</v>
      </c>
      <c r="AF4079">
        <v>3</v>
      </c>
      <c r="AG4079">
        <v>2</v>
      </c>
      <c r="AH4079">
        <v>0</v>
      </c>
      <c r="AI4079" t="s">
        <v>931</v>
      </c>
      <c r="AJ4079">
        <v>28.264517999999999</v>
      </c>
      <c r="AK4079" t="s">
        <v>932</v>
      </c>
      <c r="AL4079">
        <v>-82.298733999999996</v>
      </c>
      <c r="AM4079">
        <v>100</v>
      </c>
      <c r="AN4079">
        <v>2300</v>
      </c>
      <c r="AO4079" t="s">
        <v>118</v>
      </c>
      <c r="AP4079">
        <v>-118</v>
      </c>
      <c r="AQ4079">
        <v>-81</v>
      </c>
      <c r="AR4079">
        <v>192</v>
      </c>
      <c r="AZ4079">
        <v>1200</v>
      </c>
      <c r="BA4079">
        <v>1</v>
      </c>
      <c r="BB4079" t="str">
        <f t="shared" si="1876"/>
        <v xml:space="preserve">N711JA  </v>
      </c>
      <c r="BC4079">
        <v>1</v>
      </c>
      <c r="BE4079">
        <v>0</v>
      </c>
      <c r="BF4079">
        <v>0</v>
      </c>
      <c r="BG4079">
        <v>0</v>
      </c>
      <c r="BH4079">
        <v>2300</v>
      </c>
      <c r="BI4079">
        <v>1</v>
      </c>
      <c r="BJ4079">
        <v>1</v>
      </c>
      <c r="BK4079">
        <v>0</v>
      </c>
      <c r="BL4079">
        <v>0</v>
      </c>
      <c r="BO4079">
        <v>0</v>
      </c>
      <c r="BP4079">
        <v>0</v>
      </c>
      <c r="BW4079" t="str">
        <f t="shared" si="1888"/>
        <v>14:48:40.477</v>
      </c>
      <c r="CJ4079">
        <v>0</v>
      </c>
      <c r="CK4079">
        <v>2</v>
      </c>
      <c r="CL4079">
        <v>0</v>
      </c>
      <c r="CM4079">
        <v>2</v>
      </c>
      <c r="CN4079">
        <v>0</v>
      </c>
      <c r="CO4079">
        <v>6</v>
      </c>
      <c r="CP4079" t="s">
        <v>119</v>
      </c>
      <c r="CQ4079">
        <v>56</v>
      </c>
      <c r="CR4079">
        <v>2</v>
      </c>
      <c r="CW4079">
        <v>5103084</v>
      </c>
      <c r="CY4079">
        <v>1</v>
      </c>
      <c r="CZ4079">
        <v>0</v>
      </c>
      <c r="DA4079">
        <v>1</v>
      </c>
      <c r="DB4079">
        <v>0</v>
      </c>
      <c r="DC4079">
        <v>0</v>
      </c>
      <c r="DD4079">
        <v>1</v>
      </c>
      <c r="DE4079">
        <v>0</v>
      </c>
      <c r="DF4079">
        <v>0</v>
      </c>
      <c r="DG4079">
        <v>0</v>
      </c>
      <c r="DH4079">
        <v>0</v>
      </c>
      <c r="DI4079">
        <v>0</v>
      </c>
    </row>
    <row r="4080" spans="1:113" x14ac:dyDescent="0.3">
      <c r="A4080" t="str">
        <f t="shared" si="1885"/>
        <v>05/12/2020 14:48:22.658</v>
      </c>
      <c r="C4080" t="str">
        <f t="shared" si="1875"/>
        <v>FFDFD3C0</v>
      </c>
      <c r="D4080" t="s">
        <v>126</v>
      </c>
      <c r="E4080">
        <v>7</v>
      </c>
      <c r="F4080">
        <v>1007</v>
      </c>
      <c r="G4080" t="s">
        <v>127</v>
      </c>
      <c r="J4080" t="s">
        <v>128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 t="shared" si="1886"/>
        <v>14:48:40.477</v>
      </c>
      <c r="T4080" t="str">
        <f t="shared" si="1887"/>
        <v>14:48:40.177</v>
      </c>
      <c r="U4080" t="str">
        <f t="shared" si="1866"/>
        <v>A9808D</v>
      </c>
      <c r="V4080">
        <v>0</v>
      </c>
      <c r="W4080">
        <v>0</v>
      </c>
      <c r="X4080">
        <v>1</v>
      </c>
      <c r="Z4080">
        <v>0</v>
      </c>
      <c r="AA4080">
        <v>9</v>
      </c>
      <c r="AB4080">
        <v>3</v>
      </c>
      <c r="AC4080">
        <v>0</v>
      </c>
      <c r="AD4080">
        <v>10</v>
      </c>
      <c r="AE4080">
        <v>0</v>
      </c>
      <c r="AF4080">
        <v>3</v>
      </c>
      <c r="AG4080">
        <v>2</v>
      </c>
      <c r="AH4080">
        <v>0</v>
      </c>
      <c r="AI4080" t="s">
        <v>931</v>
      </c>
      <c r="AJ4080">
        <v>28.264517999999999</v>
      </c>
      <c r="AK4080" t="s">
        <v>932</v>
      </c>
      <c r="AL4080">
        <v>-82.298733999999996</v>
      </c>
      <c r="AM4080">
        <v>100</v>
      </c>
      <c r="AN4080">
        <v>2300</v>
      </c>
      <c r="AO4080" t="s">
        <v>118</v>
      </c>
      <c r="AP4080">
        <v>-118</v>
      </c>
      <c r="AQ4080">
        <v>-81</v>
      </c>
      <c r="AR4080">
        <v>192</v>
      </c>
      <c r="AZ4080">
        <v>1200</v>
      </c>
      <c r="BA4080">
        <v>1</v>
      </c>
      <c r="BB4080" t="str">
        <f t="shared" si="1876"/>
        <v xml:space="preserve">N711JA  </v>
      </c>
      <c r="BC4080">
        <v>1</v>
      </c>
      <c r="BE4080">
        <v>0</v>
      </c>
      <c r="BF4080">
        <v>0</v>
      </c>
      <c r="BG4080">
        <v>0</v>
      </c>
      <c r="BH4080">
        <v>2300</v>
      </c>
      <c r="BI4080">
        <v>1</v>
      </c>
      <c r="BJ4080">
        <v>1</v>
      </c>
      <c r="BK4080">
        <v>0</v>
      </c>
      <c r="BL4080">
        <v>0</v>
      </c>
      <c r="BO4080">
        <v>0</v>
      </c>
      <c r="BP4080">
        <v>0</v>
      </c>
      <c r="BW4080" t="str">
        <f t="shared" si="1888"/>
        <v>14:48:40.477</v>
      </c>
      <c r="CJ4080">
        <v>0</v>
      </c>
      <c r="CK4080">
        <v>2</v>
      </c>
      <c r="CL4080">
        <v>0</v>
      </c>
      <c r="CM4080">
        <v>2</v>
      </c>
      <c r="CN4080">
        <v>0</v>
      </c>
      <c r="CO4080">
        <v>6</v>
      </c>
      <c r="CP4080" t="s">
        <v>119</v>
      </c>
      <c r="CQ4080">
        <v>358</v>
      </c>
      <c r="CR4080">
        <v>0</v>
      </c>
      <c r="CW4080">
        <v>5076734</v>
      </c>
      <c r="CY4080">
        <v>1</v>
      </c>
      <c r="CZ4080">
        <v>0</v>
      </c>
      <c r="DA4080">
        <v>1</v>
      </c>
      <c r="DB4080">
        <v>0</v>
      </c>
      <c r="DC4080">
        <v>0</v>
      </c>
      <c r="DD4080">
        <v>1</v>
      </c>
      <c r="DE4080">
        <v>0</v>
      </c>
      <c r="DF4080">
        <v>0</v>
      </c>
      <c r="DG4080">
        <v>0</v>
      </c>
      <c r="DH4080">
        <v>0</v>
      </c>
      <c r="DI4080">
        <v>0</v>
      </c>
    </row>
    <row r="4081" spans="1:113" x14ac:dyDescent="0.3">
      <c r="A4081" t="str">
        <f t="shared" si="1885"/>
        <v>05/12/2020 14:48:22.658</v>
      </c>
      <c r="C4081" t="str">
        <f t="shared" si="1875"/>
        <v>FFDFD3C0</v>
      </c>
      <c r="D4081" t="s">
        <v>131</v>
      </c>
      <c r="E4081">
        <v>10</v>
      </c>
      <c r="F4081">
        <v>2010</v>
      </c>
      <c r="G4081" t="s">
        <v>132</v>
      </c>
      <c r="J4081" t="s">
        <v>133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 t="shared" si="1886"/>
        <v>14:48:40.477</v>
      </c>
      <c r="T4081" t="str">
        <f t="shared" si="1887"/>
        <v>14:48:40.177</v>
      </c>
      <c r="U4081" t="str">
        <f t="shared" si="1866"/>
        <v>A9808D</v>
      </c>
      <c r="V4081">
        <v>0</v>
      </c>
      <c r="W4081">
        <v>0</v>
      </c>
      <c r="X4081">
        <v>1</v>
      </c>
      <c r="Z4081">
        <v>0</v>
      </c>
      <c r="AA4081">
        <v>9</v>
      </c>
      <c r="AB4081">
        <v>3</v>
      </c>
      <c r="AC4081">
        <v>0</v>
      </c>
      <c r="AD4081">
        <v>10</v>
      </c>
      <c r="AE4081">
        <v>0</v>
      </c>
      <c r="AF4081">
        <v>3</v>
      </c>
      <c r="AG4081">
        <v>2</v>
      </c>
      <c r="AH4081">
        <v>0</v>
      </c>
      <c r="AI4081" t="s">
        <v>931</v>
      </c>
      <c r="AJ4081">
        <v>28.264517999999999</v>
      </c>
      <c r="AK4081" t="s">
        <v>932</v>
      </c>
      <c r="AL4081">
        <v>-82.298733999999996</v>
      </c>
      <c r="AM4081">
        <v>100</v>
      </c>
      <c r="AN4081">
        <v>2300</v>
      </c>
      <c r="AO4081" t="s">
        <v>118</v>
      </c>
      <c r="AP4081">
        <v>-118</v>
      </c>
      <c r="AQ4081">
        <v>-81</v>
      </c>
      <c r="AR4081">
        <v>192</v>
      </c>
      <c r="AZ4081">
        <v>1200</v>
      </c>
      <c r="BA4081">
        <v>1</v>
      </c>
      <c r="BB4081" t="str">
        <f t="shared" si="1876"/>
        <v xml:space="preserve">N711JA  </v>
      </c>
      <c r="BC4081">
        <v>1</v>
      </c>
      <c r="BE4081">
        <v>0</v>
      </c>
      <c r="BF4081">
        <v>0</v>
      </c>
      <c r="BG4081">
        <v>0</v>
      </c>
      <c r="BH4081">
        <v>2300</v>
      </c>
      <c r="BI4081">
        <v>1</v>
      </c>
      <c r="BJ4081">
        <v>1</v>
      </c>
      <c r="BK4081">
        <v>0</v>
      </c>
      <c r="BL4081">
        <v>0</v>
      </c>
      <c r="BO4081">
        <v>0</v>
      </c>
      <c r="BP4081">
        <v>0</v>
      </c>
      <c r="BW4081" t="str">
        <f t="shared" si="1888"/>
        <v>14:48:40.477</v>
      </c>
      <c r="CJ4081">
        <v>0</v>
      </c>
      <c r="CK4081">
        <v>2</v>
      </c>
      <c r="CL4081">
        <v>0</v>
      </c>
      <c r="CM4081">
        <v>2</v>
      </c>
      <c r="CN4081">
        <v>0</v>
      </c>
      <c r="CO4081">
        <v>6</v>
      </c>
      <c r="CP4081" t="s">
        <v>119</v>
      </c>
      <c r="CQ4081">
        <v>358</v>
      </c>
      <c r="CR4081">
        <v>0</v>
      </c>
      <c r="CW4081">
        <v>5076734</v>
      </c>
      <c r="CY4081">
        <v>1</v>
      </c>
      <c r="CZ4081">
        <v>0</v>
      </c>
      <c r="DA4081">
        <v>1</v>
      </c>
      <c r="DB4081">
        <v>0</v>
      </c>
      <c r="DC4081">
        <v>0</v>
      </c>
      <c r="DD4081">
        <v>1</v>
      </c>
      <c r="DE4081">
        <v>0</v>
      </c>
      <c r="DF4081">
        <v>0</v>
      </c>
      <c r="DG4081">
        <v>0</v>
      </c>
      <c r="DH4081">
        <v>0</v>
      </c>
      <c r="DI4081">
        <v>0</v>
      </c>
    </row>
    <row r="4082" spans="1:113" x14ac:dyDescent="0.3">
      <c r="A4082" t="str">
        <f t="shared" si="1885"/>
        <v>05/12/2020 14:48:22.658</v>
      </c>
      <c r="C4082" t="str">
        <f t="shared" si="1875"/>
        <v>FFDFD3C0</v>
      </c>
      <c r="D4082" t="s">
        <v>131</v>
      </c>
      <c r="E4082">
        <v>12</v>
      </c>
      <c r="F4082">
        <v>2012</v>
      </c>
      <c r="G4082" t="s">
        <v>137</v>
      </c>
      <c r="J4082" t="s">
        <v>133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 t="shared" si="1886"/>
        <v>14:48:40.477</v>
      </c>
      <c r="T4082" t="str">
        <f t="shared" si="1887"/>
        <v>14:48:40.177</v>
      </c>
      <c r="U4082" t="str">
        <f t="shared" si="1866"/>
        <v>A9808D</v>
      </c>
      <c r="V4082">
        <v>0</v>
      </c>
      <c r="W4082">
        <v>0</v>
      </c>
      <c r="X4082">
        <v>1</v>
      </c>
      <c r="Z4082">
        <v>0</v>
      </c>
      <c r="AA4082">
        <v>9</v>
      </c>
      <c r="AB4082">
        <v>3</v>
      </c>
      <c r="AC4082">
        <v>0</v>
      </c>
      <c r="AD4082">
        <v>10</v>
      </c>
      <c r="AE4082">
        <v>0</v>
      </c>
      <c r="AF4082">
        <v>3</v>
      </c>
      <c r="AG4082">
        <v>2</v>
      </c>
      <c r="AH4082">
        <v>0</v>
      </c>
      <c r="AI4082" t="s">
        <v>931</v>
      </c>
      <c r="AJ4082">
        <v>28.264517999999999</v>
      </c>
      <c r="AK4082" t="s">
        <v>932</v>
      </c>
      <c r="AL4082">
        <v>-82.298733999999996</v>
      </c>
      <c r="AM4082">
        <v>100</v>
      </c>
      <c r="AN4082">
        <v>2300</v>
      </c>
      <c r="AO4082" t="s">
        <v>118</v>
      </c>
      <c r="AP4082">
        <v>-118</v>
      </c>
      <c r="AQ4082">
        <v>-81</v>
      </c>
      <c r="AR4082">
        <v>192</v>
      </c>
      <c r="AZ4082">
        <v>1200</v>
      </c>
      <c r="BA4082">
        <v>1</v>
      </c>
      <c r="BB4082" t="str">
        <f t="shared" si="1876"/>
        <v xml:space="preserve">N711JA  </v>
      </c>
      <c r="BC4082">
        <v>1</v>
      </c>
      <c r="BE4082">
        <v>0</v>
      </c>
      <c r="BF4082">
        <v>0</v>
      </c>
      <c r="BG4082">
        <v>0</v>
      </c>
      <c r="BH4082">
        <v>2300</v>
      </c>
      <c r="BI4082">
        <v>1</v>
      </c>
      <c r="BJ4082">
        <v>1</v>
      </c>
      <c r="BK4082">
        <v>0</v>
      </c>
      <c r="BL4082">
        <v>0</v>
      </c>
      <c r="BO4082">
        <v>0</v>
      </c>
      <c r="BP4082">
        <v>0</v>
      </c>
      <c r="BW4082" t="str">
        <f t="shared" si="1888"/>
        <v>14:48:40.477</v>
      </c>
      <c r="CJ4082">
        <v>0</v>
      </c>
      <c r="CK4082">
        <v>2</v>
      </c>
      <c r="CL4082">
        <v>0</v>
      </c>
      <c r="CM4082">
        <v>2</v>
      </c>
      <c r="CN4082">
        <v>0</v>
      </c>
      <c r="CO4082">
        <v>6</v>
      </c>
      <c r="CP4082" t="s">
        <v>119</v>
      </c>
      <c r="CQ4082">
        <v>56</v>
      </c>
      <c r="CR4082">
        <v>2</v>
      </c>
      <c r="CW4082">
        <v>5103084</v>
      </c>
      <c r="CY4082">
        <v>1</v>
      </c>
      <c r="CZ4082">
        <v>0</v>
      </c>
      <c r="DA4082">
        <v>1</v>
      </c>
      <c r="DB4082">
        <v>0</v>
      </c>
      <c r="DC4082">
        <v>0</v>
      </c>
      <c r="DD4082">
        <v>1</v>
      </c>
      <c r="DE4082">
        <v>0</v>
      </c>
      <c r="DF4082">
        <v>0</v>
      </c>
      <c r="DG4082">
        <v>0</v>
      </c>
      <c r="DH4082">
        <v>0</v>
      </c>
      <c r="DI4082">
        <v>0</v>
      </c>
    </row>
    <row r="4083" spans="1:113" x14ac:dyDescent="0.3">
      <c r="A4083" t="str">
        <f t="shared" ref="A4083:A4091" si="1889">"05/12/2020 14:48:23.637"</f>
        <v>05/12/2020 14:48:23.637</v>
      </c>
      <c r="C4083" t="str">
        <f t="shared" si="1875"/>
        <v>FFDFD3C0</v>
      </c>
      <c r="D4083" t="s">
        <v>134</v>
      </c>
      <c r="E4083">
        <v>12</v>
      </c>
      <c r="H4083">
        <v>64</v>
      </c>
      <c r="I4083" t="s">
        <v>135</v>
      </c>
      <c r="J4083" t="s">
        <v>136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 t="shared" ref="S4083:S4091" si="1890">"14:48:41.469"</f>
        <v>14:48:41.469</v>
      </c>
      <c r="T4083" t="str">
        <f t="shared" ref="T4083:T4091" si="1891">"14:48:41.369"</f>
        <v>14:48:41.369</v>
      </c>
      <c r="U4083" t="str">
        <f t="shared" si="1866"/>
        <v>A9808D</v>
      </c>
      <c r="V4083">
        <v>0</v>
      </c>
      <c r="W4083">
        <v>0</v>
      </c>
      <c r="X4083">
        <v>1</v>
      </c>
      <c r="Z4083">
        <v>0</v>
      </c>
      <c r="AA4083">
        <v>9</v>
      </c>
      <c r="AB4083">
        <v>3</v>
      </c>
      <c r="AC4083">
        <v>0</v>
      </c>
      <c r="AD4083">
        <v>10</v>
      </c>
      <c r="AE4083">
        <v>0</v>
      </c>
      <c r="AF4083">
        <v>3</v>
      </c>
      <c r="AG4083">
        <v>2</v>
      </c>
      <c r="AH4083">
        <v>0</v>
      </c>
      <c r="AI4083" t="s">
        <v>933</v>
      </c>
      <c r="AJ4083">
        <v>28.264153</v>
      </c>
      <c r="AK4083" t="s">
        <v>934</v>
      </c>
      <c r="AL4083">
        <v>-82.299313999999995</v>
      </c>
      <c r="AM4083">
        <v>100</v>
      </c>
      <c r="AN4083">
        <v>2300</v>
      </c>
      <c r="AO4083" t="s">
        <v>118</v>
      </c>
      <c r="AP4083">
        <v>-116</v>
      </c>
      <c r="AQ4083">
        <v>-82</v>
      </c>
      <c r="AR4083">
        <v>192</v>
      </c>
      <c r="AZ4083">
        <v>1200</v>
      </c>
      <c r="BA4083">
        <v>1</v>
      </c>
      <c r="BB4083" t="str">
        <f t="shared" si="1876"/>
        <v xml:space="preserve">N711JA  </v>
      </c>
      <c r="BC4083">
        <v>1</v>
      </c>
      <c r="BE4083">
        <v>0</v>
      </c>
      <c r="BF4083">
        <v>0</v>
      </c>
      <c r="BG4083">
        <v>0</v>
      </c>
      <c r="BH4083">
        <v>2300</v>
      </c>
      <c r="BI4083">
        <v>1</v>
      </c>
      <c r="BJ4083">
        <v>1</v>
      </c>
      <c r="BK4083">
        <v>0</v>
      </c>
      <c r="BL4083">
        <v>0</v>
      </c>
      <c r="BO4083">
        <v>0</v>
      </c>
      <c r="BP4083">
        <v>0</v>
      </c>
      <c r="BW4083" t="str">
        <f t="shared" ref="BW4083:BW4091" si="1892">"14:48:41.471"</f>
        <v>14:48:41.471</v>
      </c>
      <c r="CJ4083">
        <v>0</v>
      </c>
      <c r="CK4083">
        <v>2</v>
      </c>
      <c r="CL4083">
        <v>0</v>
      </c>
      <c r="CM4083">
        <v>2</v>
      </c>
      <c r="CN4083">
        <v>0</v>
      </c>
      <c r="CO4083">
        <v>6</v>
      </c>
      <c r="CP4083" t="s">
        <v>119</v>
      </c>
      <c r="CQ4083">
        <v>358</v>
      </c>
      <c r="CR4083">
        <v>0</v>
      </c>
      <c r="CW4083">
        <v>5077891</v>
      </c>
      <c r="CY4083">
        <v>1</v>
      </c>
      <c r="CZ4083">
        <v>0</v>
      </c>
      <c r="DA4083">
        <v>0</v>
      </c>
      <c r="DB4083">
        <v>0</v>
      </c>
      <c r="DC4083">
        <v>0</v>
      </c>
      <c r="DD4083">
        <v>1</v>
      </c>
      <c r="DE4083">
        <v>0</v>
      </c>
      <c r="DF4083">
        <v>0</v>
      </c>
      <c r="DG4083">
        <v>0</v>
      </c>
      <c r="DH4083">
        <v>0</v>
      </c>
      <c r="DI4083">
        <v>0</v>
      </c>
    </row>
    <row r="4084" spans="1:113" x14ac:dyDescent="0.3">
      <c r="A4084" t="str">
        <f t="shared" si="1889"/>
        <v>05/12/2020 14:48:23.637</v>
      </c>
      <c r="C4084" t="str">
        <f t="shared" si="1875"/>
        <v>FFDFD3C0</v>
      </c>
      <c r="D4084" t="s">
        <v>126</v>
      </c>
      <c r="E4084">
        <v>6</v>
      </c>
      <c r="F4084">
        <v>1006</v>
      </c>
      <c r="G4084" t="s">
        <v>114</v>
      </c>
      <c r="J4084" t="s">
        <v>128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 t="shared" si="1890"/>
        <v>14:48:41.469</v>
      </c>
      <c r="T4084" t="str">
        <f t="shared" si="1891"/>
        <v>14:48:41.369</v>
      </c>
      <c r="U4084" t="str">
        <f t="shared" si="1866"/>
        <v>A9808D</v>
      </c>
      <c r="V4084">
        <v>0</v>
      </c>
      <c r="W4084">
        <v>0</v>
      </c>
      <c r="X4084">
        <v>1</v>
      </c>
      <c r="Z4084">
        <v>0</v>
      </c>
      <c r="AA4084">
        <v>9</v>
      </c>
      <c r="AB4084">
        <v>3</v>
      </c>
      <c r="AC4084">
        <v>0</v>
      </c>
      <c r="AD4084">
        <v>10</v>
      </c>
      <c r="AE4084">
        <v>0</v>
      </c>
      <c r="AF4084">
        <v>3</v>
      </c>
      <c r="AG4084">
        <v>2</v>
      </c>
      <c r="AH4084">
        <v>0</v>
      </c>
      <c r="AI4084" t="s">
        <v>933</v>
      </c>
      <c r="AJ4084">
        <v>28.264153</v>
      </c>
      <c r="AK4084" t="s">
        <v>934</v>
      </c>
      <c r="AL4084">
        <v>-82.299313999999995</v>
      </c>
      <c r="AM4084">
        <v>100</v>
      </c>
      <c r="AN4084">
        <v>2300</v>
      </c>
      <c r="AO4084" t="s">
        <v>118</v>
      </c>
      <c r="AP4084">
        <v>-116</v>
      </c>
      <c r="AQ4084">
        <v>-82</v>
      </c>
      <c r="AR4084">
        <v>192</v>
      </c>
      <c r="AZ4084">
        <v>1200</v>
      </c>
      <c r="BA4084">
        <v>1</v>
      </c>
      <c r="BB4084" t="str">
        <f t="shared" si="1876"/>
        <v xml:space="preserve">N711JA  </v>
      </c>
      <c r="BC4084">
        <v>1</v>
      </c>
      <c r="BE4084">
        <v>0</v>
      </c>
      <c r="BF4084">
        <v>0</v>
      </c>
      <c r="BG4084">
        <v>0</v>
      </c>
      <c r="BH4084">
        <v>2300</v>
      </c>
      <c r="BI4084">
        <v>1</v>
      </c>
      <c r="BJ4084">
        <v>1</v>
      </c>
      <c r="BK4084">
        <v>0</v>
      </c>
      <c r="BL4084">
        <v>0</v>
      </c>
      <c r="BO4084">
        <v>0</v>
      </c>
      <c r="BP4084">
        <v>0</v>
      </c>
      <c r="BW4084" t="str">
        <f t="shared" si="1892"/>
        <v>14:48:41.471</v>
      </c>
      <c r="CJ4084">
        <v>0</v>
      </c>
      <c r="CK4084">
        <v>2</v>
      </c>
      <c r="CL4084">
        <v>0</v>
      </c>
      <c r="CM4084">
        <v>2</v>
      </c>
      <c r="CN4084">
        <v>0</v>
      </c>
      <c r="CO4084">
        <v>6</v>
      </c>
      <c r="CP4084" t="s">
        <v>119</v>
      </c>
      <c r="CQ4084">
        <v>56</v>
      </c>
      <c r="CR4084">
        <v>2</v>
      </c>
      <c r="CW4084">
        <v>5104367</v>
      </c>
      <c r="CY4084">
        <v>1</v>
      </c>
      <c r="CZ4084">
        <v>0</v>
      </c>
      <c r="DA4084">
        <v>1</v>
      </c>
      <c r="DB4084">
        <v>0</v>
      </c>
      <c r="DC4084">
        <v>0</v>
      </c>
      <c r="DD4084">
        <v>1</v>
      </c>
      <c r="DE4084">
        <v>0</v>
      </c>
      <c r="DF4084">
        <v>0</v>
      </c>
      <c r="DG4084">
        <v>0</v>
      </c>
      <c r="DH4084">
        <v>0</v>
      </c>
      <c r="DI4084">
        <v>0</v>
      </c>
    </row>
    <row r="4085" spans="1:113" x14ac:dyDescent="0.3">
      <c r="A4085" t="str">
        <f t="shared" si="1889"/>
        <v>05/12/2020 14:48:23.637</v>
      </c>
      <c r="C4085" t="str">
        <f t="shared" si="1875"/>
        <v>FFDFD3C0</v>
      </c>
      <c r="D4085" t="s">
        <v>131</v>
      </c>
      <c r="E4085">
        <v>10</v>
      </c>
      <c r="F4085">
        <v>2010</v>
      </c>
      <c r="G4085" t="s">
        <v>132</v>
      </c>
      <c r="J4085" t="s">
        <v>133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 t="shared" si="1890"/>
        <v>14:48:41.469</v>
      </c>
      <c r="T4085" t="str">
        <f t="shared" si="1891"/>
        <v>14:48:41.369</v>
      </c>
      <c r="U4085" t="str">
        <f t="shared" si="1866"/>
        <v>A9808D</v>
      </c>
      <c r="V4085">
        <v>0</v>
      </c>
      <c r="W4085">
        <v>0</v>
      </c>
      <c r="X4085">
        <v>1</v>
      </c>
      <c r="Z4085">
        <v>0</v>
      </c>
      <c r="AA4085">
        <v>9</v>
      </c>
      <c r="AB4085">
        <v>3</v>
      </c>
      <c r="AC4085">
        <v>0</v>
      </c>
      <c r="AD4085">
        <v>10</v>
      </c>
      <c r="AE4085">
        <v>0</v>
      </c>
      <c r="AF4085">
        <v>3</v>
      </c>
      <c r="AG4085">
        <v>2</v>
      </c>
      <c r="AH4085">
        <v>0</v>
      </c>
      <c r="AI4085" t="s">
        <v>933</v>
      </c>
      <c r="AJ4085">
        <v>28.264153</v>
      </c>
      <c r="AK4085" t="s">
        <v>934</v>
      </c>
      <c r="AL4085">
        <v>-82.299313999999995</v>
      </c>
      <c r="AM4085">
        <v>100</v>
      </c>
      <c r="AN4085">
        <v>2300</v>
      </c>
      <c r="AO4085" t="s">
        <v>118</v>
      </c>
      <c r="AP4085">
        <v>-116</v>
      </c>
      <c r="AQ4085">
        <v>-82</v>
      </c>
      <c r="AR4085">
        <v>192</v>
      </c>
      <c r="AZ4085">
        <v>1200</v>
      </c>
      <c r="BA4085">
        <v>1</v>
      </c>
      <c r="BB4085" t="str">
        <f t="shared" si="1876"/>
        <v xml:space="preserve">N711JA  </v>
      </c>
      <c r="BC4085">
        <v>1</v>
      </c>
      <c r="BE4085">
        <v>0</v>
      </c>
      <c r="BF4085">
        <v>0</v>
      </c>
      <c r="BG4085">
        <v>0</v>
      </c>
      <c r="BH4085">
        <v>2300</v>
      </c>
      <c r="BI4085">
        <v>1</v>
      </c>
      <c r="BJ4085">
        <v>1</v>
      </c>
      <c r="BK4085">
        <v>0</v>
      </c>
      <c r="BL4085">
        <v>0</v>
      </c>
      <c r="BO4085">
        <v>0</v>
      </c>
      <c r="BP4085">
        <v>0</v>
      </c>
      <c r="BW4085" t="str">
        <f t="shared" si="1892"/>
        <v>14:48:41.471</v>
      </c>
      <c r="CJ4085">
        <v>0</v>
      </c>
      <c r="CK4085">
        <v>2</v>
      </c>
      <c r="CL4085">
        <v>0</v>
      </c>
      <c r="CM4085">
        <v>2</v>
      </c>
      <c r="CN4085">
        <v>0</v>
      </c>
      <c r="CO4085">
        <v>6</v>
      </c>
      <c r="CP4085" t="s">
        <v>119</v>
      </c>
      <c r="CQ4085">
        <v>56</v>
      </c>
      <c r="CR4085">
        <v>2</v>
      </c>
      <c r="CW4085">
        <v>5104367</v>
      </c>
      <c r="CY4085">
        <v>1</v>
      </c>
      <c r="CZ4085">
        <v>0</v>
      </c>
      <c r="DA4085">
        <v>1</v>
      </c>
      <c r="DB4085">
        <v>0</v>
      </c>
      <c r="DC4085">
        <v>0</v>
      </c>
      <c r="DD4085">
        <v>1</v>
      </c>
      <c r="DE4085">
        <v>0</v>
      </c>
      <c r="DF4085">
        <v>0</v>
      </c>
      <c r="DG4085">
        <v>0</v>
      </c>
      <c r="DH4085">
        <v>0</v>
      </c>
      <c r="DI4085">
        <v>0</v>
      </c>
    </row>
    <row r="4086" spans="1:113" x14ac:dyDescent="0.3">
      <c r="A4086" t="str">
        <f t="shared" si="1889"/>
        <v>05/12/2020 14:48:23.637</v>
      </c>
      <c r="C4086" t="str">
        <f t="shared" si="1875"/>
        <v>FFDFD3C0</v>
      </c>
      <c r="D4086" t="s">
        <v>126</v>
      </c>
      <c r="E4086">
        <v>7</v>
      </c>
      <c r="F4086">
        <v>1007</v>
      </c>
      <c r="G4086" t="s">
        <v>127</v>
      </c>
      <c r="J4086" t="s">
        <v>128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 t="shared" si="1890"/>
        <v>14:48:41.469</v>
      </c>
      <c r="T4086" t="str">
        <f t="shared" si="1891"/>
        <v>14:48:41.369</v>
      </c>
      <c r="U4086" t="str">
        <f t="shared" si="1866"/>
        <v>A9808D</v>
      </c>
      <c r="V4086">
        <v>0</v>
      </c>
      <c r="W4086">
        <v>0</v>
      </c>
      <c r="X4086">
        <v>1</v>
      </c>
      <c r="Z4086">
        <v>0</v>
      </c>
      <c r="AA4086">
        <v>9</v>
      </c>
      <c r="AB4086">
        <v>3</v>
      </c>
      <c r="AC4086">
        <v>0</v>
      </c>
      <c r="AD4086">
        <v>10</v>
      </c>
      <c r="AE4086">
        <v>0</v>
      </c>
      <c r="AF4086">
        <v>3</v>
      </c>
      <c r="AG4086">
        <v>2</v>
      </c>
      <c r="AH4086">
        <v>0</v>
      </c>
      <c r="AI4086" t="s">
        <v>933</v>
      </c>
      <c r="AJ4086">
        <v>28.264153</v>
      </c>
      <c r="AK4086" t="s">
        <v>934</v>
      </c>
      <c r="AL4086">
        <v>-82.299313999999995</v>
      </c>
      <c r="AM4086">
        <v>100</v>
      </c>
      <c r="AN4086">
        <v>2300</v>
      </c>
      <c r="AO4086" t="s">
        <v>118</v>
      </c>
      <c r="AP4086">
        <v>-116</v>
      </c>
      <c r="AQ4086">
        <v>-82</v>
      </c>
      <c r="AR4086">
        <v>192</v>
      </c>
      <c r="AZ4086">
        <v>1200</v>
      </c>
      <c r="BA4086">
        <v>1</v>
      </c>
      <c r="BB4086" t="str">
        <f t="shared" si="1876"/>
        <v xml:space="preserve">N711JA  </v>
      </c>
      <c r="BC4086">
        <v>1</v>
      </c>
      <c r="BE4086">
        <v>0</v>
      </c>
      <c r="BF4086">
        <v>0</v>
      </c>
      <c r="BG4086">
        <v>0</v>
      </c>
      <c r="BH4086">
        <v>2300</v>
      </c>
      <c r="BI4086">
        <v>1</v>
      </c>
      <c r="BJ4086">
        <v>1</v>
      </c>
      <c r="BK4086">
        <v>0</v>
      </c>
      <c r="BL4086">
        <v>0</v>
      </c>
      <c r="BO4086">
        <v>0</v>
      </c>
      <c r="BP4086">
        <v>0</v>
      </c>
      <c r="BW4086" t="str">
        <f t="shared" si="1892"/>
        <v>14:48:41.471</v>
      </c>
      <c r="CJ4086">
        <v>0</v>
      </c>
      <c r="CK4086">
        <v>2</v>
      </c>
      <c r="CL4086">
        <v>0</v>
      </c>
      <c r="CM4086">
        <v>2</v>
      </c>
      <c r="CN4086">
        <v>0</v>
      </c>
      <c r="CO4086">
        <v>6</v>
      </c>
      <c r="CP4086" t="s">
        <v>119</v>
      </c>
      <c r="CQ4086">
        <v>56</v>
      </c>
      <c r="CR4086">
        <v>2</v>
      </c>
      <c r="CW4086">
        <v>5104367</v>
      </c>
      <c r="CY4086">
        <v>1</v>
      </c>
      <c r="CZ4086">
        <v>0</v>
      </c>
      <c r="DA4086">
        <v>1</v>
      </c>
      <c r="DB4086">
        <v>0</v>
      </c>
      <c r="DC4086">
        <v>0</v>
      </c>
      <c r="DD4086">
        <v>1</v>
      </c>
      <c r="DE4086">
        <v>0</v>
      </c>
      <c r="DF4086">
        <v>0</v>
      </c>
      <c r="DG4086">
        <v>0</v>
      </c>
      <c r="DH4086">
        <v>0</v>
      </c>
      <c r="DI4086">
        <v>0</v>
      </c>
    </row>
    <row r="4087" spans="1:113" x14ac:dyDescent="0.3">
      <c r="A4087" t="str">
        <f t="shared" si="1889"/>
        <v>05/12/2020 14:48:23.637</v>
      </c>
      <c r="C4087" t="str">
        <f t="shared" si="1875"/>
        <v>FFDFD3C0</v>
      </c>
      <c r="D4087" t="s">
        <v>131</v>
      </c>
      <c r="E4087">
        <v>12</v>
      </c>
      <c r="F4087">
        <v>2012</v>
      </c>
      <c r="G4087" t="s">
        <v>137</v>
      </c>
      <c r="J4087" t="s">
        <v>133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 t="shared" si="1890"/>
        <v>14:48:41.469</v>
      </c>
      <c r="T4087" t="str">
        <f t="shared" si="1891"/>
        <v>14:48:41.369</v>
      </c>
      <c r="U4087" t="str">
        <f t="shared" si="1866"/>
        <v>A9808D</v>
      </c>
      <c r="V4087">
        <v>0</v>
      </c>
      <c r="W4087">
        <v>0</v>
      </c>
      <c r="X4087">
        <v>1</v>
      </c>
      <c r="Z4087">
        <v>0</v>
      </c>
      <c r="AA4087">
        <v>9</v>
      </c>
      <c r="AB4087">
        <v>3</v>
      </c>
      <c r="AC4087">
        <v>0</v>
      </c>
      <c r="AD4087">
        <v>10</v>
      </c>
      <c r="AE4087">
        <v>0</v>
      </c>
      <c r="AF4087">
        <v>3</v>
      </c>
      <c r="AG4087">
        <v>2</v>
      </c>
      <c r="AH4087">
        <v>0</v>
      </c>
      <c r="AI4087" t="s">
        <v>933</v>
      </c>
      <c r="AJ4087">
        <v>28.264153</v>
      </c>
      <c r="AK4087" t="s">
        <v>934</v>
      </c>
      <c r="AL4087">
        <v>-82.299313999999995</v>
      </c>
      <c r="AM4087">
        <v>100</v>
      </c>
      <c r="AN4087">
        <v>2300</v>
      </c>
      <c r="AO4087" t="s">
        <v>118</v>
      </c>
      <c r="AP4087">
        <v>-116</v>
      </c>
      <c r="AQ4087">
        <v>-82</v>
      </c>
      <c r="AR4087">
        <v>192</v>
      </c>
      <c r="AZ4087">
        <v>1200</v>
      </c>
      <c r="BA4087">
        <v>1</v>
      </c>
      <c r="BB4087" t="str">
        <f t="shared" si="1876"/>
        <v xml:space="preserve">N711JA  </v>
      </c>
      <c r="BC4087">
        <v>1</v>
      </c>
      <c r="BE4087">
        <v>0</v>
      </c>
      <c r="BF4087">
        <v>0</v>
      </c>
      <c r="BG4087">
        <v>0</v>
      </c>
      <c r="BH4087">
        <v>2300</v>
      </c>
      <c r="BI4087">
        <v>1</v>
      </c>
      <c r="BJ4087">
        <v>1</v>
      </c>
      <c r="BK4087">
        <v>0</v>
      </c>
      <c r="BL4087">
        <v>0</v>
      </c>
      <c r="BO4087">
        <v>0</v>
      </c>
      <c r="BP4087">
        <v>0</v>
      </c>
      <c r="BW4087" t="str">
        <f t="shared" si="1892"/>
        <v>14:48:41.471</v>
      </c>
      <c r="CJ4087">
        <v>0</v>
      </c>
      <c r="CK4087">
        <v>2</v>
      </c>
      <c r="CL4087">
        <v>0</v>
      </c>
      <c r="CM4087">
        <v>2</v>
      </c>
      <c r="CN4087">
        <v>0</v>
      </c>
      <c r="CO4087">
        <v>6</v>
      </c>
      <c r="CP4087" t="s">
        <v>119</v>
      </c>
      <c r="CQ4087">
        <v>56</v>
      </c>
      <c r="CR4087">
        <v>2</v>
      </c>
      <c r="CW4087">
        <v>5104367</v>
      </c>
      <c r="CY4087">
        <v>1</v>
      </c>
      <c r="CZ4087">
        <v>0</v>
      </c>
      <c r="DA4087">
        <v>1</v>
      </c>
      <c r="DB4087">
        <v>0</v>
      </c>
      <c r="DC4087">
        <v>0</v>
      </c>
      <c r="DD4087">
        <v>1</v>
      </c>
      <c r="DE4087">
        <v>0</v>
      </c>
      <c r="DF4087">
        <v>0</v>
      </c>
      <c r="DG4087">
        <v>0</v>
      </c>
      <c r="DH4087">
        <v>0</v>
      </c>
      <c r="DI4087">
        <v>0</v>
      </c>
    </row>
    <row r="4088" spans="1:113" x14ac:dyDescent="0.3">
      <c r="A4088" t="str">
        <f t="shared" si="1889"/>
        <v>05/12/2020 14:48:23.637</v>
      </c>
      <c r="C4088" t="str">
        <f t="shared" si="1875"/>
        <v>FFDFD3C0</v>
      </c>
      <c r="D4088" t="s">
        <v>113</v>
      </c>
      <c r="E4088">
        <v>3</v>
      </c>
      <c r="H4088">
        <v>164</v>
      </c>
      <c r="I4088" t="s">
        <v>114</v>
      </c>
      <c r="J4088" t="s">
        <v>115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 t="shared" si="1890"/>
        <v>14:48:41.469</v>
      </c>
      <c r="T4088" t="str">
        <f t="shared" si="1891"/>
        <v>14:48:41.369</v>
      </c>
      <c r="U4088" t="str">
        <f t="shared" si="1866"/>
        <v>A9808D</v>
      </c>
      <c r="V4088">
        <v>0</v>
      </c>
      <c r="W4088">
        <v>0</v>
      </c>
      <c r="X4088">
        <v>1</v>
      </c>
      <c r="Z4088">
        <v>0</v>
      </c>
      <c r="AA4088">
        <v>9</v>
      </c>
      <c r="AB4088">
        <v>3</v>
      </c>
      <c r="AC4088">
        <v>0</v>
      </c>
      <c r="AD4088">
        <v>10</v>
      </c>
      <c r="AE4088">
        <v>0</v>
      </c>
      <c r="AF4088">
        <v>3</v>
      </c>
      <c r="AG4088">
        <v>2</v>
      </c>
      <c r="AH4088">
        <v>0</v>
      </c>
      <c r="AI4088" t="s">
        <v>933</v>
      </c>
      <c r="AJ4088">
        <v>28.264153</v>
      </c>
      <c r="AK4088" t="s">
        <v>934</v>
      </c>
      <c r="AL4088">
        <v>-82.299313999999995</v>
      </c>
      <c r="AM4088">
        <v>100</v>
      </c>
      <c r="AN4088">
        <v>2300</v>
      </c>
      <c r="AO4088" t="s">
        <v>118</v>
      </c>
      <c r="AP4088">
        <v>-116</v>
      </c>
      <c r="AQ4088">
        <v>-82</v>
      </c>
      <c r="AR4088">
        <v>192</v>
      </c>
      <c r="AZ4088">
        <v>1200</v>
      </c>
      <c r="BA4088">
        <v>1</v>
      </c>
      <c r="BB4088" t="str">
        <f t="shared" si="1876"/>
        <v xml:space="preserve">N711JA  </v>
      </c>
      <c r="BC4088">
        <v>1</v>
      </c>
      <c r="BE4088">
        <v>0</v>
      </c>
      <c r="BF4088">
        <v>0</v>
      </c>
      <c r="BG4088">
        <v>0</v>
      </c>
      <c r="BH4088">
        <v>2300</v>
      </c>
      <c r="BI4088">
        <v>1</v>
      </c>
      <c r="BJ4088">
        <v>1</v>
      </c>
      <c r="BK4088">
        <v>0</v>
      </c>
      <c r="BL4088">
        <v>0</v>
      </c>
      <c r="BO4088">
        <v>0</v>
      </c>
      <c r="BP4088">
        <v>0</v>
      </c>
      <c r="BW4088" t="str">
        <f t="shared" si="1892"/>
        <v>14:48:41.471</v>
      </c>
      <c r="CJ4088">
        <v>0</v>
      </c>
      <c r="CK4088">
        <v>2</v>
      </c>
      <c r="CL4088">
        <v>0</v>
      </c>
      <c r="CM4088">
        <v>2</v>
      </c>
      <c r="CN4088">
        <v>0</v>
      </c>
      <c r="CO4088">
        <v>6</v>
      </c>
      <c r="CP4088" t="s">
        <v>119</v>
      </c>
      <c r="CQ4088">
        <v>56</v>
      </c>
      <c r="CR4088">
        <v>2</v>
      </c>
      <c r="CW4088">
        <v>5104367</v>
      </c>
      <c r="CY4088">
        <v>1</v>
      </c>
      <c r="CZ4088">
        <v>0</v>
      </c>
      <c r="DA4088">
        <v>1</v>
      </c>
      <c r="DB4088">
        <v>0</v>
      </c>
      <c r="DC4088">
        <v>0</v>
      </c>
      <c r="DD4088">
        <v>1</v>
      </c>
      <c r="DE4088">
        <v>0</v>
      </c>
      <c r="DF4088">
        <v>0</v>
      </c>
      <c r="DG4088">
        <v>0</v>
      </c>
      <c r="DH4088">
        <v>0</v>
      </c>
      <c r="DI4088">
        <v>0</v>
      </c>
    </row>
    <row r="4089" spans="1:113" x14ac:dyDescent="0.3">
      <c r="A4089" t="str">
        <f t="shared" si="1889"/>
        <v>05/12/2020 14:48:23.637</v>
      </c>
      <c r="C4089" t="str">
        <f t="shared" si="1875"/>
        <v>FFDFD3C0</v>
      </c>
      <c r="D4089" t="s">
        <v>138</v>
      </c>
      <c r="E4089">
        <v>2</v>
      </c>
      <c r="H4089">
        <v>8</v>
      </c>
      <c r="I4089" t="s">
        <v>139</v>
      </c>
      <c r="J4089" t="s">
        <v>136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 t="shared" si="1890"/>
        <v>14:48:41.469</v>
      </c>
      <c r="T4089" t="str">
        <f t="shared" si="1891"/>
        <v>14:48:41.369</v>
      </c>
      <c r="U4089" t="str">
        <f t="shared" si="1866"/>
        <v>A9808D</v>
      </c>
      <c r="V4089">
        <v>0</v>
      </c>
      <c r="W4089">
        <v>0</v>
      </c>
      <c r="X4089">
        <v>1</v>
      </c>
      <c r="Z4089">
        <v>0</v>
      </c>
      <c r="AA4089">
        <v>9</v>
      </c>
      <c r="AB4089">
        <v>3</v>
      </c>
      <c r="AC4089">
        <v>0</v>
      </c>
      <c r="AD4089">
        <v>10</v>
      </c>
      <c r="AE4089">
        <v>0</v>
      </c>
      <c r="AF4089">
        <v>3</v>
      </c>
      <c r="AG4089">
        <v>2</v>
      </c>
      <c r="AH4089">
        <v>0</v>
      </c>
      <c r="AI4089" t="s">
        <v>933</v>
      </c>
      <c r="AJ4089">
        <v>28.264153</v>
      </c>
      <c r="AK4089" t="s">
        <v>934</v>
      </c>
      <c r="AL4089">
        <v>-82.299313999999995</v>
      </c>
      <c r="AM4089">
        <v>100</v>
      </c>
      <c r="AN4089">
        <v>2300</v>
      </c>
      <c r="AO4089" t="s">
        <v>118</v>
      </c>
      <c r="AP4089">
        <v>-116</v>
      </c>
      <c r="AQ4089">
        <v>-82</v>
      </c>
      <c r="AR4089">
        <v>192</v>
      </c>
      <c r="AZ4089">
        <v>1200</v>
      </c>
      <c r="BA4089">
        <v>1</v>
      </c>
      <c r="BB4089" t="str">
        <f t="shared" si="1876"/>
        <v xml:space="preserve">N711JA  </v>
      </c>
      <c r="BC4089">
        <v>1</v>
      </c>
      <c r="BE4089">
        <v>0</v>
      </c>
      <c r="BF4089">
        <v>0</v>
      </c>
      <c r="BG4089">
        <v>0</v>
      </c>
      <c r="BH4089">
        <v>2300</v>
      </c>
      <c r="BI4089">
        <v>1</v>
      </c>
      <c r="BJ4089">
        <v>1</v>
      </c>
      <c r="BK4089">
        <v>0</v>
      </c>
      <c r="BL4089">
        <v>0</v>
      </c>
      <c r="BO4089">
        <v>0</v>
      </c>
      <c r="BP4089">
        <v>0</v>
      </c>
      <c r="BW4089" t="str">
        <f t="shared" si="1892"/>
        <v>14:48:41.471</v>
      </c>
      <c r="CJ4089">
        <v>0</v>
      </c>
      <c r="CK4089">
        <v>2</v>
      </c>
      <c r="CL4089">
        <v>0</v>
      </c>
      <c r="CM4089">
        <v>2</v>
      </c>
      <c r="CN4089">
        <v>0</v>
      </c>
      <c r="CO4089">
        <v>6</v>
      </c>
      <c r="CP4089" t="s">
        <v>119</v>
      </c>
      <c r="CQ4089">
        <v>56</v>
      </c>
      <c r="CR4089">
        <v>2</v>
      </c>
      <c r="CW4089">
        <v>5104367</v>
      </c>
      <c r="CY4089">
        <v>1</v>
      </c>
      <c r="CZ4089">
        <v>0</v>
      </c>
      <c r="DA4089">
        <v>1</v>
      </c>
      <c r="DB4089">
        <v>0</v>
      </c>
      <c r="DC4089">
        <v>0</v>
      </c>
      <c r="DD4089">
        <v>1</v>
      </c>
      <c r="DE4089">
        <v>0</v>
      </c>
      <c r="DF4089">
        <v>0</v>
      </c>
      <c r="DG4089">
        <v>0</v>
      </c>
      <c r="DH4089">
        <v>0</v>
      </c>
      <c r="DI4089">
        <v>0</v>
      </c>
    </row>
    <row r="4090" spans="1:113" x14ac:dyDescent="0.3">
      <c r="A4090" t="str">
        <f t="shared" si="1889"/>
        <v>05/12/2020 14:48:23.637</v>
      </c>
      <c r="C4090" t="str">
        <f t="shared" si="1875"/>
        <v>FFDFD3C0</v>
      </c>
      <c r="D4090" t="s">
        <v>138</v>
      </c>
      <c r="E4090">
        <v>3</v>
      </c>
      <c r="H4090">
        <v>9</v>
      </c>
      <c r="I4090" t="s">
        <v>140</v>
      </c>
      <c r="J4090" t="s">
        <v>136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 t="shared" si="1890"/>
        <v>14:48:41.469</v>
      </c>
      <c r="T4090" t="str">
        <f t="shared" si="1891"/>
        <v>14:48:41.369</v>
      </c>
      <c r="U4090" t="str">
        <f t="shared" si="1866"/>
        <v>A9808D</v>
      </c>
      <c r="V4090">
        <v>0</v>
      </c>
      <c r="W4090">
        <v>0</v>
      </c>
      <c r="X4090">
        <v>1</v>
      </c>
      <c r="Z4090">
        <v>0</v>
      </c>
      <c r="AA4090">
        <v>9</v>
      </c>
      <c r="AB4090">
        <v>3</v>
      </c>
      <c r="AC4090">
        <v>0</v>
      </c>
      <c r="AD4090">
        <v>10</v>
      </c>
      <c r="AE4090">
        <v>0</v>
      </c>
      <c r="AF4090">
        <v>3</v>
      </c>
      <c r="AG4090">
        <v>2</v>
      </c>
      <c r="AH4090">
        <v>0</v>
      </c>
      <c r="AI4090" t="s">
        <v>933</v>
      </c>
      <c r="AJ4090">
        <v>28.264153</v>
      </c>
      <c r="AK4090" t="s">
        <v>934</v>
      </c>
      <c r="AL4090">
        <v>-82.299313999999995</v>
      </c>
      <c r="AM4090">
        <v>100</v>
      </c>
      <c r="AN4090">
        <v>2300</v>
      </c>
      <c r="AO4090" t="s">
        <v>118</v>
      </c>
      <c r="AP4090">
        <v>-116</v>
      </c>
      <c r="AQ4090">
        <v>-82</v>
      </c>
      <c r="AR4090">
        <v>192</v>
      </c>
      <c r="AZ4090">
        <v>1200</v>
      </c>
      <c r="BA4090">
        <v>1</v>
      </c>
      <c r="BB4090" t="str">
        <f t="shared" si="1876"/>
        <v xml:space="preserve">N711JA  </v>
      </c>
      <c r="BC4090">
        <v>1</v>
      </c>
      <c r="BE4090">
        <v>0</v>
      </c>
      <c r="BF4090">
        <v>0</v>
      </c>
      <c r="BG4090">
        <v>0</v>
      </c>
      <c r="BH4090">
        <v>2300</v>
      </c>
      <c r="BI4090">
        <v>1</v>
      </c>
      <c r="BJ4090">
        <v>1</v>
      </c>
      <c r="BK4090">
        <v>0</v>
      </c>
      <c r="BL4090">
        <v>0</v>
      </c>
      <c r="BO4090">
        <v>0</v>
      </c>
      <c r="BP4090">
        <v>0</v>
      </c>
      <c r="BW4090" t="str">
        <f t="shared" si="1892"/>
        <v>14:48:41.471</v>
      </c>
      <c r="CJ4090">
        <v>0</v>
      </c>
      <c r="CK4090">
        <v>2</v>
      </c>
      <c r="CL4090">
        <v>0</v>
      </c>
      <c r="CM4090">
        <v>2</v>
      </c>
      <c r="CN4090">
        <v>0</v>
      </c>
      <c r="CO4090">
        <v>6</v>
      </c>
      <c r="CP4090" t="s">
        <v>119</v>
      </c>
      <c r="CQ4090">
        <v>56</v>
      </c>
      <c r="CR4090">
        <v>2</v>
      </c>
      <c r="CW4090">
        <v>5104367</v>
      </c>
      <c r="CY4090">
        <v>1</v>
      </c>
      <c r="CZ4090">
        <v>0</v>
      </c>
      <c r="DA4090">
        <v>1</v>
      </c>
      <c r="DB4090">
        <v>0</v>
      </c>
      <c r="DC4090">
        <v>0</v>
      </c>
      <c r="DD4090">
        <v>1</v>
      </c>
      <c r="DE4090">
        <v>0</v>
      </c>
      <c r="DF4090">
        <v>0</v>
      </c>
      <c r="DG4090">
        <v>0</v>
      </c>
      <c r="DH4090">
        <v>0</v>
      </c>
      <c r="DI4090">
        <v>0</v>
      </c>
    </row>
    <row r="4091" spans="1:113" x14ac:dyDescent="0.3">
      <c r="A4091" t="str">
        <f t="shared" si="1889"/>
        <v>05/12/2020 14:48:23.637</v>
      </c>
      <c r="C4091" t="str">
        <f t="shared" si="1875"/>
        <v>FFDFD3C0</v>
      </c>
      <c r="D4091" t="s">
        <v>131</v>
      </c>
      <c r="E4091">
        <v>18</v>
      </c>
      <c r="F4091">
        <v>2018</v>
      </c>
      <c r="G4091" t="s">
        <v>161</v>
      </c>
      <c r="J4091" t="s">
        <v>133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 t="shared" si="1890"/>
        <v>14:48:41.469</v>
      </c>
      <c r="T4091" t="str">
        <f t="shared" si="1891"/>
        <v>14:48:41.369</v>
      </c>
      <c r="U4091" t="str">
        <f t="shared" si="1866"/>
        <v>A9808D</v>
      </c>
      <c r="V4091">
        <v>0</v>
      </c>
      <c r="W4091">
        <v>0</v>
      </c>
      <c r="X4091">
        <v>1</v>
      </c>
      <c r="Z4091">
        <v>0</v>
      </c>
      <c r="AA4091">
        <v>9</v>
      </c>
      <c r="AB4091">
        <v>3</v>
      </c>
      <c r="AC4091">
        <v>0</v>
      </c>
      <c r="AD4091">
        <v>10</v>
      </c>
      <c r="AE4091">
        <v>0</v>
      </c>
      <c r="AF4091">
        <v>3</v>
      </c>
      <c r="AG4091">
        <v>2</v>
      </c>
      <c r="AH4091">
        <v>0</v>
      </c>
      <c r="AI4091" t="s">
        <v>933</v>
      </c>
      <c r="AJ4091">
        <v>28.264153</v>
      </c>
      <c r="AK4091" t="s">
        <v>934</v>
      </c>
      <c r="AL4091">
        <v>-82.299313999999995</v>
      </c>
      <c r="AM4091">
        <v>100</v>
      </c>
      <c r="AN4091">
        <v>2300</v>
      </c>
      <c r="AO4091" t="s">
        <v>118</v>
      </c>
      <c r="AP4091">
        <v>-116</v>
      </c>
      <c r="AQ4091">
        <v>-82</v>
      </c>
      <c r="AR4091">
        <v>192</v>
      </c>
      <c r="AZ4091">
        <v>1200</v>
      </c>
      <c r="BA4091">
        <v>1</v>
      </c>
      <c r="BB4091" t="str">
        <f t="shared" si="1876"/>
        <v xml:space="preserve">N711JA  </v>
      </c>
      <c r="BC4091">
        <v>1</v>
      </c>
      <c r="BE4091">
        <v>0</v>
      </c>
      <c r="BF4091">
        <v>0</v>
      </c>
      <c r="BG4091">
        <v>0</v>
      </c>
      <c r="BH4091">
        <v>2300</v>
      </c>
      <c r="BI4091">
        <v>1</v>
      </c>
      <c r="BJ4091">
        <v>1</v>
      </c>
      <c r="BK4091">
        <v>0</v>
      </c>
      <c r="BL4091">
        <v>0</v>
      </c>
      <c r="BO4091">
        <v>0</v>
      </c>
      <c r="BP4091">
        <v>0</v>
      </c>
      <c r="BW4091" t="str">
        <f t="shared" si="1892"/>
        <v>14:48:41.471</v>
      </c>
      <c r="CJ4091">
        <v>0</v>
      </c>
      <c r="CK4091">
        <v>2</v>
      </c>
      <c r="CL4091">
        <v>0</v>
      </c>
      <c r="CM4091">
        <v>2</v>
      </c>
      <c r="CN4091">
        <v>0</v>
      </c>
      <c r="CO4091">
        <v>6</v>
      </c>
      <c r="CP4091" t="s">
        <v>119</v>
      </c>
      <c r="CQ4091">
        <v>56</v>
      </c>
      <c r="CR4091">
        <v>2</v>
      </c>
      <c r="CW4091">
        <v>5104367</v>
      </c>
      <c r="CY4091">
        <v>1</v>
      </c>
      <c r="CZ4091">
        <v>0</v>
      </c>
      <c r="DA4091">
        <v>1</v>
      </c>
      <c r="DB4091">
        <v>0</v>
      </c>
      <c r="DC4091">
        <v>0</v>
      </c>
      <c r="DD4091">
        <v>1</v>
      </c>
      <c r="DE4091">
        <v>0</v>
      </c>
      <c r="DF4091">
        <v>0</v>
      </c>
      <c r="DG4091">
        <v>0</v>
      </c>
      <c r="DH4091">
        <v>0</v>
      </c>
      <c r="DI4091">
        <v>0</v>
      </c>
    </row>
    <row r="4092" spans="1:113" x14ac:dyDescent="0.3">
      <c r="A4092" t="str">
        <f t="shared" ref="A4092:A4100" si="1893">"05/12/2020 14:48:24.601"</f>
        <v>05/12/2020 14:48:24.601</v>
      </c>
      <c r="C4092" t="str">
        <f t="shared" si="1875"/>
        <v>FFDFD3C0</v>
      </c>
      <c r="D4092" t="s">
        <v>126</v>
      </c>
      <c r="E4092">
        <v>6</v>
      </c>
      <c r="F4092">
        <v>1006</v>
      </c>
      <c r="G4092" t="s">
        <v>114</v>
      </c>
      <c r="J4092" t="s">
        <v>128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 t="shared" ref="S4092:S4100" si="1894">"14:48:42.406"</f>
        <v>14:48:42.406</v>
      </c>
      <c r="T4092" t="str">
        <f t="shared" ref="T4092:T4100" si="1895">"14:48:42.206"</f>
        <v>14:48:42.206</v>
      </c>
      <c r="U4092" t="str">
        <f t="shared" si="1866"/>
        <v>A9808D</v>
      </c>
      <c r="V4092">
        <v>0</v>
      </c>
      <c r="W4092">
        <v>0</v>
      </c>
      <c r="X4092">
        <v>1</v>
      </c>
      <c r="Z4092">
        <v>0</v>
      </c>
      <c r="AA4092">
        <v>9</v>
      </c>
      <c r="AB4092">
        <v>3</v>
      </c>
      <c r="AC4092">
        <v>0</v>
      </c>
      <c r="AD4092">
        <v>10</v>
      </c>
      <c r="AE4092">
        <v>0</v>
      </c>
      <c r="AF4092">
        <v>3</v>
      </c>
      <c r="AG4092">
        <v>2</v>
      </c>
      <c r="AH4092">
        <v>0</v>
      </c>
      <c r="AI4092" t="s">
        <v>935</v>
      </c>
      <c r="AJ4092">
        <v>28.263745</v>
      </c>
      <c r="AK4092" t="s">
        <v>936</v>
      </c>
      <c r="AL4092">
        <v>-82.299957000000006</v>
      </c>
      <c r="AM4092">
        <v>100</v>
      </c>
      <c r="AN4092">
        <v>2300</v>
      </c>
      <c r="AO4092" t="s">
        <v>118</v>
      </c>
      <c r="AP4092">
        <v>-115</v>
      </c>
      <c r="AQ4092">
        <v>-83</v>
      </c>
      <c r="AR4092">
        <v>192</v>
      </c>
      <c r="AZ4092">
        <v>1200</v>
      </c>
      <c r="BA4092">
        <v>1</v>
      </c>
      <c r="BB4092" t="str">
        <f t="shared" si="1876"/>
        <v xml:space="preserve">N711JA  </v>
      </c>
      <c r="BC4092">
        <v>1</v>
      </c>
      <c r="BE4092">
        <v>0</v>
      </c>
      <c r="BF4092">
        <v>0</v>
      </c>
      <c r="BG4092">
        <v>0</v>
      </c>
      <c r="BH4092">
        <v>2300</v>
      </c>
      <c r="BI4092">
        <v>1</v>
      </c>
      <c r="BJ4092">
        <v>1</v>
      </c>
      <c r="BK4092">
        <v>0</v>
      </c>
      <c r="BL4092">
        <v>0</v>
      </c>
      <c r="BO4092">
        <v>0</v>
      </c>
      <c r="BP4092">
        <v>0</v>
      </c>
      <c r="BW4092" t="str">
        <f>"14:48:42.412"</f>
        <v>14:48:42.412</v>
      </c>
      <c r="CJ4092">
        <v>0</v>
      </c>
      <c r="CK4092">
        <v>2</v>
      </c>
      <c r="CL4092">
        <v>0</v>
      </c>
      <c r="CM4092">
        <v>2</v>
      </c>
      <c r="CN4092">
        <v>0</v>
      </c>
      <c r="CO4092">
        <v>6</v>
      </c>
      <c r="CP4092" t="s">
        <v>119</v>
      </c>
      <c r="CQ4092">
        <v>358</v>
      </c>
      <c r="CR4092">
        <v>0</v>
      </c>
      <c r="CW4092">
        <v>5079064</v>
      </c>
      <c r="CY4092">
        <v>1</v>
      </c>
      <c r="CZ4092">
        <v>0</v>
      </c>
      <c r="DA4092">
        <v>0</v>
      </c>
      <c r="DB4092">
        <v>0</v>
      </c>
      <c r="DC4092">
        <v>0</v>
      </c>
      <c r="DD4092">
        <v>1</v>
      </c>
      <c r="DE4092">
        <v>0</v>
      </c>
      <c r="DF4092">
        <v>0</v>
      </c>
      <c r="DG4092">
        <v>0</v>
      </c>
      <c r="DH4092">
        <v>0</v>
      </c>
      <c r="DI4092">
        <v>0</v>
      </c>
    </row>
    <row r="4093" spans="1:113" x14ac:dyDescent="0.3">
      <c r="A4093" t="str">
        <f t="shared" si="1893"/>
        <v>05/12/2020 14:48:24.601</v>
      </c>
      <c r="C4093" t="str">
        <f t="shared" si="1875"/>
        <v>FFDFD3C0</v>
      </c>
      <c r="D4093" t="s">
        <v>134</v>
      </c>
      <c r="E4093">
        <v>12</v>
      </c>
      <c r="H4093">
        <v>64</v>
      </c>
      <c r="I4093" t="s">
        <v>135</v>
      </c>
      <c r="J4093" t="s">
        <v>136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 t="shared" si="1894"/>
        <v>14:48:42.406</v>
      </c>
      <c r="T4093" t="str">
        <f t="shared" si="1895"/>
        <v>14:48:42.206</v>
      </c>
      <c r="U4093" t="str">
        <f t="shared" si="1866"/>
        <v>A9808D</v>
      </c>
      <c r="V4093">
        <v>0</v>
      </c>
      <c r="W4093">
        <v>0</v>
      </c>
      <c r="X4093">
        <v>1</v>
      </c>
      <c r="Z4093">
        <v>0</v>
      </c>
      <c r="AA4093">
        <v>9</v>
      </c>
      <c r="AB4093">
        <v>3</v>
      </c>
      <c r="AC4093">
        <v>0</v>
      </c>
      <c r="AD4093">
        <v>10</v>
      </c>
      <c r="AE4093">
        <v>0</v>
      </c>
      <c r="AF4093">
        <v>3</v>
      </c>
      <c r="AG4093">
        <v>2</v>
      </c>
      <c r="AH4093">
        <v>0</v>
      </c>
      <c r="AI4093" t="s">
        <v>935</v>
      </c>
      <c r="AJ4093">
        <v>28.263745</v>
      </c>
      <c r="AK4093" t="s">
        <v>936</v>
      </c>
      <c r="AL4093">
        <v>-82.299957000000006</v>
      </c>
      <c r="AM4093">
        <v>100</v>
      </c>
      <c r="AN4093">
        <v>2300</v>
      </c>
      <c r="AO4093" t="s">
        <v>118</v>
      </c>
      <c r="AP4093">
        <v>-115</v>
      </c>
      <c r="AQ4093">
        <v>-83</v>
      </c>
      <c r="AR4093">
        <v>192</v>
      </c>
      <c r="AZ4093">
        <v>1200</v>
      </c>
      <c r="BA4093">
        <v>1</v>
      </c>
      <c r="BB4093" t="str">
        <f t="shared" si="1876"/>
        <v xml:space="preserve">N711JA  </v>
      </c>
      <c r="BC4093">
        <v>1</v>
      </c>
      <c r="BE4093">
        <v>0</v>
      </c>
      <c r="BF4093">
        <v>0</v>
      </c>
      <c r="BG4093">
        <v>0</v>
      </c>
      <c r="BH4093">
        <v>2300</v>
      </c>
      <c r="BI4093">
        <v>1</v>
      </c>
      <c r="BJ4093">
        <v>1</v>
      </c>
      <c r="BK4093">
        <v>0</v>
      </c>
      <c r="BL4093">
        <v>0</v>
      </c>
      <c r="BO4093">
        <v>0</v>
      </c>
      <c r="BP4093">
        <v>0</v>
      </c>
      <c r="BW4093" t="str">
        <f>"14:48:42.412"</f>
        <v>14:48:42.412</v>
      </c>
      <c r="CJ4093">
        <v>0</v>
      </c>
      <c r="CK4093">
        <v>2</v>
      </c>
      <c r="CL4093">
        <v>0</v>
      </c>
      <c r="CM4093">
        <v>2</v>
      </c>
      <c r="CN4093">
        <v>0</v>
      </c>
      <c r="CO4093">
        <v>6</v>
      </c>
      <c r="CP4093" t="s">
        <v>119</v>
      </c>
      <c r="CQ4093">
        <v>358</v>
      </c>
      <c r="CR4093">
        <v>0</v>
      </c>
      <c r="CW4093">
        <v>5079064</v>
      </c>
      <c r="CY4093">
        <v>1</v>
      </c>
      <c r="CZ4093">
        <v>0</v>
      </c>
      <c r="DA4093">
        <v>1</v>
      </c>
      <c r="DB4093">
        <v>0</v>
      </c>
      <c r="DC4093">
        <v>0</v>
      </c>
      <c r="DD4093">
        <v>1</v>
      </c>
      <c r="DE4093">
        <v>0</v>
      </c>
      <c r="DF4093">
        <v>0</v>
      </c>
      <c r="DG4093">
        <v>0</v>
      </c>
      <c r="DH4093">
        <v>0</v>
      </c>
      <c r="DI4093">
        <v>0</v>
      </c>
    </row>
    <row r="4094" spans="1:113" x14ac:dyDescent="0.3">
      <c r="A4094" t="str">
        <f t="shared" si="1893"/>
        <v>05/12/2020 14:48:24.601</v>
      </c>
      <c r="C4094" t="str">
        <f t="shared" si="1875"/>
        <v>FFDFD3C0</v>
      </c>
      <c r="D4094" t="s">
        <v>126</v>
      </c>
      <c r="E4094">
        <v>7</v>
      </c>
      <c r="F4094">
        <v>1007</v>
      </c>
      <c r="G4094" t="s">
        <v>127</v>
      </c>
      <c r="J4094" t="s">
        <v>128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 t="shared" si="1894"/>
        <v>14:48:42.406</v>
      </c>
      <c r="T4094" t="str">
        <f t="shared" si="1895"/>
        <v>14:48:42.206</v>
      </c>
      <c r="U4094" t="str">
        <f t="shared" si="1866"/>
        <v>A9808D</v>
      </c>
      <c r="V4094">
        <v>0</v>
      </c>
      <c r="W4094">
        <v>0</v>
      </c>
      <c r="X4094">
        <v>1</v>
      </c>
      <c r="Z4094">
        <v>0</v>
      </c>
      <c r="AA4094">
        <v>9</v>
      </c>
      <c r="AB4094">
        <v>3</v>
      </c>
      <c r="AC4094">
        <v>0</v>
      </c>
      <c r="AD4094">
        <v>10</v>
      </c>
      <c r="AE4094">
        <v>0</v>
      </c>
      <c r="AF4094">
        <v>3</v>
      </c>
      <c r="AG4094">
        <v>2</v>
      </c>
      <c r="AH4094">
        <v>0</v>
      </c>
      <c r="AI4094" t="s">
        <v>935</v>
      </c>
      <c r="AJ4094">
        <v>28.263745</v>
      </c>
      <c r="AK4094" t="s">
        <v>936</v>
      </c>
      <c r="AL4094">
        <v>-82.299957000000006</v>
      </c>
      <c r="AM4094">
        <v>100</v>
      </c>
      <c r="AN4094">
        <v>2300</v>
      </c>
      <c r="AO4094" t="s">
        <v>118</v>
      </c>
      <c r="AP4094">
        <v>-115</v>
      </c>
      <c r="AQ4094">
        <v>-83</v>
      </c>
      <c r="AR4094">
        <v>192</v>
      </c>
      <c r="AZ4094">
        <v>1200</v>
      </c>
      <c r="BA4094">
        <v>1</v>
      </c>
      <c r="BB4094" t="str">
        <f t="shared" si="1876"/>
        <v xml:space="preserve">N711JA  </v>
      </c>
      <c r="BC4094">
        <v>1</v>
      </c>
      <c r="BE4094">
        <v>0</v>
      </c>
      <c r="BF4094">
        <v>0</v>
      </c>
      <c r="BG4094">
        <v>0</v>
      </c>
      <c r="BH4094">
        <v>2300</v>
      </c>
      <c r="BI4094">
        <v>1</v>
      </c>
      <c r="BJ4094">
        <v>1</v>
      </c>
      <c r="BK4094">
        <v>0</v>
      </c>
      <c r="BL4094">
        <v>0</v>
      </c>
      <c r="BO4094">
        <v>0</v>
      </c>
      <c r="BP4094">
        <v>0</v>
      </c>
      <c r="BW4094" t="str">
        <f>"14:48:42.412"</f>
        <v>14:48:42.412</v>
      </c>
      <c r="CJ4094">
        <v>0</v>
      </c>
      <c r="CK4094">
        <v>2</v>
      </c>
      <c r="CL4094">
        <v>0</v>
      </c>
      <c r="CM4094">
        <v>2</v>
      </c>
      <c r="CN4094">
        <v>0</v>
      </c>
      <c r="CO4094">
        <v>6</v>
      </c>
      <c r="CP4094" t="s">
        <v>119</v>
      </c>
      <c r="CQ4094">
        <v>358</v>
      </c>
      <c r="CR4094">
        <v>0</v>
      </c>
      <c r="CW4094">
        <v>5079064</v>
      </c>
      <c r="CY4094">
        <v>1</v>
      </c>
      <c r="CZ4094">
        <v>0</v>
      </c>
      <c r="DA4094">
        <v>1</v>
      </c>
      <c r="DB4094">
        <v>0</v>
      </c>
      <c r="DC4094">
        <v>0</v>
      </c>
      <c r="DD4094">
        <v>1</v>
      </c>
      <c r="DE4094">
        <v>0</v>
      </c>
      <c r="DF4094">
        <v>0</v>
      </c>
      <c r="DG4094">
        <v>0</v>
      </c>
      <c r="DH4094">
        <v>0</v>
      </c>
      <c r="DI4094">
        <v>0</v>
      </c>
    </row>
    <row r="4095" spans="1:113" x14ac:dyDescent="0.3">
      <c r="A4095" t="str">
        <f t="shared" si="1893"/>
        <v>05/12/2020 14:48:24.601</v>
      </c>
      <c r="C4095" t="str">
        <f t="shared" si="1875"/>
        <v>FFDFD3C0</v>
      </c>
      <c r="D4095" t="s">
        <v>131</v>
      </c>
      <c r="E4095">
        <v>10</v>
      </c>
      <c r="F4095">
        <v>2010</v>
      </c>
      <c r="G4095" t="s">
        <v>132</v>
      </c>
      <c r="J4095" t="s">
        <v>133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 t="shared" si="1894"/>
        <v>14:48:42.406</v>
      </c>
      <c r="T4095" t="str">
        <f t="shared" si="1895"/>
        <v>14:48:42.206</v>
      </c>
      <c r="U4095" t="str">
        <f t="shared" si="1866"/>
        <v>A9808D</v>
      </c>
      <c r="V4095">
        <v>0</v>
      </c>
      <c r="W4095">
        <v>0</v>
      </c>
      <c r="X4095">
        <v>1</v>
      </c>
      <c r="Z4095">
        <v>0</v>
      </c>
      <c r="AA4095">
        <v>9</v>
      </c>
      <c r="AB4095">
        <v>3</v>
      </c>
      <c r="AC4095">
        <v>0</v>
      </c>
      <c r="AD4095">
        <v>10</v>
      </c>
      <c r="AE4095">
        <v>0</v>
      </c>
      <c r="AF4095">
        <v>3</v>
      </c>
      <c r="AG4095">
        <v>2</v>
      </c>
      <c r="AH4095">
        <v>0</v>
      </c>
      <c r="AI4095" t="s">
        <v>935</v>
      </c>
      <c r="AJ4095">
        <v>28.263745</v>
      </c>
      <c r="AK4095" t="s">
        <v>936</v>
      </c>
      <c r="AL4095">
        <v>-82.299957000000006</v>
      </c>
      <c r="AM4095">
        <v>100</v>
      </c>
      <c r="AN4095">
        <v>2300</v>
      </c>
      <c r="AO4095" t="s">
        <v>118</v>
      </c>
      <c r="AP4095">
        <v>-115</v>
      </c>
      <c r="AQ4095">
        <v>-83</v>
      </c>
      <c r="AR4095">
        <v>192</v>
      </c>
      <c r="AZ4095">
        <v>1200</v>
      </c>
      <c r="BA4095">
        <v>1</v>
      </c>
      <c r="BB4095" t="str">
        <f t="shared" si="1876"/>
        <v xml:space="preserve">N711JA  </v>
      </c>
      <c r="BC4095">
        <v>1</v>
      </c>
      <c r="BE4095">
        <v>0</v>
      </c>
      <c r="BF4095">
        <v>0</v>
      </c>
      <c r="BG4095">
        <v>0</v>
      </c>
      <c r="BH4095">
        <v>2300</v>
      </c>
      <c r="BI4095">
        <v>1</v>
      </c>
      <c r="BJ4095">
        <v>1</v>
      </c>
      <c r="BK4095">
        <v>0</v>
      </c>
      <c r="BL4095">
        <v>0</v>
      </c>
      <c r="BO4095">
        <v>0</v>
      </c>
      <c r="BP4095">
        <v>0</v>
      </c>
      <c r="BW4095" t="str">
        <f>"14:48:42.412"</f>
        <v>14:48:42.412</v>
      </c>
      <c r="CJ4095">
        <v>0</v>
      </c>
      <c r="CK4095">
        <v>2</v>
      </c>
      <c r="CL4095">
        <v>0</v>
      </c>
      <c r="CM4095">
        <v>2</v>
      </c>
      <c r="CN4095">
        <v>0</v>
      </c>
      <c r="CO4095">
        <v>6</v>
      </c>
      <c r="CP4095" t="s">
        <v>119</v>
      </c>
      <c r="CQ4095">
        <v>358</v>
      </c>
      <c r="CR4095">
        <v>0</v>
      </c>
      <c r="CW4095">
        <v>5079064</v>
      </c>
      <c r="CY4095">
        <v>1</v>
      </c>
      <c r="CZ4095">
        <v>0</v>
      </c>
      <c r="DA4095">
        <v>1</v>
      </c>
      <c r="DB4095">
        <v>0</v>
      </c>
      <c r="DC4095">
        <v>0</v>
      </c>
      <c r="DD4095">
        <v>1</v>
      </c>
      <c r="DE4095">
        <v>0</v>
      </c>
      <c r="DF4095">
        <v>0</v>
      </c>
      <c r="DG4095">
        <v>0</v>
      </c>
      <c r="DH4095">
        <v>0</v>
      </c>
      <c r="DI4095">
        <v>0</v>
      </c>
    </row>
    <row r="4096" spans="1:113" x14ac:dyDescent="0.3">
      <c r="A4096" t="str">
        <f t="shared" si="1893"/>
        <v>05/12/2020 14:48:24.601</v>
      </c>
      <c r="C4096" t="str">
        <f t="shared" si="1875"/>
        <v>FFDFD3C0</v>
      </c>
      <c r="D4096" t="s">
        <v>131</v>
      </c>
      <c r="E4096">
        <v>12</v>
      </c>
      <c r="F4096">
        <v>2012</v>
      </c>
      <c r="G4096" t="s">
        <v>137</v>
      </c>
      <c r="J4096" t="s">
        <v>133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 t="shared" si="1894"/>
        <v>14:48:42.406</v>
      </c>
      <c r="T4096" t="str">
        <f t="shared" si="1895"/>
        <v>14:48:42.206</v>
      </c>
      <c r="U4096" t="str">
        <f t="shared" si="1866"/>
        <v>A9808D</v>
      </c>
      <c r="V4096">
        <v>0</v>
      </c>
      <c r="W4096">
        <v>0</v>
      </c>
      <c r="X4096">
        <v>1</v>
      </c>
      <c r="Z4096">
        <v>0</v>
      </c>
      <c r="AA4096">
        <v>9</v>
      </c>
      <c r="AB4096">
        <v>3</v>
      </c>
      <c r="AC4096">
        <v>0</v>
      </c>
      <c r="AD4096">
        <v>10</v>
      </c>
      <c r="AE4096">
        <v>0</v>
      </c>
      <c r="AF4096">
        <v>3</v>
      </c>
      <c r="AG4096">
        <v>2</v>
      </c>
      <c r="AH4096">
        <v>0</v>
      </c>
      <c r="AI4096" t="s">
        <v>935</v>
      </c>
      <c r="AJ4096">
        <v>28.263745</v>
      </c>
      <c r="AK4096" t="s">
        <v>936</v>
      </c>
      <c r="AL4096">
        <v>-82.299957000000006</v>
      </c>
      <c r="AM4096">
        <v>100</v>
      </c>
      <c r="AN4096">
        <v>2300</v>
      </c>
      <c r="AO4096" t="s">
        <v>118</v>
      </c>
      <c r="AP4096">
        <v>-115</v>
      </c>
      <c r="AQ4096">
        <v>-83</v>
      </c>
      <c r="AR4096">
        <v>192</v>
      </c>
      <c r="AZ4096">
        <v>1200</v>
      </c>
      <c r="BA4096">
        <v>1</v>
      </c>
      <c r="BB4096" t="str">
        <f t="shared" si="1876"/>
        <v xml:space="preserve">N711JA  </v>
      </c>
      <c r="BC4096">
        <v>1</v>
      </c>
      <c r="BE4096">
        <v>0</v>
      </c>
      <c r="BF4096">
        <v>0</v>
      </c>
      <c r="BG4096">
        <v>0</v>
      </c>
      <c r="BH4096">
        <v>2300</v>
      </c>
      <c r="BI4096">
        <v>1</v>
      </c>
      <c r="BJ4096">
        <v>1</v>
      </c>
      <c r="BK4096">
        <v>0</v>
      </c>
      <c r="BL4096">
        <v>0</v>
      </c>
      <c r="BO4096">
        <v>0</v>
      </c>
      <c r="BP4096">
        <v>0</v>
      </c>
      <c r="BW4096" t="str">
        <f>"14:48:42.413"</f>
        <v>14:48:42.413</v>
      </c>
      <c r="CJ4096">
        <v>0</v>
      </c>
      <c r="CK4096">
        <v>2</v>
      </c>
      <c r="CL4096">
        <v>0</v>
      </c>
      <c r="CM4096">
        <v>2</v>
      </c>
      <c r="CN4096">
        <v>0</v>
      </c>
      <c r="CO4096">
        <v>6</v>
      </c>
      <c r="CP4096" t="s">
        <v>119</v>
      </c>
      <c r="CQ4096">
        <v>56</v>
      </c>
      <c r="CR4096">
        <v>2</v>
      </c>
      <c r="CW4096">
        <v>5105568</v>
      </c>
      <c r="CY4096">
        <v>1</v>
      </c>
      <c r="CZ4096">
        <v>0</v>
      </c>
      <c r="DA4096">
        <v>1</v>
      </c>
      <c r="DB4096">
        <v>0</v>
      </c>
      <c r="DC4096">
        <v>0</v>
      </c>
      <c r="DD4096">
        <v>1</v>
      </c>
      <c r="DE4096">
        <v>0</v>
      </c>
      <c r="DF4096">
        <v>0</v>
      </c>
      <c r="DG4096">
        <v>0</v>
      </c>
      <c r="DH4096">
        <v>0</v>
      </c>
      <c r="DI4096">
        <v>0</v>
      </c>
    </row>
    <row r="4097" spans="1:113" x14ac:dyDescent="0.3">
      <c r="A4097" t="str">
        <f t="shared" si="1893"/>
        <v>05/12/2020 14:48:24.601</v>
      </c>
      <c r="C4097" t="str">
        <f t="shared" si="1875"/>
        <v>FFDFD3C0</v>
      </c>
      <c r="D4097" t="s">
        <v>138</v>
      </c>
      <c r="E4097">
        <v>3</v>
      </c>
      <c r="H4097">
        <v>9</v>
      </c>
      <c r="I4097" t="s">
        <v>140</v>
      </c>
      <c r="J4097" t="s">
        <v>136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 t="shared" si="1894"/>
        <v>14:48:42.406</v>
      </c>
      <c r="T4097" t="str">
        <f t="shared" si="1895"/>
        <v>14:48:42.206</v>
      </c>
      <c r="U4097" t="str">
        <f t="shared" si="1866"/>
        <v>A9808D</v>
      </c>
      <c r="V4097">
        <v>0</v>
      </c>
      <c r="W4097">
        <v>0</v>
      </c>
      <c r="X4097">
        <v>1</v>
      </c>
      <c r="Z4097">
        <v>0</v>
      </c>
      <c r="AA4097">
        <v>9</v>
      </c>
      <c r="AB4097">
        <v>3</v>
      </c>
      <c r="AC4097">
        <v>0</v>
      </c>
      <c r="AD4097">
        <v>10</v>
      </c>
      <c r="AE4097">
        <v>0</v>
      </c>
      <c r="AF4097">
        <v>3</v>
      </c>
      <c r="AG4097">
        <v>2</v>
      </c>
      <c r="AH4097">
        <v>0</v>
      </c>
      <c r="AI4097" t="s">
        <v>935</v>
      </c>
      <c r="AJ4097">
        <v>28.263745</v>
      </c>
      <c r="AK4097" t="s">
        <v>936</v>
      </c>
      <c r="AL4097">
        <v>-82.299957000000006</v>
      </c>
      <c r="AM4097">
        <v>100</v>
      </c>
      <c r="AN4097">
        <v>2300</v>
      </c>
      <c r="AO4097" t="s">
        <v>118</v>
      </c>
      <c r="AP4097">
        <v>-115</v>
      </c>
      <c r="AQ4097">
        <v>-83</v>
      </c>
      <c r="AR4097">
        <v>192</v>
      </c>
      <c r="AZ4097">
        <v>1200</v>
      </c>
      <c r="BA4097">
        <v>1</v>
      </c>
      <c r="BB4097" t="str">
        <f t="shared" si="1876"/>
        <v xml:space="preserve">N711JA  </v>
      </c>
      <c r="BC4097">
        <v>1</v>
      </c>
      <c r="BE4097">
        <v>0</v>
      </c>
      <c r="BF4097">
        <v>0</v>
      </c>
      <c r="BG4097">
        <v>0</v>
      </c>
      <c r="BH4097">
        <v>2300</v>
      </c>
      <c r="BI4097">
        <v>1</v>
      </c>
      <c r="BJ4097">
        <v>1</v>
      </c>
      <c r="BK4097">
        <v>0</v>
      </c>
      <c r="BL4097">
        <v>0</v>
      </c>
      <c r="BO4097">
        <v>0</v>
      </c>
      <c r="BP4097">
        <v>0</v>
      </c>
      <c r="BW4097" t="str">
        <f>"14:48:42.412"</f>
        <v>14:48:42.412</v>
      </c>
      <c r="CJ4097">
        <v>0</v>
      </c>
      <c r="CK4097">
        <v>2</v>
      </c>
      <c r="CL4097">
        <v>0</v>
      </c>
      <c r="CM4097">
        <v>2</v>
      </c>
      <c r="CN4097">
        <v>0</v>
      </c>
      <c r="CO4097">
        <v>6</v>
      </c>
      <c r="CP4097" t="s">
        <v>119</v>
      </c>
      <c r="CQ4097">
        <v>358</v>
      </c>
      <c r="CR4097">
        <v>0</v>
      </c>
      <c r="CW4097">
        <v>5079064</v>
      </c>
      <c r="CY4097">
        <v>1</v>
      </c>
      <c r="CZ4097">
        <v>0</v>
      </c>
      <c r="DA4097">
        <v>1</v>
      </c>
      <c r="DB4097">
        <v>0</v>
      </c>
      <c r="DC4097">
        <v>0</v>
      </c>
      <c r="DD4097">
        <v>1</v>
      </c>
      <c r="DE4097">
        <v>0</v>
      </c>
      <c r="DF4097">
        <v>0</v>
      </c>
      <c r="DG4097">
        <v>0</v>
      </c>
      <c r="DH4097">
        <v>0</v>
      </c>
      <c r="DI4097">
        <v>0</v>
      </c>
    </row>
    <row r="4098" spans="1:113" x14ac:dyDescent="0.3">
      <c r="A4098" t="str">
        <f t="shared" si="1893"/>
        <v>05/12/2020 14:48:24.601</v>
      </c>
      <c r="C4098" t="str">
        <f t="shared" si="1875"/>
        <v>FFDFD3C0</v>
      </c>
      <c r="D4098" t="s">
        <v>138</v>
      </c>
      <c r="E4098">
        <v>2</v>
      </c>
      <c r="H4098">
        <v>8</v>
      </c>
      <c r="I4098" t="s">
        <v>139</v>
      </c>
      <c r="J4098" t="s">
        <v>136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 t="shared" si="1894"/>
        <v>14:48:42.406</v>
      </c>
      <c r="T4098" t="str">
        <f t="shared" si="1895"/>
        <v>14:48:42.206</v>
      </c>
      <c r="U4098" t="str">
        <f t="shared" ref="U4098:U4161" si="1896">"A9808D"</f>
        <v>A9808D</v>
      </c>
      <c r="V4098">
        <v>0</v>
      </c>
      <c r="W4098">
        <v>0</v>
      </c>
      <c r="X4098">
        <v>1</v>
      </c>
      <c r="Z4098">
        <v>0</v>
      </c>
      <c r="AA4098">
        <v>9</v>
      </c>
      <c r="AB4098">
        <v>3</v>
      </c>
      <c r="AC4098">
        <v>0</v>
      </c>
      <c r="AD4098">
        <v>10</v>
      </c>
      <c r="AE4098">
        <v>0</v>
      </c>
      <c r="AF4098">
        <v>3</v>
      </c>
      <c r="AG4098">
        <v>2</v>
      </c>
      <c r="AH4098">
        <v>0</v>
      </c>
      <c r="AI4098" t="s">
        <v>935</v>
      </c>
      <c r="AJ4098">
        <v>28.263745</v>
      </c>
      <c r="AK4098" t="s">
        <v>936</v>
      </c>
      <c r="AL4098">
        <v>-82.299957000000006</v>
      </c>
      <c r="AM4098">
        <v>100</v>
      </c>
      <c r="AN4098">
        <v>2300</v>
      </c>
      <c r="AO4098" t="s">
        <v>118</v>
      </c>
      <c r="AP4098">
        <v>-115</v>
      </c>
      <c r="AQ4098">
        <v>-83</v>
      </c>
      <c r="AR4098">
        <v>192</v>
      </c>
      <c r="AZ4098">
        <v>1200</v>
      </c>
      <c r="BA4098">
        <v>1</v>
      </c>
      <c r="BB4098" t="str">
        <f t="shared" si="1876"/>
        <v xml:space="preserve">N711JA  </v>
      </c>
      <c r="BC4098">
        <v>1</v>
      </c>
      <c r="BE4098">
        <v>0</v>
      </c>
      <c r="BF4098">
        <v>0</v>
      </c>
      <c r="BG4098">
        <v>0</v>
      </c>
      <c r="BH4098">
        <v>2300</v>
      </c>
      <c r="BI4098">
        <v>1</v>
      </c>
      <c r="BJ4098">
        <v>1</v>
      </c>
      <c r="BK4098">
        <v>0</v>
      </c>
      <c r="BL4098">
        <v>0</v>
      </c>
      <c r="BO4098">
        <v>0</v>
      </c>
      <c r="BP4098">
        <v>0</v>
      </c>
      <c r="BW4098" t="str">
        <f>"14:48:42.413"</f>
        <v>14:48:42.413</v>
      </c>
      <c r="CJ4098">
        <v>0</v>
      </c>
      <c r="CK4098">
        <v>2</v>
      </c>
      <c r="CL4098">
        <v>0</v>
      </c>
      <c r="CM4098">
        <v>2</v>
      </c>
      <c r="CN4098">
        <v>0</v>
      </c>
      <c r="CO4098">
        <v>6</v>
      </c>
      <c r="CP4098" t="s">
        <v>119</v>
      </c>
      <c r="CQ4098">
        <v>56</v>
      </c>
      <c r="CR4098">
        <v>2</v>
      </c>
      <c r="CW4098">
        <v>5105568</v>
      </c>
      <c r="CY4098">
        <v>1</v>
      </c>
      <c r="CZ4098">
        <v>0</v>
      </c>
      <c r="DA4098">
        <v>1</v>
      </c>
      <c r="DB4098">
        <v>0</v>
      </c>
      <c r="DC4098">
        <v>0</v>
      </c>
      <c r="DD4098">
        <v>1</v>
      </c>
      <c r="DE4098">
        <v>0</v>
      </c>
      <c r="DF4098">
        <v>0</v>
      </c>
      <c r="DG4098">
        <v>0</v>
      </c>
      <c r="DH4098">
        <v>0</v>
      </c>
      <c r="DI4098">
        <v>0</v>
      </c>
    </row>
    <row r="4099" spans="1:113" x14ac:dyDescent="0.3">
      <c r="A4099" t="str">
        <f t="shared" si="1893"/>
        <v>05/12/2020 14:48:24.601</v>
      </c>
      <c r="C4099" t="str">
        <f t="shared" si="1875"/>
        <v>FFDFD3C0</v>
      </c>
      <c r="D4099" t="s">
        <v>113</v>
      </c>
      <c r="E4099">
        <v>3</v>
      </c>
      <c r="H4099">
        <v>164</v>
      </c>
      <c r="I4099" t="s">
        <v>114</v>
      </c>
      <c r="J4099" t="s">
        <v>115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 t="shared" si="1894"/>
        <v>14:48:42.406</v>
      </c>
      <c r="T4099" t="str">
        <f t="shared" si="1895"/>
        <v>14:48:42.206</v>
      </c>
      <c r="U4099" t="str">
        <f t="shared" si="1896"/>
        <v>A9808D</v>
      </c>
      <c r="V4099">
        <v>0</v>
      </c>
      <c r="W4099">
        <v>0</v>
      </c>
      <c r="X4099">
        <v>1</v>
      </c>
      <c r="Z4099">
        <v>0</v>
      </c>
      <c r="AA4099">
        <v>9</v>
      </c>
      <c r="AB4099">
        <v>3</v>
      </c>
      <c r="AC4099">
        <v>0</v>
      </c>
      <c r="AD4099">
        <v>10</v>
      </c>
      <c r="AE4099">
        <v>0</v>
      </c>
      <c r="AF4099">
        <v>3</v>
      </c>
      <c r="AG4099">
        <v>2</v>
      </c>
      <c r="AH4099">
        <v>0</v>
      </c>
      <c r="AI4099" t="s">
        <v>935</v>
      </c>
      <c r="AJ4099">
        <v>28.263745</v>
      </c>
      <c r="AK4099" t="s">
        <v>936</v>
      </c>
      <c r="AL4099">
        <v>-82.299957000000006</v>
      </c>
      <c r="AM4099">
        <v>100</v>
      </c>
      <c r="AN4099">
        <v>2300</v>
      </c>
      <c r="AO4099" t="s">
        <v>118</v>
      </c>
      <c r="AP4099">
        <v>-115</v>
      </c>
      <c r="AQ4099">
        <v>-83</v>
      </c>
      <c r="AR4099">
        <v>192</v>
      </c>
      <c r="AZ4099">
        <v>1200</v>
      </c>
      <c r="BA4099">
        <v>1</v>
      </c>
      <c r="BB4099" t="str">
        <f t="shared" si="1876"/>
        <v xml:space="preserve">N711JA  </v>
      </c>
      <c r="BC4099">
        <v>1</v>
      </c>
      <c r="BE4099">
        <v>0</v>
      </c>
      <c r="BF4099">
        <v>0</v>
      </c>
      <c r="BG4099">
        <v>0</v>
      </c>
      <c r="BH4099">
        <v>2300</v>
      </c>
      <c r="BI4099">
        <v>1</v>
      </c>
      <c r="BJ4099">
        <v>1</v>
      </c>
      <c r="BK4099">
        <v>0</v>
      </c>
      <c r="BL4099">
        <v>0</v>
      </c>
      <c r="BO4099">
        <v>0</v>
      </c>
      <c r="BP4099">
        <v>0</v>
      </c>
      <c r="BW4099" t="str">
        <f>"14:48:42.413"</f>
        <v>14:48:42.413</v>
      </c>
      <c r="CJ4099">
        <v>0</v>
      </c>
      <c r="CK4099">
        <v>2</v>
      </c>
      <c r="CL4099">
        <v>0</v>
      </c>
      <c r="CM4099">
        <v>2</v>
      </c>
      <c r="CN4099">
        <v>0</v>
      </c>
      <c r="CO4099">
        <v>6</v>
      </c>
      <c r="CP4099" t="s">
        <v>119</v>
      </c>
      <c r="CQ4099">
        <v>56</v>
      </c>
      <c r="CR4099">
        <v>2</v>
      </c>
      <c r="CW4099">
        <v>5105568</v>
      </c>
      <c r="CY4099">
        <v>1</v>
      </c>
      <c r="CZ4099">
        <v>0</v>
      </c>
      <c r="DA4099">
        <v>1</v>
      </c>
      <c r="DB4099">
        <v>0</v>
      </c>
      <c r="DC4099">
        <v>0</v>
      </c>
      <c r="DD4099">
        <v>1</v>
      </c>
      <c r="DE4099">
        <v>0</v>
      </c>
      <c r="DF4099">
        <v>0</v>
      </c>
      <c r="DG4099">
        <v>0</v>
      </c>
      <c r="DH4099">
        <v>0</v>
      </c>
      <c r="DI4099">
        <v>0</v>
      </c>
    </row>
    <row r="4100" spans="1:113" x14ac:dyDescent="0.3">
      <c r="A4100" t="str">
        <f t="shared" si="1893"/>
        <v>05/12/2020 14:48:24.601</v>
      </c>
      <c r="C4100" t="str">
        <f t="shared" si="1875"/>
        <v>FFDFD3C0</v>
      </c>
      <c r="D4100" t="s">
        <v>131</v>
      </c>
      <c r="E4100">
        <v>18</v>
      </c>
      <c r="F4100">
        <v>2018</v>
      </c>
      <c r="G4100" t="s">
        <v>161</v>
      </c>
      <c r="J4100" t="s">
        <v>133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 t="shared" si="1894"/>
        <v>14:48:42.406</v>
      </c>
      <c r="T4100" t="str">
        <f t="shared" si="1895"/>
        <v>14:48:42.206</v>
      </c>
      <c r="U4100" t="str">
        <f t="shared" si="1896"/>
        <v>A9808D</v>
      </c>
      <c r="V4100">
        <v>0</v>
      </c>
      <c r="W4100">
        <v>0</v>
      </c>
      <c r="X4100">
        <v>1</v>
      </c>
      <c r="Z4100">
        <v>0</v>
      </c>
      <c r="AA4100">
        <v>9</v>
      </c>
      <c r="AB4100">
        <v>3</v>
      </c>
      <c r="AC4100">
        <v>0</v>
      </c>
      <c r="AD4100">
        <v>10</v>
      </c>
      <c r="AE4100">
        <v>0</v>
      </c>
      <c r="AF4100">
        <v>3</v>
      </c>
      <c r="AG4100">
        <v>2</v>
      </c>
      <c r="AH4100">
        <v>0</v>
      </c>
      <c r="AI4100" t="s">
        <v>935</v>
      </c>
      <c r="AJ4100">
        <v>28.263745</v>
      </c>
      <c r="AK4100" t="s">
        <v>936</v>
      </c>
      <c r="AL4100">
        <v>-82.299957000000006</v>
      </c>
      <c r="AM4100">
        <v>100</v>
      </c>
      <c r="AN4100">
        <v>2300</v>
      </c>
      <c r="AO4100" t="s">
        <v>118</v>
      </c>
      <c r="AP4100">
        <v>-115</v>
      </c>
      <c r="AQ4100">
        <v>-83</v>
      </c>
      <c r="AR4100">
        <v>192</v>
      </c>
      <c r="AZ4100">
        <v>1200</v>
      </c>
      <c r="BA4100">
        <v>1</v>
      </c>
      <c r="BB4100" t="str">
        <f t="shared" si="1876"/>
        <v xml:space="preserve">N711JA  </v>
      </c>
      <c r="BC4100">
        <v>1</v>
      </c>
      <c r="BE4100">
        <v>0</v>
      </c>
      <c r="BF4100">
        <v>0</v>
      </c>
      <c r="BG4100">
        <v>0</v>
      </c>
      <c r="BH4100">
        <v>2300</v>
      </c>
      <c r="BI4100">
        <v>1</v>
      </c>
      <c r="BJ4100">
        <v>1</v>
      </c>
      <c r="BK4100">
        <v>0</v>
      </c>
      <c r="BL4100">
        <v>0</v>
      </c>
      <c r="BO4100">
        <v>0</v>
      </c>
      <c r="BP4100">
        <v>0</v>
      </c>
      <c r="BW4100" t="str">
        <f>"14:48:42.413"</f>
        <v>14:48:42.413</v>
      </c>
      <c r="CJ4100">
        <v>0</v>
      </c>
      <c r="CK4100">
        <v>2</v>
      </c>
      <c r="CL4100">
        <v>0</v>
      </c>
      <c r="CM4100">
        <v>2</v>
      </c>
      <c r="CN4100">
        <v>0</v>
      </c>
      <c r="CO4100">
        <v>6</v>
      </c>
      <c r="CP4100" t="s">
        <v>119</v>
      </c>
      <c r="CQ4100">
        <v>56</v>
      </c>
      <c r="CR4100">
        <v>2</v>
      </c>
      <c r="CW4100">
        <v>5105568</v>
      </c>
      <c r="CY4100">
        <v>1</v>
      </c>
      <c r="CZ4100">
        <v>0</v>
      </c>
      <c r="DA4100">
        <v>1</v>
      </c>
      <c r="DB4100">
        <v>0</v>
      </c>
      <c r="DC4100">
        <v>0</v>
      </c>
      <c r="DD4100">
        <v>1</v>
      </c>
      <c r="DE4100">
        <v>0</v>
      </c>
      <c r="DF4100">
        <v>0</v>
      </c>
      <c r="DG4100">
        <v>0</v>
      </c>
      <c r="DH4100">
        <v>0</v>
      </c>
      <c r="DI4100">
        <v>0</v>
      </c>
    </row>
    <row r="4101" spans="1:113" x14ac:dyDescent="0.3">
      <c r="A4101" t="str">
        <f t="shared" ref="A4101:A4109" si="1897">"05/12/2020 14:48:25.556"</f>
        <v>05/12/2020 14:48:25.556</v>
      </c>
      <c r="C4101" t="str">
        <f t="shared" si="1875"/>
        <v>FFDFD3C0</v>
      </c>
      <c r="D4101" t="s">
        <v>126</v>
      </c>
      <c r="E4101">
        <v>6</v>
      </c>
      <c r="F4101">
        <v>1006</v>
      </c>
      <c r="G4101" t="s">
        <v>114</v>
      </c>
      <c r="J4101" t="s">
        <v>128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 t="shared" ref="S4101:S4109" si="1898">"14:48:43.383"</f>
        <v>14:48:43.383</v>
      </c>
      <c r="T4101" t="str">
        <f t="shared" ref="T4101:T4109" si="1899">"14:48:43.283"</f>
        <v>14:48:43.283</v>
      </c>
      <c r="U4101" t="str">
        <f t="shared" si="1896"/>
        <v>A9808D</v>
      </c>
      <c r="V4101">
        <v>0</v>
      </c>
      <c r="W4101">
        <v>0</v>
      </c>
      <c r="X4101">
        <v>1</v>
      </c>
      <c r="Z4101">
        <v>0</v>
      </c>
      <c r="AA4101">
        <v>9</v>
      </c>
      <c r="AB4101">
        <v>3</v>
      </c>
      <c r="AC4101">
        <v>0</v>
      </c>
      <c r="AD4101">
        <v>10</v>
      </c>
      <c r="AE4101">
        <v>0</v>
      </c>
      <c r="AF4101">
        <v>3</v>
      </c>
      <c r="AG4101">
        <v>2</v>
      </c>
      <c r="AH4101">
        <v>0</v>
      </c>
      <c r="AI4101" t="s">
        <v>832</v>
      </c>
      <c r="AJ4101">
        <v>28.263401999999999</v>
      </c>
      <c r="AK4101" t="s">
        <v>937</v>
      </c>
      <c r="AL4101">
        <v>-82.300471999999999</v>
      </c>
      <c r="AM4101">
        <v>100</v>
      </c>
      <c r="AN4101">
        <v>2300</v>
      </c>
      <c r="AO4101" t="s">
        <v>118</v>
      </c>
      <c r="AP4101">
        <v>-114</v>
      </c>
      <c r="AQ4101">
        <v>-85</v>
      </c>
      <c r="AR4101">
        <v>192</v>
      </c>
      <c r="AZ4101">
        <v>1200</v>
      </c>
      <c r="BA4101">
        <v>1</v>
      </c>
      <c r="BB4101" t="str">
        <f t="shared" si="1876"/>
        <v xml:space="preserve">N711JA  </v>
      </c>
      <c r="BC4101">
        <v>1</v>
      </c>
      <c r="BE4101">
        <v>0</v>
      </c>
      <c r="BF4101">
        <v>0</v>
      </c>
      <c r="BG4101">
        <v>0</v>
      </c>
      <c r="BH4101">
        <v>2300</v>
      </c>
      <c r="BI4101">
        <v>1</v>
      </c>
      <c r="BJ4101">
        <v>1</v>
      </c>
      <c r="BK4101">
        <v>0</v>
      </c>
      <c r="BL4101">
        <v>0</v>
      </c>
      <c r="BO4101">
        <v>0</v>
      </c>
      <c r="BP4101">
        <v>0</v>
      </c>
      <c r="BW4101" t="str">
        <f t="shared" ref="BW4101:BW4109" si="1900">"14:48:43.384"</f>
        <v>14:48:43.384</v>
      </c>
      <c r="CJ4101">
        <v>0</v>
      </c>
      <c r="CK4101">
        <v>2</v>
      </c>
      <c r="CL4101">
        <v>0</v>
      </c>
      <c r="CM4101">
        <v>2</v>
      </c>
      <c r="CN4101">
        <v>0</v>
      </c>
      <c r="CO4101">
        <v>6</v>
      </c>
      <c r="CP4101" t="s">
        <v>119</v>
      </c>
      <c r="CQ4101">
        <v>358</v>
      </c>
      <c r="CR4101">
        <v>0</v>
      </c>
      <c r="CW4101">
        <v>5080211</v>
      </c>
      <c r="CY4101">
        <v>1</v>
      </c>
      <c r="CZ4101">
        <v>0</v>
      </c>
      <c r="DA4101">
        <v>0</v>
      </c>
      <c r="DB4101">
        <v>0</v>
      </c>
      <c r="DC4101">
        <v>0</v>
      </c>
      <c r="DD4101">
        <v>1</v>
      </c>
      <c r="DE4101">
        <v>0</v>
      </c>
      <c r="DF4101">
        <v>0</v>
      </c>
      <c r="DG4101">
        <v>0</v>
      </c>
      <c r="DH4101">
        <v>0</v>
      </c>
      <c r="DI4101">
        <v>0</v>
      </c>
    </row>
    <row r="4102" spans="1:113" x14ac:dyDescent="0.3">
      <c r="A4102" t="str">
        <f t="shared" si="1897"/>
        <v>05/12/2020 14:48:25.556</v>
      </c>
      <c r="C4102" t="str">
        <f t="shared" si="1875"/>
        <v>FFDFD3C0</v>
      </c>
      <c r="D4102" t="s">
        <v>126</v>
      </c>
      <c r="E4102">
        <v>7</v>
      </c>
      <c r="F4102">
        <v>1007</v>
      </c>
      <c r="G4102" t="s">
        <v>127</v>
      </c>
      <c r="J4102" t="s">
        <v>128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 t="shared" si="1898"/>
        <v>14:48:43.383</v>
      </c>
      <c r="T4102" t="str">
        <f t="shared" si="1899"/>
        <v>14:48:43.283</v>
      </c>
      <c r="U4102" t="str">
        <f t="shared" si="1896"/>
        <v>A9808D</v>
      </c>
      <c r="V4102">
        <v>0</v>
      </c>
      <c r="W4102">
        <v>0</v>
      </c>
      <c r="X4102">
        <v>1</v>
      </c>
      <c r="Z4102">
        <v>0</v>
      </c>
      <c r="AA4102">
        <v>9</v>
      </c>
      <c r="AB4102">
        <v>3</v>
      </c>
      <c r="AC4102">
        <v>0</v>
      </c>
      <c r="AD4102">
        <v>10</v>
      </c>
      <c r="AE4102">
        <v>0</v>
      </c>
      <c r="AF4102">
        <v>3</v>
      </c>
      <c r="AG4102">
        <v>2</v>
      </c>
      <c r="AH4102">
        <v>0</v>
      </c>
      <c r="AI4102" t="s">
        <v>832</v>
      </c>
      <c r="AJ4102">
        <v>28.263401999999999</v>
      </c>
      <c r="AK4102" t="s">
        <v>937</v>
      </c>
      <c r="AL4102">
        <v>-82.300471999999999</v>
      </c>
      <c r="AM4102">
        <v>100</v>
      </c>
      <c r="AN4102">
        <v>2300</v>
      </c>
      <c r="AO4102" t="s">
        <v>118</v>
      </c>
      <c r="AP4102">
        <v>-114</v>
      </c>
      <c r="AQ4102">
        <v>-85</v>
      </c>
      <c r="AR4102">
        <v>192</v>
      </c>
      <c r="AZ4102">
        <v>1200</v>
      </c>
      <c r="BA4102">
        <v>1</v>
      </c>
      <c r="BB4102" t="str">
        <f t="shared" si="1876"/>
        <v xml:space="preserve">N711JA  </v>
      </c>
      <c r="BC4102">
        <v>1</v>
      </c>
      <c r="BE4102">
        <v>0</v>
      </c>
      <c r="BF4102">
        <v>0</v>
      </c>
      <c r="BG4102">
        <v>0</v>
      </c>
      <c r="BH4102">
        <v>2300</v>
      </c>
      <c r="BI4102">
        <v>1</v>
      </c>
      <c r="BJ4102">
        <v>1</v>
      </c>
      <c r="BK4102">
        <v>0</v>
      </c>
      <c r="BL4102">
        <v>0</v>
      </c>
      <c r="BO4102">
        <v>0</v>
      </c>
      <c r="BP4102">
        <v>0</v>
      </c>
      <c r="BW4102" t="str">
        <f t="shared" si="1900"/>
        <v>14:48:43.384</v>
      </c>
      <c r="CJ4102">
        <v>0</v>
      </c>
      <c r="CK4102">
        <v>2</v>
      </c>
      <c r="CL4102">
        <v>0</v>
      </c>
      <c r="CM4102">
        <v>2</v>
      </c>
      <c r="CN4102">
        <v>0</v>
      </c>
      <c r="CO4102">
        <v>6</v>
      </c>
      <c r="CP4102" t="s">
        <v>119</v>
      </c>
      <c r="CQ4102">
        <v>358</v>
      </c>
      <c r="CR4102">
        <v>0</v>
      </c>
      <c r="CW4102">
        <v>5080211</v>
      </c>
      <c r="CY4102">
        <v>1</v>
      </c>
      <c r="CZ4102">
        <v>0</v>
      </c>
      <c r="DA4102">
        <v>1</v>
      </c>
      <c r="DB4102">
        <v>0</v>
      </c>
      <c r="DC4102">
        <v>0</v>
      </c>
      <c r="DD4102">
        <v>1</v>
      </c>
      <c r="DE4102">
        <v>0</v>
      </c>
      <c r="DF4102">
        <v>0</v>
      </c>
      <c r="DG4102">
        <v>0</v>
      </c>
      <c r="DH4102">
        <v>0</v>
      </c>
      <c r="DI4102">
        <v>0</v>
      </c>
    </row>
    <row r="4103" spans="1:113" x14ac:dyDescent="0.3">
      <c r="A4103" t="str">
        <f t="shared" si="1897"/>
        <v>05/12/2020 14:48:25.556</v>
      </c>
      <c r="C4103" t="str">
        <f t="shared" si="1875"/>
        <v>FFDFD3C0</v>
      </c>
      <c r="D4103" t="s">
        <v>131</v>
      </c>
      <c r="E4103">
        <v>12</v>
      </c>
      <c r="F4103">
        <v>2012</v>
      </c>
      <c r="G4103" t="s">
        <v>137</v>
      </c>
      <c r="J4103" t="s">
        <v>133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 t="shared" si="1898"/>
        <v>14:48:43.383</v>
      </c>
      <c r="T4103" t="str">
        <f t="shared" si="1899"/>
        <v>14:48:43.283</v>
      </c>
      <c r="U4103" t="str">
        <f t="shared" si="1896"/>
        <v>A9808D</v>
      </c>
      <c r="V4103">
        <v>0</v>
      </c>
      <c r="W4103">
        <v>0</v>
      </c>
      <c r="X4103">
        <v>1</v>
      </c>
      <c r="Z4103">
        <v>0</v>
      </c>
      <c r="AA4103">
        <v>9</v>
      </c>
      <c r="AB4103">
        <v>3</v>
      </c>
      <c r="AC4103">
        <v>0</v>
      </c>
      <c r="AD4103">
        <v>10</v>
      </c>
      <c r="AE4103">
        <v>0</v>
      </c>
      <c r="AF4103">
        <v>3</v>
      </c>
      <c r="AG4103">
        <v>2</v>
      </c>
      <c r="AH4103">
        <v>0</v>
      </c>
      <c r="AI4103" t="s">
        <v>832</v>
      </c>
      <c r="AJ4103">
        <v>28.263401999999999</v>
      </c>
      <c r="AK4103" t="s">
        <v>937</v>
      </c>
      <c r="AL4103">
        <v>-82.300471999999999</v>
      </c>
      <c r="AM4103">
        <v>100</v>
      </c>
      <c r="AN4103">
        <v>2300</v>
      </c>
      <c r="AO4103" t="s">
        <v>118</v>
      </c>
      <c r="AP4103">
        <v>-114</v>
      </c>
      <c r="AQ4103">
        <v>-85</v>
      </c>
      <c r="AR4103">
        <v>192</v>
      </c>
      <c r="AZ4103">
        <v>1200</v>
      </c>
      <c r="BA4103">
        <v>1</v>
      </c>
      <c r="BB4103" t="str">
        <f t="shared" si="1876"/>
        <v xml:space="preserve">N711JA  </v>
      </c>
      <c r="BC4103">
        <v>1</v>
      </c>
      <c r="BE4103">
        <v>0</v>
      </c>
      <c r="BF4103">
        <v>0</v>
      </c>
      <c r="BG4103">
        <v>0</v>
      </c>
      <c r="BH4103">
        <v>2300</v>
      </c>
      <c r="BI4103">
        <v>1</v>
      </c>
      <c r="BJ4103">
        <v>1</v>
      </c>
      <c r="BK4103">
        <v>0</v>
      </c>
      <c r="BL4103">
        <v>0</v>
      </c>
      <c r="BO4103">
        <v>0</v>
      </c>
      <c r="BP4103">
        <v>0</v>
      </c>
      <c r="BW4103" t="str">
        <f t="shared" si="1900"/>
        <v>14:48:43.384</v>
      </c>
      <c r="CJ4103">
        <v>0</v>
      </c>
      <c r="CK4103">
        <v>2</v>
      </c>
      <c r="CL4103">
        <v>0</v>
      </c>
      <c r="CM4103">
        <v>2</v>
      </c>
      <c r="CN4103">
        <v>0</v>
      </c>
      <c r="CO4103">
        <v>6</v>
      </c>
      <c r="CP4103" t="s">
        <v>119</v>
      </c>
      <c r="CQ4103">
        <v>56</v>
      </c>
      <c r="CR4103">
        <v>2</v>
      </c>
      <c r="CW4103">
        <v>5106804</v>
      </c>
      <c r="CY4103">
        <v>1</v>
      </c>
      <c r="CZ4103">
        <v>0</v>
      </c>
      <c r="DA4103">
        <v>1</v>
      </c>
      <c r="DB4103">
        <v>0</v>
      </c>
      <c r="DC4103">
        <v>0</v>
      </c>
      <c r="DD4103">
        <v>1</v>
      </c>
      <c r="DE4103">
        <v>0</v>
      </c>
      <c r="DF4103">
        <v>0</v>
      </c>
      <c r="DG4103">
        <v>0</v>
      </c>
      <c r="DH4103">
        <v>0</v>
      </c>
      <c r="DI4103">
        <v>0</v>
      </c>
    </row>
    <row r="4104" spans="1:113" x14ac:dyDescent="0.3">
      <c r="A4104" t="str">
        <f t="shared" si="1897"/>
        <v>05/12/2020 14:48:25.556</v>
      </c>
      <c r="C4104" t="str">
        <f t="shared" si="1875"/>
        <v>FFDFD3C0</v>
      </c>
      <c r="D4104" t="s">
        <v>131</v>
      </c>
      <c r="E4104">
        <v>10</v>
      </c>
      <c r="F4104">
        <v>2010</v>
      </c>
      <c r="G4104" t="s">
        <v>132</v>
      </c>
      <c r="J4104" t="s">
        <v>133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 t="shared" si="1898"/>
        <v>14:48:43.383</v>
      </c>
      <c r="T4104" t="str">
        <f t="shared" si="1899"/>
        <v>14:48:43.283</v>
      </c>
      <c r="U4104" t="str">
        <f t="shared" si="1896"/>
        <v>A9808D</v>
      </c>
      <c r="V4104">
        <v>0</v>
      </c>
      <c r="W4104">
        <v>0</v>
      </c>
      <c r="X4104">
        <v>1</v>
      </c>
      <c r="Z4104">
        <v>0</v>
      </c>
      <c r="AA4104">
        <v>9</v>
      </c>
      <c r="AB4104">
        <v>3</v>
      </c>
      <c r="AC4104">
        <v>0</v>
      </c>
      <c r="AD4104">
        <v>10</v>
      </c>
      <c r="AE4104">
        <v>0</v>
      </c>
      <c r="AF4104">
        <v>3</v>
      </c>
      <c r="AG4104">
        <v>2</v>
      </c>
      <c r="AH4104">
        <v>0</v>
      </c>
      <c r="AI4104" t="s">
        <v>832</v>
      </c>
      <c r="AJ4104">
        <v>28.263401999999999</v>
      </c>
      <c r="AK4104" t="s">
        <v>937</v>
      </c>
      <c r="AL4104">
        <v>-82.300471999999999</v>
      </c>
      <c r="AM4104">
        <v>100</v>
      </c>
      <c r="AN4104">
        <v>2300</v>
      </c>
      <c r="AO4104" t="s">
        <v>118</v>
      </c>
      <c r="AP4104">
        <v>-114</v>
      </c>
      <c r="AQ4104">
        <v>-85</v>
      </c>
      <c r="AR4104">
        <v>192</v>
      </c>
      <c r="AZ4104">
        <v>1200</v>
      </c>
      <c r="BA4104">
        <v>1</v>
      </c>
      <c r="BB4104" t="str">
        <f t="shared" si="1876"/>
        <v xml:space="preserve">N711JA  </v>
      </c>
      <c r="BC4104">
        <v>1</v>
      </c>
      <c r="BE4104">
        <v>0</v>
      </c>
      <c r="BF4104">
        <v>0</v>
      </c>
      <c r="BG4104">
        <v>0</v>
      </c>
      <c r="BH4104">
        <v>2300</v>
      </c>
      <c r="BI4104">
        <v>1</v>
      </c>
      <c r="BJ4104">
        <v>1</v>
      </c>
      <c r="BK4104">
        <v>0</v>
      </c>
      <c r="BL4104">
        <v>0</v>
      </c>
      <c r="BO4104">
        <v>0</v>
      </c>
      <c r="BP4104">
        <v>0</v>
      </c>
      <c r="BW4104" t="str">
        <f t="shared" si="1900"/>
        <v>14:48:43.384</v>
      </c>
      <c r="CJ4104">
        <v>0</v>
      </c>
      <c r="CK4104">
        <v>2</v>
      </c>
      <c r="CL4104">
        <v>0</v>
      </c>
      <c r="CM4104">
        <v>2</v>
      </c>
      <c r="CN4104">
        <v>0</v>
      </c>
      <c r="CO4104">
        <v>6</v>
      </c>
      <c r="CP4104" t="s">
        <v>119</v>
      </c>
      <c r="CQ4104">
        <v>358</v>
      </c>
      <c r="CR4104">
        <v>0</v>
      </c>
      <c r="CW4104">
        <v>5080211</v>
      </c>
      <c r="CY4104">
        <v>1</v>
      </c>
      <c r="CZ4104">
        <v>0</v>
      </c>
      <c r="DA4104">
        <v>1</v>
      </c>
      <c r="DB4104">
        <v>0</v>
      </c>
      <c r="DC4104">
        <v>0</v>
      </c>
      <c r="DD4104">
        <v>1</v>
      </c>
      <c r="DE4104">
        <v>0</v>
      </c>
      <c r="DF4104">
        <v>0</v>
      </c>
      <c r="DG4104">
        <v>0</v>
      </c>
      <c r="DH4104">
        <v>0</v>
      </c>
      <c r="DI4104">
        <v>0</v>
      </c>
    </row>
    <row r="4105" spans="1:113" x14ac:dyDescent="0.3">
      <c r="A4105" t="str">
        <f t="shared" si="1897"/>
        <v>05/12/2020 14:48:25.556</v>
      </c>
      <c r="C4105" t="str">
        <f t="shared" si="1875"/>
        <v>FFDFD3C0</v>
      </c>
      <c r="D4105" t="s">
        <v>134</v>
      </c>
      <c r="E4105">
        <v>12</v>
      </c>
      <c r="H4105">
        <v>64</v>
      </c>
      <c r="I4105" t="s">
        <v>135</v>
      </c>
      <c r="J4105" t="s">
        <v>136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 t="shared" si="1898"/>
        <v>14:48:43.383</v>
      </c>
      <c r="T4105" t="str">
        <f t="shared" si="1899"/>
        <v>14:48:43.283</v>
      </c>
      <c r="U4105" t="str">
        <f t="shared" si="1896"/>
        <v>A9808D</v>
      </c>
      <c r="V4105">
        <v>0</v>
      </c>
      <c r="W4105">
        <v>0</v>
      </c>
      <c r="X4105">
        <v>1</v>
      </c>
      <c r="Z4105">
        <v>0</v>
      </c>
      <c r="AA4105">
        <v>9</v>
      </c>
      <c r="AB4105">
        <v>3</v>
      </c>
      <c r="AC4105">
        <v>0</v>
      </c>
      <c r="AD4105">
        <v>10</v>
      </c>
      <c r="AE4105">
        <v>0</v>
      </c>
      <c r="AF4105">
        <v>3</v>
      </c>
      <c r="AG4105">
        <v>2</v>
      </c>
      <c r="AH4105">
        <v>0</v>
      </c>
      <c r="AI4105" t="s">
        <v>832</v>
      </c>
      <c r="AJ4105">
        <v>28.263401999999999</v>
      </c>
      <c r="AK4105" t="s">
        <v>937</v>
      </c>
      <c r="AL4105">
        <v>-82.300471999999999</v>
      </c>
      <c r="AM4105">
        <v>100</v>
      </c>
      <c r="AN4105">
        <v>2300</v>
      </c>
      <c r="AO4105" t="s">
        <v>118</v>
      </c>
      <c r="AP4105">
        <v>-114</v>
      </c>
      <c r="AQ4105">
        <v>-85</v>
      </c>
      <c r="AR4105">
        <v>192</v>
      </c>
      <c r="AZ4105">
        <v>1200</v>
      </c>
      <c r="BA4105">
        <v>1</v>
      </c>
      <c r="BB4105" t="str">
        <f t="shared" si="1876"/>
        <v xml:space="preserve">N711JA  </v>
      </c>
      <c r="BC4105">
        <v>1</v>
      </c>
      <c r="BE4105">
        <v>0</v>
      </c>
      <c r="BF4105">
        <v>0</v>
      </c>
      <c r="BG4105">
        <v>0</v>
      </c>
      <c r="BH4105">
        <v>2300</v>
      </c>
      <c r="BI4105">
        <v>1</v>
      </c>
      <c r="BJ4105">
        <v>1</v>
      </c>
      <c r="BK4105">
        <v>0</v>
      </c>
      <c r="BL4105">
        <v>0</v>
      </c>
      <c r="BO4105">
        <v>0</v>
      </c>
      <c r="BP4105">
        <v>0</v>
      </c>
      <c r="BW4105" t="str">
        <f t="shared" si="1900"/>
        <v>14:48:43.384</v>
      </c>
      <c r="CJ4105">
        <v>0</v>
      </c>
      <c r="CK4105">
        <v>2</v>
      </c>
      <c r="CL4105">
        <v>0</v>
      </c>
      <c r="CM4105">
        <v>2</v>
      </c>
      <c r="CN4105">
        <v>0</v>
      </c>
      <c r="CO4105">
        <v>6</v>
      </c>
      <c r="CP4105" t="s">
        <v>119</v>
      </c>
      <c r="CQ4105">
        <v>358</v>
      </c>
      <c r="CR4105">
        <v>0</v>
      </c>
      <c r="CW4105">
        <v>5080211</v>
      </c>
      <c r="CY4105">
        <v>1</v>
      </c>
      <c r="CZ4105">
        <v>0</v>
      </c>
      <c r="DA4105">
        <v>1</v>
      </c>
      <c r="DB4105">
        <v>0</v>
      </c>
      <c r="DC4105">
        <v>0</v>
      </c>
      <c r="DD4105">
        <v>1</v>
      </c>
      <c r="DE4105">
        <v>0</v>
      </c>
      <c r="DF4105">
        <v>0</v>
      </c>
      <c r="DG4105">
        <v>0</v>
      </c>
      <c r="DH4105">
        <v>0</v>
      </c>
      <c r="DI4105">
        <v>0</v>
      </c>
    </row>
    <row r="4106" spans="1:113" x14ac:dyDescent="0.3">
      <c r="A4106" t="str">
        <f t="shared" si="1897"/>
        <v>05/12/2020 14:48:25.556</v>
      </c>
      <c r="C4106" t="str">
        <f t="shared" si="1875"/>
        <v>FFDFD3C0</v>
      </c>
      <c r="D4106" t="s">
        <v>113</v>
      </c>
      <c r="E4106">
        <v>3</v>
      </c>
      <c r="H4106">
        <v>164</v>
      </c>
      <c r="I4106" t="s">
        <v>114</v>
      </c>
      <c r="J4106" t="s">
        <v>115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 t="shared" si="1898"/>
        <v>14:48:43.383</v>
      </c>
      <c r="T4106" t="str">
        <f t="shared" si="1899"/>
        <v>14:48:43.283</v>
      </c>
      <c r="U4106" t="str">
        <f t="shared" si="1896"/>
        <v>A9808D</v>
      </c>
      <c r="V4106">
        <v>0</v>
      </c>
      <c r="W4106">
        <v>0</v>
      </c>
      <c r="X4106">
        <v>1</v>
      </c>
      <c r="Z4106">
        <v>0</v>
      </c>
      <c r="AA4106">
        <v>9</v>
      </c>
      <c r="AB4106">
        <v>3</v>
      </c>
      <c r="AC4106">
        <v>0</v>
      </c>
      <c r="AD4106">
        <v>10</v>
      </c>
      <c r="AE4106">
        <v>0</v>
      </c>
      <c r="AF4106">
        <v>3</v>
      </c>
      <c r="AG4106">
        <v>2</v>
      </c>
      <c r="AH4106">
        <v>0</v>
      </c>
      <c r="AI4106" t="s">
        <v>832</v>
      </c>
      <c r="AJ4106">
        <v>28.263401999999999</v>
      </c>
      <c r="AK4106" t="s">
        <v>937</v>
      </c>
      <c r="AL4106">
        <v>-82.300471999999999</v>
      </c>
      <c r="AM4106">
        <v>100</v>
      </c>
      <c r="AN4106">
        <v>2300</v>
      </c>
      <c r="AO4106" t="s">
        <v>118</v>
      </c>
      <c r="AP4106">
        <v>-114</v>
      </c>
      <c r="AQ4106">
        <v>-85</v>
      </c>
      <c r="AR4106">
        <v>192</v>
      </c>
      <c r="AZ4106">
        <v>1200</v>
      </c>
      <c r="BA4106">
        <v>1</v>
      </c>
      <c r="BB4106" t="str">
        <f t="shared" si="1876"/>
        <v xml:space="preserve">N711JA  </v>
      </c>
      <c r="BC4106">
        <v>1</v>
      </c>
      <c r="BE4106">
        <v>0</v>
      </c>
      <c r="BF4106">
        <v>0</v>
      </c>
      <c r="BG4106">
        <v>0</v>
      </c>
      <c r="BH4106">
        <v>2300</v>
      </c>
      <c r="BI4106">
        <v>1</v>
      </c>
      <c r="BJ4106">
        <v>1</v>
      </c>
      <c r="BK4106">
        <v>0</v>
      </c>
      <c r="BL4106">
        <v>0</v>
      </c>
      <c r="BO4106">
        <v>0</v>
      </c>
      <c r="BP4106">
        <v>0</v>
      </c>
      <c r="BW4106" t="str">
        <f t="shared" si="1900"/>
        <v>14:48:43.384</v>
      </c>
      <c r="CJ4106">
        <v>0</v>
      </c>
      <c r="CK4106">
        <v>2</v>
      </c>
      <c r="CL4106">
        <v>0</v>
      </c>
      <c r="CM4106">
        <v>2</v>
      </c>
      <c r="CN4106">
        <v>0</v>
      </c>
      <c r="CO4106">
        <v>6</v>
      </c>
      <c r="CP4106" t="s">
        <v>119</v>
      </c>
      <c r="CQ4106">
        <v>56</v>
      </c>
      <c r="CR4106">
        <v>2</v>
      </c>
      <c r="CW4106">
        <v>5106804</v>
      </c>
      <c r="CY4106">
        <v>1</v>
      </c>
      <c r="CZ4106">
        <v>0</v>
      </c>
      <c r="DA4106">
        <v>1</v>
      </c>
      <c r="DB4106">
        <v>0</v>
      </c>
      <c r="DC4106">
        <v>0</v>
      </c>
      <c r="DD4106">
        <v>1</v>
      </c>
      <c r="DE4106">
        <v>0</v>
      </c>
      <c r="DF4106">
        <v>0</v>
      </c>
      <c r="DG4106">
        <v>0</v>
      </c>
      <c r="DH4106">
        <v>0</v>
      </c>
      <c r="DI4106">
        <v>0</v>
      </c>
    </row>
    <row r="4107" spans="1:113" x14ac:dyDescent="0.3">
      <c r="A4107" t="str">
        <f t="shared" si="1897"/>
        <v>05/12/2020 14:48:25.556</v>
      </c>
      <c r="C4107" t="str">
        <f t="shared" si="1875"/>
        <v>FFDFD3C0</v>
      </c>
      <c r="D4107" t="s">
        <v>138</v>
      </c>
      <c r="E4107">
        <v>3</v>
      </c>
      <c r="H4107">
        <v>9</v>
      </c>
      <c r="I4107" t="s">
        <v>140</v>
      </c>
      <c r="J4107" t="s">
        <v>136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 t="shared" si="1898"/>
        <v>14:48:43.383</v>
      </c>
      <c r="T4107" t="str">
        <f t="shared" si="1899"/>
        <v>14:48:43.283</v>
      </c>
      <c r="U4107" t="str">
        <f t="shared" si="1896"/>
        <v>A9808D</v>
      </c>
      <c r="V4107">
        <v>0</v>
      </c>
      <c r="W4107">
        <v>0</v>
      </c>
      <c r="X4107">
        <v>1</v>
      </c>
      <c r="Z4107">
        <v>0</v>
      </c>
      <c r="AA4107">
        <v>9</v>
      </c>
      <c r="AB4107">
        <v>3</v>
      </c>
      <c r="AC4107">
        <v>0</v>
      </c>
      <c r="AD4107">
        <v>10</v>
      </c>
      <c r="AE4107">
        <v>0</v>
      </c>
      <c r="AF4107">
        <v>3</v>
      </c>
      <c r="AG4107">
        <v>2</v>
      </c>
      <c r="AH4107">
        <v>0</v>
      </c>
      <c r="AI4107" t="s">
        <v>832</v>
      </c>
      <c r="AJ4107">
        <v>28.263401999999999</v>
      </c>
      <c r="AK4107" t="s">
        <v>937</v>
      </c>
      <c r="AL4107">
        <v>-82.300471999999999</v>
      </c>
      <c r="AM4107">
        <v>100</v>
      </c>
      <c r="AN4107">
        <v>2300</v>
      </c>
      <c r="AO4107" t="s">
        <v>118</v>
      </c>
      <c r="AP4107">
        <v>-114</v>
      </c>
      <c r="AQ4107">
        <v>-85</v>
      </c>
      <c r="AR4107">
        <v>192</v>
      </c>
      <c r="AZ4107">
        <v>1200</v>
      </c>
      <c r="BA4107">
        <v>1</v>
      </c>
      <c r="BB4107" t="str">
        <f t="shared" si="1876"/>
        <v xml:space="preserve">N711JA  </v>
      </c>
      <c r="BC4107">
        <v>1</v>
      </c>
      <c r="BE4107">
        <v>0</v>
      </c>
      <c r="BF4107">
        <v>0</v>
      </c>
      <c r="BG4107">
        <v>0</v>
      </c>
      <c r="BH4107">
        <v>2300</v>
      </c>
      <c r="BI4107">
        <v>1</v>
      </c>
      <c r="BJ4107">
        <v>1</v>
      </c>
      <c r="BK4107">
        <v>0</v>
      </c>
      <c r="BL4107">
        <v>0</v>
      </c>
      <c r="BO4107">
        <v>0</v>
      </c>
      <c r="BP4107">
        <v>0</v>
      </c>
      <c r="BW4107" t="str">
        <f t="shared" si="1900"/>
        <v>14:48:43.384</v>
      </c>
      <c r="CJ4107">
        <v>0</v>
      </c>
      <c r="CK4107">
        <v>2</v>
      </c>
      <c r="CL4107">
        <v>0</v>
      </c>
      <c r="CM4107">
        <v>2</v>
      </c>
      <c r="CN4107">
        <v>0</v>
      </c>
      <c r="CO4107">
        <v>6</v>
      </c>
      <c r="CP4107" t="s">
        <v>119</v>
      </c>
      <c r="CQ4107">
        <v>358</v>
      </c>
      <c r="CR4107">
        <v>0</v>
      </c>
      <c r="CW4107">
        <v>5080211</v>
      </c>
      <c r="CY4107">
        <v>1</v>
      </c>
      <c r="CZ4107">
        <v>0</v>
      </c>
      <c r="DA4107">
        <v>1</v>
      </c>
      <c r="DB4107">
        <v>0</v>
      </c>
      <c r="DC4107">
        <v>0</v>
      </c>
      <c r="DD4107">
        <v>1</v>
      </c>
      <c r="DE4107">
        <v>0</v>
      </c>
      <c r="DF4107">
        <v>0</v>
      </c>
      <c r="DG4107">
        <v>0</v>
      </c>
      <c r="DH4107">
        <v>0</v>
      </c>
      <c r="DI4107">
        <v>0</v>
      </c>
    </row>
    <row r="4108" spans="1:113" x14ac:dyDescent="0.3">
      <c r="A4108" t="str">
        <f t="shared" si="1897"/>
        <v>05/12/2020 14:48:25.556</v>
      </c>
      <c r="C4108" t="str">
        <f t="shared" si="1875"/>
        <v>FFDFD3C0</v>
      </c>
      <c r="D4108" t="s">
        <v>138</v>
      </c>
      <c r="E4108">
        <v>2</v>
      </c>
      <c r="H4108">
        <v>8</v>
      </c>
      <c r="I4108" t="s">
        <v>139</v>
      </c>
      <c r="J4108" t="s">
        <v>136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 t="shared" si="1898"/>
        <v>14:48:43.383</v>
      </c>
      <c r="T4108" t="str">
        <f t="shared" si="1899"/>
        <v>14:48:43.283</v>
      </c>
      <c r="U4108" t="str">
        <f t="shared" si="1896"/>
        <v>A9808D</v>
      </c>
      <c r="V4108">
        <v>0</v>
      </c>
      <c r="W4108">
        <v>0</v>
      </c>
      <c r="X4108">
        <v>1</v>
      </c>
      <c r="Z4108">
        <v>0</v>
      </c>
      <c r="AA4108">
        <v>9</v>
      </c>
      <c r="AB4108">
        <v>3</v>
      </c>
      <c r="AC4108">
        <v>0</v>
      </c>
      <c r="AD4108">
        <v>10</v>
      </c>
      <c r="AE4108">
        <v>0</v>
      </c>
      <c r="AF4108">
        <v>3</v>
      </c>
      <c r="AG4108">
        <v>2</v>
      </c>
      <c r="AH4108">
        <v>0</v>
      </c>
      <c r="AI4108" t="s">
        <v>832</v>
      </c>
      <c r="AJ4108">
        <v>28.263401999999999</v>
      </c>
      <c r="AK4108" t="s">
        <v>937</v>
      </c>
      <c r="AL4108">
        <v>-82.300471999999999</v>
      </c>
      <c r="AM4108">
        <v>100</v>
      </c>
      <c r="AN4108">
        <v>2300</v>
      </c>
      <c r="AO4108" t="s">
        <v>118</v>
      </c>
      <c r="AP4108">
        <v>-114</v>
      </c>
      <c r="AQ4108">
        <v>-85</v>
      </c>
      <c r="AR4108">
        <v>192</v>
      </c>
      <c r="AZ4108">
        <v>1200</v>
      </c>
      <c r="BA4108">
        <v>1</v>
      </c>
      <c r="BB4108" t="str">
        <f t="shared" si="1876"/>
        <v xml:space="preserve">N711JA  </v>
      </c>
      <c r="BC4108">
        <v>1</v>
      </c>
      <c r="BE4108">
        <v>0</v>
      </c>
      <c r="BF4108">
        <v>0</v>
      </c>
      <c r="BG4108">
        <v>0</v>
      </c>
      <c r="BH4108">
        <v>2300</v>
      </c>
      <c r="BI4108">
        <v>1</v>
      </c>
      <c r="BJ4108">
        <v>1</v>
      </c>
      <c r="BK4108">
        <v>0</v>
      </c>
      <c r="BL4108">
        <v>0</v>
      </c>
      <c r="BO4108">
        <v>0</v>
      </c>
      <c r="BP4108">
        <v>0</v>
      </c>
      <c r="BW4108" t="str">
        <f t="shared" si="1900"/>
        <v>14:48:43.384</v>
      </c>
      <c r="CJ4108">
        <v>0</v>
      </c>
      <c r="CK4108">
        <v>2</v>
      </c>
      <c r="CL4108">
        <v>0</v>
      </c>
      <c r="CM4108">
        <v>2</v>
      </c>
      <c r="CN4108">
        <v>0</v>
      </c>
      <c r="CO4108">
        <v>6</v>
      </c>
      <c r="CP4108" t="s">
        <v>119</v>
      </c>
      <c r="CQ4108">
        <v>56</v>
      </c>
      <c r="CR4108">
        <v>2</v>
      </c>
      <c r="CW4108">
        <v>5106804</v>
      </c>
      <c r="CY4108">
        <v>1</v>
      </c>
      <c r="CZ4108">
        <v>0</v>
      </c>
      <c r="DA4108">
        <v>1</v>
      </c>
      <c r="DB4108">
        <v>0</v>
      </c>
      <c r="DC4108">
        <v>0</v>
      </c>
      <c r="DD4108">
        <v>1</v>
      </c>
      <c r="DE4108">
        <v>0</v>
      </c>
      <c r="DF4108">
        <v>0</v>
      </c>
      <c r="DG4108">
        <v>0</v>
      </c>
      <c r="DH4108">
        <v>0</v>
      </c>
      <c r="DI4108">
        <v>0</v>
      </c>
    </row>
    <row r="4109" spans="1:113" x14ac:dyDescent="0.3">
      <c r="A4109" t="str">
        <f t="shared" si="1897"/>
        <v>05/12/2020 14:48:25.556</v>
      </c>
      <c r="C4109" t="str">
        <f t="shared" si="1875"/>
        <v>FFDFD3C0</v>
      </c>
      <c r="D4109" t="s">
        <v>131</v>
      </c>
      <c r="E4109">
        <v>18</v>
      </c>
      <c r="F4109">
        <v>2018</v>
      </c>
      <c r="G4109" t="s">
        <v>161</v>
      </c>
      <c r="J4109" t="s">
        <v>133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 t="shared" si="1898"/>
        <v>14:48:43.383</v>
      </c>
      <c r="T4109" t="str">
        <f t="shared" si="1899"/>
        <v>14:48:43.283</v>
      </c>
      <c r="U4109" t="str">
        <f t="shared" si="1896"/>
        <v>A9808D</v>
      </c>
      <c r="V4109">
        <v>0</v>
      </c>
      <c r="W4109">
        <v>0</v>
      </c>
      <c r="X4109">
        <v>1</v>
      </c>
      <c r="Z4109">
        <v>0</v>
      </c>
      <c r="AA4109">
        <v>9</v>
      </c>
      <c r="AB4109">
        <v>3</v>
      </c>
      <c r="AC4109">
        <v>0</v>
      </c>
      <c r="AD4109">
        <v>10</v>
      </c>
      <c r="AE4109">
        <v>0</v>
      </c>
      <c r="AF4109">
        <v>3</v>
      </c>
      <c r="AG4109">
        <v>2</v>
      </c>
      <c r="AH4109">
        <v>0</v>
      </c>
      <c r="AI4109" t="s">
        <v>832</v>
      </c>
      <c r="AJ4109">
        <v>28.263401999999999</v>
      </c>
      <c r="AK4109" t="s">
        <v>937</v>
      </c>
      <c r="AL4109">
        <v>-82.300471999999999</v>
      </c>
      <c r="AM4109">
        <v>100</v>
      </c>
      <c r="AN4109">
        <v>2300</v>
      </c>
      <c r="AO4109" t="s">
        <v>118</v>
      </c>
      <c r="AP4109">
        <v>-114</v>
      </c>
      <c r="AQ4109">
        <v>-85</v>
      </c>
      <c r="AR4109">
        <v>192</v>
      </c>
      <c r="AZ4109">
        <v>1200</v>
      </c>
      <c r="BA4109">
        <v>1</v>
      </c>
      <c r="BB4109" t="str">
        <f t="shared" si="1876"/>
        <v xml:space="preserve">N711JA  </v>
      </c>
      <c r="BC4109">
        <v>1</v>
      </c>
      <c r="BE4109">
        <v>0</v>
      </c>
      <c r="BF4109">
        <v>0</v>
      </c>
      <c r="BG4109">
        <v>0</v>
      </c>
      <c r="BH4109">
        <v>2300</v>
      </c>
      <c r="BI4109">
        <v>1</v>
      </c>
      <c r="BJ4109">
        <v>1</v>
      </c>
      <c r="BK4109">
        <v>0</v>
      </c>
      <c r="BL4109">
        <v>0</v>
      </c>
      <c r="BO4109">
        <v>0</v>
      </c>
      <c r="BP4109">
        <v>0</v>
      </c>
      <c r="BW4109" t="str">
        <f t="shared" si="1900"/>
        <v>14:48:43.384</v>
      </c>
      <c r="CJ4109">
        <v>0</v>
      </c>
      <c r="CK4109">
        <v>2</v>
      </c>
      <c r="CL4109">
        <v>0</v>
      </c>
      <c r="CM4109">
        <v>2</v>
      </c>
      <c r="CN4109">
        <v>0</v>
      </c>
      <c r="CO4109">
        <v>6</v>
      </c>
      <c r="CP4109" t="s">
        <v>119</v>
      </c>
      <c r="CQ4109">
        <v>56</v>
      </c>
      <c r="CR4109">
        <v>2</v>
      </c>
      <c r="CW4109">
        <v>5106804</v>
      </c>
      <c r="CY4109">
        <v>1</v>
      </c>
      <c r="CZ4109">
        <v>0</v>
      </c>
      <c r="DA4109">
        <v>1</v>
      </c>
      <c r="DB4109">
        <v>0</v>
      </c>
      <c r="DC4109">
        <v>0</v>
      </c>
      <c r="DD4109">
        <v>1</v>
      </c>
      <c r="DE4109">
        <v>0</v>
      </c>
      <c r="DF4109">
        <v>0</v>
      </c>
      <c r="DG4109">
        <v>0</v>
      </c>
      <c r="DH4109">
        <v>0</v>
      </c>
      <c r="DI4109">
        <v>0</v>
      </c>
    </row>
    <row r="4110" spans="1:113" x14ac:dyDescent="0.3">
      <c r="A4110" t="str">
        <f t="shared" ref="A4110:A4118" si="1901">"05/12/2020 14:48:26.613"</f>
        <v>05/12/2020 14:48:26.613</v>
      </c>
      <c r="C4110" t="str">
        <f t="shared" si="1875"/>
        <v>FFDFD3C0</v>
      </c>
      <c r="D4110" t="s">
        <v>126</v>
      </c>
      <c r="E4110">
        <v>6</v>
      </c>
      <c r="F4110">
        <v>1006</v>
      </c>
      <c r="G4110" t="s">
        <v>114</v>
      </c>
      <c r="J4110" t="s">
        <v>128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 t="shared" ref="S4110:S4118" si="1902">"14:48:44.453"</f>
        <v>14:48:44.453</v>
      </c>
      <c r="T4110" t="str">
        <f t="shared" ref="T4110:T4118" si="1903">"14:48:44.253"</f>
        <v>14:48:44.253</v>
      </c>
      <c r="U4110" t="str">
        <f t="shared" si="1896"/>
        <v>A9808D</v>
      </c>
      <c r="V4110">
        <v>0</v>
      </c>
      <c r="W4110">
        <v>0</v>
      </c>
      <c r="X4110">
        <v>1</v>
      </c>
      <c r="Z4110">
        <v>0</v>
      </c>
      <c r="AA4110">
        <v>9</v>
      </c>
      <c r="AB4110">
        <v>3</v>
      </c>
      <c r="AC4110">
        <v>0</v>
      </c>
      <c r="AD4110">
        <v>10</v>
      </c>
      <c r="AE4110">
        <v>0</v>
      </c>
      <c r="AF4110">
        <v>3</v>
      </c>
      <c r="AG4110">
        <v>2</v>
      </c>
      <c r="AH4110">
        <v>0</v>
      </c>
      <c r="AI4110" t="s">
        <v>543</v>
      </c>
      <c r="AJ4110">
        <v>28.262972999999999</v>
      </c>
      <c r="AK4110" t="s">
        <v>938</v>
      </c>
      <c r="AL4110">
        <v>-82.301115999999993</v>
      </c>
      <c r="AM4110">
        <v>100</v>
      </c>
      <c r="AN4110">
        <v>2300</v>
      </c>
      <c r="AO4110" t="s">
        <v>118</v>
      </c>
      <c r="AP4110">
        <v>-113</v>
      </c>
      <c r="AQ4110">
        <v>-86</v>
      </c>
      <c r="AR4110">
        <v>128</v>
      </c>
      <c r="AZ4110">
        <v>1200</v>
      </c>
      <c r="BA4110">
        <v>1</v>
      </c>
      <c r="BB4110" t="str">
        <f t="shared" si="1876"/>
        <v xml:space="preserve">N711JA  </v>
      </c>
      <c r="BC4110">
        <v>1</v>
      </c>
      <c r="BE4110">
        <v>0</v>
      </c>
      <c r="BF4110">
        <v>0</v>
      </c>
      <c r="BG4110">
        <v>0</v>
      </c>
      <c r="BH4110">
        <v>2325</v>
      </c>
      <c r="BI4110">
        <v>1</v>
      </c>
      <c r="BJ4110">
        <v>1</v>
      </c>
      <c r="BK4110">
        <v>0</v>
      </c>
      <c r="BL4110">
        <v>0</v>
      </c>
      <c r="BO4110">
        <v>0</v>
      </c>
      <c r="BP4110">
        <v>0</v>
      </c>
      <c r="BW4110" t="str">
        <f t="shared" ref="BW4110:BW4118" si="1904">"14:48:44.456"</f>
        <v>14:48:44.456</v>
      </c>
      <c r="CJ4110">
        <v>0</v>
      </c>
      <c r="CK4110">
        <v>2</v>
      </c>
      <c r="CL4110">
        <v>0</v>
      </c>
      <c r="CM4110">
        <v>2</v>
      </c>
      <c r="CN4110">
        <v>0</v>
      </c>
      <c r="CO4110">
        <v>6</v>
      </c>
      <c r="CP4110" t="s">
        <v>119</v>
      </c>
      <c r="CQ4110">
        <v>358</v>
      </c>
      <c r="CR4110">
        <v>0</v>
      </c>
      <c r="CW4110">
        <v>5081571</v>
      </c>
      <c r="CY4110">
        <v>1</v>
      </c>
      <c r="CZ4110">
        <v>0</v>
      </c>
      <c r="DA4110">
        <v>0</v>
      </c>
      <c r="DB4110">
        <v>0</v>
      </c>
      <c r="DC4110">
        <v>0</v>
      </c>
      <c r="DD4110">
        <v>1</v>
      </c>
      <c r="DE4110">
        <v>0</v>
      </c>
      <c r="DF4110">
        <v>0</v>
      </c>
      <c r="DG4110">
        <v>0</v>
      </c>
      <c r="DH4110">
        <v>0</v>
      </c>
      <c r="DI4110">
        <v>0</v>
      </c>
    </row>
    <row r="4111" spans="1:113" x14ac:dyDescent="0.3">
      <c r="A4111" t="str">
        <f t="shared" si="1901"/>
        <v>05/12/2020 14:48:26.613</v>
      </c>
      <c r="C4111" t="str">
        <f t="shared" si="1875"/>
        <v>FFDFD3C0</v>
      </c>
      <c r="D4111" t="s">
        <v>126</v>
      </c>
      <c r="E4111">
        <v>7</v>
      </c>
      <c r="F4111">
        <v>1007</v>
      </c>
      <c r="G4111" t="s">
        <v>127</v>
      </c>
      <c r="J4111" t="s">
        <v>128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 t="shared" si="1902"/>
        <v>14:48:44.453</v>
      </c>
      <c r="T4111" t="str">
        <f t="shared" si="1903"/>
        <v>14:48:44.253</v>
      </c>
      <c r="U4111" t="str">
        <f t="shared" si="1896"/>
        <v>A9808D</v>
      </c>
      <c r="V4111">
        <v>0</v>
      </c>
      <c r="W4111">
        <v>0</v>
      </c>
      <c r="X4111">
        <v>1</v>
      </c>
      <c r="Z4111">
        <v>0</v>
      </c>
      <c r="AA4111">
        <v>9</v>
      </c>
      <c r="AB4111">
        <v>3</v>
      </c>
      <c r="AC4111">
        <v>0</v>
      </c>
      <c r="AD4111">
        <v>10</v>
      </c>
      <c r="AE4111">
        <v>0</v>
      </c>
      <c r="AF4111">
        <v>3</v>
      </c>
      <c r="AG4111">
        <v>2</v>
      </c>
      <c r="AH4111">
        <v>0</v>
      </c>
      <c r="AI4111" t="s">
        <v>543</v>
      </c>
      <c r="AJ4111">
        <v>28.262972999999999</v>
      </c>
      <c r="AK4111" t="s">
        <v>938</v>
      </c>
      <c r="AL4111">
        <v>-82.301115999999993</v>
      </c>
      <c r="AM4111">
        <v>100</v>
      </c>
      <c r="AN4111">
        <v>2300</v>
      </c>
      <c r="AO4111" t="s">
        <v>118</v>
      </c>
      <c r="AP4111">
        <v>-113</v>
      </c>
      <c r="AQ4111">
        <v>-86</v>
      </c>
      <c r="AR4111">
        <v>128</v>
      </c>
      <c r="AZ4111">
        <v>1200</v>
      </c>
      <c r="BA4111">
        <v>1</v>
      </c>
      <c r="BB4111" t="str">
        <f t="shared" si="1876"/>
        <v xml:space="preserve">N711JA  </v>
      </c>
      <c r="BC4111">
        <v>1</v>
      </c>
      <c r="BE4111">
        <v>0</v>
      </c>
      <c r="BF4111">
        <v>0</v>
      </c>
      <c r="BG4111">
        <v>0</v>
      </c>
      <c r="BH4111">
        <v>2325</v>
      </c>
      <c r="BI4111">
        <v>1</v>
      </c>
      <c r="BJ4111">
        <v>1</v>
      </c>
      <c r="BK4111">
        <v>0</v>
      </c>
      <c r="BL4111">
        <v>0</v>
      </c>
      <c r="BO4111">
        <v>0</v>
      </c>
      <c r="BP4111">
        <v>0</v>
      </c>
      <c r="BW4111" t="str">
        <f t="shared" si="1904"/>
        <v>14:48:44.456</v>
      </c>
      <c r="CJ4111">
        <v>0</v>
      </c>
      <c r="CK4111">
        <v>2</v>
      </c>
      <c r="CL4111">
        <v>0</v>
      </c>
      <c r="CM4111">
        <v>2</v>
      </c>
      <c r="CN4111">
        <v>0</v>
      </c>
      <c r="CO4111">
        <v>6</v>
      </c>
      <c r="CP4111" t="s">
        <v>119</v>
      </c>
      <c r="CQ4111">
        <v>358</v>
      </c>
      <c r="CR4111">
        <v>0</v>
      </c>
      <c r="CW4111">
        <v>5081571</v>
      </c>
      <c r="CY4111">
        <v>1</v>
      </c>
      <c r="CZ4111">
        <v>0</v>
      </c>
      <c r="DA4111">
        <v>1</v>
      </c>
      <c r="DB4111">
        <v>0</v>
      </c>
      <c r="DC4111">
        <v>0</v>
      </c>
      <c r="DD4111">
        <v>1</v>
      </c>
      <c r="DE4111">
        <v>0</v>
      </c>
      <c r="DF4111">
        <v>0</v>
      </c>
      <c r="DG4111">
        <v>0</v>
      </c>
      <c r="DH4111">
        <v>0</v>
      </c>
      <c r="DI4111">
        <v>0</v>
      </c>
    </row>
    <row r="4112" spans="1:113" x14ac:dyDescent="0.3">
      <c r="A4112" t="str">
        <f t="shared" si="1901"/>
        <v>05/12/2020 14:48:26.613</v>
      </c>
      <c r="C4112" t="str">
        <f t="shared" si="1875"/>
        <v>FFDFD3C0</v>
      </c>
      <c r="D4112" t="s">
        <v>131</v>
      </c>
      <c r="E4112">
        <v>12</v>
      </c>
      <c r="F4112">
        <v>2012</v>
      </c>
      <c r="G4112" t="s">
        <v>137</v>
      </c>
      <c r="J4112" t="s">
        <v>133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 t="shared" si="1902"/>
        <v>14:48:44.453</v>
      </c>
      <c r="T4112" t="str">
        <f t="shared" si="1903"/>
        <v>14:48:44.253</v>
      </c>
      <c r="U4112" t="str">
        <f t="shared" si="1896"/>
        <v>A9808D</v>
      </c>
      <c r="V4112">
        <v>0</v>
      </c>
      <c r="W4112">
        <v>0</v>
      </c>
      <c r="X4112">
        <v>1</v>
      </c>
      <c r="Z4112">
        <v>0</v>
      </c>
      <c r="AA4112">
        <v>9</v>
      </c>
      <c r="AB4112">
        <v>3</v>
      </c>
      <c r="AC4112">
        <v>0</v>
      </c>
      <c r="AD4112">
        <v>10</v>
      </c>
      <c r="AE4112">
        <v>0</v>
      </c>
      <c r="AF4112">
        <v>3</v>
      </c>
      <c r="AG4112">
        <v>2</v>
      </c>
      <c r="AH4112">
        <v>0</v>
      </c>
      <c r="AI4112" t="s">
        <v>543</v>
      </c>
      <c r="AJ4112">
        <v>28.262972999999999</v>
      </c>
      <c r="AK4112" t="s">
        <v>938</v>
      </c>
      <c r="AL4112">
        <v>-82.301115999999993</v>
      </c>
      <c r="AM4112">
        <v>100</v>
      </c>
      <c r="AN4112">
        <v>2300</v>
      </c>
      <c r="AO4112" t="s">
        <v>118</v>
      </c>
      <c r="AP4112">
        <v>-113</v>
      </c>
      <c r="AQ4112">
        <v>-86</v>
      </c>
      <c r="AR4112">
        <v>128</v>
      </c>
      <c r="AZ4112">
        <v>1200</v>
      </c>
      <c r="BA4112">
        <v>1</v>
      </c>
      <c r="BB4112" t="str">
        <f t="shared" si="1876"/>
        <v xml:space="preserve">N711JA  </v>
      </c>
      <c r="BC4112">
        <v>1</v>
      </c>
      <c r="BE4112">
        <v>0</v>
      </c>
      <c r="BF4112">
        <v>0</v>
      </c>
      <c r="BG4112">
        <v>0</v>
      </c>
      <c r="BH4112">
        <v>2325</v>
      </c>
      <c r="BI4112">
        <v>1</v>
      </c>
      <c r="BJ4112">
        <v>1</v>
      </c>
      <c r="BK4112">
        <v>0</v>
      </c>
      <c r="BL4112">
        <v>0</v>
      </c>
      <c r="BO4112">
        <v>0</v>
      </c>
      <c r="BP4112">
        <v>0</v>
      </c>
      <c r="BW4112" t="str">
        <f t="shared" si="1904"/>
        <v>14:48:44.456</v>
      </c>
      <c r="CJ4112">
        <v>0</v>
      </c>
      <c r="CK4112">
        <v>2</v>
      </c>
      <c r="CL4112">
        <v>0</v>
      </c>
      <c r="CM4112">
        <v>2</v>
      </c>
      <c r="CN4112">
        <v>0</v>
      </c>
      <c r="CO4112">
        <v>6</v>
      </c>
      <c r="CP4112" t="s">
        <v>119</v>
      </c>
      <c r="CQ4112">
        <v>56</v>
      </c>
      <c r="CR4112">
        <v>2</v>
      </c>
      <c r="CW4112">
        <v>5108133</v>
      </c>
      <c r="CY4112">
        <v>1</v>
      </c>
      <c r="CZ4112">
        <v>0</v>
      </c>
      <c r="DA4112">
        <v>1</v>
      </c>
      <c r="DB4112">
        <v>0</v>
      </c>
      <c r="DC4112">
        <v>0</v>
      </c>
      <c r="DD4112">
        <v>1</v>
      </c>
      <c r="DE4112">
        <v>0</v>
      </c>
      <c r="DF4112">
        <v>0</v>
      </c>
      <c r="DG4112">
        <v>0</v>
      </c>
      <c r="DH4112">
        <v>0</v>
      </c>
      <c r="DI4112">
        <v>0</v>
      </c>
    </row>
    <row r="4113" spans="1:113" x14ac:dyDescent="0.3">
      <c r="A4113" t="str">
        <f t="shared" si="1901"/>
        <v>05/12/2020 14:48:26.613</v>
      </c>
      <c r="C4113" t="str">
        <f t="shared" si="1875"/>
        <v>FFDFD3C0</v>
      </c>
      <c r="D4113" t="s">
        <v>131</v>
      </c>
      <c r="E4113">
        <v>10</v>
      </c>
      <c r="F4113">
        <v>2010</v>
      </c>
      <c r="G4113" t="s">
        <v>132</v>
      </c>
      <c r="J4113" t="s">
        <v>133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 t="shared" si="1902"/>
        <v>14:48:44.453</v>
      </c>
      <c r="T4113" t="str">
        <f t="shared" si="1903"/>
        <v>14:48:44.253</v>
      </c>
      <c r="U4113" t="str">
        <f t="shared" si="1896"/>
        <v>A9808D</v>
      </c>
      <c r="V4113">
        <v>0</v>
      </c>
      <c r="W4113">
        <v>0</v>
      </c>
      <c r="X4113">
        <v>1</v>
      </c>
      <c r="Z4113">
        <v>0</v>
      </c>
      <c r="AA4113">
        <v>9</v>
      </c>
      <c r="AB4113">
        <v>3</v>
      </c>
      <c r="AC4113">
        <v>0</v>
      </c>
      <c r="AD4113">
        <v>10</v>
      </c>
      <c r="AE4113">
        <v>0</v>
      </c>
      <c r="AF4113">
        <v>3</v>
      </c>
      <c r="AG4113">
        <v>2</v>
      </c>
      <c r="AH4113">
        <v>0</v>
      </c>
      <c r="AI4113" t="s">
        <v>543</v>
      </c>
      <c r="AJ4113">
        <v>28.262972999999999</v>
      </c>
      <c r="AK4113" t="s">
        <v>938</v>
      </c>
      <c r="AL4113">
        <v>-82.301115999999993</v>
      </c>
      <c r="AM4113">
        <v>100</v>
      </c>
      <c r="AN4113">
        <v>2300</v>
      </c>
      <c r="AO4113" t="s">
        <v>118</v>
      </c>
      <c r="AP4113">
        <v>-113</v>
      </c>
      <c r="AQ4113">
        <v>-86</v>
      </c>
      <c r="AR4113">
        <v>128</v>
      </c>
      <c r="AZ4113">
        <v>1200</v>
      </c>
      <c r="BA4113">
        <v>1</v>
      </c>
      <c r="BB4113" t="str">
        <f t="shared" si="1876"/>
        <v xml:space="preserve">N711JA  </v>
      </c>
      <c r="BC4113">
        <v>1</v>
      </c>
      <c r="BE4113">
        <v>0</v>
      </c>
      <c r="BF4113">
        <v>0</v>
      </c>
      <c r="BG4113">
        <v>0</v>
      </c>
      <c r="BH4113">
        <v>2325</v>
      </c>
      <c r="BI4113">
        <v>1</v>
      </c>
      <c r="BJ4113">
        <v>1</v>
      </c>
      <c r="BK4113">
        <v>0</v>
      </c>
      <c r="BL4113">
        <v>0</v>
      </c>
      <c r="BO4113">
        <v>0</v>
      </c>
      <c r="BP4113">
        <v>0</v>
      </c>
      <c r="BW4113" t="str">
        <f t="shared" si="1904"/>
        <v>14:48:44.456</v>
      </c>
      <c r="CJ4113">
        <v>0</v>
      </c>
      <c r="CK4113">
        <v>2</v>
      </c>
      <c r="CL4113">
        <v>0</v>
      </c>
      <c r="CM4113">
        <v>2</v>
      </c>
      <c r="CN4113">
        <v>0</v>
      </c>
      <c r="CO4113">
        <v>6</v>
      </c>
      <c r="CP4113" t="s">
        <v>119</v>
      </c>
      <c r="CQ4113">
        <v>358</v>
      </c>
      <c r="CR4113">
        <v>0</v>
      </c>
      <c r="CW4113">
        <v>5081571</v>
      </c>
      <c r="CY4113">
        <v>1</v>
      </c>
      <c r="CZ4113">
        <v>0</v>
      </c>
      <c r="DA4113">
        <v>1</v>
      </c>
      <c r="DB4113">
        <v>0</v>
      </c>
      <c r="DC4113">
        <v>0</v>
      </c>
      <c r="DD4113">
        <v>1</v>
      </c>
      <c r="DE4113">
        <v>0</v>
      </c>
      <c r="DF4113">
        <v>0</v>
      </c>
      <c r="DG4113">
        <v>0</v>
      </c>
      <c r="DH4113">
        <v>0</v>
      </c>
      <c r="DI4113">
        <v>0</v>
      </c>
    </row>
    <row r="4114" spans="1:113" x14ac:dyDescent="0.3">
      <c r="A4114" t="str">
        <f t="shared" si="1901"/>
        <v>05/12/2020 14:48:26.613</v>
      </c>
      <c r="C4114" t="str">
        <f t="shared" si="1875"/>
        <v>FFDFD3C0</v>
      </c>
      <c r="D4114" t="s">
        <v>134</v>
      </c>
      <c r="E4114">
        <v>12</v>
      </c>
      <c r="H4114">
        <v>64</v>
      </c>
      <c r="I4114" t="s">
        <v>135</v>
      </c>
      <c r="J4114" t="s">
        <v>136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 t="shared" si="1902"/>
        <v>14:48:44.453</v>
      </c>
      <c r="T4114" t="str">
        <f t="shared" si="1903"/>
        <v>14:48:44.253</v>
      </c>
      <c r="U4114" t="str">
        <f t="shared" si="1896"/>
        <v>A9808D</v>
      </c>
      <c r="V4114">
        <v>0</v>
      </c>
      <c r="W4114">
        <v>0</v>
      </c>
      <c r="X4114">
        <v>1</v>
      </c>
      <c r="Z4114">
        <v>0</v>
      </c>
      <c r="AA4114">
        <v>9</v>
      </c>
      <c r="AB4114">
        <v>3</v>
      </c>
      <c r="AC4114">
        <v>0</v>
      </c>
      <c r="AD4114">
        <v>10</v>
      </c>
      <c r="AE4114">
        <v>0</v>
      </c>
      <c r="AF4114">
        <v>3</v>
      </c>
      <c r="AG4114">
        <v>2</v>
      </c>
      <c r="AH4114">
        <v>0</v>
      </c>
      <c r="AI4114" t="s">
        <v>543</v>
      </c>
      <c r="AJ4114">
        <v>28.262972999999999</v>
      </c>
      <c r="AK4114" t="s">
        <v>938</v>
      </c>
      <c r="AL4114">
        <v>-82.301115999999993</v>
      </c>
      <c r="AM4114">
        <v>100</v>
      </c>
      <c r="AN4114">
        <v>2300</v>
      </c>
      <c r="AO4114" t="s">
        <v>118</v>
      </c>
      <c r="AP4114">
        <v>-113</v>
      </c>
      <c r="AQ4114">
        <v>-86</v>
      </c>
      <c r="AR4114">
        <v>128</v>
      </c>
      <c r="AZ4114">
        <v>1200</v>
      </c>
      <c r="BA4114">
        <v>1</v>
      </c>
      <c r="BB4114" t="str">
        <f t="shared" si="1876"/>
        <v xml:space="preserve">N711JA  </v>
      </c>
      <c r="BC4114">
        <v>1</v>
      </c>
      <c r="BE4114">
        <v>0</v>
      </c>
      <c r="BF4114">
        <v>0</v>
      </c>
      <c r="BG4114">
        <v>0</v>
      </c>
      <c r="BH4114">
        <v>2325</v>
      </c>
      <c r="BI4114">
        <v>1</v>
      </c>
      <c r="BJ4114">
        <v>1</v>
      </c>
      <c r="BK4114">
        <v>0</v>
      </c>
      <c r="BL4114">
        <v>0</v>
      </c>
      <c r="BO4114">
        <v>0</v>
      </c>
      <c r="BP4114">
        <v>0</v>
      </c>
      <c r="BW4114" t="str">
        <f t="shared" si="1904"/>
        <v>14:48:44.456</v>
      </c>
      <c r="CJ4114">
        <v>0</v>
      </c>
      <c r="CK4114">
        <v>2</v>
      </c>
      <c r="CL4114">
        <v>0</v>
      </c>
      <c r="CM4114">
        <v>2</v>
      </c>
      <c r="CN4114">
        <v>0</v>
      </c>
      <c r="CO4114">
        <v>6</v>
      </c>
      <c r="CP4114" t="s">
        <v>119</v>
      </c>
      <c r="CQ4114">
        <v>358</v>
      </c>
      <c r="CR4114">
        <v>0</v>
      </c>
      <c r="CW4114">
        <v>5081571</v>
      </c>
      <c r="CY4114">
        <v>1</v>
      </c>
      <c r="CZ4114">
        <v>0</v>
      </c>
      <c r="DA4114">
        <v>1</v>
      </c>
      <c r="DB4114">
        <v>0</v>
      </c>
      <c r="DC4114">
        <v>0</v>
      </c>
      <c r="DD4114">
        <v>1</v>
      </c>
      <c r="DE4114">
        <v>0</v>
      </c>
      <c r="DF4114">
        <v>0</v>
      </c>
      <c r="DG4114">
        <v>0</v>
      </c>
      <c r="DH4114">
        <v>0</v>
      </c>
      <c r="DI4114">
        <v>0</v>
      </c>
    </row>
    <row r="4115" spans="1:113" x14ac:dyDescent="0.3">
      <c r="A4115" t="str">
        <f t="shared" si="1901"/>
        <v>05/12/2020 14:48:26.613</v>
      </c>
      <c r="C4115" t="str">
        <f t="shared" si="1875"/>
        <v>FFDFD3C0</v>
      </c>
      <c r="D4115" t="s">
        <v>131</v>
      </c>
      <c r="E4115">
        <v>18</v>
      </c>
      <c r="F4115">
        <v>2018</v>
      </c>
      <c r="G4115" t="s">
        <v>161</v>
      </c>
      <c r="J4115" t="s">
        <v>133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 t="shared" si="1902"/>
        <v>14:48:44.453</v>
      </c>
      <c r="T4115" t="str">
        <f t="shared" si="1903"/>
        <v>14:48:44.253</v>
      </c>
      <c r="U4115" t="str">
        <f t="shared" si="1896"/>
        <v>A9808D</v>
      </c>
      <c r="V4115">
        <v>0</v>
      </c>
      <c r="W4115">
        <v>0</v>
      </c>
      <c r="X4115">
        <v>1</v>
      </c>
      <c r="Z4115">
        <v>0</v>
      </c>
      <c r="AA4115">
        <v>9</v>
      </c>
      <c r="AB4115">
        <v>3</v>
      </c>
      <c r="AC4115">
        <v>0</v>
      </c>
      <c r="AD4115">
        <v>10</v>
      </c>
      <c r="AE4115">
        <v>0</v>
      </c>
      <c r="AF4115">
        <v>3</v>
      </c>
      <c r="AG4115">
        <v>2</v>
      </c>
      <c r="AH4115">
        <v>0</v>
      </c>
      <c r="AI4115" t="s">
        <v>543</v>
      </c>
      <c r="AJ4115">
        <v>28.262972999999999</v>
      </c>
      <c r="AK4115" t="s">
        <v>938</v>
      </c>
      <c r="AL4115">
        <v>-82.301115999999993</v>
      </c>
      <c r="AM4115">
        <v>100</v>
      </c>
      <c r="AN4115">
        <v>2300</v>
      </c>
      <c r="AO4115" t="s">
        <v>118</v>
      </c>
      <c r="AP4115">
        <v>-113</v>
      </c>
      <c r="AQ4115">
        <v>-86</v>
      </c>
      <c r="AR4115">
        <v>128</v>
      </c>
      <c r="AZ4115">
        <v>1200</v>
      </c>
      <c r="BA4115">
        <v>1</v>
      </c>
      <c r="BB4115" t="str">
        <f t="shared" si="1876"/>
        <v xml:space="preserve">N711JA  </v>
      </c>
      <c r="BC4115">
        <v>1</v>
      </c>
      <c r="BE4115">
        <v>0</v>
      </c>
      <c r="BF4115">
        <v>0</v>
      </c>
      <c r="BG4115">
        <v>0</v>
      </c>
      <c r="BH4115">
        <v>2325</v>
      </c>
      <c r="BI4115">
        <v>1</v>
      </c>
      <c r="BJ4115">
        <v>1</v>
      </c>
      <c r="BK4115">
        <v>0</v>
      </c>
      <c r="BL4115">
        <v>0</v>
      </c>
      <c r="BO4115">
        <v>0</v>
      </c>
      <c r="BP4115">
        <v>0</v>
      </c>
      <c r="BW4115" t="str">
        <f t="shared" si="1904"/>
        <v>14:48:44.456</v>
      </c>
      <c r="CJ4115">
        <v>0</v>
      </c>
      <c r="CK4115">
        <v>2</v>
      </c>
      <c r="CL4115">
        <v>0</v>
      </c>
      <c r="CM4115">
        <v>2</v>
      </c>
      <c r="CN4115">
        <v>0</v>
      </c>
      <c r="CO4115">
        <v>6</v>
      </c>
      <c r="CP4115" t="s">
        <v>119</v>
      </c>
      <c r="CQ4115">
        <v>56</v>
      </c>
      <c r="CR4115">
        <v>2</v>
      </c>
      <c r="CW4115">
        <v>5108133</v>
      </c>
      <c r="CY4115">
        <v>1</v>
      </c>
      <c r="CZ4115">
        <v>0</v>
      </c>
      <c r="DA4115">
        <v>1</v>
      </c>
      <c r="DB4115">
        <v>0</v>
      </c>
      <c r="DC4115">
        <v>0</v>
      </c>
      <c r="DD4115">
        <v>1</v>
      </c>
      <c r="DE4115">
        <v>0</v>
      </c>
      <c r="DF4115">
        <v>0</v>
      </c>
      <c r="DG4115">
        <v>0</v>
      </c>
      <c r="DH4115">
        <v>0</v>
      </c>
      <c r="DI4115">
        <v>0</v>
      </c>
    </row>
    <row r="4116" spans="1:113" x14ac:dyDescent="0.3">
      <c r="A4116" t="str">
        <f t="shared" si="1901"/>
        <v>05/12/2020 14:48:26.613</v>
      </c>
      <c r="C4116" t="str">
        <f t="shared" si="1875"/>
        <v>FFDFD3C0</v>
      </c>
      <c r="D4116" t="s">
        <v>113</v>
      </c>
      <c r="E4116">
        <v>3</v>
      </c>
      <c r="H4116">
        <v>164</v>
      </c>
      <c r="I4116" t="s">
        <v>114</v>
      </c>
      <c r="J4116" t="s">
        <v>115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 t="shared" si="1902"/>
        <v>14:48:44.453</v>
      </c>
      <c r="T4116" t="str">
        <f t="shared" si="1903"/>
        <v>14:48:44.253</v>
      </c>
      <c r="U4116" t="str">
        <f t="shared" si="1896"/>
        <v>A9808D</v>
      </c>
      <c r="V4116">
        <v>0</v>
      </c>
      <c r="W4116">
        <v>0</v>
      </c>
      <c r="X4116">
        <v>1</v>
      </c>
      <c r="Z4116">
        <v>0</v>
      </c>
      <c r="AA4116">
        <v>9</v>
      </c>
      <c r="AB4116">
        <v>3</v>
      </c>
      <c r="AC4116">
        <v>0</v>
      </c>
      <c r="AD4116">
        <v>10</v>
      </c>
      <c r="AE4116">
        <v>0</v>
      </c>
      <c r="AF4116">
        <v>3</v>
      </c>
      <c r="AG4116">
        <v>2</v>
      </c>
      <c r="AH4116">
        <v>0</v>
      </c>
      <c r="AI4116" t="s">
        <v>543</v>
      </c>
      <c r="AJ4116">
        <v>28.262972999999999</v>
      </c>
      <c r="AK4116" t="s">
        <v>938</v>
      </c>
      <c r="AL4116">
        <v>-82.301115999999993</v>
      </c>
      <c r="AM4116">
        <v>100</v>
      </c>
      <c r="AN4116">
        <v>2300</v>
      </c>
      <c r="AO4116" t="s">
        <v>118</v>
      </c>
      <c r="AP4116">
        <v>-113</v>
      </c>
      <c r="AQ4116">
        <v>-86</v>
      </c>
      <c r="AR4116">
        <v>128</v>
      </c>
      <c r="AZ4116">
        <v>1200</v>
      </c>
      <c r="BA4116">
        <v>1</v>
      </c>
      <c r="BB4116" t="str">
        <f t="shared" si="1876"/>
        <v xml:space="preserve">N711JA  </v>
      </c>
      <c r="BC4116">
        <v>1</v>
      </c>
      <c r="BE4116">
        <v>0</v>
      </c>
      <c r="BF4116">
        <v>0</v>
      </c>
      <c r="BG4116">
        <v>0</v>
      </c>
      <c r="BH4116">
        <v>2325</v>
      </c>
      <c r="BI4116">
        <v>1</v>
      </c>
      <c r="BJ4116">
        <v>1</v>
      </c>
      <c r="BK4116">
        <v>0</v>
      </c>
      <c r="BL4116">
        <v>0</v>
      </c>
      <c r="BO4116">
        <v>0</v>
      </c>
      <c r="BP4116">
        <v>0</v>
      </c>
      <c r="BW4116" t="str">
        <f t="shared" si="1904"/>
        <v>14:48:44.456</v>
      </c>
      <c r="CJ4116">
        <v>0</v>
      </c>
      <c r="CK4116">
        <v>2</v>
      </c>
      <c r="CL4116">
        <v>0</v>
      </c>
      <c r="CM4116">
        <v>2</v>
      </c>
      <c r="CN4116">
        <v>0</v>
      </c>
      <c r="CO4116">
        <v>6</v>
      </c>
      <c r="CP4116" t="s">
        <v>119</v>
      </c>
      <c r="CQ4116">
        <v>56</v>
      </c>
      <c r="CR4116">
        <v>2</v>
      </c>
      <c r="CW4116">
        <v>5108133</v>
      </c>
      <c r="CY4116">
        <v>1</v>
      </c>
      <c r="CZ4116">
        <v>0</v>
      </c>
      <c r="DA4116">
        <v>1</v>
      </c>
      <c r="DB4116">
        <v>0</v>
      </c>
      <c r="DC4116">
        <v>0</v>
      </c>
      <c r="DD4116">
        <v>1</v>
      </c>
      <c r="DE4116">
        <v>0</v>
      </c>
      <c r="DF4116">
        <v>0</v>
      </c>
      <c r="DG4116">
        <v>0</v>
      </c>
      <c r="DH4116">
        <v>0</v>
      </c>
      <c r="DI4116">
        <v>0</v>
      </c>
    </row>
    <row r="4117" spans="1:113" x14ac:dyDescent="0.3">
      <c r="A4117" t="str">
        <f t="shared" si="1901"/>
        <v>05/12/2020 14:48:26.613</v>
      </c>
      <c r="C4117" t="str">
        <f t="shared" si="1875"/>
        <v>FFDFD3C0</v>
      </c>
      <c r="D4117" t="s">
        <v>138</v>
      </c>
      <c r="E4117">
        <v>3</v>
      </c>
      <c r="H4117">
        <v>9</v>
      </c>
      <c r="I4117" t="s">
        <v>140</v>
      </c>
      <c r="J4117" t="s">
        <v>136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 t="shared" si="1902"/>
        <v>14:48:44.453</v>
      </c>
      <c r="T4117" t="str">
        <f t="shared" si="1903"/>
        <v>14:48:44.253</v>
      </c>
      <c r="U4117" t="str">
        <f t="shared" si="1896"/>
        <v>A9808D</v>
      </c>
      <c r="V4117">
        <v>0</v>
      </c>
      <c r="W4117">
        <v>0</v>
      </c>
      <c r="X4117">
        <v>1</v>
      </c>
      <c r="Z4117">
        <v>0</v>
      </c>
      <c r="AA4117">
        <v>9</v>
      </c>
      <c r="AB4117">
        <v>3</v>
      </c>
      <c r="AC4117">
        <v>0</v>
      </c>
      <c r="AD4117">
        <v>10</v>
      </c>
      <c r="AE4117">
        <v>0</v>
      </c>
      <c r="AF4117">
        <v>3</v>
      </c>
      <c r="AG4117">
        <v>2</v>
      </c>
      <c r="AH4117">
        <v>0</v>
      </c>
      <c r="AI4117" t="s">
        <v>543</v>
      </c>
      <c r="AJ4117">
        <v>28.262972999999999</v>
      </c>
      <c r="AK4117" t="s">
        <v>938</v>
      </c>
      <c r="AL4117">
        <v>-82.301115999999993</v>
      </c>
      <c r="AM4117">
        <v>100</v>
      </c>
      <c r="AN4117">
        <v>2300</v>
      </c>
      <c r="AO4117" t="s">
        <v>118</v>
      </c>
      <c r="AP4117">
        <v>-113</v>
      </c>
      <c r="AQ4117">
        <v>-86</v>
      </c>
      <c r="AR4117">
        <v>128</v>
      </c>
      <c r="AZ4117">
        <v>1200</v>
      </c>
      <c r="BA4117">
        <v>1</v>
      </c>
      <c r="BB4117" t="str">
        <f t="shared" si="1876"/>
        <v xml:space="preserve">N711JA  </v>
      </c>
      <c r="BC4117">
        <v>1</v>
      </c>
      <c r="BE4117">
        <v>0</v>
      </c>
      <c r="BF4117">
        <v>0</v>
      </c>
      <c r="BG4117">
        <v>0</v>
      </c>
      <c r="BH4117">
        <v>2325</v>
      </c>
      <c r="BI4117">
        <v>1</v>
      </c>
      <c r="BJ4117">
        <v>1</v>
      </c>
      <c r="BK4117">
        <v>0</v>
      </c>
      <c r="BL4117">
        <v>0</v>
      </c>
      <c r="BO4117">
        <v>0</v>
      </c>
      <c r="BP4117">
        <v>0</v>
      </c>
      <c r="BW4117" t="str">
        <f t="shared" si="1904"/>
        <v>14:48:44.456</v>
      </c>
      <c r="CJ4117">
        <v>0</v>
      </c>
      <c r="CK4117">
        <v>2</v>
      </c>
      <c r="CL4117">
        <v>0</v>
      </c>
      <c r="CM4117">
        <v>2</v>
      </c>
      <c r="CN4117">
        <v>0</v>
      </c>
      <c r="CO4117">
        <v>6</v>
      </c>
      <c r="CP4117" t="s">
        <v>119</v>
      </c>
      <c r="CQ4117">
        <v>358</v>
      </c>
      <c r="CR4117">
        <v>0</v>
      </c>
      <c r="CW4117">
        <v>5081571</v>
      </c>
      <c r="CY4117">
        <v>1</v>
      </c>
      <c r="CZ4117">
        <v>0</v>
      </c>
      <c r="DA4117">
        <v>1</v>
      </c>
      <c r="DB4117">
        <v>0</v>
      </c>
      <c r="DC4117">
        <v>0</v>
      </c>
      <c r="DD4117">
        <v>1</v>
      </c>
      <c r="DE4117">
        <v>0</v>
      </c>
      <c r="DF4117">
        <v>0</v>
      </c>
      <c r="DG4117">
        <v>0</v>
      </c>
      <c r="DH4117">
        <v>0</v>
      </c>
      <c r="DI4117">
        <v>0</v>
      </c>
    </row>
    <row r="4118" spans="1:113" x14ac:dyDescent="0.3">
      <c r="A4118" t="str">
        <f t="shared" si="1901"/>
        <v>05/12/2020 14:48:26.613</v>
      </c>
      <c r="C4118" t="str">
        <f t="shared" ref="C4118:C4181" si="1905">"FFDFD3C0"</f>
        <v>FFDFD3C0</v>
      </c>
      <c r="D4118" t="s">
        <v>138</v>
      </c>
      <c r="E4118">
        <v>2</v>
      </c>
      <c r="H4118">
        <v>8</v>
      </c>
      <c r="I4118" t="s">
        <v>139</v>
      </c>
      <c r="J4118" t="s">
        <v>136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 t="shared" si="1902"/>
        <v>14:48:44.453</v>
      </c>
      <c r="T4118" t="str">
        <f t="shared" si="1903"/>
        <v>14:48:44.253</v>
      </c>
      <c r="U4118" t="str">
        <f t="shared" si="1896"/>
        <v>A9808D</v>
      </c>
      <c r="V4118">
        <v>0</v>
      </c>
      <c r="W4118">
        <v>0</v>
      </c>
      <c r="X4118">
        <v>1</v>
      </c>
      <c r="Z4118">
        <v>0</v>
      </c>
      <c r="AA4118">
        <v>9</v>
      </c>
      <c r="AB4118">
        <v>3</v>
      </c>
      <c r="AC4118">
        <v>0</v>
      </c>
      <c r="AD4118">
        <v>10</v>
      </c>
      <c r="AE4118">
        <v>0</v>
      </c>
      <c r="AF4118">
        <v>3</v>
      </c>
      <c r="AG4118">
        <v>2</v>
      </c>
      <c r="AH4118">
        <v>0</v>
      </c>
      <c r="AI4118" t="s">
        <v>543</v>
      </c>
      <c r="AJ4118">
        <v>28.262972999999999</v>
      </c>
      <c r="AK4118" t="s">
        <v>938</v>
      </c>
      <c r="AL4118">
        <v>-82.301115999999993</v>
      </c>
      <c r="AM4118">
        <v>100</v>
      </c>
      <c r="AN4118">
        <v>2300</v>
      </c>
      <c r="AO4118" t="s">
        <v>118</v>
      </c>
      <c r="AP4118">
        <v>-113</v>
      </c>
      <c r="AQ4118">
        <v>-86</v>
      </c>
      <c r="AR4118">
        <v>128</v>
      </c>
      <c r="AZ4118">
        <v>1200</v>
      </c>
      <c r="BA4118">
        <v>1</v>
      </c>
      <c r="BB4118" t="str">
        <f t="shared" ref="BB4118:BB4181" si="1906">"N711JA  "</f>
        <v xml:space="preserve">N711JA  </v>
      </c>
      <c r="BC4118">
        <v>1</v>
      </c>
      <c r="BE4118">
        <v>0</v>
      </c>
      <c r="BF4118">
        <v>0</v>
      </c>
      <c r="BG4118">
        <v>0</v>
      </c>
      <c r="BH4118">
        <v>2325</v>
      </c>
      <c r="BI4118">
        <v>1</v>
      </c>
      <c r="BJ4118">
        <v>1</v>
      </c>
      <c r="BK4118">
        <v>0</v>
      </c>
      <c r="BL4118">
        <v>0</v>
      </c>
      <c r="BO4118">
        <v>0</v>
      </c>
      <c r="BP4118">
        <v>0</v>
      </c>
      <c r="BW4118" t="str">
        <f t="shared" si="1904"/>
        <v>14:48:44.456</v>
      </c>
      <c r="CJ4118">
        <v>0</v>
      </c>
      <c r="CK4118">
        <v>2</v>
      </c>
      <c r="CL4118">
        <v>0</v>
      </c>
      <c r="CM4118">
        <v>2</v>
      </c>
      <c r="CN4118">
        <v>0</v>
      </c>
      <c r="CO4118">
        <v>6</v>
      </c>
      <c r="CP4118" t="s">
        <v>119</v>
      </c>
      <c r="CQ4118">
        <v>56</v>
      </c>
      <c r="CR4118">
        <v>2</v>
      </c>
      <c r="CW4118">
        <v>5108133</v>
      </c>
      <c r="CY4118">
        <v>1</v>
      </c>
      <c r="CZ4118">
        <v>0</v>
      </c>
      <c r="DA4118">
        <v>1</v>
      </c>
      <c r="DB4118">
        <v>0</v>
      </c>
      <c r="DC4118">
        <v>0</v>
      </c>
      <c r="DD4118">
        <v>1</v>
      </c>
      <c r="DE4118">
        <v>0</v>
      </c>
      <c r="DF4118">
        <v>0</v>
      </c>
      <c r="DG4118">
        <v>0</v>
      </c>
      <c r="DH4118">
        <v>0</v>
      </c>
      <c r="DI4118">
        <v>0</v>
      </c>
    </row>
    <row r="4119" spans="1:113" x14ac:dyDescent="0.3">
      <c r="A4119" t="str">
        <f t="shared" ref="A4119:A4127" si="1907">"05/12/2020 14:48:27.639"</f>
        <v>05/12/2020 14:48:27.639</v>
      </c>
      <c r="C4119" t="str">
        <f t="shared" si="1905"/>
        <v>FFDFD3C0</v>
      </c>
      <c r="D4119" t="s">
        <v>134</v>
      </c>
      <c r="E4119">
        <v>12</v>
      </c>
      <c r="H4119">
        <v>64</v>
      </c>
      <c r="I4119" t="s">
        <v>135</v>
      </c>
      <c r="J4119" t="s">
        <v>136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 t="shared" ref="S4119:S4127" si="1908">"14:48:45.469"</f>
        <v>14:48:45.469</v>
      </c>
      <c r="T4119" t="str">
        <f t="shared" ref="T4119:T4127" si="1909">"14:48:44.769"</f>
        <v>14:48:44.769</v>
      </c>
      <c r="U4119" t="str">
        <f t="shared" si="1896"/>
        <v>A9808D</v>
      </c>
      <c r="V4119">
        <v>0</v>
      </c>
      <c r="W4119">
        <v>0</v>
      </c>
      <c r="X4119">
        <v>1</v>
      </c>
      <c r="Z4119">
        <v>0</v>
      </c>
      <c r="AA4119">
        <v>9</v>
      </c>
      <c r="AB4119">
        <v>3</v>
      </c>
      <c r="AC4119">
        <v>0</v>
      </c>
      <c r="AD4119">
        <v>10</v>
      </c>
      <c r="AE4119">
        <v>0</v>
      </c>
      <c r="AF4119">
        <v>3</v>
      </c>
      <c r="AG4119">
        <v>2</v>
      </c>
      <c r="AH4119">
        <v>0</v>
      </c>
      <c r="AI4119" t="s">
        <v>295</v>
      </c>
      <c r="AJ4119">
        <v>28.262564999999999</v>
      </c>
      <c r="AK4119" t="s">
        <v>939</v>
      </c>
      <c r="AL4119">
        <v>-82.301694999999995</v>
      </c>
      <c r="AM4119">
        <v>100</v>
      </c>
      <c r="AN4119">
        <v>2300</v>
      </c>
      <c r="AO4119" t="s">
        <v>118</v>
      </c>
      <c r="AP4119">
        <v>-112</v>
      </c>
      <c r="AQ4119">
        <v>-86</v>
      </c>
      <c r="AR4119">
        <v>128</v>
      </c>
      <c r="AZ4119">
        <v>1200</v>
      </c>
      <c r="BA4119">
        <v>1</v>
      </c>
      <c r="BB4119" t="str">
        <f t="shared" si="1906"/>
        <v xml:space="preserve">N711JA  </v>
      </c>
      <c r="BC4119">
        <v>1</v>
      </c>
      <c r="BE4119">
        <v>0</v>
      </c>
      <c r="BF4119">
        <v>0</v>
      </c>
      <c r="BG4119">
        <v>0</v>
      </c>
      <c r="BH4119">
        <v>2325</v>
      </c>
      <c r="BI4119">
        <v>1</v>
      </c>
      <c r="BJ4119">
        <v>1</v>
      </c>
      <c r="BK4119">
        <v>0</v>
      </c>
      <c r="BL4119">
        <v>0</v>
      </c>
      <c r="BO4119">
        <v>0</v>
      </c>
      <c r="BP4119">
        <v>0</v>
      </c>
      <c r="BW4119" t="str">
        <f t="shared" ref="BW4119:BW4127" si="1910">"14:48:45.470"</f>
        <v>14:48:45.470</v>
      </c>
      <c r="CJ4119">
        <v>0</v>
      </c>
      <c r="CK4119">
        <v>2</v>
      </c>
      <c r="CL4119">
        <v>0</v>
      </c>
      <c r="CM4119">
        <v>2</v>
      </c>
      <c r="CN4119">
        <v>0</v>
      </c>
      <c r="CO4119">
        <v>6</v>
      </c>
      <c r="CP4119" t="s">
        <v>119</v>
      </c>
      <c r="CQ4119">
        <v>358</v>
      </c>
      <c r="CR4119">
        <v>0</v>
      </c>
      <c r="CW4119">
        <v>5082780</v>
      </c>
      <c r="CY4119">
        <v>1</v>
      </c>
      <c r="CZ4119">
        <v>0</v>
      </c>
      <c r="DA4119">
        <v>0</v>
      </c>
      <c r="DB4119">
        <v>0</v>
      </c>
      <c r="DC4119">
        <v>0</v>
      </c>
      <c r="DD4119">
        <v>1</v>
      </c>
      <c r="DE4119">
        <v>0</v>
      </c>
      <c r="DF4119">
        <v>0</v>
      </c>
      <c r="DG4119">
        <v>0</v>
      </c>
      <c r="DH4119">
        <v>0</v>
      </c>
      <c r="DI4119">
        <v>0</v>
      </c>
    </row>
    <row r="4120" spans="1:113" x14ac:dyDescent="0.3">
      <c r="A4120" t="str">
        <f t="shared" si="1907"/>
        <v>05/12/2020 14:48:27.639</v>
      </c>
      <c r="C4120" t="str">
        <f t="shared" si="1905"/>
        <v>FFDFD3C0</v>
      </c>
      <c r="D4120" t="s">
        <v>131</v>
      </c>
      <c r="E4120">
        <v>18</v>
      </c>
      <c r="F4120">
        <v>2018</v>
      </c>
      <c r="G4120" t="s">
        <v>161</v>
      </c>
      <c r="J4120" t="s">
        <v>133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 t="shared" si="1908"/>
        <v>14:48:45.469</v>
      </c>
      <c r="T4120" t="str">
        <f t="shared" si="1909"/>
        <v>14:48:44.769</v>
      </c>
      <c r="U4120" t="str">
        <f t="shared" si="1896"/>
        <v>A9808D</v>
      </c>
      <c r="V4120">
        <v>0</v>
      </c>
      <c r="W4120">
        <v>0</v>
      </c>
      <c r="X4120">
        <v>1</v>
      </c>
      <c r="Z4120">
        <v>0</v>
      </c>
      <c r="AA4120">
        <v>9</v>
      </c>
      <c r="AB4120">
        <v>3</v>
      </c>
      <c r="AC4120">
        <v>0</v>
      </c>
      <c r="AD4120">
        <v>10</v>
      </c>
      <c r="AE4120">
        <v>0</v>
      </c>
      <c r="AF4120">
        <v>3</v>
      </c>
      <c r="AG4120">
        <v>2</v>
      </c>
      <c r="AH4120">
        <v>0</v>
      </c>
      <c r="AI4120" t="s">
        <v>295</v>
      </c>
      <c r="AJ4120">
        <v>28.262564999999999</v>
      </c>
      <c r="AK4120" t="s">
        <v>939</v>
      </c>
      <c r="AL4120">
        <v>-82.301694999999995</v>
      </c>
      <c r="AM4120">
        <v>100</v>
      </c>
      <c r="AN4120">
        <v>2300</v>
      </c>
      <c r="AO4120" t="s">
        <v>118</v>
      </c>
      <c r="AP4120">
        <v>-112</v>
      </c>
      <c r="AQ4120">
        <v>-86</v>
      </c>
      <c r="AR4120">
        <v>128</v>
      </c>
      <c r="AZ4120">
        <v>1200</v>
      </c>
      <c r="BA4120">
        <v>1</v>
      </c>
      <c r="BB4120" t="str">
        <f t="shared" si="1906"/>
        <v xml:space="preserve">N711JA  </v>
      </c>
      <c r="BC4120">
        <v>1</v>
      </c>
      <c r="BE4120">
        <v>0</v>
      </c>
      <c r="BF4120">
        <v>0</v>
      </c>
      <c r="BG4120">
        <v>0</v>
      </c>
      <c r="BH4120">
        <v>2325</v>
      </c>
      <c r="BI4120">
        <v>1</v>
      </c>
      <c r="BJ4120">
        <v>1</v>
      </c>
      <c r="BK4120">
        <v>0</v>
      </c>
      <c r="BL4120">
        <v>0</v>
      </c>
      <c r="BO4120">
        <v>0</v>
      </c>
      <c r="BP4120">
        <v>0</v>
      </c>
      <c r="BW4120" t="str">
        <f t="shared" si="1910"/>
        <v>14:48:45.470</v>
      </c>
      <c r="CJ4120">
        <v>0</v>
      </c>
      <c r="CK4120">
        <v>2</v>
      </c>
      <c r="CL4120">
        <v>0</v>
      </c>
      <c r="CM4120">
        <v>2</v>
      </c>
      <c r="CN4120">
        <v>0</v>
      </c>
      <c r="CO4120">
        <v>6</v>
      </c>
      <c r="CP4120" t="s">
        <v>119</v>
      </c>
      <c r="CQ4120">
        <v>56</v>
      </c>
      <c r="CR4120">
        <v>2</v>
      </c>
      <c r="CW4120">
        <v>5109388</v>
      </c>
      <c r="CY4120">
        <v>1</v>
      </c>
      <c r="CZ4120">
        <v>0</v>
      </c>
      <c r="DA4120">
        <v>1</v>
      </c>
      <c r="DB4120">
        <v>0</v>
      </c>
      <c r="DC4120">
        <v>0</v>
      </c>
      <c r="DD4120">
        <v>1</v>
      </c>
      <c r="DE4120">
        <v>0</v>
      </c>
      <c r="DF4120">
        <v>0</v>
      </c>
      <c r="DG4120">
        <v>0</v>
      </c>
      <c r="DH4120">
        <v>0</v>
      </c>
      <c r="DI4120">
        <v>0</v>
      </c>
    </row>
    <row r="4121" spans="1:113" x14ac:dyDescent="0.3">
      <c r="A4121" t="str">
        <f t="shared" si="1907"/>
        <v>05/12/2020 14:48:27.639</v>
      </c>
      <c r="C4121" t="str">
        <f t="shared" si="1905"/>
        <v>FFDFD3C0</v>
      </c>
      <c r="D4121" t="s">
        <v>113</v>
      </c>
      <c r="E4121">
        <v>3</v>
      </c>
      <c r="H4121">
        <v>164</v>
      </c>
      <c r="I4121" t="s">
        <v>114</v>
      </c>
      <c r="J4121" t="s">
        <v>115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 t="shared" si="1908"/>
        <v>14:48:45.469</v>
      </c>
      <c r="T4121" t="str">
        <f t="shared" si="1909"/>
        <v>14:48:44.769</v>
      </c>
      <c r="U4121" t="str">
        <f t="shared" si="1896"/>
        <v>A9808D</v>
      </c>
      <c r="V4121">
        <v>0</v>
      </c>
      <c r="W4121">
        <v>0</v>
      </c>
      <c r="X4121">
        <v>1</v>
      </c>
      <c r="Z4121">
        <v>0</v>
      </c>
      <c r="AA4121">
        <v>9</v>
      </c>
      <c r="AB4121">
        <v>3</v>
      </c>
      <c r="AC4121">
        <v>0</v>
      </c>
      <c r="AD4121">
        <v>10</v>
      </c>
      <c r="AE4121">
        <v>0</v>
      </c>
      <c r="AF4121">
        <v>3</v>
      </c>
      <c r="AG4121">
        <v>2</v>
      </c>
      <c r="AH4121">
        <v>0</v>
      </c>
      <c r="AI4121" t="s">
        <v>295</v>
      </c>
      <c r="AJ4121">
        <v>28.262564999999999</v>
      </c>
      <c r="AK4121" t="s">
        <v>939</v>
      </c>
      <c r="AL4121">
        <v>-82.301694999999995</v>
      </c>
      <c r="AM4121">
        <v>100</v>
      </c>
      <c r="AN4121">
        <v>2300</v>
      </c>
      <c r="AO4121" t="s">
        <v>118</v>
      </c>
      <c r="AP4121">
        <v>-112</v>
      </c>
      <c r="AQ4121">
        <v>-86</v>
      </c>
      <c r="AR4121">
        <v>128</v>
      </c>
      <c r="AZ4121">
        <v>1200</v>
      </c>
      <c r="BA4121">
        <v>1</v>
      </c>
      <c r="BB4121" t="str">
        <f t="shared" si="1906"/>
        <v xml:space="preserve">N711JA  </v>
      </c>
      <c r="BC4121">
        <v>1</v>
      </c>
      <c r="BE4121">
        <v>0</v>
      </c>
      <c r="BF4121">
        <v>0</v>
      </c>
      <c r="BG4121">
        <v>0</v>
      </c>
      <c r="BH4121">
        <v>2325</v>
      </c>
      <c r="BI4121">
        <v>1</v>
      </c>
      <c r="BJ4121">
        <v>1</v>
      </c>
      <c r="BK4121">
        <v>0</v>
      </c>
      <c r="BL4121">
        <v>0</v>
      </c>
      <c r="BO4121">
        <v>0</v>
      </c>
      <c r="BP4121">
        <v>0</v>
      </c>
      <c r="BW4121" t="str">
        <f t="shared" si="1910"/>
        <v>14:48:45.470</v>
      </c>
      <c r="CJ4121">
        <v>0</v>
      </c>
      <c r="CK4121">
        <v>2</v>
      </c>
      <c r="CL4121">
        <v>0</v>
      </c>
      <c r="CM4121">
        <v>2</v>
      </c>
      <c r="CN4121">
        <v>0</v>
      </c>
      <c r="CO4121">
        <v>6</v>
      </c>
      <c r="CP4121" t="s">
        <v>119</v>
      </c>
      <c r="CQ4121">
        <v>56</v>
      </c>
      <c r="CR4121">
        <v>2</v>
      </c>
      <c r="CW4121">
        <v>5109388</v>
      </c>
      <c r="CY4121">
        <v>1</v>
      </c>
      <c r="CZ4121">
        <v>0</v>
      </c>
      <c r="DA4121">
        <v>1</v>
      </c>
      <c r="DB4121">
        <v>0</v>
      </c>
      <c r="DC4121">
        <v>0</v>
      </c>
      <c r="DD4121">
        <v>1</v>
      </c>
      <c r="DE4121">
        <v>0</v>
      </c>
      <c r="DF4121">
        <v>0</v>
      </c>
      <c r="DG4121">
        <v>0</v>
      </c>
      <c r="DH4121">
        <v>0</v>
      </c>
      <c r="DI4121">
        <v>0</v>
      </c>
    </row>
    <row r="4122" spans="1:113" x14ac:dyDescent="0.3">
      <c r="A4122" t="str">
        <f t="shared" si="1907"/>
        <v>05/12/2020 14:48:27.639</v>
      </c>
      <c r="C4122" t="str">
        <f t="shared" si="1905"/>
        <v>FFDFD3C0</v>
      </c>
      <c r="D4122" t="s">
        <v>138</v>
      </c>
      <c r="E4122">
        <v>2</v>
      </c>
      <c r="H4122">
        <v>8</v>
      </c>
      <c r="I4122" t="s">
        <v>139</v>
      </c>
      <c r="J4122" t="s">
        <v>136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 t="shared" si="1908"/>
        <v>14:48:45.469</v>
      </c>
      <c r="T4122" t="str">
        <f t="shared" si="1909"/>
        <v>14:48:44.769</v>
      </c>
      <c r="U4122" t="str">
        <f t="shared" si="1896"/>
        <v>A9808D</v>
      </c>
      <c r="V4122">
        <v>0</v>
      </c>
      <c r="W4122">
        <v>0</v>
      </c>
      <c r="X4122">
        <v>1</v>
      </c>
      <c r="Z4122">
        <v>0</v>
      </c>
      <c r="AA4122">
        <v>9</v>
      </c>
      <c r="AB4122">
        <v>3</v>
      </c>
      <c r="AC4122">
        <v>0</v>
      </c>
      <c r="AD4122">
        <v>10</v>
      </c>
      <c r="AE4122">
        <v>0</v>
      </c>
      <c r="AF4122">
        <v>3</v>
      </c>
      <c r="AG4122">
        <v>2</v>
      </c>
      <c r="AH4122">
        <v>0</v>
      </c>
      <c r="AI4122" t="s">
        <v>295</v>
      </c>
      <c r="AJ4122">
        <v>28.262564999999999</v>
      </c>
      <c r="AK4122" t="s">
        <v>939</v>
      </c>
      <c r="AL4122">
        <v>-82.301694999999995</v>
      </c>
      <c r="AM4122">
        <v>100</v>
      </c>
      <c r="AN4122">
        <v>2300</v>
      </c>
      <c r="AO4122" t="s">
        <v>118</v>
      </c>
      <c r="AP4122">
        <v>-112</v>
      </c>
      <c r="AQ4122">
        <v>-86</v>
      </c>
      <c r="AR4122">
        <v>128</v>
      </c>
      <c r="AZ4122">
        <v>1200</v>
      </c>
      <c r="BA4122">
        <v>1</v>
      </c>
      <c r="BB4122" t="str">
        <f t="shared" si="1906"/>
        <v xml:space="preserve">N711JA  </v>
      </c>
      <c r="BC4122">
        <v>1</v>
      </c>
      <c r="BE4122">
        <v>0</v>
      </c>
      <c r="BF4122">
        <v>0</v>
      </c>
      <c r="BG4122">
        <v>0</v>
      </c>
      <c r="BH4122">
        <v>2325</v>
      </c>
      <c r="BI4122">
        <v>1</v>
      </c>
      <c r="BJ4122">
        <v>1</v>
      </c>
      <c r="BK4122">
        <v>0</v>
      </c>
      <c r="BL4122">
        <v>0</v>
      </c>
      <c r="BO4122">
        <v>0</v>
      </c>
      <c r="BP4122">
        <v>0</v>
      </c>
      <c r="BW4122" t="str">
        <f t="shared" si="1910"/>
        <v>14:48:45.470</v>
      </c>
      <c r="CJ4122">
        <v>0</v>
      </c>
      <c r="CK4122">
        <v>2</v>
      </c>
      <c r="CL4122">
        <v>0</v>
      </c>
      <c r="CM4122">
        <v>2</v>
      </c>
      <c r="CN4122">
        <v>0</v>
      </c>
      <c r="CO4122">
        <v>6</v>
      </c>
      <c r="CP4122" t="s">
        <v>119</v>
      </c>
      <c r="CQ4122">
        <v>56</v>
      </c>
      <c r="CR4122">
        <v>2</v>
      </c>
      <c r="CW4122">
        <v>5109388</v>
      </c>
      <c r="CY4122">
        <v>1</v>
      </c>
      <c r="CZ4122">
        <v>0</v>
      </c>
      <c r="DA4122">
        <v>1</v>
      </c>
      <c r="DB4122">
        <v>0</v>
      </c>
      <c r="DC4122">
        <v>0</v>
      </c>
      <c r="DD4122">
        <v>1</v>
      </c>
      <c r="DE4122">
        <v>0</v>
      </c>
      <c r="DF4122">
        <v>0</v>
      </c>
      <c r="DG4122">
        <v>0</v>
      </c>
      <c r="DH4122">
        <v>0</v>
      </c>
      <c r="DI4122">
        <v>0</v>
      </c>
    </row>
    <row r="4123" spans="1:113" x14ac:dyDescent="0.3">
      <c r="A4123" t="str">
        <f t="shared" si="1907"/>
        <v>05/12/2020 14:48:27.639</v>
      </c>
      <c r="C4123" t="str">
        <f t="shared" si="1905"/>
        <v>FFDFD3C0</v>
      </c>
      <c r="D4123" t="s">
        <v>138</v>
      </c>
      <c r="E4123">
        <v>3</v>
      </c>
      <c r="H4123">
        <v>9</v>
      </c>
      <c r="I4123" t="s">
        <v>140</v>
      </c>
      <c r="J4123" t="s">
        <v>136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 t="shared" si="1908"/>
        <v>14:48:45.469</v>
      </c>
      <c r="T4123" t="str">
        <f t="shared" si="1909"/>
        <v>14:48:44.769</v>
      </c>
      <c r="U4123" t="str">
        <f t="shared" si="1896"/>
        <v>A9808D</v>
      </c>
      <c r="V4123">
        <v>0</v>
      </c>
      <c r="W4123">
        <v>0</v>
      </c>
      <c r="X4123">
        <v>1</v>
      </c>
      <c r="Z4123">
        <v>0</v>
      </c>
      <c r="AA4123">
        <v>9</v>
      </c>
      <c r="AB4123">
        <v>3</v>
      </c>
      <c r="AC4123">
        <v>0</v>
      </c>
      <c r="AD4123">
        <v>10</v>
      </c>
      <c r="AE4123">
        <v>0</v>
      </c>
      <c r="AF4123">
        <v>3</v>
      </c>
      <c r="AG4123">
        <v>2</v>
      </c>
      <c r="AH4123">
        <v>0</v>
      </c>
      <c r="AI4123" t="s">
        <v>295</v>
      </c>
      <c r="AJ4123">
        <v>28.262564999999999</v>
      </c>
      <c r="AK4123" t="s">
        <v>939</v>
      </c>
      <c r="AL4123">
        <v>-82.301694999999995</v>
      </c>
      <c r="AM4123">
        <v>100</v>
      </c>
      <c r="AN4123">
        <v>2300</v>
      </c>
      <c r="AO4123" t="s">
        <v>118</v>
      </c>
      <c r="AP4123">
        <v>-112</v>
      </c>
      <c r="AQ4123">
        <v>-86</v>
      </c>
      <c r="AR4123">
        <v>128</v>
      </c>
      <c r="AZ4123">
        <v>1200</v>
      </c>
      <c r="BA4123">
        <v>1</v>
      </c>
      <c r="BB4123" t="str">
        <f t="shared" si="1906"/>
        <v xml:space="preserve">N711JA  </v>
      </c>
      <c r="BC4123">
        <v>1</v>
      </c>
      <c r="BE4123">
        <v>0</v>
      </c>
      <c r="BF4123">
        <v>0</v>
      </c>
      <c r="BG4123">
        <v>0</v>
      </c>
      <c r="BH4123">
        <v>2325</v>
      </c>
      <c r="BI4123">
        <v>1</v>
      </c>
      <c r="BJ4123">
        <v>1</v>
      </c>
      <c r="BK4123">
        <v>0</v>
      </c>
      <c r="BL4123">
        <v>0</v>
      </c>
      <c r="BO4123">
        <v>0</v>
      </c>
      <c r="BP4123">
        <v>0</v>
      </c>
      <c r="BW4123" t="str">
        <f t="shared" si="1910"/>
        <v>14:48:45.470</v>
      </c>
      <c r="CJ4123">
        <v>0</v>
      </c>
      <c r="CK4123">
        <v>2</v>
      </c>
      <c r="CL4123">
        <v>0</v>
      </c>
      <c r="CM4123">
        <v>2</v>
      </c>
      <c r="CN4123">
        <v>0</v>
      </c>
      <c r="CO4123">
        <v>6</v>
      </c>
      <c r="CP4123" t="s">
        <v>119</v>
      </c>
      <c r="CQ4123">
        <v>56</v>
      </c>
      <c r="CR4123">
        <v>2</v>
      </c>
      <c r="CW4123">
        <v>5109388</v>
      </c>
      <c r="CY4123">
        <v>1</v>
      </c>
      <c r="CZ4123">
        <v>0</v>
      </c>
      <c r="DA4123">
        <v>1</v>
      </c>
      <c r="DB4123">
        <v>0</v>
      </c>
      <c r="DC4123">
        <v>0</v>
      </c>
      <c r="DD4123">
        <v>1</v>
      </c>
      <c r="DE4123">
        <v>0</v>
      </c>
      <c r="DF4123">
        <v>0</v>
      </c>
      <c r="DG4123">
        <v>0</v>
      </c>
      <c r="DH4123">
        <v>0</v>
      </c>
      <c r="DI4123">
        <v>0</v>
      </c>
    </row>
    <row r="4124" spans="1:113" x14ac:dyDescent="0.3">
      <c r="A4124" t="str">
        <f t="shared" si="1907"/>
        <v>05/12/2020 14:48:27.639</v>
      </c>
      <c r="C4124" t="str">
        <f t="shared" si="1905"/>
        <v>FFDFD3C0</v>
      </c>
      <c r="D4124" t="s">
        <v>126</v>
      </c>
      <c r="E4124">
        <v>6</v>
      </c>
      <c r="F4124">
        <v>1006</v>
      </c>
      <c r="G4124" t="s">
        <v>114</v>
      </c>
      <c r="J4124" t="s">
        <v>128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 t="shared" si="1908"/>
        <v>14:48:45.469</v>
      </c>
      <c r="T4124" t="str">
        <f t="shared" si="1909"/>
        <v>14:48:44.769</v>
      </c>
      <c r="U4124" t="str">
        <f t="shared" si="1896"/>
        <v>A9808D</v>
      </c>
      <c r="V4124">
        <v>0</v>
      </c>
      <c r="W4124">
        <v>0</v>
      </c>
      <c r="X4124">
        <v>1</v>
      </c>
      <c r="Z4124">
        <v>0</v>
      </c>
      <c r="AA4124">
        <v>9</v>
      </c>
      <c r="AB4124">
        <v>3</v>
      </c>
      <c r="AC4124">
        <v>0</v>
      </c>
      <c r="AD4124">
        <v>10</v>
      </c>
      <c r="AE4124">
        <v>0</v>
      </c>
      <c r="AF4124">
        <v>3</v>
      </c>
      <c r="AG4124">
        <v>2</v>
      </c>
      <c r="AH4124">
        <v>0</v>
      </c>
      <c r="AI4124" t="s">
        <v>295</v>
      </c>
      <c r="AJ4124">
        <v>28.262564999999999</v>
      </c>
      <c r="AK4124" t="s">
        <v>939</v>
      </c>
      <c r="AL4124">
        <v>-82.301694999999995</v>
      </c>
      <c r="AM4124">
        <v>100</v>
      </c>
      <c r="AN4124">
        <v>2300</v>
      </c>
      <c r="AO4124" t="s">
        <v>118</v>
      </c>
      <c r="AP4124">
        <v>-112</v>
      </c>
      <c r="AQ4124">
        <v>-86</v>
      </c>
      <c r="AR4124">
        <v>128</v>
      </c>
      <c r="AZ4124">
        <v>1200</v>
      </c>
      <c r="BA4124">
        <v>1</v>
      </c>
      <c r="BB4124" t="str">
        <f t="shared" si="1906"/>
        <v xml:space="preserve">N711JA  </v>
      </c>
      <c r="BC4124">
        <v>1</v>
      </c>
      <c r="BE4124">
        <v>0</v>
      </c>
      <c r="BF4124">
        <v>0</v>
      </c>
      <c r="BG4124">
        <v>0</v>
      </c>
      <c r="BH4124">
        <v>2325</v>
      </c>
      <c r="BI4124">
        <v>1</v>
      </c>
      <c r="BJ4124">
        <v>1</v>
      </c>
      <c r="BK4124">
        <v>0</v>
      </c>
      <c r="BL4124">
        <v>0</v>
      </c>
      <c r="BO4124">
        <v>0</v>
      </c>
      <c r="BP4124">
        <v>0</v>
      </c>
      <c r="BW4124" t="str">
        <f t="shared" si="1910"/>
        <v>14:48:45.470</v>
      </c>
      <c r="CJ4124">
        <v>0</v>
      </c>
      <c r="CK4124">
        <v>2</v>
      </c>
      <c r="CL4124">
        <v>0</v>
      </c>
      <c r="CM4124">
        <v>2</v>
      </c>
      <c r="CN4124">
        <v>0</v>
      </c>
      <c r="CO4124">
        <v>6</v>
      </c>
      <c r="CP4124" t="s">
        <v>119</v>
      </c>
      <c r="CQ4124">
        <v>56</v>
      </c>
      <c r="CR4124">
        <v>2</v>
      </c>
      <c r="CW4124">
        <v>5109388</v>
      </c>
      <c r="CY4124">
        <v>1</v>
      </c>
      <c r="CZ4124">
        <v>0</v>
      </c>
      <c r="DA4124">
        <v>1</v>
      </c>
      <c r="DB4124">
        <v>0</v>
      </c>
      <c r="DC4124">
        <v>0</v>
      </c>
      <c r="DD4124">
        <v>1</v>
      </c>
      <c r="DE4124">
        <v>0</v>
      </c>
      <c r="DF4124">
        <v>0</v>
      </c>
      <c r="DG4124">
        <v>0</v>
      </c>
      <c r="DH4124">
        <v>0</v>
      </c>
      <c r="DI4124">
        <v>0</v>
      </c>
    </row>
    <row r="4125" spans="1:113" x14ac:dyDescent="0.3">
      <c r="A4125" t="str">
        <f t="shared" si="1907"/>
        <v>05/12/2020 14:48:27.639</v>
      </c>
      <c r="C4125" t="str">
        <f t="shared" si="1905"/>
        <v>FFDFD3C0</v>
      </c>
      <c r="D4125" t="s">
        <v>126</v>
      </c>
      <c r="E4125">
        <v>7</v>
      </c>
      <c r="F4125">
        <v>1007</v>
      </c>
      <c r="G4125" t="s">
        <v>127</v>
      </c>
      <c r="J4125" t="s">
        <v>128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 t="shared" si="1908"/>
        <v>14:48:45.469</v>
      </c>
      <c r="T4125" t="str">
        <f t="shared" si="1909"/>
        <v>14:48:44.769</v>
      </c>
      <c r="U4125" t="str">
        <f t="shared" si="1896"/>
        <v>A9808D</v>
      </c>
      <c r="V4125">
        <v>0</v>
      </c>
      <c r="W4125">
        <v>0</v>
      </c>
      <c r="X4125">
        <v>1</v>
      </c>
      <c r="Z4125">
        <v>0</v>
      </c>
      <c r="AA4125">
        <v>9</v>
      </c>
      <c r="AB4125">
        <v>3</v>
      </c>
      <c r="AC4125">
        <v>0</v>
      </c>
      <c r="AD4125">
        <v>10</v>
      </c>
      <c r="AE4125">
        <v>0</v>
      </c>
      <c r="AF4125">
        <v>3</v>
      </c>
      <c r="AG4125">
        <v>2</v>
      </c>
      <c r="AH4125">
        <v>0</v>
      </c>
      <c r="AI4125" t="s">
        <v>295</v>
      </c>
      <c r="AJ4125">
        <v>28.262564999999999</v>
      </c>
      <c r="AK4125" t="s">
        <v>939</v>
      </c>
      <c r="AL4125">
        <v>-82.301694999999995</v>
      </c>
      <c r="AM4125">
        <v>100</v>
      </c>
      <c r="AN4125">
        <v>2300</v>
      </c>
      <c r="AO4125" t="s">
        <v>118</v>
      </c>
      <c r="AP4125">
        <v>-112</v>
      </c>
      <c r="AQ4125">
        <v>-86</v>
      </c>
      <c r="AR4125">
        <v>128</v>
      </c>
      <c r="AZ4125">
        <v>1200</v>
      </c>
      <c r="BA4125">
        <v>1</v>
      </c>
      <c r="BB4125" t="str">
        <f t="shared" si="1906"/>
        <v xml:space="preserve">N711JA  </v>
      </c>
      <c r="BC4125">
        <v>1</v>
      </c>
      <c r="BE4125">
        <v>0</v>
      </c>
      <c r="BF4125">
        <v>0</v>
      </c>
      <c r="BG4125">
        <v>0</v>
      </c>
      <c r="BH4125">
        <v>2325</v>
      </c>
      <c r="BI4125">
        <v>1</v>
      </c>
      <c r="BJ4125">
        <v>1</v>
      </c>
      <c r="BK4125">
        <v>0</v>
      </c>
      <c r="BL4125">
        <v>0</v>
      </c>
      <c r="BO4125">
        <v>0</v>
      </c>
      <c r="BP4125">
        <v>0</v>
      </c>
      <c r="BW4125" t="str">
        <f t="shared" si="1910"/>
        <v>14:48:45.470</v>
      </c>
      <c r="CJ4125">
        <v>0</v>
      </c>
      <c r="CK4125">
        <v>2</v>
      </c>
      <c r="CL4125">
        <v>0</v>
      </c>
      <c r="CM4125">
        <v>2</v>
      </c>
      <c r="CN4125">
        <v>0</v>
      </c>
      <c r="CO4125">
        <v>6</v>
      </c>
      <c r="CP4125" t="s">
        <v>119</v>
      </c>
      <c r="CQ4125">
        <v>56</v>
      </c>
      <c r="CR4125">
        <v>2</v>
      </c>
      <c r="CW4125">
        <v>5109388</v>
      </c>
      <c r="CY4125">
        <v>1</v>
      </c>
      <c r="CZ4125">
        <v>0</v>
      </c>
      <c r="DA4125">
        <v>1</v>
      </c>
      <c r="DB4125">
        <v>0</v>
      </c>
      <c r="DC4125">
        <v>0</v>
      </c>
      <c r="DD4125">
        <v>1</v>
      </c>
      <c r="DE4125">
        <v>0</v>
      </c>
      <c r="DF4125">
        <v>0</v>
      </c>
      <c r="DG4125">
        <v>0</v>
      </c>
      <c r="DH4125">
        <v>0</v>
      </c>
      <c r="DI4125">
        <v>0</v>
      </c>
    </row>
    <row r="4126" spans="1:113" x14ac:dyDescent="0.3">
      <c r="A4126" t="str">
        <f t="shared" si="1907"/>
        <v>05/12/2020 14:48:27.639</v>
      </c>
      <c r="C4126" t="str">
        <f t="shared" si="1905"/>
        <v>FFDFD3C0</v>
      </c>
      <c r="D4126" t="s">
        <v>131</v>
      </c>
      <c r="E4126">
        <v>10</v>
      </c>
      <c r="F4126">
        <v>2010</v>
      </c>
      <c r="G4126" t="s">
        <v>132</v>
      </c>
      <c r="J4126" t="s">
        <v>133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 t="shared" si="1908"/>
        <v>14:48:45.469</v>
      </c>
      <c r="T4126" t="str">
        <f t="shared" si="1909"/>
        <v>14:48:44.769</v>
      </c>
      <c r="U4126" t="str">
        <f t="shared" si="1896"/>
        <v>A9808D</v>
      </c>
      <c r="V4126">
        <v>0</v>
      </c>
      <c r="W4126">
        <v>0</v>
      </c>
      <c r="X4126">
        <v>1</v>
      </c>
      <c r="Z4126">
        <v>0</v>
      </c>
      <c r="AA4126">
        <v>9</v>
      </c>
      <c r="AB4126">
        <v>3</v>
      </c>
      <c r="AC4126">
        <v>0</v>
      </c>
      <c r="AD4126">
        <v>10</v>
      </c>
      <c r="AE4126">
        <v>0</v>
      </c>
      <c r="AF4126">
        <v>3</v>
      </c>
      <c r="AG4126">
        <v>2</v>
      </c>
      <c r="AH4126">
        <v>0</v>
      </c>
      <c r="AI4126" t="s">
        <v>295</v>
      </c>
      <c r="AJ4126">
        <v>28.262564999999999</v>
      </c>
      <c r="AK4126" t="s">
        <v>939</v>
      </c>
      <c r="AL4126">
        <v>-82.301694999999995</v>
      </c>
      <c r="AM4126">
        <v>100</v>
      </c>
      <c r="AN4126">
        <v>2300</v>
      </c>
      <c r="AO4126" t="s">
        <v>118</v>
      </c>
      <c r="AP4126">
        <v>-112</v>
      </c>
      <c r="AQ4126">
        <v>-86</v>
      </c>
      <c r="AR4126">
        <v>128</v>
      </c>
      <c r="AZ4126">
        <v>1200</v>
      </c>
      <c r="BA4126">
        <v>1</v>
      </c>
      <c r="BB4126" t="str">
        <f t="shared" si="1906"/>
        <v xml:space="preserve">N711JA  </v>
      </c>
      <c r="BC4126">
        <v>1</v>
      </c>
      <c r="BE4126">
        <v>0</v>
      </c>
      <c r="BF4126">
        <v>0</v>
      </c>
      <c r="BG4126">
        <v>0</v>
      </c>
      <c r="BH4126">
        <v>2325</v>
      </c>
      <c r="BI4126">
        <v>1</v>
      </c>
      <c r="BJ4126">
        <v>1</v>
      </c>
      <c r="BK4126">
        <v>0</v>
      </c>
      <c r="BL4126">
        <v>0</v>
      </c>
      <c r="BO4126">
        <v>0</v>
      </c>
      <c r="BP4126">
        <v>0</v>
      </c>
      <c r="BW4126" t="str">
        <f t="shared" si="1910"/>
        <v>14:48:45.470</v>
      </c>
      <c r="CJ4126">
        <v>0</v>
      </c>
      <c r="CK4126">
        <v>2</v>
      </c>
      <c r="CL4126">
        <v>0</v>
      </c>
      <c r="CM4126">
        <v>2</v>
      </c>
      <c r="CN4126">
        <v>0</v>
      </c>
      <c r="CO4126">
        <v>6</v>
      </c>
      <c r="CP4126" t="s">
        <v>119</v>
      </c>
      <c r="CQ4126">
        <v>56</v>
      </c>
      <c r="CR4126">
        <v>2</v>
      </c>
      <c r="CW4126">
        <v>5109388</v>
      </c>
      <c r="CY4126">
        <v>1</v>
      </c>
      <c r="CZ4126">
        <v>0</v>
      </c>
      <c r="DA4126">
        <v>1</v>
      </c>
      <c r="DB4126">
        <v>0</v>
      </c>
      <c r="DC4126">
        <v>0</v>
      </c>
      <c r="DD4126">
        <v>1</v>
      </c>
      <c r="DE4126">
        <v>0</v>
      </c>
      <c r="DF4126">
        <v>0</v>
      </c>
      <c r="DG4126">
        <v>0</v>
      </c>
      <c r="DH4126">
        <v>0</v>
      </c>
      <c r="DI4126">
        <v>0</v>
      </c>
    </row>
    <row r="4127" spans="1:113" x14ac:dyDescent="0.3">
      <c r="A4127" t="str">
        <f t="shared" si="1907"/>
        <v>05/12/2020 14:48:27.639</v>
      </c>
      <c r="C4127" t="str">
        <f t="shared" si="1905"/>
        <v>FFDFD3C0</v>
      </c>
      <c r="D4127" t="s">
        <v>131</v>
      </c>
      <c r="E4127">
        <v>12</v>
      </c>
      <c r="F4127">
        <v>2012</v>
      </c>
      <c r="G4127" t="s">
        <v>137</v>
      </c>
      <c r="J4127" t="s">
        <v>133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 t="shared" si="1908"/>
        <v>14:48:45.469</v>
      </c>
      <c r="T4127" t="str">
        <f t="shared" si="1909"/>
        <v>14:48:44.769</v>
      </c>
      <c r="U4127" t="str">
        <f t="shared" si="1896"/>
        <v>A9808D</v>
      </c>
      <c r="V4127">
        <v>0</v>
      </c>
      <c r="W4127">
        <v>0</v>
      </c>
      <c r="X4127">
        <v>1</v>
      </c>
      <c r="Z4127">
        <v>0</v>
      </c>
      <c r="AA4127">
        <v>9</v>
      </c>
      <c r="AB4127">
        <v>3</v>
      </c>
      <c r="AC4127">
        <v>0</v>
      </c>
      <c r="AD4127">
        <v>10</v>
      </c>
      <c r="AE4127">
        <v>0</v>
      </c>
      <c r="AF4127">
        <v>3</v>
      </c>
      <c r="AG4127">
        <v>2</v>
      </c>
      <c r="AH4127">
        <v>0</v>
      </c>
      <c r="AI4127" t="s">
        <v>295</v>
      </c>
      <c r="AJ4127">
        <v>28.262564999999999</v>
      </c>
      <c r="AK4127" t="s">
        <v>939</v>
      </c>
      <c r="AL4127">
        <v>-82.301694999999995</v>
      </c>
      <c r="AM4127">
        <v>100</v>
      </c>
      <c r="AN4127">
        <v>2300</v>
      </c>
      <c r="AO4127" t="s">
        <v>118</v>
      </c>
      <c r="AP4127">
        <v>-112</v>
      </c>
      <c r="AQ4127">
        <v>-86</v>
      </c>
      <c r="AR4127">
        <v>128</v>
      </c>
      <c r="AZ4127">
        <v>1200</v>
      </c>
      <c r="BA4127">
        <v>1</v>
      </c>
      <c r="BB4127" t="str">
        <f t="shared" si="1906"/>
        <v xml:space="preserve">N711JA  </v>
      </c>
      <c r="BC4127">
        <v>1</v>
      </c>
      <c r="BE4127">
        <v>0</v>
      </c>
      <c r="BF4127">
        <v>0</v>
      </c>
      <c r="BG4127">
        <v>0</v>
      </c>
      <c r="BH4127">
        <v>2325</v>
      </c>
      <c r="BI4127">
        <v>1</v>
      </c>
      <c r="BJ4127">
        <v>1</v>
      </c>
      <c r="BK4127">
        <v>0</v>
      </c>
      <c r="BL4127">
        <v>0</v>
      </c>
      <c r="BO4127">
        <v>0</v>
      </c>
      <c r="BP4127">
        <v>0</v>
      </c>
      <c r="BW4127" t="str">
        <f t="shared" si="1910"/>
        <v>14:48:45.470</v>
      </c>
      <c r="CJ4127">
        <v>0</v>
      </c>
      <c r="CK4127">
        <v>2</v>
      </c>
      <c r="CL4127">
        <v>0</v>
      </c>
      <c r="CM4127">
        <v>2</v>
      </c>
      <c r="CN4127">
        <v>0</v>
      </c>
      <c r="CO4127">
        <v>6</v>
      </c>
      <c r="CP4127" t="s">
        <v>119</v>
      </c>
      <c r="CQ4127">
        <v>56</v>
      </c>
      <c r="CR4127">
        <v>2</v>
      </c>
      <c r="CW4127">
        <v>5109388</v>
      </c>
      <c r="CY4127">
        <v>1</v>
      </c>
      <c r="CZ4127">
        <v>0</v>
      </c>
      <c r="DA4127">
        <v>1</v>
      </c>
      <c r="DB4127">
        <v>0</v>
      </c>
      <c r="DC4127">
        <v>0</v>
      </c>
      <c r="DD4127">
        <v>1</v>
      </c>
      <c r="DE4127">
        <v>0</v>
      </c>
      <c r="DF4127">
        <v>0</v>
      </c>
      <c r="DG4127">
        <v>0</v>
      </c>
      <c r="DH4127">
        <v>0</v>
      </c>
      <c r="DI4127">
        <v>0</v>
      </c>
    </row>
    <row r="4128" spans="1:113" x14ac:dyDescent="0.3">
      <c r="A4128" t="str">
        <f t="shared" ref="A4128:A4136" si="1911">"05/12/2020 14:48:28.696"</f>
        <v>05/12/2020 14:48:28.696</v>
      </c>
      <c r="C4128" t="str">
        <f t="shared" si="1905"/>
        <v>FFDFD3C0</v>
      </c>
      <c r="D4128" t="s">
        <v>131</v>
      </c>
      <c r="E4128">
        <v>18</v>
      </c>
      <c r="F4128">
        <v>2018</v>
      </c>
      <c r="G4128" t="s">
        <v>161</v>
      </c>
      <c r="J4128" t="s">
        <v>133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 t="shared" ref="S4128:S4136" si="1912">"14:48:46.523"</f>
        <v>14:48:46.523</v>
      </c>
      <c r="T4128" t="str">
        <f t="shared" ref="T4128:T4136" si="1913">"14:48:46.223"</f>
        <v>14:48:46.223</v>
      </c>
      <c r="U4128" t="str">
        <f t="shared" si="1896"/>
        <v>A9808D</v>
      </c>
      <c r="V4128">
        <v>0</v>
      </c>
      <c r="W4128">
        <v>0</v>
      </c>
      <c r="X4128">
        <v>1</v>
      </c>
      <c r="Z4128">
        <v>0</v>
      </c>
      <c r="AA4128">
        <v>9</v>
      </c>
      <c r="AB4128">
        <v>3</v>
      </c>
      <c r="AC4128">
        <v>0</v>
      </c>
      <c r="AD4128">
        <v>10</v>
      </c>
      <c r="AE4128">
        <v>0</v>
      </c>
      <c r="AF4128">
        <v>3</v>
      </c>
      <c r="AG4128">
        <v>2</v>
      </c>
      <c r="AH4128">
        <v>0</v>
      </c>
      <c r="AI4128" t="s">
        <v>940</v>
      </c>
      <c r="AJ4128">
        <v>28.262093</v>
      </c>
      <c r="AK4128" t="s">
        <v>941</v>
      </c>
      <c r="AL4128">
        <v>-82.302361000000005</v>
      </c>
      <c r="AM4128">
        <v>100</v>
      </c>
      <c r="AN4128">
        <v>2300</v>
      </c>
      <c r="AO4128" t="s">
        <v>118</v>
      </c>
      <c r="AP4128">
        <v>-111</v>
      </c>
      <c r="AQ4128">
        <v>-88</v>
      </c>
      <c r="AR4128">
        <v>64</v>
      </c>
      <c r="AZ4128">
        <v>1200</v>
      </c>
      <c r="BA4128">
        <v>1</v>
      </c>
      <c r="BB4128" t="str">
        <f t="shared" si="1906"/>
        <v xml:space="preserve">N711JA  </v>
      </c>
      <c r="BC4128">
        <v>1</v>
      </c>
      <c r="BE4128">
        <v>0</v>
      </c>
      <c r="BF4128">
        <v>0</v>
      </c>
      <c r="BG4128">
        <v>0</v>
      </c>
      <c r="BH4128">
        <v>2325</v>
      </c>
      <c r="BI4128">
        <v>1</v>
      </c>
      <c r="BJ4128">
        <v>1</v>
      </c>
      <c r="BK4128">
        <v>0</v>
      </c>
      <c r="BL4128">
        <v>0</v>
      </c>
      <c r="BO4128">
        <v>0</v>
      </c>
      <c r="BP4128">
        <v>0</v>
      </c>
      <c r="BW4128" t="str">
        <f>"14:48:46.530"</f>
        <v>14:48:46.530</v>
      </c>
      <c r="CJ4128">
        <v>0</v>
      </c>
      <c r="CK4128">
        <v>2</v>
      </c>
      <c r="CL4128">
        <v>0</v>
      </c>
      <c r="CM4128">
        <v>2</v>
      </c>
      <c r="CN4128">
        <v>0</v>
      </c>
      <c r="CO4128">
        <v>6</v>
      </c>
      <c r="CP4128" t="s">
        <v>119</v>
      </c>
      <c r="CQ4128">
        <v>56</v>
      </c>
      <c r="CR4128">
        <v>2</v>
      </c>
      <c r="CW4128">
        <v>5110716</v>
      </c>
      <c r="CY4128">
        <v>1</v>
      </c>
      <c r="CZ4128">
        <v>0</v>
      </c>
      <c r="DA4128">
        <v>0</v>
      </c>
      <c r="DB4128">
        <v>0</v>
      </c>
      <c r="DC4128">
        <v>0</v>
      </c>
      <c r="DD4128">
        <v>1</v>
      </c>
      <c r="DE4128">
        <v>0</v>
      </c>
      <c r="DF4128">
        <v>0</v>
      </c>
      <c r="DG4128">
        <v>0</v>
      </c>
      <c r="DH4128">
        <v>0</v>
      </c>
      <c r="DI4128">
        <v>0</v>
      </c>
    </row>
    <row r="4129" spans="1:113" x14ac:dyDescent="0.3">
      <c r="A4129" t="str">
        <f t="shared" si="1911"/>
        <v>05/12/2020 14:48:28.696</v>
      </c>
      <c r="C4129" t="str">
        <f t="shared" si="1905"/>
        <v>FFDFD3C0</v>
      </c>
      <c r="D4129" t="s">
        <v>134</v>
      </c>
      <c r="E4129">
        <v>12</v>
      </c>
      <c r="H4129">
        <v>64</v>
      </c>
      <c r="I4129" t="s">
        <v>135</v>
      </c>
      <c r="J4129" t="s">
        <v>136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 t="shared" si="1912"/>
        <v>14:48:46.523</v>
      </c>
      <c r="T4129" t="str">
        <f t="shared" si="1913"/>
        <v>14:48:46.223</v>
      </c>
      <c r="U4129" t="str">
        <f t="shared" si="1896"/>
        <v>A9808D</v>
      </c>
      <c r="V4129">
        <v>0</v>
      </c>
      <c r="W4129">
        <v>0</v>
      </c>
      <c r="X4129">
        <v>1</v>
      </c>
      <c r="Z4129">
        <v>0</v>
      </c>
      <c r="AA4129">
        <v>9</v>
      </c>
      <c r="AB4129">
        <v>3</v>
      </c>
      <c r="AC4129">
        <v>0</v>
      </c>
      <c r="AD4129">
        <v>10</v>
      </c>
      <c r="AE4129">
        <v>0</v>
      </c>
      <c r="AF4129">
        <v>3</v>
      </c>
      <c r="AG4129">
        <v>2</v>
      </c>
      <c r="AH4129">
        <v>0</v>
      </c>
      <c r="AI4129" t="s">
        <v>940</v>
      </c>
      <c r="AJ4129">
        <v>28.262093</v>
      </c>
      <c r="AK4129" t="s">
        <v>941</v>
      </c>
      <c r="AL4129">
        <v>-82.302361000000005</v>
      </c>
      <c r="AM4129">
        <v>100</v>
      </c>
      <c r="AN4129">
        <v>2300</v>
      </c>
      <c r="AO4129" t="s">
        <v>118</v>
      </c>
      <c r="AP4129">
        <v>-111</v>
      </c>
      <c r="AQ4129">
        <v>-88</v>
      </c>
      <c r="AR4129">
        <v>64</v>
      </c>
      <c r="AZ4129">
        <v>1200</v>
      </c>
      <c r="BA4129">
        <v>1</v>
      </c>
      <c r="BB4129" t="str">
        <f t="shared" si="1906"/>
        <v xml:space="preserve">N711JA  </v>
      </c>
      <c r="BC4129">
        <v>1</v>
      </c>
      <c r="BE4129">
        <v>0</v>
      </c>
      <c r="BF4129">
        <v>0</v>
      </c>
      <c r="BG4129">
        <v>0</v>
      </c>
      <c r="BH4129">
        <v>2325</v>
      </c>
      <c r="BI4129">
        <v>1</v>
      </c>
      <c r="BJ4129">
        <v>1</v>
      </c>
      <c r="BK4129">
        <v>0</v>
      </c>
      <c r="BL4129">
        <v>0</v>
      </c>
      <c r="BO4129">
        <v>0</v>
      </c>
      <c r="BP4129">
        <v>0</v>
      </c>
      <c r="BW4129" t="str">
        <f>"14:48:46.529"</f>
        <v>14:48:46.529</v>
      </c>
      <c r="CJ4129">
        <v>0</v>
      </c>
      <c r="CK4129">
        <v>2</v>
      </c>
      <c r="CL4129">
        <v>0</v>
      </c>
      <c r="CM4129">
        <v>2</v>
      </c>
      <c r="CN4129">
        <v>0</v>
      </c>
      <c r="CO4129">
        <v>6</v>
      </c>
      <c r="CP4129" t="s">
        <v>119</v>
      </c>
      <c r="CQ4129">
        <v>358</v>
      </c>
      <c r="CR4129">
        <v>0</v>
      </c>
      <c r="CW4129">
        <v>5084055</v>
      </c>
      <c r="CY4129">
        <v>1</v>
      </c>
      <c r="CZ4129">
        <v>0</v>
      </c>
      <c r="DA4129">
        <v>1</v>
      </c>
      <c r="DB4129">
        <v>0</v>
      </c>
      <c r="DC4129">
        <v>0</v>
      </c>
      <c r="DD4129">
        <v>1</v>
      </c>
      <c r="DE4129">
        <v>0</v>
      </c>
      <c r="DF4129">
        <v>0</v>
      </c>
      <c r="DG4129">
        <v>0</v>
      </c>
      <c r="DH4129">
        <v>0</v>
      </c>
      <c r="DI4129">
        <v>0</v>
      </c>
    </row>
    <row r="4130" spans="1:113" x14ac:dyDescent="0.3">
      <c r="A4130" t="str">
        <f t="shared" si="1911"/>
        <v>05/12/2020 14:48:28.696</v>
      </c>
      <c r="C4130" t="str">
        <f t="shared" si="1905"/>
        <v>FFDFD3C0</v>
      </c>
      <c r="D4130" t="s">
        <v>113</v>
      </c>
      <c r="E4130">
        <v>3</v>
      </c>
      <c r="H4130">
        <v>164</v>
      </c>
      <c r="I4130" t="s">
        <v>114</v>
      </c>
      <c r="J4130" t="s">
        <v>115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 t="shared" si="1912"/>
        <v>14:48:46.523</v>
      </c>
      <c r="T4130" t="str">
        <f t="shared" si="1913"/>
        <v>14:48:46.223</v>
      </c>
      <c r="U4130" t="str">
        <f t="shared" si="1896"/>
        <v>A9808D</v>
      </c>
      <c r="V4130">
        <v>0</v>
      </c>
      <c r="W4130">
        <v>0</v>
      </c>
      <c r="X4130">
        <v>1</v>
      </c>
      <c r="Z4130">
        <v>0</v>
      </c>
      <c r="AA4130">
        <v>9</v>
      </c>
      <c r="AB4130">
        <v>3</v>
      </c>
      <c r="AC4130">
        <v>0</v>
      </c>
      <c r="AD4130">
        <v>10</v>
      </c>
      <c r="AE4130">
        <v>0</v>
      </c>
      <c r="AF4130">
        <v>3</v>
      </c>
      <c r="AG4130">
        <v>2</v>
      </c>
      <c r="AH4130">
        <v>0</v>
      </c>
      <c r="AI4130" t="s">
        <v>940</v>
      </c>
      <c r="AJ4130">
        <v>28.262093</v>
      </c>
      <c r="AK4130" t="s">
        <v>941</v>
      </c>
      <c r="AL4130">
        <v>-82.302361000000005</v>
      </c>
      <c r="AM4130">
        <v>100</v>
      </c>
      <c r="AN4130">
        <v>2300</v>
      </c>
      <c r="AO4130" t="s">
        <v>118</v>
      </c>
      <c r="AP4130">
        <v>-111</v>
      </c>
      <c r="AQ4130">
        <v>-88</v>
      </c>
      <c r="AR4130">
        <v>64</v>
      </c>
      <c r="AZ4130">
        <v>1200</v>
      </c>
      <c r="BA4130">
        <v>1</v>
      </c>
      <c r="BB4130" t="str">
        <f t="shared" si="1906"/>
        <v xml:space="preserve">N711JA  </v>
      </c>
      <c r="BC4130">
        <v>1</v>
      </c>
      <c r="BE4130">
        <v>0</v>
      </c>
      <c r="BF4130">
        <v>0</v>
      </c>
      <c r="BG4130">
        <v>0</v>
      </c>
      <c r="BH4130">
        <v>2325</v>
      </c>
      <c r="BI4130">
        <v>1</v>
      </c>
      <c r="BJ4130">
        <v>1</v>
      </c>
      <c r="BK4130">
        <v>0</v>
      </c>
      <c r="BL4130">
        <v>0</v>
      </c>
      <c r="BO4130">
        <v>0</v>
      </c>
      <c r="BP4130">
        <v>0</v>
      </c>
      <c r="BW4130" t="str">
        <f>"14:48:46.530"</f>
        <v>14:48:46.530</v>
      </c>
      <c r="CJ4130">
        <v>0</v>
      </c>
      <c r="CK4130">
        <v>2</v>
      </c>
      <c r="CL4130">
        <v>0</v>
      </c>
      <c r="CM4130">
        <v>2</v>
      </c>
      <c r="CN4130">
        <v>0</v>
      </c>
      <c r="CO4130">
        <v>6</v>
      </c>
      <c r="CP4130" t="s">
        <v>119</v>
      </c>
      <c r="CQ4130">
        <v>56</v>
      </c>
      <c r="CR4130">
        <v>2</v>
      </c>
      <c r="CW4130">
        <v>5110716</v>
      </c>
      <c r="CY4130">
        <v>1</v>
      </c>
      <c r="CZ4130">
        <v>0</v>
      </c>
      <c r="DA4130">
        <v>1</v>
      </c>
      <c r="DB4130">
        <v>0</v>
      </c>
      <c r="DC4130">
        <v>0</v>
      </c>
      <c r="DD4130">
        <v>1</v>
      </c>
      <c r="DE4130">
        <v>0</v>
      </c>
      <c r="DF4130">
        <v>0</v>
      </c>
      <c r="DG4130">
        <v>0</v>
      </c>
      <c r="DH4130">
        <v>0</v>
      </c>
      <c r="DI4130">
        <v>0</v>
      </c>
    </row>
    <row r="4131" spans="1:113" x14ac:dyDescent="0.3">
      <c r="A4131" t="str">
        <f t="shared" si="1911"/>
        <v>05/12/2020 14:48:28.696</v>
      </c>
      <c r="C4131" t="str">
        <f t="shared" si="1905"/>
        <v>FFDFD3C0</v>
      </c>
      <c r="D4131" t="s">
        <v>138</v>
      </c>
      <c r="E4131">
        <v>2</v>
      </c>
      <c r="H4131">
        <v>8</v>
      </c>
      <c r="I4131" t="s">
        <v>139</v>
      </c>
      <c r="J4131" t="s">
        <v>136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 t="shared" si="1912"/>
        <v>14:48:46.523</v>
      </c>
      <c r="T4131" t="str">
        <f t="shared" si="1913"/>
        <v>14:48:46.223</v>
      </c>
      <c r="U4131" t="str">
        <f t="shared" si="1896"/>
        <v>A9808D</v>
      </c>
      <c r="V4131">
        <v>0</v>
      </c>
      <c r="W4131">
        <v>0</v>
      </c>
      <c r="X4131">
        <v>1</v>
      </c>
      <c r="Z4131">
        <v>0</v>
      </c>
      <c r="AA4131">
        <v>9</v>
      </c>
      <c r="AB4131">
        <v>3</v>
      </c>
      <c r="AC4131">
        <v>0</v>
      </c>
      <c r="AD4131">
        <v>10</v>
      </c>
      <c r="AE4131">
        <v>0</v>
      </c>
      <c r="AF4131">
        <v>3</v>
      </c>
      <c r="AG4131">
        <v>2</v>
      </c>
      <c r="AH4131">
        <v>0</v>
      </c>
      <c r="AI4131" t="s">
        <v>940</v>
      </c>
      <c r="AJ4131">
        <v>28.262093</v>
      </c>
      <c r="AK4131" t="s">
        <v>941</v>
      </c>
      <c r="AL4131">
        <v>-82.302361000000005</v>
      </c>
      <c r="AM4131">
        <v>100</v>
      </c>
      <c r="AN4131">
        <v>2300</v>
      </c>
      <c r="AO4131" t="s">
        <v>118</v>
      </c>
      <c r="AP4131">
        <v>-111</v>
      </c>
      <c r="AQ4131">
        <v>-88</v>
      </c>
      <c r="AR4131">
        <v>64</v>
      </c>
      <c r="AZ4131">
        <v>1200</v>
      </c>
      <c r="BA4131">
        <v>1</v>
      </c>
      <c r="BB4131" t="str">
        <f t="shared" si="1906"/>
        <v xml:space="preserve">N711JA  </v>
      </c>
      <c r="BC4131">
        <v>1</v>
      </c>
      <c r="BE4131">
        <v>0</v>
      </c>
      <c r="BF4131">
        <v>0</v>
      </c>
      <c r="BG4131">
        <v>0</v>
      </c>
      <c r="BH4131">
        <v>2325</v>
      </c>
      <c r="BI4131">
        <v>1</v>
      </c>
      <c r="BJ4131">
        <v>1</v>
      </c>
      <c r="BK4131">
        <v>0</v>
      </c>
      <c r="BL4131">
        <v>0</v>
      </c>
      <c r="BO4131">
        <v>0</v>
      </c>
      <c r="BP4131">
        <v>0</v>
      </c>
      <c r="BW4131" t="str">
        <f>"14:48:46.530"</f>
        <v>14:48:46.530</v>
      </c>
      <c r="CJ4131">
        <v>0</v>
      </c>
      <c r="CK4131">
        <v>2</v>
      </c>
      <c r="CL4131">
        <v>0</v>
      </c>
      <c r="CM4131">
        <v>2</v>
      </c>
      <c r="CN4131">
        <v>0</v>
      </c>
      <c r="CO4131">
        <v>6</v>
      </c>
      <c r="CP4131" t="s">
        <v>119</v>
      </c>
      <c r="CQ4131">
        <v>56</v>
      </c>
      <c r="CR4131">
        <v>2</v>
      </c>
      <c r="CW4131">
        <v>5110716</v>
      </c>
      <c r="CY4131">
        <v>1</v>
      </c>
      <c r="CZ4131">
        <v>0</v>
      </c>
      <c r="DA4131">
        <v>1</v>
      </c>
      <c r="DB4131">
        <v>0</v>
      </c>
      <c r="DC4131">
        <v>0</v>
      </c>
      <c r="DD4131">
        <v>1</v>
      </c>
      <c r="DE4131">
        <v>0</v>
      </c>
      <c r="DF4131">
        <v>0</v>
      </c>
      <c r="DG4131">
        <v>0</v>
      </c>
      <c r="DH4131">
        <v>0</v>
      </c>
      <c r="DI4131">
        <v>0</v>
      </c>
    </row>
    <row r="4132" spans="1:113" x14ac:dyDescent="0.3">
      <c r="A4132" t="str">
        <f t="shared" si="1911"/>
        <v>05/12/2020 14:48:28.696</v>
      </c>
      <c r="C4132" t="str">
        <f t="shared" si="1905"/>
        <v>FFDFD3C0</v>
      </c>
      <c r="D4132" t="s">
        <v>138</v>
      </c>
      <c r="E4132">
        <v>3</v>
      </c>
      <c r="H4132">
        <v>9</v>
      </c>
      <c r="I4132" t="s">
        <v>140</v>
      </c>
      <c r="J4132" t="s">
        <v>136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 t="shared" si="1912"/>
        <v>14:48:46.523</v>
      </c>
      <c r="T4132" t="str">
        <f t="shared" si="1913"/>
        <v>14:48:46.223</v>
      </c>
      <c r="U4132" t="str">
        <f t="shared" si="1896"/>
        <v>A9808D</v>
      </c>
      <c r="V4132">
        <v>0</v>
      </c>
      <c r="W4132">
        <v>0</v>
      </c>
      <c r="X4132">
        <v>1</v>
      </c>
      <c r="Z4132">
        <v>0</v>
      </c>
      <c r="AA4132">
        <v>9</v>
      </c>
      <c r="AB4132">
        <v>3</v>
      </c>
      <c r="AC4132">
        <v>0</v>
      </c>
      <c r="AD4132">
        <v>10</v>
      </c>
      <c r="AE4132">
        <v>0</v>
      </c>
      <c r="AF4132">
        <v>3</v>
      </c>
      <c r="AG4132">
        <v>2</v>
      </c>
      <c r="AH4132">
        <v>0</v>
      </c>
      <c r="AI4132" t="s">
        <v>940</v>
      </c>
      <c r="AJ4132">
        <v>28.262093</v>
      </c>
      <c r="AK4132" t="s">
        <v>941</v>
      </c>
      <c r="AL4132">
        <v>-82.302361000000005</v>
      </c>
      <c r="AM4132">
        <v>100</v>
      </c>
      <c r="AN4132">
        <v>2300</v>
      </c>
      <c r="AO4132" t="s">
        <v>118</v>
      </c>
      <c r="AP4132">
        <v>-111</v>
      </c>
      <c r="AQ4132">
        <v>-88</v>
      </c>
      <c r="AR4132">
        <v>64</v>
      </c>
      <c r="AZ4132">
        <v>1200</v>
      </c>
      <c r="BA4132">
        <v>1</v>
      </c>
      <c r="BB4132" t="str">
        <f t="shared" si="1906"/>
        <v xml:space="preserve">N711JA  </v>
      </c>
      <c r="BC4132">
        <v>1</v>
      </c>
      <c r="BE4132">
        <v>0</v>
      </c>
      <c r="BF4132">
        <v>0</v>
      </c>
      <c r="BG4132">
        <v>0</v>
      </c>
      <c r="BH4132">
        <v>2325</v>
      </c>
      <c r="BI4132">
        <v>1</v>
      </c>
      <c r="BJ4132">
        <v>1</v>
      </c>
      <c r="BK4132">
        <v>0</v>
      </c>
      <c r="BL4132">
        <v>0</v>
      </c>
      <c r="BO4132">
        <v>0</v>
      </c>
      <c r="BP4132">
        <v>0</v>
      </c>
      <c r="BW4132" t="str">
        <f>"14:48:46.529"</f>
        <v>14:48:46.529</v>
      </c>
      <c r="CJ4132">
        <v>0</v>
      </c>
      <c r="CK4132">
        <v>2</v>
      </c>
      <c r="CL4132">
        <v>0</v>
      </c>
      <c r="CM4132">
        <v>2</v>
      </c>
      <c r="CN4132">
        <v>0</v>
      </c>
      <c r="CO4132">
        <v>6</v>
      </c>
      <c r="CP4132" t="s">
        <v>119</v>
      </c>
      <c r="CQ4132">
        <v>358</v>
      </c>
      <c r="CR4132">
        <v>0</v>
      </c>
      <c r="CW4132">
        <v>5084055</v>
      </c>
      <c r="CY4132">
        <v>1</v>
      </c>
      <c r="CZ4132">
        <v>0</v>
      </c>
      <c r="DA4132">
        <v>1</v>
      </c>
      <c r="DB4132">
        <v>0</v>
      </c>
      <c r="DC4132">
        <v>0</v>
      </c>
      <c r="DD4132">
        <v>1</v>
      </c>
      <c r="DE4132">
        <v>0</v>
      </c>
      <c r="DF4132">
        <v>0</v>
      </c>
      <c r="DG4132">
        <v>0</v>
      </c>
      <c r="DH4132">
        <v>0</v>
      </c>
      <c r="DI4132">
        <v>0</v>
      </c>
    </row>
    <row r="4133" spans="1:113" x14ac:dyDescent="0.3">
      <c r="A4133" t="str">
        <f t="shared" si="1911"/>
        <v>05/12/2020 14:48:28.696</v>
      </c>
      <c r="C4133" t="str">
        <f t="shared" si="1905"/>
        <v>FFDFD3C0</v>
      </c>
      <c r="D4133" t="s">
        <v>126</v>
      </c>
      <c r="E4133">
        <v>6</v>
      </c>
      <c r="F4133">
        <v>1006</v>
      </c>
      <c r="G4133" t="s">
        <v>114</v>
      </c>
      <c r="J4133" t="s">
        <v>128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 t="shared" si="1912"/>
        <v>14:48:46.523</v>
      </c>
      <c r="T4133" t="str">
        <f t="shared" si="1913"/>
        <v>14:48:46.223</v>
      </c>
      <c r="U4133" t="str">
        <f t="shared" si="1896"/>
        <v>A9808D</v>
      </c>
      <c r="V4133">
        <v>0</v>
      </c>
      <c r="W4133">
        <v>0</v>
      </c>
      <c r="X4133">
        <v>1</v>
      </c>
      <c r="Z4133">
        <v>0</v>
      </c>
      <c r="AA4133">
        <v>9</v>
      </c>
      <c r="AB4133">
        <v>3</v>
      </c>
      <c r="AC4133">
        <v>0</v>
      </c>
      <c r="AD4133">
        <v>10</v>
      </c>
      <c r="AE4133">
        <v>0</v>
      </c>
      <c r="AF4133">
        <v>3</v>
      </c>
      <c r="AG4133">
        <v>2</v>
      </c>
      <c r="AH4133">
        <v>0</v>
      </c>
      <c r="AI4133" t="s">
        <v>940</v>
      </c>
      <c r="AJ4133">
        <v>28.262093</v>
      </c>
      <c r="AK4133" t="s">
        <v>941</v>
      </c>
      <c r="AL4133">
        <v>-82.302361000000005</v>
      </c>
      <c r="AM4133">
        <v>100</v>
      </c>
      <c r="AN4133">
        <v>2300</v>
      </c>
      <c r="AO4133" t="s">
        <v>118</v>
      </c>
      <c r="AP4133">
        <v>-111</v>
      </c>
      <c r="AQ4133">
        <v>-88</v>
      </c>
      <c r="AR4133">
        <v>64</v>
      </c>
      <c r="AZ4133">
        <v>1200</v>
      </c>
      <c r="BA4133">
        <v>1</v>
      </c>
      <c r="BB4133" t="str">
        <f t="shared" si="1906"/>
        <v xml:space="preserve">N711JA  </v>
      </c>
      <c r="BC4133">
        <v>1</v>
      </c>
      <c r="BE4133">
        <v>0</v>
      </c>
      <c r="BF4133">
        <v>0</v>
      </c>
      <c r="BG4133">
        <v>0</v>
      </c>
      <c r="BH4133">
        <v>2325</v>
      </c>
      <c r="BI4133">
        <v>1</v>
      </c>
      <c r="BJ4133">
        <v>1</v>
      </c>
      <c r="BK4133">
        <v>0</v>
      </c>
      <c r="BL4133">
        <v>0</v>
      </c>
      <c r="BO4133">
        <v>0</v>
      </c>
      <c r="BP4133">
        <v>0</v>
      </c>
      <c r="BW4133" t="str">
        <f>"14:48:46.529"</f>
        <v>14:48:46.529</v>
      </c>
      <c r="CJ4133">
        <v>0</v>
      </c>
      <c r="CK4133">
        <v>2</v>
      </c>
      <c r="CL4133">
        <v>0</v>
      </c>
      <c r="CM4133">
        <v>2</v>
      </c>
      <c r="CN4133">
        <v>0</v>
      </c>
      <c r="CO4133">
        <v>6</v>
      </c>
      <c r="CP4133" t="s">
        <v>119</v>
      </c>
      <c r="CQ4133">
        <v>358</v>
      </c>
      <c r="CR4133">
        <v>0</v>
      </c>
      <c r="CW4133">
        <v>5084055</v>
      </c>
      <c r="CY4133">
        <v>1</v>
      </c>
      <c r="CZ4133">
        <v>0</v>
      </c>
      <c r="DA4133">
        <v>1</v>
      </c>
      <c r="DB4133">
        <v>0</v>
      </c>
      <c r="DC4133">
        <v>0</v>
      </c>
      <c r="DD4133">
        <v>1</v>
      </c>
      <c r="DE4133">
        <v>0</v>
      </c>
      <c r="DF4133">
        <v>0</v>
      </c>
      <c r="DG4133">
        <v>0</v>
      </c>
      <c r="DH4133">
        <v>0</v>
      </c>
      <c r="DI4133">
        <v>0</v>
      </c>
    </row>
    <row r="4134" spans="1:113" x14ac:dyDescent="0.3">
      <c r="A4134" t="str">
        <f t="shared" si="1911"/>
        <v>05/12/2020 14:48:28.696</v>
      </c>
      <c r="C4134" t="str">
        <f t="shared" si="1905"/>
        <v>FFDFD3C0</v>
      </c>
      <c r="D4134" t="s">
        <v>126</v>
      </c>
      <c r="E4134">
        <v>7</v>
      </c>
      <c r="F4134">
        <v>1007</v>
      </c>
      <c r="G4134" t="s">
        <v>127</v>
      </c>
      <c r="J4134" t="s">
        <v>128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 t="shared" si="1912"/>
        <v>14:48:46.523</v>
      </c>
      <c r="T4134" t="str">
        <f t="shared" si="1913"/>
        <v>14:48:46.223</v>
      </c>
      <c r="U4134" t="str">
        <f t="shared" si="1896"/>
        <v>A9808D</v>
      </c>
      <c r="V4134">
        <v>0</v>
      </c>
      <c r="W4134">
        <v>0</v>
      </c>
      <c r="X4134">
        <v>1</v>
      </c>
      <c r="Z4134">
        <v>0</v>
      </c>
      <c r="AA4134">
        <v>9</v>
      </c>
      <c r="AB4134">
        <v>3</v>
      </c>
      <c r="AC4134">
        <v>0</v>
      </c>
      <c r="AD4134">
        <v>10</v>
      </c>
      <c r="AE4134">
        <v>0</v>
      </c>
      <c r="AF4134">
        <v>3</v>
      </c>
      <c r="AG4134">
        <v>2</v>
      </c>
      <c r="AH4134">
        <v>0</v>
      </c>
      <c r="AI4134" t="s">
        <v>940</v>
      </c>
      <c r="AJ4134">
        <v>28.262093</v>
      </c>
      <c r="AK4134" t="s">
        <v>941</v>
      </c>
      <c r="AL4134">
        <v>-82.302361000000005</v>
      </c>
      <c r="AM4134">
        <v>100</v>
      </c>
      <c r="AN4134">
        <v>2300</v>
      </c>
      <c r="AO4134" t="s">
        <v>118</v>
      </c>
      <c r="AP4134">
        <v>-111</v>
      </c>
      <c r="AQ4134">
        <v>-88</v>
      </c>
      <c r="AR4134">
        <v>64</v>
      </c>
      <c r="AZ4134">
        <v>1200</v>
      </c>
      <c r="BA4134">
        <v>1</v>
      </c>
      <c r="BB4134" t="str">
        <f t="shared" si="1906"/>
        <v xml:space="preserve">N711JA  </v>
      </c>
      <c r="BC4134">
        <v>1</v>
      </c>
      <c r="BE4134">
        <v>0</v>
      </c>
      <c r="BF4134">
        <v>0</v>
      </c>
      <c r="BG4134">
        <v>0</v>
      </c>
      <c r="BH4134">
        <v>2325</v>
      </c>
      <c r="BI4134">
        <v>1</v>
      </c>
      <c r="BJ4134">
        <v>1</v>
      </c>
      <c r="BK4134">
        <v>0</v>
      </c>
      <c r="BL4134">
        <v>0</v>
      </c>
      <c r="BO4134">
        <v>0</v>
      </c>
      <c r="BP4134">
        <v>0</v>
      </c>
      <c r="BW4134" t="str">
        <f>"14:48:46.529"</f>
        <v>14:48:46.529</v>
      </c>
      <c r="CJ4134">
        <v>0</v>
      </c>
      <c r="CK4134">
        <v>2</v>
      </c>
      <c r="CL4134">
        <v>0</v>
      </c>
      <c r="CM4134">
        <v>2</v>
      </c>
      <c r="CN4134">
        <v>0</v>
      </c>
      <c r="CO4134">
        <v>6</v>
      </c>
      <c r="CP4134" t="s">
        <v>119</v>
      </c>
      <c r="CQ4134">
        <v>358</v>
      </c>
      <c r="CR4134">
        <v>0</v>
      </c>
      <c r="CW4134">
        <v>5084055</v>
      </c>
      <c r="CY4134">
        <v>1</v>
      </c>
      <c r="CZ4134">
        <v>0</v>
      </c>
      <c r="DA4134">
        <v>1</v>
      </c>
      <c r="DB4134">
        <v>0</v>
      </c>
      <c r="DC4134">
        <v>0</v>
      </c>
      <c r="DD4134">
        <v>1</v>
      </c>
      <c r="DE4134">
        <v>0</v>
      </c>
      <c r="DF4134">
        <v>0</v>
      </c>
      <c r="DG4134">
        <v>0</v>
      </c>
      <c r="DH4134">
        <v>0</v>
      </c>
      <c r="DI4134">
        <v>0</v>
      </c>
    </row>
    <row r="4135" spans="1:113" x14ac:dyDescent="0.3">
      <c r="A4135" t="str">
        <f t="shared" si="1911"/>
        <v>05/12/2020 14:48:28.696</v>
      </c>
      <c r="C4135" t="str">
        <f t="shared" si="1905"/>
        <v>FFDFD3C0</v>
      </c>
      <c r="D4135" t="s">
        <v>131</v>
      </c>
      <c r="E4135">
        <v>12</v>
      </c>
      <c r="F4135">
        <v>2012</v>
      </c>
      <c r="G4135" t="s">
        <v>137</v>
      </c>
      <c r="J4135" t="s">
        <v>133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 t="shared" si="1912"/>
        <v>14:48:46.523</v>
      </c>
      <c r="T4135" t="str">
        <f t="shared" si="1913"/>
        <v>14:48:46.223</v>
      </c>
      <c r="U4135" t="str">
        <f t="shared" si="1896"/>
        <v>A9808D</v>
      </c>
      <c r="V4135">
        <v>0</v>
      </c>
      <c r="W4135">
        <v>0</v>
      </c>
      <c r="X4135">
        <v>1</v>
      </c>
      <c r="Z4135">
        <v>0</v>
      </c>
      <c r="AA4135">
        <v>9</v>
      </c>
      <c r="AB4135">
        <v>3</v>
      </c>
      <c r="AC4135">
        <v>0</v>
      </c>
      <c r="AD4135">
        <v>10</v>
      </c>
      <c r="AE4135">
        <v>0</v>
      </c>
      <c r="AF4135">
        <v>3</v>
      </c>
      <c r="AG4135">
        <v>2</v>
      </c>
      <c r="AH4135">
        <v>0</v>
      </c>
      <c r="AI4135" t="s">
        <v>940</v>
      </c>
      <c r="AJ4135">
        <v>28.262093</v>
      </c>
      <c r="AK4135" t="s">
        <v>941</v>
      </c>
      <c r="AL4135">
        <v>-82.302361000000005</v>
      </c>
      <c r="AM4135">
        <v>100</v>
      </c>
      <c r="AN4135">
        <v>2300</v>
      </c>
      <c r="AO4135" t="s">
        <v>118</v>
      </c>
      <c r="AP4135">
        <v>-111</v>
      </c>
      <c r="AQ4135">
        <v>-88</v>
      </c>
      <c r="AR4135">
        <v>64</v>
      </c>
      <c r="AZ4135">
        <v>1200</v>
      </c>
      <c r="BA4135">
        <v>1</v>
      </c>
      <c r="BB4135" t="str">
        <f t="shared" si="1906"/>
        <v xml:space="preserve">N711JA  </v>
      </c>
      <c r="BC4135">
        <v>1</v>
      </c>
      <c r="BE4135">
        <v>0</v>
      </c>
      <c r="BF4135">
        <v>0</v>
      </c>
      <c r="BG4135">
        <v>0</v>
      </c>
      <c r="BH4135">
        <v>2325</v>
      </c>
      <c r="BI4135">
        <v>1</v>
      </c>
      <c r="BJ4135">
        <v>1</v>
      </c>
      <c r="BK4135">
        <v>0</v>
      </c>
      <c r="BL4135">
        <v>0</v>
      </c>
      <c r="BO4135">
        <v>0</v>
      </c>
      <c r="BP4135">
        <v>0</v>
      </c>
      <c r="BW4135" t="str">
        <f>"14:48:46.530"</f>
        <v>14:48:46.530</v>
      </c>
      <c r="CJ4135">
        <v>0</v>
      </c>
      <c r="CK4135">
        <v>2</v>
      </c>
      <c r="CL4135">
        <v>0</v>
      </c>
      <c r="CM4135">
        <v>2</v>
      </c>
      <c r="CN4135">
        <v>0</v>
      </c>
      <c r="CO4135">
        <v>6</v>
      </c>
      <c r="CP4135" t="s">
        <v>119</v>
      </c>
      <c r="CQ4135">
        <v>56</v>
      </c>
      <c r="CR4135">
        <v>2</v>
      </c>
      <c r="CW4135">
        <v>5110716</v>
      </c>
      <c r="CY4135">
        <v>1</v>
      </c>
      <c r="CZ4135">
        <v>0</v>
      </c>
      <c r="DA4135">
        <v>1</v>
      </c>
      <c r="DB4135">
        <v>0</v>
      </c>
      <c r="DC4135">
        <v>0</v>
      </c>
      <c r="DD4135">
        <v>1</v>
      </c>
      <c r="DE4135">
        <v>0</v>
      </c>
      <c r="DF4135">
        <v>0</v>
      </c>
      <c r="DG4135">
        <v>0</v>
      </c>
      <c r="DH4135">
        <v>0</v>
      </c>
      <c r="DI4135">
        <v>0</v>
      </c>
    </row>
    <row r="4136" spans="1:113" x14ac:dyDescent="0.3">
      <c r="A4136" t="str">
        <f t="shared" si="1911"/>
        <v>05/12/2020 14:48:28.696</v>
      </c>
      <c r="C4136" t="str">
        <f t="shared" si="1905"/>
        <v>FFDFD3C0</v>
      </c>
      <c r="D4136" t="s">
        <v>131</v>
      </c>
      <c r="E4136">
        <v>10</v>
      </c>
      <c r="F4136">
        <v>2010</v>
      </c>
      <c r="G4136" t="s">
        <v>132</v>
      </c>
      <c r="J4136" t="s">
        <v>133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 t="shared" si="1912"/>
        <v>14:48:46.523</v>
      </c>
      <c r="T4136" t="str">
        <f t="shared" si="1913"/>
        <v>14:48:46.223</v>
      </c>
      <c r="U4136" t="str">
        <f t="shared" si="1896"/>
        <v>A9808D</v>
      </c>
      <c r="V4136">
        <v>0</v>
      </c>
      <c r="W4136">
        <v>0</v>
      </c>
      <c r="X4136">
        <v>1</v>
      </c>
      <c r="Z4136">
        <v>0</v>
      </c>
      <c r="AA4136">
        <v>9</v>
      </c>
      <c r="AB4136">
        <v>3</v>
      </c>
      <c r="AC4136">
        <v>0</v>
      </c>
      <c r="AD4136">
        <v>10</v>
      </c>
      <c r="AE4136">
        <v>0</v>
      </c>
      <c r="AF4136">
        <v>3</v>
      </c>
      <c r="AG4136">
        <v>2</v>
      </c>
      <c r="AH4136">
        <v>0</v>
      </c>
      <c r="AI4136" t="s">
        <v>940</v>
      </c>
      <c r="AJ4136">
        <v>28.262093</v>
      </c>
      <c r="AK4136" t="s">
        <v>941</v>
      </c>
      <c r="AL4136">
        <v>-82.302361000000005</v>
      </c>
      <c r="AM4136">
        <v>100</v>
      </c>
      <c r="AN4136">
        <v>2300</v>
      </c>
      <c r="AO4136" t="s">
        <v>118</v>
      </c>
      <c r="AP4136">
        <v>-111</v>
      </c>
      <c r="AQ4136">
        <v>-88</v>
      </c>
      <c r="AR4136">
        <v>64</v>
      </c>
      <c r="AZ4136">
        <v>1200</v>
      </c>
      <c r="BA4136">
        <v>1</v>
      </c>
      <c r="BB4136" t="str">
        <f t="shared" si="1906"/>
        <v xml:space="preserve">N711JA  </v>
      </c>
      <c r="BC4136">
        <v>1</v>
      </c>
      <c r="BE4136">
        <v>0</v>
      </c>
      <c r="BF4136">
        <v>0</v>
      </c>
      <c r="BG4136">
        <v>0</v>
      </c>
      <c r="BH4136">
        <v>2325</v>
      </c>
      <c r="BI4136">
        <v>1</v>
      </c>
      <c r="BJ4136">
        <v>1</v>
      </c>
      <c r="BK4136">
        <v>0</v>
      </c>
      <c r="BL4136">
        <v>0</v>
      </c>
      <c r="BO4136">
        <v>0</v>
      </c>
      <c r="BP4136">
        <v>0</v>
      </c>
      <c r="BW4136" t="str">
        <f>"14:48:46.529"</f>
        <v>14:48:46.529</v>
      </c>
      <c r="CJ4136">
        <v>0</v>
      </c>
      <c r="CK4136">
        <v>2</v>
      </c>
      <c r="CL4136">
        <v>0</v>
      </c>
      <c r="CM4136">
        <v>2</v>
      </c>
      <c r="CN4136">
        <v>0</v>
      </c>
      <c r="CO4136">
        <v>6</v>
      </c>
      <c r="CP4136" t="s">
        <v>119</v>
      </c>
      <c r="CQ4136">
        <v>358</v>
      </c>
      <c r="CR4136">
        <v>0</v>
      </c>
      <c r="CW4136">
        <v>5084055</v>
      </c>
      <c r="CY4136">
        <v>1</v>
      </c>
      <c r="CZ4136">
        <v>0</v>
      </c>
      <c r="DA4136">
        <v>1</v>
      </c>
      <c r="DB4136">
        <v>0</v>
      </c>
      <c r="DC4136">
        <v>0</v>
      </c>
      <c r="DD4136">
        <v>1</v>
      </c>
      <c r="DE4136">
        <v>0</v>
      </c>
      <c r="DF4136">
        <v>0</v>
      </c>
      <c r="DG4136">
        <v>0</v>
      </c>
      <c r="DH4136">
        <v>0</v>
      </c>
      <c r="DI4136">
        <v>0</v>
      </c>
    </row>
    <row r="4137" spans="1:113" x14ac:dyDescent="0.3">
      <c r="A4137" t="str">
        <f t="shared" ref="A4137:A4145" si="1914">"05/12/2020 14:48:29.801"</f>
        <v>05/12/2020 14:48:29.801</v>
      </c>
      <c r="C4137" t="str">
        <f t="shared" si="1905"/>
        <v>FFDFD3C0</v>
      </c>
      <c r="D4137" t="s">
        <v>131</v>
      </c>
      <c r="E4137">
        <v>18</v>
      </c>
      <c r="F4137">
        <v>2018</v>
      </c>
      <c r="G4137" t="s">
        <v>161</v>
      </c>
      <c r="J4137" t="s">
        <v>133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 t="shared" ref="S4137:S4145" si="1915">"14:48:47.625"</f>
        <v>14:48:47.625</v>
      </c>
      <c r="T4137" t="str">
        <f t="shared" ref="T4137:T4145" si="1916">"14:48:47.325"</f>
        <v>14:48:47.325</v>
      </c>
      <c r="U4137" t="str">
        <f t="shared" si="1896"/>
        <v>A9808D</v>
      </c>
      <c r="V4137">
        <v>0</v>
      </c>
      <c r="W4137">
        <v>0</v>
      </c>
      <c r="X4137">
        <v>1</v>
      </c>
      <c r="Z4137">
        <v>0</v>
      </c>
      <c r="AA4137">
        <v>9</v>
      </c>
      <c r="AB4137">
        <v>3</v>
      </c>
      <c r="AC4137">
        <v>0</v>
      </c>
      <c r="AD4137">
        <v>10</v>
      </c>
      <c r="AE4137">
        <v>0</v>
      </c>
      <c r="AF4137">
        <v>3</v>
      </c>
      <c r="AG4137">
        <v>2</v>
      </c>
      <c r="AH4137">
        <v>0</v>
      </c>
      <c r="AI4137" t="s">
        <v>942</v>
      </c>
      <c r="AJ4137">
        <v>28.261685</v>
      </c>
      <c r="AK4137" t="s">
        <v>943</v>
      </c>
      <c r="AL4137">
        <v>-82.302918000000005</v>
      </c>
      <c r="AM4137">
        <v>100</v>
      </c>
      <c r="AN4137">
        <v>2300</v>
      </c>
      <c r="AO4137" t="s">
        <v>118</v>
      </c>
      <c r="AP4137">
        <v>-110</v>
      </c>
      <c r="AQ4137">
        <v>-89</v>
      </c>
      <c r="AR4137">
        <v>64</v>
      </c>
      <c r="AZ4137">
        <v>1200</v>
      </c>
      <c r="BA4137">
        <v>1</v>
      </c>
      <c r="BB4137" t="str">
        <f t="shared" si="1906"/>
        <v xml:space="preserve">N711JA  </v>
      </c>
      <c r="BC4137">
        <v>1</v>
      </c>
      <c r="BE4137">
        <v>0</v>
      </c>
      <c r="BF4137">
        <v>0</v>
      </c>
      <c r="BG4137">
        <v>0</v>
      </c>
      <c r="BH4137">
        <v>2325</v>
      </c>
      <c r="BI4137">
        <v>1</v>
      </c>
      <c r="BJ4137">
        <v>1</v>
      </c>
      <c r="BK4137">
        <v>0</v>
      </c>
      <c r="BL4137">
        <v>0</v>
      </c>
      <c r="BO4137">
        <v>0</v>
      </c>
      <c r="BP4137">
        <v>0</v>
      </c>
      <c r="BW4137" t="str">
        <f t="shared" ref="BW4137:BW4145" si="1917">"14:48:47.629"</f>
        <v>14:48:47.629</v>
      </c>
      <c r="CJ4137">
        <v>0</v>
      </c>
      <c r="CK4137">
        <v>2</v>
      </c>
      <c r="CL4137">
        <v>0</v>
      </c>
      <c r="CM4137">
        <v>2</v>
      </c>
      <c r="CN4137">
        <v>0</v>
      </c>
      <c r="CO4137">
        <v>6</v>
      </c>
      <c r="CP4137" t="s">
        <v>119</v>
      </c>
      <c r="CQ4137">
        <v>56</v>
      </c>
      <c r="CR4137">
        <v>2</v>
      </c>
      <c r="CW4137">
        <v>5112134</v>
      </c>
      <c r="CY4137">
        <v>1</v>
      </c>
      <c r="CZ4137">
        <v>0</v>
      </c>
      <c r="DA4137">
        <v>0</v>
      </c>
      <c r="DB4137">
        <v>0</v>
      </c>
      <c r="DC4137">
        <v>0</v>
      </c>
      <c r="DD4137">
        <v>1</v>
      </c>
      <c r="DE4137">
        <v>0</v>
      </c>
      <c r="DF4137">
        <v>0</v>
      </c>
      <c r="DG4137">
        <v>0</v>
      </c>
      <c r="DH4137">
        <v>0</v>
      </c>
      <c r="DI4137">
        <v>0</v>
      </c>
    </row>
    <row r="4138" spans="1:113" x14ac:dyDescent="0.3">
      <c r="A4138" t="str">
        <f t="shared" si="1914"/>
        <v>05/12/2020 14:48:29.801</v>
      </c>
      <c r="C4138" t="str">
        <f t="shared" si="1905"/>
        <v>FFDFD3C0</v>
      </c>
      <c r="D4138" t="s">
        <v>134</v>
      </c>
      <c r="E4138">
        <v>12</v>
      </c>
      <c r="H4138">
        <v>64</v>
      </c>
      <c r="I4138" t="s">
        <v>135</v>
      </c>
      <c r="J4138" t="s">
        <v>136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 t="shared" si="1915"/>
        <v>14:48:47.625</v>
      </c>
      <c r="T4138" t="str">
        <f t="shared" si="1916"/>
        <v>14:48:47.325</v>
      </c>
      <c r="U4138" t="str">
        <f t="shared" si="1896"/>
        <v>A9808D</v>
      </c>
      <c r="V4138">
        <v>0</v>
      </c>
      <c r="W4138">
        <v>0</v>
      </c>
      <c r="X4138">
        <v>1</v>
      </c>
      <c r="Z4138">
        <v>0</v>
      </c>
      <c r="AA4138">
        <v>9</v>
      </c>
      <c r="AB4138">
        <v>3</v>
      </c>
      <c r="AC4138">
        <v>0</v>
      </c>
      <c r="AD4138">
        <v>10</v>
      </c>
      <c r="AE4138">
        <v>0</v>
      </c>
      <c r="AF4138">
        <v>3</v>
      </c>
      <c r="AG4138">
        <v>2</v>
      </c>
      <c r="AH4138">
        <v>0</v>
      </c>
      <c r="AI4138" t="s">
        <v>942</v>
      </c>
      <c r="AJ4138">
        <v>28.261685</v>
      </c>
      <c r="AK4138" t="s">
        <v>943</v>
      </c>
      <c r="AL4138">
        <v>-82.302918000000005</v>
      </c>
      <c r="AM4138">
        <v>100</v>
      </c>
      <c r="AN4138">
        <v>2300</v>
      </c>
      <c r="AO4138" t="s">
        <v>118</v>
      </c>
      <c r="AP4138">
        <v>-110</v>
      </c>
      <c r="AQ4138">
        <v>-89</v>
      </c>
      <c r="AR4138">
        <v>64</v>
      </c>
      <c r="AZ4138">
        <v>1200</v>
      </c>
      <c r="BA4138">
        <v>1</v>
      </c>
      <c r="BB4138" t="str">
        <f t="shared" si="1906"/>
        <v xml:space="preserve">N711JA  </v>
      </c>
      <c r="BC4138">
        <v>1</v>
      </c>
      <c r="BE4138">
        <v>0</v>
      </c>
      <c r="BF4138">
        <v>0</v>
      </c>
      <c r="BG4138">
        <v>0</v>
      </c>
      <c r="BH4138">
        <v>2325</v>
      </c>
      <c r="BI4138">
        <v>1</v>
      </c>
      <c r="BJ4138">
        <v>1</v>
      </c>
      <c r="BK4138">
        <v>0</v>
      </c>
      <c r="BL4138">
        <v>0</v>
      </c>
      <c r="BO4138">
        <v>0</v>
      </c>
      <c r="BP4138">
        <v>0</v>
      </c>
      <c r="BW4138" t="str">
        <f t="shared" si="1917"/>
        <v>14:48:47.629</v>
      </c>
      <c r="CJ4138">
        <v>0</v>
      </c>
      <c r="CK4138">
        <v>2</v>
      </c>
      <c r="CL4138">
        <v>0</v>
      </c>
      <c r="CM4138">
        <v>2</v>
      </c>
      <c r="CN4138">
        <v>0</v>
      </c>
      <c r="CO4138">
        <v>6</v>
      </c>
      <c r="CP4138" t="s">
        <v>119</v>
      </c>
      <c r="CQ4138">
        <v>358</v>
      </c>
      <c r="CR4138">
        <v>0</v>
      </c>
      <c r="CW4138">
        <v>5085399</v>
      </c>
      <c r="CY4138">
        <v>1</v>
      </c>
      <c r="CZ4138">
        <v>0</v>
      </c>
      <c r="DA4138">
        <v>1</v>
      </c>
      <c r="DB4138">
        <v>0</v>
      </c>
      <c r="DC4138">
        <v>0</v>
      </c>
      <c r="DD4138">
        <v>1</v>
      </c>
      <c r="DE4138">
        <v>0</v>
      </c>
      <c r="DF4138">
        <v>0</v>
      </c>
      <c r="DG4138">
        <v>0</v>
      </c>
      <c r="DH4138">
        <v>0</v>
      </c>
      <c r="DI4138">
        <v>0</v>
      </c>
    </row>
    <row r="4139" spans="1:113" x14ac:dyDescent="0.3">
      <c r="A4139" t="str">
        <f t="shared" si="1914"/>
        <v>05/12/2020 14:48:29.801</v>
      </c>
      <c r="C4139" t="str">
        <f t="shared" si="1905"/>
        <v>FFDFD3C0</v>
      </c>
      <c r="D4139" t="s">
        <v>113</v>
      </c>
      <c r="E4139">
        <v>3</v>
      </c>
      <c r="H4139">
        <v>164</v>
      </c>
      <c r="I4139" t="s">
        <v>114</v>
      </c>
      <c r="J4139" t="s">
        <v>115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 t="shared" si="1915"/>
        <v>14:48:47.625</v>
      </c>
      <c r="T4139" t="str">
        <f t="shared" si="1916"/>
        <v>14:48:47.325</v>
      </c>
      <c r="U4139" t="str">
        <f t="shared" si="1896"/>
        <v>A9808D</v>
      </c>
      <c r="V4139">
        <v>0</v>
      </c>
      <c r="W4139">
        <v>0</v>
      </c>
      <c r="X4139">
        <v>1</v>
      </c>
      <c r="Z4139">
        <v>0</v>
      </c>
      <c r="AA4139">
        <v>9</v>
      </c>
      <c r="AB4139">
        <v>3</v>
      </c>
      <c r="AC4139">
        <v>0</v>
      </c>
      <c r="AD4139">
        <v>10</v>
      </c>
      <c r="AE4139">
        <v>0</v>
      </c>
      <c r="AF4139">
        <v>3</v>
      </c>
      <c r="AG4139">
        <v>2</v>
      </c>
      <c r="AH4139">
        <v>0</v>
      </c>
      <c r="AI4139" t="s">
        <v>942</v>
      </c>
      <c r="AJ4139">
        <v>28.261685</v>
      </c>
      <c r="AK4139" t="s">
        <v>943</v>
      </c>
      <c r="AL4139">
        <v>-82.302918000000005</v>
      </c>
      <c r="AM4139">
        <v>100</v>
      </c>
      <c r="AN4139">
        <v>2300</v>
      </c>
      <c r="AO4139" t="s">
        <v>118</v>
      </c>
      <c r="AP4139">
        <v>-110</v>
      </c>
      <c r="AQ4139">
        <v>-89</v>
      </c>
      <c r="AR4139">
        <v>64</v>
      </c>
      <c r="AZ4139">
        <v>1200</v>
      </c>
      <c r="BA4139">
        <v>1</v>
      </c>
      <c r="BB4139" t="str">
        <f t="shared" si="1906"/>
        <v xml:space="preserve">N711JA  </v>
      </c>
      <c r="BC4139">
        <v>1</v>
      </c>
      <c r="BE4139">
        <v>0</v>
      </c>
      <c r="BF4139">
        <v>0</v>
      </c>
      <c r="BG4139">
        <v>0</v>
      </c>
      <c r="BH4139">
        <v>2325</v>
      </c>
      <c r="BI4139">
        <v>1</v>
      </c>
      <c r="BJ4139">
        <v>1</v>
      </c>
      <c r="BK4139">
        <v>0</v>
      </c>
      <c r="BL4139">
        <v>0</v>
      </c>
      <c r="BO4139">
        <v>0</v>
      </c>
      <c r="BP4139">
        <v>0</v>
      </c>
      <c r="BW4139" t="str">
        <f t="shared" si="1917"/>
        <v>14:48:47.629</v>
      </c>
      <c r="CJ4139">
        <v>0</v>
      </c>
      <c r="CK4139">
        <v>2</v>
      </c>
      <c r="CL4139">
        <v>0</v>
      </c>
      <c r="CM4139">
        <v>2</v>
      </c>
      <c r="CN4139">
        <v>0</v>
      </c>
      <c r="CO4139">
        <v>6</v>
      </c>
      <c r="CP4139" t="s">
        <v>119</v>
      </c>
      <c r="CQ4139">
        <v>56</v>
      </c>
      <c r="CR4139">
        <v>2</v>
      </c>
      <c r="CW4139">
        <v>5112134</v>
      </c>
      <c r="CY4139">
        <v>1</v>
      </c>
      <c r="CZ4139">
        <v>0</v>
      </c>
      <c r="DA4139">
        <v>1</v>
      </c>
      <c r="DB4139">
        <v>0</v>
      </c>
      <c r="DC4139">
        <v>0</v>
      </c>
      <c r="DD4139">
        <v>1</v>
      </c>
      <c r="DE4139">
        <v>0</v>
      </c>
      <c r="DF4139">
        <v>0</v>
      </c>
      <c r="DG4139">
        <v>0</v>
      </c>
      <c r="DH4139">
        <v>0</v>
      </c>
      <c r="DI4139">
        <v>0</v>
      </c>
    </row>
    <row r="4140" spans="1:113" x14ac:dyDescent="0.3">
      <c r="A4140" t="str">
        <f t="shared" si="1914"/>
        <v>05/12/2020 14:48:29.801</v>
      </c>
      <c r="C4140" t="str">
        <f t="shared" si="1905"/>
        <v>FFDFD3C0</v>
      </c>
      <c r="D4140" t="s">
        <v>138</v>
      </c>
      <c r="E4140">
        <v>3</v>
      </c>
      <c r="H4140">
        <v>9</v>
      </c>
      <c r="I4140" t="s">
        <v>140</v>
      </c>
      <c r="J4140" t="s">
        <v>136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 t="shared" si="1915"/>
        <v>14:48:47.625</v>
      </c>
      <c r="T4140" t="str">
        <f t="shared" si="1916"/>
        <v>14:48:47.325</v>
      </c>
      <c r="U4140" t="str">
        <f t="shared" si="1896"/>
        <v>A9808D</v>
      </c>
      <c r="V4140">
        <v>0</v>
      </c>
      <c r="W4140">
        <v>0</v>
      </c>
      <c r="X4140">
        <v>1</v>
      </c>
      <c r="Z4140">
        <v>0</v>
      </c>
      <c r="AA4140">
        <v>9</v>
      </c>
      <c r="AB4140">
        <v>3</v>
      </c>
      <c r="AC4140">
        <v>0</v>
      </c>
      <c r="AD4140">
        <v>10</v>
      </c>
      <c r="AE4140">
        <v>0</v>
      </c>
      <c r="AF4140">
        <v>3</v>
      </c>
      <c r="AG4140">
        <v>2</v>
      </c>
      <c r="AH4140">
        <v>0</v>
      </c>
      <c r="AI4140" t="s">
        <v>942</v>
      </c>
      <c r="AJ4140">
        <v>28.261685</v>
      </c>
      <c r="AK4140" t="s">
        <v>943</v>
      </c>
      <c r="AL4140">
        <v>-82.302918000000005</v>
      </c>
      <c r="AM4140">
        <v>100</v>
      </c>
      <c r="AN4140">
        <v>2300</v>
      </c>
      <c r="AO4140" t="s">
        <v>118</v>
      </c>
      <c r="AP4140">
        <v>-110</v>
      </c>
      <c r="AQ4140">
        <v>-89</v>
      </c>
      <c r="AR4140">
        <v>64</v>
      </c>
      <c r="AZ4140">
        <v>1200</v>
      </c>
      <c r="BA4140">
        <v>1</v>
      </c>
      <c r="BB4140" t="str">
        <f t="shared" si="1906"/>
        <v xml:space="preserve">N711JA  </v>
      </c>
      <c r="BC4140">
        <v>1</v>
      </c>
      <c r="BE4140">
        <v>0</v>
      </c>
      <c r="BF4140">
        <v>0</v>
      </c>
      <c r="BG4140">
        <v>0</v>
      </c>
      <c r="BH4140">
        <v>2325</v>
      </c>
      <c r="BI4140">
        <v>1</v>
      </c>
      <c r="BJ4140">
        <v>1</v>
      </c>
      <c r="BK4140">
        <v>0</v>
      </c>
      <c r="BL4140">
        <v>0</v>
      </c>
      <c r="BO4140">
        <v>0</v>
      </c>
      <c r="BP4140">
        <v>0</v>
      </c>
      <c r="BW4140" t="str">
        <f t="shared" si="1917"/>
        <v>14:48:47.629</v>
      </c>
      <c r="CJ4140">
        <v>0</v>
      </c>
      <c r="CK4140">
        <v>2</v>
      </c>
      <c r="CL4140">
        <v>0</v>
      </c>
      <c r="CM4140">
        <v>2</v>
      </c>
      <c r="CN4140">
        <v>0</v>
      </c>
      <c r="CO4140">
        <v>6</v>
      </c>
      <c r="CP4140" t="s">
        <v>119</v>
      </c>
      <c r="CQ4140">
        <v>56</v>
      </c>
      <c r="CR4140">
        <v>2</v>
      </c>
      <c r="CW4140">
        <v>5112134</v>
      </c>
      <c r="CY4140">
        <v>1</v>
      </c>
      <c r="CZ4140">
        <v>0</v>
      </c>
      <c r="DA4140">
        <v>1</v>
      </c>
      <c r="DB4140">
        <v>0</v>
      </c>
      <c r="DC4140">
        <v>0</v>
      </c>
      <c r="DD4140">
        <v>1</v>
      </c>
      <c r="DE4140">
        <v>0</v>
      </c>
      <c r="DF4140">
        <v>0</v>
      </c>
      <c r="DG4140">
        <v>0</v>
      </c>
      <c r="DH4140">
        <v>0</v>
      </c>
      <c r="DI4140">
        <v>0</v>
      </c>
    </row>
    <row r="4141" spans="1:113" x14ac:dyDescent="0.3">
      <c r="A4141" t="str">
        <f t="shared" si="1914"/>
        <v>05/12/2020 14:48:29.801</v>
      </c>
      <c r="C4141" t="str">
        <f t="shared" si="1905"/>
        <v>FFDFD3C0</v>
      </c>
      <c r="D4141" t="s">
        <v>138</v>
      </c>
      <c r="E4141">
        <v>2</v>
      </c>
      <c r="H4141">
        <v>8</v>
      </c>
      <c r="I4141" t="s">
        <v>139</v>
      </c>
      <c r="J4141" t="s">
        <v>136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 t="shared" si="1915"/>
        <v>14:48:47.625</v>
      </c>
      <c r="T4141" t="str">
        <f t="shared" si="1916"/>
        <v>14:48:47.325</v>
      </c>
      <c r="U4141" t="str">
        <f t="shared" si="1896"/>
        <v>A9808D</v>
      </c>
      <c r="V4141">
        <v>0</v>
      </c>
      <c r="W4141">
        <v>0</v>
      </c>
      <c r="X4141">
        <v>1</v>
      </c>
      <c r="Z4141">
        <v>0</v>
      </c>
      <c r="AA4141">
        <v>9</v>
      </c>
      <c r="AB4141">
        <v>3</v>
      </c>
      <c r="AC4141">
        <v>0</v>
      </c>
      <c r="AD4141">
        <v>10</v>
      </c>
      <c r="AE4141">
        <v>0</v>
      </c>
      <c r="AF4141">
        <v>3</v>
      </c>
      <c r="AG4141">
        <v>2</v>
      </c>
      <c r="AH4141">
        <v>0</v>
      </c>
      <c r="AI4141" t="s">
        <v>942</v>
      </c>
      <c r="AJ4141">
        <v>28.261685</v>
      </c>
      <c r="AK4141" t="s">
        <v>943</v>
      </c>
      <c r="AL4141">
        <v>-82.302918000000005</v>
      </c>
      <c r="AM4141">
        <v>100</v>
      </c>
      <c r="AN4141">
        <v>2300</v>
      </c>
      <c r="AO4141" t="s">
        <v>118</v>
      </c>
      <c r="AP4141">
        <v>-110</v>
      </c>
      <c r="AQ4141">
        <v>-89</v>
      </c>
      <c r="AR4141">
        <v>64</v>
      </c>
      <c r="AZ4141">
        <v>1200</v>
      </c>
      <c r="BA4141">
        <v>1</v>
      </c>
      <c r="BB4141" t="str">
        <f t="shared" si="1906"/>
        <v xml:space="preserve">N711JA  </v>
      </c>
      <c r="BC4141">
        <v>1</v>
      </c>
      <c r="BE4141">
        <v>0</v>
      </c>
      <c r="BF4141">
        <v>0</v>
      </c>
      <c r="BG4141">
        <v>0</v>
      </c>
      <c r="BH4141">
        <v>2325</v>
      </c>
      <c r="BI4141">
        <v>1</v>
      </c>
      <c r="BJ4141">
        <v>1</v>
      </c>
      <c r="BK4141">
        <v>0</v>
      </c>
      <c r="BL4141">
        <v>0</v>
      </c>
      <c r="BO4141">
        <v>0</v>
      </c>
      <c r="BP4141">
        <v>0</v>
      </c>
      <c r="BW4141" t="str">
        <f t="shared" si="1917"/>
        <v>14:48:47.629</v>
      </c>
      <c r="CJ4141">
        <v>0</v>
      </c>
      <c r="CK4141">
        <v>2</v>
      </c>
      <c r="CL4141">
        <v>0</v>
      </c>
      <c r="CM4141">
        <v>2</v>
      </c>
      <c r="CN4141">
        <v>0</v>
      </c>
      <c r="CO4141">
        <v>6</v>
      </c>
      <c r="CP4141" t="s">
        <v>119</v>
      </c>
      <c r="CQ4141">
        <v>56</v>
      </c>
      <c r="CR4141">
        <v>2</v>
      </c>
      <c r="CW4141">
        <v>5112134</v>
      </c>
      <c r="CY4141">
        <v>1</v>
      </c>
      <c r="CZ4141">
        <v>0</v>
      </c>
      <c r="DA4141">
        <v>1</v>
      </c>
      <c r="DB4141">
        <v>0</v>
      </c>
      <c r="DC4141">
        <v>0</v>
      </c>
      <c r="DD4141">
        <v>1</v>
      </c>
      <c r="DE4141">
        <v>0</v>
      </c>
      <c r="DF4141">
        <v>0</v>
      </c>
      <c r="DG4141">
        <v>0</v>
      </c>
      <c r="DH4141">
        <v>0</v>
      </c>
      <c r="DI4141">
        <v>0</v>
      </c>
    </row>
    <row r="4142" spans="1:113" x14ac:dyDescent="0.3">
      <c r="A4142" t="str">
        <f t="shared" si="1914"/>
        <v>05/12/2020 14:48:29.801</v>
      </c>
      <c r="C4142" t="str">
        <f t="shared" si="1905"/>
        <v>FFDFD3C0</v>
      </c>
      <c r="D4142" t="s">
        <v>126</v>
      </c>
      <c r="E4142">
        <v>6</v>
      </c>
      <c r="F4142">
        <v>1006</v>
      </c>
      <c r="G4142" t="s">
        <v>114</v>
      </c>
      <c r="J4142" t="s">
        <v>128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 t="shared" si="1915"/>
        <v>14:48:47.625</v>
      </c>
      <c r="T4142" t="str">
        <f t="shared" si="1916"/>
        <v>14:48:47.325</v>
      </c>
      <c r="U4142" t="str">
        <f t="shared" si="1896"/>
        <v>A9808D</v>
      </c>
      <c r="V4142">
        <v>0</v>
      </c>
      <c r="W4142">
        <v>0</v>
      </c>
      <c r="X4142">
        <v>1</v>
      </c>
      <c r="Z4142">
        <v>0</v>
      </c>
      <c r="AA4142">
        <v>9</v>
      </c>
      <c r="AB4142">
        <v>3</v>
      </c>
      <c r="AC4142">
        <v>0</v>
      </c>
      <c r="AD4142">
        <v>10</v>
      </c>
      <c r="AE4142">
        <v>0</v>
      </c>
      <c r="AF4142">
        <v>3</v>
      </c>
      <c r="AG4142">
        <v>2</v>
      </c>
      <c r="AH4142">
        <v>0</v>
      </c>
      <c r="AI4142" t="s">
        <v>942</v>
      </c>
      <c r="AJ4142">
        <v>28.261685</v>
      </c>
      <c r="AK4142" t="s">
        <v>943</v>
      </c>
      <c r="AL4142">
        <v>-82.302918000000005</v>
      </c>
      <c r="AM4142">
        <v>100</v>
      </c>
      <c r="AN4142">
        <v>2300</v>
      </c>
      <c r="AO4142" t="s">
        <v>118</v>
      </c>
      <c r="AP4142">
        <v>-110</v>
      </c>
      <c r="AQ4142">
        <v>-89</v>
      </c>
      <c r="AR4142">
        <v>64</v>
      </c>
      <c r="AZ4142">
        <v>1200</v>
      </c>
      <c r="BA4142">
        <v>1</v>
      </c>
      <c r="BB4142" t="str">
        <f t="shared" si="1906"/>
        <v xml:space="preserve">N711JA  </v>
      </c>
      <c r="BC4142">
        <v>1</v>
      </c>
      <c r="BE4142">
        <v>0</v>
      </c>
      <c r="BF4142">
        <v>0</v>
      </c>
      <c r="BG4142">
        <v>0</v>
      </c>
      <c r="BH4142">
        <v>2325</v>
      </c>
      <c r="BI4142">
        <v>1</v>
      </c>
      <c r="BJ4142">
        <v>1</v>
      </c>
      <c r="BK4142">
        <v>0</v>
      </c>
      <c r="BL4142">
        <v>0</v>
      </c>
      <c r="BO4142">
        <v>0</v>
      </c>
      <c r="BP4142">
        <v>0</v>
      </c>
      <c r="BW4142" t="str">
        <f t="shared" si="1917"/>
        <v>14:48:47.629</v>
      </c>
      <c r="CJ4142">
        <v>0</v>
      </c>
      <c r="CK4142">
        <v>2</v>
      </c>
      <c r="CL4142">
        <v>0</v>
      </c>
      <c r="CM4142">
        <v>2</v>
      </c>
      <c r="CN4142">
        <v>0</v>
      </c>
      <c r="CO4142">
        <v>6</v>
      </c>
      <c r="CP4142" t="s">
        <v>119</v>
      </c>
      <c r="CQ4142">
        <v>56</v>
      </c>
      <c r="CR4142">
        <v>2</v>
      </c>
      <c r="CW4142">
        <v>5112134</v>
      </c>
      <c r="CY4142">
        <v>1</v>
      </c>
      <c r="CZ4142">
        <v>0</v>
      </c>
      <c r="DA4142">
        <v>1</v>
      </c>
      <c r="DB4142">
        <v>0</v>
      </c>
      <c r="DC4142">
        <v>0</v>
      </c>
      <c r="DD4142">
        <v>1</v>
      </c>
      <c r="DE4142">
        <v>0</v>
      </c>
      <c r="DF4142">
        <v>0</v>
      </c>
      <c r="DG4142">
        <v>0</v>
      </c>
      <c r="DH4142">
        <v>0</v>
      </c>
      <c r="DI4142">
        <v>0</v>
      </c>
    </row>
    <row r="4143" spans="1:113" x14ac:dyDescent="0.3">
      <c r="A4143" t="str">
        <f t="shared" si="1914"/>
        <v>05/12/2020 14:48:29.801</v>
      </c>
      <c r="C4143" t="str">
        <f t="shared" si="1905"/>
        <v>FFDFD3C0</v>
      </c>
      <c r="D4143" t="s">
        <v>126</v>
      </c>
      <c r="E4143">
        <v>7</v>
      </c>
      <c r="F4143">
        <v>1007</v>
      </c>
      <c r="G4143" t="s">
        <v>127</v>
      </c>
      <c r="J4143" t="s">
        <v>128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 t="shared" si="1915"/>
        <v>14:48:47.625</v>
      </c>
      <c r="T4143" t="str">
        <f t="shared" si="1916"/>
        <v>14:48:47.325</v>
      </c>
      <c r="U4143" t="str">
        <f t="shared" si="1896"/>
        <v>A9808D</v>
      </c>
      <c r="V4143">
        <v>0</v>
      </c>
      <c r="W4143">
        <v>0</v>
      </c>
      <c r="X4143">
        <v>1</v>
      </c>
      <c r="Z4143">
        <v>0</v>
      </c>
      <c r="AA4143">
        <v>9</v>
      </c>
      <c r="AB4143">
        <v>3</v>
      </c>
      <c r="AC4143">
        <v>0</v>
      </c>
      <c r="AD4143">
        <v>10</v>
      </c>
      <c r="AE4143">
        <v>0</v>
      </c>
      <c r="AF4143">
        <v>3</v>
      </c>
      <c r="AG4143">
        <v>2</v>
      </c>
      <c r="AH4143">
        <v>0</v>
      </c>
      <c r="AI4143" t="s">
        <v>942</v>
      </c>
      <c r="AJ4143">
        <v>28.261685</v>
      </c>
      <c r="AK4143" t="s">
        <v>943</v>
      </c>
      <c r="AL4143">
        <v>-82.302918000000005</v>
      </c>
      <c r="AM4143">
        <v>100</v>
      </c>
      <c r="AN4143">
        <v>2300</v>
      </c>
      <c r="AO4143" t="s">
        <v>118</v>
      </c>
      <c r="AP4143">
        <v>-110</v>
      </c>
      <c r="AQ4143">
        <v>-89</v>
      </c>
      <c r="AR4143">
        <v>64</v>
      </c>
      <c r="AZ4143">
        <v>1200</v>
      </c>
      <c r="BA4143">
        <v>1</v>
      </c>
      <c r="BB4143" t="str">
        <f t="shared" si="1906"/>
        <v xml:space="preserve">N711JA  </v>
      </c>
      <c r="BC4143">
        <v>1</v>
      </c>
      <c r="BE4143">
        <v>0</v>
      </c>
      <c r="BF4143">
        <v>0</v>
      </c>
      <c r="BG4143">
        <v>0</v>
      </c>
      <c r="BH4143">
        <v>2325</v>
      </c>
      <c r="BI4143">
        <v>1</v>
      </c>
      <c r="BJ4143">
        <v>1</v>
      </c>
      <c r="BK4143">
        <v>0</v>
      </c>
      <c r="BL4143">
        <v>0</v>
      </c>
      <c r="BO4143">
        <v>0</v>
      </c>
      <c r="BP4143">
        <v>0</v>
      </c>
      <c r="BW4143" t="str">
        <f t="shared" si="1917"/>
        <v>14:48:47.629</v>
      </c>
      <c r="CJ4143">
        <v>0</v>
      </c>
      <c r="CK4143">
        <v>2</v>
      </c>
      <c r="CL4143">
        <v>0</v>
      </c>
      <c r="CM4143">
        <v>2</v>
      </c>
      <c r="CN4143">
        <v>0</v>
      </c>
      <c r="CO4143">
        <v>6</v>
      </c>
      <c r="CP4143" t="s">
        <v>119</v>
      </c>
      <c r="CQ4143">
        <v>56</v>
      </c>
      <c r="CR4143">
        <v>2</v>
      </c>
      <c r="CW4143">
        <v>5112134</v>
      </c>
      <c r="CY4143">
        <v>1</v>
      </c>
      <c r="CZ4143">
        <v>0</v>
      </c>
      <c r="DA4143">
        <v>1</v>
      </c>
      <c r="DB4143">
        <v>0</v>
      </c>
      <c r="DC4143">
        <v>0</v>
      </c>
      <c r="DD4143">
        <v>1</v>
      </c>
      <c r="DE4143">
        <v>0</v>
      </c>
      <c r="DF4143">
        <v>0</v>
      </c>
      <c r="DG4143">
        <v>0</v>
      </c>
      <c r="DH4143">
        <v>0</v>
      </c>
      <c r="DI4143">
        <v>0</v>
      </c>
    </row>
    <row r="4144" spans="1:113" x14ac:dyDescent="0.3">
      <c r="A4144" t="str">
        <f t="shared" si="1914"/>
        <v>05/12/2020 14:48:29.801</v>
      </c>
      <c r="C4144" t="str">
        <f t="shared" si="1905"/>
        <v>FFDFD3C0</v>
      </c>
      <c r="D4144" t="s">
        <v>131</v>
      </c>
      <c r="E4144">
        <v>10</v>
      </c>
      <c r="F4144">
        <v>2010</v>
      </c>
      <c r="G4144" t="s">
        <v>132</v>
      </c>
      <c r="J4144" t="s">
        <v>133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 t="shared" si="1915"/>
        <v>14:48:47.625</v>
      </c>
      <c r="T4144" t="str">
        <f t="shared" si="1916"/>
        <v>14:48:47.325</v>
      </c>
      <c r="U4144" t="str">
        <f t="shared" si="1896"/>
        <v>A9808D</v>
      </c>
      <c r="V4144">
        <v>0</v>
      </c>
      <c r="W4144">
        <v>0</v>
      </c>
      <c r="X4144">
        <v>1</v>
      </c>
      <c r="Z4144">
        <v>0</v>
      </c>
      <c r="AA4144">
        <v>9</v>
      </c>
      <c r="AB4144">
        <v>3</v>
      </c>
      <c r="AC4144">
        <v>0</v>
      </c>
      <c r="AD4144">
        <v>10</v>
      </c>
      <c r="AE4144">
        <v>0</v>
      </c>
      <c r="AF4144">
        <v>3</v>
      </c>
      <c r="AG4144">
        <v>2</v>
      </c>
      <c r="AH4144">
        <v>0</v>
      </c>
      <c r="AI4144" t="s">
        <v>942</v>
      </c>
      <c r="AJ4144">
        <v>28.261685</v>
      </c>
      <c r="AK4144" t="s">
        <v>943</v>
      </c>
      <c r="AL4144">
        <v>-82.302918000000005</v>
      </c>
      <c r="AM4144">
        <v>100</v>
      </c>
      <c r="AN4144">
        <v>2300</v>
      </c>
      <c r="AO4144" t="s">
        <v>118</v>
      </c>
      <c r="AP4144">
        <v>-110</v>
      </c>
      <c r="AQ4144">
        <v>-89</v>
      </c>
      <c r="AR4144">
        <v>64</v>
      </c>
      <c r="AZ4144">
        <v>1200</v>
      </c>
      <c r="BA4144">
        <v>1</v>
      </c>
      <c r="BB4144" t="str">
        <f t="shared" si="1906"/>
        <v xml:space="preserve">N711JA  </v>
      </c>
      <c r="BC4144">
        <v>1</v>
      </c>
      <c r="BE4144">
        <v>0</v>
      </c>
      <c r="BF4144">
        <v>0</v>
      </c>
      <c r="BG4144">
        <v>0</v>
      </c>
      <c r="BH4144">
        <v>2325</v>
      </c>
      <c r="BI4144">
        <v>1</v>
      </c>
      <c r="BJ4144">
        <v>1</v>
      </c>
      <c r="BK4144">
        <v>0</v>
      </c>
      <c r="BL4144">
        <v>0</v>
      </c>
      <c r="BO4144">
        <v>0</v>
      </c>
      <c r="BP4144">
        <v>0</v>
      </c>
      <c r="BW4144" t="str">
        <f t="shared" si="1917"/>
        <v>14:48:47.629</v>
      </c>
      <c r="CJ4144">
        <v>0</v>
      </c>
      <c r="CK4144">
        <v>2</v>
      </c>
      <c r="CL4144">
        <v>0</v>
      </c>
      <c r="CM4144">
        <v>2</v>
      </c>
      <c r="CN4144">
        <v>0</v>
      </c>
      <c r="CO4144">
        <v>6</v>
      </c>
      <c r="CP4144" t="s">
        <v>119</v>
      </c>
      <c r="CQ4144">
        <v>56</v>
      </c>
      <c r="CR4144">
        <v>2</v>
      </c>
      <c r="CW4144">
        <v>5112134</v>
      </c>
      <c r="CY4144">
        <v>1</v>
      </c>
      <c r="CZ4144">
        <v>0</v>
      </c>
      <c r="DA4144">
        <v>1</v>
      </c>
      <c r="DB4144">
        <v>0</v>
      </c>
      <c r="DC4144">
        <v>0</v>
      </c>
      <c r="DD4144">
        <v>1</v>
      </c>
      <c r="DE4144">
        <v>0</v>
      </c>
      <c r="DF4144">
        <v>0</v>
      </c>
      <c r="DG4144">
        <v>0</v>
      </c>
      <c r="DH4144">
        <v>0</v>
      </c>
      <c r="DI4144">
        <v>0</v>
      </c>
    </row>
    <row r="4145" spans="1:113" x14ac:dyDescent="0.3">
      <c r="A4145" t="str">
        <f t="shared" si="1914"/>
        <v>05/12/2020 14:48:29.801</v>
      </c>
      <c r="C4145" t="str">
        <f t="shared" si="1905"/>
        <v>FFDFD3C0</v>
      </c>
      <c r="D4145" t="s">
        <v>131</v>
      </c>
      <c r="E4145">
        <v>12</v>
      </c>
      <c r="F4145">
        <v>2012</v>
      </c>
      <c r="G4145" t="s">
        <v>137</v>
      </c>
      <c r="J4145" t="s">
        <v>133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 t="shared" si="1915"/>
        <v>14:48:47.625</v>
      </c>
      <c r="T4145" t="str">
        <f t="shared" si="1916"/>
        <v>14:48:47.325</v>
      </c>
      <c r="U4145" t="str">
        <f t="shared" si="1896"/>
        <v>A9808D</v>
      </c>
      <c r="V4145">
        <v>0</v>
      </c>
      <c r="W4145">
        <v>0</v>
      </c>
      <c r="X4145">
        <v>1</v>
      </c>
      <c r="Z4145">
        <v>0</v>
      </c>
      <c r="AA4145">
        <v>9</v>
      </c>
      <c r="AB4145">
        <v>3</v>
      </c>
      <c r="AC4145">
        <v>0</v>
      </c>
      <c r="AD4145">
        <v>10</v>
      </c>
      <c r="AE4145">
        <v>0</v>
      </c>
      <c r="AF4145">
        <v>3</v>
      </c>
      <c r="AG4145">
        <v>2</v>
      </c>
      <c r="AH4145">
        <v>0</v>
      </c>
      <c r="AI4145" t="s">
        <v>942</v>
      </c>
      <c r="AJ4145">
        <v>28.261685</v>
      </c>
      <c r="AK4145" t="s">
        <v>943</v>
      </c>
      <c r="AL4145">
        <v>-82.302918000000005</v>
      </c>
      <c r="AM4145">
        <v>100</v>
      </c>
      <c r="AN4145">
        <v>2300</v>
      </c>
      <c r="AO4145" t="s">
        <v>118</v>
      </c>
      <c r="AP4145">
        <v>-110</v>
      </c>
      <c r="AQ4145">
        <v>-89</v>
      </c>
      <c r="AR4145">
        <v>64</v>
      </c>
      <c r="AZ4145">
        <v>1200</v>
      </c>
      <c r="BA4145">
        <v>1</v>
      </c>
      <c r="BB4145" t="str">
        <f t="shared" si="1906"/>
        <v xml:space="preserve">N711JA  </v>
      </c>
      <c r="BC4145">
        <v>1</v>
      </c>
      <c r="BE4145">
        <v>0</v>
      </c>
      <c r="BF4145">
        <v>0</v>
      </c>
      <c r="BG4145">
        <v>0</v>
      </c>
      <c r="BH4145">
        <v>2325</v>
      </c>
      <c r="BI4145">
        <v>1</v>
      </c>
      <c r="BJ4145">
        <v>1</v>
      </c>
      <c r="BK4145">
        <v>0</v>
      </c>
      <c r="BL4145">
        <v>0</v>
      </c>
      <c r="BO4145">
        <v>0</v>
      </c>
      <c r="BP4145">
        <v>0</v>
      </c>
      <c r="BW4145" t="str">
        <f t="shared" si="1917"/>
        <v>14:48:47.629</v>
      </c>
      <c r="CJ4145">
        <v>0</v>
      </c>
      <c r="CK4145">
        <v>2</v>
      </c>
      <c r="CL4145">
        <v>0</v>
      </c>
      <c r="CM4145">
        <v>2</v>
      </c>
      <c r="CN4145">
        <v>0</v>
      </c>
      <c r="CO4145">
        <v>6</v>
      </c>
      <c r="CP4145" t="s">
        <v>119</v>
      </c>
      <c r="CQ4145">
        <v>56</v>
      </c>
      <c r="CR4145">
        <v>2</v>
      </c>
      <c r="CW4145">
        <v>5112134</v>
      </c>
      <c r="CY4145">
        <v>1</v>
      </c>
      <c r="CZ4145">
        <v>0</v>
      </c>
      <c r="DA4145">
        <v>1</v>
      </c>
      <c r="DB4145">
        <v>0</v>
      </c>
      <c r="DC4145">
        <v>0</v>
      </c>
      <c r="DD4145">
        <v>1</v>
      </c>
      <c r="DE4145">
        <v>0</v>
      </c>
      <c r="DF4145">
        <v>0</v>
      </c>
      <c r="DG4145">
        <v>0</v>
      </c>
      <c r="DH4145">
        <v>0</v>
      </c>
      <c r="DI4145">
        <v>0</v>
      </c>
    </row>
    <row r="4146" spans="1:113" x14ac:dyDescent="0.3">
      <c r="A4146" t="str">
        <f t="shared" ref="A4146:A4154" si="1918">"05/12/2020 14:48:30.934"</f>
        <v>05/12/2020 14:48:30.934</v>
      </c>
      <c r="C4146" t="str">
        <f t="shared" si="1905"/>
        <v>FFDFD3C0</v>
      </c>
      <c r="D4146" t="s">
        <v>134</v>
      </c>
      <c r="E4146">
        <v>12</v>
      </c>
      <c r="H4146">
        <v>64</v>
      </c>
      <c r="I4146" t="s">
        <v>135</v>
      </c>
      <c r="J4146" t="s">
        <v>136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 t="shared" ref="S4146:S4154" si="1919">"14:48:48.758"</f>
        <v>14:48:48.758</v>
      </c>
      <c r="T4146" t="str">
        <f t="shared" ref="T4146:T4154" si="1920">"14:48:48.358"</f>
        <v>14:48:48.358</v>
      </c>
      <c r="U4146" t="str">
        <f t="shared" si="1896"/>
        <v>A9808D</v>
      </c>
      <c r="V4146">
        <v>0</v>
      </c>
      <c r="W4146">
        <v>0</v>
      </c>
      <c r="X4146">
        <v>1</v>
      </c>
      <c r="Z4146">
        <v>0</v>
      </c>
      <c r="AA4146">
        <v>9</v>
      </c>
      <c r="AB4146">
        <v>3</v>
      </c>
      <c r="AC4146">
        <v>0</v>
      </c>
      <c r="AD4146">
        <v>10</v>
      </c>
      <c r="AE4146">
        <v>0</v>
      </c>
      <c r="AF4146">
        <v>3</v>
      </c>
      <c r="AG4146">
        <v>2</v>
      </c>
      <c r="AH4146">
        <v>0</v>
      </c>
      <c r="AI4146" t="s">
        <v>944</v>
      </c>
      <c r="AJ4146">
        <v>28.261213000000001</v>
      </c>
      <c r="AK4146" t="s">
        <v>945</v>
      </c>
      <c r="AL4146">
        <v>-82.303647999999995</v>
      </c>
      <c r="AM4146">
        <v>100</v>
      </c>
      <c r="AN4146">
        <v>2300</v>
      </c>
      <c r="AO4146" t="s">
        <v>118</v>
      </c>
      <c r="AP4146">
        <v>-110</v>
      </c>
      <c r="AQ4146">
        <v>-90</v>
      </c>
      <c r="AR4146">
        <v>0</v>
      </c>
      <c r="AZ4146">
        <v>1200</v>
      </c>
      <c r="BA4146">
        <v>1</v>
      </c>
      <c r="BB4146" t="str">
        <f t="shared" si="1906"/>
        <v xml:space="preserve">N711JA  </v>
      </c>
      <c r="BC4146">
        <v>1</v>
      </c>
      <c r="BE4146">
        <v>0</v>
      </c>
      <c r="BF4146">
        <v>0</v>
      </c>
      <c r="BG4146">
        <v>0</v>
      </c>
      <c r="BH4146">
        <v>2325</v>
      </c>
      <c r="BI4146">
        <v>1</v>
      </c>
      <c r="BJ4146">
        <v>1</v>
      </c>
      <c r="BK4146">
        <v>0</v>
      </c>
      <c r="BL4146">
        <v>0</v>
      </c>
      <c r="BO4146">
        <v>0</v>
      </c>
      <c r="BP4146">
        <v>0</v>
      </c>
      <c r="BW4146" t="str">
        <f t="shared" ref="BW4146:BW4154" si="1921">"14:48:48.759"</f>
        <v>14:48:48.759</v>
      </c>
      <c r="CJ4146">
        <v>0</v>
      </c>
      <c r="CK4146">
        <v>2</v>
      </c>
      <c r="CL4146">
        <v>0</v>
      </c>
      <c r="CM4146">
        <v>2</v>
      </c>
      <c r="CN4146">
        <v>0</v>
      </c>
      <c r="CO4146">
        <v>5</v>
      </c>
      <c r="CP4146" t="s">
        <v>119</v>
      </c>
      <c r="CQ4146">
        <v>358</v>
      </c>
      <c r="CR4146">
        <v>0</v>
      </c>
      <c r="CW4146">
        <v>5086837</v>
      </c>
      <c r="CY4146">
        <v>1</v>
      </c>
      <c r="CZ4146">
        <v>0</v>
      </c>
      <c r="DA4146">
        <v>0</v>
      </c>
      <c r="DB4146">
        <v>0</v>
      </c>
      <c r="DC4146">
        <v>0</v>
      </c>
      <c r="DD4146">
        <v>1</v>
      </c>
      <c r="DE4146">
        <v>0</v>
      </c>
      <c r="DF4146">
        <v>0</v>
      </c>
      <c r="DG4146">
        <v>0</v>
      </c>
      <c r="DH4146">
        <v>0</v>
      </c>
      <c r="DI4146">
        <v>0</v>
      </c>
    </row>
    <row r="4147" spans="1:113" x14ac:dyDescent="0.3">
      <c r="A4147" t="str">
        <f t="shared" si="1918"/>
        <v>05/12/2020 14:48:30.934</v>
      </c>
      <c r="C4147" t="str">
        <f t="shared" si="1905"/>
        <v>FFDFD3C0</v>
      </c>
      <c r="D4147" t="s">
        <v>113</v>
      </c>
      <c r="E4147">
        <v>3</v>
      </c>
      <c r="H4147">
        <v>164</v>
      </c>
      <c r="I4147" t="s">
        <v>114</v>
      </c>
      <c r="J4147" t="s">
        <v>115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 t="shared" si="1919"/>
        <v>14:48:48.758</v>
      </c>
      <c r="T4147" t="str">
        <f t="shared" si="1920"/>
        <v>14:48:48.358</v>
      </c>
      <c r="U4147" t="str">
        <f t="shared" si="1896"/>
        <v>A9808D</v>
      </c>
      <c r="V4147">
        <v>0</v>
      </c>
      <c r="W4147">
        <v>0</v>
      </c>
      <c r="X4147">
        <v>1</v>
      </c>
      <c r="Z4147">
        <v>0</v>
      </c>
      <c r="AA4147">
        <v>9</v>
      </c>
      <c r="AB4147">
        <v>3</v>
      </c>
      <c r="AC4147">
        <v>0</v>
      </c>
      <c r="AD4147">
        <v>10</v>
      </c>
      <c r="AE4147">
        <v>0</v>
      </c>
      <c r="AF4147">
        <v>3</v>
      </c>
      <c r="AG4147">
        <v>2</v>
      </c>
      <c r="AH4147">
        <v>0</v>
      </c>
      <c r="AI4147" t="s">
        <v>944</v>
      </c>
      <c r="AJ4147">
        <v>28.261213000000001</v>
      </c>
      <c r="AK4147" t="s">
        <v>945</v>
      </c>
      <c r="AL4147">
        <v>-82.303647999999995</v>
      </c>
      <c r="AM4147">
        <v>100</v>
      </c>
      <c r="AN4147">
        <v>2300</v>
      </c>
      <c r="AO4147" t="s">
        <v>118</v>
      </c>
      <c r="AP4147">
        <v>-110</v>
      </c>
      <c r="AQ4147">
        <v>-90</v>
      </c>
      <c r="AR4147">
        <v>0</v>
      </c>
      <c r="AZ4147">
        <v>1200</v>
      </c>
      <c r="BA4147">
        <v>1</v>
      </c>
      <c r="BB4147" t="str">
        <f t="shared" si="1906"/>
        <v xml:space="preserve">N711JA  </v>
      </c>
      <c r="BC4147">
        <v>1</v>
      </c>
      <c r="BE4147">
        <v>0</v>
      </c>
      <c r="BF4147">
        <v>0</v>
      </c>
      <c r="BG4147">
        <v>0</v>
      </c>
      <c r="BH4147">
        <v>2325</v>
      </c>
      <c r="BI4147">
        <v>1</v>
      </c>
      <c r="BJ4147">
        <v>1</v>
      </c>
      <c r="BK4147">
        <v>0</v>
      </c>
      <c r="BL4147">
        <v>0</v>
      </c>
      <c r="BO4147">
        <v>0</v>
      </c>
      <c r="BP4147">
        <v>0</v>
      </c>
      <c r="BW4147" t="str">
        <f t="shared" si="1921"/>
        <v>14:48:48.759</v>
      </c>
      <c r="CJ4147">
        <v>0</v>
      </c>
      <c r="CK4147">
        <v>2</v>
      </c>
      <c r="CL4147">
        <v>0</v>
      </c>
      <c r="CM4147">
        <v>2</v>
      </c>
      <c r="CN4147">
        <v>0</v>
      </c>
      <c r="CO4147">
        <v>5</v>
      </c>
      <c r="CP4147" t="s">
        <v>119</v>
      </c>
      <c r="CQ4147">
        <v>62</v>
      </c>
      <c r="CR4147">
        <v>1</v>
      </c>
      <c r="CW4147">
        <v>13012559</v>
      </c>
      <c r="CY4147">
        <v>1</v>
      </c>
      <c r="CZ4147">
        <v>0</v>
      </c>
      <c r="DA4147">
        <v>1</v>
      </c>
      <c r="DB4147">
        <v>0</v>
      </c>
      <c r="DC4147">
        <v>0</v>
      </c>
      <c r="DD4147">
        <v>1</v>
      </c>
      <c r="DE4147">
        <v>0</v>
      </c>
      <c r="DF4147">
        <v>0</v>
      </c>
      <c r="DG4147">
        <v>0</v>
      </c>
      <c r="DH4147">
        <v>0</v>
      </c>
      <c r="DI4147">
        <v>0</v>
      </c>
    </row>
    <row r="4148" spans="1:113" x14ac:dyDescent="0.3">
      <c r="A4148" t="str">
        <f t="shared" si="1918"/>
        <v>05/12/2020 14:48:30.934</v>
      </c>
      <c r="C4148" t="str">
        <f t="shared" si="1905"/>
        <v>FFDFD3C0</v>
      </c>
      <c r="D4148" t="s">
        <v>126</v>
      </c>
      <c r="E4148">
        <v>6</v>
      </c>
      <c r="F4148">
        <v>1006</v>
      </c>
      <c r="G4148" t="s">
        <v>114</v>
      </c>
      <c r="J4148" t="s">
        <v>128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 t="shared" si="1919"/>
        <v>14:48:48.758</v>
      </c>
      <c r="T4148" t="str">
        <f t="shared" si="1920"/>
        <v>14:48:48.358</v>
      </c>
      <c r="U4148" t="str">
        <f t="shared" si="1896"/>
        <v>A9808D</v>
      </c>
      <c r="V4148">
        <v>0</v>
      </c>
      <c r="W4148">
        <v>0</v>
      </c>
      <c r="X4148">
        <v>1</v>
      </c>
      <c r="Z4148">
        <v>0</v>
      </c>
      <c r="AA4148">
        <v>9</v>
      </c>
      <c r="AB4148">
        <v>3</v>
      </c>
      <c r="AC4148">
        <v>0</v>
      </c>
      <c r="AD4148">
        <v>10</v>
      </c>
      <c r="AE4148">
        <v>0</v>
      </c>
      <c r="AF4148">
        <v>3</v>
      </c>
      <c r="AG4148">
        <v>2</v>
      </c>
      <c r="AH4148">
        <v>0</v>
      </c>
      <c r="AI4148" t="s">
        <v>944</v>
      </c>
      <c r="AJ4148">
        <v>28.261213000000001</v>
      </c>
      <c r="AK4148" t="s">
        <v>945</v>
      </c>
      <c r="AL4148">
        <v>-82.303647999999995</v>
      </c>
      <c r="AM4148">
        <v>100</v>
      </c>
      <c r="AN4148">
        <v>2300</v>
      </c>
      <c r="AO4148" t="s">
        <v>118</v>
      </c>
      <c r="AP4148">
        <v>-110</v>
      </c>
      <c r="AQ4148">
        <v>-90</v>
      </c>
      <c r="AR4148">
        <v>0</v>
      </c>
      <c r="AZ4148">
        <v>1200</v>
      </c>
      <c r="BA4148">
        <v>1</v>
      </c>
      <c r="BB4148" t="str">
        <f t="shared" si="1906"/>
        <v xml:space="preserve">N711JA  </v>
      </c>
      <c r="BC4148">
        <v>1</v>
      </c>
      <c r="BE4148">
        <v>0</v>
      </c>
      <c r="BF4148">
        <v>0</v>
      </c>
      <c r="BG4148">
        <v>0</v>
      </c>
      <c r="BH4148">
        <v>2325</v>
      </c>
      <c r="BI4148">
        <v>1</v>
      </c>
      <c r="BJ4148">
        <v>1</v>
      </c>
      <c r="BK4148">
        <v>0</v>
      </c>
      <c r="BL4148">
        <v>0</v>
      </c>
      <c r="BO4148">
        <v>0</v>
      </c>
      <c r="BP4148">
        <v>0</v>
      </c>
      <c r="BW4148" t="str">
        <f t="shared" si="1921"/>
        <v>14:48:48.759</v>
      </c>
      <c r="CJ4148">
        <v>0</v>
      </c>
      <c r="CK4148">
        <v>2</v>
      </c>
      <c r="CL4148">
        <v>0</v>
      </c>
      <c r="CM4148">
        <v>2</v>
      </c>
      <c r="CN4148">
        <v>0</v>
      </c>
      <c r="CO4148">
        <v>5</v>
      </c>
      <c r="CP4148" t="s">
        <v>119</v>
      </c>
      <c r="CQ4148">
        <v>358</v>
      </c>
      <c r="CR4148">
        <v>0</v>
      </c>
      <c r="CW4148">
        <v>5086837</v>
      </c>
      <c r="CY4148">
        <v>1</v>
      </c>
      <c r="CZ4148">
        <v>0</v>
      </c>
      <c r="DA4148">
        <v>1</v>
      </c>
      <c r="DB4148">
        <v>0</v>
      </c>
      <c r="DC4148">
        <v>0</v>
      </c>
      <c r="DD4148">
        <v>1</v>
      </c>
      <c r="DE4148">
        <v>0</v>
      </c>
      <c r="DF4148">
        <v>0</v>
      </c>
      <c r="DG4148">
        <v>0</v>
      </c>
      <c r="DH4148">
        <v>0</v>
      </c>
      <c r="DI4148">
        <v>0</v>
      </c>
    </row>
    <row r="4149" spans="1:113" x14ac:dyDescent="0.3">
      <c r="A4149" t="str">
        <f t="shared" si="1918"/>
        <v>05/12/2020 14:48:30.934</v>
      </c>
      <c r="C4149" t="str">
        <f t="shared" si="1905"/>
        <v>FFDFD3C0</v>
      </c>
      <c r="D4149" t="s">
        <v>126</v>
      </c>
      <c r="E4149">
        <v>7</v>
      </c>
      <c r="F4149">
        <v>1007</v>
      </c>
      <c r="G4149" t="s">
        <v>127</v>
      </c>
      <c r="J4149" t="s">
        <v>128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 t="shared" si="1919"/>
        <v>14:48:48.758</v>
      </c>
      <c r="T4149" t="str">
        <f t="shared" si="1920"/>
        <v>14:48:48.358</v>
      </c>
      <c r="U4149" t="str">
        <f t="shared" si="1896"/>
        <v>A9808D</v>
      </c>
      <c r="V4149">
        <v>0</v>
      </c>
      <c r="W4149">
        <v>0</v>
      </c>
      <c r="X4149">
        <v>1</v>
      </c>
      <c r="Z4149">
        <v>0</v>
      </c>
      <c r="AA4149">
        <v>9</v>
      </c>
      <c r="AB4149">
        <v>3</v>
      </c>
      <c r="AC4149">
        <v>0</v>
      </c>
      <c r="AD4149">
        <v>10</v>
      </c>
      <c r="AE4149">
        <v>0</v>
      </c>
      <c r="AF4149">
        <v>3</v>
      </c>
      <c r="AG4149">
        <v>2</v>
      </c>
      <c r="AH4149">
        <v>0</v>
      </c>
      <c r="AI4149" t="s">
        <v>944</v>
      </c>
      <c r="AJ4149">
        <v>28.261213000000001</v>
      </c>
      <c r="AK4149" t="s">
        <v>945</v>
      </c>
      <c r="AL4149">
        <v>-82.303647999999995</v>
      </c>
      <c r="AM4149">
        <v>100</v>
      </c>
      <c r="AN4149">
        <v>2300</v>
      </c>
      <c r="AO4149" t="s">
        <v>118</v>
      </c>
      <c r="AP4149">
        <v>-110</v>
      </c>
      <c r="AQ4149">
        <v>-90</v>
      </c>
      <c r="AR4149">
        <v>0</v>
      </c>
      <c r="AZ4149">
        <v>1200</v>
      </c>
      <c r="BA4149">
        <v>1</v>
      </c>
      <c r="BB4149" t="str">
        <f t="shared" si="1906"/>
        <v xml:space="preserve">N711JA  </v>
      </c>
      <c r="BC4149">
        <v>1</v>
      </c>
      <c r="BE4149">
        <v>0</v>
      </c>
      <c r="BF4149">
        <v>0</v>
      </c>
      <c r="BG4149">
        <v>0</v>
      </c>
      <c r="BH4149">
        <v>2325</v>
      </c>
      <c r="BI4149">
        <v>1</v>
      </c>
      <c r="BJ4149">
        <v>1</v>
      </c>
      <c r="BK4149">
        <v>0</v>
      </c>
      <c r="BL4149">
        <v>0</v>
      </c>
      <c r="BO4149">
        <v>0</v>
      </c>
      <c r="BP4149">
        <v>0</v>
      </c>
      <c r="BW4149" t="str">
        <f t="shared" si="1921"/>
        <v>14:48:48.759</v>
      </c>
      <c r="CJ4149">
        <v>0</v>
      </c>
      <c r="CK4149">
        <v>2</v>
      </c>
      <c r="CL4149">
        <v>0</v>
      </c>
      <c r="CM4149">
        <v>2</v>
      </c>
      <c r="CN4149">
        <v>0</v>
      </c>
      <c r="CO4149">
        <v>5</v>
      </c>
      <c r="CP4149" t="s">
        <v>119</v>
      </c>
      <c r="CQ4149">
        <v>358</v>
      </c>
      <c r="CR4149">
        <v>0</v>
      </c>
      <c r="CW4149">
        <v>5086837</v>
      </c>
      <c r="CY4149">
        <v>1</v>
      </c>
      <c r="CZ4149">
        <v>0</v>
      </c>
      <c r="DA4149">
        <v>1</v>
      </c>
      <c r="DB4149">
        <v>0</v>
      </c>
      <c r="DC4149">
        <v>0</v>
      </c>
      <c r="DD4149">
        <v>1</v>
      </c>
      <c r="DE4149">
        <v>0</v>
      </c>
      <c r="DF4149">
        <v>0</v>
      </c>
      <c r="DG4149">
        <v>0</v>
      </c>
      <c r="DH4149">
        <v>0</v>
      </c>
      <c r="DI4149">
        <v>0</v>
      </c>
    </row>
    <row r="4150" spans="1:113" x14ac:dyDescent="0.3">
      <c r="A4150" t="str">
        <f t="shared" si="1918"/>
        <v>05/12/2020 14:48:30.934</v>
      </c>
      <c r="C4150" t="str">
        <f t="shared" si="1905"/>
        <v>FFDFD3C0</v>
      </c>
      <c r="D4150" t="s">
        <v>138</v>
      </c>
      <c r="E4150">
        <v>2</v>
      </c>
      <c r="H4150">
        <v>8</v>
      </c>
      <c r="I4150" t="s">
        <v>139</v>
      </c>
      <c r="J4150" t="s">
        <v>136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 t="shared" si="1919"/>
        <v>14:48:48.758</v>
      </c>
      <c r="T4150" t="str">
        <f t="shared" si="1920"/>
        <v>14:48:48.358</v>
      </c>
      <c r="U4150" t="str">
        <f t="shared" si="1896"/>
        <v>A9808D</v>
      </c>
      <c r="V4150">
        <v>0</v>
      </c>
      <c r="W4150">
        <v>0</v>
      </c>
      <c r="X4150">
        <v>1</v>
      </c>
      <c r="Z4150">
        <v>0</v>
      </c>
      <c r="AA4150">
        <v>9</v>
      </c>
      <c r="AB4150">
        <v>3</v>
      </c>
      <c r="AC4150">
        <v>0</v>
      </c>
      <c r="AD4150">
        <v>10</v>
      </c>
      <c r="AE4150">
        <v>0</v>
      </c>
      <c r="AF4150">
        <v>3</v>
      </c>
      <c r="AG4150">
        <v>2</v>
      </c>
      <c r="AH4150">
        <v>0</v>
      </c>
      <c r="AI4150" t="s">
        <v>944</v>
      </c>
      <c r="AJ4150">
        <v>28.261213000000001</v>
      </c>
      <c r="AK4150" t="s">
        <v>945</v>
      </c>
      <c r="AL4150">
        <v>-82.303647999999995</v>
      </c>
      <c r="AM4150">
        <v>100</v>
      </c>
      <c r="AN4150">
        <v>2300</v>
      </c>
      <c r="AO4150" t="s">
        <v>118</v>
      </c>
      <c r="AP4150">
        <v>-110</v>
      </c>
      <c r="AQ4150">
        <v>-90</v>
      </c>
      <c r="AR4150">
        <v>0</v>
      </c>
      <c r="AZ4150">
        <v>1200</v>
      </c>
      <c r="BA4150">
        <v>1</v>
      </c>
      <c r="BB4150" t="str">
        <f t="shared" si="1906"/>
        <v xml:space="preserve">N711JA  </v>
      </c>
      <c r="BC4150">
        <v>1</v>
      </c>
      <c r="BE4150">
        <v>0</v>
      </c>
      <c r="BF4150">
        <v>0</v>
      </c>
      <c r="BG4150">
        <v>0</v>
      </c>
      <c r="BH4150">
        <v>2325</v>
      </c>
      <c r="BI4150">
        <v>1</v>
      </c>
      <c r="BJ4150">
        <v>1</v>
      </c>
      <c r="BK4150">
        <v>0</v>
      </c>
      <c r="BL4150">
        <v>0</v>
      </c>
      <c r="BO4150">
        <v>0</v>
      </c>
      <c r="BP4150">
        <v>0</v>
      </c>
      <c r="BW4150" t="str">
        <f t="shared" si="1921"/>
        <v>14:48:48.759</v>
      </c>
      <c r="CJ4150">
        <v>0</v>
      </c>
      <c r="CK4150">
        <v>2</v>
      </c>
      <c r="CL4150">
        <v>0</v>
      </c>
      <c r="CM4150">
        <v>2</v>
      </c>
      <c r="CN4150">
        <v>0</v>
      </c>
      <c r="CO4150">
        <v>2</v>
      </c>
      <c r="CP4150" t="s">
        <v>675</v>
      </c>
      <c r="CQ4150">
        <v>363</v>
      </c>
      <c r="CR4150">
        <v>0</v>
      </c>
      <c r="CW4150">
        <v>6625961</v>
      </c>
      <c r="CY4150">
        <v>1</v>
      </c>
      <c r="CZ4150">
        <v>0</v>
      </c>
      <c r="DA4150">
        <v>1</v>
      </c>
      <c r="DB4150">
        <v>0</v>
      </c>
      <c r="DC4150">
        <v>0</v>
      </c>
      <c r="DD4150">
        <v>1</v>
      </c>
      <c r="DE4150">
        <v>0</v>
      </c>
      <c r="DF4150">
        <v>0</v>
      </c>
      <c r="DG4150">
        <v>0</v>
      </c>
      <c r="DH4150">
        <v>0</v>
      </c>
      <c r="DI4150">
        <v>0</v>
      </c>
    </row>
    <row r="4151" spans="1:113" x14ac:dyDescent="0.3">
      <c r="A4151" t="str">
        <f t="shared" si="1918"/>
        <v>05/12/2020 14:48:30.934</v>
      </c>
      <c r="C4151" t="str">
        <f t="shared" si="1905"/>
        <v>FFDFD3C0</v>
      </c>
      <c r="D4151" t="s">
        <v>138</v>
      </c>
      <c r="E4151">
        <v>3</v>
      </c>
      <c r="H4151">
        <v>9</v>
      </c>
      <c r="I4151" t="s">
        <v>140</v>
      </c>
      <c r="J4151" t="s">
        <v>136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 t="shared" si="1919"/>
        <v>14:48:48.758</v>
      </c>
      <c r="T4151" t="str">
        <f t="shared" si="1920"/>
        <v>14:48:48.358</v>
      </c>
      <c r="U4151" t="str">
        <f t="shared" si="1896"/>
        <v>A9808D</v>
      </c>
      <c r="V4151">
        <v>0</v>
      </c>
      <c r="W4151">
        <v>0</v>
      </c>
      <c r="X4151">
        <v>1</v>
      </c>
      <c r="Z4151">
        <v>0</v>
      </c>
      <c r="AA4151">
        <v>9</v>
      </c>
      <c r="AB4151">
        <v>3</v>
      </c>
      <c r="AC4151">
        <v>0</v>
      </c>
      <c r="AD4151">
        <v>10</v>
      </c>
      <c r="AE4151">
        <v>0</v>
      </c>
      <c r="AF4151">
        <v>3</v>
      </c>
      <c r="AG4151">
        <v>2</v>
      </c>
      <c r="AH4151">
        <v>0</v>
      </c>
      <c r="AI4151" t="s">
        <v>944</v>
      </c>
      <c r="AJ4151">
        <v>28.261213000000001</v>
      </c>
      <c r="AK4151" t="s">
        <v>945</v>
      </c>
      <c r="AL4151">
        <v>-82.303647999999995</v>
      </c>
      <c r="AM4151">
        <v>100</v>
      </c>
      <c r="AN4151">
        <v>2300</v>
      </c>
      <c r="AO4151" t="s">
        <v>118</v>
      </c>
      <c r="AP4151">
        <v>-110</v>
      </c>
      <c r="AQ4151">
        <v>-90</v>
      </c>
      <c r="AR4151">
        <v>0</v>
      </c>
      <c r="AZ4151">
        <v>1200</v>
      </c>
      <c r="BA4151">
        <v>1</v>
      </c>
      <c r="BB4151" t="str">
        <f t="shared" si="1906"/>
        <v xml:space="preserve">N711JA  </v>
      </c>
      <c r="BC4151">
        <v>1</v>
      </c>
      <c r="BE4151">
        <v>0</v>
      </c>
      <c r="BF4151">
        <v>0</v>
      </c>
      <c r="BG4151">
        <v>0</v>
      </c>
      <c r="BH4151">
        <v>2325</v>
      </c>
      <c r="BI4151">
        <v>1</v>
      </c>
      <c r="BJ4151">
        <v>1</v>
      </c>
      <c r="BK4151">
        <v>0</v>
      </c>
      <c r="BL4151">
        <v>0</v>
      </c>
      <c r="BO4151">
        <v>0</v>
      </c>
      <c r="BP4151">
        <v>0</v>
      </c>
      <c r="BW4151" t="str">
        <f t="shared" si="1921"/>
        <v>14:48:48.759</v>
      </c>
      <c r="CJ4151">
        <v>0</v>
      </c>
      <c r="CK4151">
        <v>2</v>
      </c>
      <c r="CL4151">
        <v>0</v>
      </c>
      <c r="CM4151">
        <v>2</v>
      </c>
      <c r="CN4151">
        <v>0</v>
      </c>
      <c r="CO4151">
        <v>5</v>
      </c>
      <c r="CP4151" t="s">
        <v>119</v>
      </c>
      <c r="CQ4151">
        <v>358</v>
      </c>
      <c r="CR4151">
        <v>0</v>
      </c>
      <c r="CW4151">
        <v>5086837</v>
      </c>
      <c r="CY4151">
        <v>1</v>
      </c>
      <c r="CZ4151">
        <v>0</v>
      </c>
      <c r="DA4151">
        <v>1</v>
      </c>
      <c r="DB4151">
        <v>0</v>
      </c>
      <c r="DC4151">
        <v>0</v>
      </c>
      <c r="DD4151">
        <v>1</v>
      </c>
      <c r="DE4151">
        <v>0</v>
      </c>
      <c r="DF4151">
        <v>0</v>
      </c>
      <c r="DG4151">
        <v>0</v>
      </c>
      <c r="DH4151">
        <v>0</v>
      </c>
      <c r="DI4151">
        <v>0</v>
      </c>
    </row>
    <row r="4152" spans="1:113" x14ac:dyDescent="0.3">
      <c r="A4152" t="str">
        <f t="shared" si="1918"/>
        <v>05/12/2020 14:48:30.934</v>
      </c>
      <c r="C4152" t="str">
        <f t="shared" si="1905"/>
        <v>FFDFD3C0</v>
      </c>
      <c r="D4152" t="s">
        <v>131</v>
      </c>
      <c r="E4152">
        <v>10</v>
      </c>
      <c r="F4152">
        <v>2010</v>
      </c>
      <c r="G4152" t="s">
        <v>132</v>
      </c>
      <c r="J4152" t="s">
        <v>133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 t="shared" si="1919"/>
        <v>14:48:48.758</v>
      </c>
      <c r="T4152" t="str">
        <f t="shared" si="1920"/>
        <v>14:48:48.358</v>
      </c>
      <c r="U4152" t="str">
        <f t="shared" si="1896"/>
        <v>A9808D</v>
      </c>
      <c r="V4152">
        <v>0</v>
      </c>
      <c r="W4152">
        <v>0</v>
      </c>
      <c r="X4152">
        <v>1</v>
      </c>
      <c r="Z4152">
        <v>0</v>
      </c>
      <c r="AA4152">
        <v>9</v>
      </c>
      <c r="AB4152">
        <v>3</v>
      </c>
      <c r="AC4152">
        <v>0</v>
      </c>
      <c r="AD4152">
        <v>10</v>
      </c>
      <c r="AE4152">
        <v>0</v>
      </c>
      <c r="AF4152">
        <v>3</v>
      </c>
      <c r="AG4152">
        <v>2</v>
      </c>
      <c r="AH4152">
        <v>0</v>
      </c>
      <c r="AI4152" t="s">
        <v>944</v>
      </c>
      <c r="AJ4152">
        <v>28.261213000000001</v>
      </c>
      <c r="AK4152" t="s">
        <v>945</v>
      </c>
      <c r="AL4152">
        <v>-82.303647999999995</v>
      </c>
      <c r="AM4152">
        <v>100</v>
      </c>
      <c r="AN4152">
        <v>2300</v>
      </c>
      <c r="AO4152" t="s">
        <v>118</v>
      </c>
      <c r="AP4152">
        <v>-110</v>
      </c>
      <c r="AQ4152">
        <v>-90</v>
      </c>
      <c r="AR4152">
        <v>0</v>
      </c>
      <c r="AZ4152">
        <v>1200</v>
      </c>
      <c r="BA4152">
        <v>1</v>
      </c>
      <c r="BB4152" t="str">
        <f t="shared" si="1906"/>
        <v xml:space="preserve">N711JA  </v>
      </c>
      <c r="BC4152">
        <v>1</v>
      </c>
      <c r="BE4152">
        <v>0</v>
      </c>
      <c r="BF4152">
        <v>0</v>
      </c>
      <c r="BG4152">
        <v>0</v>
      </c>
      <c r="BH4152">
        <v>2325</v>
      </c>
      <c r="BI4152">
        <v>1</v>
      </c>
      <c r="BJ4152">
        <v>1</v>
      </c>
      <c r="BK4152">
        <v>0</v>
      </c>
      <c r="BL4152">
        <v>0</v>
      </c>
      <c r="BO4152">
        <v>0</v>
      </c>
      <c r="BP4152">
        <v>0</v>
      </c>
      <c r="BW4152" t="str">
        <f t="shared" si="1921"/>
        <v>14:48:48.759</v>
      </c>
      <c r="CJ4152">
        <v>0</v>
      </c>
      <c r="CK4152">
        <v>2</v>
      </c>
      <c r="CL4152">
        <v>0</v>
      </c>
      <c r="CM4152">
        <v>2</v>
      </c>
      <c r="CN4152">
        <v>0</v>
      </c>
      <c r="CO4152">
        <v>5</v>
      </c>
      <c r="CP4152" t="s">
        <v>119</v>
      </c>
      <c r="CQ4152">
        <v>358</v>
      </c>
      <c r="CR4152">
        <v>0</v>
      </c>
      <c r="CW4152">
        <v>5086837</v>
      </c>
      <c r="CY4152">
        <v>1</v>
      </c>
      <c r="CZ4152">
        <v>0</v>
      </c>
      <c r="DA4152">
        <v>1</v>
      </c>
      <c r="DB4152">
        <v>0</v>
      </c>
      <c r="DC4152">
        <v>0</v>
      </c>
      <c r="DD4152">
        <v>1</v>
      </c>
      <c r="DE4152">
        <v>0</v>
      </c>
      <c r="DF4152">
        <v>0</v>
      </c>
      <c r="DG4152">
        <v>0</v>
      </c>
      <c r="DH4152">
        <v>0</v>
      </c>
      <c r="DI4152">
        <v>0</v>
      </c>
    </row>
    <row r="4153" spans="1:113" x14ac:dyDescent="0.3">
      <c r="A4153" t="str">
        <f t="shared" si="1918"/>
        <v>05/12/2020 14:48:30.934</v>
      </c>
      <c r="C4153" t="str">
        <f t="shared" si="1905"/>
        <v>FFDFD3C0</v>
      </c>
      <c r="D4153" t="s">
        <v>131</v>
      </c>
      <c r="E4153">
        <v>12</v>
      </c>
      <c r="F4153">
        <v>2012</v>
      </c>
      <c r="G4153" t="s">
        <v>137</v>
      </c>
      <c r="J4153" t="s">
        <v>133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 t="shared" si="1919"/>
        <v>14:48:48.758</v>
      </c>
      <c r="T4153" t="str">
        <f t="shared" si="1920"/>
        <v>14:48:48.358</v>
      </c>
      <c r="U4153" t="str">
        <f t="shared" si="1896"/>
        <v>A9808D</v>
      </c>
      <c r="V4153">
        <v>0</v>
      </c>
      <c r="W4153">
        <v>0</v>
      </c>
      <c r="X4153">
        <v>1</v>
      </c>
      <c r="Z4153">
        <v>0</v>
      </c>
      <c r="AA4153">
        <v>9</v>
      </c>
      <c r="AB4153">
        <v>3</v>
      </c>
      <c r="AC4153">
        <v>0</v>
      </c>
      <c r="AD4153">
        <v>10</v>
      </c>
      <c r="AE4153">
        <v>0</v>
      </c>
      <c r="AF4153">
        <v>3</v>
      </c>
      <c r="AG4153">
        <v>2</v>
      </c>
      <c r="AH4153">
        <v>0</v>
      </c>
      <c r="AI4153" t="s">
        <v>944</v>
      </c>
      <c r="AJ4153">
        <v>28.261213000000001</v>
      </c>
      <c r="AK4153" t="s">
        <v>945</v>
      </c>
      <c r="AL4153">
        <v>-82.303647999999995</v>
      </c>
      <c r="AM4153">
        <v>100</v>
      </c>
      <c r="AN4153">
        <v>2300</v>
      </c>
      <c r="AO4153" t="s">
        <v>118</v>
      </c>
      <c r="AP4153">
        <v>-110</v>
      </c>
      <c r="AQ4153">
        <v>-90</v>
      </c>
      <c r="AR4153">
        <v>0</v>
      </c>
      <c r="AZ4153">
        <v>1200</v>
      </c>
      <c r="BA4153">
        <v>1</v>
      </c>
      <c r="BB4153" t="str">
        <f t="shared" si="1906"/>
        <v xml:space="preserve">N711JA  </v>
      </c>
      <c r="BC4153">
        <v>1</v>
      </c>
      <c r="BE4153">
        <v>0</v>
      </c>
      <c r="BF4153">
        <v>0</v>
      </c>
      <c r="BG4153">
        <v>0</v>
      </c>
      <c r="BH4153">
        <v>2325</v>
      </c>
      <c r="BI4153">
        <v>1</v>
      </c>
      <c r="BJ4153">
        <v>1</v>
      </c>
      <c r="BK4153">
        <v>0</v>
      </c>
      <c r="BL4153">
        <v>0</v>
      </c>
      <c r="BO4153">
        <v>0</v>
      </c>
      <c r="BP4153">
        <v>0</v>
      </c>
      <c r="BW4153" t="str">
        <f t="shared" si="1921"/>
        <v>14:48:48.759</v>
      </c>
      <c r="CJ4153">
        <v>0</v>
      </c>
      <c r="CK4153">
        <v>2</v>
      </c>
      <c r="CL4153">
        <v>0</v>
      </c>
      <c r="CM4153">
        <v>2</v>
      </c>
      <c r="CN4153">
        <v>0</v>
      </c>
      <c r="CO4153">
        <v>2</v>
      </c>
      <c r="CP4153" t="s">
        <v>675</v>
      </c>
      <c r="CQ4153">
        <v>363</v>
      </c>
      <c r="CR4153">
        <v>0</v>
      </c>
      <c r="CW4153">
        <v>6625961</v>
      </c>
      <c r="CY4153">
        <v>1</v>
      </c>
      <c r="CZ4153">
        <v>0</v>
      </c>
      <c r="DA4153">
        <v>1</v>
      </c>
      <c r="DB4153">
        <v>0</v>
      </c>
      <c r="DC4153">
        <v>0</v>
      </c>
      <c r="DD4153">
        <v>1</v>
      </c>
      <c r="DE4153">
        <v>0</v>
      </c>
      <c r="DF4153">
        <v>0</v>
      </c>
      <c r="DG4153">
        <v>0</v>
      </c>
      <c r="DH4153">
        <v>0</v>
      </c>
      <c r="DI4153">
        <v>0</v>
      </c>
    </row>
    <row r="4154" spans="1:113" x14ac:dyDescent="0.3">
      <c r="A4154" t="str">
        <f t="shared" si="1918"/>
        <v>05/12/2020 14:48:30.934</v>
      </c>
      <c r="C4154" t="str">
        <f t="shared" si="1905"/>
        <v>FFDFD3C0</v>
      </c>
      <c r="D4154" t="s">
        <v>131</v>
      </c>
      <c r="E4154">
        <v>18</v>
      </c>
      <c r="F4154">
        <v>2018</v>
      </c>
      <c r="G4154" t="s">
        <v>161</v>
      </c>
      <c r="J4154" t="s">
        <v>133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 t="shared" si="1919"/>
        <v>14:48:48.758</v>
      </c>
      <c r="T4154" t="str">
        <f t="shared" si="1920"/>
        <v>14:48:48.358</v>
      </c>
      <c r="U4154" t="str">
        <f t="shared" si="1896"/>
        <v>A9808D</v>
      </c>
      <c r="V4154">
        <v>0</v>
      </c>
      <c r="W4154">
        <v>0</v>
      </c>
      <c r="X4154">
        <v>1</v>
      </c>
      <c r="Z4154">
        <v>0</v>
      </c>
      <c r="AA4154">
        <v>9</v>
      </c>
      <c r="AB4154">
        <v>3</v>
      </c>
      <c r="AC4154">
        <v>0</v>
      </c>
      <c r="AD4154">
        <v>10</v>
      </c>
      <c r="AE4154">
        <v>0</v>
      </c>
      <c r="AF4154">
        <v>3</v>
      </c>
      <c r="AG4154">
        <v>2</v>
      </c>
      <c r="AH4154">
        <v>0</v>
      </c>
      <c r="AI4154" t="s">
        <v>944</v>
      </c>
      <c r="AJ4154">
        <v>28.261213000000001</v>
      </c>
      <c r="AK4154" t="s">
        <v>945</v>
      </c>
      <c r="AL4154">
        <v>-82.303647999999995</v>
      </c>
      <c r="AM4154">
        <v>100</v>
      </c>
      <c r="AN4154">
        <v>2300</v>
      </c>
      <c r="AO4154" t="s">
        <v>118</v>
      </c>
      <c r="AP4154">
        <v>-110</v>
      </c>
      <c r="AQ4154">
        <v>-90</v>
      </c>
      <c r="AR4154">
        <v>0</v>
      </c>
      <c r="AZ4154">
        <v>1200</v>
      </c>
      <c r="BA4154">
        <v>1</v>
      </c>
      <c r="BB4154" t="str">
        <f t="shared" si="1906"/>
        <v xml:space="preserve">N711JA  </v>
      </c>
      <c r="BC4154">
        <v>1</v>
      </c>
      <c r="BE4154">
        <v>0</v>
      </c>
      <c r="BF4154">
        <v>0</v>
      </c>
      <c r="BG4154">
        <v>0</v>
      </c>
      <c r="BH4154">
        <v>2325</v>
      </c>
      <c r="BI4154">
        <v>1</v>
      </c>
      <c r="BJ4154">
        <v>1</v>
      </c>
      <c r="BK4154">
        <v>0</v>
      </c>
      <c r="BL4154">
        <v>0</v>
      </c>
      <c r="BO4154">
        <v>0</v>
      </c>
      <c r="BP4154">
        <v>0</v>
      </c>
      <c r="BW4154" t="str">
        <f t="shared" si="1921"/>
        <v>14:48:48.759</v>
      </c>
      <c r="CJ4154">
        <v>0</v>
      </c>
      <c r="CK4154">
        <v>2</v>
      </c>
      <c r="CL4154">
        <v>0</v>
      </c>
      <c r="CM4154">
        <v>2</v>
      </c>
      <c r="CN4154">
        <v>0</v>
      </c>
      <c r="CO4154">
        <v>5</v>
      </c>
      <c r="CP4154" t="s">
        <v>119</v>
      </c>
      <c r="CQ4154">
        <v>62</v>
      </c>
      <c r="CR4154">
        <v>1</v>
      </c>
      <c r="CW4154">
        <v>13012559</v>
      </c>
      <c r="CY4154">
        <v>1</v>
      </c>
      <c r="CZ4154">
        <v>0</v>
      </c>
      <c r="DA4154">
        <v>1</v>
      </c>
      <c r="DB4154">
        <v>0</v>
      </c>
      <c r="DC4154">
        <v>0</v>
      </c>
      <c r="DD4154">
        <v>1</v>
      </c>
      <c r="DE4154">
        <v>0</v>
      </c>
      <c r="DF4154">
        <v>0</v>
      </c>
      <c r="DG4154">
        <v>0</v>
      </c>
      <c r="DH4154">
        <v>0</v>
      </c>
      <c r="DI4154">
        <v>0</v>
      </c>
    </row>
    <row r="4155" spans="1:113" x14ac:dyDescent="0.3">
      <c r="A4155" t="str">
        <f t="shared" ref="A4155:A4163" si="1922">"05/12/2020 14:48:31.946"</f>
        <v>05/12/2020 14:48:31.946</v>
      </c>
      <c r="C4155" t="str">
        <f t="shared" si="1905"/>
        <v>FFDFD3C0</v>
      </c>
      <c r="D4155" t="s">
        <v>134</v>
      </c>
      <c r="E4155">
        <v>12</v>
      </c>
      <c r="H4155">
        <v>64</v>
      </c>
      <c r="I4155" t="s">
        <v>135</v>
      </c>
      <c r="J4155" t="s">
        <v>136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 t="shared" ref="S4155:S4163" si="1923">"14:48:49.750"</f>
        <v>14:48:49.750</v>
      </c>
      <c r="T4155" t="str">
        <f t="shared" ref="T4155:T4162" si="1924">"14:48:49.250"</f>
        <v>14:48:49.250</v>
      </c>
      <c r="U4155" t="str">
        <f t="shared" si="1896"/>
        <v>A9808D</v>
      </c>
      <c r="V4155">
        <v>0</v>
      </c>
      <c r="W4155">
        <v>0</v>
      </c>
      <c r="X4155">
        <v>1</v>
      </c>
      <c r="Z4155">
        <v>0</v>
      </c>
      <c r="AA4155">
        <v>9</v>
      </c>
      <c r="AB4155">
        <v>3</v>
      </c>
      <c r="AC4155">
        <v>0</v>
      </c>
      <c r="AD4155">
        <v>10</v>
      </c>
      <c r="AE4155">
        <v>0</v>
      </c>
      <c r="AF4155">
        <v>3</v>
      </c>
      <c r="AG4155">
        <v>2</v>
      </c>
      <c r="AH4155">
        <v>0</v>
      </c>
      <c r="AI4155" t="s">
        <v>946</v>
      </c>
      <c r="AJ4155">
        <v>28.260784000000001</v>
      </c>
      <c r="AK4155" t="s">
        <v>947</v>
      </c>
      <c r="AL4155">
        <v>-82.304184000000006</v>
      </c>
      <c r="AM4155">
        <v>100</v>
      </c>
      <c r="AN4155">
        <v>2300</v>
      </c>
      <c r="AO4155" t="s">
        <v>118</v>
      </c>
      <c r="AP4155">
        <v>-109</v>
      </c>
      <c r="AQ4155">
        <v>-90</v>
      </c>
      <c r="AR4155">
        <v>-64</v>
      </c>
      <c r="AZ4155">
        <v>1200</v>
      </c>
      <c r="BA4155">
        <v>1</v>
      </c>
      <c r="BB4155" t="str">
        <f t="shared" si="1906"/>
        <v xml:space="preserve">N711JA  </v>
      </c>
      <c r="BC4155">
        <v>1</v>
      </c>
      <c r="BE4155">
        <v>0</v>
      </c>
      <c r="BF4155">
        <v>0</v>
      </c>
      <c r="BG4155">
        <v>0</v>
      </c>
      <c r="BH4155">
        <v>2325</v>
      </c>
      <c r="BI4155">
        <v>1</v>
      </c>
      <c r="BJ4155">
        <v>1</v>
      </c>
      <c r="BK4155">
        <v>0</v>
      </c>
      <c r="BL4155">
        <v>0</v>
      </c>
      <c r="BO4155">
        <v>0</v>
      </c>
      <c r="BP4155">
        <v>0</v>
      </c>
      <c r="BW4155" t="str">
        <f t="shared" ref="BW4155:BW4163" si="1925">"14:48:49.751"</f>
        <v>14:48:49.751</v>
      </c>
      <c r="CJ4155">
        <v>0</v>
      </c>
      <c r="CK4155">
        <v>2</v>
      </c>
      <c r="CL4155">
        <v>0</v>
      </c>
      <c r="CM4155">
        <v>2</v>
      </c>
      <c r="CN4155">
        <v>0</v>
      </c>
      <c r="CO4155">
        <v>5</v>
      </c>
      <c r="CP4155" t="s">
        <v>119</v>
      </c>
      <c r="CQ4155">
        <v>358</v>
      </c>
      <c r="CR4155">
        <v>0</v>
      </c>
      <c r="CW4155">
        <v>5088037</v>
      </c>
      <c r="CY4155">
        <v>1</v>
      </c>
      <c r="CZ4155">
        <v>0</v>
      </c>
      <c r="DA4155">
        <v>0</v>
      </c>
      <c r="DB4155">
        <v>0</v>
      </c>
      <c r="DC4155">
        <v>0</v>
      </c>
      <c r="DD4155">
        <v>1</v>
      </c>
      <c r="DE4155">
        <v>0</v>
      </c>
      <c r="DF4155">
        <v>0</v>
      </c>
      <c r="DG4155">
        <v>0</v>
      </c>
      <c r="DH4155">
        <v>0</v>
      </c>
      <c r="DI4155">
        <v>0</v>
      </c>
    </row>
    <row r="4156" spans="1:113" x14ac:dyDescent="0.3">
      <c r="A4156" t="str">
        <f t="shared" si="1922"/>
        <v>05/12/2020 14:48:31.946</v>
      </c>
      <c r="C4156" t="str">
        <f t="shared" si="1905"/>
        <v>FFDFD3C0</v>
      </c>
      <c r="D4156" t="s">
        <v>126</v>
      </c>
      <c r="E4156">
        <v>7</v>
      </c>
      <c r="F4156">
        <v>1007</v>
      </c>
      <c r="G4156" t="s">
        <v>127</v>
      </c>
      <c r="J4156" t="s">
        <v>128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 t="shared" si="1923"/>
        <v>14:48:49.750</v>
      </c>
      <c r="T4156" t="str">
        <f t="shared" si="1924"/>
        <v>14:48:49.250</v>
      </c>
      <c r="U4156" t="str">
        <f t="shared" si="1896"/>
        <v>A9808D</v>
      </c>
      <c r="V4156">
        <v>0</v>
      </c>
      <c r="W4156">
        <v>0</v>
      </c>
      <c r="X4156">
        <v>1</v>
      </c>
      <c r="Z4156">
        <v>0</v>
      </c>
      <c r="AA4156">
        <v>9</v>
      </c>
      <c r="AB4156">
        <v>3</v>
      </c>
      <c r="AC4156">
        <v>0</v>
      </c>
      <c r="AD4156">
        <v>10</v>
      </c>
      <c r="AE4156">
        <v>0</v>
      </c>
      <c r="AF4156">
        <v>3</v>
      </c>
      <c r="AG4156">
        <v>2</v>
      </c>
      <c r="AH4156">
        <v>0</v>
      </c>
      <c r="AI4156" t="s">
        <v>946</v>
      </c>
      <c r="AJ4156">
        <v>28.260784000000001</v>
      </c>
      <c r="AK4156" t="s">
        <v>947</v>
      </c>
      <c r="AL4156">
        <v>-82.304184000000006</v>
      </c>
      <c r="AM4156">
        <v>100</v>
      </c>
      <c r="AN4156">
        <v>2300</v>
      </c>
      <c r="AO4156" t="s">
        <v>118</v>
      </c>
      <c r="AP4156">
        <v>-109</v>
      </c>
      <c r="AQ4156">
        <v>-90</v>
      </c>
      <c r="AR4156">
        <v>-64</v>
      </c>
      <c r="AZ4156">
        <v>1200</v>
      </c>
      <c r="BA4156">
        <v>1</v>
      </c>
      <c r="BB4156" t="str">
        <f t="shared" si="1906"/>
        <v xml:space="preserve">N711JA  </v>
      </c>
      <c r="BC4156">
        <v>1</v>
      </c>
      <c r="BE4156">
        <v>0</v>
      </c>
      <c r="BF4156">
        <v>0</v>
      </c>
      <c r="BG4156">
        <v>0</v>
      </c>
      <c r="BH4156">
        <v>2325</v>
      </c>
      <c r="BI4156">
        <v>1</v>
      </c>
      <c r="BJ4156">
        <v>1</v>
      </c>
      <c r="BK4156">
        <v>0</v>
      </c>
      <c r="BL4156">
        <v>0</v>
      </c>
      <c r="BO4156">
        <v>0</v>
      </c>
      <c r="BP4156">
        <v>0</v>
      </c>
      <c r="BW4156" t="str">
        <f t="shared" si="1925"/>
        <v>14:48:49.751</v>
      </c>
      <c r="CJ4156">
        <v>0</v>
      </c>
      <c r="CK4156">
        <v>2</v>
      </c>
      <c r="CL4156">
        <v>0</v>
      </c>
      <c r="CM4156">
        <v>2</v>
      </c>
      <c r="CN4156">
        <v>0</v>
      </c>
      <c r="CO4156">
        <v>5</v>
      </c>
      <c r="CP4156" t="s">
        <v>119</v>
      </c>
      <c r="CQ4156">
        <v>358</v>
      </c>
      <c r="CR4156">
        <v>0</v>
      </c>
      <c r="CW4156">
        <v>5088037</v>
      </c>
      <c r="CY4156">
        <v>1</v>
      </c>
      <c r="CZ4156">
        <v>0</v>
      </c>
      <c r="DA4156">
        <v>1</v>
      </c>
      <c r="DB4156">
        <v>0</v>
      </c>
      <c r="DC4156">
        <v>0</v>
      </c>
      <c r="DD4156">
        <v>1</v>
      </c>
      <c r="DE4156">
        <v>0</v>
      </c>
      <c r="DF4156">
        <v>0</v>
      </c>
      <c r="DG4156">
        <v>0</v>
      </c>
      <c r="DH4156">
        <v>0</v>
      </c>
      <c r="DI4156">
        <v>0</v>
      </c>
    </row>
    <row r="4157" spans="1:113" x14ac:dyDescent="0.3">
      <c r="A4157" t="str">
        <f t="shared" si="1922"/>
        <v>05/12/2020 14:48:31.946</v>
      </c>
      <c r="C4157" t="str">
        <f t="shared" si="1905"/>
        <v>FFDFD3C0</v>
      </c>
      <c r="D4157" t="s">
        <v>126</v>
      </c>
      <c r="E4157">
        <v>6</v>
      </c>
      <c r="F4157">
        <v>1006</v>
      </c>
      <c r="G4157" t="s">
        <v>114</v>
      </c>
      <c r="J4157" t="s">
        <v>128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 t="shared" si="1923"/>
        <v>14:48:49.750</v>
      </c>
      <c r="T4157" t="str">
        <f t="shared" si="1924"/>
        <v>14:48:49.250</v>
      </c>
      <c r="U4157" t="str">
        <f t="shared" si="1896"/>
        <v>A9808D</v>
      </c>
      <c r="V4157">
        <v>0</v>
      </c>
      <c r="W4157">
        <v>0</v>
      </c>
      <c r="X4157">
        <v>1</v>
      </c>
      <c r="Z4157">
        <v>0</v>
      </c>
      <c r="AA4157">
        <v>9</v>
      </c>
      <c r="AB4157">
        <v>3</v>
      </c>
      <c r="AC4157">
        <v>0</v>
      </c>
      <c r="AD4157">
        <v>10</v>
      </c>
      <c r="AE4157">
        <v>0</v>
      </c>
      <c r="AF4157">
        <v>3</v>
      </c>
      <c r="AG4157">
        <v>2</v>
      </c>
      <c r="AH4157">
        <v>0</v>
      </c>
      <c r="AI4157" t="s">
        <v>946</v>
      </c>
      <c r="AJ4157">
        <v>28.260784000000001</v>
      </c>
      <c r="AK4157" t="s">
        <v>947</v>
      </c>
      <c r="AL4157">
        <v>-82.304184000000006</v>
      </c>
      <c r="AM4157">
        <v>100</v>
      </c>
      <c r="AN4157">
        <v>2300</v>
      </c>
      <c r="AO4157" t="s">
        <v>118</v>
      </c>
      <c r="AP4157">
        <v>-109</v>
      </c>
      <c r="AQ4157">
        <v>-90</v>
      </c>
      <c r="AR4157">
        <v>-64</v>
      </c>
      <c r="AZ4157">
        <v>1200</v>
      </c>
      <c r="BA4157">
        <v>1</v>
      </c>
      <c r="BB4157" t="str">
        <f t="shared" si="1906"/>
        <v xml:space="preserve">N711JA  </v>
      </c>
      <c r="BC4157">
        <v>1</v>
      </c>
      <c r="BE4157">
        <v>0</v>
      </c>
      <c r="BF4157">
        <v>0</v>
      </c>
      <c r="BG4157">
        <v>0</v>
      </c>
      <c r="BH4157">
        <v>2325</v>
      </c>
      <c r="BI4157">
        <v>1</v>
      </c>
      <c r="BJ4157">
        <v>1</v>
      </c>
      <c r="BK4157">
        <v>0</v>
      </c>
      <c r="BL4157">
        <v>0</v>
      </c>
      <c r="BO4157">
        <v>0</v>
      </c>
      <c r="BP4157">
        <v>0</v>
      </c>
      <c r="BW4157" t="str">
        <f t="shared" si="1925"/>
        <v>14:48:49.751</v>
      </c>
      <c r="CJ4157">
        <v>0</v>
      </c>
      <c r="CK4157">
        <v>2</v>
      </c>
      <c r="CL4157">
        <v>0</v>
      </c>
      <c r="CM4157">
        <v>2</v>
      </c>
      <c r="CN4157">
        <v>0</v>
      </c>
      <c r="CO4157">
        <v>5</v>
      </c>
      <c r="CP4157" t="s">
        <v>119</v>
      </c>
      <c r="CQ4157">
        <v>358</v>
      </c>
      <c r="CR4157">
        <v>0</v>
      </c>
      <c r="CW4157">
        <v>5088037</v>
      </c>
      <c r="CY4157">
        <v>1</v>
      </c>
      <c r="CZ4157">
        <v>0</v>
      </c>
      <c r="DA4157">
        <v>1</v>
      </c>
      <c r="DB4157">
        <v>0</v>
      </c>
      <c r="DC4157">
        <v>0</v>
      </c>
      <c r="DD4157">
        <v>1</v>
      </c>
      <c r="DE4157">
        <v>0</v>
      </c>
      <c r="DF4157">
        <v>0</v>
      </c>
      <c r="DG4157">
        <v>0</v>
      </c>
      <c r="DH4157">
        <v>0</v>
      </c>
      <c r="DI4157">
        <v>0</v>
      </c>
    </row>
    <row r="4158" spans="1:113" x14ac:dyDescent="0.3">
      <c r="A4158" t="str">
        <f t="shared" si="1922"/>
        <v>05/12/2020 14:48:31.946</v>
      </c>
      <c r="C4158" t="str">
        <f t="shared" si="1905"/>
        <v>FFDFD3C0</v>
      </c>
      <c r="D4158" t="s">
        <v>113</v>
      </c>
      <c r="E4158">
        <v>3</v>
      </c>
      <c r="H4158">
        <v>164</v>
      </c>
      <c r="I4158" t="s">
        <v>114</v>
      </c>
      <c r="J4158" t="s">
        <v>115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 t="shared" si="1923"/>
        <v>14:48:49.750</v>
      </c>
      <c r="T4158" t="str">
        <f t="shared" si="1924"/>
        <v>14:48:49.250</v>
      </c>
      <c r="U4158" t="str">
        <f t="shared" si="1896"/>
        <v>A9808D</v>
      </c>
      <c r="V4158">
        <v>0</v>
      </c>
      <c r="W4158">
        <v>0</v>
      </c>
      <c r="X4158">
        <v>1</v>
      </c>
      <c r="Z4158">
        <v>0</v>
      </c>
      <c r="AA4158">
        <v>9</v>
      </c>
      <c r="AB4158">
        <v>3</v>
      </c>
      <c r="AC4158">
        <v>0</v>
      </c>
      <c r="AD4158">
        <v>10</v>
      </c>
      <c r="AE4158">
        <v>0</v>
      </c>
      <c r="AF4158">
        <v>3</v>
      </c>
      <c r="AG4158">
        <v>2</v>
      </c>
      <c r="AH4158">
        <v>0</v>
      </c>
      <c r="AI4158" t="s">
        <v>946</v>
      </c>
      <c r="AJ4158">
        <v>28.260784000000001</v>
      </c>
      <c r="AK4158" t="s">
        <v>947</v>
      </c>
      <c r="AL4158">
        <v>-82.304184000000006</v>
      </c>
      <c r="AM4158">
        <v>100</v>
      </c>
      <c r="AN4158">
        <v>2300</v>
      </c>
      <c r="AO4158" t="s">
        <v>118</v>
      </c>
      <c r="AP4158">
        <v>-109</v>
      </c>
      <c r="AQ4158">
        <v>-90</v>
      </c>
      <c r="AR4158">
        <v>-64</v>
      </c>
      <c r="AZ4158">
        <v>1200</v>
      </c>
      <c r="BA4158">
        <v>1</v>
      </c>
      <c r="BB4158" t="str">
        <f t="shared" si="1906"/>
        <v xml:space="preserve">N711JA  </v>
      </c>
      <c r="BC4158">
        <v>1</v>
      </c>
      <c r="BE4158">
        <v>0</v>
      </c>
      <c r="BF4158">
        <v>0</v>
      </c>
      <c r="BG4158">
        <v>0</v>
      </c>
      <c r="BH4158">
        <v>2325</v>
      </c>
      <c r="BI4158">
        <v>1</v>
      </c>
      <c r="BJ4158">
        <v>1</v>
      </c>
      <c r="BK4158">
        <v>0</v>
      </c>
      <c r="BL4158">
        <v>0</v>
      </c>
      <c r="BO4158">
        <v>0</v>
      </c>
      <c r="BP4158">
        <v>0</v>
      </c>
      <c r="BW4158" t="str">
        <f t="shared" si="1925"/>
        <v>14:48:49.751</v>
      </c>
      <c r="CJ4158">
        <v>0</v>
      </c>
      <c r="CK4158">
        <v>2</v>
      </c>
      <c r="CL4158">
        <v>0</v>
      </c>
      <c r="CM4158">
        <v>2</v>
      </c>
      <c r="CN4158">
        <v>0</v>
      </c>
      <c r="CO4158">
        <v>5</v>
      </c>
      <c r="CP4158" t="s">
        <v>119</v>
      </c>
      <c r="CQ4158">
        <v>9</v>
      </c>
      <c r="CR4158">
        <v>0</v>
      </c>
      <c r="CW4158">
        <v>12938827</v>
      </c>
      <c r="CY4158">
        <v>1</v>
      </c>
      <c r="CZ4158">
        <v>0</v>
      </c>
      <c r="DA4158">
        <v>1</v>
      </c>
      <c r="DB4158">
        <v>0</v>
      </c>
      <c r="DC4158">
        <v>0</v>
      </c>
      <c r="DD4158">
        <v>1</v>
      </c>
      <c r="DE4158">
        <v>0</v>
      </c>
      <c r="DF4158">
        <v>0</v>
      </c>
      <c r="DG4158">
        <v>0</v>
      </c>
      <c r="DH4158">
        <v>0</v>
      </c>
      <c r="DI4158">
        <v>0</v>
      </c>
    </row>
    <row r="4159" spans="1:113" x14ac:dyDescent="0.3">
      <c r="A4159" t="str">
        <f t="shared" si="1922"/>
        <v>05/12/2020 14:48:31.946</v>
      </c>
      <c r="C4159" t="str">
        <f t="shared" si="1905"/>
        <v>FFDFD3C0</v>
      </c>
      <c r="D4159" t="s">
        <v>131</v>
      </c>
      <c r="E4159">
        <v>10</v>
      </c>
      <c r="F4159">
        <v>2010</v>
      </c>
      <c r="G4159" t="s">
        <v>132</v>
      </c>
      <c r="J4159" t="s">
        <v>133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 t="shared" si="1923"/>
        <v>14:48:49.750</v>
      </c>
      <c r="T4159" t="str">
        <f t="shared" si="1924"/>
        <v>14:48:49.250</v>
      </c>
      <c r="U4159" t="str">
        <f t="shared" si="1896"/>
        <v>A9808D</v>
      </c>
      <c r="V4159">
        <v>0</v>
      </c>
      <c r="W4159">
        <v>0</v>
      </c>
      <c r="X4159">
        <v>1</v>
      </c>
      <c r="Z4159">
        <v>0</v>
      </c>
      <c r="AA4159">
        <v>9</v>
      </c>
      <c r="AB4159">
        <v>3</v>
      </c>
      <c r="AC4159">
        <v>0</v>
      </c>
      <c r="AD4159">
        <v>10</v>
      </c>
      <c r="AE4159">
        <v>0</v>
      </c>
      <c r="AF4159">
        <v>3</v>
      </c>
      <c r="AG4159">
        <v>2</v>
      </c>
      <c r="AH4159">
        <v>0</v>
      </c>
      <c r="AI4159" t="s">
        <v>946</v>
      </c>
      <c r="AJ4159">
        <v>28.260784000000001</v>
      </c>
      <c r="AK4159" t="s">
        <v>947</v>
      </c>
      <c r="AL4159">
        <v>-82.304184000000006</v>
      </c>
      <c r="AM4159">
        <v>100</v>
      </c>
      <c r="AN4159">
        <v>2300</v>
      </c>
      <c r="AO4159" t="s">
        <v>118</v>
      </c>
      <c r="AP4159">
        <v>-109</v>
      </c>
      <c r="AQ4159">
        <v>-90</v>
      </c>
      <c r="AR4159">
        <v>-64</v>
      </c>
      <c r="AZ4159">
        <v>1200</v>
      </c>
      <c r="BA4159">
        <v>1</v>
      </c>
      <c r="BB4159" t="str">
        <f t="shared" si="1906"/>
        <v xml:space="preserve">N711JA  </v>
      </c>
      <c r="BC4159">
        <v>1</v>
      </c>
      <c r="BE4159">
        <v>0</v>
      </c>
      <c r="BF4159">
        <v>0</v>
      </c>
      <c r="BG4159">
        <v>0</v>
      </c>
      <c r="BH4159">
        <v>2325</v>
      </c>
      <c r="BI4159">
        <v>1</v>
      </c>
      <c r="BJ4159">
        <v>1</v>
      </c>
      <c r="BK4159">
        <v>0</v>
      </c>
      <c r="BL4159">
        <v>0</v>
      </c>
      <c r="BO4159">
        <v>0</v>
      </c>
      <c r="BP4159">
        <v>0</v>
      </c>
      <c r="BW4159" t="str">
        <f t="shared" si="1925"/>
        <v>14:48:49.751</v>
      </c>
      <c r="CJ4159">
        <v>0</v>
      </c>
      <c r="CK4159">
        <v>2</v>
      </c>
      <c r="CL4159">
        <v>0</v>
      </c>
      <c r="CM4159">
        <v>2</v>
      </c>
      <c r="CN4159">
        <v>0</v>
      </c>
      <c r="CO4159">
        <v>5</v>
      </c>
      <c r="CP4159" t="s">
        <v>119</v>
      </c>
      <c r="CQ4159">
        <v>358</v>
      </c>
      <c r="CR4159">
        <v>0</v>
      </c>
      <c r="CW4159">
        <v>5088037</v>
      </c>
      <c r="CY4159">
        <v>1</v>
      </c>
      <c r="CZ4159">
        <v>0</v>
      </c>
      <c r="DA4159">
        <v>1</v>
      </c>
      <c r="DB4159">
        <v>0</v>
      </c>
      <c r="DC4159">
        <v>0</v>
      </c>
      <c r="DD4159">
        <v>1</v>
      </c>
      <c r="DE4159">
        <v>0</v>
      </c>
      <c r="DF4159">
        <v>0</v>
      </c>
      <c r="DG4159">
        <v>0</v>
      </c>
      <c r="DH4159">
        <v>0</v>
      </c>
      <c r="DI4159">
        <v>0</v>
      </c>
    </row>
    <row r="4160" spans="1:113" x14ac:dyDescent="0.3">
      <c r="A4160" t="str">
        <f t="shared" si="1922"/>
        <v>05/12/2020 14:48:31.946</v>
      </c>
      <c r="C4160" t="str">
        <f t="shared" si="1905"/>
        <v>FFDFD3C0</v>
      </c>
      <c r="D4160" t="s">
        <v>131</v>
      </c>
      <c r="E4160">
        <v>12</v>
      </c>
      <c r="F4160">
        <v>2012</v>
      </c>
      <c r="G4160" t="s">
        <v>137</v>
      </c>
      <c r="J4160" t="s">
        <v>133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 t="shared" si="1923"/>
        <v>14:48:49.750</v>
      </c>
      <c r="T4160" t="str">
        <f t="shared" si="1924"/>
        <v>14:48:49.250</v>
      </c>
      <c r="U4160" t="str">
        <f t="shared" si="1896"/>
        <v>A9808D</v>
      </c>
      <c r="V4160">
        <v>0</v>
      </c>
      <c r="W4160">
        <v>0</v>
      </c>
      <c r="X4160">
        <v>1</v>
      </c>
      <c r="Z4160">
        <v>0</v>
      </c>
      <c r="AA4160">
        <v>9</v>
      </c>
      <c r="AB4160">
        <v>3</v>
      </c>
      <c r="AC4160">
        <v>0</v>
      </c>
      <c r="AD4160">
        <v>10</v>
      </c>
      <c r="AE4160">
        <v>0</v>
      </c>
      <c r="AF4160">
        <v>3</v>
      </c>
      <c r="AG4160">
        <v>2</v>
      </c>
      <c r="AH4160">
        <v>0</v>
      </c>
      <c r="AI4160" t="s">
        <v>946</v>
      </c>
      <c r="AJ4160">
        <v>28.260784000000001</v>
      </c>
      <c r="AK4160" t="s">
        <v>947</v>
      </c>
      <c r="AL4160">
        <v>-82.304184000000006</v>
      </c>
      <c r="AM4160">
        <v>100</v>
      </c>
      <c r="AN4160">
        <v>2300</v>
      </c>
      <c r="AO4160" t="s">
        <v>118</v>
      </c>
      <c r="AP4160">
        <v>-109</v>
      </c>
      <c r="AQ4160">
        <v>-90</v>
      </c>
      <c r="AR4160">
        <v>-64</v>
      </c>
      <c r="AZ4160">
        <v>1200</v>
      </c>
      <c r="BA4160">
        <v>1</v>
      </c>
      <c r="BB4160" t="str">
        <f t="shared" si="1906"/>
        <v xml:space="preserve">N711JA  </v>
      </c>
      <c r="BC4160">
        <v>1</v>
      </c>
      <c r="BE4160">
        <v>0</v>
      </c>
      <c r="BF4160">
        <v>0</v>
      </c>
      <c r="BG4160">
        <v>0</v>
      </c>
      <c r="BH4160">
        <v>2325</v>
      </c>
      <c r="BI4160">
        <v>1</v>
      </c>
      <c r="BJ4160">
        <v>1</v>
      </c>
      <c r="BK4160">
        <v>0</v>
      </c>
      <c r="BL4160">
        <v>0</v>
      </c>
      <c r="BO4160">
        <v>0</v>
      </c>
      <c r="BP4160">
        <v>0</v>
      </c>
      <c r="BW4160" t="str">
        <f t="shared" si="1925"/>
        <v>14:48:49.751</v>
      </c>
      <c r="CJ4160">
        <v>0</v>
      </c>
      <c r="CK4160">
        <v>2</v>
      </c>
      <c r="CL4160">
        <v>0</v>
      </c>
      <c r="CM4160">
        <v>2</v>
      </c>
      <c r="CN4160">
        <v>0</v>
      </c>
      <c r="CO4160">
        <v>1</v>
      </c>
      <c r="CP4160" t="s">
        <v>675</v>
      </c>
      <c r="CQ4160">
        <v>363</v>
      </c>
      <c r="CR4160">
        <v>0</v>
      </c>
      <c r="CW4160">
        <v>6627387</v>
      </c>
      <c r="CY4160">
        <v>1</v>
      </c>
      <c r="CZ4160">
        <v>0</v>
      </c>
      <c r="DA4160">
        <v>1</v>
      </c>
      <c r="DB4160">
        <v>0</v>
      </c>
      <c r="DC4160">
        <v>0</v>
      </c>
      <c r="DD4160">
        <v>1</v>
      </c>
      <c r="DE4160">
        <v>0</v>
      </c>
      <c r="DF4160">
        <v>0</v>
      </c>
      <c r="DG4160">
        <v>0</v>
      </c>
      <c r="DH4160">
        <v>0</v>
      </c>
      <c r="DI4160">
        <v>0</v>
      </c>
    </row>
    <row r="4161" spans="1:113" x14ac:dyDescent="0.3">
      <c r="A4161" t="str">
        <f t="shared" si="1922"/>
        <v>05/12/2020 14:48:31.946</v>
      </c>
      <c r="C4161" t="str">
        <f t="shared" si="1905"/>
        <v>FFDFD3C0</v>
      </c>
      <c r="D4161" t="s">
        <v>138</v>
      </c>
      <c r="E4161">
        <v>2</v>
      </c>
      <c r="H4161">
        <v>8</v>
      </c>
      <c r="I4161" t="s">
        <v>139</v>
      </c>
      <c r="J4161" t="s">
        <v>136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 t="shared" si="1923"/>
        <v>14:48:49.750</v>
      </c>
      <c r="T4161" t="str">
        <f t="shared" si="1924"/>
        <v>14:48:49.250</v>
      </c>
      <c r="U4161" t="str">
        <f t="shared" si="1896"/>
        <v>A9808D</v>
      </c>
      <c r="V4161">
        <v>0</v>
      </c>
      <c r="W4161">
        <v>0</v>
      </c>
      <c r="X4161">
        <v>1</v>
      </c>
      <c r="Z4161">
        <v>0</v>
      </c>
      <c r="AA4161">
        <v>9</v>
      </c>
      <c r="AB4161">
        <v>3</v>
      </c>
      <c r="AC4161">
        <v>0</v>
      </c>
      <c r="AD4161">
        <v>10</v>
      </c>
      <c r="AE4161">
        <v>0</v>
      </c>
      <c r="AF4161">
        <v>3</v>
      </c>
      <c r="AG4161">
        <v>2</v>
      </c>
      <c r="AH4161">
        <v>0</v>
      </c>
      <c r="AI4161" t="s">
        <v>946</v>
      </c>
      <c r="AJ4161">
        <v>28.260784000000001</v>
      </c>
      <c r="AK4161" t="s">
        <v>947</v>
      </c>
      <c r="AL4161">
        <v>-82.304184000000006</v>
      </c>
      <c r="AM4161">
        <v>100</v>
      </c>
      <c r="AN4161">
        <v>2300</v>
      </c>
      <c r="AO4161" t="s">
        <v>118</v>
      </c>
      <c r="AP4161">
        <v>-109</v>
      </c>
      <c r="AQ4161">
        <v>-90</v>
      </c>
      <c r="AR4161">
        <v>-64</v>
      </c>
      <c r="AZ4161">
        <v>1200</v>
      </c>
      <c r="BA4161">
        <v>1</v>
      </c>
      <c r="BB4161" t="str">
        <f t="shared" si="1906"/>
        <v xml:space="preserve">N711JA  </v>
      </c>
      <c r="BC4161">
        <v>1</v>
      </c>
      <c r="BE4161">
        <v>0</v>
      </c>
      <c r="BF4161">
        <v>0</v>
      </c>
      <c r="BG4161">
        <v>0</v>
      </c>
      <c r="BH4161">
        <v>2325</v>
      </c>
      <c r="BI4161">
        <v>1</v>
      </c>
      <c r="BJ4161">
        <v>1</v>
      </c>
      <c r="BK4161">
        <v>0</v>
      </c>
      <c r="BL4161">
        <v>0</v>
      </c>
      <c r="BO4161">
        <v>0</v>
      </c>
      <c r="BP4161">
        <v>0</v>
      </c>
      <c r="BW4161" t="str">
        <f t="shared" si="1925"/>
        <v>14:48:49.751</v>
      </c>
      <c r="CJ4161">
        <v>0</v>
      </c>
      <c r="CK4161">
        <v>2</v>
      </c>
      <c r="CL4161">
        <v>0</v>
      </c>
      <c r="CM4161">
        <v>2</v>
      </c>
      <c r="CN4161">
        <v>0</v>
      </c>
      <c r="CO4161">
        <v>1</v>
      </c>
      <c r="CP4161" t="s">
        <v>675</v>
      </c>
      <c r="CQ4161">
        <v>363</v>
      </c>
      <c r="CR4161">
        <v>0</v>
      </c>
      <c r="CW4161">
        <v>6627387</v>
      </c>
      <c r="CY4161">
        <v>1</v>
      </c>
      <c r="CZ4161">
        <v>0</v>
      </c>
      <c r="DA4161">
        <v>1</v>
      </c>
      <c r="DB4161">
        <v>0</v>
      </c>
      <c r="DC4161">
        <v>0</v>
      </c>
      <c r="DD4161">
        <v>1</v>
      </c>
      <c r="DE4161">
        <v>0</v>
      </c>
      <c r="DF4161">
        <v>0</v>
      </c>
      <c r="DG4161">
        <v>0</v>
      </c>
      <c r="DH4161">
        <v>0</v>
      </c>
      <c r="DI4161">
        <v>0</v>
      </c>
    </row>
    <row r="4162" spans="1:113" x14ac:dyDescent="0.3">
      <c r="A4162" t="str">
        <f t="shared" si="1922"/>
        <v>05/12/2020 14:48:31.946</v>
      </c>
      <c r="C4162" t="str">
        <f t="shared" si="1905"/>
        <v>FFDFD3C0</v>
      </c>
      <c r="D4162" t="s">
        <v>138</v>
      </c>
      <c r="E4162">
        <v>3</v>
      </c>
      <c r="H4162">
        <v>9</v>
      </c>
      <c r="I4162" t="s">
        <v>140</v>
      </c>
      <c r="J4162" t="s">
        <v>136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 t="shared" si="1923"/>
        <v>14:48:49.750</v>
      </c>
      <c r="T4162" t="str">
        <f t="shared" si="1924"/>
        <v>14:48:49.250</v>
      </c>
      <c r="U4162" t="str">
        <f t="shared" ref="U4162:U4225" si="1926">"A9808D"</f>
        <v>A9808D</v>
      </c>
      <c r="V4162">
        <v>0</v>
      </c>
      <c r="W4162">
        <v>0</v>
      </c>
      <c r="X4162">
        <v>1</v>
      </c>
      <c r="Z4162">
        <v>0</v>
      </c>
      <c r="AA4162">
        <v>9</v>
      </c>
      <c r="AB4162">
        <v>3</v>
      </c>
      <c r="AC4162">
        <v>0</v>
      </c>
      <c r="AD4162">
        <v>10</v>
      </c>
      <c r="AE4162">
        <v>0</v>
      </c>
      <c r="AF4162">
        <v>3</v>
      </c>
      <c r="AG4162">
        <v>2</v>
      </c>
      <c r="AH4162">
        <v>0</v>
      </c>
      <c r="AI4162" t="s">
        <v>946</v>
      </c>
      <c r="AJ4162">
        <v>28.260784000000001</v>
      </c>
      <c r="AK4162" t="s">
        <v>947</v>
      </c>
      <c r="AL4162">
        <v>-82.304184000000006</v>
      </c>
      <c r="AM4162">
        <v>100</v>
      </c>
      <c r="AN4162">
        <v>2300</v>
      </c>
      <c r="AO4162" t="s">
        <v>118</v>
      </c>
      <c r="AP4162">
        <v>-109</v>
      </c>
      <c r="AQ4162">
        <v>-90</v>
      </c>
      <c r="AR4162">
        <v>-64</v>
      </c>
      <c r="AZ4162">
        <v>1200</v>
      </c>
      <c r="BA4162">
        <v>1</v>
      </c>
      <c r="BB4162" t="str">
        <f t="shared" si="1906"/>
        <v xml:space="preserve">N711JA  </v>
      </c>
      <c r="BC4162">
        <v>1</v>
      </c>
      <c r="BE4162">
        <v>0</v>
      </c>
      <c r="BF4162">
        <v>0</v>
      </c>
      <c r="BG4162">
        <v>0</v>
      </c>
      <c r="BH4162">
        <v>2325</v>
      </c>
      <c r="BI4162">
        <v>1</v>
      </c>
      <c r="BJ4162">
        <v>1</v>
      </c>
      <c r="BK4162">
        <v>0</v>
      </c>
      <c r="BL4162">
        <v>0</v>
      </c>
      <c r="BO4162">
        <v>0</v>
      </c>
      <c r="BP4162">
        <v>0</v>
      </c>
      <c r="BW4162" t="str">
        <f t="shared" si="1925"/>
        <v>14:48:49.751</v>
      </c>
      <c r="CJ4162">
        <v>0</v>
      </c>
      <c r="CK4162">
        <v>2</v>
      </c>
      <c r="CL4162">
        <v>0</v>
      </c>
      <c r="CM4162">
        <v>2</v>
      </c>
      <c r="CN4162">
        <v>0</v>
      </c>
      <c r="CO4162">
        <v>5</v>
      </c>
      <c r="CP4162" t="s">
        <v>119</v>
      </c>
      <c r="CQ4162">
        <v>358</v>
      </c>
      <c r="CR4162">
        <v>0</v>
      </c>
      <c r="CW4162">
        <v>5088037</v>
      </c>
      <c r="CY4162">
        <v>1</v>
      </c>
      <c r="CZ4162">
        <v>0</v>
      </c>
      <c r="DA4162">
        <v>1</v>
      </c>
      <c r="DB4162">
        <v>0</v>
      </c>
      <c r="DC4162">
        <v>0</v>
      </c>
      <c r="DD4162">
        <v>1</v>
      </c>
      <c r="DE4162">
        <v>0</v>
      </c>
      <c r="DF4162">
        <v>0</v>
      </c>
      <c r="DG4162">
        <v>0</v>
      </c>
      <c r="DH4162">
        <v>0</v>
      </c>
      <c r="DI4162">
        <v>0</v>
      </c>
    </row>
    <row r="4163" spans="1:113" x14ac:dyDescent="0.3">
      <c r="A4163" t="str">
        <f t="shared" si="1922"/>
        <v>05/12/2020 14:48:31.946</v>
      </c>
      <c r="C4163" t="str">
        <f t="shared" si="1905"/>
        <v>FFDFD3C0</v>
      </c>
      <c r="D4163" t="s">
        <v>131</v>
      </c>
      <c r="E4163">
        <v>18</v>
      </c>
      <c r="F4163">
        <v>2018</v>
      </c>
      <c r="G4163" t="s">
        <v>161</v>
      </c>
      <c r="J4163" t="s">
        <v>133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 t="shared" si="1923"/>
        <v>14:48:49.750</v>
      </c>
      <c r="T4163" t="str">
        <f>"14:48:48.850"</f>
        <v>14:48:48.850</v>
      </c>
      <c r="U4163" t="str">
        <f t="shared" si="1926"/>
        <v>A9808D</v>
      </c>
      <c r="V4163">
        <v>0</v>
      </c>
      <c r="W4163">
        <v>0</v>
      </c>
      <c r="X4163">
        <v>1</v>
      </c>
      <c r="Z4163">
        <v>0</v>
      </c>
      <c r="AA4163">
        <v>9</v>
      </c>
      <c r="AB4163">
        <v>3</v>
      </c>
      <c r="AC4163">
        <v>0</v>
      </c>
      <c r="AD4163">
        <v>10</v>
      </c>
      <c r="AE4163">
        <v>0</v>
      </c>
      <c r="AF4163">
        <v>3</v>
      </c>
      <c r="AG4163">
        <v>2</v>
      </c>
      <c r="AH4163">
        <v>0</v>
      </c>
      <c r="AI4163" t="s">
        <v>946</v>
      </c>
      <c r="AJ4163">
        <v>28.260784000000001</v>
      </c>
      <c r="AK4163" t="s">
        <v>947</v>
      </c>
      <c r="AL4163">
        <v>-82.304184000000006</v>
      </c>
      <c r="AM4163">
        <v>100</v>
      </c>
      <c r="AN4163">
        <v>2300</v>
      </c>
      <c r="AO4163" t="s">
        <v>118</v>
      </c>
      <c r="AP4163">
        <v>-109</v>
      </c>
      <c r="AQ4163">
        <v>-90</v>
      </c>
      <c r="AR4163">
        <v>-64</v>
      </c>
      <c r="AZ4163">
        <v>1200</v>
      </c>
      <c r="BA4163">
        <v>1</v>
      </c>
      <c r="BB4163" t="str">
        <f t="shared" si="1906"/>
        <v xml:space="preserve">N711JA  </v>
      </c>
      <c r="BC4163">
        <v>1</v>
      </c>
      <c r="BE4163">
        <v>0</v>
      </c>
      <c r="BF4163">
        <v>0</v>
      </c>
      <c r="BG4163">
        <v>0</v>
      </c>
      <c r="BH4163">
        <v>2325</v>
      </c>
      <c r="BI4163">
        <v>1</v>
      </c>
      <c r="BJ4163">
        <v>1</v>
      </c>
      <c r="BK4163">
        <v>0</v>
      </c>
      <c r="BL4163">
        <v>0</v>
      </c>
      <c r="BO4163">
        <v>0</v>
      </c>
      <c r="BP4163">
        <v>0</v>
      </c>
      <c r="BW4163" t="str">
        <f t="shared" si="1925"/>
        <v>14:48:49.751</v>
      </c>
      <c r="CJ4163">
        <v>0</v>
      </c>
      <c r="CK4163">
        <v>2</v>
      </c>
      <c r="CL4163">
        <v>0</v>
      </c>
      <c r="CM4163">
        <v>2</v>
      </c>
      <c r="CN4163">
        <v>0</v>
      </c>
      <c r="CO4163">
        <v>5</v>
      </c>
      <c r="CP4163" t="s">
        <v>119</v>
      </c>
      <c r="CQ4163">
        <v>62</v>
      </c>
      <c r="CR4163">
        <v>1</v>
      </c>
      <c r="CW4163">
        <v>13013695</v>
      </c>
      <c r="CY4163">
        <v>1</v>
      </c>
      <c r="CZ4163">
        <v>0</v>
      </c>
      <c r="DA4163">
        <v>1</v>
      </c>
      <c r="DB4163">
        <v>0</v>
      </c>
      <c r="DC4163">
        <v>0</v>
      </c>
      <c r="DD4163">
        <v>1</v>
      </c>
      <c r="DE4163">
        <v>0</v>
      </c>
      <c r="DF4163">
        <v>0</v>
      </c>
      <c r="DG4163">
        <v>0</v>
      </c>
      <c r="DH4163">
        <v>0</v>
      </c>
      <c r="DI4163">
        <v>0</v>
      </c>
    </row>
    <row r="4164" spans="1:113" x14ac:dyDescent="0.3">
      <c r="A4164" t="str">
        <f t="shared" ref="A4164:A4170" si="1927">"05/12/2020 14:48:32.805"</f>
        <v>05/12/2020 14:48:32.805</v>
      </c>
      <c r="C4164" t="str">
        <f t="shared" si="1905"/>
        <v>FFDFD3C0</v>
      </c>
      <c r="D4164" t="s">
        <v>134</v>
      </c>
      <c r="E4164">
        <v>12</v>
      </c>
      <c r="H4164">
        <v>64</v>
      </c>
      <c r="I4164" t="s">
        <v>135</v>
      </c>
      <c r="J4164" t="s">
        <v>136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 t="shared" ref="S4164:S4170" si="1928">"14:48:50.617"</f>
        <v>14:48:50.617</v>
      </c>
      <c r="T4164" t="str">
        <f t="shared" ref="T4164:T4170" si="1929">"14:48:50.317"</f>
        <v>14:48:50.317</v>
      </c>
      <c r="U4164" t="str">
        <f t="shared" si="1926"/>
        <v>A9808D</v>
      </c>
      <c r="V4164">
        <v>0</v>
      </c>
      <c r="W4164">
        <v>0</v>
      </c>
      <c r="X4164">
        <v>1</v>
      </c>
      <c r="Z4164">
        <v>0</v>
      </c>
      <c r="AA4164">
        <v>9</v>
      </c>
      <c r="AB4164">
        <v>3</v>
      </c>
      <c r="AC4164">
        <v>0</v>
      </c>
      <c r="AD4164">
        <v>10</v>
      </c>
      <c r="AE4164">
        <v>0</v>
      </c>
      <c r="AF4164">
        <v>3</v>
      </c>
      <c r="AG4164">
        <v>2</v>
      </c>
      <c r="AH4164">
        <v>0</v>
      </c>
      <c r="AI4164" t="s">
        <v>948</v>
      </c>
      <c r="AJ4164">
        <v>28.260397999999999</v>
      </c>
      <c r="AK4164" t="s">
        <v>949</v>
      </c>
      <c r="AL4164">
        <v>-82.304721000000001</v>
      </c>
      <c r="AM4164">
        <v>100</v>
      </c>
      <c r="AN4164">
        <v>2300</v>
      </c>
      <c r="AO4164" t="s">
        <v>118</v>
      </c>
      <c r="AP4164">
        <v>-109</v>
      </c>
      <c r="AQ4164">
        <v>-91</v>
      </c>
      <c r="AR4164">
        <v>-128</v>
      </c>
      <c r="AZ4164">
        <v>1200</v>
      </c>
      <c r="BA4164">
        <v>1</v>
      </c>
      <c r="BB4164" t="str">
        <f t="shared" si="1906"/>
        <v xml:space="preserve">N711JA  </v>
      </c>
      <c r="BC4164">
        <v>1</v>
      </c>
      <c r="BE4164">
        <v>0</v>
      </c>
      <c r="BF4164">
        <v>0</v>
      </c>
      <c r="BG4164">
        <v>0</v>
      </c>
      <c r="BH4164">
        <v>2325</v>
      </c>
      <c r="BI4164">
        <v>1</v>
      </c>
      <c r="BJ4164">
        <v>1</v>
      </c>
      <c r="BK4164">
        <v>0</v>
      </c>
      <c r="BL4164">
        <v>0</v>
      </c>
      <c r="BO4164">
        <v>0</v>
      </c>
      <c r="BP4164">
        <v>0</v>
      </c>
      <c r="BW4164" t="str">
        <f>"14:48:50.620"</f>
        <v>14:48:50.620</v>
      </c>
      <c r="CJ4164">
        <v>0</v>
      </c>
      <c r="CK4164">
        <v>2</v>
      </c>
      <c r="CL4164">
        <v>0</v>
      </c>
      <c r="CM4164">
        <v>2</v>
      </c>
      <c r="CN4164">
        <v>0</v>
      </c>
      <c r="CO4164">
        <v>5</v>
      </c>
      <c r="CP4164" t="s">
        <v>119</v>
      </c>
      <c r="CQ4164">
        <v>358</v>
      </c>
      <c r="CR4164">
        <v>0</v>
      </c>
      <c r="CW4164">
        <v>5089007</v>
      </c>
      <c r="CY4164">
        <v>1</v>
      </c>
      <c r="CZ4164">
        <v>0</v>
      </c>
      <c r="DA4164">
        <v>0</v>
      </c>
      <c r="DB4164">
        <v>0</v>
      </c>
      <c r="DC4164">
        <v>0</v>
      </c>
      <c r="DD4164">
        <v>1</v>
      </c>
      <c r="DE4164">
        <v>0</v>
      </c>
      <c r="DF4164">
        <v>0</v>
      </c>
      <c r="DG4164">
        <v>0</v>
      </c>
      <c r="DH4164">
        <v>0</v>
      </c>
      <c r="DI4164">
        <v>0</v>
      </c>
    </row>
    <row r="4165" spans="1:113" x14ac:dyDescent="0.3">
      <c r="A4165" t="str">
        <f t="shared" si="1927"/>
        <v>05/12/2020 14:48:32.805</v>
      </c>
      <c r="C4165" t="str">
        <f t="shared" si="1905"/>
        <v>FFDFD3C0</v>
      </c>
      <c r="D4165" t="s">
        <v>126</v>
      </c>
      <c r="E4165">
        <v>7</v>
      </c>
      <c r="F4165">
        <v>1007</v>
      </c>
      <c r="G4165" t="s">
        <v>127</v>
      </c>
      <c r="J4165" t="s">
        <v>128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 t="shared" si="1928"/>
        <v>14:48:50.617</v>
      </c>
      <c r="T4165" t="str">
        <f t="shared" si="1929"/>
        <v>14:48:50.317</v>
      </c>
      <c r="U4165" t="str">
        <f t="shared" si="1926"/>
        <v>A9808D</v>
      </c>
      <c r="V4165">
        <v>0</v>
      </c>
      <c r="W4165">
        <v>0</v>
      </c>
      <c r="X4165">
        <v>1</v>
      </c>
      <c r="Z4165">
        <v>0</v>
      </c>
      <c r="AA4165">
        <v>9</v>
      </c>
      <c r="AB4165">
        <v>3</v>
      </c>
      <c r="AC4165">
        <v>0</v>
      </c>
      <c r="AD4165">
        <v>10</v>
      </c>
      <c r="AE4165">
        <v>0</v>
      </c>
      <c r="AF4165">
        <v>3</v>
      </c>
      <c r="AG4165">
        <v>2</v>
      </c>
      <c r="AH4165">
        <v>0</v>
      </c>
      <c r="AI4165" t="s">
        <v>948</v>
      </c>
      <c r="AJ4165">
        <v>28.260397999999999</v>
      </c>
      <c r="AK4165" t="s">
        <v>949</v>
      </c>
      <c r="AL4165">
        <v>-82.304721000000001</v>
      </c>
      <c r="AM4165">
        <v>100</v>
      </c>
      <c r="AN4165">
        <v>2300</v>
      </c>
      <c r="AO4165" t="s">
        <v>118</v>
      </c>
      <c r="AP4165">
        <v>-109</v>
      </c>
      <c r="AQ4165">
        <v>-91</v>
      </c>
      <c r="AR4165">
        <v>-128</v>
      </c>
      <c r="AZ4165">
        <v>1200</v>
      </c>
      <c r="BA4165">
        <v>1</v>
      </c>
      <c r="BB4165" t="str">
        <f t="shared" si="1906"/>
        <v xml:space="preserve">N711JA  </v>
      </c>
      <c r="BC4165">
        <v>1</v>
      </c>
      <c r="BE4165">
        <v>0</v>
      </c>
      <c r="BF4165">
        <v>0</v>
      </c>
      <c r="BG4165">
        <v>0</v>
      </c>
      <c r="BH4165">
        <v>2325</v>
      </c>
      <c r="BI4165">
        <v>1</v>
      </c>
      <c r="BJ4165">
        <v>1</v>
      </c>
      <c r="BK4165">
        <v>0</v>
      </c>
      <c r="BL4165">
        <v>0</v>
      </c>
      <c r="BO4165">
        <v>0</v>
      </c>
      <c r="BP4165">
        <v>0</v>
      </c>
      <c r="BW4165" t="str">
        <f>"14:48:50.621"</f>
        <v>14:48:50.621</v>
      </c>
      <c r="CJ4165">
        <v>0</v>
      </c>
      <c r="CK4165">
        <v>2</v>
      </c>
      <c r="CL4165">
        <v>0</v>
      </c>
      <c r="CM4165">
        <v>2</v>
      </c>
      <c r="CN4165">
        <v>0</v>
      </c>
      <c r="CO4165">
        <v>5</v>
      </c>
      <c r="CP4165" t="s">
        <v>119</v>
      </c>
      <c r="CQ4165">
        <v>62</v>
      </c>
      <c r="CR4165">
        <v>1</v>
      </c>
      <c r="CW4165">
        <v>13014583</v>
      </c>
      <c r="CY4165">
        <v>1</v>
      </c>
      <c r="CZ4165">
        <v>0</v>
      </c>
      <c r="DA4165">
        <v>1</v>
      </c>
      <c r="DB4165">
        <v>0</v>
      </c>
      <c r="DC4165">
        <v>0</v>
      </c>
      <c r="DD4165">
        <v>1</v>
      </c>
      <c r="DE4165">
        <v>0</v>
      </c>
      <c r="DF4165">
        <v>0</v>
      </c>
      <c r="DG4165">
        <v>0</v>
      </c>
      <c r="DH4165">
        <v>0</v>
      </c>
      <c r="DI4165">
        <v>0</v>
      </c>
    </row>
    <row r="4166" spans="1:113" x14ac:dyDescent="0.3">
      <c r="A4166" t="str">
        <f t="shared" si="1927"/>
        <v>05/12/2020 14:48:32.805</v>
      </c>
      <c r="C4166" t="str">
        <f t="shared" si="1905"/>
        <v>FFDFD3C0</v>
      </c>
      <c r="D4166" t="s">
        <v>131</v>
      </c>
      <c r="E4166">
        <v>10</v>
      </c>
      <c r="F4166">
        <v>2010</v>
      </c>
      <c r="G4166" t="s">
        <v>132</v>
      </c>
      <c r="J4166" t="s">
        <v>133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 t="shared" si="1928"/>
        <v>14:48:50.617</v>
      </c>
      <c r="T4166" t="str">
        <f t="shared" si="1929"/>
        <v>14:48:50.317</v>
      </c>
      <c r="U4166" t="str">
        <f t="shared" si="1926"/>
        <v>A9808D</v>
      </c>
      <c r="V4166">
        <v>0</v>
      </c>
      <c r="W4166">
        <v>0</v>
      </c>
      <c r="X4166">
        <v>1</v>
      </c>
      <c r="Z4166">
        <v>0</v>
      </c>
      <c r="AA4166">
        <v>9</v>
      </c>
      <c r="AB4166">
        <v>3</v>
      </c>
      <c r="AC4166">
        <v>0</v>
      </c>
      <c r="AD4166">
        <v>10</v>
      </c>
      <c r="AE4166">
        <v>0</v>
      </c>
      <c r="AF4166">
        <v>3</v>
      </c>
      <c r="AG4166">
        <v>2</v>
      </c>
      <c r="AH4166">
        <v>0</v>
      </c>
      <c r="AI4166" t="s">
        <v>948</v>
      </c>
      <c r="AJ4166">
        <v>28.260397999999999</v>
      </c>
      <c r="AK4166" t="s">
        <v>949</v>
      </c>
      <c r="AL4166">
        <v>-82.304721000000001</v>
      </c>
      <c r="AM4166">
        <v>100</v>
      </c>
      <c r="AN4166">
        <v>2300</v>
      </c>
      <c r="AO4166" t="s">
        <v>118</v>
      </c>
      <c r="AP4166">
        <v>-109</v>
      </c>
      <c r="AQ4166">
        <v>-91</v>
      </c>
      <c r="AR4166">
        <v>-128</v>
      </c>
      <c r="AZ4166">
        <v>1200</v>
      </c>
      <c r="BA4166">
        <v>1</v>
      </c>
      <c r="BB4166" t="str">
        <f t="shared" si="1906"/>
        <v xml:space="preserve">N711JA  </v>
      </c>
      <c r="BC4166">
        <v>1</v>
      </c>
      <c r="BE4166">
        <v>0</v>
      </c>
      <c r="BF4166">
        <v>0</v>
      </c>
      <c r="BG4166">
        <v>0</v>
      </c>
      <c r="BH4166">
        <v>2325</v>
      </c>
      <c r="BI4166">
        <v>1</v>
      </c>
      <c r="BJ4166">
        <v>1</v>
      </c>
      <c r="BK4166">
        <v>0</v>
      </c>
      <c r="BL4166">
        <v>0</v>
      </c>
      <c r="BO4166">
        <v>0</v>
      </c>
      <c r="BP4166">
        <v>0</v>
      </c>
      <c r="BW4166" t="str">
        <f>"14:48:50.620"</f>
        <v>14:48:50.620</v>
      </c>
      <c r="CJ4166">
        <v>0</v>
      </c>
      <c r="CK4166">
        <v>2</v>
      </c>
      <c r="CL4166">
        <v>0</v>
      </c>
      <c r="CM4166">
        <v>2</v>
      </c>
      <c r="CN4166">
        <v>0</v>
      </c>
      <c r="CO4166">
        <v>5</v>
      </c>
      <c r="CP4166" t="s">
        <v>119</v>
      </c>
      <c r="CQ4166">
        <v>358</v>
      </c>
      <c r="CR4166">
        <v>0</v>
      </c>
      <c r="CW4166">
        <v>5089007</v>
      </c>
      <c r="CY4166">
        <v>1</v>
      </c>
      <c r="CZ4166">
        <v>0</v>
      </c>
      <c r="DA4166">
        <v>1</v>
      </c>
      <c r="DB4166">
        <v>0</v>
      </c>
      <c r="DC4166">
        <v>0</v>
      </c>
      <c r="DD4166">
        <v>1</v>
      </c>
      <c r="DE4166">
        <v>0</v>
      </c>
      <c r="DF4166">
        <v>0</v>
      </c>
      <c r="DG4166">
        <v>0</v>
      </c>
      <c r="DH4166">
        <v>0</v>
      </c>
      <c r="DI4166">
        <v>0</v>
      </c>
    </row>
    <row r="4167" spans="1:113" x14ac:dyDescent="0.3">
      <c r="A4167" t="str">
        <f t="shared" si="1927"/>
        <v>05/12/2020 14:48:32.805</v>
      </c>
      <c r="C4167" t="str">
        <f t="shared" si="1905"/>
        <v>FFDFD3C0</v>
      </c>
      <c r="D4167" t="s">
        <v>126</v>
      </c>
      <c r="E4167">
        <v>6</v>
      </c>
      <c r="F4167">
        <v>1006</v>
      </c>
      <c r="G4167" t="s">
        <v>114</v>
      </c>
      <c r="J4167" t="s">
        <v>128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 t="shared" si="1928"/>
        <v>14:48:50.617</v>
      </c>
      <c r="T4167" t="str">
        <f t="shared" si="1929"/>
        <v>14:48:50.317</v>
      </c>
      <c r="U4167" t="str">
        <f t="shared" si="1926"/>
        <v>A9808D</v>
      </c>
      <c r="V4167">
        <v>0</v>
      </c>
      <c r="W4167">
        <v>0</v>
      </c>
      <c r="X4167">
        <v>1</v>
      </c>
      <c r="Z4167">
        <v>0</v>
      </c>
      <c r="AA4167">
        <v>9</v>
      </c>
      <c r="AB4167">
        <v>3</v>
      </c>
      <c r="AC4167">
        <v>0</v>
      </c>
      <c r="AD4167">
        <v>10</v>
      </c>
      <c r="AE4167">
        <v>0</v>
      </c>
      <c r="AF4167">
        <v>3</v>
      </c>
      <c r="AG4167">
        <v>2</v>
      </c>
      <c r="AH4167">
        <v>0</v>
      </c>
      <c r="AI4167" t="s">
        <v>948</v>
      </c>
      <c r="AJ4167">
        <v>28.260397999999999</v>
      </c>
      <c r="AK4167" t="s">
        <v>949</v>
      </c>
      <c r="AL4167">
        <v>-82.304721000000001</v>
      </c>
      <c r="AM4167">
        <v>100</v>
      </c>
      <c r="AN4167">
        <v>2300</v>
      </c>
      <c r="AO4167" t="s">
        <v>118</v>
      </c>
      <c r="AP4167">
        <v>-109</v>
      </c>
      <c r="AQ4167">
        <v>-91</v>
      </c>
      <c r="AR4167">
        <v>-128</v>
      </c>
      <c r="AZ4167">
        <v>1200</v>
      </c>
      <c r="BA4167">
        <v>1</v>
      </c>
      <c r="BB4167" t="str">
        <f t="shared" si="1906"/>
        <v xml:space="preserve">N711JA  </v>
      </c>
      <c r="BC4167">
        <v>1</v>
      </c>
      <c r="BE4167">
        <v>0</v>
      </c>
      <c r="BF4167">
        <v>0</v>
      </c>
      <c r="BG4167">
        <v>0</v>
      </c>
      <c r="BH4167">
        <v>2325</v>
      </c>
      <c r="BI4167">
        <v>1</v>
      </c>
      <c r="BJ4167">
        <v>1</v>
      </c>
      <c r="BK4167">
        <v>0</v>
      </c>
      <c r="BL4167">
        <v>0</v>
      </c>
      <c r="BO4167">
        <v>0</v>
      </c>
      <c r="BP4167">
        <v>0</v>
      </c>
      <c r="BW4167" t="str">
        <f>"14:48:50.621"</f>
        <v>14:48:50.621</v>
      </c>
      <c r="CJ4167">
        <v>0</v>
      </c>
      <c r="CK4167">
        <v>2</v>
      </c>
      <c r="CL4167">
        <v>0</v>
      </c>
      <c r="CM4167">
        <v>2</v>
      </c>
      <c r="CN4167">
        <v>0</v>
      </c>
      <c r="CO4167">
        <v>5</v>
      </c>
      <c r="CP4167" t="s">
        <v>119</v>
      </c>
      <c r="CQ4167">
        <v>62</v>
      </c>
      <c r="CR4167">
        <v>1</v>
      </c>
      <c r="CW4167">
        <v>13014583</v>
      </c>
      <c r="CY4167">
        <v>1</v>
      </c>
      <c r="CZ4167">
        <v>0</v>
      </c>
      <c r="DA4167">
        <v>1</v>
      </c>
      <c r="DB4167">
        <v>0</v>
      </c>
      <c r="DC4167">
        <v>0</v>
      </c>
      <c r="DD4167">
        <v>1</v>
      </c>
      <c r="DE4167">
        <v>0</v>
      </c>
      <c r="DF4167">
        <v>0</v>
      </c>
      <c r="DG4167">
        <v>0</v>
      </c>
      <c r="DH4167">
        <v>0</v>
      </c>
      <c r="DI4167">
        <v>0</v>
      </c>
    </row>
    <row r="4168" spans="1:113" x14ac:dyDescent="0.3">
      <c r="A4168" t="str">
        <f t="shared" si="1927"/>
        <v>05/12/2020 14:48:32.805</v>
      </c>
      <c r="C4168" t="str">
        <f t="shared" si="1905"/>
        <v>FFDFD3C0</v>
      </c>
      <c r="D4168" t="s">
        <v>113</v>
      </c>
      <c r="E4168">
        <v>3</v>
      </c>
      <c r="H4168">
        <v>164</v>
      </c>
      <c r="I4168" t="s">
        <v>114</v>
      </c>
      <c r="J4168" t="s">
        <v>115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 t="shared" si="1928"/>
        <v>14:48:50.617</v>
      </c>
      <c r="T4168" t="str">
        <f t="shared" si="1929"/>
        <v>14:48:50.317</v>
      </c>
      <c r="U4168" t="str">
        <f t="shared" si="1926"/>
        <v>A9808D</v>
      </c>
      <c r="V4168">
        <v>0</v>
      </c>
      <c r="W4168">
        <v>0</v>
      </c>
      <c r="X4168">
        <v>1</v>
      </c>
      <c r="Z4168">
        <v>0</v>
      </c>
      <c r="AA4168">
        <v>9</v>
      </c>
      <c r="AB4168">
        <v>3</v>
      </c>
      <c r="AC4168">
        <v>0</v>
      </c>
      <c r="AD4168">
        <v>10</v>
      </c>
      <c r="AE4168">
        <v>0</v>
      </c>
      <c r="AF4168">
        <v>3</v>
      </c>
      <c r="AG4168">
        <v>2</v>
      </c>
      <c r="AH4168">
        <v>0</v>
      </c>
      <c r="AI4168" t="s">
        <v>948</v>
      </c>
      <c r="AJ4168">
        <v>28.260397999999999</v>
      </c>
      <c r="AK4168" t="s">
        <v>949</v>
      </c>
      <c r="AL4168">
        <v>-82.304721000000001</v>
      </c>
      <c r="AM4168">
        <v>100</v>
      </c>
      <c r="AN4168">
        <v>2300</v>
      </c>
      <c r="AO4168" t="s">
        <v>118</v>
      </c>
      <c r="AP4168">
        <v>-109</v>
      </c>
      <c r="AQ4168">
        <v>-91</v>
      </c>
      <c r="AR4168">
        <v>-128</v>
      </c>
      <c r="AZ4168">
        <v>1200</v>
      </c>
      <c r="BA4168">
        <v>1</v>
      </c>
      <c r="BB4168" t="str">
        <f t="shared" si="1906"/>
        <v xml:space="preserve">N711JA  </v>
      </c>
      <c r="BC4168">
        <v>1</v>
      </c>
      <c r="BE4168">
        <v>0</v>
      </c>
      <c r="BF4168">
        <v>0</v>
      </c>
      <c r="BG4168">
        <v>0</v>
      </c>
      <c r="BH4168">
        <v>2325</v>
      </c>
      <c r="BI4168">
        <v>1</v>
      </c>
      <c r="BJ4168">
        <v>1</v>
      </c>
      <c r="BK4168">
        <v>0</v>
      </c>
      <c r="BL4168">
        <v>0</v>
      </c>
      <c r="BO4168">
        <v>0</v>
      </c>
      <c r="BP4168">
        <v>0</v>
      </c>
      <c r="BW4168" t="str">
        <f>"14:48:50.621"</f>
        <v>14:48:50.621</v>
      </c>
      <c r="CJ4168">
        <v>0</v>
      </c>
      <c r="CK4168">
        <v>2</v>
      </c>
      <c r="CL4168">
        <v>0</v>
      </c>
      <c r="CM4168">
        <v>2</v>
      </c>
      <c r="CN4168">
        <v>0</v>
      </c>
      <c r="CO4168">
        <v>5</v>
      </c>
      <c r="CP4168" t="s">
        <v>119</v>
      </c>
      <c r="CQ4168">
        <v>62</v>
      </c>
      <c r="CR4168">
        <v>1</v>
      </c>
      <c r="CW4168">
        <v>13014583</v>
      </c>
      <c r="CY4168">
        <v>1</v>
      </c>
      <c r="CZ4168">
        <v>0</v>
      </c>
      <c r="DA4168">
        <v>1</v>
      </c>
      <c r="DB4168">
        <v>0</v>
      </c>
      <c r="DC4168">
        <v>0</v>
      </c>
      <c r="DD4168">
        <v>1</v>
      </c>
      <c r="DE4168">
        <v>0</v>
      </c>
      <c r="DF4168">
        <v>0</v>
      </c>
      <c r="DG4168">
        <v>0</v>
      </c>
      <c r="DH4168">
        <v>0</v>
      </c>
      <c r="DI4168">
        <v>0</v>
      </c>
    </row>
    <row r="4169" spans="1:113" x14ac:dyDescent="0.3">
      <c r="A4169" t="str">
        <f t="shared" si="1927"/>
        <v>05/12/2020 14:48:32.805</v>
      </c>
      <c r="C4169" t="str">
        <f t="shared" si="1905"/>
        <v>FFDFD3C0</v>
      </c>
      <c r="D4169" t="s">
        <v>138</v>
      </c>
      <c r="E4169">
        <v>3</v>
      </c>
      <c r="H4169">
        <v>9</v>
      </c>
      <c r="I4169" t="s">
        <v>140</v>
      </c>
      <c r="J4169" t="s">
        <v>136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 t="shared" si="1928"/>
        <v>14:48:50.617</v>
      </c>
      <c r="T4169" t="str">
        <f t="shared" si="1929"/>
        <v>14:48:50.317</v>
      </c>
      <c r="U4169" t="str">
        <f t="shared" si="1926"/>
        <v>A9808D</v>
      </c>
      <c r="V4169">
        <v>0</v>
      </c>
      <c r="W4169">
        <v>0</v>
      </c>
      <c r="X4169">
        <v>1</v>
      </c>
      <c r="Z4169">
        <v>0</v>
      </c>
      <c r="AA4169">
        <v>9</v>
      </c>
      <c r="AB4169">
        <v>3</v>
      </c>
      <c r="AC4169">
        <v>0</v>
      </c>
      <c r="AD4169">
        <v>10</v>
      </c>
      <c r="AE4169">
        <v>0</v>
      </c>
      <c r="AF4169">
        <v>3</v>
      </c>
      <c r="AG4169">
        <v>2</v>
      </c>
      <c r="AH4169">
        <v>0</v>
      </c>
      <c r="AI4169" t="s">
        <v>948</v>
      </c>
      <c r="AJ4169">
        <v>28.260397999999999</v>
      </c>
      <c r="AK4169" t="s">
        <v>949</v>
      </c>
      <c r="AL4169">
        <v>-82.304721000000001</v>
      </c>
      <c r="AM4169">
        <v>100</v>
      </c>
      <c r="AN4169">
        <v>2300</v>
      </c>
      <c r="AO4169" t="s">
        <v>118</v>
      </c>
      <c r="AP4169">
        <v>-109</v>
      </c>
      <c r="AQ4169">
        <v>-91</v>
      </c>
      <c r="AR4169">
        <v>-128</v>
      </c>
      <c r="AZ4169">
        <v>1200</v>
      </c>
      <c r="BA4169">
        <v>1</v>
      </c>
      <c r="BB4169" t="str">
        <f t="shared" si="1906"/>
        <v xml:space="preserve">N711JA  </v>
      </c>
      <c r="BC4169">
        <v>1</v>
      </c>
      <c r="BE4169">
        <v>0</v>
      </c>
      <c r="BF4169">
        <v>0</v>
      </c>
      <c r="BG4169">
        <v>0</v>
      </c>
      <c r="BH4169">
        <v>2325</v>
      </c>
      <c r="BI4169">
        <v>1</v>
      </c>
      <c r="BJ4169">
        <v>1</v>
      </c>
      <c r="BK4169">
        <v>0</v>
      </c>
      <c r="BL4169">
        <v>0</v>
      </c>
      <c r="BO4169">
        <v>0</v>
      </c>
      <c r="BP4169">
        <v>0</v>
      </c>
      <c r="BW4169" t="str">
        <f>"14:48:50.620"</f>
        <v>14:48:50.620</v>
      </c>
      <c r="CJ4169">
        <v>0</v>
      </c>
      <c r="CK4169">
        <v>2</v>
      </c>
      <c r="CL4169">
        <v>0</v>
      </c>
      <c r="CM4169">
        <v>2</v>
      </c>
      <c r="CN4169">
        <v>0</v>
      </c>
      <c r="CO4169">
        <v>5</v>
      </c>
      <c r="CP4169" t="s">
        <v>119</v>
      </c>
      <c r="CQ4169">
        <v>358</v>
      </c>
      <c r="CR4169">
        <v>0</v>
      </c>
      <c r="CW4169">
        <v>5089007</v>
      </c>
      <c r="CY4169">
        <v>1</v>
      </c>
      <c r="CZ4169">
        <v>0</v>
      </c>
      <c r="DA4169">
        <v>1</v>
      </c>
      <c r="DB4169">
        <v>0</v>
      </c>
      <c r="DC4169">
        <v>0</v>
      </c>
      <c r="DD4169">
        <v>1</v>
      </c>
      <c r="DE4169">
        <v>0</v>
      </c>
      <c r="DF4169">
        <v>0</v>
      </c>
      <c r="DG4169">
        <v>0</v>
      </c>
      <c r="DH4169">
        <v>0</v>
      </c>
      <c r="DI4169">
        <v>0</v>
      </c>
    </row>
    <row r="4170" spans="1:113" x14ac:dyDescent="0.3">
      <c r="A4170" t="str">
        <f t="shared" si="1927"/>
        <v>05/12/2020 14:48:32.805</v>
      </c>
      <c r="C4170" t="str">
        <f t="shared" si="1905"/>
        <v>FFDFD3C0</v>
      </c>
      <c r="D4170" t="s">
        <v>131</v>
      </c>
      <c r="E4170">
        <v>18</v>
      </c>
      <c r="F4170">
        <v>2018</v>
      </c>
      <c r="G4170" t="s">
        <v>161</v>
      </c>
      <c r="J4170" t="s">
        <v>133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 t="shared" si="1928"/>
        <v>14:48:50.617</v>
      </c>
      <c r="T4170" t="str">
        <f t="shared" si="1929"/>
        <v>14:48:50.317</v>
      </c>
      <c r="U4170" t="str">
        <f t="shared" si="1926"/>
        <v>A9808D</v>
      </c>
      <c r="V4170">
        <v>0</v>
      </c>
      <c r="W4170">
        <v>0</v>
      </c>
      <c r="X4170">
        <v>1</v>
      </c>
      <c r="Z4170">
        <v>0</v>
      </c>
      <c r="AA4170">
        <v>9</v>
      </c>
      <c r="AB4170">
        <v>3</v>
      </c>
      <c r="AC4170">
        <v>0</v>
      </c>
      <c r="AD4170">
        <v>10</v>
      </c>
      <c r="AE4170">
        <v>0</v>
      </c>
      <c r="AF4170">
        <v>3</v>
      </c>
      <c r="AG4170">
        <v>2</v>
      </c>
      <c r="AH4170">
        <v>0</v>
      </c>
      <c r="AI4170" t="s">
        <v>948</v>
      </c>
      <c r="AJ4170">
        <v>28.260397999999999</v>
      </c>
      <c r="AK4170" t="s">
        <v>949</v>
      </c>
      <c r="AL4170">
        <v>-82.304721000000001</v>
      </c>
      <c r="AM4170">
        <v>100</v>
      </c>
      <c r="AN4170">
        <v>2300</v>
      </c>
      <c r="AO4170" t="s">
        <v>118</v>
      </c>
      <c r="AP4170">
        <v>-109</v>
      </c>
      <c r="AQ4170">
        <v>-91</v>
      </c>
      <c r="AR4170">
        <v>-128</v>
      </c>
      <c r="AZ4170">
        <v>1200</v>
      </c>
      <c r="BA4170">
        <v>1</v>
      </c>
      <c r="BB4170" t="str">
        <f t="shared" si="1906"/>
        <v xml:space="preserve">N711JA  </v>
      </c>
      <c r="BC4170">
        <v>1</v>
      </c>
      <c r="BE4170">
        <v>0</v>
      </c>
      <c r="BF4170">
        <v>0</v>
      </c>
      <c r="BG4170">
        <v>0</v>
      </c>
      <c r="BH4170">
        <v>2325</v>
      </c>
      <c r="BI4170">
        <v>1</v>
      </c>
      <c r="BJ4170">
        <v>1</v>
      </c>
      <c r="BK4170">
        <v>0</v>
      </c>
      <c r="BL4170">
        <v>0</v>
      </c>
      <c r="BO4170">
        <v>0</v>
      </c>
      <c r="BP4170">
        <v>0</v>
      </c>
      <c r="BW4170" t="str">
        <f>"14:48:50.621"</f>
        <v>14:48:50.621</v>
      </c>
      <c r="CJ4170">
        <v>0</v>
      </c>
      <c r="CK4170">
        <v>2</v>
      </c>
      <c r="CL4170">
        <v>0</v>
      </c>
      <c r="CM4170">
        <v>2</v>
      </c>
      <c r="CN4170">
        <v>0</v>
      </c>
      <c r="CO4170">
        <v>5</v>
      </c>
      <c r="CP4170" t="s">
        <v>119</v>
      </c>
      <c r="CQ4170">
        <v>62</v>
      </c>
      <c r="CR4170">
        <v>1</v>
      </c>
      <c r="CW4170">
        <v>13014583</v>
      </c>
      <c r="CY4170">
        <v>1</v>
      </c>
      <c r="CZ4170">
        <v>0</v>
      </c>
      <c r="DA4170">
        <v>1</v>
      </c>
      <c r="DB4170">
        <v>0</v>
      </c>
      <c r="DC4170">
        <v>0</v>
      </c>
      <c r="DD4170">
        <v>1</v>
      </c>
      <c r="DE4170">
        <v>0</v>
      </c>
      <c r="DF4170">
        <v>0</v>
      </c>
      <c r="DG4170">
        <v>0</v>
      </c>
      <c r="DH4170">
        <v>0</v>
      </c>
      <c r="DI4170">
        <v>0</v>
      </c>
    </row>
    <row r="4171" spans="1:113" x14ac:dyDescent="0.3">
      <c r="A4171" t="str">
        <f t="shared" ref="A4171:A4179" si="1930">"05/12/2020 14:48:33.765"</f>
        <v>05/12/2020 14:48:33.765</v>
      </c>
      <c r="C4171" t="str">
        <f t="shared" si="1905"/>
        <v>FFDFD3C0</v>
      </c>
      <c r="D4171" t="s">
        <v>131</v>
      </c>
      <c r="E4171">
        <v>10</v>
      </c>
      <c r="F4171">
        <v>2010</v>
      </c>
      <c r="G4171" t="s">
        <v>132</v>
      </c>
      <c r="J4171" t="s">
        <v>133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>"14:48:51.586"</f>
        <v>14:48:51.586</v>
      </c>
      <c r="T4171" t="str">
        <f>"14:48:51.586"</f>
        <v>14:48:51.586</v>
      </c>
      <c r="U4171" t="str">
        <f t="shared" si="1926"/>
        <v>A9808D</v>
      </c>
      <c r="V4171">
        <v>0</v>
      </c>
      <c r="W4171">
        <v>0</v>
      </c>
      <c r="X4171">
        <v>1</v>
      </c>
      <c r="Z4171">
        <v>0</v>
      </c>
      <c r="AA4171">
        <v>9</v>
      </c>
      <c r="AB4171">
        <v>3</v>
      </c>
      <c r="AC4171">
        <v>0</v>
      </c>
      <c r="AD4171">
        <v>10</v>
      </c>
      <c r="AE4171">
        <v>0</v>
      </c>
      <c r="AF4171">
        <v>3</v>
      </c>
      <c r="AG4171">
        <v>2</v>
      </c>
      <c r="AH4171">
        <v>0</v>
      </c>
      <c r="AI4171" t="s">
        <v>565</v>
      </c>
      <c r="AJ4171">
        <v>28.259989999999998</v>
      </c>
      <c r="AK4171" t="s">
        <v>950</v>
      </c>
      <c r="AL4171">
        <v>-82.305235999999994</v>
      </c>
      <c r="AM4171">
        <v>100</v>
      </c>
      <c r="AN4171">
        <v>2300</v>
      </c>
      <c r="AO4171" t="s">
        <v>118</v>
      </c>
      <c r="AP4171">
        <v>-108</v>
      </c>
      <c r="AQ4171">
        <v>-92</v>
      </c>
      <c r="AR4171">
        <v>-128</v>
      </c>
      <c r="AZ4171">
        <v>1200</v>
      </c>
      <c r="BA4171">
        <v>1</v>
      </c>
      <c r="BB4171" t="str">
        <f t="shared" si="1906"/>
        <v xml:space="preserve">N711JA  </v>
      </c>
      <c r="BC4171">
        <v>1</v>
      </c>
      <c r="BE4171">
        <v>0</v>
      </c>
      <c r="BF4171">
        <v>0</v>
      </c>
      <c r="BG4171">
        <v>0</v>
      </c>
      <c r="BH4171">
        <v>2300</v>
      </c>
      <c r="BI4171">
        <v>1</v>
      </c>
      <c r="BJ4171">
        <v>1</v>
      </c>
      <c r="BK4171">
        <v>0</v>
      </c>
      <c r="BL4171">
        <v>0</v>
      </c>
      <c r="BO4171">
        <v>0</v>
      </c>
      <c r="BP4171">
        <v>0</v>
      </c>
      <c r="BW4171" t="str">
        <f>"14:48:51.588"</f>
        <v>14:48:51.588</v>
      </c>
      <c r="CJ4171">
        <v>0</v>
      </c>
      <c r="CK4171">
        <v>2</v>
      </c>
      <c r="CL4171">
        <v>0</v>
      </c>
      <c r="CM4171">
        <v>2</v>
      </c>
      <c r="CN4171">
        <v>0</v>
      </c>
      <c r="CO4171">
        <v>5</v>
      </c>
      <c r="CP4171" t="s">
        <v>119</v>
      </c>
      <c r="CQ4171">
        <v>9</v>
      </c>
      <c r="CR4171">
        <v>0</v>
      </c>
      <c r="CW4171">
        <v>12941160</v>
      </c>
      <c r="CY4171">
        <v>1</v>
      </c>
      <c r="CZ4171">
        <v>0</v>
      </c>
      <c r="DA4171">
        <v>0</v>
      </c>
      <c r="DB4171">
        <v>0</v>
      </c>
      <c r="DC4171">
        <v>0</v>
      </c>
      <c r="DD4171">
        <v>1</v>
      </c>
      <c r="DE4171">
        <v>0</v>
      </c>
      <c r="DF4171">
        <v>0</v>
      </c>
      <c r="DG4171">
        <v>0</v>
      </c>
      <c r="DH4171">
        <v>0</v>
      </c>
      <c r="DI4171">
        <v>0</v>
      </c>
    </row>
    <row r="4172" spans="1:113" x14ac:dyDescent="0.3">
      <c r="A4172" t="str">
        <f t="shared" si="1930"/>
        <v>05/12/2020 14:48:33.765</v>
      </c>
      <c r="C4172" t="str">
        <f t="shared" si="1905"/>
        <v>FFDFD3C0</v>
      </c>
      <c r="D4172" t="s">
        <v>131</v>
      </c>
      <c r="E4172">
        <v>12</v>
      </c>
      <c r="F4172">
        <v>2012</v>
      </c>
      <c r="G4172" t="s">
        <v>137</v>
      </c>
      <c r="J4172" t="s">
        <v>133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 t="shared" ref="S4172:S4179" si="1931">"14:48:51.586"</f>
        <v>14:48:51.586</v>
      </c>
      <c r="T4172" t="str">
        <f>"14:48:46.186"</f>
        <v>14:48:46.186</v>
      </c>
      <c r="U4172" t="str">
        <f t="shared" si="1926"/>
        <v>A9808D</v>
      </c>
      <c r="V4172">
        <v>0</v>
      </c>
      <c r="W4172">
        <v>0</v>
      </c>
      <c r="X4172">
        <v>1</v>
      </c>
      <c r="Z4172">
        <v>0</v>
      </c>
      <c r="AA4172">
        <v>9</v>
      </c>
      <c r="AB4172">
        <v>3</v>
      </c>
      <c r="AC4172">
        <v>0</v>
      </c>
      <c r="AD4172">
        <v>10</v>
      </c>
      <c r="AE4172">
        <v>0</v>
      </c>
      <c r="AF4172">
        <v>3</v>
      </c>
      <c r="AG4172">
        <v>2</v>
      </c>
      <c r="AH4172">
        <v>0</v>
      </c>
      <c r="AI4172" t="s">
        <v>565</v>
      </c>
      <c r="AJ4172">
        <v>28.259989999999998</v>
      </c>
      <c r="AK4172" t="s">
        <v>950</v>
      </c>
      <c r="AL4172">
        <v>-82.305235999999994</v>
      </c>
      <c r="AM4172">
        <v>100</v>
      </c>
      <c r="AN4172">
        <v>2300</v>
      </c>
      <c r="AO4172" t="s">
        <v>118</v>
      </c>
      <c r="AP4172">
        <v>-111</v>
      </c>
      <c r="AQ4172">
        <v>-88</v>
      </c>
      <c r="AR4172">
        <v>64</v>
      </c>
      <c r="AZ4172">
        <v>1200</v>
      </c>
      <c r="BA4172">
        <v>1</v>
      </c>
      <c r="BB4172" t="str">
        <f t="shared" si="1906"/>
        <v xml:space="preserve">N711JA  </v>
      </c>
      <c r="BC4172">
        <v>1</v>
      </c>
      <c r="BE4172">
        <v>0</v>
      </c>
      <c r="BF4172">
        <v>0</v>
      </c>
      <c r="BG4172">
        <v>0</v>
      </c>
      <c r="BH4172">
        <v>2325</v>
      </c>
      <c r="BI4172">
        <v>1</v>
      </c>
      <c r="BJ4172">
        <v>1</v>
      </c>
      <c r="BK4172">
        <v>0</v>
      </c>
      <c r="BL4172">
        <v>0</v>
      </c>
      <c r="BO4172">
        <v>0</v>
      </c>
      <c r="BP4172">
        <v>0</v>
      </c>
      <c r="BW4172" t="str">
        <f>"14:48:51.589"</f>
        <v>14:48:51.589</v>
      </c>
      <c r="CJ4172">
        <v>0</v>
      </c>
      <c r="CK4172">
        <v>2</v>
      </c>
      <c r="CL4172">
        <v>0</v>
      </c>
      <c r="CM4172">
        <v>2</v>
      </c>
      <c r="CN4172">
        <v>0</v>
      </c>
      <c r="CO4172">
        <v>1</v>
      </c>
      <c r="CP4172" t="s">
        <v>119</v>
      </c>
      <c r="CQ4172">
        <v>11</v>
      </c>
      <c r="CR4172">
        <v>2</v>
      </c>
      <c r="CW4172">
        <v>16209069</v>
      </c>
      <c r="CY4172">
        <v>1</v>
      </c>
      <c r="CZ4172">
        <v>0</v>
      </c>
      <c r="DA4172">
        <v>1</v>
      </c>
      <c r="DB4172">
        <v>0</v>
      </c>
      <c r="DC4172">
        <v>0</v>
      </c>
      <c r="DD4172">
        <v>1</v>
      </c>
      <c r="DE4172">
        <v>0</v>
      </c>
      <c r="DF4172">
        <v>0</v>
      </c>
      <c r="DG4172">
        <v>0</v>
      </c>
      <c r="DH4172">
        <v>0</v>
      </c>
      <c r="DI4172">
        <v>0</v>
      </c>
    </row>
    <row r="4173" spans="1:113" x14ac:dyDescent="0.3">
      <c r="A4173" t="str">
        <f t="shared" si="1930"/>
        <v>05/12/2020 14:48:33.765</v>
      </c>
      <c r="C4173" t="str">
        <f t="shared" si="1905"/>
        <v>FFDFD3C0</v>
      </c>
      <c r="D4173" t="s">
        <v>126</v>
      </c>
      <c r="E4173">
        <v>7</v>
      </c>
      <c r="F4173">
        <v>1007</v>
      </c>
      <c r="G4173" t="s">
        <v>127</v>
      </c>
      <c r="J4173" t="s">
        <v>128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 t="shared" si="1931"/>
        <v>14:48:51.586</v>
      </c>
      <c r="T4173" t="str">
        <f t="shared" ref="T4173:T4178" si="1932">"14:48:51.586"</f>
        <v>14:48:51.586</v>
      </c>
      <c r="U4173" t="str">
        <f t="shared" si="1926"/>
        <v>A9808D</v>
      </c>
      <c r="V4173">
        <v>0</v>
      </c>
      <c r="W4173">
        <v>0</v>
      </c>
      <c r="X4173">
        <v>1</v>
      </c>
      <c r="Z4173">
        <v>0</v>
      </c>
      <c r="AA4173">
        <v>9</v>
      </c>
      <c r="AB4173">
        <v>3</v>
      </c>
      <c r="AC4173">
        <v>0</v>
      </c>
      <c r="AD4173">
        <v>10</v>
      </c>
      <c r="AE4173">
        <v>0</v>
      </c>
      <c r="AF4173">
        <v>3</v>
      </c>
      <c r="AG4173">
        <v>2</v>
      </c>
      <c r="AH4173">
        <v>0</v>
      </c>
      <c r="AI4173" t="s">
        <v>565</v>
      </c>
      <c r="AJ4173">
        <v>28.259989999999998</v>
      </c>
      <c r="AK4173" t="s">
        <v>950</v>
      </c>
      <c r="AL4173">
        <v>-82.305235999999994</v>
      </c>
      <c r="AM4173">
        <v>100</v>
      </c>
      <c r="AN4173">
        <v>2300</v>
      </c>
      <c r="AO4173" t="s">
        <v>118</v>
      </c>
      <c r="AP4173">
        <v>-108</v>
      </c>
      <c r="AQ4173">
        <v>-92</v>
      </c>
      <c r="AR4173">
        <v>-128</v>
      </c>
      <c r="AZ4173">
        <v>1200</v>
      </c>
      <c r="BA4173">
        <v>1</v>
      </c>
      <c r="BB4173" t="str">
        <f t="shared" si="1906"/>
        <v xml:space="preserve">N711JA  </v>
      </c>
      <c r="BC4173">
        <v>1</v>
      </c>
      <c r="BE4173">
        <v>0</v>
      </c>
      <c r="BF4173">
        <v>0</v>
      </c>
      <c r="BG4173">
        <v>0</v>
      </c>
      <c r="BH4173">
        <v>2300</v>
      </c>
      <c r="BI4173">
        <v>1</v>
      </c>
      <c r="BJ4173">
        <v>1</v>
      </c>
      <c r="BK4173">
        <v>0</v>
      </c>
      <c r="BL4173">
        <v>0</v>
      </c>
      <c r="BO4173">
        <v>0</v>
      </c>
      <c r="BP4173">
        <v>0</v>
      </c>
      <c r="BW4173" t="str">
        <f t="shared" ref="BW4173:BW4178" si="1933">"14:48:51.588"</f>
        <v>14:48:51.588</v>
      </c>
      <c r="CJ4173">
        <v>0</v>
      </c>
      <c r="CK4173">
        <v>2</v>
      </c>
      <c r="CL4173">
        <v>0</v>
      </c>
      <c r="CM4173">
        <v>2</v>
      </c>
      <c r="CN4173">
        <v>0</v>
      </c>
      <c r="CO4173">
        <v>5</v>
      </c>
      <c r="CP4173" t="s">
        <v>119</v>
      </c>
      <c r="CQ4173">
        <v>9</v>
      </c>
      <c r="CR4173">
        <v>0</v>
      </c>
      <c r="CW4173">
        <v>12941160</v>
      </c>
      <c r="CY4173">
        <v>1</v>
      </c>
      <c r="CZ4173">
        <v>0</v>
      </c>
      <c r="DA4173">
        <v>1</v>
      </c>
      <c r="DB4173">
        <v>0</v>
      </c>
      <c r="DC4173">
        <v>0</v>
      </c>
      <c r="DD4173">
        <v>1</v>
      </c>
      <c r="DE4173">
        <v>0</v>
      </c>
      <c r="DF4173">
        <v>0</v>
      </c>
      <c r="DG4173">
        <v>0</v>
      </c>
      <c r="DH4173">
        <v>0</v>
      </c>
      <c r="DI4173">
        <v>0</v>
      </c>
    </row>
    <row r="4174" spans="1:113" x14ac:dyDescent="0.3">
      <c r="A4174" t="str">
        <f t="shared" si="1930"/>
        <v>05/12/2020 14:48:33.765</v>
      </c>
      <c r="C4174" t="str">
        <f t="shared" si="1905"/>
        <v>FFDFD3C0</v>
      </c>
      <c r="D4174" t="s">
        <v>134</v>
      </c>
      <c r="E4174">
        <v>12</v>
      </c>
      <c r="H4174">
        <v>64</v>
      </c>
      <c r="I4174" t="s">
        <v>135</v>
      </c>
      <c r="J4174" t="s">
        <v>136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 t="shared" si="1931"/>
        <v>14:48:51.586</v>
      </c>
      <c r="T4174" t="str">
        <f t="shared" si="1932"/>
        <v>14:48:51.586</v>
      </c>
      <c r="U4174" t="str">
        <f t="shared" si="1926"/>
        <v>A9808D</v>
      </c>
      <c r="V4174">
        <v>0</v>
      </c>
      <c r="W4174">
        <v>0</v>
      </c>
      <c r="X4174">
        <v>1</v>
      </c>
      <c r="Z4174">
        <v>0</v>
      </c>
      <c r="AA4174">
        <v>9</v>
      </c>
      <c r="AB4174">
        <v>3</v>
      </c>
      <c r="AC4174">
        <v>0</v>
      </c>
      <c r="AD4174">
        <v>10</v>
      </c>
      <c r="AE4174">
        <v>0</v>
      </c>
      <c r="AF4174">
        <v>3</v>
      </c>
      <c r="AG4174">
        <v>2</v>
      </c>
      <c r="AH4174">
        <v>0</v>
      </c>
      <c r="AI4174" t="s">
        <v>565</v>
      </c>
      <c r="AJ4174">
        <v>28.259989999999998</v>
      </c>
      <c r="AK4174" t="s">
        <v>950</v>
      </c>
      <c r="AL4174">
        <v>-82.305235999999994</v>
      </c>
      <c r="AM4174">
        <v>100</v>
      </c>
      <c r="AN4174">
        <v>2300</v>
      </c>
      <c r="AO4174" t="s">
        <v>118</v>
      </c>
      <c r="AP4174">
        <v>-108</v>
      </c>
      <c r="AQ4174">
        <v>-92</v>
      </c>
      <c r="AR4174">
        <v>-128</v>
      </c>
      <c r="AZ4174">
        <v>1200</v>
      </c>
      <c r="BA4174">
        <v>1</v>
      </c>
      <c r="BB4174" t="str">
        <f t="shared" si="1906"/>
        <v xml:space="preserve">N711JA  </v>
      </c>
      <c r="BC4174">
        <v>1</v>
      </c>
      <c r="BE4174">
        <v>0</v>
      </c>
      <c r="BF4174">
        <v>0</v>
      </c>
      <c r="BG4174">
        <v>0</v>
      </c>
      <c r="BH4174">
        <v>2300</v>
      </c>
      <c r="BI4174">
        <v>1</v>
      </c>
      <c r="BJ4174">
        <v>1</v>
      </c>
      <c r="BK4174">
        <v>0</v>
      </c>
      <c r="BL4174">
        <v>0</v>
      </c>
      <c r="BO4174">
        <v>0</v>
      </c>
      <c r="BP4174">
        <v>0</v>
      </c>
      <c r="BW4174" t="str">
        <f t="shared" si="1933"/>
        <v>14:48:51.588</v>
      </c>
      <c r="CJ4174">
        <v>0</v>
      </c>
      <c r="CK4174">
        <v>2</v>
      </c>
      <c r="CL4174">
        <v>0</v>
      </c>
      <c r="CM4174">
        <v>2</v>
      </c>
      <c r="CN4174">
        <v>0</v>
      </c>
      <c r="CO4174">
        <v>5</v>
      </c>
      <c r="CP4174" t="s">
        <v>119</v>
      </c>
      <c r="CQ4174">
        <v>9</v>
      </c>
      <c r="CR4174">
        <v>0</v>
      </c>
      <c r="CW4174">
        <v>12941160</v>
      </c>
      <c r="CY4174">
        <v>1</v>
      </c>
      <c r="CZ4174">
        <v>0</v>
      </c>
      <c r="DA4174">
        <v>1</v>
      </c>
      <c r="DB4174">
        <v>0</v>
      </c>
      <c r="DC4174">
        <v>0</v>
      </c>
      <c r="DD4174">
        <v>1</v>
      </c>
      <c r="DE4174">
        <v>0</v>
      </c>
      <c r="DF4174">
        <v>0</v>
      </c>
      <c r="DG4174">
        <v>0</v>
      </c>
      <c r="DH4174">
        <v>0</v>
      </c>
      <c r="DI4174">
        <v>0</v>
      </c>
    </row>
    <row r="4175" spans="1:113" x14ac:dyDescent="0.3">
      <c r="A4175" t="str">
        <f t="shared" si="1930"/>
        <v>05/12/2020 14:48:33.765</v>
      </c>
      <c r="C4175" t="str">
        <f t="shared" si="1905"/>
        <v>FFDFD3C0</v>
      </c>
      <c r="D4175" t="s">
        <v>126</v>
      </c>
      <c r="E4175">
        <v>6</v>
      </c>
      <c r="F4175">
        <v>1006</v>
      </c>
      <c r="G4175" t="s">
        <v>114</v>
      </c>
      <c r="J4175" t="s">
        <v>128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 t="shared" si="1931"/>
        <v>14:48:51.586</v>
      </c>
      <c r="T4175" t="str">
        <f t="shared" si="1932"/>
        <v>14:48:51.586</v>
      </c>
      <c r="U4175" t="str">
        <f t="shared" si="1926"/>
        <v>A9808D</v>
      </c>
      <c r="V4175">
        <v>0</v>
      </c>
      <c r="W4175">
        <v>0</v>
      </c>
      <c r="X4175">
        <v>1</v>
      </c>
      <c r="Z4175">
        <v>0</v>
      </c>
      <c r="AA4175">
        <v>9</v>
      </c>
      <c r="AB4175">
        <v>3</v>
      </c>
      <c r="AC4175">
        <v>0</v>
      </c>
      <c r="AD4175">
        <v>10</v>
      </c>
      <c r="AE4175">
        <v>0</v>
      </c>
      <c r="AF4175">
        <v>3</v>
      </c>
      <c r="AG4175">
        <v>2</v>
      </c>
      <c r="AH4175">
        <v>0</v>
      </c>
      <c r="AI4175" t="s">
        <v>565</v>
      </c>
      <c r="AJ4175">
        <v>28.259989999999998</v>
      </c>
      <c r="AK4175" t="s">
        <v>950</v>
      </c>
      <c r="AL4175">
        <v>-82.305235999999994</v>
      </c>
      <c r="AM4175">
        <v>100</v>
      </c>
      <c r="AN4175">
        <v>2300</v>
      </c>
      <c r="AO4175" t="s">
        <v>118</v>
      </c>
      <c r="AP4175">
        <v>-108</v>
      </c>
      <c r="AQ4175">
        <v>-92</v>
      </c>
      <c r="AR4175">
        <v>-128</v>
      </c>
      <c r="AZ4175">
        <v>1200</v>
      </c>
      <c r="BA4175">
        <v>1</v>
      </c>
      <c r="BB4175" t="str">
        <f t="shared" si="1906"/>
        <v xml:space="preserve">N711JA  </v>
      </c>
      <c r="BC4175">
        <v>1</v>
      </c>
      <c r="BE4175">
        <v>0</v>
      </c>
      <c r="BF4175">
        <v>0</v>
      </c>
      <c r="BG4175">
        <v>0</v>
      </c>
      <c r="BH4175">
        <v>2300</v>
      </c>
      <c r="BI4175">
        <v>1</v>
      </c>
      <c r="BJ4175">
        <v>1</v>
      </c>
      <c r="BK4175">
        <v>0</v>
      </c>
      <c r="BL4175">
        <v>0</v>
      </c>
      <c r="BO4175">
        <v>0</v>
      </c>
      <c r="BP4175">
        <v>0</v>
      </c>
      <c r="BW4175" t="str">
        <f t="shared" si="1933"/>
        <v>14:48:51.588</v>
      </c>
      <c r="CJ4175">
        <v>0</v>
      </c>
      <c r="CK4175">
        <v>2</v>
      </c>
      <c r="CL4175">
        <v>0</v>
      </c>
      <c r="CM4175">
        <v>2</v>
      </c>
      <c r="CN4175">
        <v>0</v>
      </c>
      <c r="CO4175">
        <v>5</v>
      </c>
      <c r="CP4175" t="s">
        <v>119</v>
      </c>
      <c r="CQ4175">
        <v>9</v>
      </c>
      <c r="CR4175">
        <v>0</v>
      </c>
      <c r="CW4175">
        <v>12941160</v>
      </c>
      <c r="CY4175">
        <v>1</v>
      </c>
      <c r="CZ4175">
        <v>0</v>
      </c>
      <c r="DA4175">
        <v>1</v>
      </c>
      <c r="DB4175">
        <v>0</v>
      </c>
      <c r="DC4175">
        <v>0</v>
      </c>
      <c r="DD4175">
        <v>1</v>
      </c>
      <c r="DE4175">
        <v>0</v>
      </c>
      <c r="DF4175">
        <v>0</v>
      </c>
      <c r="DG4175">
        <v>0</v>
      </c>
      <c r="DH4175">
        <v>0</v>
      </c>
      <c r="DI4175">
        <v>0</v>
      </c>
    </row>
    <row r="4176" spans="1:113" x14ac:dyDescent="0.3">
      <c r="A4176" t="str">
        <f t="shared" si="1930"/>
        <v>05/12/2020 14:48:33.765</v>
      </c>
      <c r="C4176" t="str">
        <f t="shared" si="1905"/>
        <v>FFDFD3C0</v>
      </c>
      <c r="D4176" t="s">
        <v>113</v>
      </c>
      <c r="E4176">
        <v>3</v>
      </c>
      <c r="H4176">
        <v>164</v>
      </c>
      <c r="I4176" t="s">
        <v>114</v>
      </c>
      <c r="J4176" t="s">
        <v>115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 t="shared" si="1931"/>
        <v>14:48:51.586</v>
      </c>
      <c r="T4176" t="str">
        <f t="shared" si="1932"/>
        <v>14:48:51.586</v>
      </c>
      <c r="U4176" t="str">
        <f t="shared" si="1926"/>
        <v>A9808D</v>
      </c>
      <c r="V4176">
        <v>0</v>
      </c>
      <c r="W4176">
        <v>0</v>
      </c>
      <c r="X4176">
        <v>1</v>
      </c>
      <c r="Z4176">
        <v>0</v>
      </c>
      <c r="AA4176">
        <v>9</v>
      </c>
      <c r="AB4176">
        <v>3</v>
      </c>
      <c r="AC4176">
        <v>0</v>
      </c>
      <c r="AD4176">
        <v>10</v>
      </c>
      <c r="AE4176">
        <v>0</v>
      </c>
      <c r="AF4176">
        <v>3</v>
      </c>
      <c r="AG4176">
        <v>2</v>
      </c>
      <c r="AH4176">
        <v>0</v>
      </c>
      <c r="AI4176" t="s">
        <v>565</v>
      </c>
      <c r="AJ4176">
        <v>28.259989999999998</v>
      </c>
      <c r="AK4176" t="s">
        <v>950</v>
      </c>
      <c r="AL4176">
        <v>-82.305235999999994</v>
      </c>
      <c r="AM4176">
        <v>100</v>
      </c>
      <c r="AN4176">
        <v>2300</v>
      </c>
      <c r="AO4176" t="s">
        <v>118</v>
      </c>
      <c r="AP4176">
        <v>-108</v>
      </c>
      <c r="AQ4176">
        <v>-92</v>
      </c>
      <c r="AR4176">
        <v>-128</v>
      </c>
      <c r="AZ4176">
        <v>1200</v>
      </c>
      <c r="BA4176">
        <v>1</v>
      </c>
      <c r="BB4176" t="str">
        <f t="shared" si="1906"/>
        <v xml:space="preserve">N711JA  </v>
      </c>
      <c r="BC4176">
        <v>1</v>
      </c>
      <c r="BE4176">
        <v>0</v>
      </c>
      <c r="BF4176">
        <v>0</v>
      </c>
      <c r="BG4176">
        <v>0</v>
      </c>
      <c r="BH4176">
        <v>2300</v>
      </c>
      <c r="BI4176">
        <v>1</v>
      </c>
      <c r="BJ4176">
        <v>1</v>
      </c>
      <c r="BK4176">
        <v>0</v>
      </c>
      <c r="BL4176">
        <v>0</v>
      </c>
      <c r="BO4176">
        <v>0</v>
      </c>
      <c r="BP4176">
        <v>0</v>
      </c>
      <c r="BW4176" t="str">
        <f t="shared" si="1933"/>
        <v>14:48:51.588</v>
      </c>
      <c r="CJ4176">
        <v>0</v>
      </c>
      <c r="CK4176">
        <v>2</v>
      </c>
      <c r="CL4176">
        <v>0</v>
      </c>
      <c r="CM4176">
        <v>2</v>
      </c>
      <c r="CN4176">
        <v>0</v>
      </c>
      <c r="CO4176">
        <v>5</v>
      </c>
      <c r="CP4176" t="s">
        <v>119</v>
      </c>
      <c r="CQ4176">
        <v>9</v>
      </c>
      <c r="CR4176">
        <v>0</v>
      </c>
      <c r="CW4176">
        <v>12941160</v>
      </c>
      <c r="CY4176">
        <v>1</v>
      </c>
      <c r="CZ4176">
        <v>0</v>
      </c>
      <c r="DA4176">
        <v>1</v>
      </c>
      <c r="DB4176">
        <v>0</v>
      </c>
      <c r="DC4176">
        <v>0</v>
      </c>
      <c r="DD4176">
        <v>1</v>
      </c>
      <c r="DE4176">
        <v>0</v>
      </c>
      <c r="DF4176">
        <v>0</v>
      </c>
      <c r="DG4176">
        <v>0</v>
      </c>
      <c r="DH4176">
        <v>0</v>
      </c>
      <c r="DI4176">
        <v>0</v>
      </c>
    </row>
    <row r="4177" spans="1:113" x14ac:dyDescent="0.3">
      <c r="A4177" t="str">
        <f t="shared" si="1930"/>
        <v>05/12/2020 14:48:33.765</v>
      </c>
      <c r="C4177" t="str">
        <f t="shared" si="1905"/>
        <v>FFDFD3C0</v>
      </c>
      <c r="D4177" t="s">
        <v>131</v>
      </c>
      <c r="E4177">
        <v>18</v>
      </c>
      <c r="F4177">
        <v>2018</v>
      </c>
      <c r="G4177" t="s">
        <v>161</v>
      </c>
      <c r="J4177" t="s">
        <v>133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 t="shared" si="1931"/>
        <v>14:48:51.586</v>
      </c>
      <c r="T4177" t="str">
        <f t="shared" si="1932"/>
        <v>14:48:51.586</v>
      </c>
      <c r="U4177" t="str">
        <f t="shared" si="1926"/>
        <v>A9808D</v>
      </c>
      <c r="V4177">
        <v>0</v>
      </c>
      <c r="W4177">
        <v>0</v>
      </c>
      <c r="X4177">
        <v>1</v>
      </c>
      <c r="Z4177">
        <v>0</v>
      </c>
      <c r="AA4177">
        <v>9</v>
      </c>
      <c r="AB4177">
        <v>3</v>
      </c>
      <c r="AC4177">
        <v>0</v>
      </c>
      <c r="AD4177">
        <v>10</v>
      </c>
      <c r="AE4177">
        <v>0</v>
      </c>
      <c r="AF4177">
        <v>3</v>
      </c>
      <c r="AG4177">
        <v>2</v>
      </c>
      <c r="AH4177">
        <v>0</v>
      </c>
      <c r="AI4177" t="s">
        <v>565</v>
      </c>
      <c r="AJ4177">
        <v>28.259989999999998</v>
      </c>
      <c r="AK4177" t="s">
        <v>950</v>
      </c>
      <c r="AL4177">
        <v>-82.305235999999994</v>
      </c>
      <c r="AM4177">
        <v>100</v>
      </c>
      <c r="AN4177">
        <v>2300</v>
      </c>
      <c r="AO4177" t="s">
        <v>118</v>
      </c>
      <c r="AP4177">
        <v>-108</v>
      </c>
      <c r="AQ4177">
        <v>-92</v>
      </c>
      <c r="AR4177">
        <v>-128</v>
      </c>
      <c r="AZ4177">
        <v>1200</v>
      </c>
      <c r="BA4177">
        <v>1</v>
      </c>
      <c r="BB4177" t="str">
        <f t="shared" si="1906"/>
        <v xml:space="preserve">N711JA  </v>
      </c>
      <c r="BC4177">
        <v>1</v>
      </c>
      <c r="BE4177">
        <v>0</v>
      </c>
      <c r="BF4177">
        <v>0</v>
      </c>
      <c r="BG4177">
        <v>0</v>
      </c>
      <c r="BH4177">
        <v>2300</v>
      </c>
      <c r="BI4177">
        <v>1</v>
      </c>
      <c r="BJ4177">
        <v>1</v>
      </c>
      <c r="BK4177">
        <v>0</v>
      </c>
      <c r="BL4177">
        <v>0</v>
      </c>
      <c r="BO4177">
        <v>0</v>
      </c>
      <c r="BP4177">
        <v>0</v>
      </c>
      <c r="BW4177" t="str">
        <f t="shared" si="1933"/>
        <v>14:48:51.588</v>
      </c>
      <c r="CJ4177">
        <v>0</v>
      </c>
      <c r="CK4177">
        <v>2</v>
      </c>
      <c r="CL4177">
        <v>0</v>
      </c>
      <c r="CM4177">
        <v>2</v>
      </c>
      <c r="CN4177">
        <v>0</v>
      </c>
      <c r="CO4177">
        <v>5</v>
      </c>
      <c r="CP4177" t="s">
        <v>119</v>
      </c>
      <c r="CQ4177">
        <v>62</v>
      </c>
      <c r="CR4177">
        <v>1</v>
      </c>
      <c r="CW4177">
        <v>13015704</v>
      </c>
      <c r="CY4177">
        <v>1</v>
      </c>
      <c r="CZ4177">
        <v>0</v>
      </c>
      <c r="DA4177">
        <v>1</v>
      </c>
      <c r="DB4177">
        <v>0</v>
      </c>
      <c r="DC4177">
        <v>0</v>
      </c>
      <c r="DD4177">
        <v>1</v>
      </c>
      <c r="DE4177">
        <v>0</v>
      </c>
      <c r="DF4177">
        <v>0</v>
      </c>
      <c r="DG4177">
        <v>0</v>
      </c>
      <c r="DH4177">
        <v>0</v>
      </c>
      <c r="DI4177">
        <v>0</v>
      </c>
    </row>
    <row r="4178" spans="1:113" x14ac:dyDescent="0.3">
      <c r="A4178" t="str">
        <f t="shared" si="1930"/>
        <v>05/12/2020 14:48:33.765</v>
      </c>
      <c r="C4178" t="str">
        <f t="shared" si="1905"/>
        <v>FFDFD3C0</v>
      </c>
      <c r="D4178" t="s">
        <v>138</v>
      </c>
      <c r="E4178">
        <v>3</v>
      </c>
      <c r="H4178">
        <v>9</v>
      </c>
      <c r="I4178" t="s">
        <v>140</v>
      </c>
      <c r="J4178" t="s">
        <v>136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 t="shared" si="1931"/>
        <v>14:48:51.586</v>
      </c>
      <c r="T4178" t="str">
        <f t="shared" si="1932"/>
        <v>14:48:51.586</v>
      </c>
      <c r="U4178" t="str">
        <f t="shared" si="1926"/>
        <v>A9808D</v>
      </c>
      <c r="V4178">
        <v>0</v>
      </c>
      <c r="W4178">
        <v>0</v>
      </c>
      <c r="X4178">
        <v>1</v>
      </c>
      <c r="Z4178">
        <v>0</v>
      </c>
      <c r="AA4178">
        <v>9</v>
      </c>
      <c r="AB4178">
        <v>3</v>
      </c>
      <c r="AC4178">
        <v>0</v>
      </c>
      <c r="AD4178">
        <v>10</v>
      </c>
      <c r="AE4178">
        <v>0</v>
      </c>
      <c r="AF4178">
        <v>3</v>
      </c>
      <c r="AG4178">
        <v>2</v>
      </c>
      <c r="AH4178">
        <v>0</v>
      </c>
      <c r="AI4178" t="s">
        <v>565</v>
      </c>
      <c r="AJ4178">
        <v>28.259989999999998</v>
      </c>
      <c r="AK4178" t="s">
        <v>950</v>
      </c>
      <c r="AL4178">
        <v>-82.305235999999994</v>
      </c>
      <c r="AM4178">
        <v>100</v>
      </c>
      <c r="AN4178">
        <v>2300</v>
      </c>
      <c r="AO4178" t="s">
        <v>118</v>
      </c>
      <c r="AP4178">
        <v>-108</v>
      </c>
      <c r="AQ4178">
        <v>-92</v>
      </c>
      <c r="AR4178">
        <v>-128</v>
      </c>
      <c r="AZ4178">
        <v>1200</v>
      </c>
      <c r="BA4178">
        <v>1</v>
      </c>
      <c r="BB4178" t="str">
        <f t="shared" si="1906"/>
        <v xml:space="preserve">N711JA  </v>
      </c>
      <c r="BC4178">
        <v>1</v>
      </c>
      <c r="BE4178">
        <v>0</v>
      </c>
      <c r="BF4178">
        <v>0</v>
      </c>
      <c r="BG4178">
        <v>0</v>
      </c>
      <c r="BH4178">
        <v>2300</v>
      </c>
      <c r="BI4178">
        <v>1</v>
      </c>
      <c r="BJ4178">
        <v>1</v>
      </c>
      <c r="BK4178">
        <v>0</v>
      </c>
      <c r="BL4178">
        <v>0</v>
      </c>
      <c r="BO4178">
        <v>0</v>
      </c>
      <c r="BP4178">
        <v>0</v>
      </c>
      <c r="BW4178" t="str">
        <f t="shared" si="1933"/>
        <v>14:48:51.588</v>
      </c>
      <c r="CJ4178">
        <v>0</v>
      </c>
      <c r="CK4178">
        <v>2</v>
      </c>
      <c r="CL4178">
        <v>0</v>
      </c>
      <c r="CM4178">
        <v>2</v>
      </c>
      <c r="CN4178">
        <v>0</v>
      </c>
      <c r="CO4178">
        <v>5</v>
      </c>
      <c r="CP4178" t="s">
        <v>119</v>
      </c>
      <c r="CQ4178">
        <v>9</v>
      </c>
      <c r="CR4178">
        <v>0</v>
      </c>
      <c r="CW4178">
        <v>12941160</v>
      </c>
      <c r="CY4178">
        <v>1</v>
      </c>
      <c r="CZ4178">
        <v>0</v>
      </c>
      <c r="DA4178">
        <v>1</v>
      </c>
      <c r="DB4178">
        <v>0</v>
      </c>
      <c r="DC4178">
        <v>0</v>
      </c>
      <c r="DD4178">
        <v>1</v>
      </c>
      <c r="DE4178">
        <v>0</v>
      </c>
      <c r="DF4178">
        <v>0</v>
      </c>
      <c r="DG4178">
        <v>0</v>
      </c>
      <c r="DH4178">
        <v>0</v>
      </c>
      <c r="DI4178">
        <v>0</v>
      </c>
    </row>
    <row r="4179" spans="1:113" x14ac:dyDescent="0.3">
      <c r="A4179" t="str">
        <f t="shared" si="1930"/>
        <v>05/12/2020 14:48:33.765</v>
      </c>
      <c r="C4179" t="str">
        <f t="shared" si="1905"/>
        <v>FFDFD3C0</v>
      </c>
      <c r="D4179" t="s">
        <v>138</v>
      </c>
      <c r="E4179">
        <v>2</v>
      </c>
      <c r="H4179">
        <v>8</v>
      </c>
      <c r="I4179" t="s">
        <v>139</v>
      </c>
      <c r="J4179" t="s">
        <v>136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 t="shared" si="1931"/>
        <v>14:48:51.586</v>
      </c>
      <c r="T4179" t="str">
        <f>"14:48:46.186"</f>
        <v>14:48:46.186</v>
      </c>
      <c r="U4179" t="str">
        <f t="shared" si="1926"/>
        <v>A9808D</v>
      </c>
      <c r="V4179">
        <v>0</v>
      </c>
      <c r="W4179">
        <v>0</v>
      </c>
      <c r="X4179">
        <v>1</v>
      </c>
      <c r="Z4179">
        <v>0</v>
      </c>
      <c r="AA4179">
        <v>9</v>
      </c>
      <c r="AB4179">
        <v>3</v>
      </c>
      <c r="AC4179">
        <v>0</v>
      </c>
      <c r="AD4179">
        <v>10</v>
      </c>
      <c r="AE4179">
        <v>0</v>
      </c>
      <c r="AF4179">
        <v>3</v>
      </c>
      <c r="AG4179">
        <v>2</v>
      </c>
      <c r="AH4179">
        <v>0</v>
      </c>
      <c r="AI4179" t="s">
        <v>565</v>
      </c>
      <c r="AJ4179">
        <v>28.259989999999998</v>
      </c>
      <c r="AK4179" t="s">
        <v>950</v>
      </c>
      <c r="AL4179">
        <v>-82.305235999999994</v>
      </c>
      <c r="AM4179">
        <v>100</v>
      </c>
      <c r="AN4179">
        <v>2300</v>
      </c>
      <c r="AO4179" t="s">
        <v>118</v>
      </c>
      <c r="AP4179">
        <v>-111</v>
      </c>
      <c r="AQ4179">
        <v>-88</v>
      </c>
      <c r="AR4179">
        <v>64</v>
      </c>
      <c r="AZ4179">
        <v>1200</v>
      </c>
      <c r="BA4179">
        <v>1</v>
      </c>
      <c r="BB4179" t="str">
        <f t="shared" si="1906"/>
        <v xml:space="preserve">N711JA  </v>
      </c>
      <c r="BC4179">
        <v>1</v>
      </c>
      <c r="BE4179">
        <v>0</v>
      </c>
      <c r="BF4179">
        <v>0</v>
      </c>
      <c r="BG4179">
        <v>0</v>
      </c>
      <c r="BH4179">
        <v>2325</v>
      </c>
      <c r="BI4179">
        <v>1</v>
      </c>
      <c r="BJ4179">
        <v>1</v>
      </c>
      <c r="BK4179">
        <v>0</v>
      </c>
      <c r="BL4179">
        <v>0</v>
      </c>
      <c r="BO4179">
        <v>0</v>
      </c>
      <c r="BP4179">
        <v>0</v>
      </c>
      <c r="BW4179" t="str">
        <f>"14:48:51.589"</f>
        <v>14:48:51.589</v>
      </c>
      <c r="CJ4179">
        <v>0</v>
      </c>
      <c r="CK4179">
        <v>2</v>
      </c>
      <c r="CL4179">
        <v>0</v>
      </c>
      <c r="CM4179">
        <v>2</v>
      </c>
      <c r="CN4179">
        <v>0</v>
      </c>
      <c r="CO4179">
        <v>1</v>
      </c>
      <c r="CP4179" t="s">
        <v>119</v>
      </c>
      <c r="CQ4179">
        <v>11</v>
      </c>
      <c r="CR4179">
        <v>2</v>
      </c>
      <c r="CW4179">
        <v>16209069</v>
      </c>
      <c r="CY4179">
        <v>1</v>
      </c>
      <c r="CZ4179">
        <v>0</v>
      </c>
      <c r="DA4179">
        <v>1</v>
      </c>
      <c r="DB4179">
        <v>0</v>
      </c>
      <c r="DC4179">
        <v>0</v>
      </c>
      <c r="DD4179">
        <v>1</v>
      </c>
      <c r="DE4179">
        <v>0</v>
      </c>
      <c r="DF4179">
        <v>0</v>
      </c>
      <c r="DG4179">
        <v>0</v>
      </c>
      <c r="DH4179">
        <v>0</v>
      </c>
      <c r="DI4179">
        <v>0</v>
      </c>
    </row>
    <row r="4180" spans="1:113" x14ac:dyDescent="0.3">
      <c r="A4180" t="str">
        <f t="shared" ref="A4180:A4188" si="1934">"05/12/2020 14:48:34.822"</f>
        <v>05/12/2020 14:48:34.822</v>
      </c>
      <c r="C4180" t="str">
        <f t="shared" si="1905"/>
        <v>FFDFD3C0</v>
      </c>
      <c r="D4180" t="s">
        <v>131</v>
      </c>
      <c r="E4180">
        <v>12</v>
      </c>
      <c r="F4180">
        <v>2012</v>
      </c>
      <c r="G4180" t="s">
        <v>137</v>
      </c>
      <c r="J4180" t="s">
        <v>133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 t="shared" ref="S4180:T4188" si="1935">"14:48:52.656"</f>
        <v>14:48:52.656</v>
      </c>
      <c r="T4180" t="str">
        <f t="shared" si="1935"/>
        <v>14:48:52.656</v>
      </c>
      <c r="U4180" t="str">
        <f t="shared" si="1926"/>
        <v>A9808D</v>
      </c>
      <c r="V4180">
        <v>0</v>
      </c>
      <c r="W4180">
        <v>0</v>
      </c>
      <c r="X4180">
        <v>1</v>
      </c>
      <c r="Z4180">
        <v>0</v>
      </c>
      <c r="AA4180">
        <v>9</v>
      </c>
      <c r="AB4180">
        <v>3</v>
      </c>
      <c r="AC4180">
        <v>0</v>
      </c>
      <c r="AD4180">
        <v>10</v>
      </c>
      <c r="AE4180">
        <v>0</v>
      </c>
      <c r="AF4180">
        <v>3</v>
      </c>
      <c r="AG4180">
        <v>2</v>
      </c>
      <c r="AH4180">
        <v>0</v>
      </c>
      <c r="AI4180" t="s">
        <v>285</v>
      </c>
      <c r="AJ4180">
        <v>28.259582999999999</v>
      </c>
      <c r="AK4180" t="s">
        <v>951</v>
      </c>
      <c r="AL4180">
        <v>-82.305772000000005</v>
      </c>
      <c r="AM4180">
        <v>100</v>
      </c>
      <c r="AN4180">
        <v>2300</v>
      </c>
      <c r="AO4180" t="s">
        <v>118</v>
      </c>
      <c r="AP4180">
        <v>-108</v>
      </c>
      <c r="AQ4180">
        <v>-92</v>
      </c>
      <c r="AR4180">
        <v>-128</v>
      </c>
      <c r="AZ4180">
        <v>1200</v>
      </c>
      <c r="BA4180">
        <v>1</v>
      </c>
      <c r="BB4180" t="str">
        <f t="shared" si="1906"/>
        <v xml:space="preserve">N711JA  </v>
      </c>
      <c r="BC4180">
        <v>1</v>
      </c>
      <c r="BE4180">
        <v>0</v>
      </c>
      <c r="BF4180">
        <v>0</v>
      </c>
      <c r="BG4180">
        <v>0</v>
      </c>
      <c r="BH4180">
        <v>2300</v>
      </c>
      <c r="BI4180">
        <v>1</v>
      </c>
      <c r="BJ4180">
        <v>1</v>
      </c>
      <c r="BK4180">
        <v>0</v>
      </c>
      <c r="BL4180">
        <v>0</v>
      </c>
      <c r="BO4180">
        <v>0</v>
      </c>
      <c r="BP4180">
        <v>0</v>
      </c>
      <c r="BW4180" t="str">
        <f t="shared" ref="BW4180:BW4188" si="1936">"14:48:52.662"</f>
        <v>14:48:52.662</v>
      </c>
      <c r="CJ4180">
        <v>0</v>
      </c>
      <c r="CK4180">
        <v>2</v>
      </c>
      <c r="CL4180">
        <v>0</v>
      </c>
      <c r="CM4180">
        <v>2</v>
      </c>
      <c r="CN4180">
        <v>0</v>
      </c>
      <c r="CO4180">
        <v>6</v>
      </c>
      <c r="CP4180" t="s">
        <v>119</v>
      </c>
      <c r="CQ4180">
        <v>56</v>
      </c>
      <c r="CR4180">
        <v>2</v>
      </c>
      <c r="CW4180">
        <v>5118465</v>
      </c>
      <c r="CY4180">
        <v>1</v>
      </c>
      <c r="CZ4180">
        <v>0</v>
      </c>
      <c r="DA4180">
        <v>0</v>
      </c>
      <c r="DB4180">
        <v>0</v>
      </c>
      <c r="DC4180">
        <v>0</v>
      </c>
      <c r="DD4180">
        <v>1</v>
      </c>
      <c r="DE4180">
        <v>0</v>
      </c>
      <c r="DF4180">
        <v>0</v>
      </c>
      <c r="DG4180">
        <v>0</v>
      </c>
      <c r="DH4180">
        <v>0</v>
      </c>
      <c r="DI4180">
        <v>0</v>
      </c>
    </row>
    <row r="4181" spans="1:113" x14ac:dyDescent="0.3">
      <c r="A4181" t="str">
        <f t="shared" si="1934"/>
        <v>05/12/2020 14:48:34.822</v>
      </c>
      <c r="C4181" t="str">
        <f t="shared" si="1905"/>
        <v>FFDFD3C0</v>
      </c>
      <c r="D4181" t="s">
        <v>126</v>
      </c>
      <c r="E4181">
        <v>6</v>
      </c>
      <c r="F4181">
        <v>1006</v>
      </c>
      <c r="G4181" t="s">
        <v>114</v>
      </c>
      <c r="J4181" t="s">
        <v>128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 t="shared" si="1935"/>
        <v>14:48:52.656</v>
      </c>
      <c r="T4181" t="str">
        <f t="shared" si="1935"/>
        <v>14:48:52.656</v>
      </c>
      <c r="U4181" t="str">
        <f t="shared" si="1926"/>
        <v>A9808D</v>
      </c>
      <c r="V4181">
        <v>0</v>
      </c>
      <c r="W4181">
        <v>0</v>
      </c>
      <c r="X4181">
        <v>1</v>
      </c>
      <c r="Z4181">
        <v>0</v>
      </c>
      <c r="AA4181">
        <v>9</v>
      </c>
      <c r="AB4181">
        <v>3</v>
      </c>
      <c r="AC4181">
        <v>0</v>
      </c>
      <c r="AD4181">
        <v>10</v>
      </c>
      <c r="AE4181">
        <v>0</v>
      </c>
      <c r="AF4181">
        <v>3</v>
      </c>
      <c r="AG4181">
        <v>2</v>
      </c>
      <c r="AH4181">
        <v>0</v>
      </c>
      <c r="AI4181" t="s">
        <v>285</v>
      </c>
      <c r="AJ4181">
        <v>28.259582999999999</v>
      </c>
      <c r="AK4181" t="s">
        <v>951</v>
      </c>
      <c r="AL4181">
        <v>-82.305772000000005</v>
      </c>
      <c r="AM4181">
        <v>100</v>
      </c>
      <c r="AN4181">
        <v>2300</v>
      </c>
      <c r="AO4181" t="s">
        <v>118</v>
      </c>
      <c r="AP4181">
        <v>-108</v>
      </c>
      <c r="AQ4181">
        <v>-92</v>
      </c>
      <c r="AR4181">
        <v>-128</v>
      </c>
      <c r="AZ4181">
        <v>1200</v>
      </c>
      <c r="BA4181">
        <v>1</v>
      </c>
      <c r="BB4181" t="str">
        <f t="shared" si="1906"/>
        <v xml:space="preserve">N711JA  </v>
      </c>
      <c r="BC4181">
        <v>1</v>
      </c>
      <c r="BE4181">
        <v>0</v>
      </c>
      <c r="BF4181">
        <v>0</v>
      </c>
      <c r="BG4181">
        <v>0</v>
      </c>
      <c r="BH4181">
        <v>2300</v>
      </c>
      <c r="BI4181">
        <v>1</v>
      </c>
      <c r="BJ4181">
        <v>1</v>
      </c>
      <c r="BK4181">
        <v>0</v>
      </c>
      <c r="BL4181">
        <v>0</v>
      </c>
      <c r="BO4181">
        <v>0</v>
      </c>
      <c r="BP4181">
        <v>0</v>
      </c>
      <c r="BW4181" t="str">
        <f t="shared" si="1936"/>
        <v>14:48:52.662</v>
      </c>
      <c r="CJ4181">
        <v>0</v>
      </c>
      <c r="CK4181">
        <v>2</v>
      </c>
      <c r="CL4181">
        <v>0</v>
      </c>
      <c r="CM4181">
        <v>2</v>
      </c>
      <c r="CN4181">
        <v>0</v>
      </c>
      <c r="CO4181">
        <v>6</v>
      </c>
      <c r="CP4181" t="s">
        <v>119</v>
      </c>
      <c r="CQ4181">
        <v>56</v>
      </c>
      <c r="CR4181">
        <v>2</v>
      </c>
      <c r="CW4181">
        <v>5118465</v>
      </c>
      <c r="CY4181">
        <v>1</v>
      </c>
      <c r="CZ4181">
        <v>0</v>
      </c>
      <c r="DA4181">
        <v>1</v>
      </c>
      <c r="DB4181">
        <v>0</v>
      </c>
      <c r="DC4181">
        <v>0</v>
      </c>
      <c r="DD4181">
        <v>1</v>
      </c>
      <c r="DE4181">
        <v>0</v>
      </c>
      <c r="DF4181">
        <v>0</v>
      </c>
      <c r="DG4181">
        <v>0</v>
      </c>
      <c r="DH4181">
        <v>0</v>
      </c>
      <c r="DI4181">
        <v>0</v>
      </c>
    </row>
    <row r="4182" spans="1:113" x14ac:dyDescent="0.3">
      <c r="A4182" t="str">
        <f t="shared" si="1934"/>
        <v>05/12/2020 14:48:34.822</v>
      </c>
      <c r="C4182" t="str">
        <f t="shared" ref="C4182:C4245" si="1937">"FFDFD3C0"</f>
        <v>FFDFD3C0</v>
      </c>
      <c r="D4182" t="s">
        <v>134</v>
      </c>
      <c r="E4182">
        <v>12</v>
      </c>
      <c r="H4182">
        <v>64</v>
      </c>
      <c r="I4182" t="s">
        <v>135</v>
      </c>
      <c r="J4182" t="s">
        <v>136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 t="shared" si="1935"/>
        <v>14:48:52.656</v>
      </c>
      <c r="T4182" t="str">
        <f t="shared" si="1935"/>
        <v>14:48:52.656</v>
      </c>
      <c r="U4182" t="str">
        <f t="shared" si="1926"/>
        <v>A9808D</v>
      </c>
      <c r="V4182">
        <v>0</v>
      </c>
      <c r="W4182">
        <v>0</v>
      </c>
      <c r="X4182">
        <v>1</v>
      </c>
      <c r="Z4182">
        <v>0</v>
      </c>
      <c r="AA4182">
        <v>9</v>
      </c>
      <c r="AB4182">
        <v>3</v>
      </c>
      <c r="AC4182">
        <v>0</v>
      </c>
      <c r="AD4182">
        <v>10</v>
      </c>
      <c r="AE4182">
        <v>0</v>
      </c>
      <c r="AF4182">
        <v>3</v>
      </c>
      <c r="AG4182">
        <v>2</v>
      </c>
      <c r="AH4182">
        <v>0</v>
      </c>
      <c r="AI4182" t="s">
        <v>285</v>
      </c>
      <c r="AJ4182">
        <v>28.259582999999999</v>
      </c>
      <c r="AK4182" t="s">
        <v>951</v>
      </c>
      <c r="AL4182">
        <v>-82.305772000000005</v>
      </c>
      <c r="AM4182">
        <v>100</v>
      </c>
      <c r="AN4182">
        <v>2300</v>
      </c>
      <c r="AO4182" t="s">
        <v>118</v>
      </c>
      <c r="AP4182">
        <v>-108</v>
      </c>
      <c r="AQ4182">
        <v>-92</v>
      </c>
      <c r="AR4182">
        <v>-128</v>
      </c>
      <c r="AZ4182">
        <v>1200</v>
      </c>
      <c r="BA4182">
        <v>1</v>
      </c>
      <c r="BB4182" t="str">
        <f t="shared" ref="BB4182:BB4245" si="1938">"N711JA  "</f>
        <v xml:space="preserve">N711JA  </v>
      </c>
      <c r="BC4182">
        <v>1</v>
      </c>
      <c r="BE4182">
        <v>0</v>
      </c>
      <c r="BF4182">
        <v>0</v>
      </c>
      <c r="BG4182">
        <v>0</v>
      </c>
      <c r="BH4182">
        <v>2300</v>
      </c>
      <c r="BI4182">
        <v>1</v>
      </c>
      <c r="BJ4182">
        <v>1</v>
      </c>
      <c r="BK4182">
        <v>0</v>
      </c>
      <c r="BL4182">
        <v>0</v>
      </c>
      <c r="BO4182">
        <v>0</v>
      </c>
      <c r="BP4182">
        <v>0</v>
      </c>
      <c r="BW4182" t="str">
        <f t="shared" si="1936"/>
        <v>14:48:52.662</v>
      </c>
      <c r="CJ4182">
        <v>0</v>
      </c>
      <c r="CK4182">
        <v>2</v>
      </c>
      <c r="CL4182">
        <v>0</v>
      </c>
      <c r="CM4182">
        <v>2</v>
      </c>
      <c r="CN4182">
        <v>0</v>
      </c>
      <c r="CO4182">
        <v>5</v>
      </c>
      <c r="CP4182" t="s">
        <v>119</v>
      </c>
      <c r="CQ4182">
        <v>358</v>
      </c>
      <c r="CR4182">
        <v>0</v>
      </c>
      <c r="CW4182">
        <v>5091528</v>
      </c>
      <c r="CY4182">
        <v>1</v>
      </c>
      <c r="CZ4182">
        <v>0</v>
      </c>
      <c r="DA4182">
        <v>1</v>
      </c>
      <c r="DB4182">
        <v>0</v>
      </c>
      <c r="DC4182">
        <v>0</v>
      </c>
      <c r="DD4182">
        <v>1</v>
      </c>
      <c r="DE4182">
        <v>0</v>
      </c>
      <c r="DF4182">
        <v>0</v>
      </c>
      <c r="DG4182">
        <v>0</v>
      </c>
      <c r="DH4182">
        <v>0</v>
      </c>
      <c r="DI4182">
        <v>0</v>
      </c>
    </row>
    <row r="4183" spans="1:113" x14ac:dyDescent="0.3">
      <c r="A4183" t="str">
        <f t="shared" si="1934"/>
        <v>05/12/2020 14:48:34.822</v>
      </c>
      <c r="C4183" t="str">
        <f t="shared" si="1937"/>
        <v>FFDFD3C0</v>
      </c>
      <c r="D4183" t="s">
        <v>131</v>
      </c>
      <c r="E4183">
        <v>18</v>
      </c>
      <c r="F4183">
        <v>2018</v>
      </c>
      <c r="G4183" t="s">
        <v>161</v>
      </c>
      <c r="J4183" t="s">
        <v>133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 t="shared" si="1935"/>
        <v>14:48:52.656</v>
      </c>
      <c r="T4183" t="str">
        <f t="shared" si="1935"/>
        <v>14:48:52.656</v>
      </c>
      <c r="U4183" t="str">
        <f t="shared" si="1926"/>
        <v>A9808D</v>
      </c>
      <c r="V4183">
        <v>0</v>
      </c>
      <c r="W4183">
        <v>0</v>
      </c>
      <c r="X4183">
        <v>1</v>
      </c>
      <c r="Z4183">
        <v>0</v>
      </c>
      <c r="AA4183">
        <v>9</v>
      </c>
      <c r="AB4183">
        <v>3</v>
      </c>
      <c r="AC4183">
        <v>0</v>
      </c>
      <c r="AD4183">
        <v>10</v>
      </c>
      <c r="AE4183">
        <v>0</v>
      </c>
      <c r="AF4183">
        <v>3</v>
      </c>
      <c r="AG4183">
        <v>2</v>
      </c>
      <c r="AH4183">
        <v>0</v>
      </c>
      <c r="AI4183" t="s">
        <v>285</v>
      </c>
      <c r="AJ4183">
        <v>28.259582999999999</v>
      </c>
      <c r="AK4183" t="s">
        <v>951</v>
      </c>
      <c r="AL4183">
        <v>-82.305772000000005</v>
      </c>
      <c r="AM4183">
        <v>100</v>
      </c>
      <c r="AN4183">
        <v>2300</v>
      </c>
      <c r="AO4183" t="s">
        <v>118</v>
      </c>
      <c r="AP4183">
        <v>-108</v>
      </c>
      <c r="AQ4183">
        <v>-92</v>
      </c>
      <c r="AR4183">
        <v>-128</v>
      </c>
      <c r="AZ4183">
        <v>1200</v>
      </c>
      <c r="BA4183">
        <v>1</v>
      </c>
      <c r="BB4183" t="str">
        <f t="shared" si="1938"/>
        <v xml:space="preserve">N711JA  </v>
      </c>
      <c r="BC4183">
        <v>1</v>
      </c>
      <c r="BE4183">
        <v>0</v>
      </c>
      <c r="BF4183">
        <v>0</v>
      </c>
      <c r="BG4183">
        <v>0</v>
      </c>
      <c r="BH4183">
        <v>2300</v>
      </c>
      <c r="BI4183">
        <v>1</v>
      </c>
      <c r="BJ4183">
        <v>1</v>
      </c>
      <c r="BK4183">
        <v>0</v>
      </c>
      <c r="BL4183">
        <v>0</v>
      </c>
      <c r="BO4183">
        <v>0</v>
      </c>
      <c r="BP4183">
        <v>0</v>
      </c>
      <c r="BW4183" t="str">
        <f t="shared" si="1936"/>
        <v>14:48:52.662</v>
      </c>
      <c r="CJ4183">
        <v>0</v>
      </c>
      <c r="CK4183">
        <v>2</v>
      </c>
      <c r="CL4183">
        <v>0</v>
      </c>
      <c r="CM4183">
        <v>2</v>
      </c>
      <c r="CN4183">
        <v>0</v>
      </c>
      <c r="CO4183">
        <v>6</v>
      </c>
      <c r="CP4183" t="s">
        <v>119</v>
      </c>
      <c r="CQ4183">
        <v>56</v>
      </c>
      <c r="CR4183">
        <v>2</v>
      </c>
      <c r="CW4183">
        <v>5118465</v>
      </c>
      <c r="CY4183">
        <v>1</v>
      </c>
      <c r="CZ4183">
        <v>0</v>
      </c>
      <c r="DA4183">
        <v>1</v>
      </c>
      <c r="DB4183">
        <v>0</v>
      </c>
      <c r="DC4183">
        <v>0</v>
      </c>
      <c r="DD4183">
        <v>1</v>
      </c>
      <c r="DE4183">
        <v>0</v>
      </c>
      <c r="DF4183">
        <v>0</v>
      </c>
      <c r="DG4183">
        <v>0</v>
      </c>
      <c r="DH4183">
        <v>0</v>
      </c>
      <c r="DI4183">
        <v>0</v>
      </c>
    </row>
    <row r="4184" spans="1:113" x14ac:dyDescent="0.3">
      <c r="A4184" t="str">
        <f t="shared" si="1934"/>
        <v>05/12/2020 14:48:34.822</v>
      </c>
      <c r="C4184" t="str">
        <f t="shared" si="1937"/>
        <v>FFDFD3C0</v>
      </c>
      <c r="D4184" t="s">
        <v>113</v>
      </c>
      <c r="E4184">
        <v>3</v>
      </c>
      <c r="H4184">
        <v>164</v>
      </c>
      <c r="I4184" t="s">
        <v>114</v>
      </c>
      <c r="J4184" t="s">
        <v>115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 t="shared" si="1935"/>
        <v>14:48:52.656</v>
      </c>
      <c r="T4184" t="str">
        <f t="shared" si="1935"/>
        <v>14:48:52.656</v>
      </c>
      <c r="U4184" t="str">
        <f t="shared" si="1926"/>
        <v>A9808D</v>
      </c>
      <c r="V4184">
        <v>0</v>
      </c>
      <c r="W4184">
        <v>0</v>
      </c>
      <c r="X4184">
        <v>1</v>
      </c>
      <c r="Z4184">
        <v>0</v>
      </c>
      <c r="AA4184">
        <v>9</v>
      </c>
      <c r="AB4184">
        <v>3</v>
      </c>
      <c r="AC4184">
        <v>0</v>
      </c>
      <c r="AD4184">
        <v>10</v>
      </c>
      <c r="AE4184">
        <v>0</v>
      </c>
      <c r="AF4184">
        <v>3</v>
      </c>
      <c r="AG4184">
        <v>2</v>
      </c>
      <c r="AH4184">
        <v>0</v>
      </c>
      <c r="AI4184" t="s">
        <v>285</v>
      </c>
      <c r="AJ4184">
        <v>28.259582999999999</v>
      </c>
      <c r="AK4184" t="s">
        <v>951</v>
      </c>
      <c r="AL4184">
        <v>-82.305772000000005</v>
      </c>
      <c r="AM4184">
        <v>100</v>
      </c>
      <c r="AN4184">
        <v>2300</v>
      </c>
      <c r="AO4184" t="s">
        <v>118</v>
      </c>
      <c r="AP4184">
        <v>-108</v>
      </c>
      <c r="AQ4184">
        <v>-92</v>
      </c>
      <c r="AR4184">
        <v>-128</v>
      </c>
      <c r="AZ4184">
        <v>1200</v>
      </c>
      <c r="BA4184">
        <v>1</v>
      </c>
      <c r="BB4184" t="str">
        <f t="shared" si="1938"/>
        <v xml:space="preserve">N711JA  </v>
      </c>
      <c r="BC4184">
        <v>1</v>
      </c>
      <c r="BE4184">
        <v>0</v>
      </c>
      <c r="BF4184">
        <v>0</v>
      </c>
      <c r="BG4184">
        <v>0</v>
      </c>
      <c r="BH4184">
        <v>2300</v>
      </c>
      <c r="BI4184">
        <v>1</v>
      </c>
      <c r="BJ4184">
        <v>1</v>
      </c>
      <c r="BK4184">
        <v>0</v>
      </c>
      <c r="BL4184">
        <v>0</v>
      </c>
      <c r="BO4184">
        <v>0</v>
      </c>
      <c r="BP4184">
        <v>0</v>
      </c>
      <c r="BW4184" t="str">
        <f t="shared" si="1936"/>
        <v>14:48:52.662</v>
      </c>
      <c r="CJ4184">
        <v>0</v>
      </c>
      <c r="CK4184">
        <v>2</v>
      </c>
      <c r="CL4184">
        <v>0</v>
      </c>
      <c r="CM4184">
        <v>2</v>
      </c>
      <c r="CN4184">
        <v>0</v>
      </c>
      <c r="CO4184">
        <v>6</v>
      </c>
      <c r="CP4184" t="s">
        <v>119</v>
      </c>
      <c r="CQ4184">
        <v>56</v>
      </c>
      <c r="CR4184">
        <v>2</v>
      </c>
      <c r="CW4184">
        <v>5118465</v>
      </c>
      <c r="CY4184">
        <v>1</v>
      </c>
      <c r="CZ4184">
        <v>0</v>
      </c>
      <c r="DA4184">
        <v>1</v>
      </c>
      <c r="DB4184">
        <v>0</v>
      </c>
      <c r="DC4184">
        <v>0</v>
      </c>
      <c r="DD4184">
        <v>1</v>
      </c>
      <c r="DE4184">
        <v>0</v>
      </c>
      <c r="DF4184">
        <v>0</v>
      </c>
      <c r="DG4184">
        <v>0</v>
      </c>
      <c r="DH4184">
        <v>0</v>
      </c>
      <c r="DI4184">
        <v>0</v>
      </c>
    </row>
    <row r="4185" spans="1:113" x14ac:dyDescent="0.3">
      <c r="A4185" t="str">
        <f t="shared" si="1934"/>
        <v>05/12/2020 14:48:34.822</v>
      </c>
      <c r="C4185" t="str">
        <f t="shared" si="1937"/>
        <v>FFDFD3C0</v>
      </c>
      <c r="D4185" t="s">
        <v>138</v>
      </c>
      <c r="E4185">
        <v>2</v>
      </c>
      <c r="H4185">
        <v>8</v>
      </c>
      <c r="I4185" t="s">
        <v>139</v>
      </c>
      <c r="J4185" t="s">
        <v>136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 t="shared" si="1935"/>
        <v>14:48:52.656</v>
      </c>
      <c r="T4185" t="str">
        <f t="shared" si="1935"/>
        <v>14:48:52.656</v>
      </c>
      <c r="U4185" t="str">
        <f t="shared" si="1926"/>
        <v>A9808D</v>
      </c>
      <c r="V4185">
        <v>0</v>
      </c>
      <c r="W4185">
        <v>0</v>
      </c>
      <c r="X4185">
        <v>1</v>
      </c>
      <c r="Z4185">
        <v>0</v>
      </c>
      <c r="AA4185">
        <v>9</v>
      </c>
      <c r="AB4185">
        <v>3</v>
      </c>
      <c r="AC4185">
        <v>0</v>
      </c>
      <c r="AD4185">
        <v>10</v>
      </c>
      <c r="AE4185">
        <v>0</v>
      </c>
      <c r="AF4185">
        <v>3</v>
      </c>
      <c r="AG4185">
        <v>2</v>
      </c>
      <c r="AH4185">
        <v>0</v>
      </c>
      <c r="AI4185" t="s">
        <v>285</v>
      </c>
      <c r="AJ4185">
        <v>28.259582999999999</v>
      </c>
      <c r="AK4185" t="s">
        <v>951</v>
      </c>
      <c r="AL4185">
        <v>-82.305772000000005</v>
      </c>
      <c r="AM4185">
        <v>100</v>
      </c>
      <c r="AN4185">
        <v>2300</v>
      </c>
      <c r="AO4185" t="s">
        <v>118</v>
      </c>
      <c r="AP4185">
        <v>-108</v>
      </c>
      <c r="AQ4185">
        <v>-92</v>
      </c>
      <c r="AR4185">
        <v>-128</v>
      </c>
      <c r="AZ4185">
        <v>1200</v>
      </c>
      <c r="BA4185">
        <v>1</v>
      </c>
      <c r="BB4185" t="str">
        <f t="shared" si="1938"/>
        <v xml:space="preserve">N711JA  </v>
      </c>
      <c r="BC4185">
        <v>1</v>
      </c>
      <c r="BE4185">
        <v>0</v>
      </c>
      <c r="BF4185">
        <v>0</v>
      </c>
      <c r="BG4185">
        <v>0</v>
      </c>
      <c r="BH4185">
        <v>2300</v>
      </c>
      <c r="BI4185">
        <v>1</v>
      </c>
      <c r="BJ4185">
        <v>1</v>
      </c>
      <c r="BK4185">
        <v>0</v>
      </c>
      <c r="BL4185">
        <v>0</v>
      </c>
      <c r="BO4185">
        <v>0</v>
      </c>
      <c r="BP4185">
        <v>0</v>
      </c>
      <c r="BW4185" t="str">
        <f t="shared" si="1936"/>
        <v>14:48:52.662</v>
      </c>
      <c r="CJ4185">
        <v>0</v>
      </c>
      <c r="CK4185">
        <v>2</v>
      </c>
      <c r="CL4185">
        <v>0</v>
      </c>
      <c r="CM4185">
        <v>2</v>
      </c>
      <c r="CN4185">
        <v>0</v>
      </c>
      <c r="CO4185">
        <v>6</v>
      </c>
      <c r="CP4185" t="s">
        <v>119</v>
      </c>
      <c r="CQ4185">
        <v>56</v>
      </c>
      <c r="CR4185">
        <v>2</v>
      </c>
      <c r="CW4185">
        <v>5118465</v>
      </c>
      <c r="CY4185">
        <v>1</v>
      </c>
      <c r="CZ4185">
        <v>0</v>
      </c>
      <c r="DA4185">
        <v>1</v>
      </c>
      <c r="DB4185">
        <v>0</v>
      </c>
      <c r="DC4185">
        <v>0</v>
      </c>
      <c r="DD4185">
        <v>1</v>
      </c>
      <c r="DE4185">
        <v>0</v>
      </c>
      <c r="DF4185">
        <v>0</v>
      </c>
      <c r="DG4185">
        <v>0</v>
      </c>
      <c r="DH4185">
        <v>0</v>
      </c>
      <c r="DI4185">
        <v>0</v>
      </c>
    </row>
    <row r="4186" spans="1:113" x14ac:dyDescent="0.3">
      <c r="A4186" t="str">
        <f t="shared" si="1934"/>
        <v>05/12/2020 14:48:34.822</v>
      </c>
      <c r="C4186" t="str">
        <f t="shared" si="1937"/>
        <v>FFDFD3C0</v>
      </c>
      <c r="D4186" t="s">
        <v>138</v>
      </c>
      <c r="E4186">
        <v>3</v>
      </c>
      <c r="H4186">
        <v>9</v>
      </c>
      <c r="I4186" t="s">
        <v>140</v>
      </c>
      <c r="J4186" t="s">
        <v>136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 t="shared" si="1935"/>
        <v>14:48:52.656</v>
      </c>
      <c r="T4186" t="str">
        <f t="shared" si="1935"/>
        <v>14:48:52.656</v>
      </c>
      <c r="U4186" t="str">
        <f t="shared" si="1926"/>
        <v>A9808D</v>
      </c>
      <c r="V4186">
        <v>0</v>
      </c>
      <c r="W4186">
        <v>0</v>
      </c>
      <c r="X4186">
        <v>1</v>
      </c>
      <c r="Z4186">
        <v>0</v>
      </c>
      <c r="AA4186">
        <v>9</v>
      </c>
      <c r="AB4186">
        <v>3</v>
      </c>
      <c r="AC4186">
        <v>0</v>
      </c>
      <c r="AD4186">
        <v>10</v>
      </c>
      <c r="AE4186">
        <v>0</v>
      </c>
      <c r="AF4186">
        <v>3</v>
      </c>
      <c r="AG4186">
        <v>2</v>
      </c>
      <c r="AH4186">
        <v>0</v>
      </c>
      <c r="AI4186" t="s">
        <v>285</v>
      </c>
      <c r="AJ4186">
        <v>28.259582999999999</v>
      </c>
      <c r="AK4186" t="s">
        <v>951</v>
      </c>
      <c r="AL4186">
        <v>-82.305772000000005</v>
      </c>
      <c r="AM4186">
        <v>100</v>
      </c>
      <c r="AN4186">
        <v>2300</v>
      </c>
      <c r="AO4186" t="s">
        <v>118</v>
      </c>
      <c r="AP4186">
        <v>-108</v>
      </c>
      <c r="AQ4186">
        <v>-92</v>
      </c>
      <c r="AR4186">
        <v>-128</v>
      </c>
      <c r="AZ4186">
        <v>1200</v>
      </c>
      <c r="BA4186">
        <v>1</v>
      </c>
      <c r="BB4186" t="str">
        <f t="shared" si="1938"/>
        <v xml:space="preserve">N711JA  </v>
      </c>
      <c r="BC4186">
        <v>1</v>
      </c>
      <c r="BE4186">
        <v>0</v>
      </c>
      <c r="BF4186">
        <v>0</v>
      </c>
      <c r="BG4186">
        <v>0</v>
      </c>
      <c r="BH4186">
        <v>2300</v>
      </c>
      <c r="BI4186">
        <v>1</v>
      </c>
      <c r="BJ4186">
        <v>1</v>
      </c>
      <c r="BK4186">
        <v>0</v>
      </c>
      <c r="BL4186">
        <v>0</v>
      </c>
      <c r="BO4186">
        <v>0</v>
      </c>
      <c r="BP4186">
        <v>0</v>
      </c>
      <c r="BW4186" t="str">
        <f t="shared" si="1936"/>
        <v>14:48:52.662</v>
      </c>
      <c r="CJ4186">
        <v>0</v>
      </c>
      <c r="CK4186">
        <v>2</v>
      </c>
      <c r="CL4186">
        <v>0</v>
      </c>
      <c r="CM4186">
        <v>2</v>
      </c>
      <c r="CN4186">
        <v>0</v>
      </c>
      <c r="CO4186">
        <v>6</v>
      </c>
      <c r="CP4186" t="s">
        <v>119</v>
      </c>
      <c r="CQ4186">
        <v>56</v>
      </c>
      <c r="CR4186">
        <v>2</v>
      </c>
      <c r="CW4186">
        <v>5118465</v>
      </c>
      <c r="CY4186">
        <v>1</v>
      </c>
      <c r="CZ4186">
        <v>0</v>
      </c>
      <c r="DA4186">
        <v>1</v>
      </c>
      <c r="DB4186">
        <v>0</v>
      </c>
      <c r="DC4186">
        <v>0</v>
      </c>
      <c r="DD4186">
        <v>1</v>
      </c>
      <c r="DE4186">
        <v>0</v>
      </c>
      <c r="DF4186">
        <v>0</v>
      </c>
      <c r="DG4186">
        <v>0</v>
      </c>
      <c r="DH4186">
        <v>0</v>
      </c>
      <c r="DI4186">
        <v>0</v>
      </c>
    </row>
    <row r="4187" spans="1:113" x14ac:dyDescent="0.3">
      <c r="A4187" t="str">
        <f t="shared" si="1934"/>
        <v>05/12/2020 14:48:34.822</v>
      </c>
      <c r="C4187" t="str">
        <f t="shared" si="1937"/>
        <v>FFDFD3C0</v>
      </c>
      <c r="D4187" t="s">
        <v>131</v>
      </c>
      <c r="E4187">
        <v>10</v>
      </c>
      <c r="F4187">
        <v>2010</v>
      </c>
      <c r="G4187" t="s">
        <v>132</v>
      </c>
      <c r="J4187" t="s">
        <v>133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 t="shared" si="1935"/>
        <v>14:48:52.656</v>
      </c>
      <c r="T4187" t="str">
        <f t="shared" si="1935"/>
        <v>14:48:52.656</v>
      </c>
      <c r="U4187" t="str">
        <f t="shared" si="1926"/>
        <v>A9808D</v>
      </c>
      <c r="V4187">
        <v>0</v>
      </c>
      <c r="W4187">
        <v>0</v>
      </c>
      <c r="X4187">
        <v>1</v>
      </c>
      <c r="Z4187">
        <v>0</v>
      </c>
      <c r="AA4187">
        <v>9</v>
      </c>
      <c r="AB4187">
        <v>3</v>
      </c>
      <c r="AC4187">
        <v>0</v>
      </c>
      <c r="AD4187">
        <v>10</v>
      </c>
      <c r="AE4187">
        <v>0</v>
      </c>
      <c r="AF4187">
        <v>3</v>
      </c>
      <c r="AG4187">
        <v>2</v>
      </c>
      <c r="AH4187">
        <v>0</v>
      </c>
      <c r="AI4187" t="s">
        <v>285</v>
      </c>
      <c r="AJ4187">
        <v>28.259582999999999</v>
      </c>
      <c r="AK4187" t="s">
        <v>951</v>
      </c>
      <c r="AL4187">
        <v>-82.305772000000005</v>
      </c>
      <c r="AM4187">
        <v>100</v>
      </c>
      <c r="AN4187">
        <v>2300</v>
      </c>
      <c r="AO4187" t="s">
        <v>118</v>
      </c>
      <c r="AP4187">
        <v>-108</v>
      </c>
      <c r="AQ4187">
        <v>-92</v>
      </c>
      <c r="AR4187">
        <v>-128</v>
      </c>
      <c r="AZ4187">
        <v>1200</v>
      </c>
      <c r="BA4187">
        <v>1</v>
      </c>
      <c r="BB4187" t="str">
        <f t="shared" si="1938"/>
        <v xml:space="preserve">N711JA  </v>
      </c>
      <c r="BC4187">
        <v>1</v>
      </c>
      <c r="BE4187">
        <v>0</v>
      </c>
      <c r="BF4187">
        <v>0</v>
      </c>
      <c r="BG4187">
        <v>0</v>
      </c>
      <c r="BH4187">
        <v>2300</v>
      </c>
      <c r="BI4187">
        <v>1</v>
      </c>
      <c r="BJ4187">
        <v>1</v>
      </c>
      <c r="BK4187">
        <v>0</v>
      </c>
      <c r="BL4187">
        <v>0</v>
      </c>
      <c r="BO4187">
        <v>0</v>
      </c>
      <c r="BP4187">
        <v>0</v>
      </c>
      <c r="BW4187" t="str">
        <f t="shared" si="1936"/>
        <v>14:48:52.662</v>
      </c>
      <c r="CJ4187">
        <v>0</v>
      </c>
      <c r="CK4187">
        <v>2</v>
      </c>
      <c r="CL4187">
        <v>0</v>
      </c>
      <c r="CM4187">
        <v>2</v>
      </c>
      <c r="CN4187">
        <v>0</v>
      </c>
      <c r="CO4187">
        <v>6</v>
      </c>
      <c r="CP4187" t="s">
        <v>119</v>
      </c>
      <c r="CQ4187">
        <v>56</v>
      </c>
      <c r="CR4187">
        <v>2</v>
      </c>
      <c r="CW4187">
        <v>5118465</v>
      </c>
      <c r="CY4187">
        <v>1</v>
      </c>
      <c r="CZ4187">
        <v>0</v>
      </c>
      <c r="DA4187">
        <v>1</v>
      </c>
      <c r="DB4187">
        <v>0</v>
      </c>
      <c r="DC4187">
        <v>0</v>
      </c>
      <c r="DD4187">
        <v>1</v>
      </c>
      <c r="DE4187">
        <v>0</v>
      </c>
      <c r="DF4187">
        <v>0</v>
      </c>
      <c r="DG4187">
        <v>0</v>
      </c>
      <c r="DH4187">
        <v>0</v>
      </c>
      <c r="DI4187">
        <v>0</v>
      </c>
    </row>
    <row r="4188" spans="1:113" x14ac:dyDescent="0.3">
      <c r="A4188" t="str">
        <f t="shared" si="1934"/>
        <v>05/12/2020 14:48:34.822</v>
      </c>
      <c r="C4188" t="str">
        <f t="shared" si="1937"/>
        <v>FFDFD3C0</v>
      </c>
      <c r="D4188" t="s">
        <v>126</v>
      </c>
      <c r="E4188">
        <v>7</v>
      </c>
      <c r="F4188">
        <v>1007</v>
      </c>
      <c r="G4188" t="s">
        <v>127</v>
      </c>
      <c r="J4188" t="s">
        <v>128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 t="shared" si="1935"/>
        <v>14:48:52.656</v>
      </c>
      <c r="T4188" t="str">
        <f t="shared" si="1935"/>
        <v>14:48:52.656</v>
      </c>
      <c r="U4188" t="str">
        <f t="shared" si="1926"/>
        <v>A9808D</v>
      </c>
      <c r="V4188">
        <v>0</v>
      </c>
      <c r="W4188">
        <v>0</v>
      </c>
      <c r="X4188">
        <v>1</v>
      </c>
      <c r="Z4188">
        <v>0</v>
      </c>
      <c r="AA4188">
        <v>9</v>
      </c>
      <c r="AB4188">
        <v>3</v>
      </c>
      <c r="AC4188">
        <v>0</v>
      </c>
      <c r="AD4188">
        <v>10</v>
      </c>
      <c r="AE4188">
        <v>0</v>
      </c>
      <c r="AF4188">
        <v>3</v>
      </c>
      <c r="AG4188">
        <v>2</v>
      </c>
      <c r="AH4188">
        <v>0</v>
      </c>
      <c r="AI4188" t="s">
        <v>285</v>
      </c>
      <c r="AJ4188">
        <v>28.259582999999999</v>
      </c>
      <c r="AK4188" t="s">
        <v>951</v>
      </c>
      <c r="AL4188">
        <v>-82.305772000000005</v>
      </c>
      <c r="AM4188">
        <v>100</v>
      </c>
      <c r="AN4188">
        <v>2300</v>
      </c>
      <c r="AO4188" t="s">
        <v>118</v>
      </c>
      <c r="AP4188">
        <v>-108</v>
      </c>
      <c r="AQ4188">
        <v>-92</v>
      </c>
      <c r="AR4188">
        <v>-128</v>
      </c>
      <c r="AZ4188">
        <v>1200</v>
      </c>
      <c r="BA4188">
        <v>1</v>
      </c>
      <c r="BB4188" t="str">
        <f t="shared" si="1938"/>
        <v xml:space="preserve">N711JA  </v>
      </c>
      <c r="BC4188">
        <v>1</v>
      </c>
      <c r="BE4188">
        <v>0</v>
      </c>
      <c r="BF4188">
        <v>0</v>
      </c>
      <c r="BG4188">
        <v>0</v>
      </c>
      <c r="BH4188">
        <v>2300</v>
      </c>
      <c r="BI4188">
        <v>1</v>
      </c>
      <c r="BJ4188">
        <v>1</v>
      </c>
      <c r="BK4188">
        <v>0</v>
      </c>
      <c r="BL4188">
        <v>0</v>
      </c>
      <c r="BO4188">
        <v>0</v>
      </c>
      <c r="BP4188">
        <v>0</v>
      </c>
      <c r="BW4188" t="str">
        <f t="shared" si="1936"/>
        <v>14:48:52.662</v>
      </c>
      <c r="CJ4188">
        <v>0</v>
      </c>
      <c r="CK4188">
        <v>2</v>
      </c>
      <c r="CL4188">
        <v>0</v>
      </c>
      <c r="CM4188">
        <v>2</v>
      </c>
      <c r="CN4188">
        <v>0</v>
      </c>
      <c r="CO4188">
        <v>6</v>
      </c>
      <c r="CP4188" t="s">
        <v>119</v>
      </c>
      <c r="CQ4188">
        <v>56</v>
      </c>
      <c r="CR4188">
        <v>2</v>
      </c>
      <c r="CW4188">
        <v>5118465</v>
      </c>
      <c r="CY4188">
        <v>1</v>
      </c>
      <c r="CZ4188">
        <v>0</v>
      </c>
      <c r="DA4188">
        <v>1</v>
      </c>
      <c r="DB4188">
        <v>0</v>
      </c>
      <c r="DC4188">
        <v>0</v>
      </c>
      <c r="DD4188">
        <v>1</v>
      </c>
      <c r="DE4188">
        <v>0</v>
      </c>
      <c r="DF4188">
        <v>0</v>
      </c>
      <c r="DG4188">
        <v>0</v>
      </c>
      <c r="DH4188">
        <v>0</v>
      </c>
      <c r="DI4188">
        <v>0</v>
      </c>
    </row>
    <row r="4189" spans="1:113" x14ac:dyDescent="0.3">
      <c r="A4189" t="str">
        <f t="shared" ref="A4189:A4197" si="1939">"05/12/2020 14:48:35.737"</f>
        <v>05/12/2020 14:48:35.737</v>
      </c>
      <c r="C4189" t="str">
        <f t="shared" si="1937"/>
        <v>FFDFD3C0</v>
      </c>
      <c r="D4189" t="s">
        <v>131</v>
      </c>
      <c r="E4189">
        <v>18</v>
      </c>
      <c r="F4189">
        <v>2018</v>
      </c>
      <c r="G4189" t="s">
        <v>161</v>
      </c>
      <c r="J4189" t="s">
        <v>133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 t="shared" ref="S4189:S4197" si="1940">"14:48:53.570"</f>
        <v>14:48:53.570</v>
      </c>
      <c r="T4189" t="str">
        <f t="shared" ref="T4189:T4197" si="1941">"14:48:53.170"</f>
        <v>14:48:53.170</v>
      </c>
      <c r="U4189" t="str">
        <f t="shared" si="1926"/>
        <v>A9808D</v>
      </c>
      <c r="V4189">
        <v>0</v>
      </c>
      <c r="W4189">
        <v>0</v>
      </c>
      <c r="X4189">
        <v>1</v>
      </c>
      <c r="Z4189">
        <v>0</v>
      </c>
      <c r="AA4189">
        <v>9</v>
      </c>
      <c r="AB4189">
        <v>3</v>
      </c>
      <c r="AC4189">
        <v>0</v>
      </c>
      <c r="AD4189">
        <v>10</v>
      </c>
      <c r="AE4189">
        <v>0</v>
      </c>
      <c r="AF4189">
        <v>3</v>
      </c>
      <c r="AG4189">
        <v>2</v>
      </c>
      <c r="AH4189">
        <v>0</v>
      </c>
      <c r="AI4189" t="s">
        <v>952</v>
      </c>
      <c r="AJ4189">
        <v>28.259153000000001</v>
      </c>
      <c r="AK4189" t="s">
        <v>953</v>
      </c>
      <c r="AL4189">
        <v>-82.306330000000003</v>
      </c>
      <c r="AM4189">
        <v>100</v>
      </c>
      <c r="AN4189">
        <v>2300</v>
      </c>
      <c r="AO4189" t="s">
        <v>118</v>
      </c>
      <c r="AP4189">
        <v>-108</v>
      </c>
      <c r="AQ4189">
        <v>-92</v>
      </c>
      <c r="AR4189">
        <v>-128</v>
      </c>
      <c r="AZ4189">
        <v>1200</v>
      </c>
      <c r="BA4189">
        <v>1</v>
      </c>
      <c r="BB4189" t="str">
        <f t="shared" si="1938"/>
        <v xml:space="preserve">N711JA  </v>
      </c>
      <c r="BC4189">
        <v>1</v>
      </c>
      <c r="BE4189">
        <v>0</v>
      </c>
      <c r="BF4189">
        <v>0</v>
      </c>
      <c r="BG4189">
        <v>0</v>
      </c>
      <c r="BH4189">
        <v>2300</v>
      </c>
      <c r="BI4189">
        <v>1</v>
      </c>
      <c r="BJ4189">
        <v>1</v>
      </c>
      <c r="BK4189">
        <v>0</v>
      </c>
      <c r="BL4189">
        <v>0</v>
      </c>
      <c r="BO4189">
        <v>0</v>
      </c>
      <c r="BP4189">
        <v>0</v>
      </c>
      <c r="BW4189" t="str">
        <f t="shared" ref="BW4189:BW4197" si="1942">"14:48:53.572"</f>
        <v>14:48:53.572</v>
      </c>
      <c r="CJ4189">
        <v>0</v>
      </c>
      <c r="CK4189">
        <v>2</v>
      </c>
      <c r="CL4189">
        <v>0</v>
      </c>
      <c r="CM4189">
        <v>2</v>
      </c>
      <c r="CN4189">
        <v>0</v>
      </c>
      <c r="CO4189">
        <v>6</v>
      </c>
      <c r="CP4189" t="s">
        <v>119</v>
      </c>
      <c r="CQ4189">
        <v>56</v>
      </c>
      <c r="CR4189">
        <v>2</v>
      </c>
      <c r="CW4189">
        <v>5119576</v>
      </c>
      <c r="CY4189">
        <v>1</v>
      </c>
      <c r="CZ4189">
        <v>0</v>
      </c>
      <c r="DA4189">
        <v>0</v>
      </c>
      <c r="DB4189">
        <v>0</v>
      </c>
      <c r="DC4189">
        <v>0</v>
      </c>
      <c r="DD4189">
        <v>1</v>
      </c>
      <c r="DE4189">
        <v>0</v>
      </c>
      <c r="DF4189">
        <v>0</v>
      </c>
      <c r="DG4189">
        <v>0</v>
      </c>
      <c r="DH4189">
        <v>0</v>
      </c>
      <c r="DI4189">
        <v>0</v>
      </c>
    </row>
    <row r="4190" spans="1:113" x14ac:dyDescent="0.3">
      <c r="A4190" t="str">
        <f t="shared" si="1939"/>
        <v>05/12/2020 14:48:35.737</v>
      </c>
      <c r="C4190" t="str">
        <f t="shared" si="1937"/>
        <v>FFDFD3C0</v>
      </c>
      <c r="D4190" t="s">
        <v>134</v>
      </c>
      <c r="E4190">
        <v>12</v>
      </c>
      <c r="H4190">
        <v>64</v>
      </c>
      <c r="I4190" t="s">
        <v>135</v>
      </c>
      <c r="J4190" t="s">
        <v>136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 t="shared" si="1940"/>
        <v>14:48:53.570</v>
      </c>
      <c r="T4190" t="str">
        <f t="shared" si="1941"/>
        <v>14:48:53.170</v>
      </c>
      <c r="U4190" t="str">
        <f t="shared" si="1926"/>
        <v>A9808D</v>
      </c>
      <c r="V4190">
        <v>0</v>
      </c>
      <c r="W4190">
        <v>0</v>
      </c>
      <c r="X4190">
        <v>1</v>
      </c>
      <c r="Z4190">
        <v>0</v>
      </c>
      <c r="AA4190">
        <v>9</v>
      </c>
      <c r="AB4190">
        <v>3</v>
      </c>
      <c r="AC4190">
        <v>0</v>
      </c>
      <c r="AD4190">
        <v>10</v>
      </c>
      <c r="AE4190">
        <v>0</v>
      </c>
      <c r="AF4190">
        <v>3</v>
      </c>
      <c r="AG4190">
        <v>2</v>
      </c>
      <c r="AH4190">
        <v>0</v>
      </c>
      <c r="AI4190" t="s">
        <v>952</v>
      </c>
      <c r="AJ4190">
        <v>28.259153000000001</v>
      </c>
      <c r="AK4190" t="s">
        <v>953</v>
      </c>
      <c r="AL4190">
        <v>-82.306330000000003</v>
      </c>
      <c r="AM4190">
        <v>100</v>
      </c>
      <c r="AN4190">
        <v>2300</v>
      </c>
      <c r="AO4190" t="s">
        <v>118</v>
      </c>
      <c r="AP4190">
        <v>-108</v>
      </c>
      <c r="AQ4190">
        <v>-92</v>
      </c>
      <c r="AR4190">
        <v>-128</v>
      </c>
      <c r="AZ4190">
        <v>1200</v>
      </c>
      <c r="BA4190">
        <v>1</v>
      </c>
      <c r="BB4190" t="str">
        <f t="shared" si="1938"/>
        <v xml:space="preserve">N711JA  </v>
      </c>
      <c r="BC4190">
        <v>1</v>
      </c>
      <c r="BE4190">
        <v>0</v>
      </c>
      <c r="BF4190">
        <v>0</v>
      </c>
      <c r="BG4190">
        <v>0</v>
      </c>
      <c r="BH4190">
        <v>2300</v>
      </c>
      <c r="BI4190">
        <v>1</v>
      </c>
      <c r="BJ4190">
        <v>1</v>
      </c>
      <c r="BK4190">
        <v>0</v>
      </c>
      <c r="BL4190">
        <v>0</v>
      </c>
      <c r="BO4190">
        <v>0</v>
      </c>
      <c r="BP4190">
        <v>0</v>
      </c>
      <c r="BW4190" t="str">
        <f t="shared" si="1942"/>
        <v>14:48:53.572</v>
      </c>
      <c r="CJ4190">
        <v>0</v>
      </c>
      <c r="CK4190">
        <v>2</v>
      </c>
      <c r="CL4190">
        <v>0</v>
      </c>
      <c r="CM4190">
        <v>2</v>
      </c>
      <c r="CN4190">
        <v>0</v>
      </c>
      <c r="CO4190">
        <v>5</v>
      </c>
      <c r="CP4190" t="s">
        <v>119</v>
      </c>
      <c r="CQ4190">
        <v>358</v>
      </c>
      <c r="CR4190">
        <v>0</v>
      </c>
      <c r="CW4190">
        <v>5092669</v>
      </c>
      <c r="CY4190">
        <v>1</v>
      </c>
      <c r="CZ4190">
        <v>0</v>
      </c>
      <c r="DA4190">
        <v>1</v>
      </c>
      <c r="DB4190">
        <v>0</v>
      </c>
      <c r="DC4190">
        <v>0</v>
      </c>
      <c r="DD4190">
        <v>1</v>
      </c>
      <c r="DE4190">
        <v>0</v>
      </c>
      <c r="DF4190">
        <v>0</v>
      </c>
      <c r="DG4190">
        <v>0</v>
      </c>
      <c r="DH4190">
        <v>0</v>
      </c>
      <c r="DI4190">
        <v>0</v>
      </c>
    </row>
    <row r="4191" spans="1:113" x14ac:dyDescent="0.3">
      <c r="A4191" t="str">
        <f t="shared" si="1939"/>
        <v>05/12/2020 14:48:35.737</v>
      </c>
      <c r="C4191" t="str">
        <f t="shared" si="1937"/>
        <v>FFDFD3C0</v>
      </c>
      <c r="D4191" t="s">
        <v>113</v>
      </c>
      <c r="E4191">
        <v>3</v>
      </c>
      <c r="H4191">
        <v>164</v>
      </c>
      <c r="I4191" t="s">
        <v>114</v>
      </c>
      <c r="J4191" t="s">
        <v>115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 t="shared" si="1940"/>
        <v>14:48:53.570</v>
      </c>
      <c r="T4191" t="str">
        <f t="shared" si="1941"/>
        <v>14:48:53.170</v>
      </c>
      <c r="U4191" t="str">
        <f t="shared" si="1926"/>
        <v>A9808D</v>
      </c>
      <c r="V4191">
        <v>0</v>
      </c>
      <c r="W4191">
        <v>0</v>
      </c>
      <c r="X4191">
        <v>1</v>
      </c>
      <c r="Z4191">
        <v>0</v>
      </c>
      <c r="AA4191">
        <v>9</v>
      </c>
      <c r="AB4191">
        <v>3</v>
      </c>
      <c r="AC4191">
        <v>0</v>
      </c>
      <c r="AD4191">
        <v>10</v>
      </c>
      <c r="AE4191">
        <v>0</v>
      </c>
      <c r="AF4191">
        <v>3</v>
      </c>
      <c r="AG4191">
        <v>2</v>
      </c>
      <c r="AH4191">
        <v>0</v>
      </c>
      <c r="AI4191" t="s">
        <v>952</v>
      </c>
      <c r="AJ4191">
        <v>28.259153000000001</v>
      </c>
      <c r="AK4191" t="s">
        <v>953</v>
      </c>
      <c r="AL4191">
        <v>-82.306330000000003</v>
      </c>
      <c r="AM4191">
        <v>100</v>
      </c>
      <c r="AN4191">
        <v>2300</v>
      </c>
      <c r="AO4191" t="s">
        <v>118</v>
      </c>
      <c r="AP4191">
        <v>-108</v>
      </c>
      <c r="AQ4191">
        <v>-92</v>
      </c>
      <c r="AR4191">
        <v>-128</v>
      </c>
      <c r="AZ4191">
        <v>1200</v>
      </c>
      <c r="BA4191">
        <v>1</v>
      </c>
      <c r="BB4191" t="str">
        <f t="shared" si="1938"/>
        <v xml:space="preserve">N711JA  </v>
      </c>
      <c r="BC4191">
        <v>1</v>
      </c>
      <c r="BE4191">
        <v>0</v>
      </c>
      <c r="BF4191">
        <v>0</v>
      </c>
      <c r="BG4191">
        <v>0</v>
      </c>
      <c r="BH4191">
        <v>2300</v>
      </c>
      <c r="BI4191">
        <v>1</v>
      </c>
      <c r="BJ4191">
        <v>1</v>
      </c>
      <c r="BK4191">
        <v>0</v>
      </c>
      <c r="BL4191">
        <v>0</v>
      </c>
      <c r="BO4191">
        <v>0</v>
      </c>
      <c r="BP4191">
        <v>0</v>
      </c>
      <c r="BW4191" t="str">
        <f t="shared" si="1942"/>
        <v>14:48:53.572</v>
      </c>
      <c r="CJ4191">
        <v>0</v>
      </c>
      <c r="CK4191">
        <v>2</v>
      </c>
      <c r="CL4191">
        <v>0</v>
      </c>
      <c r="CM4191">
        <v>2</v>
      </c>
      <c r="CN4191">
        <v>0</v>
      </c>
      <c r="CO4191">
        <v>6</v>
      </c>
      <c r="CP4191" t="s">
        <v>119</v>
      </c>
      <c r="CQ4191">
        <v>56</v>
      </c>
      <c r="CR4191">
        <v>2</v>
      </c>
      <c r="CW4191">
        <v>5119576</v>
      </c>
      <c r="CY4191">
        <v>1</v>
      </c>
      <c r="CZ4191">
        <v>0</v>
      </c>
      <c r="DA4191">
        <v>1</v>
      </c>
      <c r="DB4191">
        <v>0</v>
      </c>
      <c r="DC4191">
        <v>0</v>
      </c>
      <c r="DD4191">
        <v>1</v>
      </c>
      <c r="DE4191">
        <v>0</v>
      </c>
      <c r="DF4191">
        <v>0</v>
      </c>
      <c r="DG4191">
        <v>0</v>
      </c>
      <c r="DH4191">
        <v>0</v>
      </c>
      <c r="DI4191">
        <v>0</v>
      </c>
    </row>
    <row r="4192" spans="1:113" x14ac:dyDescent="0.3">
      <c r="A4192" t="str">
        <f t="shared" si="1939"/>
        <v>05/12/2020 14:48:35.737</v>
      </c>
      <c r="C4192" t="str">
        <f t="shared" si="1937"/>
        <v>FFDFD3C0</v>
      </c>
      <c r="D4192" t="s">
        <v>138</v>
      </c>
      <c r="E4192">
        <v>3</v>
      </c>
      <c r="H4192">
        <v>9</v>
      </c>
      <c r="I4192" t="s">
        <v>140</v>
      </c>
      <c r="J4192" t="s">
        <v>136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 t="shared" si="1940"/>
        <v>14:48:53.570</v>
      </c>
      <c r="T4192" t="str">
        <f t="shared" si="1941"/>
        <v>14:48:53.170</v>
      </c>
      <c r="U4192" t="str">
        <f t="shared" si="1926"/>
        <v>A9808D</v>
      </c>
      <c r="V4192">
        <v>0</v>
      </c>
      <c r="W4192">
        <v>0</v>
      </c>
      <c r="X4192">
        <v>1</v>
      </c>
      <c r="Z4192">
        <v>0</v>
      </c>
      <c r="AA4192">
        <v>9</v>
      </c>
      <c r="AB4192">
        <v>3</v>
      </c>
      <c r="AC4192">
        <v>0</v>
      </c>
      <c r="AD4192">
        <v>10</v>
      </c>
      <c r="AE4192">
        <v>0</v>
      </c>
      <c r="AF4192">
        <v>3</v>
      </c>
      <c r="AG4192">
        <v>2</v>
      </c>
      <c r="AH4192">
        <v>0</v>
      </c>
      <c r="AI4192" t="s">
        <v>952</v>
      </c>
      <c r="AJ4192">
        <v>28.259153000000001</v>
      </c>
      <c r="AK4192" t="s">
        <v>953</v>
      </c>
      <c r="AL4192">
        <v>-82.306330000000003</v>
      </c>
      <c r="AM4192">
        <v>100</v>
      </c>
      <c r="AN4192">
        <v>2300</v>
      </c>
      <c r="AO4192" t="s">
        <v>118</v>
      </c>
      <c r="AP4192">
        <v>-108</v>
      </c>
      <c r="AQ4192">
        <v>-92</v>
      </c>
      <c r="AR4192">
        <v>-128</v>
      </c>
      <c r="AZ4192">
        <v>1200</v>
      </c>
      <c r="BA4192">
        <v>1</v>
      </c>
      <c r="BB4192" t="str">
        <f t="shared" si="1938"/>
        <v xml:space="preserve">N711JA  </v>
      </c>
      <c r="BC4192">
        <v>1</v>
      </c>
      <c r="BE4192">
        <v>0</v>
      </c>
      <c r="BF4192">
        <v>0</v>
      </c>
      <c r="BG4192">
        <v>0</v>
      </c>
      <c r="BH4192">
        <v>2300</v>
      </c>
      <c r="BI4192">
        <v>1</v>
      </c>
      <c r="BJ4192">
        <v>1</v>
      </c>
      <c r="BK4192">
        <v>0</v>
      </c>
      <c r="BL4192">
        <v>0</v>
      </c>
      <c r="BO4192">
        <v>0</v>
      </c>
      <c r="BP4192">
        <v>0</v>
      </c>
      <c r="BW4192" t="str">
        <f t="shared" si="1942"/>
        <v>14:48:53.572</v>
      </c>
      <c r="CJ4192">
        <v>0</v>
      </c>
      <c r="CK4192">
        <v>2</v>
      </c>
      <c r="CL4192">
        <v>0</v>
      </c>
      <c r="CM4192">
        <v>2</v>
      </c>
      <c r="CN4192">
        <v>0</v>
      </c>
      <c r="CO4192">
        <v>6</v>
      </c>
      <c r="CP4192" t="s">
        <v>119</v>
      </c>
      <c r="CQ4192">
        <v>56</v>
      </c>
      <c r="CR4192">
        <v>2</v>
      </c>
      <c r="CW4192">
        <v>5119576</v>
      </c>
      <c r="CY4192">
        <v>1</v>
      </c>
      <c r="CZ4192">
        <v>0</v>
      </c>
      <c r="DA4192">
        <v>1</v>
      </c>
      <c r="DB4192">
        <v>0</v>
      </c>
      <c r="DC4192">
        <v>0</v>
      </c>
      <c r="DD4192">
        <v>1</v>
      </c>
      <c r="DE4192">
        <v>0</v>
      </c>
      <c r="DF4192">
        <v>0</v>
      </c>
      <c r="DG4192">
        <v>0</v>
      </c>
      <c r="DH4192">
        <v>0</v>
      </c>
      <c r="DI4192">
        <v>0</v>
      </c>
    </row>
    <row r="4193" spans="1:113" x14ac:dyDescent="0.3">
      <c r="A4193" t="str">
        <f t="shared" si="1939"/>
        <v>05/12/2020 14:48:35.737</v>
      </c>
      <c r="C4193" t="str">
        <f t="shared" si="1937"/>
        <v>FFDFD3C0</v>
      </c>
      <c r="D4193" t="s">
        <v>138</v>
      </c>
      <c r="E4193">
        <v>2</v>
      </c>
      <c r="H4193">
        <v>8</v>
      </c>
      <c r="I4193" t="s">
        <v>139</v>
      </c>
      <c r="J4193" t="s">
        <v>136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 t="shared" si="1940"/>
        <v>14:48:53.570</v>
      </c>
      <c r="T4193" t="str">
        <f t="shared" si="1941"/>
        <v>14:48:53.170</v>
      </c>
      <c r="U4193" t="str">
        <f t="shared" si="1926"/>
        <v>A9808D</v>
      </c>
      <c r="V4193">
        <v>0</v>
      </c>
      <c r="W4193">
        <v>0</v>
      </c>
      <c r="X4193">
        <v>1</v>
      </c>
      <c r="Z4193">
        <v>0</v>
      </c>
      <c r="AA4193">
        <v>9</v>
      </c>
      <c r="AB4193">
        <v>3</v>
      </c>
      <c r="AC4193">
        <v>0</v>
      </c>
      <c r="AD4193">
        <v>10</v>
      </c>
      <c r="AE4193">
        <v>0</v>
      </c>
      <c r="AF4193">
        <v>3</v>
      </c>
      <c r="AG4193">
        <v>2</v>
      </c>
      <c r="AH4193">
        <v>0</v>
      </c>
      <c r="AI4193" t="s">
        <v>952</v>
      </c>
      <c r="AJ4193">
        <v>28.259153000000001</v>
      </c>
      <c r="AK4193" t="s">
        <v>953</v>
      </c>
      <c r="AL4193">
        <v>-82.306330000000003</v>
      </c>
      <c r="AM4193">
        <v>100</v>
      </c>
      <c r="AN4193">
        <v>2300</v>
      </c>
      <c r="AO4193" t="s">
        <v>118</v>
      </c>
      <c r="AP4193">
        <v>-108</v>
      </c>
      <c r="AQ4193">
        <v>-92</v>
      </c>
      <c r="AR4193">
        <v>-128</v>
      </c>
      <c r="AZ4193">
        <v>1200</v>
      </c>
      <c r="BA4193">
        <v>1</v>
      </c>
      <c r="BB4193" t="str">
        <f t="shared" si="1938"/>
        <v xml:space="preserve">N711JA  </v>
      </c>
      <c r="BC4193">
        <v>1</v>
      </c>
      <c r="BE4193">
        <v>0</v>
      </c>
      <c r="BF4193">
        <v>0</v>
      </c>
      <c r="BG4193">
        <v>0</v>
      </c>
      <c r="BH4193">
        <v>2300</v>
      </c>
      <c r="BI4193">
        <v>1</v>
      </c>
      <c r="BJ4193">
        <v>1</v>
      </c>
      <c r="BK4193">
        <v>0</v>
      </c>
      <c r="BL4193">
        <v>0</v>
      </c>
      <c r="BO4193">
        <v>0</v>
      </c>
      <c r="BP4193">
        <v>0</v>
      </c>
      <c r="BW4193" t="str">
        <f t="shared" si="1942"/>
        <v>14:48:53.572</v>
      </c>
      <c r="CJ4193">
        <v>0</v>
      </c>
      <c r="CK4193">
        <v>2</v>
      </c>
      <c r="CL4193">
        <v>0</v>
      </c>
      <c r="CM4193">
        <v>2</v>
      </c>
      <c r="CN4193">
        <v>0</v>
      </c>
      <c r="CO4193">
        <v>6</v>
      </c>
      <c r="CP4193" t="s">
        <v>119</v>
      </c>
      <c r="CQ4193">
        <v>56</v>
      </c>
      <c r="CR4193">
        <v>2</v>
      </c>
      <c r="CW4193">
        <v>5119576</v>
      </c>
      <c r="CY4193">
        <v>1</v>
      </c>
      <c r="CZ4193">
        <v>0</v>
      </c>
      <c r="DA4193">
        <v>1</v>
      </c>
      <c r="DB4193">
        <v>0</v>
      </c>
      <c r="DC4193">
        <v>0</v>
      </c>
      <c r="DD4193">
        <v>1</v>
      </c>
      <c r="DE4193">
        <v>0</v>
      </c>
      <c r="DF4193">
        <v>0</v>
      </c>
      <c r="DG4193">
        <v>0</v>
      </c>
      <c r="DH4193">
        <v>0</v>
      </c>
      <c r="DI4193">
        <v>0</v>
      </c>
    </row>
    <row r="4194" spans="1:113" x14ac:dyDescent="0.3">
      <c r="A4194" t="str">
        <f t="shared" si="1939"/>
        <v>05/12/2020 14:48:35.737</v>
      </c>
      <c r="C4194" t="str">
        <f t="shared" si="1937"/>
        <v>FFDFD3C0</v>
      </c>
      <c r="D4194" t="s">
        <v>131</v>
      </c>
      <c r="E4194">
        <v>10</v>
      </c>
      <c r="F4194">
        <v>2010</v>
      </c>
      <c r="G4194" t="s">
        <v>132</v>
      </c>
      <c r="J4194" t="s">
        <v>133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 t="shared" si="1940"/>
        <v>14:48:53.570</v>
      </c>
      <c r="T4194" t="str">
        <f t="shared" si="1941"/>
        <v>14:48:53.170</v>
      </c>
      <c r="U4194" t="str">
        <f t="shared" si="1926"/>
        <v>A9808D</v>
      </c>
      <c r="V4194">
        <v>0</v>
      </c>
      <c r="W4194">
        <v>0</v>
      </c>
      <c r="X4194">
        <v>1</v>
      </c>
      <c r="Z4194">
        <v>0</v>
      </c>
      <c r="AA4194">
        <v>9</v>
      </c>
      <c r="AB4194">
        <v>3</v>
      </c>
      <c r="AC4194">
        <v>0</v>
      </c>
      <c r="AD4194">
        <v>10</v>
      </c>
      <c r="AE4194">
        <v>0</v>
      </c>
      <c r="AF4194">
        <v>3</v>
      </c>
      <c r="AG4194">
        <v>2</v>
      </c>
      <c r="AH4194">
        <v>0</v>
      </c>
      <c r="AI4194" t="s">
        <v>952</v>
      </c>
      <c r="AJ4194">
        <v>28.259153000000001</v>
      </c>
      <c r="AK4194" t="s">
        <v>953</v>
      </c>
      <c r="AL4194">
        <v>-82.306330000000003</v>
      </c>
      <c r="AM4194">
        <v>100</v>
      </c>
      <c r="AN4194">
        <v>2300</v>
      </c>
      <c r="AO4194" t="s">
        <v>118</v>
      </c>
      <c r="AP4194">
        <v>-108</v>
      </c>
      <c r="AQ4194">
        <v>-92</v>
      </c>
      <c r="AR4194">
        <v>-128</v>
      </c>
      <c r="AZ4194">
        <v>1200</v>
      </c>
      <c r="BA4194">
        <v>1</v>
      </c>
      <c r="BB4194" t="str">
        <f t="shared" si="1938"/>
        <v xml:space="preserve">N711JA  </v>
      </c>
      <c r="BC4194">
        <v>1</v>
      </c>
      <c r="BE4194">
        <v>0</v>
      </c>
      <c r="BF4194">
        <v>0</v>
      </c>
      <c r="BG4194">
        <v>0</v>
      </c>
      <c r="BH4194">
        <v>2300</v>
      </c>
      <c r="BI4194">
        <v>1</v>
      </c>
      <c r="BJ4194">
        <v>1</v>
      </c>
      <c r="BK4194">
        <v>0</v>
      </c>
      <c r="BL4194">
        <v>0</v>
      </c>
      <c r="BO4194">
        <v>0</v>
      </c>
      <c r="BP4194">
        <v>0</v>
      </c>
      <c r="BW4194" t="str">
        <f t="shared" si="1942"/>
        <v>14:48:53.572</v>
      </c>
      <c r="CJ4194">
        <v>0</v>
      </c>
      <c r="CK4194">
        <v>2</v>
      </c>
      <c r="CL4194">
        <v>0</v>
      </c>
      <c r="CM4194">
        <v>2</v>
      </c>
      <c r="CN4194">
        <v>0</v>
      </c>
      <c r="CO4194">
        <v>6</v>
      </c>
      <c r="CP4194" t="s">
        <v>119</v>
      </c>
      <c r="CQ4194">
        <v>56</v>
      </c>
      <c r="CR4194">
        <v>2</v>
      </c>
      <c r="CW4194">
        <v>5119576</v>
      </c>
      <c r="CY4194">
        <v>1</v>
      </c>
      <c r="CZ4194">
        <v>0</v>
      </c>
      <c r="DA4194">
        <v>1</v>
      </c>
      <c r="DB4194">
        <v>0</v>
      </c>
      <c r="DC4194">
        <v>0</v>
      </c>
      <c r="DD4194">
        <v>1</v>
      </c>
      <c r="DE4194">
        <v>0</v>
      </c>
      <c r="DF4194">
        <v>0</v>
      </c>
      <c r="DG4194">
        <v>0</v>
      </c>
      <c r="DH4194">
        <v>0</v>
      </c>
      <c r="DI4194">
        <v>0</v>
      </c>
    </row>
    <row r="4195" spans="1:113" x14ac:dyDescent="0.3">
      <c r="A4195" t="str">
        <f t="shared" si="1939"/>
        <v>05/12/2020 14:48:35.737</v>
      </c>
      <c r="C4195" t="str">
        <f t="shared" si="1937"/>
        <v>FFDFD3C0</v>
      </c>
      <c r="D4195" t="s">
        <v>126</v>
      </c>
      <c r="E4195">
        <v>6</v>
      </c>
      <c r="F4195">
        <v>1006</v>
      </c>
      <c r="G4195" t="s">
        <v>114</v>
      </c>
      <c r="J4195" t="s">
        <v>128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 t="shared" si="1940"/>
        <v>14:48:53.570</v>
      </c>
      <c r="T4195" t="str">
        <f t="shared" si="1941"/>
        <v>14:48:53.170</v>
      </c>
      <c r="U4195" t="str">
        <f t="shared" si="1926"/>
        <v>A9808D</v>
      </c>
      <c r="V4195">
        <v>0</v>
      </c>
      <c r="W4195">
        <v>0</v>
      </c>
      <c r="X4195">
        <v>1</v>
      </c>
      <c r="Z4195">
        <v>0</v>
      </c>
      <c r="AA4195">
        <v>9</v>
      </c>
      <c r="AB4195">
        <v>3</v>
      </c>
      <c r="AC4195">
        <v>0</v>
      </c>
      <c r="AD4195">
        <v>10</v>
      </c>
      <c r="AE4195">
        <v>0</v>
      </c>
      <c r="AF4195">
        <v>3</v>
      </c>
      <c r="AG4195">
        <v>2</v>
      </c>
      <c r="AH4195">
        <v>0</v>
      </c>
      <c r="AI4195" t="s">
        <v>952</v>
      </c>
      <c r="AJ4195">
        <v>28.259153000000001</v>
      </c>
      <c r="AK4195" t="s">
        <v>953</v>
      </c>
      <c r="AL4195">
        <v>-82.306330000000003</v>
      </c>
      <c r="AM4195">
        <v>100</v>
      </c>
      <c r="AN4195">
        <v>2300</v>
      </c>
      <c r="AO4195" t="s">
        <v>118</v>
      </c>
      <c r="AP4195">
        <v>-108</v>
      </c>
      <c r="AQ4195">
        <v>-92</v>
      </c>
      <c r="AR4195">
        <v>-128</v>
      </c>
      <c r="AZ4195">
        <v>1200</v>
      </c>
      <c r="BA4195">
        <v>1</v>
      </c>
      <c r="BB4195" t="str">
        <f t="shared" si="1938"/>
        <v xml:space="preserve">N711JA  </v>
      </c>
      <c r="BC4195">
        <v>1</v>
      </c>
      <c r="BE4195">
        <v>0</v>
      </c>
      <c r="BF4195">
        <v>0</v>
      </c>
      <c r="BG4195">
        <v>0</v>
      </c>
      <c r="BH4195">
        <v>2300</v>
      </c>
      <c r="BI4195">
        <v>1</v>
      </c>
      <c r="BJ4195">
        <v>1</v>
      </c>
      <c r="BK4195">
        <v>0</v>
      </c>
      <c r="BL4195">
        <v>0</v>
      </c>
      <c r="BO4195">
        <v>0</v>
      </c>
      <c r="BP4195">
        <v>0</v>
      </c>
      <c r="BW4195" t="str">
        <f t="shared" si="1942"/>
        <v>14:48:53.572</v>
      </c>
      <c r="CJ4195">
        <v>0</v>
      </c>
      <c r="CK4195">
        <v>2</v>
      </c>
      <c r="CL4195">
        <v>0</v>
      </c>
      <c r="CM4195">
        <v>2</v>
      </c>
      <c r="CN4195">
        <v>0</v>
      </c>
      <c r="CO4195">
        <v>6</v>
      </c>
      <c r="CP4195" t="s">
        <v>119</v>
      </c>
      <c r="CQ4195">
        <v>56</v>
      </c>
      <c r="CR4195">
        <v>2</v>
      </c>
      <c r="CW4195">
        <v>5119576</v>
      </c>
      <c r="CY4195">
        <v>1</v>
      </c>
      <c r="CZ4195">
        <v>0</v>
      </c>
      <c r="DA4195">
        <v>1</v>
      </c>
      <c r="DB4195">
        <v>0</v>
      </c>
      <c r="DC4195">
        <v>0</v>
      </c>
      <c r="DD4195">
        <v>1</v>
      </c>
      <c r="DE4195">
        <v>0</v>
      </c>
      <c r="DF4195">
        <v>0</v>
      </c>
      <c r="DG4195">
        <v>0</v>
      </c>
      <c r="DH4195">
        <v>0</v>
      </c>
      <c r="DI4195">
        <v>0</v>
      </c>
    </row>
    <row r="4196" spans="1:113" x14ac:dyDescent="0.3">
      <c r="A4196" t="str">
        <f t="shared" si="1939"/>
        <v>05/12/2020 14:48:35.737</v>
      </c>
      <c r="C4196" t="str">
        <f t="shared" si="1937"/>
        <v>FFDFD3C0</v>
      </c>
      <c r="D4196" t="s">
        <v>131</v>
      </c>
      <c r="E4196">
        <v>12</v>
      </c>
      <c r="F4196">
        <v>2012</v>
      </c>
      <c r="G4196" t="s">
        <v>137</v>
      </c>
      <c r="J4196" t="s">
        <v>133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 t="shared" si="1940"/>
        <v>14:48:53.570</v>
      </c>
      <c r="T4196" t="str">
        <f t="shared" si="1941"/>
        <v>14:48:53.170</v>
      </c>
      <c r="U4196" t="str">
        <f t="shared" si="1926"/>
        <v>A9808D</v>
      </c>
      <c r="V4196">
        <v>0</v>
      </c>
      <c r="W4196">
        <v>0</v>
      </c>
      <c r="X4196">
        <v>1</v>
      </c>
      <c r="Z4196">
        <v>0</v>
      </c>
      <c r="AA4196">
        <v>9</v>
      </c>
      <c r="AB4196">
        <v>3</v>
      </c>
      <c r="AC4196">
        <v>0</v>
      </c>
      <c r="AD4196">
        <v>10</v>
      </c>
      <c r="AE4196">
        <v>0</v>
      </c>
      <c r="AF4196">
        <v>3</v>
      </c>
      <c r="AG4196">
        <v>2</v>
      </c>
      <c r="AH4196">
        <v>0</v>
      </c>
      <c r="AI4196" t="s">
        <v>952</v>
      </c>
      <c r="AJ4196">
        <v>28.259153000000001</v>
      </c>
      <c r="AK4196" t="s">
        <v>953</v>
      </c>
      <c r="AL4196">
        <v>-82.306330000000003</v>
      </c>
      <c r="AM4196">
        <v>100</v>
      </c>
      <c r="AN4196">
        <v>2300</v>
      </c>
      <c r="AO4196" t="s">
        <v>118</v>
      </c>
      <c r="AP4196">
        <v>-108</v>
      </c>
      <c r="AQ4196">
        <v>-92</v>
      </c>
      <c r="AR4196">
        <v>-128</v>
      </c>
      <c r="AZ4196">
        <v>1200</v>
      </c>
      <c r="BA4196">
        <v>1</v>
      </c>
      <c r="BB4196" t="str">
        <f t="shared" si="1938"/>
        <v xml:space="preserve">N711JA  </v>
      </c>
      <c r="BC4196">
        <v>1</v>
      </c>
      <c r="BE4196">
        <v>0</v>
      </c>
      <c r="BF4196">
        <v>0</v>
      </c>
      <c r="BG4196">
        <v>0</v>
      </c>
      <c r="BH4196">
        <v>2300</v>
      </c>
      <c r="BI4196">
        <v>1</v>
      </c>
      <c r="BJ4196">
        <v>1</v>
      </c>
      <c r="BK4196">
        <v>0</v>
      </c>
      <c r="BL4196">
        <v>0</v>
      </c>
      <c r="BO4196">
        <v>0</v>
      </c>
      <c r="BP4196">
        <v>0</v>
      </c>
      <c r="BW4196" t="str">
        <f t="shared" si="1942"/>
        <v>14:48:53.572</v>
      </c>
      <c r="CJ4196">
        <v>0</v>
      </c>
      <c r="CK4196">
        <v>2</v>
      </c>
      <c r="CL4196">
        <v>0</v>
      </c>
      <c r="CM4196">
        <v>2</v>
      </c>
      <c r="CN4196">
        <v>0</v>
      </c>
      <c r="CO4196">
        <v>6</v>
      </c>
      <c r="CP4196" t="s">
        <v>119</v>
      </c>
      <c r="CQ4196">
        <v>56</v>
      </c>
      <c r="CR4196">
        <v>2</v>
      </c>
      <c r="CW4196">
        <v>5119576</v>
      </c>
      <c r="CY4196">
        <v>1</v>
      </c>
      <c r="CZ4196">
        <v>0</v>
      </c>
      <c r="DA4196">
        <v>1</v>
      </c>
      <c r="DB4196">
        <v>0</v>
      </c>
      <c r="DC4196">
        <v>0</v>
      </c>
      <c r="DD4196">
        <v>1</v>
      </c>
      <c r="DE4196">
        <v>0</v>
      </c>
      <c r="DF4196">
        <v>0</v>
      </c>
      <c r="DG4196">
        <v>0</v>
      </c>
      <c r="DH4196">
        <v>0</v>
      </c>
      <c r="DI4196">
        <v>0</v>
      </c>
    </row>
    <row r="4197" spans="1:113" x14ac:dyDescent="0.3">
      <c r="A4197" t="str">
        <f t="shared" si="1939"/>
        <v>05/12/2020 14:48:35.737</v>
      </c>
      <c r="C4197" t="str">
        <f t="shared" si="1937"/>
        <v>FFDFD3C0</v>
      </c>
      <c r="D4197" t="s">
        <v>126</v>
      </c>
      <c r="E4197">
        <v>7</v>
      </c>
      <c r="F4197">
        <v>1007</v>
      </c>
      <c r="G4197" t="s">
        <v>127</v>
      </c>
      <c r="J4197" t="s">
        <v>128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 t="shared" si="1940"/>
        <v>14:48:53.570</v>
      </c>
      <c r="T4197" t="str">
        <f t="shared" si="1941"/>
        <v>14:48:53.170</v>
      </c>
      <c r="U4197" t="str">
        <f t="shared" si="1926"/>
        <v>A9808D</v>
      </c>
      <c r="V4197">
        <v>0</v>
      </c>
      <c r="W4197">
        <v>0</v>
      </c>
      <c r="X4197">
        <v>1</v>
      </c>
      <c r="Z4197">
        <v>0</v>
      </c>
      <c r="AA4197">
        <v>9</v>
      </c>
      <c r="AB4197">
        <v>3</v>
      </c>
      <c r="AC4197">
        <v>0</v>
      </c>
      <c r="AD4197">
        <v>10</v>
      </c>
      <c r="AE4197">
        <v>0</v>
      </c>
      <c r="AF4197">
        <v>3</v>
      </c>
      <c r="AG4197">
        <v>2</v>
      </c>
      <c r="AH4197">
        <v>0</v>
      </c>
      <c r="AI4197" t="s">
        <v>952</v>
      </c>
      <c r="AJ4197">
        <v>28.259153000000001</v>
      </c>
      <c r="AK4197" t="s">
        <v>953</v>
      </c>
      <c r="AL4197">
        <v>-82.306330000000003</v>
      </c>
      <c r="AM4197">
        <v>100</v>
      </c>
      <c r="AN4197">
        <v>2300</v>
      </c>
      <c r="AO4197" t="s">
        <v>118</v>
      </c>
      <c r="AP4197">
        <v>-108</v>
      </c>
      <c r="AQ4197">
        <v>-92</v>
      </c>
      <c r="AR4197">
        <v>-128</v>
      </c>
      <c r="AZ4197">
        <v>1200</v>
      </c>
      <c r="BA4197">
        <v>1</v>
      </c>
      <c r="BB4197" t="str">
        <f t="shared" si="1938"/>
        <v xml:space="preserve">N711JA  </v>
      </c>
      <c r="BC4197">
        <v>1</v>
      </c>
      <c r="BE4197">
        <v>0</v>
      </c>
      <c r="BF4197">
        <v>0</v>
      </c>
      <c r="BG4197">
        <v>0</v>
      </c>
      <c r="BH4197">
        <v>2300</v>
      </c>
      <c r="BI4197">
        <v>1</v>
      </c>
      <c r="BJ4197">
        <v>1</v>
      </c>
      <c r="BK4197">
        <v>0</v>
      </c>
      <c r="BL4197">
        <v>0</v>
      </c>
      <c r="BO4197">
        <v>0</v>
      </c>
      <c r="BP4197">
        <v>0</v>
      </c>
      <c r="BW4197" t="str">
        <f t="shared" si="1942"/>
        <v>14:48:53.572</v>
      </c>
      <c r="CJ4197">
        <v>0</v>
      </c>
      <c r="CK4197">
        <v>2</v>
      </c>
      <c r="CL4197">
        <v>0</v>
      </c>
      <c r="CM4197">
        <v>2</v>
      </c>
      <c r="CN4197">
        <v>0</v>
      </c>
      <c r="CO4197">
        <v>6</v>
      </c>
      <c r="CP4197" t="s">
        <v>119</v>
      </c>
      <c r="CQ4197">
        <v>56</v>
      </c>
      <c r="CR4197">
        <v>2</v>
      </c>
      <c r="CW4197">
        <v>5119576</v>
      </c>
      <c r="CY4197">
        <v>1</v>
      </c>
      <c r="CZ4197">
        <v>0</v>
      </c>
      <c r="DA4197">
        <v>1</v>
      </c>
      <c r="DB4197">
        <v>0</v>
      </c>
      <c r="DC4197">
        <v>0</v>
      </c>
      <c r="DD4197">
        <v>1</v>
      </c>
      <c r="DE4197">
        <v>0</v>
      </c>
      <c r="DF4197">
        <v>0</v>
      </c>
      <c r="DG4197">
        <v>0</v>
      </c>
      <c r="DH4197">
        <v>0</v>
      </c>
      <c r="DI4197">
        <v>0</v>
      </c>
    </row>
    <row r="4198" spans="1:113" x14ac:dyDescent="0.3">
      <c r="A4198" t="str">
        <f t="shared" ref="A4198:A4206" si="1943">"05/12/2020 14:48:36.835"</f>
        <v>05/12/2020 14:48:36.835</v>
      </c>
      <c r="C4198" t="str">
        <f t="shared" si="1937"/>
        <v>FFDFD3C0</v>
      </c>
      <c r="D4198" t="s">
        <v>131</v>
      </c>
      <c r="E4198">
        <v>10</v>
      </c>
      <c r="F4198">
        <v>2010</v>
      </c>
      <c r="G4198" t="s">
        <v>132</v>
      </c>
      <c r="J4198" t="s">
        <v>133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 t="shared" ref="S4198:T4206" si="1944">"14:48:54.664"</f>
        <v>14:48:54.664</v>
      </c>
      <c r="T4198" t="str">
        <f t="shared" si="1944"/>
        <v>14:48:54.664</v>
      </c>
      <c r="U4198" t="str">
        <f t="shared" si="1926"/>
        <v>A9808D</v>
      </c>
      <c r="V4198">
        <v>0</v>
      </c>
      <c r="W4198">
        <v>0</v>
      </c>
      <c r="X4198">
        <v>1</v>
      </c>
      <c r="Z4198">
        <v>0</v>
      </c>
      <c r="AA4198">
        <v>9</v>
      </c>
      <c r="AB4198">
        <v>3</v>
      </c>
      <c r="AC4198">
        <v>0</v>
      </c>
      <c r="AD4198">
        <v>10</v>
      </c>
      <c r="AE4198">
        <v>0</v>
      </c>
      <c r="AF4198">
        <v>3</v>
      </c>
      <c r="AG4198">
        <v>2</v>
      </c>
      <c r="AH4198">
        <v>0</v>
      </c>
      <c r="AI4198" t="s">
        <v>954</v>
      </c>
      <c r="AJ4198">
        <v>28.258659999999999</v>
      </c>
      <c r="AK4198" t="s">
        <v>955</v>
      </c>
      <c r="AL4198">
        <v>-82.306973999999997</v>
      </c>
      <c r="AM4198">
        <v>100</v>
      </c>
      <c r="AN4198">
        <v>2300</v>
      </c>
      <c r="AO4198" t="s">
        <v>118</v>
      </c>
      <c r="AP4198">
        <v>-108</v>
      </c>
      <c r="AQ4198">
        <v>-92</v>
      </c>
      <c r="AR4198">
        <v>-64</v>
      </c>
      <c r="AZ4198">
        <v>1200</v>
      </c>
      <c r="BA4198">
        <v>1</v>
      </c>
      <c r="BB4198" t="str">
        <f t="shared" si="1938"/>
        <v xml:space="preserve">N711JA  </v>
      </c>
      <c r="BC4198">
        <v>1</v>
      </c>
      <c r="BE4198">
        <v>0</v>
      </c>
      <c r="BF4198">
        <v>0</v>
      </c>
      <c r="BG4198">
        <v>0</v>
      </c>
      <c r="BH4198">
        <v>2300</v>
      </c>
      <c r="BI4198">
        <v>1</v>
      </c>
      <c r="BJ4198">
        <v>1</v>
      </c>
      <c r="BK4198">
        <v>0</v>
      </c>
      <c r="BL4198">
        <v>0</v>
      </c>
      <c r="BO4198">
        <v>0</v>
      </c>
      <c r="BP4198">
        <v>0</v>
      </c>
      <c r="BW4198" t="str">
        <f t="shared" ref="BW4198:BW4206" si="1945">"14:48:54.670"</f>
        <v>14:48:54.670</v>
      </c>
      <c r="CJ4198">
        <v>0</v>
      </c>
      <c r="CK4198">
        <v>2</v>
      </c>
      <c r="CL4198">
        <v>0</v>
      </c>
      <c r="CM4198">
        <v>2</v>
      </c>
      <c r="CN4198">
        <v>0</v>
      </c>
      <c r="CO4198">
        <v>6</v>
      </c>
      <c r="CP4198" t="s">
        <v>119</v>
      </c>
      <c r="CQ4198">
        <v>56</v>
      </c>
      <c r="CR4198">
        <v>2</v>
      </c>
      <c r="CW4198">
        <v>5120996</v>
      </c>
      <c r="CY4198">
        <v>1</v>
      </c>
      <c r="CZ4198">
        <v>0</v>
      </c>
      <c r="DA4198">
        <v>0</v>
      </c>
      <c r="DB4198">
        <v>0</v>
      </c>
      <c r="DC4198">
        <v>0</v>
      </c>
      <c r="DD4198">
        <v>1</v>
      </c>
      <c r="DE4198">
        <v>0</v>
      </c>
      <c r="DF4198">
        <v>0</v>
      </c>
      <c r="DG4198">
        <v>0</v>
      </c>
      <c r="DH4198">
        <v>0</v>
      </c>
      <c r="DI4198">
        <v>0</v>
      </c>
    </row>
    <row r="4199" spans="1:113" x14ac:dyDescent="0.3">
      <c r="A4199" t="str">
        <f t="shared" si="1943"/>
        <v>05/12/2020 14:48:36.835</v>
      </c>
      <c r="C4199" t="str">
        <f t="shared" si="1937"/>
        <v>FFDFD3C0</v>
      </c>
      <c r="D4199" t="s">
        <v>126</v>
      </c>
      <c r="E4199">
        <v>7</v>
      </c>
      <c r="F4199">
        <v>1007</v>
      </c>
      <c r="G4199" t="s">
        <v>127</v>
      </c>
      <c r="J4199" t="s">
        <v>128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 t="shared" si="1944"/>
        <v>14:48:54.664</v>
      </c>
      <c r="T4199" t="str">
        <f t="shared" si="1944"/>
        <v>14:48:54.664</v>
      </c>
      <c r="U4199" t="str">
        <f t="shared" si="1926"/>
        <v>A9808D</v>
      </c>
      <c r="V4199">
        <v>0</v>
      </c>
      <c r="W4199">
        <v>0</v>
      </c>
      <c r="X4199">
        <v>1</v>
      </c>
      <c r="Z4199">
        <v>0</v>
      </c>
      <c r="AA4199">
        <v>9</v>
      </c>
      <c r="AB4199">
        <v>3</v>
      </c>
      <c r="AC4199">
        <v>0</v>
      </c>
      <c r="AD4199">
        <v>10</v>
      </c>
      <c r="AE4199">
        <v>0</v>
      </c>
      <c r="AF4199">
        <v>3</v>
      </c>
      <c r="AG4199">
        <v>2</v>
      </c>
      <c r="AH4199">
        <v>0</v>
      </c>
      <c r="AI4199" t="s">
        <v>954</v>
      </c>
      <c r="AJ4199">
        <v>28.258659999999999</v>
      </c>
      <c r="AK4199" t="s">
        <v>955</v>
      </c>
      <c r="AL4199">
        <v>-82.306973999999997</v>
      </c>
      <c r="AM4199">
        <v>100</v>
      </c>
      <c r="AN4199">
        <v>2300</v>
      </c>
      <c r="AO4199" t="s">
        <v>118</v>
      </c>
      <c r="AP4199">
        <v>-108</v>
      </c>
      <c r="AQ4199">
        <v>-92</v>
      </c>
      <c r="AR4199">
        <v>-64</v>
      </c>
      <c r="AZ4199">
        <v>1200</v>
      </c>
      <c r="BA4199">
        <v>1</v>
      </c>
      <c r="BB4199" t="str">
        <f t="shared" si="1938"/>
        <v xml:space="preserve">N711JA  </v>
      </c>
      <c r="BC4199">
        <v>1</v>
      </c>
      <c r="BE4199">
        <v>0</v>
      </c>
      <c r="BF4199">
        <v>0</v>
      </c>
      <c r="BG4199">
        <v>0</v>
      </c>
      <c r="BH4199">
        <v>2300</v>
      </c>
      <c r="BI4199">
        <v>1</v>
      </c>
      <c r="BJ4199">
        <v>1</v>
      </c>
      <c r="BK4199">
        <v>0</v>
      </c>
      <c r="BL4199">
        <v>0</v>
      </c>
      <c r="BO4199">
        <v>0</v>
      </c>
      <c r="BP4199">
        <v>0</v>
      </c>
      <c r="BW4199" t="str">
        <f t="shared" si="1945"/>
        <v>14:48:54.670</v>
      </c>
      <c r="CJ4199">
        <v>0</v>
      </c>
      <c r="CK4199">
        <v>2</v>
      </c>
      <c r="CL4199">
        <v>0</v>
      </c>
      <c r="CM4199">
        <v>2</v>
      </c>
      <c r="CN4199">
        <v>0</v>
      </c>
      <c r="CO4199">
        <v>6</v>
      </c>
      <c r="CP4199" t="s">
        <v>119</v>
      </c>
      <c r="CQ4199">
        <v>56</v>
      </c>
      <c r="CR4199">
        <v>2</v>
      </c>
      <c r="CW4199">
        <v>5120996</v>
      </c>
      <c r="CY4199">
        <v>1</v>
      </c>
      <c r="CZ4199">
        <v>0</v>
      </c>
      <c r="DA4199">
        <v>1</v>
      </c>
      <c r="DB4199">
        <v>0</v>
      </c>
      <c r="DC4199">
        <v>0</v>
      </c>
      <c r="DD4199">
        <v>1</v>
      </c>
      <c r="DE4199">
        <v>0</v>
      </c>
      <c r="DF4199">
        <v>0</v>
      </c>
      <c r="DG4199">
        <v>0</v>
      </c>
      <c r="DH4199">
        <v>0</v>
      </c>
      <c r="DI4199">
        <v>0</v>
      </c>
    </row>
    <row r="4200" spans="1:113" x14ac:dyDescent="0.3">
      <c r="A4200" t="str">
        <f t="shared" si="1943"/>
        <v>05/12/2020 14:48:36.835</v>
      </c>
      <c r="C4200" t="str">
        <f t="shared" si="1937"/>
        <v>FFDFD3C0</v>
      </c>
      <c r="D4200" t="s">
        <v>131</v>
      </c>
      <c r="E4200">
        <v>12</v>
      </c>
      <c r="F4200">
        <v>2012</v>
      </c>
      <c r="G4200" t="s">
        <v>137</v>
      </c>
      <c r="J4200" t="s">
        <v>133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 t="shared" si="1944"/>
        <v>14:48:54.664</v>
      </c>
      <c r="T4200" t="str">
        <f t="shared" si="1944"/>
        <v>14:48:54.664</v>
      </c>
      <c r="U4200" t="str">
        <f t="shared" si="1926"/>
        <v>A9808D</v>
      </c>
      <c r="V4200">
        <v>0</v>
      </c>
      <c r="W4200">
        <v>0</v>
      </c>
      <c r="X4200">
        <v>1</v>
      </c>
      <c r="Z4200">
        <v>0</v>
      </c>
      <c r="AA4200">
        <v>9</v>
      </c>
      <c r="AB4200">
        <v>3</v>
      </c>
      <c r="AC4200">
        <v>0</v>
      </c>
      <c r="AD4200">
        <v>10</v>
      </c>
      <c r="AE4200">
        <v>0</v>
      </c>
      <c r="AF4200">
        <v>3</v>
      </c>
      <c r="AG4200">
        <v>2</v>
      </c>
      <c r="AH4200">
        <v>0</v>
      </c>
      <c r="AI4200" t="s">
        <v>954</v>
      </c>
      <c r="AJ4200">
        <v>28.258659999999999</v>
      </c>
      <c r="AK4200" t="s">
        <v>955</v>
      </c>
      <c r="AL4200">
        <v>-82.306973999999997</v>
      </c>
      <c r="AM4200">
        <v>100</v>
      </c>
      <c r="AN4200">
        <v>2300</v>
      </c>
      <c r="AO4200" t="s">
        <v>118</v>
      </c>
      <c r="AP4200">
        <v>-108</v>
      </c>
      <c r="AQ4200">
        <v>-92</v>
      </c>
      <c r="AR4200">
        <v>-64</v>
      </c>
      <c r="AZ4200">
        <v>1200</v>
      </c>
      <c r="BA4200">
        <v>1</v>
      </c>
      <c r="BB4200" t="str">
        <f t="shared" si="1938"/>
        <v xml:space="preserve">N711JA  </v>
      </c>
      <c r="BC4200">
        <v>1</v>
      </c>
      <c r="BE4200">
        <v>0</v>
      </c>
      <c r="BF4200">
        <v>0</v>
      </c>
      <c r="BG4200">
        <v>0</v>
      </c>
      <c r="BH4200">
        <v>2300</v>
      </c>
      <c r="BI4200">
        <v>1</v>
      </c>
      <c r="BJ4200">
        <v>1</v>
      </c>
      <c r="BK4200">
        <v>0</v>
      </c>
      <c r="BL4200">
        <v>0</v>
      </c>
      <c r="BO4200">
        <v>0</v>
      </c>
      <c r="BP4200">
        <v>0</v>
      </c>
      <c r="BW4200" t="str">
        <f t="shared" si="1945"/>
        <v>14:48:54.670</v>
      </c>
      <c r="CJ4200">
        <v>0</v>
      </c>
      <c r="CK4200">
        <v>2</v>
      </c>
      <c r="CL4200">
        <v>0</v>
      </c>
      <c r="CM4200">
        <v>2</v>
      </c>
      <c r="CN4200">
        <v>0</v>
      </c>
      <c r="CO4200">
        <v>6</v>
      </c>
      <c r="CP4200" t="s">
        <v>119</v>
      </c>
      <c r="CQ4200">
        <v>56</v>
      </c>
      <c r="CR4200">
        <v>2</v>
      </c>
      <c r="CW4200">
        <v>5120996</v>
      </c>
      <c r="CY4200">
        <v>1</v>
      </c>
      <c r="CZ4200">
        <v>0</v>
      </c>
      <c r="DA4200">
        <v>1</v>
      </c>
      <c r="DB4200">
        <v>0</v>
      </c>
      <c r="DC4200">
        <v>0</v>
      </c>
      <c r="DD4200">
        <v>1</v>
      </c>
      <c r="DE4200">
        <v>0</v>
      </c>
      <c r="DF4200">
        <v>0</v>
      </c>
      <c r="DG4200">
        <v>0</v>
      </c>
      <c r="DH4200">
        <v>0</v>
      </c>
      <c r="DI4200">
        <v>0</v>
      </c>
    </row>
    <row r="4201" spans="1:113" x14ac:dyDescent="0.3">
      <c r="A4201" t="str">
        <f t="shared" si="1943"/>
        <v>05/12/2020 14:48:36.835</v>
      </c>
      <c r="C4201" t="str">
        <f t="shared" si="1937"/>
        <v>FFDFD3C0</v>
      </c>
      <c r="D4201" t="s">
        <v>126</v>
      </c>
      <c r="E4201">
        <v>6</v>
      </c>
      <c r="F4201">
        <v>1006</v>
      </c>
      <c r="G4201" t="s">
        <v>114</v>
      </c>
      <c r="J4201" t="s">
        <v>128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 t="shared" si="1944"/>
        <v>14:48:54.664</v>
      </c>
      <c r="T4201" t="str">
        <f t="shared" si="1944"/>
        <v>14:48:54.664</v>
      </c>
      <c r="U4201" t="str">
        <f t="shared" si="1926"/>
        <v>A9808D</v>
      </c>
      <c r="V4201">
        <v>0</v>
      </c>
      <c r="W4201">
        <v>0</v>
      </c>
      <c r="X4201">
        <v>1</v>
      </c>
      <c r="Z4201">
        <v>0</v>
      </c>
      <c r="AA4201">
        <v>9</v>
      </c>
      <c r="AB4201">
        <v>3</v>
      </c>
      <c r="AC4201">
        <v>0</v>
      </c>
      <c r="AD4201">
        <v>10</v>
      </c>
      <c r="AE4201">
        <v>0</v>
      </c>
      <c r="AF4201">
        <v>3</v>
      </c>
      <c r="AG4201">
        <v>2</v>
      </c>
      <c r="AH4201">
        <v>0</v>
      </c>
      <c r="AI4201" t="s">
        <v>954</v>
      </c>
      <c r="AJ4201">
        <v>28.258659999999999</v>
      </c>
      <c r="AK4201" t="s">
        <v>955</v>
      </c>
      <c r="AL4201">
        <v>-82.306973999999997</v>
      </c>
      <c r="AM4201">
        <v>100</v>
      </c>
      <c r="AN4201">
        <v>2300</v>
      </c>
      <c r="AO4201" t="s">
        <v>118</v>
      </c>
      <c r="AP4201">
        <v>-108</v>
      </c>
      <c r="AQ4201">
        <v>-92</v>
      </c>
      <c r="AR4201">
        <v>-64</v>
      </c>
      <c r="AZ4201">
        <v>1200</v>
      </c>
      <c r="BA4201">
        <v>1</v>
      </c>
      <c r="BB4201" t="str">
        <f t="shared" si="1938"/>
        <v xml:space="preserve">N711JA  </v>
      </c>
      <c r="BC4201">
        <v>1</v>
      </c>
      <c r="BE4201">
        <v>0</v>
      </c>
      <c r="BF4201">
        <v>0</v>
      </c>
      <c r="BG4201">
        <v>0</v>
      </c>
      <c r="BH4201">
        <v>2300</v>
      </c>
      <c r="BI4201">
        <v>1</v>
      </c>
      <c r="BJ4201">
        <v>1</v>
      </c>
      <c r="BK4201">
        <v>0</v>
      </c>
      <c r="BL4201">
        <v>0</v>
      </c>
      <c r="BO4201">
        <v>0</v>
      </c>
      <c r="BP4201">
        <v>0</v>
      </c>
      <c r="BW4201" t="str">
        <f t="shared" si="1945"/>
        <v>14:48:54.670</v>
      </c>
      <c r="CJ4201">
        <v>0</v>
      </c>
      <c r="CK4201">
        <v>2</v>
      </c>
      <c r="CL4201">
        <v>0</v>
      </c>
      <c r="CM4201">
        <v>2</v>
      </c>
      <c r="CN4201">
        <v>0</v>
      </c>
      <c r="CO4201">
        <v>6</v>
      </c>
      <c r="CP4201" t="s">
        <v>119</v>
      </c>
      <c r="CQ4201">
        <v>56</v>
      </c>
      <c r="CR4201">
        <v>2</v>
      </c>
      <c r="CW4201">
        <v>5120996</v>
      </c>
      <c r="CY4201">
        <v>1</v>
      </c>
      <c r="CZ4201">
        <v>0</v>
      </c>
      <c r="DA4201">
        <v>1</v>
      </c>
      <c r="DB4201">
        <v>0</v>
      </c>
      <c r="DC4201">
        <v>0</v>
      </c>
      <c r="DD4201">
        <v>1</v>
      </c>
      <c r="DE4201">
        <v>0</v>
      </c>
      <c r="DF4201">
        <v>0</v>
      </c>
      <c r="DG4201">
        <v>0</v>
      </c>
      <c r="DH4201">
        <v>0</v>
      </c>
      <c r="DI4201">
        <v>0</v>
      </c>
    </row>
    <row r="4202" spans="1:113" x14ac:dyDescent="0.3">
      <c r="A4202" t="str">
        <f t="shared" si="1943"/>
        <v>05/12/2020 14:48:36.835</v>
      </c>
      <c r="C4202" t="str">
        <f t="shared" si="1937"/>
        <v>FFDFD3C0</v>
      </c>
      <c r="D4202" t="s">
        <v>131</v>
      </c>
      <c r="E4202">
        <v>18</v>
      </c>
      <c r="F4202">
        <v>2018</v>
      </c>
      <c r="G4202" t="s">
        <v>161</v>
      </c>
      <c r="J4202" t="s">
        <v>133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 t="shared" si="1944"/>
        <v>14:48:54.664</v>
      </c>
      <c r="T4202" t="str">
        <f t="shared" si="1944"/>
        <v>14:48:54.664</v>
      </c>
      <c r="U4202" t="str">
        <f t="shared" si="1926"/>
        <v>A9808D</v>
      </c>
      <c r="V4202">
        <v>0</v>
      </c>
      <c r="W4202">
        <v>0</v>
      </c>
      <c r="X4202">
        <v>1</v>
      </c>
      <c r="Z4202">
        <v>0</v>
      </c>
      <c r="AA4202">
        <v>9</v>
      </c>
      <c r="AB4202">
        <v>3</v>
      </c>
      <c r="AC4202">
        <v>0</v>
      </c>
      <c r="AD4202">
        <v>10</v>
      </c>
      <c r="AE4202">
        <v>0</v>
      </c>
      <c r="AF4202">
        <v>3</v>
      </c>
      <c r="AG4202">
        <v>2</v>
      </c>
      <c r="AH4202">
        <v>0</v>
      </c>
      <c r="AI4202" t="s">
        <v>954</v>
      </c>
      <c r="AJ4202">
        <v>28.258659999999999</v>
      </c>
      <c r="AK4202" t="s">
        <v>955</v>
      </c>
      <c r="AL4202">
        <v>-82.306973999999997</v>
      </c>
      <c r="AM4202">
        <v>100</v>
      </c>
      <c r="AN4202">
        <v>2300</v>
      </c>
      <c r="AO4202" t="s">
        <v>118</v>
      </c>
      <c r="AP4202">
        <v>-108</v>
      </c>
      <c r="AQ4202">
        <v>-92</v>
      </c>
      <c r="AR4202">
        <v>-64</v>
      </c>
      <c r="AZ4202">
        <v>1200</v>
      </c>
      <c r="BA4202">
        <v>1</v>
      </c>
      <c r="BB4202" t="str">
        <f t="shared" si="1938"/>
        <v xml:space="preserve">N711JA  </v>
      </c>
      <c r="BC4202">
        <v>1</v>
      </c>
      <c r="BE4202">
        <v>0</v>
      </c>
      <c r="BF4202">
        <v>0</v>
      </c>
      <c r="BG4202">
        <v>0</v>
      </c>
      <c r="BH4202">
        <v>2300</v>
      </c>
      <c r="BI4202">
        <v>1</v>
      </c>
      <c r="BJ4202">
        <v>1</v>
      </c>
      <c r="BK4202">
        <v>0</v>
      </c>
      <c r="BL4202">
        <v>0</v>
      </c>
      <c r="BO4202">
        <v>0</v>
      </c>
      <c r="BP4202">
        <v>0</v>
      </c>
      <c r="BW4202" t="str">
        <f t="shared" si="1945"/>
        <v>14:48:54.670</v>
      </c>
      <c r="CJ4202">
        <v>0</v>
      </c>
      <c r="CK4202">
        <v>2</v>
      </c>
      <c r="CL4202">
        <v>0</v>
      </c>
      <c r="CM4202">
        <v>2</v>
      </c>
      <c r="CN4202">
        <v>0</v>
      </c>
      <c r="CO4202">
        <v>6</v>
      </c>
      <c r="CP4202" t="s">
        <v>119</v>
      </c>
      <c r="CQ4202">
        <v>56</v>
      </c>
      <c r="CR4202">
        <v>2</v>
      </c>
      <c r="CW4202">
        <v>5120996</v>
      </c>
      <c r="CY4202">
        <v>1</v>
      </c>
      <c r="CZ4202">
        <v>0</v>
      </c>
      <c r="DA4202">
        <v>1</v>
      </c>
      <c r="DB4202">
        <v>0</v>
      </c>
      <c r="DC4202">
        <v>0</v>
      </c>
      <c r="DD4202">
        <v>1</v>
      </c>
      <c r="DE4202">
        <v>0</v>
      </c>
      <c r="DF4202">
        <v>0</v>
      </c>
      <c r="DG4202">
        <v>0</v>
      </c>
      <c r="DH4202">
        <v>0</v>
      </c>
      <c r="DI4202">
        <v>0</v>
      </c>
    </row>
    <row r="4203" spans="1:113" x14ac:dyDescent="0.3">
      <c r="A4203" t="str">
        <f t="shared" si="1943"/>
        <v>05/12/2020 14:48:36.835</v>
      </c>
      <c r="C4203" t="str">
        <f t="shared" si="1937"/>
        <v>FFDFD3C0</v>
      </c>
      <c r="D4203" t="s">
        <v>134</v>
      </c>
      <c r="E4203">
        <v>12</v>
      </c>
      <c r="H4203">
        <v>64</v>
      </c>
      <c r="I4203" t="s">
        <v>135</v>
      </c>
      <c r="J4203" t="s">
        <v>136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 t="shared" si="1944"/>
        <v>14:48:54.664</v>
      </c>
      <c r="T4203" t="str">
        <f t="shared" si="1944"/>
        <v>14:48:54.664</v>
      </c>
      <c r="U4203" t="str">
        <f t="shared" si="1926"/>
        <v>A9808D</v>
      </c>
      <c r="V4203">
        <v>0</v>
      </c>
      <c r="W4203">
        <v>0</v>
      </c>
      <c r="X4203">
        <v>1</v>
      </c>
      <c r="Z4203">
        <v>0</v>
      </c>
      <c r="AA4203">
        <v>9</v>
      </c>
      <c r="AB4203">
        <v>3</v>
      </c>
      <c r="AC4203">
        <v>0</v>
      </c>
      <c r="AD4203">
        <v>10</v>
      </c>
      <c r="AE4203">
        <v>0</v>
      </c>
      <c r="AF4203">
        <v>3</v>
      </c>
      <c r="AG4203">
        <v>2</v>
      </c>
      <c r="AH4203">
        <v>0</v>
      </c>
      <c r="AI4203" t="s">
        <v>954</v>
      </c>
      <c r="AJ4203">
        <v>28.258659999999999</v>
      </c>
      <c r="AK4203" t="s">
        <v>955</v>
      </c>
      <c r="AL4203">
        <v>-82.306973999999997</v>
      </c>
      <c r="AM4203">
        <v>100</v>
      </c>
      <c r="AN4203">
        <v>2300</v>
      </c>
      <c r="AO4203" t="s">
        <v>118</v>
      </c>
      <c r="AP4203">
        <v>-108</v>
      </c>
      <c r="AQ4203">
        <v>-92</v>
      </c>
      <c r="AR4203">
        <v>-64</v>
      </c>
      <c r="AZ4203">
        <v>1200</v>
      </c>
      <c r="BA4203">
        <v>1</v>
      </c>
      <c r="BB4203" t="str">
        <f t="shared" si="1938"/>
        <v xml:space="preserve">N711JA  </v>
      </c>
      <c r="BC4203">
        <v>1</v>
      </c>
      <c r="BE4203">
        <v>0</v>
      </c>
      <c r="BF4203">
        <v>0</v>
      </c>
      <c r="BG4203">
        <v>0</v>
      </c>
      <c r="BH4203">
        <v>2300</v>
      </c>
      <c r="BI4203">
        <v>1</v>
      </c>
      <c r="BJ4203">
        <v>1</v>
      </c>
      <c r="BK4203">
        <v>0</v>
      </c>
      <c r="BL4203">
        <v>0</v>
      </c>
      <c r="BO4203">
        <v>0</v>
      </c>
      <c r="BP4203">
        <v>0</v>
      </c>
      <c r="BW4203" t="str">
        <f t="shared" si="1945"/>
        <v>14:48:54.670</v>
      </c>
      <c r="CJ4203">
        <v>0</v>
      </c>
      <c r="CK4203">
        <v>2</v>
      </c>
      <c r="CL4203">
        <v>0</v>
      </c>
      <c r="CM4203">
        <v>2</v>
      </c>
      <c r="CN4203">
        <v>0</v>
      </c>
      <c r="CO4203">
        <v>6</v>
      </c>
      <c r="CP4203" t="s">
        <v>119</v>
      </c>
      <c r="CQ4203">
        <v>358</v>
      </c>
      <c r="CR4203">
        <v>0</v>
      </c>
      <c r="CW4203">
        <v>5094082</v>
      </c>
      <c r="CY4203">
        <v>1</v>
      </c>
      <c r="CZ4203">
        <v>0</v>
      </c>
      <c r="DA4203">
        <v>1</v>
      </c>
      <c r="DB4203">
        <v>0</v>
      </c>
      <c r="DC4203">
        <v>0</v>
      </c>
      <c r="DD4203">
        <v>1</v>
      </c>
      <c r="DE4203">
        <v>0</v>
      </c>
      <c r="DF4203">
        <v>0</v>
      </c>
      <c r="DG4203">
        <v>0</v>
      </c>
      <c r="DH4203">
        <v>0</v>
      </c>
      <c r="DI4203">
        <v>0</v>
      </c>
    </row>
    <row r="4204" spans="1:113" x14ac:dyDescent="0.3">
      <c r="A4204" t="str">
        <f t="shared" si="1943"/>
        <v>05/12/2020 14:48:36.835</v>
      </c>
      <c r="C4204" t="str">
        <f t="shared" si="1937"/>
        <v>FFDFD3C0</v>
      </c>
      <c r="D4204" t="s">
        <v>113</v>
      </c>
      <c r="E4204">
        <v>3</v>
      </c>
      <c r="H4204">
        <v>164</v>
      </c>
      <c r="I4204" t="s">
        <v>114</v>
      </c>
      <c r="J4204" t="s">
        <v>115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 t="shared" si="1944"/>
        <v>14:48:54.664</v>
      </c>
      <c r="T4204" t="str">
        <f t="shared" si="1944"/>
        <v>14:48:54.664</v>
      </c>
      <c r="U4204" t="str">
        <f t="shared" si="1926"/>
        <v>A9808D</v>
      </c>
      <c r="V4204">
        <v>0</v>
      </c>
      <c r="W4204">
        <v>0</v>
      </c>
      <c r="X4204">
        <v>1</v>
      </c>
      <c r="Z4204">
        <v>0</v>
      </c>
      <c r="AA4204">
        <v>9</v>
      </c>
      <c r="AB4204">
        <v>3</v>
      </c>
      <c r="AC4204">
        <v>0</v>
      </c>
      <c r="AD4204">
        <v>10</v>
      </c>
      <c r="AE4204">
        <v>0</v>
      </c>
      <c r="AF4204">
        <v>3</v>
      </c>
      <c r="AG4204">
        <v>2</v>
      </c>
      <c r="AH4204">
        <v>0</v>
      </c>
      <c r="AI4204" t="s">
        <v>954</v>
      </c>
      <c r="AJ4204">
        <v>28.258659999999999</v>
      </c>
      <c r="AK4204" t="s">
        <v>955</v>
      </c>
      <c r="AL4204">
        <v>-82.306973999999997</v>
      </c>
      <c r="AM4204">
        <v>100</v>
      </c>
      <c r="AN4204">
        <v>2300</v>
      </c>
      <c r="AO4204" t="s">
        <v>118</v>
      </c>
      <c r="AP4204">
        <v>-108</v>
      </c>
      <c r="AQ4204">
        <v>-92</v>
      </c>
      <c r="AR4204">
        <v>-64</v>
      </c>
      <c r="AZ4204">
        <v>1200</v>
      </c>
      <c r="BA4204">
        <v>1</v>
      </c>
      <c r="BB4204" t="str">
        <f t="shared" si="1938"/>
        <v xml:space="preserve">N711JA  </v>
      </c>
      <c r="BC4204">
        <v>1</v>
      </c>
      <c r="BE4204">
        <v>0</v>
      </c>
      <c r="BF4204">
        <v>0</v>
      </c>
      <c r="BG4204">
        <v>0</v>
      </c>
      <c r="BH4204">
        <v>2300</v>
      </c>
      <c r="BI4204">
        <v>1</v>
      </c>
      <c r="BJ4204">
        <v>1</v>
      </c>
      <c r="BK4204">
        <v>0</v>
      </c>
      <c r="BL4204">
        <v>0</v>
      </c>
      <c r="BO4204">
        <v>0</v>
      </c>
      <c r="BP4204">
        <v>0</v>
      </c>
      <c r="BW4204" t="str">
        <f t="shared" si="1945"/>
        <v>14:48:54.670</v>
      </c>
      <c r="CJ4204">
        <v>0</v>
      </c>
      <c r="CK4204">
        <v>2</v>
      </c>
      <c r="CL4204">
        <v>0</v>
      </c>
      <c r="CM4204">
        <v>2</v>
      </c>
      <c r="CN4204">
        <v>0</v>
      </c>
      <c r="CO4204">
        <v>6</v>
      </c>
      <c r="CP4204" t="s">
        <v>119</v>
      </c>
      <c r="CQ4204">
        <v>56</v>
      </c>
      <c r="CR4204">
        <v>2</v>
      </c>
      <c r="CW4204">
        <v>5120996</v>
      </c>
      <c r="CY4204">
        <v>1</v>
      </c>
      <c r="CZ4204">
        <v>0</v>
      </c>
      <c r="DA4204">
        <v>1</v>
      </c>
      <c r="DB4204">
        <v>0</v>
      </c>
      <c r="DC4204">
        <v>0</v>
      </c>
      <c r="DD4204">
        <v>1</v>
      </c>
      <c r="DE4204">
        <v>0</v>
      </c>
      <c r="DF4204">
        <v>0</v>
      </c>
      <c r="DG4204">
        <v>0</v>
      </c>
      <c r="DH4204">
        <v>0</v>
      </c>
      <c r="DI4204">
        <v>0</v>
      </c>
    </row>
    <row r="4205" spans="1:113" x14ac:dyDescent="0.3">
      <c r="A4205" t="str">
        <f t="shared" si="1943"/>
        <v>05/12/2020 14:48:36.835</v>
      </c>
      <c r="C4205" t="str">
        <f t="shared" si="1937"/>
        <v>FFDFD3C0</v>
      </c>
      <c r="D4205" t="s">
        <v>138</v>
      </c>
      <c r="E4205">
        <v>2</v>
      </c>
      <c r="H4205">
        <v>8</v>
      </c>
      <c r="I4205" t="s">
        <v>139</v>
      </c>
      <c r="J4205" t="s">
        <v>136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 t="shared" si="1944"/>
        <v>14:48:54.664</v>
      </c>
      <c r="T4205" t="str">
        <f t="shared" si="1944"/>
        <v>14:48:54.664</v>
      </c>
      <c r="U4205" t="str">
        <f t="shared" si="1926"/>
        <v>A9808D</v>
      </c>
      <c r="V4205">
        <v>0</v>
      </c>
      <c r="W4205">
        <v>0</v>
      </c>
      <c r="X4205">
        <v>1</v>
      </c>
      <c r="Z4205">
        <v>0</v>
      </c>
      <c r="AA4205">
        <v>9</v>
      </c>
      <c r="AB4205">
        <v>3</v>
      </c>
      <c r="AC4205">
        <v>0</v>
      </c>
      <c r="AD4205">
        <v>10</v>
      </c>
      <c r="AE4205">
        <v>0</v>
      </c>
      <c r="AF4205">
        <v>3</v>
      </c>
      <c r="AG4205">
        <v>2</v>
      </c>
      <c r="AH4205">
        <v>0</v>
      </c>
      <c r="AI4205" t="s">
        <v>954</v>
      </c>
      <c r="AJ4205">
        <v>28.258659999999999</v>
      </c>
      <c r="AK4205" t="s">
        <v>955</v>
      </c>
      <c r="AL4205">
        <v>-82.306973999999997</v>
      </c>
      <c r="AM4205">
        <v>100</v>
      </c>
      <c r="AN4205">
        <v>2300</v>
      </c>
      <c r="AO4205" t="s">
        <v>118</v>
      </c>
      <c r="AP4205">
        <v>-108</v>
      </c>
      <c r="AQ4205">
        <v>-92</v>
      </c>
      <c r="AR4205">
        <v>-64</v>
      </c>
      <c r="AZ4205">
        <v>1200</v>
      </c>
      <c r="BA4205">
        <v>1</v>
      </c>
      <c r="BB4205" t="str">
        <f t="shared" si="1938"/>
        <v xml:space="preserve">N711JA  </v>
      </c>
      <c r="BC4205">
        <v>1</v>
      </c>
      <c r="BE4205">
        <v>0</v>
      </c>
      <c r="BF4205">
        <v>0</v>
      </c>
      <c r="BG4205">
        <v>0</v>
      </c>
      <c r="BH4205">
        <v>2300</v>
      </c>
      <c r="BI4205">
        <v>1</v>
      </c>
      <c r="BJ4205">
        <v>1</v>
      </c>
      <c r="BK4205">
        <v>0</v>
      </c>
      <c r="BL4205">
        <v>0</v>
      </c>
      <c r="BO4205">
        <v>0</v>
      </c>
      <c r="BP4205">
        <v>0</v>
      </c>
      <c r="BW4205" t="str">
        <f t="shared" si="1945"/>
        <v>14:48:54.670</v>
      </c>
      <c r="CJ4205">
        <v>0</v>
      </c>
      <c r="CK4205">
        <v>2</v>
      </c>
      <c r="CL4205">
        <v>0</v>
      </c>
      <c r="CM4205">
        <v>2</v>
      </c>
      <c r="CN4205">
        <v>0</v>
      </c>
      <c r="CO4205">
        <v>6</v>
      </c>
      <c r="CP4205" t="s">
        <v>119</v>
      </c>
      <c r="CQ4205">
        <v>56</v>
      </c>
      <c r="CR4205">
        <v>2</v>
      </c>
      <c r="CW4205">
        <v>5120996</v>
      </c>
      <c r="CY4205">
        <v>1</v>
      </c>
      <c r="CZ4205">
        <v>0</v>
      </c>
      <c r="DA4205">
        <v>1</v>
      </c>
      <c r="DB4205">
        <v>0</v>
      </c>
      <c r="DC4205">
        <v>0</v>
      </c>
      <c r="DD4205">
        <v>1</v>
      </c>
      <c r="DE4205">
        <v>0</v>
      </c>
      <c r="DF4205">
        <v>0</v>
      </c>
      <c r="DG4205">
        <v>0</v>
      </c>
      <c r="DH4205">
        <v>0</v>
      </c>
      <c r="DI4205">
        <v>0</v>
      </c>
    </row>
    <row r="4206" spans="1:113" x14ac:dyDescent="0.3">
      <c r="A4206" t="str">
        <f t="shared" si="1943"/>
        <v>05/12/2020 14:48:36.835</v>
      </c>
      <c r="C4206" t="str">
        <f t="shared" si="1937"/>
        <v>FFDFD3C0</v>
      </c>
      <c r="D4206" t="s">
        <v>138</v>
      </c>
      <c r="E4206">
        <v>3</v>
      </c>
      <c r="H4206">
        <v>9</v>
      </c>
      <c r="I4206" t="s">
        <v>140</v>
      </c>
      <c r="J4206" t="s">
        <v>136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 t="shared" si="1944"/>
        <v>14:48:54.664</v>
      </c>
      <c r="T4206" t="str">
        <f t="shared" si="1944"/>
        <v>14:48:54.664</v>
      </c>
      <c r="U4206" t="str">
        <f t="shared" si="1926"/>
        <v>A9808D</v>
      </c>
      <c r="V4206">
        <v>0</v>
      </c>
      <c r="W4206">
        <v>0</v>
      </c>
      <c r="X4206">
        <v>1</v>
      </c>
      <c r="Z4206">
        <v>0</v>
      </c>
      <c r="AA4206">
        <v>9</v>
      </c>
      <c r="AB4206">
        <v>3</v>
      </c>
      <c r="AC4206">
        <v>0</v>
      </c>
      <c r="AD4206">
        <v>10</v>
      </c>
      <c r="AE4206">
        <v>0</v>
      </c>
      <c r="AF4206">
        <v>3</v>
      </c>
      <c r="AG4206">
        <v>2</v>
      </c>
      <c r="AH4206">
        <v>0</v>
      </c>
      <c r="AI4206" t="s">
        <v>954</v>
      </c>
      <c r="AJ4206">
        <v>28.258659999999999</v>
      </c>
      <c r="AK4206" t="s">
        <v>955</v>
      </c>
      <c r="AL4206">
        <v>-82.306973999999997</v>
      </c>
      <c r="AM4206">
        <v>100</v>
      </c>
      <c r="AN4206">
        <v>2300</v>
      </c>
      <c r="AO4206" t="s">
        <v>118</v>
      </c>
      <c r="AP4206">
        <v>-108</v>
      </c>
      <c r="AQ4206">
        <v>-92</v>
      </c>
      <c r="AR4206">
        <v>-64</v>
      </c>
      <c r="AZ4206">
        <v>1200</v>
      </c>
      <c r="BA4206">
        <v>1</v>
      </c>
      <c r="BB4206" t="str">
        <f t="shared" si="1938"/>
        <v xml:space="preserve">N711JA  </v>
      </c>
      <c r="BC4206">
        <v>1</v>
      </c>
      <c r="BE4206">
        <v>0</v>
      </c>
      <c r="BF4206">
        <v>0</v>
      </c>
      <c r="BG4206">
        <v>0</v>
      </c>
      <c r="BH4206">
        <v>2300</v>
      </c>
      <c r="BI4206">
        <v>1</v>
      </c>
      <c r="BJ4206">
        <v>1</v>
      </c>
      <c r="BK4206">
        <v>0</v>
      </c>
      <c r="BL4206">
        <v>0</v>
      </c>
      <c r="BO4206">
        <v>0</v>
      </c>
      <c r="BP4206">
        <v>0</v>
      </c>
      <c r="BW4206" t="str">
        <f t="shared" si="1945"/>
        <v>14:48:54.670</v>
      </c>
      <c r="CJ4206">
        <v>0</v>
      </c>
      <c r="CK4206">
        <v>2</v>
      </c>
      <c r="CL4206">
        <v>0</v>
      </c>
      <c r="CM4206">
        <v>2</v>
      </c>
      <c r="CN4206">
        <v>0</v>
      </c>
      <c r="CO4206">
        <v>6</v>
      </c>
      <c r="CP4206" t="s">
        <v>119</v>
      </c>
      <c r="CQ4206">
        <v>56</v>
      </c>
      <c r="CR4206">
        <v>2</v>
      </c>
      <c r="CW4206">
        <v>5120996</v>
      </c>
      <c r="CY4206">
        <v>1</v>
      </c>
      <c r="CZ4206">
        <v>0</v>
      </c>
      <c r="DA4206">
        <v>1</v>
      </c>
      <c r="DB4206">
        <v>0</v>
      </c>
      <c r="DC4206">
        <v>0</v>
      </c>
      <c r="DD4206">
        <v>1</v>
      </c>
      <c r="DE4206">
        <v>0</v>
      </c>
      <c r="DF4206">
        <v>0</v>
      </c>
      <c r="DG4206">
        <v>0</v>
      </c>
      <c r="DH4206">
        <v>0</v>
      </c>
      <c r="DI4206">
        <v>0</v>
      </c>
    </row>
    <row r="4207" spans="1:113" x14ac:dyDescent="0.3">
      <c r="A4207" t="str">
        <f t="shared" ref="A4207:A4215" si="1946">"05/12/2020 14:48:37.774"</f>
        <v>05/12/2020 14:48:37.774</v>
      </c>
      <c r="C4207" t="str">
        <f t="shared" si="1937"/>
        <v>FFDFD3C0</v>
      </c>
      <c r="D4207" t="s">
        <v>113</v>
      </c>
      <c r="E4207">
        <v>3</v>
      </c>
      <c r="H4207">
        <v>164</v>
      </c>
      <c r="I4207" t="s">
        <v>114</v>
      </c>
      <c r="J4207" t="s">
        <v>115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>"14:48:55.609"</f>
        <v>14:48:55.609</v>
      </c>
      <c r="T4207" t="str">
        <f>"14:48:55.609"</f>
        <v>14:48:55.609</v>
      </c>
      <c r="U4207" t="str">
        <f t="shared" si="1926"/>
        <v>A9808D</v>
      </c>
      <c r="V4207">
        <v>0</v>
      </c>
      <c r="W4207">
        <v>0</v>
      </c>
      <c r="X4207">
        <v>1</v>
      </c>
      <c r="Z4207">
        <v>0</v>
      </c>
      <c r="AA4207">
        <v>9</v>
      </c>
      <c r="AB4207">
        <v>3</v>
      </c>
      <c r="AC4207">
        <v>0</v>
      </c>
      <c r="AD4207">
        <v>10</v>
      </c>
      <c r="AE4207">
        <v>0</v>
      </c>
      <c r="AF4207">
        <v>3</v>
      </c>
      <c r="AG4207">
        <v>2</v>
      </c>
      <c r="AH4207">
        <v>0</v>
      </c>
      <c r="AI4207" t="s">
        <v>956</v>
      </c>
      <c r="AJ4207">
        <v>28.258295</v>
      </c>
      <c r="AK4207" t="s">
        <v>957</v>
      </c>
      <c r="AL4207">
        <v>-82.307467000000003</v>
      </c>
      <c r="AM4207">
        <v>100</v>
      </c>
      <c r="AN4207">
        <v>2300</v>
      </c>
      <c r="AO4207" t="s">
        <v>118</v>
      </c>
      <c r="AP4207">
        <v>-108</v>
      </c>
      <c r="AQ4207">
        <v>-93</v>
      </c>
      <c r="AR4207">
        <v>0</v>
      </c>
      <c r="AZ4207">
        <v>1200</v>
      </c>
      <c r="BA4207">
        <v>1</v>
      </c>
      <c r="BB4207" t="str">
        <f t="shared" si="1938"/>
        <v xml:space="preserve">N711JA  </v>
      </c>
      <c r="BC4207">
        <v>1</v>
      </c>
      <c r="BE4207">
        <v>0</v>
      </c>
      <c r="BF4207">
        <v>0</v>
      </c>
      <c r="BG4207">
        <v>0</v>
      </c>
      <c r="BH4207">
        <v>2300</v>
      </c>
      <c r="BI4207">
        <v>1</v>
      </c>
      <c r="BJ4207">
        <v>1</v>
      </c>
      <c r="BK4207">
        <v>0</v>
      </c>
      <c r="BL4207">
        <v>0</v>
      </c>
      <c r="BO4207">
        <v>0</v>
      </c>
      <c r="BP4207">
        <v>0</v>
      </c>
      <c r="BW4207" t="str">
        <f t="shared" ref="BW4207:BW4215" si="1947">"14:48:55.609"</f>
        <v>14:48:55.609</v>
      </c>
      <c r="CJ4207">
        <v>0</v>
      </c>
      <c r="CK4207">
        <v>2</v>
      </c>
      <c r="CL4207">
        <v>0</v>
      </c>
      <c r="CM4207">
        <v>2</v>
      </c>
      <c r="CN4207">
        <v>0</v>
      </c>
      <c r="CO4207">
        <v>6</v>
      </c>
      <c r="CP4207" t="s">
        <v>119</v>
      </c>
      <c r="CQ4207">
        <v>56</v>
      </c>
      <c r="CR4207">
        <v>2</v>
      </c>
      <c r="CW4207">
        <v>5122114</v>
      </c>
      <c r="CY4207">
        <v>1</v>
      </c>
      <c r="CZ4207">
        <v>0</v>
      </c>
      <c r="DA4207">
        <v>0</v>
      </c>
      <c r="DB4207">
        <v>0</v>
      </c>
      <c r="DC4207">
        <v>0</v>
      </c>
      <c r="DD4207">
        <v>1</v>
      </c>
      <c r="DE4207">
        <v>0</v>
      </c>
      <c r="DF4207">
        <v>0</v>
      </c>
      <c r="DG4207">
        <v>0</v>
      </c>
      <c r="DH4207">
        <v>0</v>
      </c>
      <c r="DI4207">
        <v>0</v>
      </c>
    </row>
    <row r="4208" spans="1:113" x14ac:dyDescent="0.3">
      <c r="A4208" t="str">
        <f t="shared" si="1946"/>
        <v>05/12/2020 14:48:37.774</v>
      </c>
      <c r="C4208" t="str">
        <f t="shared" si="1937"/>
        <v>FFDFD3C0</v>
      </c>
      <c r="D4208" t="s">
        <v>138</v>
      </c>
      <c r="E4208">
        <v>2</v>
      </c>
      <c r="H4208">
        <v>8</v>
      </c>
      <c r="I4208" t="s">
        <v>139</v>
      </c>
      <c r="J4208" t="s">
        <v>136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>"14:48:55.609"</f>
        <v>14:48:55.609</v>
      </c>
      <c r="T4208" t="str">
        <f>"14:48:55.609"</f>
        <v>14:48:55.609</v>
      </c>
      <c r="U4208" t="str">
        <f t="shared" si="1926"/>
        <v>A9808D</v>
      </c>
      <c r="V4208">
        <v>0</v>
      </c>
      <c r="W4208">
        <v>0</v>
      </c>
      <c r="X4208">
        <v>1</v>
      </c>
      <c r="Z4208">
        <v>0</v>
      </c>
      <c r="AA4208">
        <v>9</v>
      </c>
      <c r="AB4208">
        <v>3</v>
      </c>
      <c r="AC4208">
        <v>0</v>
      </c>
      <c r="AD4208">
        <v>10</v>
      </c>
      <c r="AE4208">
        <v>0</v>
      </c>
      <c r="AF4208">
        <v>3</v>
      </c>
      <c r="AG4208">
        <v>2</v>
      </c>
      <c r="AH4208">
        <v>0</v>
      </c>
      <c r="AI4208" t="s">
        <v>956</v>
      </c>
      <c r="AJ4208">
        <v>28.258295</v>
      </c>
      <c r="AK4208" t="s">
        <v>957</v>
      </c>
      <c r="AL4208">
        <v>-82.307467000000003</v>
      </c>
      <c r="AM4208">
        <v>100</v>
      </c>
      <c r="AN4208">
        <v>2300</v>
      </c>
      <c r="AO4208" t="s">
        <v>118</v>
      </c>
      <c r="AP4208">
        <v>-108</v>
      </c>
      <c r="AQ4208">
        <v>-93</v>
      </c>
      <c r="AR4208">
        <v>0</v>
      </c>
      <c r="AZ4208">
        <v>1200</v>
      </c>
      <c r="BA4208">
        <v>1</v>
      </c>
      <c r="BB4208" t="str">
        <f t="shared" si="1938"/>
        <v xml:space="preserve">N711JA  </v>
      </c>
      <c r="BC4208">
        <v>1</v>
      </c>
      <c r="BE4208">
        <v>0</v>
      </c>
      <c r="BF4208">
        <v>0</v>
      </c>
      <c r="BG4208">
        <v>0</v>
      </c>
      <c r="BH4208">
        <v>2300</v>
      </c>
      <c r="BI4208">
        <v>1</v>
      </c>
      <c r="BJ4208">
        <v>1</v>
      </c>
      <c r="BK4208">
        <v>0</v>
      </c>
      <c r="BL4208">
        <v>0</v>
      </c>
      <c r="BO4208">
        <v>0</v>
      </c>
      <c r="BP4208">
        <v>0</v>
      </c>
      <c r="BW4208" t="str">
        <f t="shared" si="1947"/>
        <v>14:48:55.609</v>
      </c>
      <c r="CJ4208">
        <v>0</v>
      </c>
      <c r="CK4208">
        <v>2</v>
      </c>
      <c r="CL4208">
        <v>0</v>
      </c>
      <c r="CM4208">
        <v>2</v>
      </c>
      <c r="CN4208">
        <v>0</v>
      </c>
      <c r="CO4208">
        <v>6</v>
      </c>
      <c r="CP4208" t="s">
        <v>119</v>
      </c>
      <c r="CQ4208">
        <v>56</v>
      </c>
      <c r="CR4208">
        <v>2</v>
      </c>
      <c r="CW4208">
        <v>5122114</v>
      </c>
      <c r="CY4208">
        <v>1</v>
      </c>
      <c r="CZ4208">
        <v>0</v>
      </c>
      <c r="DA4208">
        <v>1</v>
      </c>
      <c r="DB4208">
        <v>0</v>
      </c>
      <c r="DC4208">
        <v>0</v>
      </c>
      <c r="DD4208">
        <v>1</v>
      </c>
      <c r="DE4208">
        <v>0</v>
      </c>
      <c r="DF4208">
        <v>0</v>
      </c>
      <c r="DG4208">
        <v>0</v>
      </c>
      <c r="DH4208">
        <v>0</v>
      </c>
      <c r="DI4208">
        <v>0</v>
      </c>
    </row>
    <row r="4209" spans="1:113" x14ac:dyDescent="0.3">
      <c r="A4209" t="str">
        <f t="shared" si="1946"/>
        <v>05/12/2020 14:48:37.774</v>
      </c>
      <c r="C4209" t="str">
        <f t="shared" si="1937"/>
        <v>FFDFD3C0</v>
      </c>
      <c r="D4209" t="s">
        <v>138</v>
      </c>
      <c r="E4209">
        <v>3</v>
      </c>
      <c r="H4209">
        <v>9</v>
      </c>
      <c r="I4209" t="s">
        <v>140</v>
      </c>
      <c r="J4209" t="s">
        <v>136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>"14:48:55.602"</f>
        <v>14:48:55.602</v>
      </c>
      <c r="T4209" t="str">
        <f>"14:48:55.602"</f>
        <v>14:48:55.602</v>
      </c>
      <c r="U4209" t="str">
        <f t="shared" si="1926"/>
        <v>A9808D</v>
      </c>
      <c r="V4209">
        <v>0</v>
      </c>
      <c r="W4209">
        <v>0</v>
      </c>
      <c r="X4209">
        <v>1</v>
      </c>
      <c r="Z4209">
        <v>0</v>
      </c>
      <c r="AA4209">
        <v>9</v>
      </c>
      <c r="AB4209">
        <v>3</v>
      </c>
      <c r="AC4209">
        <v>0</v>
      </c>
      <c r="AD4209">
        <v>10</v>
      </c>
      <c r="AE4209">
        <v>0</v>
      </c>
      <c r="AF4209">
        <v>3</v>
      </c>
      <c r="AG4209">
        <v>2</v>
      </c>
      <c r="AH4209">
        <v>0</v>
      </c>
      <c r="AI4209" t="s">
        <v>956</v>
      </c>
      <c r="AJ4209">
        <v>28.258295</v>
      </c>
      <c r="AK4209" t="s">
        <v>957</v>
      </c>
      <c r="AL4209">
        <v>-82.307467000000003</v>
      </c>
      <c r="AM4209">
        <v>100</v>
      </c>
      <c r="AN4209">
        <v>2300</v>
      </c>
      <c r="AO4209" t="s">
        <v>118</v>
      </c>
      <c r="AP4209">
        <v>-108</v>
      </c>
      <c r="AQ4209">
        <v>-93</v>
      </c>
      <c r="AR4209">
        <v>0</v>
      </c>
      <c r="AZ4209">
        <v>1200</v>
      </c>
      <c r="BA4209">
        <v>1</v>
      </c>
      <c r="BB4209" t="str">
        <f t="shared" si="1938"/>
        <v xml:space="preserve">N711JA  </v>
      </c>
      <c r="BC4209">
        <v>1</v>
      </c>
      <c r="BE4209">
        <v>0</v>
      </c>
      <c r="BF4209">
        <v>0</v>
      </c>
      <c r="BG4209">
        <v>0</v>
      </c>
      <c r="BH4209">
        <v>2300</v>
      </c>
      <c r="BI4209">
        <v>1</v>
      </c>
      <c r="BJ4209">
        <v>1</v>
      </c>
      <c r="BK4209">
        <v>0</v>
      </c>
      <c r="BL4209">
        <v>0</v>
      </c>
      <c r="BO4209">
        <v>0</v>
      </c>
      <c r="BP4209">
        <v>0</v>
      </c>
      <c r="BW4209" t="str">
        <f t="shared" si="1947"/>
        <v>14:48:55.609</v>
      </c>
      <c r="CJ4209">
        <v>0</v>
      </c>
      <c r="CK4209">
        <v>2</v>
      </c>
      <c r="CL4209">
        <v>0</v>
      </c>
      <c r="CM4209">
        <v>2</v>
      </c>
      <c r="CN4209">
        <v>0</v>
      </c>
      <c r="CO4209">
        <v>6</v>
      </c>
      <c r="CP4209" t="s">
        <v>119</v>
      </c>
      <c r="CQ4209">
        <v>358</v>
      </c>
      <c r="CR4209">
        <v>0</v>
      </c>
      <c r="CW4209">
        <v>5095194</v>
      </c>
      <c r="CY4209">
        <v>1</v>
      </c>
      <c r="CZ4209">
        <v>0</v>
      </c>
      <c r="DA4209">
        <v>1</v>
      </c>
      <c r="DB4209">
        <v>0</v>
      </c>
      <c r="DC4209">
        <v>0</v>
      </c>
      <c r="DD4209">
        <v>1</v>
      </c>
      <c r="DE4209">
        <v>0</v>
      </c>
      <c r="DF4209">
        <v>0</v>
      </c>
      <c r="DG4209">
        <v>0</v>
      </c>
      <c r="DH4209">
        <v>0</v>
      </c>
      <c r="DI4209">
        <v>0</v>
      </c>
    </row>
    <row r="4210" spans="1:113" x14ac:dyDescent="0.3">
      <c r="A4210" t="str">
        <f t="shared" si="1946"/>
        <v>05/12/2020 14:48:37.774</v>
      </c>
      <c r="C4210" t="str">
        <f t="shared" si="1937"/>
        <v>FFDFD3C0</v>
      </c>
      <c r="D4210" t="s">
        <v>131</v>
      </c>
      <c r="E4210">
        <v>10</v>
      </c>
      <c r="F4210">
        <v>2010</v>
      </c>
      <c r="G4210" t="s">
        <v>132</v>
      </c>
      <c r="J4210" t="s">
        <v>133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>"14:48:55.602"</f>
        <v>14:48:55.602</v>
      </c>
      <c r="T4210" t="str">
        <f>"14:48:55.602"</f>
        <v>14:48:55.602</v>
      </c>
      <c r="U4210" t="str">
        <f t="shared" si="1926"/>
        <v>A9808D</v>
      </c>
      <c r="V4210">
        <v>0</v>
      </c>
      <c r="W4210">
        <v>0</v>
      </c>
      <c r="X4210">
        <v>1</v>
      </c>
      <c r="Z4210">
        <v>0</v>
      </c>
      <c r="AA4210">
        <v>9</v>
      </c>
      <c r="AB4210">
        <v>3</v>
      </c>
      <c r="AC4210">
        <v>0</v>
      </c>
      <c r="AD4210">
        <v>10</v>
      </c>
      <c r="AE4210">
        <v>0</v>
      </c>
      <c r="AF4210">
        <v>3</v>
      </c>
      <c r="AG4210">
        <v>2</v>
      </c>
      <c r="AH4210">
        <v>0</v>
      </c>
      <c r="AI4210" t="s">
        <v>956</v>
      </c>
      <c r="AJ4210">
        <v>28.258295</v>
      </c>
      <c r="AK4210" t="s">
        <v>957</v>
      </c>
      <c r="AL4210">
        <v>-82.307467000000003</v>
      </c>
      <c r="AM4210">
        <v>100</v>
      </c>
      <c r="AN4210">
        <v>2300</v>
      </c>
      <c r="AO4210" t="s">
        <v>118</v>
      </c>
      <c r="AP4210">
        <v>-108</v>
      </c>
      <c r="AQ4210">
        <v>-93</v>
      </c>
      <c r="AR4210">
        <v>0</v>
      </c>
      <c r="AZ4210">
        <v>1200</v>
      </c>
      <c r="BA4210">
        <v>1</v>
      </c>
      <c r="BB4210" t="str">
        <f t="shared" si="1938"/>
        <v xml:space="preserve">N711JA  </v>
      </c>
      <c r="BC4210">
        <v>1</v>
      </c>
      <c r="BE4210">
        <v>0</v>
      </c>
      <c r="BF4210">
        <v>0</v>
      </c>
      <c r="BG4210">
        <v>0</v>
      </c>
      <c r="BH4210">
        <v>2300</v>
      </c>
      <c r="BI4210">
        <v>1</v>
      </c>
      <c r="BJ4210">
        <v>1</v>
      </c>
      <c r="BK4210">
        <v>0</v>
      </c>
      <c r="BL4210">
        <v>0</v>
      </c>
      <c r="BO4210">
        <v>0</v>
      </c>
      <c r="BP4210">
        <v>0</v>
      </c>
      <c r="BW4210" t="str">
        <f t="shared" si="1947"/>
        <v>14:48:55.609</v>
      </c>
      <c r="CJ4210">
        <v>0</v>
      </c>
      <c r="CK4210">
        <v>2</v>
      </c>
      <c r="CL4210">
        <v>0</v>
      </c>
      <c r="CM4210">
        <v>2</v>
      </c>
      <c r="CN4210">
        <v>0</v>
      </c>
      <c r="CO4210">
        <v>6</v>
      </c>
      <c r="CP4210" t="s">
        <v>119</v>
      </c>
      <c r="CQ4210">
        <v>358</v>
      </c>
      <c r="CR4210">
        <v>0</v>
      </c>
      <c r="CW4210">
        <v>5095194</v>
      </c>
      <c r="CY4210">
        <v>1</v>
      </c>
      <c r="CZ4210">
        <v>0</v>
      </c>
      <c r="DA4210">
        <v>1</v>
      </c>
      <c r="DB4210">
        <v>0</v>
      </c>
      <c r="DC4210">
        <v>0</v>
      </c>
      <c r="DD4210">
        <v>1</v>
      </c>
      <c r="DE4210">
        <v>0</v>
      </c>
      <c r="DF4210">
        <v>0</v>
      </c>
      <c r="DG4210">
        <v>0</v>
      </c>
      <c r="DH4210">
        <v>0</v>
      </c>
      <c r="DI4210">
        <v>0</v>
      </c>
    </row>
    <row r="4211" spans="1:113" x14ac:dyDescent="0.3">
      <c r="A4211" t="str">
        <f t="shared" si="1946"/>
        <v>05/12/2020 14:48:37.774</v>
      </c>
      <c r="C4211" t="str">
        <f t="shared" si="1937"/>
        <v>FFDFD3C0</v>
      </c>
      <c r="D4211" t="s">
        <v>131</v>
      </c>
      <c r="E4211">
        <v>12</v>
      </c>
      <c r="F4211">
        <v>2012</v>
      </c>
      <c r="G4211" t="s">
        <v>137</v>
      </c>
      <c r="J4211" t="s">
        <v>133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>"14:48:55.609"</f>
        <v>14:48:55.609</v>
      </c>
      <c r="T4211" t="str">
        <f>"14:48:55.609"</f>
        <v>14:48:55.609</v>
      </c>
      <c r="U4211" t="str">
        <f t="shared" si="1926"/>
        <v>A9808D</v>
      </c>
      <c r="V4211">
        <v>0</v>
      </c>
      <c r="W4211">
        <v>0</v>
      </c>
      <c r="X4211">
        <v>1</v>
      </c>
      <c r="Z4211">
        <v>0</v>
      </c>
      <c r="AA4211">
        <v>9</v>
      </c>
      <c r="AB4211">
        <v>3</v>
      </c>
      <c r="AC4211">
        <v>0</v>
      </c>
      <c r="AD4211">
        <v>10</v>
      </c>
      <c r="AE4211">
        <v>0</v>
      </c>
      <c r="AF4211">
        <v>3</v>
      </c>
      <c r="AG4211">
        <v>2</v>
      </c>
      <c r="AH4211">
        <v>0</v>
      </c>
      <c r="AI4211" t="s">
        <v>956</v>
      </c>
      <c r="AJ4211">
        <v>28.258295</v>
      </c>
      <c r="AK4211" t="s">
        <v>957</v>
      </c>
      <c r="AL4211">
        <v>-82.307467000000003</v>
      </c>
      <c r="AM4211">
        <v>100</v>
      </c>
      <c r="AN4211">
        <v>2300</v>
      </c>
      <c r="AO4211" t="s">
        <v>118</v>
      </c>
      <c r="AP4211">
        <v>-108</v>
      </c>
      <c r="AQ4211">
        <v>-93</v>
      </c>
      <c r="AR4211">
        <v>0</v>
      </c>
      <c r="AZ4211">
        <v>1200</v>
      </c>
      <c r="BA4211">
        <v>1</v>
      </c>
      <c r="BB4211" t="str">
        <f t="shared" si="1938"/>
        <v xml:space="preserve">N711JA  </v>
      </c>
      <c r="BC4211">
        <v>1</v>
      </c>
      <c r="BE4211">
        <v>0</v>
      </c>
      <c r="BF4211">
        <v>0</v>
      </c>
      <c r="BG4211">
        <v>0</v>
      </c>
      <c r="BH4211">
        <v>2300</v>
      </c>
      <c r="BI4211">
        <v>1</v>
      </c>
      <c r="BJ4211">
        <v>1</v>
      </c>
      <c r="BK4211">
        <v>0</v>
      </c>
      <c r="BL4211">
        <v>0</v>
      </c>
      <c r="BO4211">
        <v>0</v>
      </c>
      <c r="BP4211">
        <v>0</v>
      </c>
      <c r="BW4211" t="str">
        <f t="shared" si="1947"/>
        <v>14:48:55.609</v>
      </c>
      <c r="CJ4211">
        <v>0</v>
      </c>
      <c r="CK4211">
        <v>2</v>
      </c>
      <c r="CL4211">
        <v>0</v>
      </c>
      <c r="CM4211">
        <v>2</v>
      </c>
      <c r="CN4211">
        <v>0</v>
      </c>
      <c r="CO4211">
        <v>6</v>
      </c>
      <c r="CP4211" t="s">
        <v>119</v>
      </c>
      <c r="CQ4211">
        <v>56</v>
      </c>
      <c r="CR4211">
        <v>2</v>
      </c>
      <c r="CW4211">
        <v>5122114</v>
      </c>
      <c r="CY4211">
        <v>1</v>
      </c>
      <c r="CZ4211">
        <v>0</v>
      </c>
      <c r="DA4211">
        <v>1</v>
      </c>
      <c r="DB4211">
        <v>0</v>
      </c>
      <c r="DC4211">
        <v>0</v>
      </c>
      <c r="DD4211">
        <v>1</v>
      </c>
      <c r="DE4211">
        <v>0</v>
      </c>
      <c r="DF4211">
        <v>0</v>
      </c>
      <c r="DG4211">
        <v>0</v>
      </c>
      <c r="DH4211">
        <v>0</v>
      </c>
      <c r="DI4211">
        <v>0</v>
      </c>
    </row>
    <row r="4212" spans="1:113" x14ac:dyDescent="0.3">
      <c r="A4212" t="str">
        <f t="shared" si="1946"/>
        <v>05/12/2020 14:48:37.774</v>
      </c>
      <c r="C4212" t="str">
        <f t="shared" si="1937"/>
        <v>FFDFD3C0</v>
      </c>
      <c r="D4212" t="s">
        <v>126</v>
      </c>
      <c r="E4212">
        <v>7</v>
      </c>
      <c r="F4212">
        <v>1007</v>
      </c>
      <c r="G4212" t="s">
        <v>127</v>
      </c>
      <c r="J4212" t="s">
        <v>128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>"14:48:55.602"</f>
        <v>14:48:55.602</v>
      </c>
      <c r="T4212" t="str">
        <f>"14:48:55.602"</f>
        <v>14:48:55.602</v>
      </c>
      <c r="U4212" t="str">
        <f t="shared" si="1926"/>
        <v>A9808D</v>
      </c>
      <c r="V4212">
        <v>0</v>
      </c>
      <c r="W4212">
        <v>0</v>
      </c>
      <c r="X4212">
        <v>1</v>
      </c>
      <c r="Z4212">
        <v>0</v>
      </c>
      <c r="AA4212">
        <v>9</v>
      </c>
      <c r="AB4212">
        <v>3</v>
      </c>
      <c r="AC4212">
        <v>0</v>
      </c>
      <c r="AD4212">
        <v>10</v>
      </c>
      <c r="AE4212">
        <v>0</v>
      </c>
      <c r="AF4212">
        <v>3</v>
      </c>
      <c r="AG4212">
        <v>2</v>
      </c>
      <c r="AH4212">
        <v>0</v>
      </c>
      <c r="AI4212" t="s">
        <v>956</v>
      </c>
      <c r="AJ4212">
        <v>28.258295</v>
      </c>
      <c r="AK4212" t="s">
        <v>957</v>
      </c>
      <c r="AL4212">
        <v>-82.307467000000003</v>
      </c>
      <c r="AM4212">
        <v>100</v>
      </c>
      <c r="AN4212">
        <v>2300</v>
      </c>
      <c r="AO4212" t="s">
        <v>118</v>
      </c>
      <c r="AP4212">
        <v>-108</v>
      </c>
      <c r="AQ4212">
        <v>-93</v>
      </c>
      <c r="AR4212">
        <v>0</v>
      </c>
      <c r="AZ4212">
        <v>1200</v>
      </c>
      <c r="BA4212">
        <v>1</v>
      </c>
      <c r="BB4212" t="str">
        <f t="shared" si="1938"/>
        <v xml:space="preserve">N711JA  </v>
      </c>
      <c r="BC4212">
        <v>1</v>
      </c>
      <c r="BE4212">
        <v>0</v>
      </c>
      <c r="BF4212">
        <v>0</v>
      </c>
      <c r="BG4212">
        <v>0</v>
      </c>
      <c r="BH4212">
        <v>2300</v>
      </c>
      <c r="BI4212">
        <v>1</v>
      </c>
      <c r="BJ4212">
        <v>1</v>
      </c>
      <c r="BK4212">
        <v>0</v>
      </c>
      <c r="BL4212">
        <v>0</v>
      </c>
      <c r="BO4212">
        <v>0</v>
      </c>
      <c r="BP4212">
        <v>0</v>
      </c>
      <c r="BW4212" t="str">
        <f t="shared" si="1947"/>
        <v>14:48:55.609</v>
      </c>
      <c r="CJ4212">
        <v>0</v>
      </c>
      <c r="CK4212">
        <v>2</v>
      </c>
      <c r="CL4212">
        <v>0</v>
      </c>
      <c r="CM4212">
        <v>2</v>
      </c>
      <c r="CN4212">
        <v>0</v>
      </c>
      <c r="CO4212">
        <v>6</v>
      </c>
      <c r="CP4212" t="s">
        <v>119</v>
      </c>
      <c r="CQ4212">
        <v>358</v>
      </c>
      <c r="CR4212">
        <v>0</v>
      </c>
      <c r="CW4212">
        <v>5095194</v>
      </c>
      <c r="CY4212">
        <v>1</v>
      </c>
      <c r="CZ4212">
        <v>0</v>
      </c>
      <c r="DA4212">
        <v>1</v>
      </c>
      <c r="DB4212">
        <v>0</v>
      </c>
      <c r="DC4212">
        <v>0</v>
      </c>
      <c r="DD4212">
        <v>1</v>
      </c>
      <c r="DE4212">
        <v>0</v>
      </c>
      <c r="DF4212">
        <v>0</v>
      </c>
      <c r="DG4212">
        <v>0</v>
      </c>
      <c r="DH4212">
        <v>0</v>
      </c>
      <c r="DI4212">
        <v>0</v>
      </c>
    </row>
    <row r="4213" spans="1:113" x14ac:dyDescent="0.3">
      <c r="A4213" t="str">
        <f t="shared" si="1946"/>
        <v>05/12/2020 14:48:37.774</v>
      </c>
      <c r="C4213" t="str">
        <f t="shared" si="1937"/>
        <v>FFDFD3C0</v>
      </c>
      <c r="D4213" t="s">
        <v>126</v>
      </c>
      <c r="E4213">
        <v>6</v>
      </c>
      <c r="F4213">
        <v>1006</v>
      </c>
      <c r="G4213" t="s">
        <v>114</v>
      </c>
      <c r="J4213" t="s">
        <v>128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>"14:48:55.602"</f>
        <v>14:48:55.602</v>
      </c>
      <c r="T4213" t="str">
        <f>"14:48:55.602"</f>
        <v>14:48:55.602</v>
      </c>
      <c r="U4213" t="str">
        <f t="shared" si="1926"/>
        <v>A9808D</v>
      </c>
      <c r="V4213">
        <v>0</v>
      </c>
      <c r="W4213">
        <v>0</v>
      </c>
      <c r="X4213">
        <v>1</v>
      </c>
      <c r="Z4213">
        <v>0</v>
      </c>
      <c r="AA4213">
        <v>9</v>
      </c>
      <c r="AB4213">
        <v>3</v>
      </c>
      <c r="AC4213">
        <v>0</v>
      </c>
      <c r="AD4213">
        <v>10</v>
      </c>
      <c r="AE4213">
        <v>0</v>
      </c>
      <c r="AF4213">
        <v>3</v>
      </c>
      <c r="AG4213">
        <v>2</v>
      </c>
      <c r="AH4213">
        <v>0</v>
      </c>
      <c r="AI4213" t="s">
        <v>956</v>
      </c>
      <c r="AJ4213">
        <v>28.258295</v>
      </c>
      <c r="AK4213" t="s">
        <v>957</v>
      </c>
      <c r="AL4213">
        <v>-82.307467000000003</v>
      </c>
      <c r="AM4213">
        <v>100</v>
      </c>
      <c r="AN4213">
        <v>2300</v>
      </c>
      <c r="AO4213" t="s">
        <v>118</v>
      </c>
      <c r="AP4213">
        <v>-108</v>
      </c>
      <c r="AQ4213">
        <v>-93</v>
      </c>
      <c r="AR4213">
        <v>0</v>
      </c>
      <c r="AZ4213">
        <v>1200</v>
      </c>
      <c r="BA4213">
        <v>1</v>
      </c>
      <c r="BB4213" t="str">
        <f t="shared" si="1938"/>
        <v xml:space="preserve">N711JA  </v>
      </c>
      <c r="BC4213">
        <v>1</v>
      </c>
      <c r="BE4213">
        <v>0</v>
      </c>
      <c r="BF4213">
        <v>0</v>
      </c>
      <c r="BG4213">
        <v>0</v>
      </c>
      <c r="BH4213">
        <v>2300</v>
      </c>
      <c r="BI4213">
        <v>1</v>
      </c>
      <c r="BJ4213">
        <v>1</v>
      </c>
      <c r="BK4213">
        <v>0</v>
      </c>
      <c r="BL4213">
        <v>0</v>
      </c>
      <c r="BO4213">
        <v>0</v>
      </c>
      <c r="BP4213">
        <v>0</v>
      </c>
      <c r="BW4213" t="str">
        <f t="shared" si="1947"/>
        <v>14:48:55.609</v>
      </c>
      <c r="CJ4213">
        <v>0</v>
      </c>
      <c r="CK4213">
        <v>2</v>
      </c>
      <c r="CL4213">
        <v>0</v>
      </c>
      <c r="CM4213">
        <v>2</v>
      </c>
      <c r="CN4213">
        <v>0</v>
      </c>
      <c r="CO4213">
        <v>6</v>
      </c>
      <c r="CP4213" t="s">
        <v>119</v>
      </c>
      <c r="CQ4213">
        <v>358</v>
      </c>
      <c r="CR4213">
        <v>0</v>
      </c>
      <c r="CW4213">
        <v>5095194</v>
      </c>
      <c r="CY4213">
        <v>1</v>
      </c>
      <c r="CZ4213">
        <v>0</v>
      </c>
      <c r="DA4213">
        <v>1</v>
      </c>
      <c r="DB4213">
        <v>0</v>
      </c>
      <c r="DC4213">
        <v>0</v>
      </c>
      <c r="DD4213">
        <v>1</v>
      </c>
      <c r="DE4213">
        <v>0</v>
      </c>
      <c r="DF4213">
        <v>0</v>
      </c>
      <c r="DG4213">
        <v>0</v>
      </c>
      <c r="DH4213">
        <v>0</v>
      </c>
      <c r="DI4213">
        <v>0</v>
      </c>
    </row>
    <row r="4214" spans="1:113" x14ac:dyDescent="0.3">
      <c r="A4214" t="str">
        <f t="shared" si="1946"/>
        <v>05/12/2020 14:48:37.774</v>
      </c>
      <c r="C4214" t="str">
        <f t="shared" si="1937"/>
        <v>FFDFD3C0</v>
      </c>
      <c r="D4214" t="s">
        <v>131</v>
      </c>
      <c r="E4214">
        <v>18</v>
      </c>
      <c r="F4214">
        <v>2018</v>
      </c>
      <c r="G4214" t="s">
        <v>161</v>
      </c>
      <c r="J4214" t="s">
        <v>133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>"14:48:55.609"</f>
        <v>14:48:55.609</v>
      </c>
      <c r="T4214" t="str">
        <f>"14:48:55.609"</f>
        <v>14:48:55.609</v>
      </c>
      <c r="U4214" t="str">
        <f t="shared" si="1926"/>
        <v>A9808D</v>
      </c>
      <c r="V4214">
        <v>0</v>
      </c>
      <c r="W4214">
        <v>0</v>
      </c>
      <c r="X4214">
        <v>1</v>
      </c>
      <c r="Z4214">
        <v>0</v>
      </c>
      <c r="AA4214">
        <v>9</v>
      </c>
      <c r="AB4214">
        <v>3</v>
      </c>
      <c r="AC4214">
        <v>0</v>
      </c>
      <c r="AD4214">
        <v>10</v>
      </c>
      <c r="AE4214">
        <v>0</v>
      </c>
      <c r="AF4214">
        <v>3</v>
      </c>
      <c r="AG4214">
        <v>2</v>
      </c>
      <c r="AH4214">
        <v>0</v>
      </c>
      <c r="AI4214" t="s">
        <v>956</v>
      </c>
      <c r="AJ4214">
        <v>28.258295</v>
      </c>
      <c r="AK4214" t="s">
        <v>957</v>
      </c>
      <c r="AL4214">
        <v>-82.307467000000003</v>
      </c>
      <c r="AM4214">
        <v>100</v>
      </c>
      <c r="AN4214">
        <v>2300</v>
      </c>
      <c r="AO4214" t="s">
        <v>118</v>
      </c>
      <c r="AP4214">
        <v>-108</v>
      </c>
      <c r="AQ4214">
        <v>-93</v>
      </c>
      <c r="AR4214">
        <v>0</v>
      </c>
      <c r="AZ4214">
        <v>1200</v>
      </c>
      <c r="BA4214">
        <v>1</v>
      </c>
      <c r="BB4214" t="str">
        <f t="shared" si="1938"/>
        <v xml:space="preserve">N711JA  </v>
      </c>
      <c r="BC4214">
        <v>1</v>
      </c>
      <c r="BE4214">
        <v>0</v>
      </c>
      <c r="BF4214">
        <v>0</v>
      </c>
      <c r="BG4214">
        <v>0</v>
      </c>
      <c r="BH4214">
        <v>2300</v>
      </c>
      <c r="BI4214">
        <v>1</v>
      </c>
      <c r="BJ4214">
        <v>1</v>
      </c>
      <c r="BK4214">
        <v>0</v>
      </c>
      <c r="BL4214">
        <v>0</v>
      </c>
      <c r="BO4214">
        <v>0</v>
      </c>
      <c r="BP4214">
        <v>0</v>
      </c>
      <c r="BW4214" t="str">
        <f t="shared" si="1947"/>
        <v>14:48:55.609</v>
      </c>
      <c r="CJ4214">
        <v>0</v>
      </c>
      <c r="CK4214">
        <v>2</v>
      </c>
      <c r="CL4214">
        <v>0</v>
      </c>
      <c r="CM4214">
        <v>2</v>
      </c>
      <c r="CN4214">
        <v>0</v>
      </c>
      <c r="CO4214">
        <v>6</v>
      </c>
      <c r="CP4214" t="s">
        <v>119</v>
      </c>
      <c r="CQ4214">
        <v>56</v>
      </c>
      <c r="CR4214">
        <v>2</v>
      </c>
      <c r="CW4214">
        <v>5122114</v>
      </c>
      <c r="CY4214">
        <v>1</v>
      </c>
      <c r="CZ4214">
        <v>0</v>
      </c>
      <c r="DA4214">
        <v>1</v>
      </c>
      <c r="DB4214">
        <v>0</v>
      </c>
      <c r="DC4214">
        <v>0</v>
      </c>
      <c r="DD4214">
        <v>1</v>
      </c>
      <c r="DE4214">
        <v>0</v>
      </c>
      <c r="DF4214">
        <v>0</v>
      </c>
      <c r="DG4214">
        <v>0</v>
      </c>
      <c r="DH4214">
        <v>0</v>
      </c>
      <c r="DI4214">
        <v>0</v>
      </c>
    </row>
    <row r="4215" spans="1:113" x14ac:dyDescent="0.3">
      <c r="A4215" t="str">
        <f t="shared" si="1946"/>
        <v>05/12/2020 14:48:37.774</v>
      </c>
      <c r="C4215" t="str">
        <f t="shared" si="1937"/>
        <v>FFDFD3C0</v>
      </c>
      <c r="D4215" t="s">
        <v>134</v>
      </c>
      <c r="E4215">
        <v>12</v>
      </c>
      <c r="H4215">
        <v>64</v>
      </c>
      <c r="I4215" t="s">
        <v>135</v>
      </c>
      <c r="J4215" t="s">
        <v>136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>"14:48:55.602"</f>
        <v>14:48:55.602</v>
      </c>
      <c r="T4215" t="str">
        <f>"14:48:55.602"</f>
        <v>14:48:55.602</v>
      </c>
      <c r="U4215" t="str">
        <f t="shared" si="1926"/>
        <v>A9808D</v>
      </c>
      <c r="V4215">
        <v>0</v>
      </c>
      <c r="W4215">
        <v>0</v>
      </c>
      <c r="X4215">
        <v>1</v>
      </c>
      <c r="Z4215">
        <v>0</v>
      </c>
      <c r="AA4215">
        <v>9</v>
      </c>
      <c r="AB4215">
        <v>3</v>
      </c>
      <c r="AC4215">
        <v>0</v>
      </c>
      <c r="AD4215">
        <v>10</v>
      </c>
      <c r="AE4215">
        <v>0</v>
      </c>
      <c r="AF4215">
        <v>3</v>
      </c>
      <c r="AG4215">
        <v>2</v>
      </c>
      <c r="AH4215">
        <v>0</v>
      </c>
      <c r="AI4215" t="s">
        <v>956</v>
      </c>
      <c r="AJ4215">
        <v>28.258295</v>
      </c>
      <c r="AK4215" t="s">
        <v>957</v>
      </c>
      <c r="AL4215">
        <v>-82.307467000000003</v>
      </c>
      <c r="AM4215">
        <v>100</v>
      </c>
      <c r="AN4215">
        <v>2300</v>
      </c>
      <c r="AO4215" t="s">
        <v>118</v>
      </c>
      <c r="AP4215">
        <v>-108</v>
      </c>
      <c r="AQ4215">
        <v>-93</v>
      </c>
      <c r="AR4215">
        <v>0</v>
      </c>
      <c r="AZ4215">
        <v>1200</v>
      </c>
      <c r="BA4215">
        <v>1</v>
      </c>
      <c r="BB4215" t="str">
        <f t="shared" si="1938"/>
        <v xml:space="preserve">N711JA  </v>
      </c>
      <c r="BC4215">
        <v>1</v>
      </c>
      <c r="BE4215">
        <v>0</v>
      </c>
      <c r="BF4215">
        <v>0</v>
      </c>
      <c r="BG4215">
        <v>0</v>
      </c>
      <c r="BH4215">
        <v>2300</v>
      </c>
      <c r="BI4215">
        <v>1</v>
      </c>
      <c r="BJ4215">
        <v>1</v>
      </c>
      <c r="BK4215">
        <v>0</v>
      </c>
      <c r="BL4215">
        <v>0</v>
      </c>
      <c r="BO4215">
        <v>0</v>
      </c>
      <c r="BP4215">
        <v>0</v>
      </c>
      <c r="BW4215" t="str">
        <f t="shared" si="1947"/>
        <v>14:48:55.609</v>
      </c>
      <c r="CJ4215">
        <v>0</v>
      </c>
      <c r="CK4215">
        <v>2</v>
      </c>
      <c r="CL4215">
        <v>0</v>
      </c>
      <c r="CM4215">
        <v>2</v>
      </c>
      <c r="CN4215">
        <v>0</v>
      </c>
      <c r="CO4215">
        <v>6</v>
      </c>
      <c r="CP4215" t="s">
        <v>119</v>
      </c>
      <c r="CQ4215">
        <v>358</v>
      </c>
      <c r="CR4215">
        <v>0</v>
      </c>
      <c r="CW4215">
        <v>5095194</v>
      </c>
      <c r="CY4215">
        <v>1</v>
      </c>
      <c r="CZ4215">
        <v>0</v>
      </c>
      <c r="DA4215">
        <v>1</v>
      </c>
      <c r="DB4215">
        <v>0</v>
      </c>
      <c r="DC4215">
        <v>0</v>
      </c>
      <c r="DD4215">
        <v>1</v>
      </c>
      <c r="DE4215">
        <v>0</v>
      </c>
      <c r="DF4215">
        <v>0</v>
      </c>
      <c r="DG4215">
        <v>0</v>
      </c>
      <c r="DH4215">
        <v>0</v>
      </c>
      <c r="DI4215">
        <v>0</v>
      </c>
    </row>
    <row r="4216" spans="1:113" x14ac:dyDescent="0.3">
      <c r="A4216" t="str">
        <f t="shared" ref="A4216:A4224" si="1948">"05/12/2020 14:48:38.891"</f>
        <v>05/12/2020 14:48:38.891</v>
      </c>
      <c r="C4216" t="str">
        <f t="shared" si="1937"/>
        <v>FFDFD3C0</v>
      </c>
      <c r="D4216" t="s">
        <v>138</v>
      </c>
      <c r="E4216">
        <v>2</v>
      </c>
      <c r="H4216">
        <v>8</v>
      </c>
      <c r="I4216" t="s">
        <v>139</v>
      </c>
      <c r="J4216" t="s">
        <v>136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 t="shared" ref="S4216:S4224" si="1949">"14:48:56.688"</f>
        <v>14:48:56.688</v>
      </c>
      <c r="T4216" t="str">
        <f>"14:48:56.188"</f>
        <v>14:48:56.188</v>
      </c>
      <c r="U4216" t="str">
        <f t="shared" si="1926"/>
        <v>A9808D</v>
      </c>
      <c r="V4216">
        <v>0</v>
      </c>
      <c r="W4216">
        <v>0</v>
      </c>
      <c r="X4216">
        <v>1</v>
      </c>
      <c r="Z4216">
        <v>0</v>
      </c>
      <c r="AA4216">
        <v>9</v>
      </c>
      <c r="AB4216">
        <v>3</v>
      </c>
      <c r="AC4216">
        <v>0</v>
      </c>
      <c r="AD4216">
        <v>10</v>
      </c>
      <c r="AE4216">
        <v>0</v>
      </c>
      <c r="AF4216">
        <v>3</v>
      </c>
      <c r="AG4216">
        <v>2</v>
      </c>
      <c r="AH4216">
        <v>0</v>
      </c>
      <c r="AI4216" t="s">
        <v>958</v>
      </c>
      <c r="AJ4216">
        <v>28.257822999999998</v>
      </c>
      <c r="AK4216" t="s">
        <v>959</v>
      </c>
      <c r="AL4216">
        <v>-82.308110999999997</v>
      </c>
      <c r="AM4216">
        <v>100</v>
      </c>
      <c r="AN4216">
        <v>2300</v>
      </c>
      <c r="AO4216" t="s">
        <v>118</v>
      </c>
      <c r="AP4216">
        <v>-107</v>
      </c>
      <c r="AQ4216">
        <v>-93</v>
      </c>
      <c r="AR4216">
        <v>64</v>
      </c>
      <c r="AZ4216">
        <v>1200</v>
      </c>
      <c r="BA4216">
        <v>1</v>
      </c>
      <c r="BB4216" t="str">
        <f t="shared" si="1938"/>
        <v xml:space="preserve">N711JA  </v>
      </c>
      <c r="BC4216">
        <v>1</v>
      </c>
      <c r="BE4216">
        <v>0</v>
      </c>
      <c r="BF4216">
        <v>0</v>
      </c>
      <c r="BG4216">
        <v>0</v>
      </c>
      <c r="BH4216">
        <v>2300</v>
      </c>
      <c r="BI4216">
        <v>1</v>
      </c>
      <c r="BJ4216">
        <v>1</v>
      </c>
      <c r="BK4216">
        <v>0</v>
      </c>
      <c r="BL4216">
        <v>0</v>
      </c>
      <c r="BO4216">
        <v>0</v>
      </c>
      <c r="BP4216">
        <v>0</v>
      </c>
      <c r="BW4216" t="str">
        <f t="shared" ref="BW4216:BW4224" si="1950">"14:48:56.693"</f>
        <v>14:48:56.693</v>
      </c>
      <c r="CJ4216">
        <v>0</v>
      </c>
      <c r="CK4216">
        <v>2</v>
      </c>
      <c r="CL4216">
        <v>0</v>
      </c>
      <c r="CM4216">
        <v>2</v>
      </c>
      <c r="CN4216">
        <v>0</v>
      </c>
      <c r="CO4216">
        <v>6</v>
      </c>
      <c r="CP4216" t="s">
        <v>119</v>
      </c>
      <c r="CQ4216">
        <v>56</v>
      </c>
      <c r="CR4216">
        <v>2</v>
      </c>
      <c r="CW4216">
        <v>5123485</v>
      </c>
      <c r="CY4216">
        <v>1</v>
      </c>
      <c r="CZ4216">
        <v>0</v>
      </c>
      <c r="DA4216">
        <v>0</v>
      </c>
      <c r="DB4216">
        <v>0</v>
      </c>
      <c r="DC4216">
        <v>0</v>
      </c>
      <c r="DD4216">
        <v>1</v>
      </c>
      <c r="DE4216">
        <v>0</v>
      </c>
      <c r="DF4216">
        <v>0</v>
      </c>
      <c r="DG4216">
        <v>0</v>
      </c>
      <c r="DH4216">
        <v>0</v>
      </c>
      <c r="DI4216">
        <v>0</v>
      </c>
    </row>
    <row r="4217" spans="1:113" x14ac:dyDescent="0.3">
      <c r="A4217" t="str">
        <f t="shared" si="1948"/>
        <v>05/12/2020 14:48:38.891</v>
      </c>
      <c r="C4217" t="str">
        <f t="shared" si="1937"/>
        <v>FFDFD3C0</v>
      </c>
      <c r="D4217" t="s">
        <v>113</v>
      </c>
      <c r="E4217">
        <v>3</v>
      </c>
      <c r="H4217">
        <v>164</v>
      </c>
      <c r="I4217" t="s">
        <v>114</v>
      </c>
      <c r="J4217" t="s">
        <v>115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 t="shared" si="1949"/>
        <v>14:48:56.688</v>
      </c>
      <c r="T4217" t="str">
        <f>"14:48:56.688"</f>
        <v>14:48:56.688</v>
      </c>
      <c r="U4217" t="str">
        <f t="shared" si="1926"/>
        <v>A9808D</v>
      </c>
      <c r="V4217">
        <v>0</v>
      </c>
      <c r="W4217">
        <v>0</v>
      </c>
      <c r="X4217">
        <v>1</v>
      </c>
      <c r="Z4217">
        <v>0</v>
      </c>
      <c r="AA4217">
        <v>9</v>
      </c>
      <c r="AB4217">
        <v>3</v>
      </c>
      <c r="AC4217">
        <v>0</v>
      </c>
      <c r="AD4217">
        <v>10</v>
      </c>
      <c r="AE4217">
        <v>0</v>
      </c>
      <c r="AF4217">
        <v>3</v>
      </c>
      <c r="AG4217">
        <v>2</v>
      </c>
      <c r="AH4217">
        <v>0</v>
      </c>
      <c r="AI4217" t="s">
        <v>958</v>
      </c>
      <c r="AJ4217">
        <v>28.257822999999998</v>
      </c>
      <c r="AK4217" t="s">
        <v>959</v>
      </c>
      <c r="AL4217">
        <v>-82.308110999999997</v>
      </c>
      <c r="AM4217">
        <v>100</v>
      </c>
      <c r="AN4217">
        <v>2300</v>
      </c>
      <c r="AO4217" t="s">
        <v>118</v>
      </c>
      <c r="AP4217">
        <v>-107</v>
      </c>
      <c r="AQ4217">
        <v>-93</v>
      </c>
      <c r="AR4217">
        <v>64</v>
      </c>
      <c r="AZ4217">
        <v>1200</v>
      </c>
      <c r="BA4217">
        <v>1</v>
      </c>
      <c r="BB4217" t="str">
        <f t="shared" si="1938"/>
        <v xml:space="preserve">N711JA  </v>
      </c>
      <c r="BC4217">
        <v>1</v>
      </c>
      <c r="BE4217">
        <v>0</v>
      </c>
      <c r="BF4217">
        <v>0</v>
      </c>
      <c r="BG4217">
        <v>0</v>
      </c>
      <c r="BH4217">
        <v>2300</v>
      </c>
      <c r="BI4217">
        <v>1</v>
      </c>
      <c r="BJ4217">
        <v>1</v>
      </c>
      <c r="BK4217">
        <v>0</v>
      </c>
      <c r="BL4217">
        <v>0</v>
      </c>
      <c r="BO4217">
        <v>0</v>
      </c>
      <c r="BP4217">
        <v>0</v>
      </c>
      <c r="BW4217" t="str">
        <f t="shared" si="1950"/>
        <v>14:48:56.693</v>
      </c>
      <c r="CJ4217">
        <v>0</v>
      </c>
      <c r="CK4217">
        <v>2</v>
      </c>
      <c r="CL4217">
        <v>0</v>
      </c>
      <c r="CM4217">
        <v>2</v>
      </c>
      <c r="CN4217">
        <v>0</v>
      </c>
      <c r="CO4217">
        <v>5</v>
      </c>
      <c r="CP4217" t="s">
        <v>119</v>
      </c>
      <c r="CQ4217">
        <v>9</v>
      </c>
      <c r="CR4217">
        <v>0</v>
      </c>
      <c r="CW4217">
        <v>12947790</v>
      </c>
      <c r="CY4217">
        <v>1</v>
      </c>
      <c r="CZ4217">
        <v>0</v>
      </c>
      <c r="DA4217">
        <v>1</v>
      </c>
      <c r="DB4217">
        <v>0</v>
      </c>
      <c r="DC4217">
        <v>0</v>
      </c>
      <c r="DD4217">
        <v>1</v>
      </c>
      <c r="DE4217">
        <v>0</v>
      </c>
      <c r="DF4217">
        <v>0</v>
      </c>
      <c r="DG4217">
        <v>0</v>
      </c>
      <c r="DH4217">
        <v>0</v>
      </c>
      <c r="DI4217">
        <v>0</v>
      </c>
    </row>
    <row r="4218" spans="1:113" x14ac:dyDescent="0.3">
      <c r="A4218" t="str">
        <f t="shared" si="1948"/>
        <v>05/12/2020 14:48:38.891</v>
      </c>
      <c r="C4218" t="str">
        <f t="shared" si="1937"/>
        <v>FFDFD3C0</v>
      </c>
      <c r="D4218" t="s">
        <v>134</v>
      </c>
      <c r="E4218">
        <v>12</v>
      </c>
      <c r="H4218">
        <v>64</v>
      </c>
      <c r="I4218" t="s">
        <v>135</v>
      </c>
      <c r="J4218" t="s">
        <v>136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 t="shared" si="1949"/>
        <v>14:48:56.688</v>
      </c>
      <c r="T4218" t="str">
        <f>"14:48:56.688"</f>
        <v>14:48:56.688</v>
      </c>
      <c r="U4218" t="str">
        <f t="shared" si="1926"/>
        <v>A9808D</v>
      </c>
      <c r="V4218">
        <v>0</v>
      </c>
      <c r="W4218">
        <v>0</v>
      </c>
      <c r="X4218">
        <v>1</v>
      </c>
      <c r="Z4218">
        <v>0</v>
      </c>
      <c r="AA4218">
        <v>9</v>
      </c>
      <c r="AB4218">
        <v>3</v>
      </c>
      <c r="AC4218">
        <v>0</v>
      </c>
      <c r="AD4218">
        <v>10</v>
      </c>
      <c r="AE4218">
        <v>0</v>
      </c>
      <c r="AF4218">
        <v>3</v>
      </c>
      <c r="AG4218">
        <v>2</v>
      </c>
      <c r="AH4218">
        <v>0</v>
      </c>
      <c r="AI4218" t="s">
        <v>958</v>
      </c>
      <c r="AJ4218">
        <v>28.257822999999998</v>
      </c>
      <c r="AK4218" t="s">
        <v>959</v>
      </c>
      <c r="AL4218">
        <v>-82.308110999999997</v>
      </c>
      <c r="AM4218">
        <v>100</v>
      </c>
      <c r="AN4218">
        <v>2300</v>
      </c>
      <c r="AO4218" t="s">
        <v>118</v>
      </c>
      <c r="AP4218">
        <v>-107</v>
      </c>
      <c r="AQ4218">
        <v>-93</v>
      </c>
      <c r="AR4218">
        <v>64</v>
      </c>
      <c r="AZ4218">
        <v>1200</v>
      </c>
      <c r="BA4218">
        <v>1</v>
      </c>
      <c r="BB4218" t="str">
        <f t="shared" si="1938"/>
        <v xml:space="preserve">N711JA  </v>
      </c>
      <c r="BC4218">
        <v>1</v>
      </c>
      <c r="BE4218">
        <v>0</v>
      </c>
      <c r="BF4218">
        <v>0</v>
      </c>
      <c r="BG4218">
        <v>0</v>
      </c>
      <c r="BH4218">
        <v>2300</v>
      </c>
      <c r="BI4218">
        <v>1</v>
      </c>
      <c r="BJ4218">
        <v>1</v>
      </c>
      <c r="BK4218">
        <v>0</v>
      </c>
      <c r="BL4218">
        <v>0</v>
      </c>
      <c r="BO4218">
        <v>0</v>
      </c>
      <c r="BP4218">
        <v>0</v>
      </c>
      <c r="BW4218" t="str">
        <f t="shared" si="1950"/>
        <v>14:48:56.693</v>
      </c>
      <c r="CJ4218">
        <v>0</v>
      </c>
      <c r="CK4218">
        <v>2</v>
      </c>
      <c r="CL4218">
        <v>0</v>
      </c>
      <c r="CM4218">
        <v>2</v>
      </c>
      <c r="CN4218">
        <v>0</v>
      </c>
      <c r="CO4218">
        <v>5</v>
      </c>
      <c r="CP4218" t="s">
        <v>119</v>
      </c>
      <c r="CQ4218">
        <v>9</v>
      </c>
      <c r="CR4218">
        <v>0</v>
      </c>
      <c r="CW4218">
        <v>12947790</v>
      </c>
      <c r="CY4218">
        <v>1</v>
      </c>
      <c r="CZ4218">
        <v>0</v>
      </c>
      <c r="DA4218">
        <v>1</v>
      </c>
      <c r="DB4218">
        <v>0</v>
      </c>
      <c r="DC4218">
        <v>0</v>
      </c>
      <c r="DD4218">
        <v>1</v>
      </c>
      <c r="DE4218">
        <v>0</v>
      </c>
      <c r="DF4218">
        <v>0</v>
      </c>
      <c r="DG4218">
        <v>0</v>
      </c>
      <c r="DH4218">
        <v>0</v>
      </c>
      <c r="DI4218">
        <v>0</v>
      </c>
    </row>
    <row r="4219" spans="1:113" x14ac:dyDescent="0.3">
      <c r="A4219" t="str">
        <f t="shared" si="1948"/>
        <v>05/12/2020 14:48:38.891</v>
      </c>
      <c r="C4219" t="str">
        <f t="shared" si="1937"/>
        <v>FFDFD3C0</v>
      </c>
      <c r="D4219" t="s">
        <v>138</v>
      </c>
      <c r="E4219">
        <v>3</v>
      </c>
      <c r="H4219">
        <v>9</v>
      </c>
      <c r="I4219" t="s">
        <v>140</v>
      </c>
      <c r="J4219" t="s">
        <v>136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 t="shared" si="1949"/>
        <v>14:48:56.688</v>
      </c>
      <c r="T4219" t="str">
        <f>"14:48:56.688"</f>
        <v>14:48:56.688</v>
      </c>
      <c r="U4219" t="str">
        <f t="shared" si="1926"/>
        <v>A9808D</v>
      </c>
      <c r="V4219">
        <v>0</v>
      </c>
      <c r="W4219">
        <v>0</v>
      </c>
      <c r="X4219">
        <v>1</v>
      </c>
      <c r="Z4219">
        <v>0</v>
      </c>
      <c r="AA4219">
        <v>9</v>
      </c>
      <c r="AB4219">
        <v>3</v>
      </c>
      <c r="AC4219">
        <v>0</v>
      </c>
      <c r="AD4219">
        <v>10</v>
      </c>
      <c r="AE4219">
        <v>0</v>
      </c>
      <c r="AF4219">
        <v>3</v>
      </c>
      <c r="AG4219">
        <v>2</v>
      </c>
      <c r="AH4219">
        <v>0</v>
      </c>
      <c r="AI4219" t="s">
        <v>958</v>
      </c>
      <c r="AJ4219">
        <v>28.257822999999998</v>
      </c>
      <c r="AK4219" t="s">
        <v>959</v>
      </c>
      <c r="AL4219">
        <v>-82.308110999999997</v>
      </c>
      <c r="AM4219">
        <v>100</v>
      </c>
      <c r="AN4219">
        <v>2300</v>
      </c>
      <c r="AO4219" t="s">
        <v>118</v>
      </c>
      <c r="AP4219">
        <v>-107</v>
      </c>
      <c r="AQ4219">
        <v>-93</v>
      </c>
      <c r="AR4219">
        <v>64</v>
      </c>
      <c r="AZ4219">
        <v>1200</v>
      </c>
      <c r="BA4219">
        <v>1</v>
      </c>
      <c r="BB4219" t="str">
        <f t="shared" si="1938"/>
        <v xml:space="preserve">N711JA  </v>
      </c>
      <c r="BC4219">
        <v>1</v>
      </c>
      <c r="BE4219">
        <v>0</v>
      </c>
      <c r="BF4219">
        <v>0</v>
      </c>
      <c r="BG4219">
        <v>0</v>
      </c>
      <c r="BH4219">
        <v>2300</v>
      </c>
      <c r="BI4219">
        <v>1</v>
      </c>
      <c r="BJ4219">
        <v>1</v>
      </c>
      <c r="BK4219">
        <v>0</v>
      </c>
      <c r="BL4219">
        <v>0</v>
      </c>
      <c r="BO4219">
        <v>0</v>
      </c>
      <c r="BP4219">
        <v>0</v>
      </c>
      <c r="BW4219" t="str">
        <f t="shared" si="1950"/>
        <v>14:48:56.693</v>
      </c>
      <c r="CJ4219">
        <v>0</v>
      </c>
      <c r="CK4219">
        <v>2</v>
      </c>
      <c r="CL4219">
        <v>0</v>
      </c>
      <c r="CM4219">
        <v>2</v>
      </c>
      <c r="CN4219">
        <v>0</v>
      </c>
      <c r="CO4219">
        <v>5</v>
      </c>
      <c r="CP4219" t="s">
        <v>119</v>
      </c>
      <c r="CQ4219">
        <v>9</v>
      </c>
      <c r="CR4219">
        <v>0</v>
      </c>
      <c r="CW4219">
        <v>12947790</v>
      </c>
      <c r="CY4219">
        <v>1</v>
      </c>
      <c r="CZ4219">
        <v>0</v>
      </c>
      <c r="DA4219">
        <v>1</v>
      </c>
      <c r="DB4219">
        <v>0</v>
      </c>
      <c r="DC4219">
        <v>0</v>
      </c>
      <c r="DD4219">
        <v>1</v>
      </c>
      <c r="DE4219">
        <v>0</v>
      </c>
      <c r="DF4219">
        <v>0</v>
      </c>
      <c r="DG4219">
        <v>0</v>
      </c>
      <c r="DH4219">
        <v>0</v>
      </c>
      <c r="DI4219">
        <v>0</v>
      </c>
    </row>
    <row r="4220" spans="1:113" x14ac:dyDescent="0.3">
      <c r="A4220" t="str">
        <f t="shared" si="1948"/>
        <v>05/12/2020 14:48:38.891</v>
      </c>
      <c r="C4220" t="str">
        <f t="shared" si="1937"/>
        <v>FFDFD3C0</v>
      </c>
      <c r="D4220" t="s">
        <v>126</v>
      </c>
      <c r="E4220">
        <v>7</v>
      </c>
      <c r="F4220">
        <v>1007</v>
      </c>
      <c r="G4220" t="s">
        <v>127</v>
      </c>
      <c r="J4220" t="s">
        <v>128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 t="shared" si="1949"/>
        <v>14:48:56.688</v>
      </c>
      <c r="T4220" t="str">
        <f>"14:48:56.688"</f>
        <v>14:48:56.688</v>
      </c>
      <c r="U4220" t="str">
        <f t="shared" si="1926"/>
        <v>A9808D</v>
      </c>
      <c r="V4220">
        <v>0</v>
      </c>
      <c r="W4220">
        <v>0</v>
      </c>
      <c r="X4220">
        <v>1</v>
      </c>
      <c r="Z4220">
        <v>0</v>
      </c>
      <c r="AA4220">
        <v>9</v>
      </c>
      <c r="AB4220">
        <v>3</v>
      </c>
      <c r="AC4220">
        <v>0</v>
      </c>
      <c r="AD4220">
        <v>10</v>
      </c>
      <c r="AE4220">
        <v>0</v>
      </c>
      <c r="AF4220">
        <v>3</v>
      </c>
      <c r="AG4220">
        <v>2</v>
      </c>
      <c r="AH4220">
        <v>0</v>
      </c>
      <c r="AI4220" t="s">
        <v>958</v>
      </c>
      <c r="AJ4220">
        <v>28.257822999999998</v>
      </c>
      <c r="AK4220" t="s">
        <v>959</v>
      </c>
      <c r="AL4220">
        <v>-82.308110999999997</v>
      </c>
      <c r="AM4220">
        <v>100</v>
      </c>
      <c r="AN4220">
        <v>2300</v>
      </c>
      <c r="AO4220" t="s">
        <v>118</v>
      </c>
      <c r="AP4220">
        <v>-107</v>
      </c>
      <c r="AQ4220">
        <v>-93</v>
      </c>
      <c r="AR4220">
        <v>64</v>
      </c>
      <c r="AZ4220">
        <v>1200</v>
      </c>
      <c r="BA4220">
        <v>1</v>
      </c>
      <c r="BB4220" t="str">
        <f t="shared" si="1938"/>
        <v xml:space="preserve">N711JA  </v>
      </c>
      <c r="BC4220">
        <v>1</v>
      </c>
      <c r="BE4220">
        <v>0</v>
      </c>
      <c r="BF4220">
        <v>0</v>
      </c>
      <c r="BG4220">
        <v>0</v>
      </c>
      <c r="BH4220">
        <v>2300</v>
      </c>
      <c r="BI4220">
        <v>1</v>
      </c>
      <c r="BJ4220">
        <v>1</v>
      </c>
      <c r="BK4220">
        <v>0</v>
      </c>
      <c r="BL4220">
        <v>0</v>
      </c>
      <c r="BO4220">
        <v>0</v>
      </c>
      <c r="BP4220">
        <v>0</v>
      </c>
      <c r="BW4220" t="str">
        <f t="shared" si="1950"/>
        <v>14:48:56.693</v>
      </c>
      <c r="CJ4220">
        <v>0</v>
      </c>
      <c r="CK4220">
        <v>2</v>
      </c>
      <c r="CL4220">
        <v>0</v>
      </c>
      <c r="CM4220">
        <v>2</v>
      </c>
      <c r="CN4220">
        <v>0</v>
      </c>
      <c r="CO4220">
        <v>5</v>
      </c>
      <c r="CP4220" t="s">
        <v>119</v>
      </c>
      <c r="CQ4220">
        <v>9</v>
      </c>
      <c r="CR4220">
        <v>0</v>
      </c>
      <c r="CW4220">
        <v>12947790</v>
      </c>
      <c r="CY4220">
        <v>1</v>
      </c>
      <c r="CZ4220">
        <v>0</v>
      </c>
      <c r="DA4220">
        <v>1</v>
      </c>
      <c r="DB4220">
        <v>0</v>
      </c>
      <c r="DC4220">
        <v>0</v>
      </c>
      <c r="DD4220">
        <v>1</v>
      </c>
      <c r="DE4220">
        <v>0</v>
      </c>
      <c r="DF4220">
        <v>0</v>
      </c>
      <c r="DG4220">
        <v>0</v>
      </c>
      <c r="DH4220">
        <v>0</v>
      </c>
      <c r="DI4220">
        <v>0</v>
      </c>
    </row>
    <row r="4221" spans="1:113" x14ac:dyDescent="0.3">
      <c r="A4221" t="str">
        <f t="shared" si="1948"/>
        <v>05/12/2020 14:48:38.891</v>
      </c>
      <c r="C4221" t="str">
        <f t="shared" si="1937"/>
        <v>FFDFD3C0</v>
      </c>
      <c r="D4221" t="s">
        <v>131</v>
      </c>
      <c r="E4221">
        <v>10</v>
      </c>
      <c r="F4221">
        <v>2010</v>
      </c>
      <c r="G4221" t="s">
        <v>132</v>
      </c>
      <c r="J4221" t="s">
        <v>133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 t="shared" si="1949"/>
        <v>14:48:56.688</v>
      </c>
      <c r="T4221" t="str">
        <f>"14:48:56.688"</f>
        <v>14:48:56.688</v>
      </c>
      <c r="U4221" t="str">
        <f t="shared" si="1926"/>
        <v>A9808D</v>
      </c>
      <c r="V4221">
        <v>0</v>
      </c>
      <c r="W4221">
        <v>0</v>
      </c>
      <c r="X4221">
        <v>1</v>
      </c>
      <c r="Z4221">
        <v>0</v>
      </c>
      <c r="AA4221">
        <v>9</v>
      </c>
      <c r="AB4221">
        <v>3</v>
      </c>
      <c r="AC4221">
        <v>0</v>
      </c>
      <c r="AD4221">
        <v>10</v>
      </c>
      <c r="AE4221">
        <v>0</v>
      </c>
      <c r="AF4221">
        <v>3</v>
      </c>
      <c r="AG4221">
        <v>2</v>
      </c>
      <c r="AH4221">
        <v>0</v>
      </c>
      <c r="AI4221" t="s">
        <v>958</v>
      </c>
      <c r="AJ4221">
        <v>28.257822999999998</v>
      </c>
      <c r="AK4221" t="s">
        <v>959</v>
      </c>
      <c r="AL4221">
        <v>-82.308110999999997</v>
      </c>
      <c r="AM4221">
        <v>100</v>
      </c>
      <c r="AN4221">
        <v>2300</v>
      </c>
      <c r="AO4221" t="s">
        <v>118</v>
      </c>
      <c r="AP4221">
        <v>-107</v>
      </c>
      <c r="AQ4221">
        <v>-93</v>
      </c>
      <c r="AR4221">
        <v>64</v>
      </c>
      <c r="AZ4221">
        <v>1200</v>
      </c>
      <c r="BA4221">
        <v>1</v>
      </c>
      <c r="BB4221" t="str">
        <f t="shared" si="1938"/>
        <v xml:space="preserve">N711JA  </v>
      </c>
      <c r="BC4221">
        <v>1</v>
      </c>
      <c r="BE4221">
        <v>0</v>
      </c>
      <c r="BF4221">
        <v>0</v>
      </c>
      <c r="BG4221">
        <v>0</v>
      </c>
      <c r="BH4221">
        <v>2300</v>
      </c>
      <c r="BI4221">
        <v>1</v>
      </c>
      <c r="BJ4221">
        <v>1</v>
      </c>
      <c r="BK4221">
        <v>0</v>
      </c>
      <c r="BL4221">
        <v>0</v>
      </c>
      <c r="BO4221">
        <v>0</v>
      </c>
      <c r="BP4221">
        <v>0</v>
      </c>
      <c r="BW4221" t="str">
        <f t="shared" si="1950"/>
        <v>14:48:56.693</v>
      </c>
      <c r="CJ4221">
        <v>0</v>
      </c>
      <c r="CK4221">
        <v>2</v>
      </c>
      <c r="CL4221">
        <v>0</v>
      </c>
      <c r="CM4221">
        <v>2</v>
      </c>
      <c r="CN4221">
        <v>0</v>
      </c>
      <c r="CO4221">
        <v>5</v>
      </c>
      <c r="CP4221" t="s">
        <v>119</v>
      </c>
      <c r="CQ4221">
        <v>9</v>
      </c>
      <c r="CR4221">
        <v>0</v>
      </c>
      <c r="CW4221">
        <v>12947790</v>
      </c>
      <c r="CY4221">
        <v>1</v>
      </c>
      <c r="CZ4221">
        <v>0</v>
      </c>
      <c r="DA4221">
        <v>1</v>
      </c>
      <c r="DB4221">
        <v>0</v>
      </c>
      <c r="DC4221">
        <v>0</v>
      </c>
      <c r="DD4221">
        <v>1</v>
      </c>
      <c r="DE4221">
        <v>0</v>
      </c>
      <c r="DF4221">
        <v>0</v>
      </c>
      <c r="DG4221">
        <v>0</v>
      </c>
      <c r="DH4221">
        <v>0</v>
      </c>
      <c r="DI4221">
        <v>0</v>
      </c>
    </row>
    <row r="4222" spans="1:113" x14ac:dyDescent="0.3">
      <c r="A4222" t="str">
        <f t="shared" si="1948"/>
        <v>05/12/2020 14:48:38.891</v>
      </c>
      <c r="C4222" t="str">
        <f t="shared" si="1937"/>
        <v>FFDFD3C0</v>
      </c>
      <c r="D4222" t="s">
        <v>131</v>
      </c>
      <c r="E4222">
        <v>12</v>
      </c>
      <c r="F4222">
        <v>2012</v>
      </c>
      <c r="G4222" t="s">
        <v>137</v>
      </c>
      <c r="J4222" t="s">
        <v>133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 t="shared" si="1949"/>
        <v>14:48:56.688</v>
      </c>
      <c r="T4222" t="str">
        <f>"14:48:56.188"</f>
        <v>14:48:56.188</v>
      </c>
      <c r="U4222" t="str">
        <f t="shared" si="1926"/>
        <v>A9808D</v>
      </c>
      <c r="V4222">
        <v>0</v>
      </c>
      <c r="W4222">
        <v>0</v>
      </c>
      <c r="X4222">
        <v>1</v>
      </c>
      <c r="Z4222">
        <v>0</v>
      </c>
      <c r="AA4222">
        <v>9</v>
      </c>
      <c r="AB4222">
        <v>3</v>
      </c>
      <c r="AC4222">
        <v>0</v>
      </c>
      <c r="AD4222">
        <v>10</v>
      </c>
      <c r="AE4222">
        <v>0</v>
      </c>
      <c r="AF4222">
        <v>3</v>
      </c>
      <c r="AG4222">
        <v>2</v>
      </c>
      <c r="AH4222">
        <v>0</v>
      </c>
      <c r="AI4222" t="s">
        <v>958</v>
      </c>
      <c r="AJ4222">
        <v>28.257822999999998</v>
      </c>
      <c r="AK4222" t="s">
        <v>959</v>
      </c>
      <c r="AL4222">
        <v>-82.308110999999997</v>
      </c>
      <c r="AM4222">
        <v>100</v>
      </c>
      <c r="AN4222">
        <v>2300</v>
      </c>
      <c r="AO4222" t="s">
        <v>118</v>
      </c>
      <c r="AP4222">
        <v>-107</v>
      </c>
      <c r="AQ4222">
        <v>-93</v>
      </c>
      <c r="AR4222">
        <v>64</v>
      </c>
      <c r="AZ4222">
        <v>1200</v>
      </c>
      <c r="BA4222">
        <v>1</v>
      </c>
      <c r="BB4222" t="str">
        <f t="shared" si="1938"/>
        <v xml:space="preserve">N711JA  </v>
      </c>
      <c r="BC4222">
        <v>1</v>
      </c>
      <c r="BE4222">
        <v>0</v>
      </c>
      <c r="BF4222">
        <v>0</v>
      </c>
      <c r="BG4222">
        <v>0</v>
      </c>
      <c r="BH4222">
        <v>2300</v>
      </c>
      <c r="BI4222">
        <v>1</v>
      </c>
      <c r="BJ4222">
        <v>1</v>
      </c>
      <c r="BK4222">
        <v>0</v>
      </c>
      <c r="BL4222">
        <v>0</v>
      </c>
      <c r="BO4222">
        <v>0</v>
      </c>
      <c r="BP4222">
        <v>0</v>
      </c>
      <c r="BW4222" t="str">
        <f t="shared" si="1950"/>
        <v>14:48:56.693</v>
      </c>
      <c r="CJ4222">
        <v>0</v>
      </c>
      <c r="CK4222">
        <v>2</v>
      </c>
      <c r="CL4222">
        <v>0</v>
      </c>
      <c r="CM4222">
        <v>2</v>
      </c>
      <c r="CN4222">
        <v>0</v>
      </c>
      <c r="CO4222">
        <v>6</v>
      </c>
      <c r="CP4222" t="s">
        <v>119</v>
      </c>
      <c r="CQ4222">
        <v>56</v>
      </c>
      <c r="CR4222">
        <v>2</v>
      </c>
      <c r="CW4222">
        <v>5123485</v>
      </c>
      <c r="CY4222">
        <v>1</v>
      </c>
      <c r="CZ4222">
        <v>0</v>
      </c>
      <c r="DA4222">
        <v>1</v>
      </c>
      <c r="DB4222">
        <v>0</v>
      </c>
      <c r="DC4222">
        <v>0</v>
      </c>
      <c r="DD4222">
        <v>1</v>
      </c>
      <c r="DE4222">
        <v>0</v>
      </c>
      <c r="DF4222">
        <v>0</v>
      </c>
      <c r="DG4222">
        <v>0</v>
      </c>
      <c r="DH4222">
        <v>0</v>
      </c>
      <c r="DI4222">
        <v>0</v>
      </c>
    </row>
    <row r="4223" spans="1:113" x14ac:dyDescent="0.3">
      <c r="A4223" t="str">
        <f t="shared" si="1948"/>
        <v>05/12/2020 14:48:38.891</v>
      </c>
      <c r="C4223" t="str">
        <f t="shared" si="1937"/>
        <v>FFDFD3C0</v>
      </c>
      <c r="D4223" t="s">
        <v>126</v>
      </c>
      <c r="E4223">
        <v>6</v>
      </c>
      <c r="F4223">
        <v>1006</v>
      </c>
      <c r="G4223" t="s">
        <v>114</v>
      </c>
      <c r="J4223" t="s">
        <v>128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 t="shared" si="1949"/>
        <v>14:48:56.688</v>
      </c>
      <c r="T4223" t="str">
        <f>"14:48:56.688"</f>
        <v>14:48:56.688</v>
      </c>
      <c r="U4223" t="str">
        <f t="shared" si="1926"/>
        <v>A9808D</v>
      </c>
      <c r="V4223">
        <v>0</v>
      </c>
      <c r="W4223">
        <v>0</v>
      </c>
      <c r="X4223">
        <v>1</v>
      </c>
      <c r="Z4223">
        <v>0</v>
      </c>
      <c r="AA4223">
        <v>9</v>
      </c>
      <c r="AB4223">
        <v>3</v>
      </c>
      <c r="AC4223">
        <v>0</v>
      </c>
      <c r="AD4223">
        <v>10</v>
      </c>
      <c r="AE4223">
        <v>0</v>
      </c>
      <c r="AF4223">
        <v>3</v>
      </c>
      <c r="AG4223">
        <v>2</v>
      </c>
      <c r="AH4223">
        <v>0</v>
      </c>
      <c r="AI4223" t="s">
        <v>958</v>
      </c>
      <c r="AJ4223">
        <v>28.257822999999998</v>
      </c>
      <c r="AK4223" t="s">
        <v>959</v>
      </c>
      <c r="AL4223">
        <v>-82.308110999999997</v>
      </c>
      <c r="AM4223">
        <v>100</v>
      </c>
      <c r="AN4223">
        <v>2300</v>
      </c>
      <c r="AO4223" t="s">
        <v>118</v>
      </c>
      <c r="AP4223">
        <v>-107</v>
      </c>
      <c r="AQ4223">
        <v>-93</v>
      </c>
      <c r="AR4223">
        <v>64</v>
      </c>
      <c r="AZ4223">
        <v>1200</v>
      </c>
      <c r="BA4223">
        <v>1</v>
      </c>
      <c r="BB4223" t="str">
        <f t="shared" si="1938"/>
        <v xml:space="preserve">N711JA  </v>
      </c>
      <c r="BC4223">
        <v>1</v>
      </c>
      <c r="BE4223">
        <v>0</v>
      </c>
      <c r="BF4223">
        <v>0</v>
      </c>
      <c r="BG4223">
        <v>0</v>
      </c>
      <c r="BH4223">
        <v>2300</v>
      </c>
      <c r="BI4223">
        <v>1</v>
      </c>
      <c r="BJ4223">
        <v>1</v>
      </c>
      <c r="BK4223">
        <v>0</v>
      </c>
      <c r="BL4223">
        <v>0</v>
      </c>
      <c r="BO4223">
        <v>0</v>
      </c>
      <c r="BP4223">
        <v>0</v>
      </c>
      <c r="BW4223" t="str">
        <f t="shared" si="1950"/>
        <v>14:48:56.693</v>
      </c>
      <c r="CJ4223">
        <v>0</v>
      </c>
      <c r="CK4223">
        <v>2</v>
      </c>
      <c r="CL4223">
        <v>0</v>
      </c>
      <c r="CM4223">
        <v>2</v>
      </c>
      <c r="CN4223">
        <v>0</v>
      </c>
      <c r="CO4223">
        <v>5</v>
      </c>
      <c r="CP4223" t="s">
        <v>119</v>
      </c>
      <c r="CQ4223">
        <v>9</v>
      </c>
      <c r="CR4223">
        <v>0</v>
      </c>
      <c r="CW4223">
        <v>12947790</v>
      </c>
      <c r="CY4223">
        <v>1</v>
      </c>
      <c r="CZ4223">
        <v>0</v>
      </c>
      <c r="DA4223">
        <v>1</v>
      </c>
      <c r="DB4223">
        <v>0</v>
      </c>
      <c r="DC4223">
        <v>0</v>
      </c>
      <c r="DD4223">
        <v>1</v>
      </c>
      <c r="DE4223">
        <v>0</v>
      </c>
      <c r="DF4223">
        <v>0</v>
      </c>
      <c r="DG4223">
        <v>0</v>
      </c>
      <c r="DH4223">
        <v>0</v>
      </c>
      <c r="DI4223">
        <v>0</v>
      </c>
    </row>
    <row r="4224" spans="1:113" x14ac:dyDescent="0.3">
      <c r="A4224" t="str">
        <f t="shared" si="1948"/>
        <v>05/12/2020 14:48:38.891</v>
      </c>
      <c r="C4224" t="str">
        <f t="shared" si="1937"/>
        <v>FFDFD3C0</v>
      </c>
      <c r="D4224" t="s">
        <v>131</v>
      </c>
      <c r="E4224">
        <v>18</v>
      </c>
      <c r="F4224">
        <v>2018</v>
      </c>
      <c r="G4224" t="s">
        <v>161</v>
      </c>
      <c r="J4224" t="s">
        <v>133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 t="shared" si="1949"/>
        <v>14:48:56.688</v>
      </c>
      <c r="T4224" t="str">
        <f>"14:48:56.688"</f>
        <v>14:48:56.688</v>
      </c>
      <c r="U4224" t="str">
        <f t="shared" si="1926"/>
        <v>A9808D</v>
      </c>
      <c r="V4224">
        <v>0</v>
      </c>
      <c r="W4224">
        <v>0</v>
      </c>
      <c r="X4224">
        <v>1</v>
      </c>
      <c r="Z4224">
        <v>0</v>
      </c>
      <c r="AA4224">
        <v>9</v>
      </c>
      <c r="AB4224">
        <v>3</v>
      </c>
      <c r="AC4224">
        <v>0</v>
      </c>
      <c r="AD4224">
        <v>10</v>
      </c>
      <c r="AE4224">
        <v>0</v>
      </c>
      <c r="AF4224">
        <v>3</v>
      </c>
      <c r="AG4224">
        <v>2</v>
      </c>
      <c r="AH4224">
        <v>0</v>
      </c>
      <c r="AI4224" t="s">
        <v>958</v>
      </c>
      <c r="AJ4224">
        <v>28.257822999999998</v>
      </c>
      <c r="AK4224" t="s">
        <v>959</v>
      </c>
      <c r="AL4224">
        <v>-82.308110999999997</v>
      </c>
      <c r="AM4224">
        <v>100</v>
      </c>
      <c r="AN4224">
        <v>2300</v>
      </c>
      <c r="AO4224" t="s">
        <v>118</v>
      </c>
      <c r="AP4224">
        <v>-107</v>
      </c>
      <c r="AQ4224">
        <v>-93</v>
      </c>
      <c r="AR4224">
        <v>64</v>
      </c>
      <c r="AZ4224">
        <v>1200</v>
      </c>
      <c r="BA4224">
        <v>1</v>
      </c>
      <c r="BB4224" t="str">
        <f t="shared" si="1938"/>
        <v xml:space="preserve">N711JA  </v>
      </c>
      <c r="BC4224">
        <v>1</v>
      </c>
      <c r="BE4224">
        <v>0</v>
      </c>
      <c r="BF4224">
        <v>0</v>
      </c>
      <c r="BG4224">
        <v>0</v>
      </c>
      <c r="BH4224">
        <v>2300</v>
      </c>
      <c r="BI4224">
        <v>1</v>
      </c>
      <c r="BJ4224">
        <v>1</v>
      </c>
      <c r="BK4224">
        <v>0</v>
      </c>
      <c r="BL4224">
        <v>0</v>
      </c>
      <c r="BO4224">
        <v>0</v>
      </c>
      <c r="BP4224">
        <v>0</v>
      </c>
      <c r="BW4224" t="str">
        <f t="shared" si="1950"/>
        <v>14:48:56.693</v>
      </c>
      <c r="CJ4224">
        <v>0</v>
      </c>
      <c r="CK4224">
        <v>2</v>
      </c>
      <c r="CL4224">
        <v>0</v>
      </c>
      <c r="CM4224">
        <v>2</v>
      </c>
      <c r="CN4224">
        <v>0</v>
      </c>
      <c r="CO4224">
        <v>5</v>
      </c>
      <c r="CP4224" t="s">
        <v>119</v>
      </c>
      <c r="CQ4224">
        <v>62</v>
      </c>
      <c r="CR4224">
        <v>1</v>
      </c>
      <c r="CW4224">
        <v>13021352</v>
      </c>
      <c r="CY4224">
        <v>1</v>
      </c>
      <c r="CZ4224">
        <v>0</v>
      </c>
      <c r="DA4224">
        <v>1</v>
      </c>
      <c r="DB4224">
        <v>0</v>
      </c>
      <c r="DC4224">
        <v>0</v>
      </c>
      <c r="DD4224">
        <v>1</v>
      </c>
      <c r="DE4224">
        <v>0</v>
      </c>
      <c r="DF4224">
        <v>0</v>
      </c>
      <c r="DG4224">
        <v>0</v>
      </c>
      <c r="DH4224">
        <v>0</v>
      </c>
      <c r="DI4224">
        <v>0</v>
      </c>
    </row>
    <row r="4225" spans="1:113" x14ac:dyDescent="0.3">
      <c r="A4225" t="str">
        <f t="shared" ref="A4225:A4233" si="1951">"05/12/2020 14:48:39.851"</f>
        <v>05/12/2020 14:48:39.851</v>
      </c>
      <c r="C4225" t="str">
        <f t="shared" si="1937"/>
        <v>FFDFD3C0</v>
      </c>
      <c r="D4225" t="s">
        <v>138</v>
      </c>
      <c r="E4225">
        <v>2</v>
      </c>
      <c r="H4225">
        <v>8</v>
      </c>
      <c r="I4225" t="s">
        <v>139</v>
      </c>
      <c r="J4225" t="s">
        <v>136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 t="shared" ref="S4225:S4233" si="1952">"14:48:57.633"</f>
        <v>14:48:57.633</v>
      </c>
      <c r="T4225" t="str">
        <f>"14:48:56.233"</f>
        <v>14:48:56.233</v>
      </c>
      <c r="U4225" t="str">
        <f t="shared" si="1926"/>
        <v>A9808D</v>
      </c>
      <c r="V4225">
        <v>0</v>
      </c>
      <c r="W4225">
        <v>0</v>
      </c>
      <c r="X4225">
        <v>1</v>
      </c>
      <c r="Z4225">
        <v>0</v>
      </c>
      <c r="AA4225">
        <v>9</v>
      </c>
      <c r="AB4225">
        <v>3</v>
      </c>
      <c r="AC4225">
        <v>0</v>
      </c>
      <c r="AD4225">
        <v>10</v>
      </c>
      <c r="AE4225">
        <v>0</v>
      </c>
      <c r="AF4225">
        <v>3</v>
      </c>
      <c r="AG4225">
        <v>2</v>
      </c>
      <c r="AH4225">
        <v>0</v>
      </c>
      <c r="AI4225" t="s">
        <v>960</v>
      </c>
      <c r="AJ4225">
        <v>28.257436999999999</v>
      </c>
      <c r="AK4225" t="s">
        <v>961</v>
      </c>
      <c r="AL4225">
        <v>-82.308626000000004</v>
      </c>
      <c r="AM4225">
        <v>100</v>
      </c>
      <c r="AN4225">
        <v>2300</v>
      </c>
      <c r="AO4225" t="s">
        <v>118</v>
      </c>
      <c r="AP4225">
        <v>-107</v>
      </c>
      <c r="AQ4225">
        <v>-93</v>
      </c>
      <c r="AR4225">
        <v>64</v>
      </c>
      <c r="AZ4225">
        <v>1200</v>
      </c>
      <c r="BA4225">
        <v>1</v>
      </c>
      <c r="BB4225" t="str">
        <f t="shared" si="1938"/>
        <v xml:space="preserve">N711JA  </v>
      </c>
      <c r="BC4225">
        <v>1</v>
      </c>
      <c r="BE4225">
        <v>0</v>
      </c>
      <c r="BF4225">
        <v>0</v>
      </c>
      <c r="BG4225">
        <v>0</v>
      </c>
      <c r="BH4225">
        <v>2300</v>
      </c>
      <c r="BI4225">
        <v>1</v>
      </c>
      <c r="BJ4225">
        <v>1</v>
      </c>
      <c r="BK4225">
        <v>0</v>
      </c>
      <c r="BL4225">
        <v>0</v>
      </c>
      <c r="BO4225">
        <v>0</v>
      </c>
      <c r="BP4225">
        <v>0</v>
      </c>
      <c r="BW4225" t="str">
        <f t="shared" ref="BW4225:BW4233" si="1953">"14:48:57.633"</f>
        <v>14:48:57.633</v>
      </c>
      <c r="CJ4225">
        <v>0</v>
      </c>
      <c r="CK4225">
        <v>2</v>
      </c>
      <c r="CL4225">
        <v>0</v>
      </c>
      <c r="CM4225">
        <v>2</v>
      </c>
      <c r="CN4225">
        <v>0</v>
      </c>
      <c r="CO4225">
        <v>6</v>
      </c>
      <c r="CP4225" t="s">
        <v>119</v>
      </c>
      <c r="CQ4225">
        <v>56</v>
      </c>
      <c r="CR4225">
        <v>2</v>
      </c>
      <c r="CW4225">
        <v>5124692</v>
      </c>
      <c r="CY4225">
        <v>1</v>
      </c>
      <c r="CZ4225">
        <v>0</v>
      </c>
      <c r="DA4225">
        <v>0</v>
      </c>
      <c r="DB4225">
        <v>0</v>
      </c>
      <c r="DC4225">
        <v>0</v>
      </c>
      <c r="DD4225">
        <v>1</v>
      </c>
      <c r="DE4225">
        <v>0</v>
      </c>
      <c r="DF4225">
        <v>0</v>
      </c>
      <c r="DG4225">
        <v>0</v>
      </c>
      <c r="DH4225">
        <v>0</v>
      </c>
      <c r="DI4225">
        <v>0</v>
      </c>
    </row>
    <row r="4226" spans="1:113" x14ac:dyDescent="0.3">
      <c r="A4226" t="str">
        <f t="shared" si="1951"/>
        <v>05/12/2020 14:48:39.851</v>
      </c>
      <c r="C4226" t="str">
        <f t="shared" si="1937"/>
        <v>FFDFD3C0</v>
      </c>
      <c r="D4226" t="s">
        <v>131</v>
      </c>
      <c r="E4226">
        <v>18</v>
      </c>
      <c r="F4226">
        <v>2018</v>
      </c>
      <c r="G4226" t="s">
        <v>161</v>
      </c>
      <c r="J4226" t="s">
        <v>133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 t="shared" si="1952"/>
        <v>14:48:57.633</v>
      </c>
      <c r="T4226" t="str">
        <f t="shared" ref="T4226:T4232" si="1954">"14:48:57.233"</f>
        <v>14:48:57.233</v>
      </c>
      <c r="U4226" t="str">
        <f t="shared" ref="U4226:U4289" si="1955">"A9808D"</f>
        <v>A9808D</v>
      </c>
      <c r="V4226">
        <v>0</v>
      </c>
      <c r="W4226">
        <v>0</v>
      </c>
      <c r="X4226">
        <v>1</v>
      </c>
      <c r="Z4226">
        <v>0</v>
      </c>
      <c r="AA4226">
        <v>9</v>
      </c>
      <c r="AB4226">
        <v>3</v>
      </c>
      <c r="AC4226">
        <v>0</v>
      </c>
      <c r="AD4226">
        <v>10</v>
      </c>
      <c r="AE4226">
        <v>0</v>
      </c>
      <c r="AF4226">
        <v>3</v>
      </c>
      <c r="AG4226">
        <v>2</v>
      </c>
      <c r="AH4226">
        <v>0</v>
      </c>
      <c r="AI4226" t="s">
        <v>960</v>
      </c>
      <c r="AJ4226">
        <v>28.257436999999999</v>
      </c>
      <c r="AK4226" t="s">
        <v>961</v>
      </c>
      <c r="AL4226">
        <v>-82.308626000000004</v>
      </c>
      <c r="AM4226">
        <v>100</v>
      </c>
      <c r="AN4226">
        <v>2300</v>
      </c>
      <c r="AO4226" t="s">
        <v>118</v>
      </c>
      <c r="AP4226">
        <v>-106</v>
      </c>
      <c r="AQ4226">
        <v>-94</v>
      </c>
      <c r="AR4226">
        <v>128</v>
      </c>
      <c r="AZ4226">
        <v>1200</v>
      </c>
      <c r="BA4226">
        <v>1</v>
      </c>
      <c r="BB4226" t="str">
        <f t="shared" si="1938"/>
        <v xml:space="preserve">N711JA  </v>
      </c>
      <c r="BC4226">
        <v>1</v>
      </c>
      <c r="BE4226">
        <v>0</v>
      </c>
      <c r="BF4226">
        <v>0</v>
      </c>
      <c r="BG4226">
        <v>0</v>
      </c>
      <c r="BH4226">
        <v>2300</v>
      </c>
      <c r="BI4226">
        <v>1</v>
      </c>
      <c r="BJ4226">
        <v>1</v>
      </c>
      <c r="BK4226">
        <v>0</v>
      </c>
      <c r="BL4226">
        <v>0</v>
      </c>
      <c r="BO4226">
        <v>0</v>
      </c>
      <c r="BP4226">
        <v>0</v>
      </c>
      <c r="BW4226" t="str">
        <f t="shared" si="1953"/>
        <v>14:48:57.633</v>
      </c>
      <c r="CJ4226">
        <v>0</v>
      </c>
      <c r="CK4226">
        <v>2</v>
      </c>
      <c r="CL4226">
        <v>0</v>
      </c>
      <c r="CM4226">
        <v>2</v>
      </c>
      <c r="CN4226">
        <v>0</v>
      </c>
      <c r="CO4226">
        <v>5</v>
      </c>
      <c r="CP4226" t="s">
        <v>119</v>
      </c>
      <c r="CQ4226">
        <v>62</v>
      </c>
      <c r="CR4226">
        <v>1</v>
      </c>
      <c r="CW4226">
        <v>13022396</v>
      </c>
      <c r="CY4226">
        <v>1</v>
      </c>
      <c r="CZ4226">
        <v>0</v>
      </c>
      <c r="DA4226">
        <v>1</v>
      </c>
      <c r="DB4226">
        <v>0</v>
      </c>
      <c r="DC4226">
        <v>0</v>
      </c>
      <c r="DD4226">
        <v>1</v>
      </c>
      <c r="DE4226">
        <v>0</v>
      </c>
      <c r="DF4226">
        <v>0</v>
      </c>
      <c r="DG4226">
        <v>0</v>
      </c>
      <c r="DH4226">
        <v>0</v>
      </c>
      <c r="DI4226">
        <v>0</v>
      </c>
    </row>
    <row r="4227" spans="1:113" x14ac:dyDescent="0.3">
      <c r="A4227" t="str">
        <f t="shared" si="1951"/>
        <v>05/12/2020 14:48:39.851</v>
      </c>
      <c r="C4227" t="str">
        <f t="shared" si="1937"/>
        <v>FFDFD3C0</v>
      </c>
      <c r="D4227" t="s">
        <v>134</v>
      </c>
      <c r="E4227">
        <v>12</v>
      </c>
      <c r="H4227">
        <v>64</v>
      </c>
      <c r="I4227" t="s">
        <v>135</v>
      </c>
      <c r="J4227" t="s">
        <v>136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 t="shared" si="1952"/>
        <v>14:48:57.633</v>
      </c>
      <c r="T4227" t="str">
        <f t="shared" si="1954"/>
        <v>14:48:57.233</v>
      </c>
      <c r="U4227" t="str">
        <f t="shared" si="1955"/>
        <v>A9808D</v>
      </c>
      <c r="V4227">
        <v>0</v>
      </c>
      <c r="W4227">
        <v>0</v>
      </c>
      <c r="X4227">
        <v>1</v>
      </c>
      <c r="Z4227">
        <v>0</v>
      </c>
      <c r="AA4227">
        <v>9</v>
      </c>
      <c r="AB4227">
        <v>3</v>
      </c>
      <c r="AC4227">
        <v>0</v>
      </c>
      <c r="AD4227">
        <v>10</v>
      </c>
      <c r="AE4227">
        <v>0</v>
      </c>
      <c r="AF4227">
        <v>3</v>
      </c>
      <c r="AG4227">
        <v>2</v>
      </c>
      <c r="AH4227">
        <v>0</v>
      </c>
      <c r="AI4227" t="s">
        <v>960</v>
      </c>
      <c r="AJ4227">
        <v>28.257436999999999</v>
      </c>
      <c r="AK4227" t="s">
        <v>961</v>
      </c>
      <c r="AL4227">
        <v>-82.308626000000004</v>
      </c>
      <c r="AM4227">
        <v>100</v>
      </c>
      <c r="AN4227">
        <v>2300</v>
      </c>
      <c r="AO4227" t="s">
        <v>118</v>
      </c>
      <c r="AP4227">
        <v>-106</v>
      </c>
      <c r="AQ4227">
        <v>-94</v>
      </c>
      <c r="AR4227">
        <v>128</v>
      </c>
      <c r="AZ4227">
        <v>1200</v>
      </c>
      <c r="BA4227">
        <v>1</v>
      </c>
      <c r="BB4227" t="str">
        <f t="shared" si="1938"/>
        <v xml:space="preserve">N711JA  </v>
      </c>
      <c r="BC4227">
        <v>1</v>
      </c>
      <c r="BE4227">
        <v>0</v>
      </c>
      <c r="BF4227">
        <v>0</v>
      </c>
      <c r="BG4227">
        <v>0</v>
      </c>
      <c r="BH4227">
        <v>2300</v>
      </c>
      <c r="BI4227">
        <v>1</v>
      </c>
      <c r="BJ4227">
        <v>1</v>
      </c>
      <c r="BK4227">
        <v>0</v>
      </c>
      <c r="BL4227">
        <v>0</v>
      </c>
      <c r="BO4227">
        <v>0</v>
      </c>
      <c r="BP4227">
        <v>0</v>
      </c>
      <c r="BW4227" t="str">
        <f t="shared" si="1953"/>
        <v>14:48:57.633</v>
      </c>
      <c r="CJ4227">
        <v>0</v>
      </c>
      <c r="CK4227">
        <v>2</v>
      </c>
      <c r="CL4227">
        <v>0</v>
      </c>
      <c r="CM4227">
        <v>2</v>
      </c>
      <c r="CN4227">
        <v>0</v>
      </c>
      <c r="CO4227">
        <v>5</v>
      </c>
      <c r="CP4227" t="s">
        <v>119</v>
      </c>
      <c r="CQ4227">
        <v>358</v>
      </c>
      <c r="CR4227">
        <v>0</v>
      </c>
      <c r="CW4227">
        <v>5097674</v>
      </c>
      <c r="CY4227">
        <v>1</v>
      </c>
      <c r="CZ4227">
        <v>0</v>
      </c>
      <c r="DA4227">
        <v>1</v>
      </c>
      <c r="DB4227">
        <v>0</v>
      </c>
      <c r="DC4227">
        <v>0</v>
      </c>
      <c r="DD4227">
        <v>1</v>
      </c>
      <c r="DE4227">
        <v>0</v>
      </c>
      <c r="DF4227">
        <v>0</v>
      </c>
      <c r="DG4227">
        <v>0</v>
      </c>
      <c r="DH4227">
        <v>0</v>
      </c>
      <c r="DI4227">
        <v>0</v>
      </c>
    </row>
    <row r="4228" spans="1:113" x14ac:dyDescent="0.3">
      <c r="A4228" t="str">
        <f t="shared" si="1951"/>
        <v>05/12/2020 14:48:39.851</v>
      </c>
      <c r="C4228" t="str">
        <f t="shared" si="1937"/>
        <v>FFDFD3C0</v>
      </c>
      <c r="D4228" t="s">
        <v>113</v>
      </c>
      <c r="E4228">
        <v>3</v>
      </c>
      <c r="H4228">
        <v>164</v>
      </c>
      <c r="I4228" t="s">
        <v>114</v>
      </c>
      <c r="J4228" t="s">
        <v>115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 t="shared" si="1952"/>
        <v>14:48:57.633</v>
      </c>
      <c r="T4228" t="str">
        <f t="shared" si="1954"/>
        <v>14:48:57.233</v>
      </c>
      <c r="U4228" t="str">
        <f t="shared" si="1955"/>
        <v>A9808D</v>
      </c>
      <c r="V4228">
        <v>0</v>
      </c>
      <c r="W4228">
        <v>0</v>
      </c>
      <c r="X4228">
        <v>1</v>
      </c>
      <c r="Z4228">
        <v>0</v>
      </c>
      <c r="AA4228">
        <v>9</v>
      </c>
      <c r="AB4228">
        <v>3</v>
      </c>
      <c r="AC4228">
        <v>0</v>
      </c>
      <c r="AD4228">
        <v>10</v>
      </c>
      <c r="AE4228">
        <v>0</v>
      </c>
      <c r="AF4228">
        <v>3</v>
      </c>
      <c r="AG4228">
        <v>2</v>
      </c>
      <c r="AH4228">
        <v>0</v>
      </c>
      <c r="AI4228" t="s">
        <v>960</v>
      </c>
      <c r="AJ4228">
        <v>28.257436999999999</v>
      </c>
      <c r="AK4228" t="s">
        <v>961</v>
      </c>
      <c r="AL4228">
        <v>-82.308626000000004</v>
      </c>
      <c r="AM4228">
        <v>100</v>
      </c>
      <c r="AN4228">
        <v>2300</v>
      </c>
      <c r="AO4228" t="s">
        <v>118</v>
      </c>
      <c r="AP4228">
        <v>-106</v>
      </c>
      <c r="AQ4228">
        <v>-94</v>
      </c>
      <c r="AR4228">
        <v>128</v>
      </c>
      <c r="AZ4228">
        <v>1200</v>
      </c>
      <c r="BA4228">
        <v>1</v>
      </c>
      <c r="BB4228" t="str">
        <f t="shared" si="1938"/>
        <v xml:space="preserve">N711JA  </v>
      </c>
      <c r="BC4228">
        <v>1</v>
      </c>
      <c r="BE4228">
        <v>0</v>
      </c>
      <c r="BF4228">
        <v>0</v>
      </c>
      <c r="BG4228">
        <v>0</v>
      </c>
      <c r="BH4228">
        <v>2300</v>
      </c>
      <c r="BI4228">
        <v>1</v>
      </c>
      <c r="BJ4228">
        <v>1</v>
      </c>
      <c r="BK4228">
        <v>0</v>
      </c>
      <c r="BL4228">
        <v>0</v>
      </c>
      <c r="BO4228">
        <v>0</v>
      </c>
      <c r="BP4228">
        <v>0</v>
      </c>
      <c r="BW4228" t="str">
        <f t="shared" si="1953"/>
        <v>14:48:57.633</v>
      </c>
      <c r="CJ4228">
        <v>0</v>
      </c>
      <c r="CK4228">
        <v>2</v>
      </c>
      <c r="CL4228">
        <v>0</v>
      </c>
      <c r="CM4228">
        <v>2</v>
      </c>
      <c r="CN4228">
        <v>0</v>
      </c>
      <c r="CO4228">
        <v>5</v>
      </c>
      <c r="CP4228" t="s">
        <v>119</v>
      </c>
      <c r="CQ4228">
        <v>62</v>
      </c>
      <c r="CR4228">
        <v>1</v>
      </c>
      <c r="CW4228">
        <v>13022396</v>
      </c>
      <c r="CY4228">
        <v>1</v>
      </c>
      <c r="CZ4228">
        <v>0</v>
      </c>
      <c r="DA4228">
        <v>1</v>
      </c>
      <c r="DB4228">
        <v>0</v>
      </c>
      <c r="DC4228">
        <v>0</v>
      </c>
      <c r="DD4228">
        <v>1</v>
      </c>
      <c r="DE4228">
        <v>0</v>
      </c>
      <c r="DF4228">
        <v>0</v>
      </c>
      <c r="DG4228">
        <v>0</v>
      </c>
      <c r="DH4228">
        <v>0</v>
      </c>
      <c r="DI4228">
        <v>0</v>
      </c>
    </row>
    <row r="4229" spans="1:113" x14ac:dyDescent="0.3">
      <c r="A4229" t="str">
        <f t="shared" si="1951"/>
        <v>05/12/2020 14:48:39.851</v>
      </c>
      <c r="C4229" t="str">
        <f t="shared" si="1937"/>
        <v>FFDFD3C0</v>
      </c>
      <c r="D4229" t="s">
        <v>126</v>
      </c>
      <c r="E4229">
        <v>6</v>
      </c>
      <c r="F4229">
        <v>1006</v>
      </c>
      <c r="G4229" t="s">
        <v>114</v>
      </c>
      <c r="J4229" t="s">
        <v>128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 t="shared" si="1952"/>
        <v>14:48:57.633</v>
      </c>
      <c r="T4229" t="str">
        <f t="shared" si="1954"/>
        <v>14:48:57.233</v>
      </c>
      <c r="U4229" t="str">
        <f t="shared" si="1955"/>
        <v>A9808D</v>
      </c>
      <c r="V4229">
        <v>0</v>
      </c>
      <c r="W4229">
        <v>0</v>
      </c>
      <c r="X4229">
        <v>1</v>
      </c>
      <c r="Z4229">
        <v>0</v>
      </c>
      <c r="AA4229">
        <v>9</v>
      </c>
      <c r="AB4229">
        <v>3</v>
      </c>
      <c r="AC4229">
        <v>0</v>
      </c>
      <c r="AD4229">
        <v>10</v>
      </c>
      <c r="AE4229">
        <v>0</v>
      </c>
      <c r="AF4229">
        <v>3</v>
      </c>
      <c r="AG4229">
        <v>2</v>
      </c>
      <c r="AH4229">
        <v>0</v>
      </c>
      <c r="AI4229" t="s">
        <v>960</v>
      </c>
      <c r="AJ4229">
        <v>28.257436999999999</v>
      </c>
      <c r="AK4229" t="s">
        <v>961</v>
      </c>
      <c r="AL4229">
        <v>-82.308626000000004</v>
      </c>
      <c r="AM4229">
        <v>100</v>
      </c>
      <c r="AN4229">
        <v>2300</v>
      </c>
      <c r="AO4229" t="s">
        <v>118</v>
      </c>
      <c r="AP4229">
        <v>-106</v>
      </c>
      <c r="AQ4229">
        <v>-94</v>
      </c>
      <c r="AR4229">
        <v>128</v>
      </c>
      <c r="AZ4229">
        <v>1200</v>
      </c>
      <c r="BA4229">
        <v>1</v>
      </c>
      <c r="BB4229" t="str">
        <f t="shared" si="1938"/>
        <v xml:space="preserve">N711JA  </v>
      </c>
      <c r="BC4229">
        <v>1</v>
      </c>
      <c r="BE4229">
        <v>0</v>
      </c>
      <c r="BF4229">
        <v>0</v>
      </c>
      <c r="BG4229">
        <v>0</v>
      </c>
      <c r="BH4229">
        <v>2300</v>
      </c>
      <c r="BI4229">
        <v>1</v>
      </c>
      <c r="BJ4229">
        <v>1</v>
      </c>
      <c r="BK4229">
        <v>0</v>
      </c>
      <c r="BL4229">
        <v>0</v>
      </c>
      <c r="BO4229">
        <v>0</v>
      </c>
      <c r="BP4229">
        <v>0</v>
      </c>
      <c r="BW4229" t="str">
        <f t="shared" si="1953"/>
        <v>14:48:57.633</v>
      </c>
      <c r="CJ4229">
        <v>0</v>
      </c>
      <c r="CK4229">
        <v>2</v>
      </c>
      <c r="CL4229">
        <v>0</v>
      </c>
      <c r="CM4229">
        <v>2</v>
      </c>
      <c r="CN4229">
        <v>0</v>
      </c>
      <c r="CO4229">
        <v>5</v>
      </c>
      <c r="CP4229" t="s">
        <v>119</v>
      </c>
      <c r="CQ4229">
        <v>358</v>
      </c>
      <c r="CR4229">
        <v>0</v>
      </c>
      <c r="CW4229">
        <v>5097674</v>
      </c>
      <c r="CY4229">
        <v>1</v>
      </c>
      <c r="CZ4229">
        <v>0</v>
      </c>
      <c r="DA4229">
        <v>1</v>
      </c>
      <c r="DB4229">
        <v>0</v>
      </c>
      <c r="DC4229">
        <v>0</v>
      </c>
      <c r="DD4229">
        <v>1</v>
      </c>
      <c r="DE4229">
        <v>0</v>
      </c>
      <c r="DF4229">
        <v>0</v>
      </c>
      <c r="DG4229">
        <v>0</v>
      </c>
      <c r="DH4229">
        <v>0</v>
      </c>
      <c r="DI4229">
        <v>0</v>
      </c>
    </row>
    <row r="4230" spans="1:113" x14ac:dyDescent="0.3">
      <c r="A4230" t="str">
        <f t="shared" si="1951"/>
        <v>05/12/2020 14:48:39.851</v>
      </c>
      <c r="C4230" t="str">
        <f t="shared" si="1937"/>
        <v>FFDFD3C0</v>
      </c>
      <c r="D4230" t="s">
        <v>138</v>
      </c>
      <c r="E4230">
        <v>3</v>
      </c>
      <c r="H4230">
        <v>9</v>
      </c>
      <c r="I4230" t="s">
        <v>140</v>
      </c>
      <c r="J4230" t="s">
        <v>136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 t="shared" si="1952"/>
        <v>14:48:57.633</v>
      </c>
      <c r="T4230" t="str">
        <f t="shared" si="1954"/>
        <v>14:48:57.233</v>
      </c>
      <c r="U4230" t="str">
        <f t="shared" si="1955"/>
        <v>A9808D</v>
      </c>
      <c r="V4230">
        <v>0</v>
      </c>
      <c r="W4230">
        <v>0</v>
      </c>
      <c r="X4230">
        <v>1</v>
      </c>
      <c r="Z4230">
        <v>0</v>
      </c>
      <c r="AA4230">
        <v>9</v>
      </c>
      <c r="AB4230">
        <v>3</v>
      </c>
      <c r="AC4230">
        <v>0</v>
      </c>
      <c r="AD4230">
        <v>10</v>
      </c>
      <c r="AE4230">
        <v>0</v>
      </c>
      <c r="AF4230">
        <v>3</v>
      </c>
      <c r="AG4230">
        <v>2</v>
      </c>
      <c r="AH4230">
        <v>0</v>
      </c>
      <c r="AI4230" t="s">
        <v>960</v>
      </c>
      <c r="AJ4230">
        <v>28.257436999999999</v>
      </c>
      <c r="AK4230" t="s">
        <v>961</v>
      </c>
      <c r="AL4230">
        <v>-82.308626000000004</v>
      </c>
      <c r="AM4230">
        <v>100</v>
      </c>
      <c r="AN4230">
        <v>2300</v>
      </c>
      <c r="AO4230" t="s">
        <v>118</v>
      </c>
      <c r="AP4230">
        <v>-106</v>
      </c>
      <c r="AQ4230">
        <v>-94</v>
      </c>
      <c r="AR4230">
        <v>128</v>
      </c>
      <c r="AZ4230">
        <v>1200</v>
      </c>
      <c r="BA4230">
        <v>1</v>
      </c>
      <c r="BB4230" t="str">
        <f t="shared" si="1938"/>
        <v xml:space="preserve">N711JA  </v>
      </c>
      <c r="BC4230">
        <v>1</v>
      </c>
      <c r="BE4230">
        <v>0</v>
      </c>
      <c r="BF4230">
        <v>0</v>
      </c>
      <c r="BG4230">
        <v>0</v>
      </c>
      <c r="BH4230">
        <v>2300</v>
      </c>
      <c r="BI4230">
        <v>1</v>
      </c>
      <c r="BJ4230">
        <v>1</v>
      </c>
      <c r="BK4230">
        <v>0</v>
      </c>
      <c r="BL4230">
        <v>0</v>
      </c>
      <c r="BO4230">
        <v>0</v>
      </c>
      <c r="BP4230">
        <v>0</v>
      </c>
      <c r="BW4230" t="str">
        <f t="shared" si="1953"/>
        <v>14:48:57.633</v>
      </c>
      <c r="CJ4230">
        <v>0</v>
      </c>
      <c r="CK4230">
        <v>2</v>
      </c>
      <c r="CL4230">
        <v>0</v>
      </c>
      <c r="CM4230">
        <v>2</v>
      </c>
      <c r="CN4230">
        <v>0</v>
      </c>
      <c r="CO4230">
        <v>5</v>
      </c>
      <c r="CP4230" t="s">
        <v>119</v>
      </c>
      <c r="CQ4230">
        <v>358</v>
      </c>
      <c r="CR4230">
        <v>0</v>
      </c>
      <c r="CW4230">
        <v>5097674</v>
      </c>
      <c r="CY4230">
        <v>1</v>
      </c>
      <c r="CZ4230">
        <v>0</v>
      </c>
      <c r="DA4230">
        <v>1</v>
      </c>
      <c r="DB4230">
        <v>0</v>
      </c>
      <c r="DC4230">
        <v>0</v>
      </c>
      <c r="DD4230">
        <v>1</v>
      </c>
      <c r="DE4230">
        <v>0</v>
      </c>
      <c r="DF4230">
        <v>0</v>
      </c>
      <c r="DG4230">
        <v>0</v>
      </c>
      <c r="DH4230">
        <v>0</v>
      </c>
      <c r="DI4230">
        <v>0</v>
      </c>
    </row>
    <row r="4231" spans="1:113" x14ac:dyDescent="0.3">
      <c r="A4231" t="str">
        <f t="shared" si="1951"/>
        <v>05/12/2020 14:48:39.851</v>
      </c>
      <c r="C4231" t="str">
        <f t="shared" si="1937"/>
        <v>FFDFD3C0</v>
      </c>
      <c r="D4231" t="s">
        <v>126</v>
      </c>
      <c r="E4231">
        <v>7</v>
      </c>
      <c r="F4231">
        <v>1007</v>
      </c>
      <c r="G4231" t="s">
        <v>127</v>
      </c>
      <c r="J4231" t="s">
        <v>128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 t="shared" si="1952"/>
        <v>14:48:57.633</v>
      </c>
      <c r="T4231" t="str">
        <f t="shared" si="1954"/>
        <v>14:48:57.233</v>
      </c>
      <c r="U4231" t="str">
        <f t="shared" si="1955"/>
        <v>A9808D</v>
      </c>
      <c r="V4231">
        <v>0</v>
      </c>
      <c r="W4231">
        <v>0</v>
      </c>
      <c r="X4231">
        <v>1</v>
      </c>
      <c r="Z4231">
        <v>0</v>
      </c>
      <c r="AA4231">
        <v>9</v>
      </c>
      <c r="AB4231">
        <v>3</v>
      </c>
      <c r="AC4231">
        <v>0</v>
      </c>
      <c r="AD4231">
        <v>10</v>
      </c>
      <c r="AE4231">
        <v>0</v>
      </c>
      <c r="AF4231">
        <v>3</v>
      </c>
      <c r="AG4231">
        <v>2</v>
      </c>
      <c r="AH4231">
        <v>0</v>
      </c>
      <c r="AI4231" t="s">
        <v>960</v>
      </c>
      <c r="AJ4231">
        <v>28.257436999999999</v>
      </c>
      <c r="AK4231" t="s">
        <v>961</v>
      </c>
      <c r="AL4231">
        <v>-82.308626000000004</v>
      </c>
      <c r="AM4231">
        <v>100</v>
      </c>
      <c r="AN4231">
        <v>2300</v>
      </c>
      <c r="AO4231" t="s">
        <v>118</v>
      </c>
      <c r="AP4231">
        <v>-106</v>
      </c>
      <c r="AQ4231">
        <v>-94</v>
      </c>
      <c r="AR4231">
        <v>128</v>
      </c>
      <c r="AZ4231">
        <v>1200</v>
      </c>
      <c r="BA4231">
        <v>1</v>
      </c>
      <c r="BB4231" t="str">
        <f t="shared" si="1938"/>
        <v xml:space="preserve">N711JA  </v>
      </c>
      <c r="BC4231">
        <v>1</v>
      </c>
      <c r="BE4231">
        <v>0</v>
      </c>
      <c r="BF4231">
        <v>0</v>
      </c>
      <c r="BG4231">
        <v>0</v>
      </c>
      <c r="BH4231">
        <v>2300</v>
      </c>
      <c r="BI4231">
        <v>1</v>
      </c>
      <c r="BJ4231">
        <v>1</v>
      </c>
      <c r="BK4231">
        <v>0</v>
      </c>
      <c r="BL4231">
        <v>0</v>
      </c>
      <c r="BO4231">
        <v>0</v>
      </c>
      <c r="BP4231">
        <v>0</v>
      </c>
      <c r="BW4231" t="str">
        <f t="shared" si="1953"/>
        <v>14:48:57.633</v>
      </c>
      <c r="CJ4231">
        <v>0</v>
      </c>
      <c r="CK4231">
        <v>2</v>
      </c>
      <c r="CL4231">
        <v>0</v>
      </c>
      <c r="CM4231">
        <v>2</v>
      </c>
      <c r="CN4231">
        <v>0</v>
      </c>
      <c r="CO4231">
        <v>5</v>
      </c>
      <c r="CP4231" t="s">
        <v>119</v>
      </c>
      <c r="CQ4231">
        <v>358</v>
      </c>
      <c r="CR4231">
        <v>0</v>
      </c>
      <c r="CW4231">
        <v>5097674</v>
      </c>
      <c r="CY4231">
        <v>1</v>
      </c>
      <c r="CZ4231">
        <v>0</v>
      </c>
      <c r="DA4231">
        <v>1</v>
      </c>
      <c r="DB4231">
        <v>0</v>
      </c>
      <c r="DC4231">
        <v>0</v>
      </c>
      <c r="DD4231">
        <v>1</v>
      </c>
      <c r="DE4231">
        <v>0</v>
      </c>
      <c r="DF4231">
        <v>0</v>
      </c>
      <c r="DG4231">
        <v>0</v>
      </c>
      <c r="DH4231">
        <v>0</v>
      </c>
      <c r="DI4231">
        <v>0</v>
      </c>
    </row>
    <row r="4232" spans="1:113" x14ac:dyDescent="0.3">
      <c r="A4232" t="str">
        <f t="shared" si="1951"/>
        <v>05/12/2020 14:48:39.851</v>
      </c>
      <c r="C4232" t="str">
        <f t="shared" si="1937"/>
        <v>FFDFD3C0</v>
      </c>
      <c r="D4232" t="s">
        <v>131</v>
      </c>
      <c r="E4232">
        <v>10</v>
      </c>
      <c r="F4232">
        <v>2010</v>
      </c>
      <c r="G4232" t="s">
        <v>132</v>
      </c>
      <c r="J4232" t="s">
        <v>133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 t="shared" si="1952"/>
        <v>14:48:57.633</v>
      </c>
      <c r="T4232" t="str">
        <f t="shared" si="1954"/>
        <v>14:48:57.233</v>
      </c>
      <c r="U4232" t="str">
        <f t="shared" si="1955"/>
        <v>A9808D</v>
      </c>
      <c r="V4232">
        <v>0</v>
      </c>
      <c r="W4232">
        <v>0</v>
      </c>
      <c r="X4232">
        <v>1</v>
      </c>
      <c r="Z4232">
        <v>0</v>
      </c>
      <c r="AA4232">
        <v>9</v>
      </c>
      <c r="AB4232">
        <v>3</v>
      </c>
      <c r="AC4232">
        <v>0</v>
      </c>
      <c r="AD4232">
        <v>10</v>
      </c>
      <c r="AE4232">
        <v>0</v>
      </c>
      <c r="AF4232">
        <v>3</v>
      </c>
      <c r="AG4232">
        <v>2</v>
      </c>
      <c r="AH4232">
        <v>0</v>
      </c>
      <c r="AI4232" t="s">
        <v>960</v>
      </c>
      <c r="AJ4232">
        <v>28.257436999999999</v>
      </c>
      <c r="AK4232" t="s">
        <v>961</v>
      </c>
      <c r="AL4232">
        <v>-82.308626000000004</v>
      </c>
      <c r="AM4232">
        <v>100</v>
      </c>
      <c r="AN4232">
        <v>2300</v>
      </c>
      <c r="AO4232" t="s">
        <v>118</v>
      </c>
      <c r="AP4232">
        <v>-106</v>
      </c>
      <c r="AQ4232">
        <v>-94</v>
      </c>
      <c r="AR4232">
        <v>128</v>
      </c>
      <c r="AZ4232">
        <v>1200</v>
      </c>
      <c r="BA4232">
        <v>1</v>
      </c>
      <c r="BB4232" t="str">
        <f t="shared" si="1938"/>
        <v xml:space="preserve">N711JA  </v>
      </c>
      <c r="BC4232">
        <v>1</v>
      </c>
      <c r="BE4232">
        <v>0</v>
      </c>
      <c r="BF4232">
        <v>0</v>
      </c>
      <c r="BG4232">
        <v>0</v>
      </c>
      <c r="BH4232">
        <v>2300</v>
      </c>
      <c r="BI4232">
        <v>1</v>
      </c>
      <c r="BJ4232">
        <v>1</v>
      </c>
      <c r="BK4232">
        <v>0</v>
      </c>
      <c r="BL4232">
        <v>0</v>
      </c>
      <c r="BO4232">
        <v>0</v>
      </c>
      <c r="BP4232">
        <v>0</v>
      </c>
      <c r="BW4232" t="str">
        <f t="shared" si="1953"/>
        <v>14:48:57.633</v>
      </c>
      <c r="CJ4232">
        <v>0</v>
      </c>
      <c r="CK4232">
        <v>2</v>
      </c>
      <c r="CL4232">
        <v>0</v>
      </c>
      <c r="CM4232">
        <v>2</v>
      </c>
      <c r="CN4232">
        <v>0</v>
      </c>
      <c r="CO4232">
        <v>5</v>
      </c>
      <c r="CP4232" t="s">
        <v>119</v>
      </c>
      <c r="CQ4232">
        <v>358</v>
      </c>
      <c r="CR4232">
        <v>0</v>
      </c>
      <c r="CW4232">
        <v>5097674</v>
      </c>
      <c r="CY4232">
        <v>1</v>
      </c>
      <c r="CZ4232">
        <v>0</v>
      </c>
      <c r="DA4232">
        <v>1</v>
      </c>
      <c r="DB4232">
        <v>0</v>
      </c>
      <c r="DC4232">
        <v>0</v>
      </c>
      <c r="DD4232">
        <v>1</v>
      </c>
      <c r="DE4232">
        <v>0</v>
      </c>
      <c r="DF4232">
        <v>0</v>
      </c>
      <c r="DG4232">
        <v>0</v>
      </c>
      <c r="DH4232">
        <v>0</v>
      </c>
      <c r="DI4232">
        <v>0</v>
      </c>
    </row>
    <row r="4233" spans="1:113" x14ac:dyDescent="0.3">
      <c r="A4233" t="str">
        <f t="shared" si="1951"/>
        <v>05/12/2020 14:48:39.851</v>
      </c>
      <c r="C4233" t="str">
        <f t="shared" si="1937"/>
        <v>FFDFD3C0</v>
      </c>
      <c r="D4233" t="s">
        <v>131</v>
      </c>
      <c r="E4233">
        <v>12</v>
      </c>
      <c r="F4233">
        <v>2012</v>
      </c>
      <c r="G4233" t="s">
        <v>137</v>
      </c>
      <c r="J4233" t="s">
        <v>133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 t="shared" si="1952"/>
        <v>14:48:57.633</v>
      </c>
      <c r="T4233" t="str">
        <f>"14:48:56.233"</f>
        <v>14:48:56.233</v>
      </c>
      <c r="U4233" t="str">
        <f t="shared" si="1955"/>
        <v>A9808D</v>
      </c>
      <c r="V4233">
        <v>0</v>
      </c>
      <c r="W4233">
        <v>0</v>
      </c>
      <c r="X4233">
        <v>1</v>
      </c>
      <c r="Z4233">
        <v>0</v>
      </c>
      <c r="AA4233">
        <v>9</v>
      </c>
      <c r="AB4233">
        <v>3</v>
      </c>
      <c r="AC4233">
        <v>0</v>
      </c>
      <c r="AD4233">
        <v>10</v>
      </c>
      <c r="AE4233">
        <v>0</v>
      </c>
      <c r="AF4233">
        <v>3</v>
      </c>
      <c r="AG4233">
        <v>2</v>
      </c>
      <c r="AH4233">
        <v>0</v>
      </c>
      <c r="AI4233" t="s">
        <v>960</v>
      </c>
      <c r="AJ4233">
        <v>28.257436999999999</v>
      </c>
      <c r="AK4233" t="s">
        <v>961</v>
      </c>
      <c r="AL4233">
        <v>-82.308626000000004</v>
      </c>
      <c r="AM4233">
        <v>100</v>
      </c>
      <c r="AN4233">
        <v>2300</v>
      </c>
      <c r="AO4233" t="s">
        <v>118</v>
      </c>
      <c r="AP4233">
        <v>-107</v>
      </c>
      <c r="AQ4233">
        <v>-93</v>
      </c>
      <c r="AR4233">
        <v>64</v>
      </c>
      <c r="AZ4233">
        <v>1200</v>
      </c>
      <c r="BA4233">
        <v>1</v>
      </c>
      <c r="BB4233" t="str">
        <f t="shared" si="1938"/>
        <v xml:space="preserve">N711JA  </v>
      </c>
      <c r="BC4233">
        <v>1</v>
      </c>
      <c r="BE4233">
        <v>0</v>
      </c>
      <c r="BF4233">
        <v>0</v>
      </c>
      <c r="BG4233">
        <v>0</v>
      </c>
      <c r="BH4233">
        <v>2300</v>
      </c>
      <c r="BI4233">
        <v>1</v>
      </c>
      <c r="BJ4233">
        <v>1</v>
      </c>
      <c r="BK4233">
        <v>0</v>
      </c>
      <c r="BL4233">
        <v>0</v>
      </c>
      <c r="BO4233">
        <v>0</v>
      </c>
      <c r="BP4233">
        <v>0</v>
      </c>
      <c r="BW4233" t="str">
        <f t="shared" si="1953"/>
        <v>14:48:57.633</v>
      </c>
      <c r="CJ4233">
        <v>0</v>
      </c>
      <c r="CK4233">
        <v>2</v>
      </c>
      <c r="CL4233">
        <v>0</v>
      </c>
      <c r="CM4233">
        <v>2</v>
      </c>
      <c r="CN4233">
        <v>0</v>
      </c>
      <c r="CO4233">
        <v>6</v>
      </c>
      <c r="CP4233" t="s">
        <v>119</v>
      </c>
      <c r="CQ4233">
        <v>56</v>
      </c>
      <c r="CR4233">
        <v>2</v>
      </c>
      <c r="CW4233">
        <v>5124692</v>
      </c>
      <c r="CY4233">
        <v>1</v>
      </c>
      <c r="CZ4233">
        <v>0</v>
      </c>
      <c r="DA4233">
        <v>1</v>
      </c>
      <c r="DB4233">
        <v>0</v>
      </c>
      <c r="DC4233">
        <v>0</v>
      </c>
      <c r="DD4233">
        <v>1</v>
      </c>
      <c r="DE4233">
        <v>0</v>
      </c>
      <c r="DF4233">
        <v>0</v>
      </c>
      <c r="DG4233">
        <v>0</v>
      </c>
      <c r="DH4233">
        <v>0</v>
      </c>
      <c r="DI4233">
        <v>0</v>
      </c>
    </row>
    <row r="4234" spans="1:113" x14ac:dyDescent="0.3">
      <c r="A4234" t="str">
        <f t="shared" ref="A4234:A4242" si="1956">"05/12/2020 14:48:40.914"</f>
        <v>05/12/2020 14:48:40.914</v>
      </c>
      <c r="C4234" t="str">
        <f t="shared" si="1937"/>
        <v>FFDFD3C0</v>
      </c>
      <c r="D4234" t="s">
        <v>138</v>
      </c>
      <c r="E4234">
        <v>3</v>
      </c>
      <c r="H4234">
        <v>9</v>
      </c>
      <c r="I4234" t="s">
        <v>140</v>
      </c>
      <c r="J4234" t="s">
        <v>136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 t="shared" ref="S4234:T4240" si="1957">"14:48:58.758"</f>
        <v>14:48:58.758</v>
      </c>
      <c r="T4234" t="str">
        <f t="shared" si="1957"/>
        <v>14:48:58.758</v>
      </c>
      <c r="U4234" t="str">
        <f t="shared" si="1955"/>
        <v>A9808D</v>
      </c>
      <c r="V4234">
        <v>0</v>
      </c>
      <c r="W4234">
        <v>0</v>
      </c>
      <c r="X4234">
        <v>1</v>
      </c>
      <c r="Z4234">
        <v>0</v>
      </c>
      <c r="AA4234">
        <v>9</v>
      </c>
      <c r="AB4234">
        <v>3</v>
      </c>
      <c r="AC4234">
        <v>0</v>
      </c>
      <c r="AD4234">
        <v>10</v>
      </c>
      <c r="AE4234">
        <v>0</v>
      </c>
      <c r="AF4234">
        <v>3</v>
      </c>
      <c r="AG4234">
        <v>2</v>
      </c>
      <c r="AH4234">
        <v>0</v>
      </c>
      <c r="AI4234" t="s">
        <v>962</v>
      </c>
      <c r="AJ4234">
        <v>28.256879000000001</v>
      </c>
      <c r="AK4234" t="s">
        <v>963</v>
      </c>
      <c r="AL4234">
        <v>-82.309247999999997</v>
      </c>
      <c r="AM4234">
        <v>100</v>
      </c>
      <c r="AN4234">
        <v>2300</v>
      </c>
      <c r="AO4234" t="s">
        <v>118</v>
      </c>
      <c r="AP4234">
        <v>-105</v>
      </c>
      <c r="AQ4234">
        <v>-95</v>
      </c>
      <c r="AR4234">
        <v>128</v>
      </c>
      <c r="AZ4234">
        <v>1200</v>
      </c>
      <c r="BA4234">
        <v>1</v>
      </c>
      <c r="BB4234" t="str">
        <f t="shared" si="1938"/>
        <v xml:space="preserve">N711JA  </v>
      </c>
      <c r="BC4234">
        <v>1</v>
      </c>
      <c r="BE4234">
        <v>0</v>
      </c>
      <c r="BF4234">
        <v>0</v>
      </c>
      <c r="BG4234">
        <v>0</v>
      </c>
      <c r="BH4234">
        <v>2300</v>
      </c>
      <c r="BI4234">
        <v>1</v>
      </c>
      <c r="BJ4234">
        <v>1</v>
      </c>
      <c r="BK4234">
        <v>0</v>
      </c>
      <c r="BL4234">
        <v>0</v>
      </c>
      <c r="BO4234">
        <v>0</v>
      </c>
      <c r="BP4234">
        <v>0</v>
      </c>
      <c r="BW4234" t="str">
        <f t="shared" ref="BW4234:BW4242" si="1958">"14:48:58.763"</f>
        <v>14:48:58.763</v>
      </c>
      <c r="CJ4234">
        <v>0</v>
      </c>
      <c r="CK4234">
        <v>2</v>
      </c>
      <c r="CL4234">
        <v>0</v>
      </c>
      <c r="CM4234">
        <v>2</v>
      </c>
      <c r="CN4234">
        <v>0</v>
      </c>
      <c r="CO4234">
        <v>6</v>
      </c>
      <c r="CP4234" t="s">
        <v>119</v>
      </c>
      <c r="CQ4234">
        <v>56</v>
      </c>
      <c r="CR4234">
        <v>2</v>
      </c>
      <c r="CW4234">
        <v>5126063</v>
      </c>
      <c r="CY4234">
        <v>1</v>
      </c>
      <c r="CZ4234">
        <v>0</v>
      </c>
      <c r="DA4234">
        <v>0</v>
      </c>
      <c r="DB4234">
        <v>0</v>
      </c>
      <c r="DC4234">
        <v>0</v>
      </c>
      <c r="DD4234">
        <v>1</v>
      </c>
      <c r="DE4234">
        <v>0</v>
      </c>
      <c r="DF4234">
        <v>0</v>
      </c>
      <c r="DG4234">
        <v>0</v>
      </c>
      <c r="DH4234">
        <v>0</v>
      </c>
      <c r="DI4234">
        <v>0</v>
      </c>
    </row>
    <row r="4235" spans="1:113" x14ac:dyDescent="0.3">
      <c r="A4235" t="str">
        <f t="shared" si="1956"/>
        <v>05/12/2020 14:48:40.914</v>
      </c>
      <c r="C4235" t="str">
        <f t="shared" si="1937"/>
        <v>FFDFD3C0</v>
      </c>
      <c r="D4235" t="s">
        <v>138</v>
      </c>
      <c r="E4235">
        <v>2</v>
      </c>
      <c r="H4235">
        <v>8</v>
      </c>
      <c r="I4235" t="s">
        <v>139</v>
      </c>
      <c r="J4235" t="s">
        <v>136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 t="shared" si="1957"/>
        <v>14:48:58.758</v>
      </c>
      <c r="T4235" t="str">
        <f t="shared" si="1957"/>
        <v>14:48:58.758</v>
      </c>
      <c r="U4235" t="str">
        <f t="shared" si="1955"/>
        <v>A9808D</v>
      </c>
      <c r="V4235">
        <v>0</v>
      </c>
      <c r="W4235">
        <v>0</v>
      </c>
      <c r="X4235">
        <v>1</v>
      </c>
      <c r="Z4235">
        <v>0</v>
      </c>
      <c r="AA4235">
        <v>9</v>
      </c>
      <c r="AB4235">
        <v>3</v>
      </c>
      <c r="AC4235">
        <v>0</v>
      </c>
      <c r="AD4235">
        <v>10</v>
      </c>
      <c r="AE4235">
        <v>0</v>
      </c>
      <c r="AF4235">
        <v>3</v>
      </c>
      <c r="AG4235">
        <v>2</v>
      </c>
      <c r="AH4235">
        <v>0</v>
      </c>
      <c r="AI4235" t="s">
        <v>962</v>
      </c>
      <c r="AJ4235">
        <v>28.256879000000001</v>
      </c>
      <c r="AK4235" t="s">
        <v>963</v>
      </c>
      <c r="AL4235">
        <v>-82.309247999999997</v>
      </c>
      <c r="AM4235">
        <v>100</v>
      </c>
      <c r="AN4235">
        <v>2300</v>
      </c>
      <c r="AO4235" t="s">
        <v>118</v>
      </c>
      <c r="AP4235">
        <v>-105</v>
      </c>
      <c r="AQ4235">
        <v>-95</v>
      </c>
      <c r="AR4235">
        <v>128</v>
      </c>
      <c r="AZ4235">
        <v>1200</v>
      </c>
      <c r="BA4235">
        <v>1</v>
      </c>
      <c r="BB4235" t="str">
        <f t="shared" si="1938"/>
        <v xml:space="preserve">N711JA  </v>
      </c>
      <c r="BC4235">
        <v>1</v>
      </c>
      <c r="BE4235">
        <v>0</v>
      </c>
      <c r="BF4235">
        <v>0</v>
      </c>
      <c r="BG4235">
        <v>0</v>
      </c>
      <c r="BH4235">
        <v>2300</v>
      </c>
      <c r="BI4235">
        <v>1</v>
      </c>
      <c r="BJ4235">
        <v>1</v>
      </c>
      <c r="BK4235">
        <v>0</v>
      </c>
      <c r="BL4235">
        <v>0</v>
      </c>
      <c r="BO4235">
        <v>0</v>
      </c>
      <c r="BP4235">
        <v>0</v>
      </c>
      <c r="BW4235" t="str">
        <f t="shared" si="1958"/>
        <v>14:48:58.763</v>
      </c>
      <c r="CJ4235">
        <v>0</v>
      </c>
      <c r="CK4235">
        <v>2</v>
      </c>
      <c r="CL4235">
        <v>0</v>
      </c>
      <c r="CM4235">
        <v>2</v>
      </c>
      <c r="CN4235">
        <v>0</v>
      </c>
      <c r="CO4235">
        <v>6</v>
      </c>
      <c r="CP4235" t="s">
        <v>119</v>
      </c>
      <c r="CQ4235">
        <v>56</v>
      </c>
      <c r="CR4235">
        <v>2</v>
      </c>
      <c r="CW4235">
        <v>5126063</v>
      </c>
      <c r="CY4235">
        <v>1</v>
      </c>
      <c r="CZ4235">
        <v>0</v>
      </c>
      <c r="DA4235">
        <v>1</v>
      </c>
      <c r="DB4235">
        <v>0</v>
      </c>
      <c r="DC4235">
        <v>0</v>
      </c>
      <c r="DD4235">
        <v>1</v>
      </c>
      <c r="DE4235">
        <v>0</v>
      </c>
      <c r="DF4235">
        <v>0</v>
      </c>
      <c r="DG4235">
        <v>0</v>
      </c>
      <c r="DH4235">
        <v>0</v>
      </c>
      <c r="DI4235">
        <v>0</v>
      </c>
    </row>
    <row r="4236" spans="1:113" x14ac:dyDescent="0.3">
      <c r="A4236" t="str">
        <f t="shared" si="1956"/>
        <v>05/12/2020 14:48:40.914</v>
      </c>
      <c r="C4236" t="str">
        <f t="shared" si="1937"/>
        <v>FFDFD3C0</v>
      </c>
      <c r="D4236" t="s">
        <v>113</v>
      </c>
      <c r="E4236">
        <v>3</v>
      </c>
      <c r="H4236">
        <v>164</v>
      </c>
      <c r="I4236" t="s">
        <v>114</v>
      </c>
      <c r="J4236" t="s">
        <v>115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 t="shared" si="1957"/>
        <v>14:48:58.758</v>
      </c>
      <c r="T4236" t="str">
        <f t="shared" si="1957"/>
        <v>14:48:58.758</v>
      </c>
      <c r="U4236" t="str">
        <f t="shared" si="1955"/>
        <v>A9808D</v>
      </c>
      <c r="V4236">
        <v>0</v>
      </c>
      <c r="W4236">
        <v>0</v>
      </c>
      <c r="X4236">
        <v>1</v>
      </c>
      <c r="Z4236">
        <v>0</v>
      </c>
      <c r="AA4236">
        <v>9</v>
      </c>
      <c r="AB4236">
        <v>3</v>
      </c>
      <c r="AC4236">
        <v>0</v>
      </c>
      <c r="AD4236">
        <v>10</v>
      </c>
      <c r="AE4236">
        <v>0</v>
      </c>
      <c r="AF4236">
        <v>3</v>
      </c>
      <c r="AG4236">
        <v>2</v>
      </c>
      <c r="AH4236">
        <v>0</v>
      </c>
      <c r="AI4236" t="s">
        <v>962</v>
      </c>
      <c r="AJ4236">
        <v>28.256879000000001</v>
      </c>
      <c r="AK4236" t="s">
        <v>963</v>
      </c>
      <c r="AL4236">
        <v>-82.309247999999997</v>
      </c>
      <c r="AM4236">
        <v>100</v>
      </c>
      <c r="AN4236">
        <v>2300</v>
      </c>
      <c r="AO4236" t="s">
        <v>118</v>
      </c>
      <c r="AP4236">
        <v>-105</v>
      </c>
      <c r="AQ4236">
        <v>-95</v>
      </c>
      <c r="AR4236">
        <v>128</v>
      </c>
      <c r="AZ4236">
        <v>1200</v>
      </c>
      <c r="BA4236">
        <v>1</v>
      </c>
      <c r="BB4236" t="str">
        <f t="shared" si="1938"/>
        <v xml:space="preserve">N711JA  </v>
      </c>
      <c r="BC4236">
        <v>1</v>
      </c>
      <c r="BE4236">
        <v>0</v>
      </c>
      <c r="BF4236">
        <v>0</v>
      </c>
      <c r="BG4236">
        <v>0</v>
      </c>
      <c r="BH4236">
        <v>2300</v>
      </c>
      <c r="BI4236">
        <v>1</v>
      </c>
      <c r="BJ4236">
        <v>1</v>
      </c>
      <c r="BK4236">
        <v>0</v>
      </c>
      <c r="BL4236">
        <v>0</v>
      </c>
      <c r="BO4236">
        <v>0</v>
      </c>
      <c r="BP4236">
        <v>0</v>
      </c>
      <c r="BW4236" t="str">
        <f t="shared" si="1958"/>
        <v>14:48:58.763</v>
      </c>
      <c r="CJ4236">
        <v>0</v>
      </c>
      <c r="CK4236">
        <v>2</v>
      </c>
      <c r="CL4236">
        <v>0</v>
      </c>
      <c r="CM4236">
        <v>2</v>
      </c>
      <c r="CN4236">
        <v>0</v>
      </c>
      <c r="CO4236">
        <v>6</v>
      </c>
      <c r="CP4236" t="s">
        <v>119</v>
      </c>
      <c r="CQ4236">
        <v>56</v>
      </c>
      <c r="CR4236">
        <v>2</v>
      </c>
      <c r="CW4236">
        <v>5126063</v>
      </c>
      <c r="CY4236">
        <v>1</v>
      </c>
      <c r="CZ4236">
        <v>0</v>
      </c>
      <c r="DA4236">
        <v>1</v>
      </c>
      <c r="DB4236">
        <v>0</v>
      </c>
      <c r="DC4236">
        <v>0</v>
      </c>
      <c r="DD4236">
        <v>1</v>
      </c>
      <c r="DE4236">
        <v>0</v>
      </c>
      <c r="DF4236">
        <v>0</v>
      </c>
      <c r="DG4236">
        <v>0</v>
      </c>
      <c r="DH4236">
        <v>0</v>
      </c>
      <c r="DI4236">
        <v>0</v>
      </c>
    </row>
    <row r="4237" spans="1:113" x14ac:dyDescent="0.3">
      <c r="A4237" t="str">
        <f t="shared" si="1956"/>
        <v>05/12/2020 14:48:40.914</v>
      </c>
      <c r="C4237" t="str">
        <f t="shared" si="1937"/>
        <v>FFDFD3C0</v>
      </c>
      <c r="D4237" t="s">
        <v>126</v>
      </c>
      <c r="E4237">
        <v>6</v>
      </c>
      <c r="F4237">
        <v>1006</v>
      </c>
      <c r="G4237" t="s">
        <v>114</v>
      </c>
      <c r="J4237" t="s">
        <v>128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 t="shared" si="1957"/>
        <v>14:48:58.758</v>
      </c>
      <c r="T4237" t="str">
        <f t="shared" si="1957"/>
        <v>14:48:58.758</v>
      </c>
      <c r="U4237" t="str">
        <f t="shared" si="1955"/>
        <v>A9808D</v>
      </c>
      <c r="V4237">
        <v>0</v>
      </c>
      <c r="W4237">
        <v>0</v>
      </c>
      <c r="X4237">
        <v>1</v>
      </c>
      <c r="Z4237">
        <v>0</v>
      </c>
      <c r="AA4237">
        <v>9</v>
      </c>
      <c r="AB4237">
        <v>3</v>
      </c>
      <c r="AC4237">
        <v>0</v>
      </c>
      <c r="AD4237">
        <v>10</v>
      </c>
      <c r="AE4237">
        <v>0</v>
      </c>
      <c r="AF4237">
        <v>3</v>
      </c>
      <c r="AG4237">
        <v>2</v>
      </c>
      <c r="AH4237">
        <v>0</v>
      </c>
      <c r="AI4237" t="s">
        <v>962</v>
      </c>
      <c r="AJ4237">
        <v>28.256879000000001</v>
      </c>
      <c r="AK4237" t="s">
        <v>963</v>
      </c>
      <c r="AL4237">
        <v>-82.309247999999997</v>
      </c>
      <c r="AM4237">
        <v>100</v>
      </c>
      <c r="AN4237">
        <v>2300</v>
      </c>
      <c r="AO4237" t="s">
        <v>118</v>
      </c>
      <c r="AP4237">
        <v>-105</v>
      </c>
      <c r="AQ4237">
        <v>-95</v>
      </c>
      <c r="AR4237">
        <v>128</v>
      </c>
      <c r="AZ4237">
        <v>1200</v>
      </c>
      <c r="BA4237">
        <v>1</v>
      </c>
      <c r="BB4237" t="str">
        <f t="shared" si="1938"/>
        <v xml:space="preserve">N711JA  </v>
      </c>
      <c r="BC4237">
        <v>1</v>
      </c>
      <c r="BE4237">
        <v>0</v>
      </c>
      <c r="BF4237">
        <v>0</v>
      </c>
      <c r="BG4237">
        <v>0</v>
      </c>
      <c r="BH4237">
        <v>2300</v>
      </c>
      <c r="BI4237">
        <v>1</v>
      </c>
      <c r="BJ4237">
        <v>1</v>
      </c>
      <c r="BK4237">
        <v>0</v>
      </c>
      <c r="BL4237">
        <v>0</v>
      </c>
      <c r="BO4237">
        <v>0</v>
      </c>
      <c r="BP4237">
        <v>0</v>
      </c>
      <c r="BW4237" t="str">
        <f t="shared" si="1958"/>
        <v>14:48:58.763</v>
      </c>
      <c r="CJ4237">
        <v>0</v>
      </c>
      <c r="CK4237">
        <v>2</v>
      </c>
      <c r="CL4237">
        <v>0</v>
      </c>
      <c r="CM4237">
        <v>2</v>
      </c>
      <c r="CN4237">
        <v>0</v>
      </c>
      <c r="CO4237">
        <v>6</v>
      </c>
      <c r="CP4237" t="s">
        <v>119</v>
      </c>
      <c r="CQ4237">
        <v>56</v>
      </c>
      <c r="CR4237">
        <v>2</v>
      </c>
      <c r="CW4237">
        <v>5126063</v>
      </c>
      <c r="CY4237">
        <v>1</v>
      </c>
      <c r="CZ4237">
        <v>0</v>
      </c>
      <c r="DA4237">
        <v>1</v>
      </c>
      <c r="DB4237">
        <v>0</v>
      </c>
      <c r="DC4237">
        <v>0</v>
      </c>
      <c r="DD4237">
        <v>1</v>
      </c>
      <c r="DE4237">
        <v>0</v>
      </c>
      <c r="DF4237">
        <v>0</v>
      </c>
      <c r="DG4237">
        <v>0</v>
      </c>
      <c r="DH4237">
        <v>0</v>
      </c>
      <c r="DI4237">
        <v>0</v>
      </c>
    </row>
    <row r="4238" spans="1:113" x14ac:dyDescent="0.3">
      <c r="A4238" t="str">
        <f t="shared" si="1956"/>
        <v>05/12/2020 14:48:40.914</v>
      </c>
      <c r="C4238" t="str">
        <f t="shared" si="1937"/>
        <v>FFDFD3C0</v>
      </c>
      <c r="D4238" t="s">
        <v>131</v>
      </c>
      <c r="E4238">
        <v>18</v>
      </c>
      <c r="F4238">
        <v>2018</v>
      </c>
      <c r="G4238" t="s">
        <v>161</v>
      </c>
      <c r="J4238" t="s">
        <v>133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 t="shared" si="1957"/>
        <v>14:48:58.758</v>
      </c>
      <c r="T4238" t="str">
        <f t="shared" si="1957"/>
        <v>14:48:58.758</v>
      </c>
      <c r="U4238" t="str">
        <f t="shared" si="1955"/>
        <v>A9808D</v>
      </c>
      <c r="V4238">
        <v>0</v>
      </c>
      <c r="W4238">
        <v>0</v>
      </c>
      <c r="X4238">
        <v>1</v>
      </c>
      <c r="Z4238">
        <v>0</v>
      </c>
      <c r="AA4238">
        <v>9</v>
      </c>
      <c r="AB4238">
        <v>3</v>
      </c>
      <c r="AC4238">
        <v>0</v>
      </c>
      <c r="AD4238">
        <v>10</v>
      </c>
      <c r="AE4238">
        <v>0</v>
      </c>
      <c r="AF4238">
        <v>3</v>
      </c>
      <c r="AG4238">
        <v>2</v>
      </c>
      <c r="AH4238">
        <v>0</v>
      </c>
      <c r="AI4238" t="s">
        <v>962</v>
      </c>
      <c r="AJ4238">
        <v>28.256879000000001</v>
      </c>
      <c r="AK4238" t="s">
        <v>963</v>
      </c>
      <c r="AL4238">
        <v>-82.309247999999997</v>
      </c>
      <c r="AM4238">
        <v>100</v>
      </c>
      <c r="AN4238">
        <v>2300</v>
      </c>
      <c r="AO4238" t="s">
        <v>118</v>
      </c>
      <c r="AP4238">
        <v>-105</v>
      </c>
      <c r="AQ4238">
        <v>-95</v>
      </c>
      <c r="AR4238">
        <v>128</v>
      </c>
      <c r="AZ4238">
        <v>1200</v>
      </c>
      <c r="BA4238">
        <v>1</v>
      </c>
      <c r="BB4238" t="str">
        <f t="shared" si="1938"/>
        <v xml:space="preserve">N711JA  </v>
      </c>
      <c r="BC4238">
        <v>1</v>
      </c>
      <c r="BE4238">
        <v>0</v>
      </c>
      <c r="BF4238">
        <v>0</v>
      </c>
      <c r="BG4238">
        <v>0</v>
      </c>
      <c r="BH4238">
        <v>2300</v>
      </c>
      <c r="BI4238">
        <v>1</v>
      </c>
      <c r="BJ4238">
        <v>1</v>
      </c>
      <c r="BK4238">
        <v>0</v>
      </c>
      <c r="BL4238">
        <v>0</v>
      </c>
      <c r="BO4238">
        <v>0</v>
      </c>
      <c r="BP4238">
        <v>0</v>
      </c>
      <c r="BW4238" t="str">
        <f t="shared" si="1958"/>
        <v>14:48:58.763</v>
      </c>
      <c r="CJ4238">
        <v>0</v>
      </c>
      <c r="CK4238">
        <v>2</v>
      </c>
      <c r="CL4238">
        <v>0</v>
      </c>
      <c r="CM4238">
        <v>2</v>
      </c>
      <c r="CN4238">
        <v>0</v>
      </c>
      <c r="CO4238">
        <v>6</v>
      </c>
      <c r="CP4238" t="s">
        <v>119</v>
      </c>
      <c r="CQ4238">
        <v>56</v>
      </c>
      <c r="CR4238">
        <v>2</v>
      </c>
      <c r="CW4238">
        <v>5126063</v>
      </c>
      <c r="CY4238">
        <v>1</v>
      </c>
      <c r="CZ4238">
        <v>0</v>
      </c>
      <c r="DA4238">
        <v>1</v>
      </c>
      <c r="DB4238">
        <v>0</v>
      </c>
      <c r="DC4238">
        <v>0</v>
      </c>
      <c r="DD4238">
        <v>1</v>
      </c>
      <c r="DE4238">
        <v>0</v>
      </c>
      <c r="DF4238">
        <v>0</v>
      </c>
      <c r="DG4238">
        <v>0</v>
      </c>
      <c r="DH4238">
        <v>0</v>
      </c>
      <c r="DI4238">
        <v>0</v>
      </c>
    </row>
    <row r="4239" spans="1:113" x14ac:dyDescent="0.3">
      <c r="A4239" t="str">
        <f t="shared" si="1956"/>
        <v>05/12/2020 14:48:40.914</v>
      </c>
      <c r="C4239" t="str">
        <f t="shared" si="1937"/>
        <v>FFDFD3C0</v>
      </c>
      <c r="D4239" t="s">
        <v>126</v>
      </c>
      <c r="E4239">
        <v>7</v>
      </c>
      <c r="F4239">
        <v>1007</v>
      </c>
      <c r="G4239" t="s">
        <v>127</v>
      </c>
      <c r="J4239" t="s">
        <v>128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 t="shared" si="1957"/>
        <v>14:48:58.758</v>
      </c>
      <c r="T4239" t="str">
        <f t="shared" si="1957"/>
        <v>14:48:58.758</v>
      </c>
      <c r="U4239" t="str">
        <f t="shared" si="1955"/>
        <v>A9808D</v>
      </c>
      <c r="V4239">
        <v>0</v>
      </c>
      <c r="W4239">
        <v>0</v>
      </c>
      <c r="X4239">
        <v>1</v>
      </c>
      <c r="Z4239">
        <v>0</v>
      </c>
      <c r="AA4239">
        <v>9</v>
      </c>
      <c r="AB4239">
        <v>3</v>
      </c>
      <c r="AC4239">
        <v>0</v>
      </c>
      <c r="AD4239">
        <v>10</v>
      </c>
      <c r="AE4239">
        <v>0</v>
      </c>
      <c r="AF4239">
        <v>3</v>
      </c>
      <c r="AG4239">
        <v>2</v>
      </c>
      <c r="AH4239">
        <v>0</v>
      </c>
      <c r="AI4239" t="s">
        <v>962</v>
      </c>
      <c r="AJ4239">
        <v>28.256879000000001</v>
      </c>
      <c r="AK4239" t="s">
        <v>963</v>
      </c>
      <c r="AL4239">
        <v>-82.309247999999997</v>
      </c>
      <c r="AM4239">
        <v>100</v>
      </c>
      <c r="AN4239">
        <v>2300</v>
      </c>
      <c r="AO4239" t="s">
        <v>118</v>
      </c>
      <c r="AP4239">
        <v>-105</v>
      </c>
      <c r="AQ4239">
        <v>-95</v>
      </c>
      <c r="AR4239">
        <v>128</v>
      </c>
      <c r="AZ4239">
        <v>1200</v>
      </c>
      <c r="BA4239">
        <v>1</v>
      </c>
      <c r="BB4239" t="str">
        <f t="shared" si="1938"/>
        <v xml:space="preserve">N711JA  </v>
      </c>
      <c r="BC4239">
        <v>1</v>
      </c>
      <c r="BE4239">
        <v>0</v>
      </c>
      <c r="BF4239">
        <v>0</v>
      </c>
      <c r="BG4239">
        <v>0</v>
      </c>
      <c r="BH4239">
        <v>2300</v>
      </c>
      <c r="BI4239">
        <v>1</v>
      </c>
      <c r="BJ4239">
        <v>1</v>
      </c>
      <c r="BK4239">
        <v>0</v>
      </c>
      <c r="BL4239">
        <v>0</v>
      </c>
      <c r="BO4239">
        <v>0</v>
      </c>
      <c r="BP4239">
        <v>0</v>
      </c>
      <c r="BW4239" t="str">
        <f t="shared" si="1958"/>
        <v>14:48:58.763</v>
      </c>
      <c r="CJ4239">
        <v>0</v>
      </c>
      <c r="CK4239">
        <v>2</v>
      </c>
      <c r="CL4239">
        <v>0</v>
      </c>
      <c r="CM4239">
        <v>2</v>
      </c>
      <c r="CN4239">
        <v>0</v>
      </c>
      <c r="CO4239">
        <v>6</v>
      </c>
      <c r="CP4239" t="s">
        <v>119</v>
      </c>
      <c r="CQ4239">
        <v>56</v>
      </c>
      <c r="CR4239">
        <v>2</v>
      </c>
      <c r="CW4239">
        <v>5126063</v>
      </c>
      <c r="CY4239">
        <v>1</v>
      </c>
      <c r="CZ4239">
        <v>0</v>
      </c>
      <c r="DA4239">
        <v>1</v>
      </c>
      <c r="DB4239">
        <v>0</v>
      </c>
      <c r="DC4239">
        <v>0</v>
      </c>
      <c r="DD4239">
        <v>1</v>
      </c>
      <c r="DE4239">
        <v>0</v>
      </c>
      <c r="DF4239">
        <v>0</v>
      </c>
      <c r="DG4239">
        <v>0</v>
      </c>
      <c r="DH4239">
        <v>0</v>
      </c>
      <c r="DI4239">
        <v>0</v>
      </c>
    </row>
    <row r="4240" spans="1:113" x14ac:dyDescent="0.3">
      <c r="A4240" t="str">
        <f t="shared" si="1956"/>
        <v>05/12/2020 14:48:40.914</v>
      </c>
      <c r="C4240" t="str">
        <f t="shared" si="1937"/>
        <v>FFDFD3C0</v>
      </c>
      <c r="D4240" t="s">
        <v>131</v>
      </c>
      <c r="E4240">
        <v>10</v>
      </c>
      <c r="F4240">
        <v>2010</v>
      </c>
      <c r="G4240" t="s">
        <v>132</v>
      </c>
      <c r="J4240" t="s">
        <v>133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 t="shared" si="1957"/>
        <v>14:48:58.758</v>
      </c>
      <c r="T4240" t="str">
        <f t="shared" si="1957"/>
        <v>14:48:58.758</v>
      </c>
      <c r="U4240" t="str">
        <f t="shared" si="1955"/>
        <v>A9808D</v>
      </c>
      <c r="V4240">
        <v>0</v>
      </c>
      <c r="W4240">
        <v>0</v>
      </c>
      <c r="X4240">
        <v>1</v>
      </c>
      <c r="Z4240">
        <v>0</v>
      </c>
      <c r="AA4240">
        <v>9</v>
      </c>
      <c r="AB4240">
        <v>3</v>
      </c>
      <c r="AC4240">
        <v>0</v>
      </c>
      <c r="AD4240">
        <v>10</v>
      </c>
      <c r="AE4240">
        <v>0</v>
      </c>
      <c r="AF4240">
        <v>3</v>
      </c>
      <c r="AG4240">
        <v>2</v>
      </c>
      <c r="AH4240">
        <v>0</v>
      </c>
      <c r="AI4240" t="s">
        <v>962</v>
      </c>
      <c r="AJ4240">
        <v>28.256879000000001</v>
      </c>
      <c r="AK4240" t="s">
        <v>963</v>
      </c>
      <c r="AL4240">
        <v>-82.309247999999997</v>
      </c>
      <c r="AM4240">
        <v>100</v>
      </c>
      <c r="AN4240">
        <v>2300</v>
      </c>
      <c r="AO4240" t="s">
        <v>118</v>
      </c>
      <c r="AP4240">
        <v>-105</v>
      </c>
      <c r="AQ4240">
        <v>-95</v>
      </c>
      <c r="AR4240">
        <v>128</v>
      </c>
      <c r="AZ4240">
        <v>1200</v>
      </c>
      <c r="BA4240">
        <v>1</v>
      </c>
      <c r="BB4240" t="str">
        <f t="shared" si="1938"/>
        <v xml:space="preserve">N711JA  </v>
      </c>
      <c r="BC4240">
        <v>1</v>
      </c>
      <c r="BE4240">
        <v>0</v>
      </c>
      <c r="BF4240">
        <v>0</v>
      </c>
      <c r="BG4240">
        <v>0</v>
      </c>
      <c r="BH4240">
        <v>2300</v>
      </c>
      <c r="BI4240">
        <v>1</v>
      </c>
      <c r="BJ4240">
        <v>1</v>
      </c>
      <c r="BK4240">
        <v>0</v>
      </c>
      <c r="BL4240">
        <v>0</v>
      </c>
      <c r="BO4240">
        <v>0</v>
      </c>
      <c r="BP4240">
        <v>0</v>
      </c>
      <c r="BW4240" t="str">
        <f t="shared" si="1958"/>
        <v>14:48:58.763</v>
      </c>
      <c r="CJ4240">
        <v>0</v>
      </c>
      <c r="CK4240">
        <v>2</v>
      </c>
      <c r="CL4240">
        <v>0</v>
      </c>
      <c r="CM4240">
        <v>2</v>
      </c>
      <c r="CN4240">
        <v>0</v>
      </c>
      <c r="CO4240">
        <v>6</v>
      </c>
      <c r="CP4240" t="s">
        <v>119</v>
      </c>
      <c r="CQ4240">
        <v>56</v>
      </c>
      <c r="CR4240">
        <v>2</v>
      </c>
      <c r="CW4240">
        <v>5126063</v>
      </c>
      <c r="CY4240">
        <v>1</v>
      </c>
      <c r="CZ4240">
        <v>0</v>
      </c>
      <c r="DA4240">
        <v>1</v>
      </c>
      <c r="DB4240">
        <v>0</v>
      </c>
      <c r="DC4240">
        <v>0</v>
      </c>
      <c r="DD4240">
        <v>1</v>
      </c>
      <c r="DE4240">
        <v>0</v>
      </c>
      <c r="DF4240">
        <v>0</v>
      </c>
      <c r="DG4240">
        <v>0</v>
      </c>
      <c r="DH4240">
        <v>0</v>
      </c>
      <c r="DI4240">
        <v>0</v>
      </c>
    </row>
    <row r="4241" spans="1:113" x14ac:dyDescent="0.3">
      <c r="A4241" t="str">
        <f t="shared" si="1956"/>
        <v>05/12/2020 14:48:40.914</v>
      </c>
      <c r="C4241" t="str">
        <f t="shared" si="1937"/>
        <v>FFDFD3C0</v>
      </c>
      <c r="D4241" t="s">
        <v>134</v>
      </c>
      <c r="E4241">
        <v>12</v>
      </c>
      <c r="H4241">
        <v>64</v>
      </c>
      <c r="I4241" t="s">
        <v>135</v>
      </c>
      <c r="J4241" t="s">
        <v>136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>"14:48:58.758"</f>
        <v>14:48:58.758</v>
      </c>
      <c r="T4241" t="str">
        <f>"14:48:58.258"</f>
        <v>14:48:58.258</v>
      </c>
      <c r="U4241" t="str">
        <f t="shared" si="1955"/>
        <v>A9808D</v>
      </c>
      <c r="V4241">
        <v>0</v>
      </c>
      <c r="W4241">
        <v>0</v>
      </c>
      <c r="X4241">
        <v>1</v>
      </c>
      <c r="Z4241">
        <v>0</v>
      </c>
      <c r="AA4241">
        <v>9</v>
      </c>
      <c r="AB4241">
        <v>3</v>
      </c>
      <c r="AC4241">
        <v>0</v>
      </c>
      <c r="AD4241">
        <v>10</v>
      </c>
      <c r="AE4241">
        <v>0</v>
      </c>
      <c r="AF4241">
        <v>3</v>
      </c>
      <c r="AG4241">
        <v>2</v>
      </c>
      <c r="AH4241">
        <v>0</v>
      </c>
      <c r="AI4241" t="s">
        <v>962</v>
      </c>
      <c r="AJ4241">
        <v>28.256879000000001</v>
      </c>
      <c r="AK4241" t="s">
        <v>963</v>
      </c>
      <c r="AL4241">
        <v>-82.309247999999997</v>
      </c>
      <c r="AM4241">
        <v>100</v>
      </c>
      <c r="AN4241">
        <v>2300</v>
      </c>
      <c r="AO4241" t="s">
        <v>118</v>
      </c>
      <c r="AP4241">
        <v>-105</v>
      </c>
      <c r="AQ4241">
        <v>-95</v>
      </c>
      <c r="AR4241">
        <v>128</v>
      </c>
      <c r="AZ4241">
        <v>1200</v>
      </c>
      <c r="BA4241">
        <v>1</v>
      </c>
      <c r="BB4241" t="str">
        <f t="shared" si="1938"/>
        <v xml:space="preserve">N711JA  </v>
      </c>
      <c r="BC4241">
        <v>1</v>
      </c>
      <c r="BE4241">
        <v>0</v>
      </c>
      <c r="BF4241">
        <v>0</v>
      </c>
      <c r="BG4241">
        <v>0</v>
      </c>
      <c r="BH4241">
        <v>2300</v>
      </c>
      <c r="BI4241">
        <v>1</v>
      </c>
      <c r="BJ4241">
        <v>1</v>
      </c>
      <c r="BK4241">
        <v>0</v>
      </c>
      <c r="BL4241">
        <v>0</v>
      </c>
      <c r="BO4241">
        <v>0</v>
      </c>
      <c r="BP4241">
        <v>0</v>
      </c>
      <c r="BW4241" t="str">
        <f t="shared" si="1958"/>
        <v>14:48:58.763</v>
      </c>
      <c r="CJ4241">
        <v>0</v>
      </c>
      <c r="CK4241">
        <v>2</v>
      </c>
      <c r="CL4241">
        <v>0</v>
      </c>
      <c r="CM4241">
        <v>2</v>
      </c>
      <c r="CN4241">
        <v>0</v>
      </c>
      <c r="CO4241">
        <v>5</v>
      </c>
      <c r="CP4241" t="s">
        <v>119</v>
      </c>
      <c r="CQ4241">
        <v>358</v>
      </c>
      <c r="CR4241">
        <v>0</v>
      </c>
      <c r="CW4241">
        <v>5099049</v>
      </c>
      <c r="CY4241">
        <v>1</v>
      </c>
      <c r="CZ4241">
        <v>0</v>
      </c>
      <c r="DA4241">
        <v>1</v>
      </c>
      <c r="DB4241">
        <v>0</v>
      </c>
      <c r="DC4241">
        <v>0</v>
      </c>
      <c r="DD4241">
        <v>1</v>
      </c>
      <c r="DE4241">
        <v>0</v>
      </c>
      <c r="DF4241">
        <v>0</v>
      </c>
      <c r="DG4241">
        <v>0</v>
      </c>
      <c r="DH4241">
        <v>0</v>
      </c>
      <c r="DI4241">
        <v>0</v>
      </c>
    </row>
    <row r="4242" spans="1:113" x14ac:dyDescent="0.3">
      <c r="A4242" t="str">
        <f t="shared" si="1956"/>
        <v>05/12/2020 14:48:40.914</v>
      </c>
      <c r="C4242" t="str">
        <f t="shared" si="1937"/>
        <v>FFDFD3C0</v>
      </c>
      <c r="D4242" t="s">
        <v>131</v>
      </c>
      <c r="E4242">
        <v>12</v>
      </c>
      <c r="F4242">
        <v>2012</v>
      </c>
      <c r="G4242" t="s">
        <v>137</v>
      </c>
      <c r="J4242" t="s">
        <v>133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>"14:48:58.758"</f>
        <v>14:48:58.758</v>
      </c>
      <c r="T4242" t="str">
        <f>"14:48:58.758"</f>
        <v>14:48:58.758</v>
      </c>
      <c r="U4242" t="str">
        <f t="shared" si="1955"/>
        <v>A9808D</v>
      </c>
      <c r="V4242">
        <v>0</v>
      </c>
      <c r="W4242">
        <v>0</v>
      </c>
      <c r="X4242">
        <v>1</v>
      </c>
      <c r="Z4242">
        <v>0</v>
      </c>
      <c r="AA4242">
        <v>9</v>
      </c>
      <c r="AB4242">
        <v>3</v>
      </c>
      <c r="AC4242">
        <v>0</v>
      </c>
      <c r="AD4242">
        <v>10</v>
      </c>
      <c r="AE4242">
        <v>0</v>
      </c>
      <c r="AF4242">
        <v>3</v>
      </c>
      <c r="AG4242">
        <v>2</v>
      </c>
      <c r="AH4242">
        <v>0</v>
      </c>
      <c r="AI4242" t="s">
        <v>962</v>
      </c>
      <c r="AJ4242">
        <v>28.256879000000001</v>
      </c>
      <c r="AK4242" t="s">
        <v>963</v>
      </c>
      <c r="AL4242">
        <v>-82.309247999999997</v>
      </c>
      <c r="AM4242">
        <v>100</v>
      </c>
      <c r="AN4242">
        <v>2300</v>
      </c>
      <c r="AO4242" t="s">
        <v>118</v>
      </c>
      <c r="AP4242">
        <v>-105</v>
      </c>
      <c r="AQ4242">
        <v>-95</v>
      </c>
      <c r="AR4242">
        <v>128</v>
      </c>
      <c r="AZ4242">
        <v>1200</v>
      </c>
      <c r="BA4242">
        <v>1</v>
      </c>
      <c r="BB4242" t="str">
        <f t="shared" si="1938"/>
        <v xml:space="preserve">N711JA  </v>
      </c>
      <c r="BC4242">
        <v>1</v>
      </c>
      <c r="BE4242">
        <v>0</v>
      </c>
      <c r="BF4242">
        <v>0</v>
      </c>
      <c r="BG4242">
        <v>0</v>
      </c>
      <c r="BH4242">
        <v>2300</v>
      </c>
      <c r="BI4242">
        <v>1</v>
      </c>
      <c r="BJ4242">
        <v>1</v>
      </c>
      <c r="BK4242">
        <v>0</v>
      </c>
      <c r="BL4242">
        <v>0</v>
      </c>
      <c r="BO4242">
        <v>0</v>
      </c>
      <c r="BP4242">
        <v>0</v>
      </c>
      <c r="BW4242" t="str">
        <f t="shared" si="1958"/>
        <v>14:48:58.763</v>
      </c>
      <c r="CJ4242">
        <v>0</v>
      </c>
      <c r="CK4242">
        <v>2</v>
      </c>
      <c r="CL4242">
        <v>0</v>
      </c>
      <c r="CM4242">
        <v>2</v>
      </c>
      <c r="CN4242">
        <v>0</v>
      </c>
      <c r="CO4242">
        <v>6</v>
      </c>
      <c r="CP4242" t="s">
        <v>119</v>
      </c>
      <c r="CQ4242">
        <v>56</v>
      </c>
      <c r="CR4242">
        <v>2</v>
      </c>
      <c r="CW4242">
        <v>5126063</v>
      </c>
      <c r="CY4242">
        <v>1</v>
      </c>
      <c r="CZ4242">
        <v>0</v>
      </c>
      <c r="DA4242">
        <v>1</v>
      </c>
      <c r="DB4242">
        <v>0</v>
      </c>
      <c r="DC4242">
        <v>0</v>
      </c>
      <c r="DD4242">
        <v>1</v>
      </c>
      <c r="DE4242">
        <v>0</v>
      </c>
      <c r="DF4242">
        <v>0</v>
      </c>
      <c r="DG4242">
        <v>0</v>
      </c>
      <c r="DH4242">
        <v>0</v>
      </c>
      <c r="DI4242">
        <v>0</v>
      </c>
    </row>
    <row r="4243" spans="1:113" x14ac:dyDescent="0.3">
      <c r="A4243" t="str">
        <f t="shared" ref="A4243:A4251" si="1959">"05/12/2020 14:48:41.774"</f>
        <v>05/12/2020 14:48:41.774</v>
      </c>
      <c r="C4243" t="str">
        <f t="shared" si="1937"/>
        <v>FFDFD3C0</v>
      </c>
      <c r="D4243" t="s">
        <v>113</v>
      </c>
      <c r="E4243">
        <v>3</v>
      </c>
      <c r="H4243">
        <v>164</v>
      </c>
      <c r="I4243" t="s">
        <v>114</v>
      </c>
      <c r="J4243" t="s">
        <v>115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 t="shared" ref="S4243:S4251" si="1960">"14:48:59.609"</f>
        <v>14:48:59.609</v>
      </c>
      <c r="T4243" t="str">
        <f t="shared" ref="T4243:T4251" si="1961">"14:48:59.309"</f>
        <v>14:48:59.309</v>
      </c>
      <c r="U4243" t="str">
        <f t="shared" si="1955"/>
        <v>A9808D</v>
      </c>
      <c r="V4243">
        <v>0</v>
      </c>
      <c r="W4243">
        <v>0</v>
      </c>
      <c r="X4243">
        <v>1</v>
      </c>
      <c r="Z4243">
        <v>0</v>
      </c>
      <c r="AA4243">
        <v>9</v>
      </c>
      <c r="AB4243">
        <v>3</v>
      </c>
      <c r="AC4243">
        <v>0</v>
      </c>
      <c r="AD4243">
        <v>10</v>
      </c>
      <c r="AE4243">
        <v>0</v>
      </c>
      <c r="AF4243">
        <v>3</v>
      </c>
      <c r="AG4243">
        <v>2</v>
      </c>
      <c r="AH4243">
        <v>0</v>
      </c>
      <c r="AI4243" t="s">
        <v>964</v>
      </c>
      <c r="AJ4243">
        <v>28.256557000000001</v>
      </c>
      <c r="AK4243" t="s">
        <v>677</v>
      </c>
      <c r="AL4243">
        <v>-82.309678000000005</v>
      </c>
      <c r="AM4243">
        <v>100</v>
      </c>
      <c r="AN4243">
        <v>2300</v>
      </c>
      <c r="AO4243" t="s">
        <v>118</v>
      </c>
      <c r="AP4243">
        <v>-105</v>
      </c>
      <c r="AQ4243">
        <v>-95</v>
      </c>
      <c r="AR4243">
        <v>128</v>
      </c>
      <c r="AZ4243">
        <v>1200</v>
      </c>
      <c r="BA4243">
        <v>1</v>
      </c>
      <c r="BB4243" t="str">
        <f t="shared" si="1938"/>
        <v xml:space="preserve">N711JA  </v>
      </c>
      <c r="BC4243">
        <v>1</v>
      </c>
      <c r="BE4243">
        <v>0</v>
      </c>
      <c r="BF4243">
        <v>0</v>
      </c>
      <c r="BG4243">
        <v>0</v>
      </c>
      <c r="BH4243">
        <v>2300</v>
      </c>
      <c r="BI4243">
        <v>1</v>
      </c>
      <c r="BJ4243">
        <v>1</v>
      </c>
      <c r="BK4243">
        <v>0</v>
      </c>
      <c r="BL4243">
        <v>0</v>
      </c>
      <c r="BO4243">
        <v>0</v>
      </c>
      <c r="BP4243">
        <v>0</v>
      </c>
      <c r="BW4243" t="str">
        <f>"14:48:59.612"</f>
        <v>14:48:59.612</v>
      </c>
      <c r="CJ4243">
        <v>0</v>
      </c>
      <c r="CK4243">
        <v>2</v>
      </c>
      <c r="CL4243">
        <v>0</v>
      </c>
      <c r="CM4243">
        <v>2</v>
      </c>
      <c r="CN4243">
        <v>0</v>
      </c>
      <c r="CO4243">
        <v>5</v>
      </c>
      <c r="CP4243" t="s">
        <v>119</v>
      </c>
      <c r="CQ4243">
        <v>9</v>
      </c>
      <c r="CR4243">
        <v>0</v>
      </c>
      <c r="CW4243">
        <v>12951604</v>
      </c>
      <c r="CY4243">
        <v>1</v>
      </c>
      <c r="CZ4243">
        <v>0</v>
      </c>
      <c r="DA4243">
        <v>0</v>
      </c>
      <c r="DB4243">
        <v>0</v>
      </c>
      <c r="DC4243">
        <v>0</v>
      </c>
      <c r="DD4243">
        <v>1</v>
      </c>
      <c r="DE4243">
        <v>0</v>
      </c>
      <c r="DF4243">
        <v>0</v>
      </c>
      <c r="DG4243">
        <v>0</v>
      </c>
      <c r="DH4243">
        <v>0</v>
      </c>
      <c r="DI4243">
        <v>0</v>
      </c>
    </row>
    <row r="4244" spans="1:113" x14ac:dyDescent="0.3">
      <c r="A4244" t="str">
        <f t="shared" si="1959"/>
        <v>05/12/2020 14:48:41.774</v>
      </c>
      <c r="C4244" t="str">
        <f t="shared" si="1937"/>
        <v>FFDFD3C0</v>
      </c>
      <c r="D4244" t="s">
        <v>138</v>
      </c>
      <c r="E4244">
        <v>2</v>
      </c>
      <c r="H4244">
        <v>8</v>
      </c>
      <c r="I4244" t="s">
        <v>139</v>
      </c>
      <c r="J4244" t="s">
        <v>136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 t="shared" si="1960"/>
        <v>14:48:59.609</v>
      </c>
      <c r="T4244" t="str">
        <f t="shared" si="1961"/>
        <v>14:48:59.309</v>
      </c>
      <c r="U4244" t="str">
        <f t="shared" si="1955"/>
        <v>A9808D</v>
      </c>
      <c r="V4244">
        <v>0</v>
      </c>
      <c r="W4244">
        <v>0</v>
      </c>
      <c r="X4244">
        <v>1</v>
      </c>
      <c r="Z4244">
        <v>0</v>
      </c>
      <c r="AA4244">
        <v>9</v>
      </c>
      <c r="AB4244">
        <v>3</v>
      </c>
      <c r="AC4244">
        <v>0</v>
      </c>
      <c r="AD4244">
        <v>10</v>
      </c>
      <c r="AE4244">
        <v>0</v>
      </c>
      <c r="AF4244">
        <v>3</v>
      </c>
      <c r="AG4244">
        <v>2</v>
      </c>
      <c r="AH4244">
        <v>0</v>
      </c>
      <c r="AI4244" t="s">
        <v>964</v>
      </c>
      <c r="AJ4244">
        <v>28.256557000000001</v>
      </c>
      <c r="AK4244" t="s">
        <v>677</v>
      </c>
      <c r="AL4244">
        <v>-82.309678000000005</v>
      </c>
      <c r="AM4244">
        <v>100</v>
      </c>
      <c r="AN4244">
        <v>2300</v>
      </c>
      <c r="AO4244" t="s">
        <v>118</v>
      </c>
      <c r="AP4244">
        <v>-105</v>
      </c>
      <c r="AQ4244">
        <v>-95</v>
      </c>
      <c r="AR4244">
        <v>128</v>
      </c>
      <c r="AZ4244">
        <v>1200</v>
      </c>
      <c r="BA4244">
        <v>1</v>
      </c>
      <c r="BB4244" t="str">
        <f t="shared" si="1938"/>
        <v xml:space="preserve">N711JA  </v>
      </c>
      <c r="BC4244">
        <v>1</v>
      </c>
      <c r="BE4244">
        <v>0</v>
      </c>
      <c r="BF4244">
        <v>0</v>
      </c>
      <c r="BG4244">
        <v>0</v>
      </c>
      <c r="BH4244">
        <v>2300</v>
      </c>
      <c r="BI4244">
        <v>1</v>
      </c>
      <c r="BJ4244">
        <v>1</v>
      </c>
      <c r="BK4244">
        <v>0</v>
      </c>
      <c r="BL4244">
        <v>0</v>
      </c>
      <c r="BO4244">
        <v>0</v>
      </c>
      <c r="BP4244">
        <v>0</v>
      </c>
      <c r="BW4244" t="str">
        <f>"14:48:59.613"</f>
        <v>14:48:59.613</v>
      </c>
      <c r="CJ4244">
        <v>0</v>
      </c>
      <c r="CK4244">
        <v>2</v>
      </c>
      <c r="CL4244">
        <v>0</v>
      </c>
      <c r="CM4244">
        <v>2</v>
      </c>
      <c r="CN4244">
        <v>0</v>
      </c>
      <c r="CO4244">
        <v>1</v>
      </c>
      <c r="CP4244" t="s">
        <v>119</v>
      </c>
      <c r="CQ4244">
        <v>11</v>
      </c>
      <c r="CR4244">
        <v>2</v>
      </c>
      <c r="CW4244">
        <v>16221084</v>
      </c>
      <c r="CY4244">
        <v>1</v>
      </c>
      <c r="CZ4244">
        <v>0</v>
      </c>
      <c r="DA4244">
        <v>1</v>
      </c>
      <c r="DB4244">
        <v>0</v>
      </c>
      <c r="DC4244">
        <v>0</v>
      </c>
      <c r="DD4244">
        <v>1</v>
      </c>
      <c r="DE4244">
        <v>0</v>
      </c>
      <c r="DF4244">
        <v>0</v>
      </c>
      <c r="DG4244">
        <v>0</v>
      </c>
      <c r="DH4244">
        <v>0</v>
      </c>
      <c r="DI4244">
        <v>0</v>
      </c>
    </row>
    <row r="4245" spans="1:113" x14ac:dyDescent="0.3">
      <c r="A4245" t="str">
        <f t="shared" si="1959"/>
        <v>05/12/2020 14:48:41.774</v>
      </c>
      <c r="C4245" t="str">
        <f t="shared" si="1937"/>
        <v>FFDFD3C0</v>
      </c>
      <c r="D4245" t="s">
        <v>138</v>
      </c>
      <c r="E4245">
        <v>3</v>
      </c>
      <c r="H4245">
        <v>9</v>
      </c>
      <c r="I4245" t="s">
        <v>140</v>
      </c>
      <c r="J4245" t="s">
        <v>136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 t="shared" si="1960"/>
        <v>14:48:59.609</v>
      </c>
      <c r="T4245" t="str">
        <f t="shared" si="1961"/>
        <v>14:48:59.309</v>
      </c>
      <c r="U4245" t="str">
        <f t="shared" si="1955"/>
        <v>A9808D</v>
      </c>
      <c r="V4245">
        <v>0</v>
      </c>
      <c r="W4245">
        <v>0</v>
      </c>
      <c r="X4245">
        <v>1</v>
      </c>
      <c r="Z4245">
        <v>0</v>
      </c>
      <c r="AA4245">
        <v>9</v>
      </c>
      <c r="AB4245">
        <v>3</v>
      </c>
      <c r="AC4245">
        <v>0</v>
      </c>
      <c r="AD4245">
        <v>10</v>
      </c>
      <c r="AE4245">
        <v>0</v>
      </c>
      <c r="AF4245">
        <v>3</v>
      </c>
      <c r="AG4245">
        <v>2</v>
      </c>
      <c r="AH4245">
        <v>0</v>
      </c>
      <c r="AI4245" t="s">
        <v>964</v>
      </c>
      <c r="AJ4245">
        <v>28.256557000000001</v>
      </c>
      <c r="AK4245" t="s">
        <v>677</v>
      </c>
      <c r="AL4245">
        <v>-82.309678000000005</v>
      </c>
      <c r="AM4245">
        <v>100</v>
      </c>
      <c r="AN4245">
        <v>2300</v>
      </c>
      <c r="AO4245" t="s">
        <v>118</v>
      </c>
      <c r="AP4245">
        <v>-105</v>
      </c>
      <c r="AQ4245">
        <v>-95</v>
      </c>
      <c r="AR4245">
        <v>128</v>
      </c>
      <c r="AZ4245">
        <v>1200</v>
      </c>
      <c r="BA4245">
        <v>1</v>
      </c>
      <c r="BB4245" t="str">
        <f t="shared" si="1938"/>
        <v xml:space="preserve">N711JA  </v>
      </c>
      <c r="BC4245">
        <v>1</v>
      </c>
      <c r="BE4245">
        <v>0</v>
      </c>
      <c r="BF4245">
        <v>0</v>
      </c>
      <c r="BG4245">
        <v>0</v>
      </c>
      <c r="BH4245">
        <v>2300</v>
      </c>
      <c r="BI4245">
        <v>1</v>
      </c>
      <c r="BJ4245">
        <v>1</v>
      </c>
      <c r="BK4245">
        <v>0</v>
      </c>
      <c r="BL4245">
        <v>0</v>
      </c>
      <c r="BO4245">
        <v>0</v>
      </c>
      <c r="BP4245">
        <v>0</v>
      </c>
      <c r="BW4245" t="str">
        <f>"14:48:59.612"</f>
        <v>14:48:59.612</v>
      </c>
      <c r="CJ4245">
        <v>0</v>
      </c>
      <c r="CK4245">
        <v>2</v>
      </c>
      <c r="CL4245">
        <v>0</v>
      </c>
      <c r="CM4245">
        <v>2</v>
      </c>
      <c r="CN4245">
        <v>0</v>
      </c>
      <c r="CO4245">
        <v>5</v>
      </c>
      <c r="CP4245" t="s">
        <v>119</v>
      </c>
      <c r="CQ4245">
        <v>9</v>
      </c>
      <c r="CR4245">
        <v>0</v>
      </c>
      <c r="CW4245">
        <v>12951604</v>
      </c>
      <c r="CY4245">
        <v>1</v>
      </c>
      <c r="CZ4245">
        <v>0</v>
      </c>
      <c r="DA4245">
        <v>1</v>
      </c>
      <c r="DB4245">
        <v>0</v>
      </c>
      <c r="DC4245">
        <v>0</v>
      </c>
      <c r="DD4245">
        <v>1</v>
      </c>
      <c r="DE4245">
        <v>0</v>
      </c>
      <c r="DF4245">
        <v>0</v>
      </c>
      <c r="DG4245">
        <v>0</v>
      </c>
      <c r="DH4245">
        <v>0</v>
      </c>
      <c r="DI4245">
        <v>0</v>
      </c>
    </row>
    <row r="4246" spans="1:113" x14ac:dyDescent="0.3">
      <c r="A4246" t="str">
        <f t="shared" si="1959"/>
        <v>05/12/2020 14:48:41.774</v>
      </c>
      <c r="C4246" t="str">
        <f t="shared" ref="C4246:C4309" si="1962">"FFDFD3C0"</f>
        <v>FFDFD3C0</v>
      </c>
      <c r="D4246" t="s">
        <v>126</v>
      </c>
      <c r="E4246">
        <v>7</v>
      </c>
      <c r="F4246">
        <v>1007</v>
      </c>
      <c r="G4246" t="s">
        <v>127</v>
      </c>
      <c r="J4246" t="s">
        <v>128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 t="shared" si="1960"/>
        <v>14:48:59.609</v>
      </c>
      <c r="T4246" t="str">
        <f t="shared" si="1961"/>
        <v>14:48:59.309</v>
      </c>
      <c r="U4246" t="str">
        <f t="shared" si="1955"/>
        <v>A9808D</v>
      </c>
      <c r="V4246">
        <v>0</v>
      </c>
      <c r="W4246">
        <v>0</v>
      </c>
      <c r="X4246">
        <v>1</v>
      </c>
      <c r="Z4246">
        <v>0</v>
      </c>
      <c r="AA4246">
        <v>9</v>
      </c>
      <c r="AB4246">
        <v>3</v>
      </c>
      <c r="AC4246">
        <v>0</v>
      </c>
      <c r="AD4246">
        <v>10</v>
      </c>
      <c r="AE4246">
        <v>0</v>
      </c>
      <c r="AF4246">
        <v>3</v>
      </c>
      <c r="AG4246">
        <v>2</v>
      </c>
      <c r="AH4246">
        <v>0</v>
      </c>
      <c r="AI4246" t="s">
        <v>964</v>
      </c>
      <c r="AJ4246">
        <v>28.256557000000001</v>
      </c>
      <c r="AK4246" t="s">
        <v>677</v>
      </c>
      <c r="AL4246">
        <v>-82.309678000000005</v>
      </c>
      <c r="AM4246">
        <v>100</v>
      </c>
      <c r="AN4246">
        <v>2300</v>
      </c>
      <c r="AO4246" t="s">
        <v>118</v>
      </c>
      <c r="AP4246">
        <v>-105</v>
      </c>
      <c r="AQ4246">
        <v>-95</v>
      </c>
      <c r="AR4246">
        <v>128</v>
      </c>
      <c r="AZ4246">
        <v>1200</v>
      </c>
      <c r="BA4246">
        <v>1</v>
      </c>
      <c r="BB4246" t="str">
        <f t="shared" ref="BB4246:BB4309" si="1963">"N711JA  "</f>
        <v xml:space="preserve">N711JA  </v>
      </c>
      <c r="BC4246">
        <v>1</v>
      </c>
      <c r="BE4246">
        <v>0</v>
      </c>
      <c r="BF4246">
        <v>0</v>
      </c>
      <c r="BG4246">
        <v>0</v>
      </c>
      <c r="BH4246">
        <v>2300</v>
      </c>
      <c r="BI4246">
        <v>1</v>
      </c>
      <c r="BJ4246">
        <v>1</v>
      </c>
      <c r="BK4246">
        <v>0</v>
      </c>
      <c r="BL4246">
        <v>0</v>
      </c>
      <c r="BO4246">
        <v>0</v>
      </c>
      <c r="BP4246">
        <v>0</v>
      </c>
      <c r="BW4246" t="str">
        <f>"14:48:59.612"</f>
        <v>14:48:59.612</v>
      </c>
      <c r="CJ4246">
        <v>0</v>
      </c>
      <c r="CK4246">
        <v>2</v>
      </c>
      <c r="CL4246">
        <v>0</v>
      </c>
      <c r="CM4246">
        <v>2</v>
      </c>
      <c r="CN4246">
        <v>0</v>
      </c>
      <c r="CO4246">
        <v>5</v>
      </c>
      <c r="CP4246" t="s">
        <v>119</v>
      </c>
      <c r="CQ4246">
        <v>9</v>
      </c>
      <c r="CR4246">
        <v>0</v>
      </c>
      <c r="CW4246">
        <v>12951604</v>
      </c>
      <c r="CY4246">
        <v>1</v>
      </c>
      <c r="CZ4246">
        <v>0</v>
      </c>
      <c r="DA4246">
        <v>1</v>
      </c>
      <c r="DB4246">
        <v>0</v>
      </c>
      <c r="DC4246">
        <v>0</v>
      </c>
      <c r="DD4246">
        <v>1</v>
      </c>
      <c r="DE4246">
        <v>0</v>
      </c>
      <c r="DF4246">
        <v>0</v>
      </c>
      <c r="DG4246">
        <v>0</v>
      </c>
      <c r="DH4246">
        <v>0</v>
      </c>
      <c r="DI4246">
        <v>0</v>
      </c>
    </row>
    <row r="4247" spans="1:113" x14ac:dyDescent="0.3">
      <c r="A4247" t="str">
        <f t="shared" si="1959"/>
        <v>05/12/2020 14:48:41.774</v>
      </c>
      <c r="C4247" t="str">
        <f t="shared" si="1962"/>
        <v>FFDFD3C0</v>
      </c>
      <c r="D4247" t="s">
        <v>131</v>
      </c>
      <c r="E4247">
        <v>10</v>
      </c>
      <c r="F4247">
        <v>2010</v>
      </c>
      <c r="G4247" t="s">
        <v>132</v>
      </c>
      <c r="J4247" t="s">
        <v>133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 t="shared" si="1960"/>
        <v>14:48:59.609</v>
      </c>
      <c r="T4247" t="str">
        <f t="shared" si="1961"/>
        <v>14:48:59.309</v>
      </c>
      <c r="U4247" t="str">
        <f t="shared" si="1955"/>
        <v>A9808D</v>
      </c>
      <c r="V4247">
        <v>0</v>
      </c>
      <c r="W4247">
        <v>0</v>
      </c>
      <c r="X4247">
        <v>1</v>
      </c>
      <c r="Z4247">
        <v>0</v>
      </c>
      <c r="AA4247">
        <v>9</v>
      </c>
      <c r="AB4247">
        <v>3</v>
      </c>
      <c r="AC4247">
        <v>0</v>
      </c>
      <c r="AD4247">
        <v>10</v>
      </c>
      <c r="AE4247">
        <v>0</v>
      </c>
      <c r="AF4247">
        <v>3</v>
      </c>
      <c r="AG4247">
        <v>2</v>
      </c>
      <c r="AH4247">
        <v>0</v>
      </c>
      <c r="AI4247" t="s">
        <v>964</v>
      </c>
      <c r="AJ4247">
        <v>28.256557000000001</v>
      </c>
      <c r="AK4247" t="s">
        <v>677</v>
      </c>
      <c r="AL4247">
        <v>-82.309678000000005</v>
      </c>
      <c r="AM4247">
        <v>100</v>
      </c>
      <c r="AN4247">
        <v>2300</v>
      </c>
      <c r="AO4247" t="s">
        <v>118</v>
      </c>
      <c r="AP4247">
        <v>-105</v>
      </c>
      <c r="AQ4247">
        <v>-95</v>
      </c>
      <c r="AR4247">
        <v>128</v>
      </c>
      <c r="AZ4247">
        <v>1200</v>
      </c>
      <c r="BA4247">
        <v>1</v>
      </c>
      <c r="BB4247" t="str">
        <f t="shared" si="1963"/>
        <v xml:space="preserve">N711JA  </v>
      </c>
      <c r="BC4247">
        <v>1</v>
      </c>
      <c r="BE4247">
        <v>0</v>
      </c>
      <c r="BF4247">
        <v>0</v>
      </c>
      <c r="BG4247">
        <v>0</v>
      </c>
      <c r="BH4247">
        <v>2300</v>
      </c>
      <c r="BI4247">
        <v>1</v>
      </c>
      <c r="BJ4247">
        <v>1</v>
      </c>
      <c r="BK4247">
        <v>0</v>
      </c>
      <c r="BL4247">
        <v>0</v>
      </c>
      <c r="BO4247">
        <v>0</v>
      </c>
      <c r="BP4247">
        <v>0</v>
      </c>
      <c r="BW4247" t="str">
        <f>"14:48:59.612"</f>
        <v>14:48:59.612</v>
      </c>
      <c r="CJ4247">
        <v>0</v>
      </c>
      <c r="CK4247">
        <v>2</v>
      </c>
      <c r="CL4247">
        <v>0</v>
      </c>
      <c r="CM4247">
        <v>2</v>
      </c>
      <c r="CN4247">
        <v>0</v>
      </c>
      <c r="CO4247">
        <v>5</v>
      </c>
      <c r="CP4247" t="s">
        <v>119</v>
      </c>
      <c r="CQ4247">
        <v>9</v>
      </c>
      <c r="CR4247">
        <v>0</v>
      </c>
      <c r="CW4247">
        <v>12951604</v>
      </c>
      <c r="CY4247">
        <v>1</v>
      </c>
      <c r="CZ4247">
        <v>0</v>
      </c>
      <c r="DA4247">
        <v>1</v>
      </c>
      <c r="DB4247">
        <v>0</v>
      </c>
      <c r="DC4247">
        <v>0</v>
      </c>
      <c r="DD4247">
        <v>1</v>
      </c>
      <c r="DE4247">
        <v>0</v>
      </c>
      <c r="DF4247">
        <v>0</v>
      </c>
      <c r="DG4247">
        <v>0</v>
      </c>
      <c r="DH4247">
        <v>0</v>
      </c>
      <c r="DI4247">
        <v>0</v>
      </c>
    </row>
    <row r="4248" spans="1:113" x14ac:dyDescent="0.3">
      <c r="A4248" t="str">
        <f t="shared" si="1959"/>
        <v>05/12/2020 14:48:41.774</v>
      </c>
      <c r="C4248" t="str">
        <f t="shared" si="1962"/>
        <v>FFDFD3C0</v>
      </c>
      <c r="D4248" t="s">
        <v>131</v>
      </c>
      <c r="E4248">
        <v>12</v>
      </c>
      <c r="F4248">
        <v>2012</v>
      </c>
      <c r="G4248" t="s">
        <v>137</v>
      </c>
      <c r="J4248" t="s">
        <v>133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 t="shared" si="1960"/>
        <v>14:48:59.609</v>
      </c>
      <c r="T4248" t="str">
        <f t="shared" si="1961"/>
        <v>14:48:59.309</v>
      </c>
      <c r="U4248" t="str">
        <f t="shared" si="1955"/>
        <v>A9808D</v>
      </c>
      <c r="V4248">
        <v>0</v>
      </c>
      <c r="W4248">
        <v>0</v>
      </c>
      <c r="X4248">
        <v>1</v>
      </c>
      <c r="Z4248">
        <v>0</v>
      </c>
      <c r="AA4248">
        <v>9</v>
      </c>
      <c r="AB4248">
        <v>3</v>
      </c>
      <c r="AC4248">
        <v>0</v>
      </c>
      <c r="AD4248">
        <v>10</v>
      </c>
      <c r="AE4248">
        <v>0</v>
      </c>
      <c r="AF4248">
        <v>3</v>
      </c>
      <c r="AG4248">
        <v>2</v>
      </c>
      <c r="AH4248">
        <v>0</v>
      </c>
      <c r="AI4248" t="s">
        <v>964</v>
      </c>
      <c r="AJ4248">
        <v>28.256557000000001</v>
      </c>
      <c r="AK4248" t="s">
        <v>677</v>
      </c>
      <c r="AL4248">
        <v>-82.309678000000005</v>
      </c>
      <c r="AM4248">
        <v>100</v>
      </c>
      <c r="AN4248">
        <v>2300</v>
      </c>
      <c r="AO4248" t="s">
        <v>118</v>
      </c>
      <c r="AP4248">
        <v>-105</v>
      </c>
      <c r="AQ4248">
        <v>-95</v>
      </c>
      <c r="AR4248">
        <v>128</v>
      </c>
      <c r="AZ4248">
        <v>1200</v>
      </c>
      <c r="BA4248">
        <v>1</v>
      </c>
      <c r="BB4248" t="str">
        <f t="shared" si="1963"/>
        <v xml:space="preserve">N711JA  </v>
      </c>
      <c r="BC4248">
        <v>1</v>
      </c>
      <c r="BE4248">
        <v>0</v>
      </c>
      <c r="BF4248">
        <v>0</v>
      </c>
      <c r="BG4248">
        <v>0</v>
      </c>
      <c r="BH4248">
        <v>2300</v>
      </c>
      <c r="BI4248">
        <v>1</v>
      </c>
      <c r="BJ4248">
        <v>1</v>
      </c>
      <c r="BK4248">
        <v>0</v>
      </c>
      <c r="BL4248">
        <v>0</v>
      </c>
      <c r="BO4248">
        <v>0</v>
      </c>
      <c r="BP4248">
        <v>0</v>
      </c>
      <c r="BW4248" t="str">
        <f>"14:48:59.613"</f>
        <v>14:48:59.613</v>
      </c>
      <c r="CJ4248">
        <v>0</v>
      </c>
      <c r="CK4248">
        <v>2</v>
      </c>
      <c r="CL4248">
        <v>0</v>
      </c>
      <c r="CM4248">
        <v>2</v>
      </c>
      <c r="CN4248">
        <v>0</v>
      </c>
      <c r="CO4248">
        <v>1</v>
      </c>
      <c r="CP4248" t="s">
        <v>119</v>
      </c>
      <c r="CQ4248">
        <v>11</v>
      </c>
      <c r="CR4248">
        <v>2</v>
      </c>
      <c r="CW4248">
        <v>16221084</v>
      </c>
      <c r="CY4248">
        <v>1</v>
      </c>
      <c r="CZ4248">
        <v>0</v>
      </c>
      <c r="DA4248">
        <v>1</v>
      </c>
      <c r="DB4248">
        <v>0</v>
      </c>
      <c r="DC4248">
        <v>0</v>
      </c>
      <c r="DD4248">
        <v>1</v>
      </c>
      <c r="DE4248">
        <v>0</v>
      </c>
      <c r="DF4248">
        <v>0</v>
      </c>
      <c r="DG4248">
        <v>0</v>
      </c>
      <c r="DH4248">
        <v>0</v>
      </c>
      <c r="DI4248">
        <v>0</v>
      </c>
    </row>
    <row r="4249" spans="1:113" x14ac:dyDescent="0.3">
      <c r="A4249" t="str">
        <f t="shared" si="1959"/>
        <v>05/12/2020 14:48:41.774</v>
      </c>
      <c r="C4249" t="str">
        <f t="shared" si="1962"/>
        <v>FFDFD3C0</v>
      </c>
      <c r="D4249" t="s">
        <v>134</v>
      </c>
      <c r="E4249">
        <v>12</v>
      </c>
      <c r="H4249">
        <v>64</v>
      </c>
      <c r="I4249" t="s">
        <v>135</v>
      </c>
      <c r="J4249" t="s">
        <v>136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 t="shared" si="1960"/>
        <v>14:48:59.609</v>
      </c>
      <c r="T4249" t="str">
        <f t="shared" si="1961"/>
        <v>14:48:59.309</v>
      </c>
      <c r="U4249" t="str">
        <f t="shared" si="1955"/>
        <v>A9808D</v>
      </c>
      <c r="V4249">
        <v>0</v>
      </c>
      <c r="W4249">
        <v>0</v>
      </c>
      <c r="X4249">
        <v>1</v>
      </c>
      <c r="Z4249">
        <v>0</v>
      </c>
      <c r="AA4249">
        <v>9</v>
      </c>
      <c r="AB4249">
        <v>3</v>
      </c>
      <c r="AC4249">
        <v>0</v>
      </c>
      <c r="AD4249">
        <v>10</v>
      </c>
      <c r="AE4249">
        <v>0</v>
      </c>
      <c r="AF4249">
        <v>3</v>
      </c>
      <c r="AG4249">
        <v>2</v>
      </c>
      <c r="AH4249">
        <v>0</v>
      </c>
      <c r="AI4249" t="s">
        <v>964</v>
      </c>
      <c r="AJ4249">
        <v>28.256557000000001</v>
      </c>
      <c r="AK4249" t="s">
        <v>677</v>
      </c>
      <c r="AL4249">
        <v>-82.309678000000005</v>
      </c>
      <c r="AM4249">
        <v>100</v>
      </c>
      <c r="AN4249">
        <v>2300</v>
      </c>
      <c r="AO4249" t="s">
        <v>118</v>
      </c>
      <c r="AP4249">
        <v>-105</v>
      </c>
      <c r="AQ4249">
        <v>-95</v>
      </c>
      <c r="AR4249">
        <v>128</v>
      </c>
      <c r="AZ4249">
        <v>1200</v>
      </c>
      <c r="BA4249">
        <v>1</v>
      </c>
      <c r="BB4249" t="str">
        <f t="shared" si="1963"/>
        <v xml:space="preserve">N711JA  </v>
      </c>
      <c r="BC4249">
        <v>1</v>
      </c>
      <c r="BE4249">
        <v>0</v>
      </c>
      <c r="BF4249">
        <v>0</v>
      </c>
      <c r="BG4249">
        <v>0</v>
      </c>
      <c r="BH4249">
        <v>2300</v>
      </c>
      <c r="BI4249">
        <v>1</v>
      </c>
      <c r="BJ4249">
        <v>1</v>
      </c>
      <c r="BK4249">
        <v>0</v>
      </c>
      <c r="BL4249">
        <v>0</v>
      </c>
      <c r="BO4249">
        <v>0</v>
      </c>
      <c r="BP4249">
        <v>0</v>
      </c>
      <c r="BW4249" t="str">
        <f>"14:48:59.612"</f>
        <v>14:48:59.612</v>
      </c>
      <c r="CJ4249">
        <v>0</v>
      </c>
      <c r="CK4249">
        <v>2</v>
      </c>
      <c r="CL4249">
        <v>0</v>
      </c>
      <c r="CM4249">
        <v>2</v>
      </c>
      <c r="CN4249">
        <v>0</v>
      </c>
      <c r="CO4249">
        <v>5</v>
      </c>
      <c r="CP4249" t="s">
        <v>119</v>
      </c>
      <c r="CQ4249">
        <v>9</v>
      </c>
      <c r="CR4249">
        <v>0</v>
      </c>
      <c r="CW4249">
        <v>12951604</v>
      </c>
      <c r="CY4249">
        <v>1</v>
      </c>
      <c r="CZ4249">
        <v>0</v>
      </c>
      <c r="DA4249">
        <v>1</v>
      </c>
      <c r="DB4249">
        <v>0</v>
      </c>
      <c r="DC4249">
        <v>0</v>
      </c>
      <c r="DD4249">
        <v>1</v>
      </c>
      <c r="DE4249">
        <v>0</v>
      </c>
      <c r="DF4249">
        <v>0</v>
      </c>
      <c r="DG4249">
        <v>0</v>
      </c>
      <c r="DH4249">
        <v>0</v>
      </c>
      <c r="DI4249">
        <v>0</v>
      </c>
    </row>
    <row r="4250" spans="1:113" x14ac:dyDescent="0.3">
      <c r="A4250" t="str">
        <f t="shared" si="1959"/>
        <v>05/12/2020 14:48:41.774</v>
      </c>
      <c r="C4250" t="str">
        <f t="shared" si="1962"/>
        <v>FFDFD3C0</v>
      </c>
      <c r="D4250" t="s">
        <v>126</v>
      </c>
      <c r="E4250">
        <v>6</v>
      </c>
      <c r="F4250">
        <v>1006</v>
      </c>
      <c r="G4250" t="s">
        <v>114</v>
      </c>
      <c r="J4250" t="s">
        <v>128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 t="shared" si="1960"/>
        <v>14:48:59.609</v>
      </c>
      <c r="T4250" t="str">
        <f t="shared" si="1961"/>
        <v>14:48:59.309</v>
      </c>
      <c r="U4250" t="str">
        <f t="shared" si="1955"/>
        <v>A9808D</v>
      </c>
      <c r="V4250">
        <v>0</v>
      </c>
      <c r="W4250">
        <v>0</v>
      </c>
      <c r="X4250">
        <v>1</v>
      </c>
      <c r="Z4250">
        <v>0</v>
      </c>
      <c r="AA4250">
        <v>9</v>
      </c>
      <c r="AB4250">
        <v>3</v>
      </c>
      <c r="AC4250">
        <v>0</v>
      </c>
      <c r="AD4250">
        <v>10</v>
      </c>
      <c r="AE4250">
        <v>0</v>
      </c>
      <c r="AF4250">
        <v>3</v>
      </c>
      <c r="AG4250">
        <v>2</v>
      </c>
      <c r="AH4250">
        <v>0</v>
      </c>
      <c r="AI4250" t="s">
        <v>964</v>
      </c>
      <c r="AJ4250">
        <v>28.256557000000001</v>
      </c>
      <c r="AK4250" t="s">
        <v>677</v>
      </c>
      <c r="AL4250">
        <v>-82.309678000000005</v>
      </c>
      <c r="AM4250">
        <v>100</v>
      </c>
      <c r="AN4250">
        <v>2300</v>
      </c>
      <c r="AO4250" t="s">
        <v>118</v>
      </c>
      <c r="AP4250">
        <v>-105</v>
      </c>
      <c r="AQ4250">
        <v>-95</v>
      </c>
      <c r="AR4250">
        <v>128</v>
      </c>
      <c r="AZ4250">
        <v>1200</v>
      </c>
      <c r="BA4250">
        <v>1</v>
      </c>
      <c r="BB4250" t="str">
        <f t="shared" si="1963"/>
        <v xml:space="preserve">N711JA  </v>
      </c>
      <c r="BC4250">
        <v>1</v>
      </c>
      <c r="BE4250">
        <v>0</v>
      </c>
      <c r="BF4250">
        <v>0</v>
      </c>
      <c r="BG4250">
        <v>0</v>
      </c>
      <c r="BH4250">
        <v>2300</v>
      </c>
      <c r="BI4250">
        <v>1</v>
      </c>
      <c r="BJ4250">
        <v>1</v>
      </c>
      <c r="BK4250">
        <v>0</v>
      </c>
      <c r="BL4250">
        <v>0</v>
      </c>
      <c r="BO4250">
        <v>0</v>
      </c>
      <c r="BP4250">
        <v>0</v>
      </c>
      <c r="BW4250" t="str">
        <f>"14:48:59.612"</f>
        <v>14:48:59.612</v>
      </c>
      <c r="CJ4250">
        <v>0</v>
      </c>
      <c r="CK4250">
        <v>2</v>
      </c>
      <c r="CL4250">
        <v>0</v>
      </c>
      <c r="CM4250">
        <v>2</v>
      </c>
      <c r="CN4250">
        <v>0</v>
      </c>
      <c r="CO4250">
        <v>5</v>
      </c>
      <c r="CP4250" t="s">
        <v>119</v>
      </c>
      <c r="CQ4250">
        <v>9</v>
      </c>
      <c r="CR4250">
        <v>0</v>
      </c>
      <c r="CW4250">
        <v>12951604</v>
      </c>
      <c r="CY4250">
        <v>1</v>
      </c>
      <c r="CZ4250">
        <v>0</v>
      </c>
      <c r="DA4250">
        <v>1</v>
      </c>
      <c r="DB4250">
        <v>0</v>
      </c>
      <c r="DC4250">
        <v>0</v>
      </c>
      <c r="DD4250">
        <v>1</v>
      </c>
      <c r="DE4250">
        <v>0</v>
      </c>
      <c r="DF4250">
        <v>0</v>
      </c>
      <c r="DG4250">
        <v>0</v>
      </c>
      <c r="DH4250">
        <v>0</v>
      </c>
      <c r="DI4250">
        <v>0</v>
      </c>
    </row>
    <row r="4251" spans="1:113" x14ac:dyDescent="0.3">
      <c r="A4251" t="str">
        <f t="shared" si="1959"/>
        <v>05/12/2020 14:48:41.774</v>
      </c>
      <c r="C4251" t="str">
        <f t="shared" si="1962"/>
        <v>FFDFD3C0</v>
      </c>
      <c r="D4251" t="s">
        <v>131</v>
      </c>
      <c r="E4251">
        <v>18</v>
      </c>
      <c r="F4251">
        <v>2018</v>
      </c>
      <c r="G4251" t="s">
        <v>161</v>
      </c>
      <c r="J4251" t="s">
        <v>133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 t="shared" si="1960"/>
        <v>14:48:59.609</v>
      </c>
      <c r="T4251" t="str">
        <f t="shared" si="1961"/>
        <v>14:48:59.309</v>
      </c>
      <c r="U4251" t="str">
        <f t="shared" si="1955"/>
        <v>A9808D</v>
      </c>
      <c r="V4251">
        <v>0</v>
      </c>
      <c r="W4251">
        <v>0</v>
      </c>
      <c r="X4251">
        <v>1</v>
      </c>
      <c r="Z4251">
        <v>0</v>
      </c>
      <c r="AA4251">
        <v>9</v>
      </c>
      <c r="AB4251">
        <v>3</v>
      </c>
      <c r="AC4251">
        <v>0</v>
      </c>
      <c r="AD4251">
        <v>10</v>
      </c>
      <c r="AE4251">
        <v>0</v>
      </c>
      <c r="AF4251">
        <v>3</v>
      </c>
      <c r="AG4251">
        <v>2</v>
      </c>
      <c r="AH4251">
        <v>0</v>
      </c>
      <c r="AI4251" t="s">
        <v>964</v>
      </c>
      <c r="AJ4251">
        <v>28.256557000000001</v>
      </c>
      <c r="AK4251" t="s">
        <v>677</v>
      </c>
      <c r="AL4251">
        <v>-82.309678000000005</v>
      </c>
      <c r="AM4251">
        <v>100</v>
      </c>
      <c r="AN4251">
        <v>2300</v>
      </c>
      <c r="AO4251" t="s">
        <v>118</v>
      </c>
      <c r="AP4251">
        <v>-105</v>
      </c>
      <c r="AQ4251">
        <v>-95</v>
      </c>
      <c r="AR4251">
        <v>128</v>
      </c>
      <c r="AZ4251">
        <v>1200</v>
      </c>
      <c r="BA4251">
        <v>1</v>
      </c>
      <c r="BB4251" t="str">
        <f t="shared" si="1963"/>
        <v xml:space="preserve">N711JA  </v>
      </c>
      <c r="BC4251">
        <v>1</v>
      </c>
      <c r="BE4251">
        <v>0</v>
      </c>
      <c r="BF4251">
        <v>0</v>
      </c>
      <c r="BG4251">
        <v>0</v>
      </c>
      <c r="BH4251">
        <v>2300</v>
      </c>
      <c r="BI4251">
        <v>1</v>
      </c>
      <c r="BJ4251">
        <v>1</v>
      </c>
      <c r="BK4251">
        <v>0</v>
      </c>
      <c r="BL4251">
        <v>0</v>
      </c>
      <c r="BO4251">
        <v>0</v>
      </c>
      <c r="BP4251">
        <v>0</v>
      </c>
      <c r="BW4251" t="str">
        <f>"14:48:59.613"</f>
        <v>14:48:59.613</v>
      </c>
      <c r="CJ4251">
        <v>0</v>
      </c>
      <c r="CK4251">
        <v>2</v>
      </c>
      <c r="CL4251">
        <v>0</v>
      </c>
      <c r="CM4251">
        <v>2</v>
      </c>
      <c r="CN4251">
        <v>0</v>
      </c>
      <c r="CO4251">
        <v>4</v>
      </c>
      <c r="CP4251" t="s">
        <v>119</v>
      </c>
      <c r="CQ4251">
        <v>62</v>
      </c>
      <c r="CR4251">
        <v>1</v>
      </c>
      <c r="CW4251">
        <v>13024572</v>
      </c>
      <c r="CY4251">
        <v>1</v>
      </c>
      <c r="CZ4251">
        <v>0</v>
      </c>
      <c r="DA4251">
        <v>1</v>
      </c>
      <c r="DB4251">
        <v>0</v>
      </c>
      <c r="DC4251">
        <v>0</v>
      </c>
      <c r="DD4251">
        <v>1</v>
      </c>
      <c r="DE4251">
        <v>0</v>
      </c>
      <c r="DF4251">
        <v>0</v>
      </c>
      <c r="DG4251">
        <v>0</v>
      </c>
      <c r="DH4251">
        <v>0</v>
      </c>
      <c r="DI4251">
        <v>0</v>
      </c>
    </row>
    <row r="4252" spans="1:113" x14ac:dyDescent="0.3">
      <c r="A4252" t="str">
        <f t="shared" ref="A4252:A4257" si="1964">"05/12/2020 14:48:42.718"</f>
        <v>05/12/2020 14:48:42.718</v>
      </c>
      <c r="C4252" t="str">
        <f t="shared" si="1962"/>
        <v>FFDFD3C0</v>
      </c>
      <c r="D4252" t="s">
        <v>126</v>
      </c>
      <c r="E4252">
        <v>7</v>
      </c>
      <c r="F4252">
        <v>1007</v>
      </c>
      <c r="G4252" t="s">
        <v>127</v>
      </c>
      <c r="J4252" t="s">
        <v>128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 t="shared" ref="S4252:S4257" si="1965">"14:49:00.539"</f>
        <v>14:49:00.539</v>
      </c>
      <c r="T4252" t="str">
        <f t="shared" ref="T4252:T4257" si="1966">"14:49:00.339"</f>
        <v>14:49:00.339</v>
      </c>
      <c r="U4252" t="str">
        <f t="shared" si="1955"/>
        <v>A9808D</v>
      </c>
      <c r="V4252">
        <v>0</v>
      </c>
      <c r="W4252">
        <v>0</v>
      </c>
      <c r="X4252">
        <v>1</v>
      </c>
      <c r="Z4252">
        <v>0</v>
      </c>
      <c r="AA4252">
        <v>9</v>
      </c>
      <c r="AB4252">
        <v>3</v>
      </c>
      <c r="AC4252">
        <v>0</v>
      </c>
      <c r="AD4252">
        <v>10</v>
      </c>
      <c r="AE4252">
        <v>0</v>
      </c>
      <c r="AF4252">
        <v>3</v>
      </c>
      <c r="AG4252">
        <v>2</v>
      </c>
      <c r="AH4252">
        <v>0</v>
      </c>
      <c r="AI4252" t="s">
        <v>595</v>
      </c>
      <c r="AJ4252">
        <v>28.256128</v>
      </c>
      <c r="AK4252" t="s">
        <v>965</v>
      </c>
      <c r="AL4252">
        <v>-82.310170999999997</v>
      </c>
      <c r="AM4252">
        <v>100</v>
      </c>
      <c r="AN4252">
        <v>2300</v>
      </c>
      <c r="AO4252" t="s">
        <v>118</v>
      </c>
      <c r="AP4252">
        <v>-104</v>
      </c>
      <c r="AQ4252">
        <v>-95</v>
      </c>
      <c r="AR4252">
        <v>64</v>
      </c>
      <c r="AZ4252">
        <v>1200</v>
      </c>
      <c r="BA4252">
        <v>1</v>
      </c>
      <c r="BB4252" t="str">
        <f t="shared" si="1963"/>
        <v xml:space="preserve">N711JA  </v>
      </c>
      <c r="BC4252">
        <v>1</v>
      </c>
      <c r="BE4252">
        <v>0</v>
      </c>
      <c r="BF4252">
        <v>0</v>
      </c>
      <c r="BG4252">
        <v>0</v>
      </c>
      <c r="BH4252">
        <v>2325</v>
      </c>
      <c r="BI4252">
        <v>1</v>
      </c>
      <c r="BJ4252">
        <v>1</v>
      </c>
      <c r="BK4252">
        <v>0</v>
      </c>
      <c r="BL4252">
        <v>0</v>
      </c>
      <c r="BO4252">
        <v>0</v>
      </c>
      <c r="BP4252">
        <v>0</v>
      </c>
      <c r="BW4252" t="str">
        <f t="shared" ref="BW4252:BW4257" si="1967">"14:49:00.542"</f>
        <v>14:49:00.542</v>
      </c>
      <c r="CJ4252">
        <v>0</v>
      </c>
      <c r="CK4252">
        <v>2</v>
      </c>
      <c r="CL4252">
        <v>0</v>
      </c>
      <c r="CM4252">
        <v>2</v>
      </c>
      <c r="CN4252">
        <v>0</v>
      </c>
      <c r="CO4252">
        <v>6</v>
      </c>
      <c r="CP4252" t="s">
        <v>119</v>
      </c>
      <c r="CQ4252">
        <v>358</v>
      </c>
      <c r="CR4252">
        <v>0</v>
      </c>
      <c r="CW4252">
        <v>5101151</v>
      </c>
      <c r="CY4252">
        <v>1</v>
      </c>
      <c r="CZ4252">
        <v>0</v>
      </c>
      <c r="DA4252">
        <v>0</v>
      </c>
      <c r="DB4252">
        <v>0</v>
      </c>
      <c r="DC4252">
        <v>0</v>
      </c>
      <c r="DD4252">
        <v>1</v>
      </c>
      <c r="DE4252">
        <v>0</v>
      </c>
      <c r="DF4252">
        <v>0</v>
      </c>
      <c r="DG4252">
        <v>0</v>
      </c>
      <c r="DH4252">
        <v>0</v>
      </c>
      <c r="DI4252">
        <v>0</v>
      </c>
    </row>
    <row r="4253" spans="1:113" x14ac:dyDescent="0.3">
      <c r="A4253" t="str">
        <f t="shared" si="1964"/>
        <v>05/12/2020 14:48:42.718</v>
      </c>
      <c r="C4253" t="str">
        <f t="shared" si="1962"/>
        <v>FFDFD3C0</v>
      </c>
      <c r="D4253" t="s">
        <v>131</v>
      </c>
      <c r="E4253">
        <v>10</v>
      </c>
      <c r="F4253">
        <v>2010</v>
      </c>
      <c r="G4253" t="s">
        <v>132</v>
      </c>
      <c r="J4253" t="s">
        <v>133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 t="shared" si="1965"/>
        <v>14:49:00.539</v>
      </c>
      <c r="T4253" t="str">
        <f t="shared" si="1966"/>
        <v>14:49:00.339</v>
      </c>
      <c r="U4253" t="str">
        <f t="shared" si="1955"/>
        <v>A9808D</v>
      </c>
      <c r="V4253">
        <v>0</v>
      </c>
      <c r="W4253">
        <v>0</v>
      </c>
      <c r="X4253">
        <v>1</v>
      </c>
      <c r="Z4253">
        <v>0</v>
      </c>
      <c r="AA4253">
        <v>9</v>
      </c>
      <c r="AB4253">
        <v>3</v>
      </c>
      <c r="AC4253">
        <v>0</v>
      </c>
      <c r="AD4253">
        <v>10</v>
      </c>
      <c r="AE4253">
        <v>0</v>
      </c>
      <c r="AF4253">
        <v>3</v>
      </c>
      <c r="AG4253">
        <v>2</v>
      </c>
      <c r="AH4253">
        <v>0</v>
      </c>
      <c r="AI4253" t="s">
        <v>595</v>
      </c>
      <c r="AJ4253">
        <v>28.256128</v>
      </c>
      <c r="AK4253" t="s">
        <v>965</v>
      </c>
      <c r="AL4253">
        <v>-82.310170999999997</v>
      </c>
      <c r="AM4253">
        <v>100</v>
      </c>
      <c r="AN4253">
        <v>2300</v>
      </c>
      <c r="AO4253" t="s">
        <v>118</v>
      </c>
      <c r="AP4253">
        <v>-104</v>
      </c>
      <c r="AQ4253">
        <v>-95</v>
      </c>
      <c r="AR4253">
        <v>64</v>
      </c>
      <c r="AZ4253">
        <v>1200</v>
      </c>
      <c r="BA4253">
        <v>1</v>
      </c>
      <c r="BB4253" t="str">
        <f t="shared" si="1963"/>
        <v xml:space="preserve">N711JA  </v>
      </c>
      <c r="BC4253">
        <v>1</v>
      </c>
      <c r="BE4253">
        <v>0</v>
      </c>
      <c r="BF4253">
        <v>0</v>
      </c>
      <c r="BG4253">
        <v>0</v>
      </c>
      <c r="BH4253">
        <v>2325</v>
      </c>
      <c r="BI4253">
        <v>1</v>
      </c>
      <c r="BJ4253">
        <v>1</v>
      </c>
      <c r="BK4253">
        <v>0</v>
      </c>
      <c r="BL4253">
        <v>0</v>
      </c>
      <c r="BO4253">
        <v>0</v>
      </c>
      <c r="BP4253">
        <v>0</v>
      </c>
      <c r="BW4253" t="str">
        <f t="shared" si="1967"/>
        <v>14:49:00.542</v>
      </c>
      <c r="CJ4253">
        <v>0</v>
      </c>
      <c r="CK4253">
        <v>2</v>
      </c>
      <c r="CL4253">
        <v>0</v>
      </c>
      <c r="CM4253">
        <v>2</v>
      </c>
      <c r="CN4253">
        <v>0</v>
      </c>
      <c r="CO4253">
        <v>6</v>
      </c>
      <c r="CP4253" t="s">
        <v>119</v>
      </c>
      <c r="CQ4253">
        <v>358</v>
      </c>
      <c r="CR4253">
        <v>0</v>
      </c>
      <c r="CW4253">
        <v>5101151</v>
      </c>
      <c r="CY4253">
        <v>1</v>
      </c>
      <c r="CZ4253">
        <v>0</v>
      </c>
      <c r="DA4253">
        <v>1</v>
      </c>
      <c r="DB4253">
        <v>0</v>
      </c>
      <c r="DC4253">
        <v>0</v>
      </c>
      <c r="DD4253">
        <v>1</v>
      </c>
      <c r="DE4253">
        <v>0</v>
      </c>
      <c r="DF4253">
        <v>0</v>
      </c>
      <c r="DG4253">
        <v>0</v>
      </c>
      <c r="DH4253">
        <v>0</v>
      </c>
      <c r="DI4253">
        <v>0</v>
      </c>
    </row>
    <row r="4254" spans="1:113" x14ac:dyDescent="0.3">
      <c r="A4254" t="str">
        <f t="shared" si="1964"/>
        <v>05/12/2020 14:48:42.718</v>
      </c>
      <c r="C4254" t="str">
        <f t="shared" si="1962"/>
        <v>FFDFD3C0</v>
      </c>
      <c r="D4254" t="s">
        <v>126</v>
      </c>
      <c r="E4254">
        <v>6</v>
      </c>
      <c r="F4254">
        <v>1006</v>
      </c>
      <c r="G4254" t="s">
        <v>114</v>
      </c>
      <c r="J4254" t="s">
        <v>128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 t="shared" si="1965"/>
        <v>14:49:00.539</v>
      </c>
      <c r="T4254" t="str">
        <f t="shared" si="1966"/>
        <v>14:49:00.339</v>
      </c>
      <c r="U4254" t="str">
        <f t="shared" si="1955"/>
        <v>A9808D</v>
      </c>
      <c r="V4254">
        <v>0</v>
      </c>
      <c r="W4254">
        <v>0</v>
      </c>
      <c r="X4254">
        <v>1</v>
      </c>
      <c r="Z4254">
        <v>0</v>
      </c>
      <c r="AA4254">
        <v>9</v>
      </c>
      <c r="AB4254">
        <v>3</v>
      </c>
      <c r="AC4254">
        <v>0</v>
      </c>
      <c r="AD4254">
        <v>10</v>
      </c>
      <c r="AE4254">
        <v>0</v>
      </c>
      <c r="AF4254">
        <v>3</v>
      </c>
      <c r="AG4254">
        <v>2</v>
      </c>
      <c r="AH4254">
        <v>0</v>
      </c>
      <c r="AI4254" t="s">
        <v>595</v>
      </c>
      <c r="AJ4254">
        <v>28.256128</v>
      </c>
      <c r="AK4254" t="s">
        <v>965</v>
      </c>
      <c r="AL4254">
        <v>-82.310170999999997</v>
      </c>
      <c r="AM4254">
        <v>100</v>
      </c>
      <c r="AN4254">
        <v>2300</v>
      </c>
      <c r="AO4254" t="s">
        <v>118</v>
      </c>
      <c r="AP4254">
        <v>-104</v>
      </c>
      <c r="AQ4254">
        <v>-95</v>
      </c>
      <c r="AR4254">
        <v>64</v>
      </c>
      <c r="AZ4254">
        <v>1200</v>
      </c>
      <c r="BA4254">
        <v>1</v>
      </c>
      <c r="BB4254" t="str">
        <f t="shared" si="1963"/>
        <v xml:space="preserve">N711JA  </v>
      </c>
      <c r="BC4254">
        <v>1</v>
      </c>
      <c r="BE4254">
        <v>0</v>
      </c>
      <c r="BF4254">
        <v>0</v>
      </c>
      <c r="BG4254">
        <v>0</v>
      </c>
      <c r="BH4254">
        <v>2325</v>
      </c>
      <c r="BI4254">
        <v>1</v>
      </c>
      <c r="BJ4254">
        <v>1</v>
      </c>
      <c r="BK4254">
        <v>0</v>
      </c>
      <c r="BL4254">
        <v>0</v>
      </c>
      <c r="BO4254">
        <v>0</v>
      </c>
      <c r="BP4254">
        <v>0</v>
      </c>
      <c r="BW4254" t="str">
        <f t="shared" si="1967"/>
        <v>14:49:00.542</v>
      </c>
      <c r="CJ4254">
        <v>0</v>
      </c>
      <c r="CK4254">
        <v>2</v>
      </c>
      <c r="CL4254">
        <v>0</v>
      </c>
      <c r="CM4254">
        <v>2</v>
      </c>
      <c r="CN4254">
        <v>0</v>
      </c>
      <c r="CO4254">
        <v>6</v>
      </c>
      <c r="CP4254" t="s">
        <v>119</v>
      </c>
      <c r="CQ4254">
        <v>358</v>
      </c>
      <c r="CR4254">
        <v>0</v>
      </c>
      <c r="CW4254">
        <v>5101151</v>
      </c>
      <c r="CY4254">
        <v>1</v>
      </c>
      <c r="CZ4254">
        <v>0</v>
      </c>
      <c r="DA4254">
        <v>1</v>
      </c>
      <c r="DB4254">
        <v>0</v>
      </c>
      <c r="DC4254">
        <v>0</v>
      </c>
      <c r="DD4254">
        <v>1</v>
      </c>
      <c r="DE4254">
        <v>0</v>
      </c>
      <c r="DF4254">
        <v>0</v>
      </c>
      <c r="DG4254">
        <v>0</v>
      </c>
      <c r="DH4254">
        <v>0</v>
      </c>
      <c r="DI4254">
        <v>0</v>
      </c>
    </row>
    <row r="4255" spans="1:113" x14ac:dyDescent="0.3">
      <c r="A4255" t="str">
        <f t="shared" si="1964"/>
        <v>05/12/2020 14:48:42.718</v>
      </c>
      <c r="C4255" t="str">
        <f t="shared" si="1962"/>
        <v>FFDFD3C0</v>
      </c>
      <c r="D4255" t="s">
        <v>134</v>
      </c>
      <c r="E4255">
        <v>12</v>
      </c>
      <c r="H4255">
        <v>64</v>
      </c>
      <c r="I4255" t="s">
        <v>135</v>
      </c>
      <c r="J4255" t="s">
        <v>136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 t="shared" si="1965"/>
        <v>14:49:00.539</v>
      </c>
      <c r="T4255" t="str">
        <f t="shared" si="1966"/>
        <v>14:49:00.339</v>
      </c>
      <c r="U4255" t="str">
        <f t="shared" si="1955"/>
        <v>A9808D</v>
      </c>
      <c r="V4255">
        <v>0</v>
      </c>
      <c r="W4255">
        <v>0</v>
      </c>
      <c r="X4255">
        <v>1</v>
      </c>
      <c r="Z4255">
        <v>0</v>
      </c>
      <c r="AA4255">
        <v>9</v>
      </c>
      <c r="AB4255">
        <v>3</v>
      </c>
      <c r="AC4255">
        <v>0</v>
      </c>
      <c r="AD4255">
        <v>10</v>
      </c>
      <c r="AE4255">
        <v>0</v>
      </c>
      <c r="AF4255">
        <v>3</v>
      </c>
      <c r="AG4255">
        <v>2</v>
      </c>
      <c r="AH4255">
        <v>0</v>
      </c>
      <c r="AI4255" t="s">
        <v>595</v>
      </c>
      <c r="AJ4255">
        <v>28.256128</v>
      </c>
      <c r="AK4255" t="s">
        <v>965</v>
      </c>
      <c r="AL4255">
        <v>-82.310170999999997</v>
      </c>
      <c r="AM4255">
        <v>100</v>
      </c>
      <c r="AN4255">
        <v>2300</v>
      </c>
      <c r="AO4255" t="s">
        <v>118</v>
      </c>
      <c r="AP4255">
        <v>-104</v>
      </c>
      <c r="AQ4255">
        <v>-95</v>
      </c>
      <c r="AR4255">
        <v>64</v>
      </c>
      <c r="AZ4255">
        <v>1200</v>
      </c>
      <c r="BA4255">
        <v>1</v>
      </c>
      <c r="BB4255" t="str">
        <f t="shared" si="1963"/>
        <v xml:space="preserve">N711JA  </v>
      </c>
      <c r="BC4255">
        <v>1</v>
      </c>
      <c r="BE4255">
        <v>0</v>
      </c>
      <c r="BF4255">
        <v>0</v>
      </c>
      <c r="BG4255">
        <v>0</v>
      </c>
      <c r="BH4255">
        <v>2325</v>
      </c>
      <c r="BI4255">
        <v>1</v>
      </c>
      <c r="BJ4255">
        <v>1</v>
      </c>
      <c r="BK4255">
        <v>0</v>
      </c>
      <c r="BL4255">
        <v>0</v>
      </c>
      <c r="BO4255">
        <v>0</v>
      </c>
      <c r="BP4255">
        <v>0</v>
      </c>
      <c r="BW4255" t="str">
        <f t="shared" si="1967"/>
        <v>14:49:00.542</v>
      </c>
      <c r="CJ4255">
        <v>0</v>
      </c>
      <c r="CK4255">
        <v>2</v>
      </c>
      <c r="CL4255">
        <v>0</v>
      </c>
      <c r="CM4255">
        <v>2</v>
      </c>
      <c r="CN4255">
        <v>0</v>
      </c>
      <c r="CO4255">
        <v>6</v>
      </c>
      <c r="CP4255" t="s">
        <v>119</v>
      </c>
      <c r="CQ4255">
        <v>358</v>
      </c>
      <c r="CR4255">
        <v>0</v>
      </c>
      <c r="CW4255">
        <v>5101151</v>
      </c>
      <c r="CY4255">
        <v>1</v>
      </c>
      <c r="CZ4255">
        <v>0</v>
      </c>
      <c r="DA4255">
        <v>1</v>
      </c>
      <c r="DB4255">
        <v>0</v>
      </c>
      <c r="DC4255">
        <v>0</v>
      </c>
      <c r="DD4255">
        <v>1</v>
      </c>
      <c r="DE4255">
        <v>0</v>
      </c>
      <c r="DF4255">
        <v>0</v>
      </c>
      <c r="DG4255">
        <v>0</v>
      </c>
      <c r="DH4255">
        <v>0</v>
      </c>
      <c r="DI4255">
        <v>0</v>
      </c>
    </row>
    <row r="4256" spans="1:113" x14ac:dyDescent="0.3">
      <c r="A4256" t="str">
        <f t="shared" si="1964"/>
        <v>05/12/2020 14:48:42.718</v>
      </c>
      <c r="C4256" t="str">
        <f t="shared" si="1962"/>
        <v>FFDFD3C0</v>
      </c>
      <c r="D4256" t="s">
        <v>113</v>
      </c>
      <c r="E4256">
        <v>3</v>
      </c>
      <c r="H4256">
        <v>164</v>
      </c>
      <c r="I4256" t="s">
        <v>114</v>
      </c>
      <c r="J4256" t="s">
        <v>115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 t="shared" si="1965"/>
        <v>14:49:00.539</v>
      </c>
      <c r="T4256" t="str">
        <f t="shared" si="1966"/>
        <v>14:49:00.339</v>
      </c>
      <c r="U4256" t="str">
        <f t="shared" si="1955"/>
        <v>A9808D</v>
      </c>
      <c r="V4256">
        <v>0</v>
      </c>
      <c r="W4256">
        <v>0</v>
      </c>
      <c r="X4256">
        <v>1</v>
      </c>
      <c r="Z4256">
        <v>0</v>
      </c>
      <c r="AA4256">
        <v>9</v>
      </c>
      <c r="AB4256">
        <v>3</v>
      </c>
      <c r="AC4256">
        <v>0</v>
      </c>
      <c r="AD4256">
        <v>10</v>
      </c>
      <c r="AE4256">
        <v>0</v>
      </c>
      <c r="AF4256">
        <v>3</v>
      </c>
      <c r="AG4256">
        <v>2</v>
      </c>
      <c r="AH4256">
        <v>0</v>
      </c>
      <c r="AI4256" t="s">
        <v>595</v>
      </c>
      <c r="AJ4256">
        <v>28.256128</v>
      </c>
      <c r="AK4256" t="s">
        <v>965</v>
      </c>
      <c r="AL4256">
        <v>-82.310170999999997</v>
      </c>
      <c r="AM4256">
        <v>100</v>
      </c>
      <c r="AN4256">
        <v>2300</v>
      </c>
      <c r="AO4256" t="s">
        <v>118</v>
      </c>
      <c r="AP4256">
        <v>-104</v>
      </c>
      <c r="AQ4256">
        <v>-95</v>
      </c>
      <c r="AR4256">
        <v>64</v>
      </c>
      <c r="AZ4256">
        <v>1200</v>
      </c>
      <c r="BA4256">
        <v>1</v>
      </c>
      <c r="BB4256" t="str">
        <f t="shared" si="1963"/>
        <v xml:space="preserve">N711JA  </v>
      </c>
      <c r="BC4256">
        <v>1</v>
      </c>
      <c r="BE4256">
        <v>0</v>
      </c>
      <c r="BF4256">
        <v>0</v>
      </c>
      <c r="BG4256">
        <v>0</v>
      </c>
      <c r="BH4256">
        <v>2325</v>
      </c>
      <c r="BI4256">
        <v>1</v>
      </c>
      <c r="BJ4256">
        <v>1</v>
      </c>
      <c r="BK4256">
        <v>0</v>
      </c>
      <c r="BL4256">
        <v>0</v>
      </c>
      <c r="BO4256">
        <v>0</v>
      </c>
      <c r="BP4256">
        <v>0</v>
      </c>
      <c r="BW4256" t="str">
        <f t="shared" si="1967"/>
        <v>14:49:00.542</v>
      </c>
      <c r="CJ4256">
        <v>0</v>
      </c>
      <c r="CK4256">
        <v>2</v>
      </c>
      <c r="CL4256">
        <v>0</v>
      </c>
      <c r="CM4256">
        <v>2</v>
      </c>
      <c r="CN4256">
        <v>0</v>
      </c>
      <c r="CO4256">
        <v>5</v>
      </c>
      <c r="CP4256" t="s">
        <v>119</v>
      </c>
      <c r="CQ4256">
        <v>9</v>
      </c>
      <c r="CR4256">
        <v>0</v>
      </c>
      <c r="CW4256">
        <v>12952777</v>
      </c>
      <c r="CY4256">
        <v>1</v>
      </c>
      <c r="CZ4256">
        <v>0</v>
      </c>
      <c r="DA4256">
        <v>1</v>
      </c>
      <c r="DB4256">
        <v>0</v>
      </c>
      <c r="DC4256">
        <v>0</v>
      </c>
      <c r="DD4256">
        <v>1</v>
      </c>
      <c r="DE4256">
        <v>0</v>
      </c>
      <c r="DF4256">
        <v>0</v>
      </c>
      <c r="DG4256">
        <v>0</v>
      </c>
      <c r="DH4256">
        <v>0</v>
      </c>
      <c r="DI4256">
        <v>0</v>
      </c>
    </row>
    <row r="4257" spans="1:113" x14ac:dyDescent="0.3">
      <c r="A4257" t="str">
        <f t="shared" si="1964"/>
        <v>05/12/2020 14:48:42.718</v>
      </c>
      <c r="C4257" t="str">
        <f t="shared" si="1962"/>
        <v>FFDFD3C0</v>
      </c>
      <c r="D4257" t="s">
        <v>138</v>
      </c>
      <c r="E4257">
        <v>3</v>
      </c>
      <c r="H4257">
        <v>9</v>
      </c>
      <c r="I4257" t="s">
        <v>140</v>
      </c>
      <c r="J4257" t="s">
        <v>136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 t="shared" si="1965"/>
        <v>14:49:00.539</v>
      </c>
      <c r="T4257" t="str">
        <f t="shared" si="1966"/>
        <v>14:49:00.339</v>
      </c>
      <c r="U4257" t="str">
        <f t="shared" si="1955"/>
        <v>A9808D</v>
      </c>
      <c r="V4257">
        <v>0</v>
      </c>
      <c r="W4257">
        <v>0</v>
      </c>
      <c r="X4257">
        <v>1</v>
      </c>
      <c r="Z4257">
        <v>0</v>
      </c>
      <c r="AA4257">
        <v>9</v>
      </c>
      <c r="AB4257">
        <v>3</v>
      </c>
      <c r="AC4257">
        <v>0</v>
      </c>
      <c r="AD4257">
        <v>10</v>
      </c>
      <c r="AE4257">
        <v>0</v>
      </c>
      <c r="AF4257">
        <v>3</v>
      </c>
      <c r="AG4257">
        <v>2</v>
      </c>
      <c r="AH4257">
        <v>0</v>
      </c>
      <c r="AI4257" t="s">
        <v>595</v>
      </c>
      <c r="AJ4257">
        <v>28.256128</v>
      </c>
      <c r="AK4257" t="s">
        <v>965</v>
      </c>
      <c r="AL4257">
        <v>-82.310170999999997</v>
      </c>
      <c r="AM4257">
        <v>100</v>
      </c>
      <c r="AN4257">
        <v>2300</v>
      </c>
      <c r="AO4257" t="s">
        <v>118</v>
      </c>
      <c r="AP4257">
        <v>-104</v>
      </c>
      <c r="AQ4257">
        <v>-95</v>
      </c>
      <c r="AR4257">
        <v>64</v>
      </c>
      <c r="AZ4257">
        <v>1200</v>
      </c>
      <c r="BA4257">
        <v>1</v>
      </c>
      <c r="BB4257" t="str">
        <f t="shared" si="1963"/>
        <v xml:space="preserve">N711JA  </v>
      </c>
      <c r="BC4257">
        <v>1</v>
      </c>
      <c r="BE4257">
        <v>0</v>
      </c>
      <c r="BF4257">
        <v>0</v>
      </c>
      <c r="BG4257">
        <v>0</v>
      </c>
      <c r="BH4257">
        <v>2325</v>
      </c>
      <c r="BI4257">
        <v>1</v>
      </c>
      <c r="BJ4257">
        <v>1</v>
      </c>
      <c r="BK4257">
        <v>0</v>
      </c>
      <c r="BL4257">
        <v>0</v>
      </c>
      <c r="BO4257">
        <v>0</v>
      </c>
      <c r="BP4257">
        <v>0</v>
      </c>
      <c r="BW4257" t="str">
        <f t="shared" si="1967"/>
        <v>14:49:00.542</v>
      </c>
      <c r="CJ4257">
        <v>0</v>
      </c>
      <c r="CK4257">
        <v>2</v>
      </c>
      <c r="CL4257">
        <v>0</v>
      </c>
      <c r="CM4257">
        <v>2</v>
      </c>
      <c r="CN4257">
        <v>0</v>
      </c>
      <c r="CO4257">
        <v>6</v>
      </c>
      <c r="CP4257" t="s">
        <v>119</v>
      </c>
      <c r="CQ4257">
        <v>358</v>
      </c>
      <c r="CR4257">
        <v>0</v>
      </c>
      <c r="CW4257">
        <v>5101151</v>
      </c>
      <c r="CY4257">
        <v>1</v>
      </c>
      <c r="CZ4257">
        <v>0</v>
      </c>
      <c r="DA4257">
        <v>1</v>
      </c>
      <c r="DB4257">
        <v>0</v>
      </c>
      <c r="DC4257">
        <v>0</v>
      </c>
      <c r="DD4257">
        <v>1</v>
      </c>
      <c r="DE4257">
        <v>0</v>
      </c>
      <c r="DF4257">
        <v>0</v>
      </c>
      <c r="DG4257">
        <v>0</v>
      </c>
      <c r="DH4257">
        <v>0</v>
      </c>
      <c r="DI4257">
        <v>0</v>
      </c>
    </row>
    <row r="4258" spans="1:113" x14ac:dyDescent="0.3">
      <c r="A4258" t="str">
        <f t="shared" ref="A4258:A4266" si="1968">"05/12/2020 14:48:43.623"</f>
        <v>05/12/2020 14:48:43.623</v>
      </c>
      <c r="C4258" t="str">
        <f t="shared" si="1962"/>
        <v>FFDFD3C0</v>
      </c>
      <c r="D4258" t="s">
        <v>131</v>
      </c>
      <c r="E4258">
        <v>10</v>
      </c>
      <c r="F4258">
        <v>2010</v>
      </c>
      <c r="G4258" t="s">
        <v>132</v>
      </c>
      <c r="J4258" t="s">
        <v>133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 t="shared" ref="S4258:S4266" si="1969">"14:49:01.453"</f>
        <v>14:49:01.453</v>
      </c>
      <c r="T4258" t="str">
        <f>"14:49:01.353"</f>
        <v>14:49:01.353</v>
      </c>
      <c r="U4258" t="str">
        <f t="shared" si="1955"/>
        <v>A9808D</v>
      </c>
      <c r="V4258">
        <v>0</v>
      </c>
      <c r="W4258">
        <v>0</v>
      </c>
      <c r="X4258">
        <v>1</v>
      </c>
      <c r="Z4258">
        <v>0</v>
      </c>
      <c r="AA4258">
        <v>9</v>
      </c>
      <c r="AB4258">
        <v>3</v>
      </c>
      <c r="AC4258">
        <v>0</v>
      </c>
      <c r="AD4258">
        <v>10</v>
      </c>
      <c r="AE4258">
        <v>0</v>
      </c>
      <c r="AF4258">
        <v>3</v>
      </c>
      <c r="AG4258">
        <v>2</v>
      </c>
      <c r="AH4258">
        <v>0</v>
      </c>
      <c r="AI4258" t="s">
        <v>966</v>
      </c>
      <c r="AJ4258">
        <v>28.255742000000001</v>
      </c>
      <c r="AK4258" t="s">
        <v>967</v>
      </c>
      <c r="AL4258">
        <v>-82.310686000000004</v>
      </c>
      <c r="AM4258">
        <v>100</v>
      </c>
      <c r="AN4258">
        <v>2300</v>
      </c>
      <c r="AO4258" t="s">
        <v>118</v>
      </c>
      <c r="AP4258">
        <v>-104</v>
      </c>
      <c r="AQ4258">
        <v>-95</v>
      </c>
      <c r="AR4258">
        <v>0</v>
      </c>
      <c r="AZ4258">
        <v>1200</v>
      </c>
      <c r="BA4258">
        <v>1</v>
      </c>
      <c r="BB4258" t="str">
        <f t="shared" si="1963"/>
        <v xml:space="preserve">N711JA  </v>
      </c>
      <c r="BC4258">
        <v>1</v>
      </c>
      <c r="BE4258">
        <v>0</v>
      </c>
      <c r="BF4258">
        <v>0</v>
      </c>
      <c r="BG4258">
        <v>0</v>
      </c>
      <c r="BH4258">
        <v>2325</v>
      </c>
      <c r="BI4258">
        <v>1</v>
      </c>
      <c r="BJ4258">
        <v>1</v>
      </c>
      <c r="BK4258">
        <v>0</v>
      </c>
      <c r="BL4258">
        <v>0</v>
      </c>
      <c r="BO4258">
        <v>0</v>
      </c>
      <c r="BP4258">
        <v>0</v>
      </c>
      <c r="BW4258" t="str">
        <f t="shared" ref="BW4258:BW4266" si="1970">"14:49:01.454"</f>
        <v>14:49:01.454</v>
      </c>
      <c r="CJ4258">
        <v>0</v>
      </c>
      <c r="CK4258">
        <v>2</v>
      </c>
      <c r="CL4258">
        <v>0</v>
      </c>
      <c r="CM4258">
        <v>2</v>
      </c>
      <c r="CN4258">
        <v>0</v>
      </c>
      <c r="CO4258">
        <v>5</v>
      </c>
      <c r="CP4258" t="s">
        <v>119</v>
      </c>
      <c r="CQ4258">
        <v>9</v>
      </c>
      <c r="CR4258">
        <v>0</v>
      </c>
      <c r="CW4258">
        <v>12953937</v>
      </c>
      <c r="CY4258">
        <v>1</v>
      </c>
      <c r="CZ4258">
        <v>0</v>
      </c>
      <c r="DA4258">
        <v>0</v>
      </c>
      <c r="DB4258">
        <v>0</v>
      </c>
      <c r="DC4258">
        <v>0</v>
      </c>
      <c r="DD4258">
        <v>1</v>
      </c>
      <c r="DE4258">
        <v>0</v>
      </c>
      <c r="DF4258">
        <v>0</v>
      </c>
      <c r="DG4258">
        <v>0</v>
      </c>
      <c r="DH4258">
        <v>0</v>
      </c>
      <c r="DI4258">
        <v>0</v>
      </c>
    </row>
    <row r="4259" spans="1:113" x14ac:dyDescent="0.3">
      <c r="A4259" t="str">
        <f t="shared" si="1968"/>
        <v>05/12/2020 14:48:43.623</v>
      </c>
      <c r="C4259" t="str">
        <f t="shared" si="1962"/>
        <v>FFDFD3C0</v>
      </c>
      <c r="D4259" t="s">
        <v>131</v>
      </c>
      <c r="E4259">
        <v>12</v>
      </c>
      <c r="F4259">
        <v>2012</v>
      </c>
      <c r="G4259" t="s">
        <v>137</v>
      </c>
      <c r="J4259" t="s">
        <v>133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 t="shared" si="1969"/>
        <v>14:49:01.453</v>
      </c>
      <c r="T4259" t="str">
        <f>"14:48:59.253"</f>
        <v>14:48:59.253</v>
      </c>
      <c r="U4259" t="str">
        <f t="shared" si="1955"/>
        <v>A9808D</v>
      </c>
      <c r="V4259">
        <v>0</v>
      </c>
      <c r="W4259">
        <v>0</v>
      </c>
      <c r="X4259">
        <v>1</v>
      </c>
      <c r="Z4259">
        <v>0</v>
      </c>
      <c r="AA4259">
        <v>9</v>
      </c>
      <c r="AB4259">
        <v>3</v>
      </c>
      <c r="AC4259">
        <v>0</v>
      </c>
      <c r="AD4259">
        <v>10</v>
      </c>
      <c r="AE4259">
        <v>0</v>
      </c>
      <c r="AF4259">
        <v>3</v>
      </c>
      <c r="AG4259">
        <v>2</v>
      </c>
      <c r="AH4259">
        <v>0</v>
      </c>
      <c r="AI4259" t="s">
        <v>966</v>
      </c>
      <c r="AJ4259">
        <v>28.255742000000001</v>
      </c>
      <c r="AK4259" t="s">
        <v>967</v>
      </c>
      <c r="AL4259">
        <v>-82.310686000000004</v>
      </c>
      <c r="AM4259">
        <v>100</v>
      </c>
      <c r="AN4259">
        <v>2300</v>
      </c>
      <c r="AO4259" t="s">
        <v>118</v>
      </c>
      <c r="AP4259">
        <v>-105</v>
      </c>
      <c r="AQ4259">
        <v>-95</v>
      </c>
      <c r="AR4259">
        <v>128</v>
      </c>
      <c r="AZ4259">
        <v>1200</v>
      </c>
      <c r="BA4259">
        <v>1</v>
      </c>
      <c r="BB4259" t="str">
        <f t="shared" si="1963"/>
        <v xml:space="preserve">N711JA  </v>
      </c>
      <c r="BC4259">
        <v>1</v>
      </c>
      <c r="BE4259">
        <v>0</v>
      </c>
      <c r="BF4259">
        <v>0</v>
      </c>
      <c r="BG4259">
        <v>0</v>
      </c>
      <c r="BH4259">
        <v>2300</v>
      </c>
      <c r="BI4259">
        <v>1</v>
      </c>
      <c r="BJ4259">
        <v>1</v>
      </c>
      <c r="BK4259">
        <v>0</v>
      </c>
      <c r="BL4259">
        <v>0</v>
      </c>
      <c r="BO4259">
        <v>0</v>
      </c>
      <c r="BP4259">
        <v>0</v>
      </c>
      <c r="BW4259" t="str">
        <f t="shared" si="1970"/>
        <v>14:49:01.454</v>
      </c>
      <c r="CJ4259">
        <v>0</v>
      </c>
      <c r="CK4259">
        <v>2</v>
      </c>
      <c r="CL4259">
        <v>0</v>
      </c>
      <c r="CM4259">
        <v>2</v>
      </c>
      <c r="CN4259">
        <v>0</v>
      </c>
      <c r="CO4259">
        <v>1</v>
      </c>
      <c r="CP4259" t="s">
        <v>675</v>
      </c>
      <c r="CQ4259">
        <v>363</v>
      </c>
      <c r="CR4259">
        <v>0</v>
      </c>
      <c r="CW4259">
        <v>6643347</v>
      </c>
      <c r="CY4259">
        <v>1</v>
      </c>
      <c r="CZ4259">
        <v>0</v>
      </c>
      <c r="DA4259">
        <v>1</v>
      </c>
      <c r="DB4259">
        <v>0</v>
      </c>
      <c r="DC4259">
        <v>0</v>
      </c>
      <c r="DD4259">
        <v>1</v>
      </c>
      <c r="DE4259">
        <v>0</v>
      </c>
      <c r="DF4259">
        <v>0</v>
      </c>
      <c r="DG4259">
        <v>0</v>
      </c>
      <c r="DH4259">
        <v>0</v>
      </c>
      <c r="DI4259">
        <v>0</v>
      </c>
    </row>
    <row r="4260" spans="1:113" x14ac:dyDescent="0.3">
      <c r="A4260" t="str">
        <f t="shared" si="1968"/>
        <v>05/12/2020 14:48:43.623</v>
      </c>
      <c r="C4260" t="str">
        <f t="shared" si="1962"/>
        <v>FFDFD3C0</v>
      </c>
      <c r="D4260" t="s">
        <v>126</v>
      </c>
      <c r="E4260">
        <v>7</v>
      </c>
      <c r="F4260">
        <v>1007</v>
      </c>
      <c r="G4260" t="s">
        <v>127</v>
      </c>
      <c r="J4260" t="s">
        <v>128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 t="shared" si="1969"/>
        <v>14:49:01.453</v>
      </c>
      <c r="T4260" t="str">
        <f>"14:49:01.353"</f>
        <v>14:49:01.353</v>
      </c>
      <c r="U4260" t="str">
        <f t="shared" si="1955"/>
        <v>A9808D</v>
      </c>
      <c r="V4260">
        <v>0</v>
      </c>
      <c r="W4260">
        <v>0</v>
      </c>
      <c r="X4260">
        <v>1</v>
      </c>
      <c r="Z4260">
        <v>0</v>
      </c>
      <c r="AA4260">
        <v>9</v>
      </c>
      <c r="AB4260">
        <v>3</v>
      </c>
      <c r="AC4260">
        <v>0</v>
      </c>
      <c r="AD4260">
        <v>10</v>
      </c>
      <c r="AE4260">
        <v>0</v>
      </c>
      <c r="AF4260">
        <v>3</v>
      </c>
      <c r="AG4260">
        <v>2</v>
      </c>
      <c r="AH4260">
        <v>0</v>
      </c>
      <c r="AI4260" t="s">
        <v>966</v>
      </c>
      <c r="AJ4260">
        <v>28.255742000000001</v>
      </c>
      <c r="AK4260" t="s">
        <v>967</v>
      </c>
      <c r="AL4260">
        <v>-82.310686000000004</v>
      </c>
      <c r="AM4260">
        <v>100</v>
      </c>
      <c r="AN4260">
        <v>2300</v>
      </c>
      <c r="AO4260" t="s">
        <v>118</v>
      </c>
      <c r="AP4260">
        <v>-104</v>
      </c>
      <c r="AQ4260">
        <v>-95</v>
      </c>
      <c r="AR4260">
        <v>0</v>
      </c>
      <c r="AZ4260">
        <v>1200</v>
      </c>
      <c r="BA4260">
        <v>1</v>
      </c>
      <c r="BB4260" t="str">
        <f t="shared" si="1963"/>
        <v xml:space="preserve">N711JA  </v>
      </c>
      <c r="BC4260">
        <v>1</v>
      </c>
      <c r="BE4260">
        <v>0</v>
      </c>
      <c r="BF4260">
        <v>0</v>
      </c>
      <c r="BG4260">
        <v>0</v>
      </c>
      <c r="BH4260">
        <v>2325</v>
      </c>
      <c r="BI4260">
        <v>1</v>
      </c>
      <c r="BJ4260">
        <v>1</v>
      </c>
      <c r="BK4260">
        <v>0</v>
      </c>
      <c r="BL4260">
        <v>0</v>
      </c>
      <c r="BO4260">
        <v>0</v>
      </c>
      <c r="BP4260">
        <v>0</v>
      </c>
      <c r="BW4260" t="str">
        <f t="shared" si="1970"/>
        <v>14:49:01.454</v>
      </c>
      <c r="CJ4260">
        <v>0</v>
      </c>
      <c r="CK4260">
        <v>2</v>
      </c>
      <c r="CL4260">
        <v>0</v>
      </c>
      <c r="CM4260">
        <v>2</v>
      </c>
      <c r="CN4260">
        <v>0</v>
      </c>
      <c r="CO4260">
        <v>5</v>
      </c>
      <c r="CP4260" t="s">
        <v>119</v>
      </c>
      <c r="CQ4260">
        <v>9</v>
      </c>
      <c r="CR4260">
        <v>0</v>
      </c>
      <c r="CW4260">
        <v>12953937</v>
      </c>
      <c r="CY4260">
        <v>1</v>
      </c>
      <c r="CZ4260">
        <v>0</v>
      </c>
      <c r="DA4260">
        <v>1</v>
      </c>
      <c r="DB4260">
        <v>0</v>
      </c>
      <c r="DC4260">
        <v>0</v>
      </c>
      <c r="DD4260">
        <v>1</v>
      </c>
      <c r="DE4260">
        <v>0</v>
      </c>
      <c r="DF4260">
        <v>0</v>
      </c>
      <c r="DG4260">
        <v>0</v>
      </c>
      <c r="DH4260">
        <v>0</v>
      </c>
      <c r="DI4260">
        <v>0</v>
      </c>
    </row>
    <row r="4261" spans="1:113" x14ac:dyDescent="0.3">
      <c r="A4261" t="str">
        <f t="shared" si="1968"/>
        <v>05/12/2020 14:48:43.623</v>
      </c>
      <c r="C4261" t="str">
        <f t="shared" si="1962"/>
        <v>FFDFD3C0</v>
      </c>
      <c r="D4261" t="s">
        <v>131</v>
      </c>
      <c r="E4261">
        <v>18</v>
      </c>
      <c r="F4261">
        <v>2018</v>
      </c>
      <c r="G4261" t="s">
        <v>161</v>
      </c>
      <c r="J4261" t="s">
        <v>133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 t="shared" si="1969"/>
        <v>14:49:01.453</v>
      </c>
      <c r="T4261" t="str">
        <f>"14:49:01.353"</f>
        <v>14:49:01.353</v>
      </c>
      <c r="U4261" t="str">
        <f t="shared" si="1955"/>
        <v>A9808D</v>
      </c>
      <c r="V4261">
        <v>0</v>
      </c>
      <c r="W4261">
        <v>0</v>
      </c>
      <c r="X4261">
        <v>1</v>
      </c>
      <c r="Z4261">
        <v>0</v>
      </c>
      <c r="AA4261">
        <v>9</v>
      </c>
      <c r="AB4261">
        <v>3</v>
      </c>
      <c r="AC4261">
        <v>0</v>
      </c>
      <c r="AD4261">
        <v>10</v>
      </c>
      <c r="AE4261">
        <v>0</v>
      </c>
      <c r="AF4261">
        <v>3</v>
      </c>
      <c r="AG4261">
        <v>2</v>
      </c>
      <c r="AH4261">
        <v>0</v>
      </c>
      <c r="AI4261" t="s">
        <v>966</v>
      </c>
      <c r="AJ4261">
        <v>28.255742000000001</v>
      </c>
      <c r="AK4261" t="s">
        <v>967</v>
      </c>
      <c r="AL4261">
        <v>-82.310686000000004</v>
      </c>
      <c r="AM4261">
        <v>100</v>
      </c>
      <c r="AN4261">
        <v>2300</v>
      </c>
      <c r="AO4261" t="s">
        <v>118</v>
      </c>
      <c r="AP4261">
        <v>-104</v>
      </c>
      <c r="AQ4261">
        <v>-95</v>
      </c>
      <c r="AR4261">
        <v>0</v>
      </c>
      <c r="AZ4261">
        <v>1200</v>
      </c>
      <c r="BA4261">
        <v>1</v>
      </c>
      <c r="BB4261" t="str">
        <f t="shared" si="1963"/>
        <v xml:space="preserve">N711JA  </v>
      </c>
      <c r="BC4261">
        <v>1</v>
      </c>
      <c r="BE4261">
        <v>0</v>
      </c>
      <c r="BF4261">
        <v>0</v>
      </c>
      <c r="BG4261">
        <v>0</v>
      </c>
      <c r="BH4261">
        <v>2325</v>
      </c>
      <c r="BI4261">
        <v>1</v>
      </c>
      <c r="BJ4261">
        <v>1</v>
      </c>
      <c r="BK4261">
        <v>0</v>
      </c>
      <c r="BL4261">
        <v>0</v>
      </c>
      <c r="BO4261">
        <v>0</v>
      </c>
      <c r="BP4261">
        <v>0</v>
      </c>
      <c r="BW4261" t="str">
        <f t="shared" si="1970"/>
        <v>14:49:01.454</v>
      </c>
      <c r="CJ4261">
        <v>0</v>
      </c>
      <c r="CK4261">
        <v>2</v>
      </c>
      <c r="CL4261">
        <v>0</v>
      </c>
      <c r="CM4261">
        <v>2</v>
      </c>
      <c r="CN4261">
        <v>0</v>
      </c>
      <c r="CO4261">
        <v>4</v>
      </c>
      <c r="CP4261" t="s">
        <v>119</v>
      </c>
      <c r="CQ4261">
        <v>62</v>
      </c>
      <c r="CR4261">
        <v>1</v>
      </c>
      <c r="CW4261">
        <v>13026544</v>
      </c>
      <c r="CY4261">
        <v>1</v>
      </c>
      <c r="CZ4261">
        <v>0</v>
      </c>
      <c r="DA4261">
        <v>1</v>
      </c>
      <c r="DB4261">
        <v>0</v>
      </c>
      <c r="DC4261">
        <v>0</v>
      </c>
      <c r="DD4261">
        <v>1</v>
      </c>
      <c r="DE4261">
        <v>0</v>
      </c>
      <c r="DF4261">
        <v>0</v>
      </c>
      <c r="DG4261">
        <v>0</v>
      </c>
      <c r="DH4261">
        <v>0</v>
      </c>
      <c r="DI4261">
        <v>0</v>
      </c>
    </row>
    <row r="4262" spans="1:113" x14ac:dyDescent="0.3">
      <c r="A4262" t="str">
        <f t="shared" si="1968"/>
        <v>05/12/2020 14:48:43.623</v>
      </c>
      <c r="C4262" t="str">
        <f t="shared" si="1962"/>
        <v>FFDFD3C0</v>
      </c>
      <c r="D4262" t="s">
        <v>126</v>
      </c>
      <c r="E4262">
        <v>6</v>
      </c>
      <c r="F4262">
        <v>1006</v>
      </c>
      <c r="G4262" t="s">
        <v>114</v>
      </c>
      <c r="J4262" t="s">
        <v>128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 t="shared" si="1969"/>
        <v>14:49:01.453</v>
      </c>
      <c r="T4262" t="str">
        <f>"14:49:01.353"</f>
        <v>14:49:01.353</v>
      </c>
      <c r="U4262" t="str">
        <f t="shared" si="1955"/>
        <v>A9808D</v>
      </c>
      <c r="V4262">
        <v>0</v>
      </c>
      <c r="W4262">
        <v>0</v>
      </c>
      <c r="X4262">
        <v>1</v>
      </c>
      <c r="Z4262">
        <v>0</v>
      </c>
      <c r="AA4262">
        <v>9</v>
      </c>
      <c r="AB4262">
        <v>3</v>
      </c>
      <c r="AC4262">
        <v>0</v>
      </c>
      <c r="AD4262">
        <v>10</v>
      </c>
      <c r="AE4262">
        <v>0</v>
      </c>
      <c r="AF4262">
        <v>3</v>
      </c>
      <c r="AG4262">
        <v>2</v>
      </c>
      <c r="AH4262">
        <v>0</v>
      </c>
      <c r="AI4262" t="s">
        <v>966</v>
      </c>
      <c r="AJ4262">
        <v>28.255742000000001</v>
      </c>
      <c r="AK4262" t="s">
        <v>967</v>
      </c>
      <c r="AL4262">
        <v>-82.310686000000004</v>
      </c>
      <c r="AM4262">
        <v>100</v>
      </c>
      <c r="AN4262">
        <v>2300</v>
      </c>
      <c r="AO4262" t="s">
        <v>118</v>
      </c>
      <c r="AP4262">
        <v>-104</v>
      </c>
      <c r="AQ4262">
        <v>-95</v>
      </c>
      <c r="AR4262">
        <v>0</v>
      </c>
      <c r="AZ4262">
        <v>1200</v>
      </c>
      <c r="BA4262">
        <v>1</v>
      </c>
      <c r="BB4262" t="str">
        <f t="shared" si="1963"/>
        <v xml:space="preserve">N711JA  </v>
      </c>
      <c r="BC4262">
        <v>1</v>
      </c>
      <c r="BE4262">
        <v>0</v>
      </c>
      <c r="BF4262">
        <v>0</v>
      </c>
      <c r="BG4262">
        <v>0</v>
      </c>
      <c r="BH4262">
        <v>2325</v>
      </c>
      <c r="BI4262">
        <v>1</v>
      </c>
      <c r="BJ4262">
        <v>1</v>
      </c>
      <c r="BK4262">
        <v>0</v>
      </c>
      <c r="BL4262">
        <v>0</v>
      </c>
      <c r="BO4262">
        <v>0</v>
      </c>
      <c r="BP4262">
        <v>0</v>
      </c>
      <c r="BW4262" t="str">
        <f t="shared" si="1970"/>
        <v>14:49:01.454</v>
      </c>
      <c r="CJ4262">
        <v>0</v>
      </c>
      <c r="CK4262">
        <v>2</v>
      </c>
      <c r="CL4262">
        <v>0</v>
      </c>
      <c r="CM4262">
        <v>2</v>
      </c>
      <c r="CN4262">
        <v>0</v>
      </c>
      <c r="CO4262">
        <v>5</v>
      </c>
      <c r="CP4262" t="s">
        <v>119</v>
      </c>
      <c r="CQ4262">
        <v>9</v>
      </c>
      <c r="CR4262">
        <v>0</v>
      </c>
      <c r="CW4262">
        <v>12953937</v>
      </c>
      <c r="CY4262">
        <v>1</v>
      </c>
      <c r="CZ4262">
        <v>0</v>
      </c>
      <c r="DA4262">
        <v>1</v>
      </c>
      <c r="DB4262">
        <v>0</v>
      </c>
      <c r="DC4262">
        <v>0</v>
      </c>
      <c r="DD4262">
        <v>1</v>
      </c>
      <c r="DE4262">
        <v>0</v>
      </c>
      <c r="DF4262">
        <v>0</v>
      </c>
      <c r="DG4262">
        <v>0</v>
      </c>
      <c r="DH4262">
        <v>0</v>
      </c>
      <c r="DI4262">
        <v>0</v>
      </c>
    </row>
    <row r="4263" spans="1:113" x14ac:dyDescent="0.3">
      <c r="A4263" t="str">
        <f t="shared" si="1968"/>
        <v>05/12/2020 14:48:43.623</v>
      </c>
      <c r="C4263" t="str">
        <f t="shared" si="1962"/>
        <v>FFDFD3C0</v>
      </c>
      <c r="D4263" t="s">
        <v>134</v>
      </c>
      <c r="E4263">
        <v>12</v>
      </c>
      <c r="H4263">
        <v>64</v>
      </c>
      <c r="I4263" t="s">
        <v>135</v>
      </c>
      <c r="J4263" t="s">
        <v>136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 t="shared" si="1969"/>
        <v>14:49:01.453</v>
      </c>
      <c r="T4263" t="str">
        <f>"14:49:01.353"</f>
        <v>14:49:01.353</v>
      </c>
      <c r="U4263" t="str">
        <f t="shared" si="1955"/>
        <v>A9808D</v>
      </c>
      <c r="V4263">
        <v>0</v>
      </c>
      <c r="W4263">
        <v>0</v>
      </c>
      <c r="X4263">
        <v>1</v>
      </c>
      <c r="Z4263">
        <v>0</v>
      </c>
      <c r="AA4263">
        <v>9</v>
      </c>
      <c r="AB4263">
        <v>3</v>
      </c>
      <c r="AC4263">
        <v>0</v>
      </c>
      <c r="AD4263">
        <v>10</v>
      </c>
      <c r="AE4263">
        <v>0</v>
      </c>
      <c r="AF4263">
        <v>3</v>
      </c>
      <c r="AG4263">
        <v>2</v>
      </c>
      <c r="AH4263">
        <v>0</v>
      </c>
      <c r="AI4263" t="s">
        <v>966</v>
      </c>
      <c r="AJ4263">
        <v>28.255742000000001</v>
      </c>
      <c r="AK4263" t="s">
        <v>967</v>
      </c>
      <c r="AL4263">
        <v>-82.310686000000004</v>
      </c>
      <c r="AM4263">
        <v>100</v>
      </c>
      <c r="AN4263">
        <v>2300</v>
      </c>
      <c r="AO4263" t="s">
        <v>118</v>
      </c>
      <c r="AP4263">
        <v>-104</v>
      </c>
      <c r="AQ4263">
        <v>-95</v>
      </c>
      <c r="AR4263">
        <v>0</v>
      </c>
      <c r="AZ4263">
        <v>1200</v>
      </c>
      <c r="BA4263">
        <v>1</v>
      </c>
      <c r="BB4263" t="str">
        <f t="shared" si="1963"/>
        <v xml:space="preserve">N711JA  </v>
      </c>
      <c r="BC4263">
        <v>1</v>
      </c>
      <c r="BE4263">
        <v>0</v>
      </c>
      <c r="BF4263">
        <v>0</v>
      </c>
      <c r="BG4263">
        <v>0</v>
      </c>
      <c r="BH4263">
        <v>2325</v>
      </c>
      <c r="BI4263">
        <v>1</v>
      </c>
      <c r="BJ4263">
        <v>1</v>
      </c>
      <c r="BK4263">
        <v>0</v>
      </c>
      <c r="BL4263">
        <v>0</v>
      </c>
      <c r="BO4263">
        <v>0</v>
      </c>
      <c r="BP4263">
        <v>0</v>
      </c>
      <c r="BW4263" t="str">
        <f t="shared" si="1970"/>
        <v>14:49:01.454</v>
      </c>
      <c r="CJ4263">
        <v>0</v>
      </c>
      <c r="CK4263">
        <v>2</v>
      </c>
      <c r="CL4263">
        <v>0</v>
      </c>
      <c r="CM4263">
        <v>2</v>
      </c>
      <c r="CN4263">
        <v>0</v>
      </c>
      <c r="CO4263">
        <v>5</v>
      </c>
      <c r="CP4263" t="s">
        <v>119</v>
      </c>
      <c r="CQ4263">
        <v>9</v>
      </c>
      <c r="CR4263">
        <v>0</v>
      </c>
      <c r="CW4263">
        <v>12953937</v>
      </c>
      <c r="CY4263">
        <v>1</v>
      </c>
      <c r="CZ4263">
        <v>0</v>
      </c>
      <c r="DA4263">
        <v>1</v>
      </c>
      <c r="DB4263">
        <v>0</v>
      </c>
      <c r="DC4263">
        <v>0</v>
      </c>
      <c r="DD4263">
        <v>1</v>
      </c>
      <c r="DE4263">
        <v>0</v>
      </c>
      <c r="DF4263">
        <v>0</v>
      </c>
      <c r="DG4263">
        <v>0</v>
      </c>
      <c r="DH4263">
        <v>0</v>
      </c>
      <c r="DI4263">
        <v>0</v>
      </c>
    </row>
    <row r="4264" spans="1:113" x14ac:dyDescent="0.3">
      <c r="A4264" t="str">
        <f t="shared" si="1968"/>
        <v>05/12/2020 14:48:43.623</v>
      </c>
      <c r="C4264" t="str">
        <f t="shared" si="1962"/>
        <v>FFDFD3C0</v>
      </c>
      <c r="D4264" t="s">
        <v>113</v>
      </c>
      <c r="E4264">
        <v>3</v>
      </c>
      <c r="H4264">
        <v>164</v>
      </c>
      <c r="I4264" t="s">
        <v>114</v>
      </c>
      <c r="J4264" t="s">
        <v>115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 t="shared" si="1969"/>
        <v>14:49:01.453</v>
      </c>
      <c r="T4264" t="str">
        <f>"14:49:01.353"</f>
        <v>14:49:01.353</v>
      </c>
      <c r="U4264" t="str">
        <f t="shared" si="1955"/>
        <v>A9808D</v>
      </c>
      <c r="V4264">
        <v>0</v>
      </c>
      <c r="W4264">
        <v>0</v>
      </c>
      <c r="X4264">
        <v>1</v>
      </c>
      <c r="Z4264">
        <v>0</v>
      </c>
      <c r="AA4264">
        <v>9</v>
      </c>
      <c r="AB4264">
        <v>3</v>
      </c>
      <c r="AC4264">
        <v>0</v>
      </c>
      <c r="AD4264">
        <v>10</v>
      </c>
      <c r="AE4264">
        <v>0</v>
      </c>
      <c r="AF4264">
        <v>3</v>
      </c>
      <c r="AG4264">
        <v>2</v>
      </c>
      <c r="AH4264">
        <v>0</v>
      </c>
      <c r="AI4264" t="s">
        <v>966</v>
      </c>
      <c r="AJ4264">
        <v>28.255742000000001</v>
      </c>
      <c r="AK4264" t="s">
        <v>967</v>
      </c>
      <c r="AL4264">
        <v>-82.310686000000004</v>
      </c>
      <c r="AM4264">
        <v>100</v>
      </c>
      <c r="AN4264">
        <v>2300</v>
      </c>
      <c r="AO4264" t="s">
        <v>118</v>
      </c>
      <c r="AP4264">
        <v>-104</v>
      </c>
      <c r="AQ4264">
        <v>-95</v>
      </c>
      <c r="AR4264">
        <v>0</v>
      </c>
      <c r="AZ4264">
        <v>1200</v>
      </c>
      <c r="BA4264">
        <v>1</v>
      </c>
      <c r="BB4264" t="str">
        <f t="shared" si="1963"/>
        <v xml:space="preserve">N711JA  </v>
      </c>
      <c r="BC4264">
        <v>1</v>
      </c>
      <c r="BE4264">
        <v>0</v>
      </c>
      <c r="BF4264">
        <v>0</v>
      </c>
      <c r="BG4264">
        <v>0</v>
      </c>
      <c r="BH4264">
        <v>2325</v>
      </c>
      <c r="BI4264">
        <v>1</v>
      </c>
      <c r="BJ4264">
        <v>1</v>
      </c>
      <c r="BK4264">
        <v>0</v>
      </c>
      <c r="BL4264">
        <v>0</v>
      </c>
      <c r="BO4264">
        <v>0</v>
      </c>
      <c r="BP4264">
        <v>0</v>
      </c>
      <c r="BW4264" t="str">
        <f t="shared" si="1970"/>
        <v>14:49:01.454</v>
      </c>
      <c r="CJ4264">
        <v>0</v>
      </c>
      <c r="CK4264">
        <v>2</v>
      </c>
      <c r="CL4264">
        <v>0</v>
      </c>
      <c r="CM4264">
        <v>2</v>
      </c>
      <c r="CN4264">
        <v>0</v>
      </c>
      <c r="CO4264">
        <v>5</v>
      </c>
      <c r="CP4264" t="s">
        <v>119</v>
      </c>
      <c r="CQ4264">
        <v>9</v>
      </c>
      <c r="CR4264">
        <v>0</v>
      </c>
      <c r="CW4264">
        <v>12953937</v>
      </c>
      <c r="CY4264">
        <v>1</v>
      </c>
      <c r="CZ4264">
        <v>0</v>
      </c>
      <c r="DA4264">
        <v>1</v>
      </c>
      <c r="DB4264">
        <v>0</v>
      </c>
      <c r="DC4264">
        <v>0</v>
      </c>
      <c r="DD4264">
        <v>1</v>
      </c>
      <c r="DE4264">
        <v>0</v>
      </c>
      <c r="DF4264">
        <v>0</v>
      </c>
      <c r="DG4264">
        <v>0</v>
      </c>
      <c r="DH4264">
        <v>0</v>
      </c>
      <c r="DI4264">
        <v>0</v>
      </c>
    </row>
    <row r="4265" spans="1:113" x14ac:dyDescent="0.3">
      <c r="A4265" t="str">
        <f t="shared" si="1968"/>
        <v>05/12/2020 14:48:43.623</v>
      </c>
      <c r="C4265" t="str">
        <f t="shared" si="1962"/>
        <v>FFDFD3C0</v>
      </c>
      <c r="D4265" t="s">
        <v>138</v>
      </c>
      <c r="E4265">
        <v>2</v>
      </c>
      <c r="H4265">
        <v>8</v>
      </c>
      <c r="I4265" t="s">
        <v>139</v>
      </c>
      <c r="J4265" t="s">
        <v>136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 t="shared" si="1969"/>
        <v>14:49:01.453</v>
      </c>
      <c r="T4265" t="str">
        <f>"14:48:59.253"</f>
        <v>14:48:59.253</v>
      </c>
      <c r="U4265" t="str">
        <f t="shared" si="1955"/>
        <v>A9808D</v>
      </c>
      <c r="V4265">
        <v>0</v>
      </c>
      <c r="W4265">
        <v>0</v>
      </c>
      <c r="X4265">
        <v>1</v>
      </c>
      <c r="Z4265">
        <v>0</v>
      </c>
      <c r="AA4265">
        <v>9</v>
      </c>
      <c r="AB4265">
        <v>3</v>
      </c>
      <c r="AC4265">
        <v>0</v>
      </c>
      <c r="AD4265">
        <v>10</v>
      </c>
      <c r="AE4265">
        <v>0</v>
      </c>
      <c r="AF4265">
        <v>3</v>
      </c>
      <c r="AG4265">
        <v>2</v>
      </c>
      <c r="AH4265">
        <v>0</v>
      </c>
      <c r="AI4265" t="s">
        <v>966</v>
      </c>
      <c r="AJ4265">
        <v>28.255742000000001</v>
      </c>
      <c r="AK4265" t="s">
        <v>967</v>
      </c>
      <c r="AL4265">
        <v>-82.310686000000004</v>
      </c>
      <c r="AM4265">
        <v>100</v>
      </c>
      <c r="AN4265">
        <v>2300</v>
      </c>
      <c r="AO4265" t="s">
        <v>118</v>
      </c>
      <c r="AP4265">
        <v>-105</v>
      </c>
      <c r="AQ4265">
        <v>-95</v>
      </c>
      <c r="AR4265">
        <v>128</v>
      </c>
      <c r="AZ4265">
        <v>1200</v>
      </c>
      <c r="BA4265">
        <v>1</v>
      </c>
      <c r="BB4265" t="str">
        <f t="shared" si="1963"/>
        <v xml:space="preserve">N711JA  </v>
      </c>
      <c r="BC4265">
        <v>1</v>
      </c>
      <c r="BE4265">
        <v>0</v>
      </c>
      <c r="BF4265">
        <v>0</v>
      </c>
      <c r="BG4265">
        <v>0</v>
      </c>
      <c r="BH4265">
        <v>2300</v>
      </c>
      <c r="BI4265">
        <v>1</v>
      </c>
      <c r="BJ4265">
        <v>1</v>
      </c>
      <c r="BK4265">
        <v>0</v>
      </c>
      <c r="BL4265">
        <v>0</v>
      </c>
      <c r="BO4265">
        <v>0</v>
      </c>
      <c r="BP4265">
        <v>0</v>
      </c>
      <c r="BW4265" t="str">
        <f t="shared" si="1970"/>
        <v>14:49:01.454</v>
      </c>
      <c r="CJ4265">
        <v>0</v>
      </c>
      <c r="CK4265">
        <v>2</v>
      </c>
      <c r="CL4265">
        <v>0</v>
      </c>
      <c r="CM4265">
        <v>2</v>
      </c>
      <c r="CN4265">
        <v>0</v>
      </c>
      <c r="CO4265">
        <v>1</v>
      </c>
      <c r="CP4265" t="s">
        <v>675</v>
      </c>
      <c r="CQ4265">
        <v>363</v>
      </c>
      <c r="CR4265">
        <v>0</v>
      </c>
      <c r="CW4265">
        <v>6643347</v>
      </c>
      <c r="CY4265">
        <v>1</v>
      </c>
      <c r="CZ4265">
        <v>0</v>
      </c>
      <c r="DA4265">
        <v>1</v>
      </c>
      <c r="DB4265">
        <v>0</v>
      </c>
      <c r="DC4265">
        <v>0</v>
      </c>
      <c r="DD4265">
        <v>1</v>
      </c>
      <c r="DE4265">
        <v>0</v>
      </c>
      <c r="DF4265">
        <v>0</v>
      </c>
      <c r="DG4265">
        <v>0</v>
      </c>
      <c r="DH4265">
        <v>0</v>
      </c>
      <c r="DI4265">
        <v>0</v>
      </c>
    </row>
    <row r="4266" spans="1:113" x14ac:dyDescent="0.3">
      <c r="A4266" t="str">
        <f t="shared" si="1968"/>
        <v>05/12/2020 14:48:43.623</v>
      </c>
      <c r="C4266" t="str">
        <f t="shared" si="1962"/>
        <v>FFDFD3C0</v>
      </c>
      <c r="D4266" t="s">
        <v>138</v>
      </c>
      <c r="E4266">
        <v>3</v>
      </c>
      <c r="H4266">
        <v>9</v>
      </c>
      <c r="I4266" t="s">
        <v>140</v>
      </c>
      <c r="J4266" t="s">
        <v>136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 t="shared" si="1969"/>
        <v>14:49:01.453</v>
      </c>
      <c r="T4266" t="str">
        <f>"14:49:01.353"</f>
        <v>14:49:01.353</v>
      </c>
      <c r="U4266" t="str">
        <f t="shared" si="1955"/>
        <v>A9808D</v>
      </c>
      <c r="V4266">
        <v>0</v>
      </c>
      <c r="W4266">
        <v>0</v>
      </c>
      <c r="X4266">
        <v>1</v>
      </c>
      <c r="Z4266">
        <v>0</v>
      </c>
      <c r="AA4266">
        <v>9</v>
      </c>
      <c r="AB4266">
        <v>3</v>
      </c>
      <c r="AC4266">
        <v>0</v>
      </c>
      <c r="AD4266">
        <v>10</v>
      </c>
      <c r="AE4266">
        <v>0</v>
      </c>
      <c r="AF4266">
        <v>3</v>
      </c>
      <c r="AG4266">
        <v>2</v>
      </c>
      <c r="AH4266">
        <v>0</v>
      </c>
      <c r="AI4266" t="s">
        <v>966</v>
      </c>
      <c r="AJ4266">
        <v>28.255742000000001</v>
      </c>
      <c r="AK4266" t="s">
        <v>967</v>
      </c>
      <c r="AL4266">
        <v>-82.310686000000004</v>
      </c>
      <c r="AM4266">
        <v>100</v>
      </c>
      <c r="AN4266">
        <v>2300</v>
      </c>
      <c r="AO4266" t="s">
        <v>118</v>
      </c>
      <c r="AP4266">
        <v>-104</v>
      </c>
      <c r="AQ4266">
        <v>-95</v>
      </c>
      <c r="AR4266">
        <v>0</v>
      </c>
      <c r="AZ4266">
        <v>1200</v>
      </c>
      <c r="BA4266">
        <v>1</v>
      </c>
      <c r="BB4266" t="str">
        <f t="shared" si="1963"/>
        <v xml:space="preserve">N711JA  </v>
      </c>
      <c r="BC4266">
        <v>1</v>
      </c>
      <c r="BE4266">
        <v>0</v>
      </c>
      <c r="BF4266">
        <v>0</v>
      </c>
      <c r="BG4266">
        <v>0</v>
      </c>
      <c r="BH4266">
        <v>2325</v>
      </c>
      <c r="BI4266">
        <v>1</v>
      </c>
      <c r="BJ4266">
        <v>1</v>
      </c>
      <c r="BK4266">
        <v>0</v>
      </c>
      <c r="BL4266">
        <v>0</v>
      </c>
      <c r="BO4266">
        <v>0</v>
      </c>
      <c r="BP4266">
        <v>0</v>
      </c>
      <c r="BW4266" t="str">
        <f t="shared" si="1970"/>
        <v>14:49:01.454</v>
      </c>
      <c r="CJ4266">
        <v>0</v>
      </c>
      <c r="CK4266">
        <v>2</v>
      </c>
      <c r="CL4266">
        <v>0</v>
      </c>
      <c r="CM4266">
        <v>2</v>
      </c>
      <c r="CN4266">
        <v>0</v>
      </c>
      <c r="CO4266">
        <v>5</v>
      </c>
      <c r="CP4266" t="s">
        <v>119</v>
      </c>
      <c r="CQ4266">
        <v>9</v>
      </c>
      <c r="CR4266">
        <v>0</v>
      </c>
      <c r="CW4266">
        <v>12953937</v>
      </c>
      <c r="CY4266">
        <v>1</v>
      </c>
      <c r="CZ4266">
        <v>0</v>
      </c>
      <c r="DA4266">
        <v>1</v>
      </c>
      <c r="DB4266">
        <v>0</v>
      </c>
      <c r="DC4266">
        <v>0</v>
      </c>
      <c r="DD4266">
        <v>1</v>
      </c>
      <c r="DE4266">
        <v>0</v>
      </c>
      <c r="DF4266">
        <v>0</v>
      </c>
      <c r="DG4266">
        <v>0</v>
      </c>
      <c r="DH4266">
        <v>0</v>
      </c>
      <c r="DI4266">
        <v>0</v>
      </c>
    </row>
    <row r="4267" spans="1:113" x14ac:dyDescent="0.3">
      <c r="A4267" t="str">
        <f t="shared" ref="A4267:A4275" si="1971">"05/12/2020 14:48:44.549"</f>
        <v>05/12/2020 14:48:44.549</v>
      </c>
      <c r="C4267" t="str">
        <f t="shared" si="1962"/>
        <v>FFDFD3C0</v>
      </c>
      <c r="D4267" t="s">
        <v>134</v>
      </c>
      <c r="E4267">
        <v>12</v>
      </c>
      <c r="H4267">
        <v>64</v>
      </c>
      <c r="I4267" t="s">
        <v>135</v>
      </c>
      <c r="J4267" t="s">
        <v>136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 t="shared" ref="S4267:S4275" si="1972">"14:49:02.383"</f>
        <v>14:49:02.383</v>
      </c>
      <c r="T4267" t="str">
        <f t="shared" ref="T4267:T4275" si="1973">"14:49:02.183"</f>
        <v>14:49:02.183</v>
      </c>
      <c r="U4267" t="str">
        <f t="shared" si="1955"/>
        <v>A9808D</v>
      </c>
      <c r="V4267">
        <v>0</v>
      </c>
      <c r="W4267">
        <v>0</v>
      </c>
      <c r="X4267">
        <v>1</v>
      </c>
      <c r="Z4267">
        <v>0</v>
      </c>
      <c r="AA4267">
        <v>9</v>
      </c>
      <c r="AB4267">
        <v>3</v>
      </c>
      <c r="AC4267">
        <v>0</v>
      </c>
      <c r="AD4267">
        <v>10</v>
      </c>
      <c r="AE4267">
        <v>0</v>
      </c>
      <c r="AF4267">
        <v>3</v>
      </c>
      <c r="AG4267">
        <v>2</v>
      </c>
      <c r="AH4267">
        <v>0</v>
      </c>
      <c r="AI4267" t="s">
        <v>968</v>
      </c>
      <c r="AJ4267">
        <v>28.255334000000001</v>
      </c>
      <c r="AK4267" t="s">
        <v>969</v>
      </c>
      <c r="AL4267">
        <v>-82.311200999999997</v>
      </c>
      <c r="AM4267">
        <v>100</v>
      </c>
      <c r="AN4267">
        <v>2300</v>
      </c>
      <c r="AO4267" t="s">
        <v>118</v>
      </c>
      <c r="AP4267">
        <v>-105</v>
      </c>
      <c r="AQ4267">
        <v>-94</v>
      </c>
      <c r="AR4267">
        <v>-64</v>
      </c>
      <c r="AZ4267">
        <v>1200</v>
      </c>
      <c r="BA4267">
        <v>1</v>
      </c>
      <c r="BB4267" t="str">
        <f t="shared" si="1963"/>
        <v xml:space="preserve">N711JA  </v>
      </c>
      <c r="BC4267">
        <v>1</v>
      </c>
      <c r="BE4267">
        <v>0</v>
      </c>
      <c r="BF4267">
        <v>0</v>
      </c>
      <c r="BG4267">
        <v>0</v>
      </c>
      <c r="BH4267">
        <v>2325</v>
      </c>
      <c r="BI4267">
        <v>1</v>
      </c>
      <c r="BJ4267">
        <v>1</v>
      </c>
      <c r="BK4267">
        <v>0</v>
      </c>
      <c r="BL4267">
        <v>0</v>
      </c>
      <c r="BO4267">
        <v>0</v>
      </c>
      <c r="BP4267">
        <v>0</v>
      </c>
      <c r="BW4267" t="str">
        <f t="shared" ref="BW4267:BW4275" si="1974">"14:49:02.388"</f>
        <v>14:49:02.388</v>
      </c>
      <c r="CJ4267">
        <v>0</v>
      </c>
      <c r="CK4267">
        <v>2</v>
      </c>
      <c r="CL4267">
        <v>0</v>
      </c>
      <c r="CM4267">
        <v>2</v>
      </c>
      <c r="CN4267">
        <v>0</v>
      </c>
      <c r="CO4267">
        <v>6</v>
      </c>
      <c r="CP4267" t="s">
        <v>119</v>
      </c>
      <c r="CQ4267">
        <v>358</v>
      </c>
      <c r="CR4267">
        <v>0</v>
      </c>
      <c r="CW4267">
        <v>5103421</v>
      </c>
      <c r="CY4267">
        <v>1</v>
      </c>
      <c r="CZ4267">
        <v>0</v>
      </c>
      <c r="DA4267">
        <v>0</v>
      </c>
      <c r="DB4267">
        <v>0</v>
      </c>
      <c r="DC4267">
        <v>0</v>
      </c>
      <c r="DD4267">
        <v>1</v>
      </c>
      <c r="DE4267">
        <v>0</v>
      </c>
      <c r="DF4267">
        <v>0</v>
      </c>
      <c r="DG4267">
        <v>0</v>
      </c>
      <c r="DH4267">
        <v>0</v>
      </c>
      <c r="DI4267">
        <v>0</v>
      </c>
    </row>
    <row r="4268" spans="1:113" x14ac:dyDescent="0.3">
      <c r="A4268" t="str">
        <f t="shared" si="1971"/>
        <v>05/12/2020 14:48:44.549</v>
      </c>
      <c r="C4268" t="str">
        <f t="shared" si="1962"/>
        <v>FFDFD3C0</v>
      </c>
      <c r="D4268" t="s">
        <v>113</v>
      </c>
      <c r="E4268">
        <v>3</v>
      </c>
      <c r="H4268">
        <v>164</v>
      </c>
      <c r="I4268" t="s">
        <v>114</v>
      </c>
      <c r="J4268" t="s">
        <v>115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 t="shared" si="1972"/>
        <v>14:49:02.383</v>
      </c>
      <c r="T4268" t="str">
        <f t="shared" si="1973"/>
        <v>14:49:02.183</v>
      </c>
      <c r="U4268" t="str">
        <f t="shared" si="1955"/>
        <v>A9808D</v>
      </c>
      <c r="V4268">
        <v>0</v>
      </c>
      <c r="W4268">
        <v>0</v>
      </c>
      <c r="X4268">
        <v>1</v>
      </c>
      <c r="Z4268">
        <v>0</v>
      </c>
      <c r="AA4268">
        <v>9</v>
      </c>
      <c r="AB4268">
        <v>3</v>
      </c>
      <c r="AC4268">
        <v>0</v>
      </c>
      <c r="AD4268">
        <v>10</v>
      </c>
      <c r="AE4268">
        <v>0</v>
      </c>
      <c r="AF4268">
        <v>3</v>
      </c>
      <c r="AG4268">
        <v>2</v>
      </c>
      <c r="AH4268">
        <v>0</v>
      </c>
      <c r="AI4268" t="s">
        <v>968</v>
      </c>
      <c r="AJ4268">
        <v>28.255334000000001</v>
      </c>
      <c r="AK4268" t="s">
        <v>969</v>
      </c>
      <c r="AL4268">
        <v>-82.311200999999997</v>
      </c>
      <c r="AM4268">
        <v>100</v>
      </c>
      <c r="AN4268">
        <v>2300</v>
      </c>
      <c r="AO4268" t="s">
        <v>118</v>
      </c>
      <c r="AP4268">
        <v>-105</v>
      </c>
      <c r="AQ4268">
        <v>-94</v>
      </c>
      <c r="AR4268">
        <v>-64</v>
      </c>
      <c r="AZ4268">
        <v>1200</v>
      </c>
      <c r="BA4268">
        <v>1</v>
      </c>
      <c r="BB4268" t="str">
        <f t="shared" si="1963"/>
        <v xml:space="preserve">N711JA  </v>
      </c>
      <c r="BC4268">
        <v>1</v>
      </c>
      <c r="BE4268">
        <v>0</v>
      </c>
      <c r="BF4268">
        <v>0</v>
      </c>
      <c r="BG4268">
        <v>0</v>
      </c>
      <c r="BH4268">
        <v>2325</v>
      </c>
      <c r="BI4268">
        <v>1</v>
      </c>
      <c r="BJ4268">
        <v>1</v>
      </c>
      <c r="BK4268">
        <v>0</v>
      </c>
      <c r="BL4268">
        <v>0</v>
      </c>
      <c r="BO4268">
        <v>0</v>
      </c>
      <c r="BP4268">
        <v>0</v>
      </c>
      <c r="BW4268" t="str">
        <f t="shared" si="1974"/>
        <v>14:49:02.388</v>
      </c>
      <c r="CJ4268">
        <v>0</v>
      </c>
      <c r="CK4268">
        <v>2</v>
      </c>
      <c r="CL4268">
        <v>0</v>
      </c>
      <c r="CM4268">
        <v>2</v>
      </c>
      <c r="CN4268">
        <v>0</v>
      </c>
      <c r="CO4268">
        <v>6</v>
      </c>
      <c r="CP4268" t="s">
        <v>119</v>
      </c>
      <c r="CQ4268">
        <v>56</v>
      </c>
      <c r="CR4268">
        <v>2</v>
      </c>
      <c r="CW4268">
        <v>5130696</v>
      </c>
      <c r="CY4268">
        <v>1</v>
      </c>
      <c r="CZ4268">
        <v>0</v>
      </c>
      <c r="DA4268">
        <v>1</v>
      </c>
      <c r="DB4268">
        <v>0</v>
      </c>
      <c r="DC4268">
        <v>0</v>
      </c>
      <c r="DD4268">
        <v>1</v>
      </c>
      <c r="DE4268">
        <v>0</v>
      </c>
      <c r="DF4268">
        <v>0</v>
      </c>
      <c r="DG4268">
        <v>0</v>
      </c>
      <c r="DH4268">
        <v>0</v>
      </c>
      <c r="DI4268">
        <v>0</v>
      </c>
    </row>
    <row r="4269" spans="1:113" x14ac:dyDescent="0.3">
      <c r="A4269" t="str">
        <f t="shared" si="1971"/>
        <v>05/12/2020 14:48:44.549</v>
      </c>
      <c r="C4269" t="str">
        <f t="shared" si="1962"/>
        <v>FFDFD3C0</v>
      </c>
      <c r="D4269" t="s">
        <v>138</v>
      </c>
      <c r="E4269">
        <v>2</v>
      </c>
      <c r="H4269">
        <v>8</v>
      </c>
      <c r="I4269" t="s">
        <v>139</v>
      </c>
      <c r="J4269" t="s">
        <v>136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 t="shared" si="1972"/>
        <v>14:49:02.383</v>
      </c>
      <c r="T4269" t="str">
        <f t="shared" si="1973"/>
        <v>14:49:02.183</v>
      </c>
      <c r="U4269" t="str">
        <f t="shared" si="1955"/>
        <v>A9808D</v>
      </c>
      <c r="V4269">
        <v>0</v>
      </c>
      <c r="W4269">
        <v>0</v>
      </c>
      <c r="X4269">
        <v>1</v>
      </c>
      <c r="Z4269">
        <v>0</v>
      </c>
      <c r="AA4269">
        <v>9</v>
      </c>
      <c r="AB4269">
        <v>3</v>
      </c>
      <c r="AC4269">
        <v>0</v>
      </c>
      <c r="AD4269">
        <v>10</v>
      </c>
      <c r="AE4269">
        <v>0</v>
      </c>
      <c r="AF4269">
        <v>3</v>
      </c>
      <c r="AG4269">
        <v>2</v>
      </c>
      <c r="AH4269">
        <v>0</v>
      </c>
      <c r="AI4269" t="s">
        <v>968</v>
      </c>
      <c r="AJ4269">
        <v>28.255334000000001</v>
      </c>
      <c r="AK4269" t="s">
        <v>969</v>
      </c>
      <c r="AL4269">
        <v>-82.311200999999997</v>
      </c>
      <c r="AM4269">
        <v>100</v>
      </c>
      <c r="AN4269">
        <v>2300</v>
      </c>
      <c r="AO4269" t="s">
        <v>118</v>
      </c>
      <c r="AP4269">
        <v>-105</v>
      </c>
      <c r="AQ4269">
        <v>-94</v>
      </c>
      <c r="AR4269">
        <v>-64</v>
      </c>
      <c r="AZ4269">
        <v>1200</v>
      </c>
      <c r="BA4269">
        <v>1</v>
      </c>
      <c r="BB4269" t="str">
        <f t="shared" si="1963"/>
        <v xml:space="preserve">N711JA  </v>
      </c>
      <c r="BC4269">
        <v>1</v>
      </c>
      <c r="BE4269">
        <v>0</v>
      </c>
      <c r="BF4269">
        <v>0</v>
      </c>
      <c r="BG4269">
        <v>0</v>
      </c>
      <c r="BH4269">
        <v>2325</v>
      </c>
      <c r="BI4269">
        <v>1</v>
      </c>
      <c r="BJ4269">
        <v>1</v>
      </c>
      <c r="BK4269">
        <v>0</v>
      </c>
      <c r="BL4269">
        <v>0</v>
      </c>
      <c r="BO4269">
        <v>0</v>
      </c>
      <c r="BP4269">
        <v>0</v>
      </c>
      <c r="BW4269" t="str">
        <f t="shared" si="1974"/>
        <v>14:49:02.388</v>
      </c>
      <c r="CJ4269">
        <v>0</v>
      </c>
      <c r="CK4269">
        <v>2</v>
      </c>
      <c r="CL4269">
        <v>0</v>
      </c>
      <c r="CM4269">
        <v>2</v>
      </c>
      <c r="CN4269">
        <v>0</v>
      </c>
      <c r="CO4269">
        <v>6</v>
      </c>
      <c r="CP4269" t="s">
        <v>119</v>
      </c>
      <c r="CQ4269">
        <v>56</v>
      </c>
      <c r="CR4269">
        <v>2</v>
      </c>
      <c r="CW4269">
        <v>5130696</v>
      </c>
      <c r="CY4269">
        <v>1</v>
      </c>
      <c r="CZ4269">
        <v>0</v>
      </c>
      <c r="DA4269">
        <v>1</v>
      </c>
      <c r="DB4269">
        <v>0</v>
      </c>
      <c r="DC4269">
        <v>0</v>
      </c>
      <c r="DD4269">
        <v>1</v>
      </c>
      <c r="DE4269">
        <v>0</v>
      </c>
      <c r="DF4269">
        <v>0</v>
      </c>
      <c r="DG4269">
        <v>0</v>
      </c>
      <c r="DH4269">
        <v>0</v>
      </c>
      <c r="DI4269">
        <v>0</v>
      </c>
    </row>
    <row r="4270" spans="1:113" x14ac:dyDescent="0.3">
      <c r="A4270" t="str">
        <f t="shared" si="1971"/>
        <v>05/12/2020 14:48:44.549</v>
      </c>
      <c r="C4270" t="str">
        <f t="shared" si="1962"/>
        <v>FFDFD3C0</v>
      </c>
      <c r="D4270" t="s">
        <v>138</v>
      </c>
      <c r="E4270">
        <v>3</v>
      </c>
      <c r="H4270">
        <v>9</v>
      </c>
      <c r="I4270" t="s">
        <v>140</v>
      </c>
      <c r="J4270" t="s">
        <v>136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 t="shared" si="1972"/>
        <v>14:49:02.383</v>
      </c>
      <c r="T4270" t="str">
        <f t="shared" si="1973"/>
        <v>14:49:02.183</v>
      </c>
      <c r="U4270" t="str">
        <f t="shared" si="1955"/>
        <v>A9808D</v>
      </c>
      <c r="V4270">
        <v>0</v>
      </c>
      <c r="W4270">
        <v>0</v>
      </c>
      <c r="X4270">
        <v>1</v>
      </c>
      <c r="Z4270">
        <v>0</v>
      </c>
      <c r="AA4270">
        <v>9</v>
      </c>
      <c r="AB4270">
        <v>3</v>
      </c>
      <c r="AC4270">
        <v>0</v>
      </c>
      <c r="AD4270">
        <v>10</v>
      </c>
      <c r="AE4270">
        <v>0</v>
      </c>
      <c r="AF4270">
        <v>3</v>
      </c>
      <c r="AG4270">
        <v>2</v>
      </c>
      <c r="AH4270">
        <v>0</v>
      </c>
      <c r="AI4270" t="s">
        <v>968</v>
      </c>
      <c r="AJ4270">
        <v>28.255334000000001</v>
      </c>
      <c r="AK4270" t="s">
        <v>969</v>
      </c>
      <c r="AL4270">
        <v>-82.311200999999997</v>
      </c>
      <c r="AM4270">
        <v>100</v>
      </c>
      <c r="AN4270">
        <v>2300</v>
      </c>
      <c r="AO4270" t="s">
        <v>118</v>
      </c>
      <c r="AP4270">
        <v>-105</v>
      </c>
      <c r="AQ4270">
        <v>-94</v>
      </c>
      <c r="AR4270">
        <v>-64</v>
      </c>
      <c r="AZ4270">
        <v>1200</v>
      </c>
      <c r="BA4270">
        <v>1</v>
      </c>
      <c r="BB4270" t="str">
        <f t="shared" si="1963"/>
        <v xml:space="preserve">N711JA  </v>
      </c>
      <c r="BC4270">
        <v>1</v>
      </c>
      <c r="BE4270">
        <v>0</v>
      </c>
      <c r="BF4270">
        <v>0</v>
      </c>
      <c r="BG4270">
        <v>0</v>
      </c>
      <c r="BH4270">
        <v>2325</v>
      </c>
      <c r="BI4270">
        <v>1</v>
      </c>
      <c r="BJ4270">
        <v>1</v>
      </c>
      <c r="BK4270">
        <v>0</v>
      </c>
      <c r="BL4270">
        <v>0</v>
      </c>
      <c r="BO4270">
        <v>0</v>
      </c>
      <c r="BP4270">
        <v>0</v>
      </c>
      <c r="BW4270" t="str">
        <f t="shared" si="1974"/>
        <v>14:49:02.388</v>
      </c>
      <c r="CJ4270">
        <v>0</v>
      </c>
      <c r="CK4270">
        <v>2</v>
      </c>
      <c r="CL4270">
        <v>0</v>
      </c>
      <c r="CM4270">
        <v>2</v>
      </c>
      <c r="CN4270">
        <v>0</v>
      </c>
      <c r="CO4270">
        <v>6</v>
      </c>
      <c r="CP4270" t="s">
        <v>119</v>
      </c>
      <c r="CQ4270">
        <v>358</v>
      </c>
      <c r="CR4270">
        <v>0</v>
      </c>
      <c r="CW4270">
        <v>5103421</v>
      </c>
      <c r="CY4270">
        <v>1</v>
      </c>
      <c r="CZ4270">
        <v>0</v>
      </c>
      <c r="DA4270">
        <v>1</v>
      </c>
      <c r="DB4270">
        <v>0</v>
      </c>
      <c r="DC4270">
        <v>0</v>
      </c>
      <c r="DD4270">
        <v>1</v>
      </c>
      <c r="DE4270">
        <v>0</v>
      </c>
      <c r="DF4270">
        <v>0</v>
      </c>
      <c r="DG4270">
        <v>0</v>
      </c>
      <c r="DH4270">
        <v>0</v>
      </c>
      <c r="DI4270">
        <v>0</v>
      </c>
    </row>
    <row r="4271" spans="1:113" x14ac:dyDescent="0.3">
      <c r="A4271" t="str">
        <f t="shared" si="1971"/>
        <v>05/12/2020 14:48:44.549</v>
      </c>
      <c r="C4271" t="str">
        <f t="shared" si="1962"/>
        <v>FFDFD3C0</v>
      </c>
      <c r="D4271" t="s">
        <v>131</v>
      </c>
      <c r="E4271">
        <v>10</v>
      </c>
      <c r="F4271">
        <v>2010</v>
      </c>
      <c r="G4271" t="s">
        <v>132</v>
      </c>
      <c r="J4271" t="s">
        <v>133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 t="shared" si="1972"/>
        <v>14:49:02.383</v>
      </c>
      <c r="T4271" t="str">
        <f t="shared" si="1973"/>
        <v>14:49:02.183</v>
      </c>
      <c r="U4271" t="str">
        <f t="shared" si="1955"/>
        <v>A9808D</v>
      </c>
      <c r="V4271">
        <v>0</v>
      </c>
      <c r="W4271">
        <v>0</v>
      </c>
      <c r="X4271">
        <v>1</v>
      </c>
      <c r="Z4271">
        <v>0</v>
      </c>
      <c r="AA4271">
        <v>9</v>
      </c>
      <c r="AB4271">
        <v>3</v>
      </c>
      <c r="AC4271">
        <v>0</v>
      </c>
      <c r="AD4271">
        <v>10</v>
      </c>
      <c r="AE4271">
        <v>0</v>
      </c>
      <c r="AF4271">
        <v>3</v>
      </c>
      <c r="AG4271">
        <v>2</v>
      </c>
      <c r="AH4271">
        <v>0</v>
      </c>
      <c r="AI4271" t="s">
        <v>968</v>
      </c>
      <c r="AJ4271">
        <v>28.255334000000001</v>
      </c>
      <c r="AK4271" t="s">
        <v>969</v>
      </c>
      <c r="AL4271">
        <v>-82.311200999999997</v>
      </c>
      <c r="AM4271">
        <v>100</v>
      </c>
      <c r="AN4271">
        <v>2300</v>
      </c>
      <c r="AO4271" t="s">
        <v>118</v>
      </c>
      <c r="AP4271">
        <v>-105</v>
      </c>
      <c r="AQ4271">
        <v>-94</v>
      </c>
      <c r="AR4271">
        <v>-64</v>
      </c>
      <c r="AZ4271">
        <v>1200</v>
      </c>
      <c r="BA4271">
        <v>1</v>
      </c>
      <c r="BB4271" t="str">
        <f t="shared" si="1963"/>
        <v xml:space="preserve">N711JA  </v>
      </c>
      <c r="BC4271">
        <v>1</v>
      </c>
      <c r="BE4271">
        <v>0</v>
      </c>
      <c r="BF4271">
        <v>0</v>
      </c>
      <c r="BG4271">
        <v>0</v>
      </c>
      <c r="BH4271">
        <v>2325</v>
      </c>
      <c r="BI4271">
        <v>1</v>
      </c>
      <c r="BJ4271">
        <v>1</v>
      </c>
      <c r="BK4271">
        <v>0</v>
      </c>
      <c r="BL4271">
        <v>0</v>
      </c>
      <c r="BO4271">
        <v>0</v>
      </c>
      <c r="BP4271">
        <v>0</v>
      </c>
      <c r="BW4271" t="str">
        <f t="shared" si="1974"/>
        <v>14:49:02.388</v>
      </c>
      <c r="CJ4271">
        <v>0</v>
      </c>
      <c r="CK4271">
        <v>2</v>
      </c>
      <c r="CL4271">
        <v>0</v>
      </c>
      <c r="CM4271">
        <v>2</v>
      </c>
      <c r="CN4271">
        <v>0</v>
      </c>
      <c r="CO4271">
        <v>6</v>
      </c>
      <c r="CP4271" t="s">
        <v>119</v>
      </c>
      <c r="CQ4271">
        <v>358</v>
      </c>
      <c r="CR4271">
        <v>0</v>
      </c>
      <c r="CW4271">
        <v>5103421</v>
      </c>
      <c r="CY4271">
        <v>1</v>
      </c>
      <c r="CZ4271">
        <v>0</v>
      </c>
      <c r="DA4271">
        <v>1</v>
      </c>
      <c r="DB4271">
        <v>0</v>
      </c>
      <c r="DC4271">
        <v>0</v>
      </c>
      <c r="DD4271">
        <v>1</v>
      </c>
      <c r="DE4271">
        <v>0</v>
      </c>
      <c r="DF4271">
        <v>0</v>
      </c>
      <c r="DG4271">
        <v>0</v>
      </c>
      <c r="DH4271">
        <v>0</v>
      </c>
      <c r="DI4271">
        <v>0</v>
      </c>
    </row>
    <row r="4272" spans="1:113" x14ac:dyDescent="0.3">
      <c r="A4272" t="str">
        <f t="shared" si="1971"/>
        <v>05/12/2020 14:48:44.549</v>
      </c>
      <c r="C4272" t="str">
        <f t="shared" si="1962"/>
        <v>FFDFD3C0</v>
      </c>
      <c r="D4272" t="s">
        <v>126</v>
      </c>
      <c r="E4272">
        <v>7</v>
      </c>
      <c r="F4272">
        <v>1007</v>
      </c>
      <c r="G4272" t="s">
        <v>127</v>
      </c>
      <c r="J4272" t="s">
        <v>128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 t="shared" si="1972"/>
        <v>14:49:02.383</v>
      </c>
      <c r="T4272" t="str">
        <f t="shared" si="1973"/>
        <v>14:49:02.183</v>
      </c>
      <c r="U4272" t="str">
        <f t="shared" si="1955"/>
        <v>A9808D</v>
      </c>
      <c r="V4272">
        <v>0</v>
      </c>
      <c r="W4272">
        <v>0</v>
      </c>
      <c r="X4272">
        <v>1</v>
      </c>
      <c r="Z4272">
        <v>0</v>
      </c>
      <c r="AA4272">
        <v>9</v>
      </c>
      <c r="AB4272">
        <v>3</v>
      </c>
      <c r="AC4272">
        <v>0</v>
      </c>
      <c r="AD4272">
        <v>10</v>
      </c>
      <c r="AE4272">
        <v>0</v>
      </c>
      <c r="AF4272">
        <v>3</v>
      </c>
      <c r="AG4272">
        <v>2</v>
      </c>
      <c r="AH4272">
        <v>0</v>
      </c>
      <c r="AI4272" t="s">
        <v>968</v>
      </c>
      <c r="AJ4272">
        <v>28.255334000000001</v>
      </c>
      <c r="AK4272" t="s">
        <v>969</v>
      </c>
      <c r="AL4272">
        <v>-82.311200999999997</v>
      </c>
      <c r="AM4272">
        <v>100</v>
      </c>
      <c r="AN4272">
        <v>2300</v>
      </c>
      <c r="AO4272" t="s">
        <v>118</v>
      </c>
      <c r="AP4272">
        <v>-105</v>
      </c>
      <c r="AQ4272">
        <v>-94</v>
      </c>
      <c r="AR4272">
        <v>-64</v>
      </c>
      <c r="AZ4272">
        <v>1200</v>
      </c>
      <c r="BA4272">
        <v>1</v>
      </c>
      <c r="BB4272" t="str">
        <f t="shared" si="1963"/>
        <v xml:space="preserve">N711JA  </v>
      </c>
      <c r="BC4272">
        <v>1</v>
      </c>
      <c r="BE4272">
        <v>0</v>
      </c>
      <c r="BF4272">
        <v>0</v>
      </c>
      <c r="BG4272">
        <v>0</v>
      </c>
      <c r="BH4272">
        <v>2325</v>
      </c>
      <c r="BI4272">
        <v>1</v>
      </c>
      <c r="BJ4272">
        <v>1</v>
      </c>
      <c r="BK4272">
        <v>0</v>
      </c>
      <c r="BL4272">
        <v>0</v>
      </c>
      <c r="BO4272">
        <v>0</v>
      </c>
      <c r="BP4272">
        <v>0</v>
      </c>
      <c r="BW4272" t="str">
        <f t="shared" si="1974"/>
        <v>14:49:02.388</v>
      </c>
      <c r="CJ4272">
        <v>0</v>
      </c>
      <c r="CK4272">
        <v>2</v>
      </c>
      <c r="CL4272">
        <v>0</v>
      </c>
      <c r="CM4272">
        <v>2</v>
      </c>
      <c r="CN4272">
        <v>0</v>
      </c>
      <c r="CO4272">
        <v>6</v>
      </c>
      <c r="CP4272" t="s">
        <v>119</v>
      </c>
      <c r="CQ4272">
        <v>358</v>
      </c>
      <c r="CR4272">
        <v>0</v>
      </c>
      <c r="CW4272">
        <v>5103421</v>
      </c>
      <c r="CY4272">
        <v>1</v>
      </c>
      <c r="CZ4272">
        <v>0</v>
      </c>
      <c r="DA4272">
        <v>1</v>
      </c>
      <c r="DB4272">
        <v>0</v>
      </c>
      <c r="DC4272">
        <v>0</v>
      </c>
      <c r="DD4272">
        <v>1</v>
      </c>
      <c r="DE4272">
        <v>0</v>
      </c>
      <c r="DF4272">
        <v>0</v>
      </c>
      <c r="DG4272">
        <v>0</v>
      </c>
      <c r="DH4272">
        <v>0</v>
      </c>
      <c r="DI4272">
        <v>0</v>
      </c>
    </row>
    <row r="4273" spans="1:113" x14ac:dyDescent="0.3">
      <c r="A4273" t="str">
        <f t="shared" si="1971"/>
        <v>05/12/2020 14:48:44.549</v>
      </c>
      <c r="C4273" t="str">
        <f t="shared" si="1962"/>
        <v>FFDFD3C0</v>
      </c>
      <c r="D4273" t="s">
        <v>131</v>
      </c>
      <c r="E4273">
        <v>12</v>
      </c>
      <c r="F4273">
        <v>2012</v>
      </c>
      <c r="G4273" t="s">
        <v>137</v>
      </c>
      <c r="J4273" t="s">
        <v>133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 t="shared" si="1972"/>
        <v>14:49:02.383</v>
      </c>
      <c r="T4273" t="str">
        <f t="shared" si="1973"/>
        <v>14:49:02.183</v>
      </c>
      <c r="U4273" t="str">
        <f t="shared" si="1955"/>
        <v>A9808D</v>
      </c>
      <c r="V4273">
        <v>0</v>
      </c>
      <c r="W4273">
        <v>0</v>
      </c>
      <c r="X4273">
        <v>1</v>
      </c>
      <c r="Z4273">
        <v>0</v>
      </c>
      <c r="AA4273">
        <v>9</v>
      </c>
      <c r="AB4273">
        <v>3</v>
      </c>
      <c r="AC4273">
        <v>0</v>
      </c>
      <c r="AD4273">
        <v>10</v>
      </c>
      <c r="AE4273">
        <v>0</v>
      </c>
      <c r="AF4273">
        <v>3</v>
      </c>
      <c r="AG4273">
        <v>2</v>
      </c>
      <c r="AH4273">
        <v>0</v>
      </c>
      <c r="AI4273" t="s">
        <v>968</v>
      </c>
      <c r="AJ4273">
        <v>28.255334000000001</v>
      </c>
      <c r="AK4273" t="s">
        <v>969</v>
      </c>
      <c r="AL4273">
        <v>-82.311200999999997</v>
      </c>
      <c r="AM4273">
        <v>100</v>
      </c>
      <c r="AN4273">
        <v>2300</v>
      </c>
      <c r="AO4273" t="s">
        <v>118</v>
      </c>
      <c r="AP4273">
        <v>-105</v>
      </c>
      <c r="AQ4273">
        <v>-94</v>
      </c>
      <c r="AR4273">
        <v>-64</v>
      </c>
      <c r="AZ4273">
        <v>1200</v>
      </c>
      <c r="BA4273">
        <v>1</v>
      </c>
      <c r="BB4273" t="str">
        <f t="shared" si="1963"/>
        <v xml:space="preserve">N711JA  </v>
      </c>
      <c r="BC4273">
        <v>1</v>
      </c>
      <c r="BE4273">
        <v>0</v>
      </c>
      <c r="BF4273">
        <v>0</v>
      </c>
      <c r="BG4273">
        <v>0</v>
      </c>
      <c r="BH4273">
        <v>2325</v>
      </c>
      <c r="BI4273">
        <v>1</v>
      </c>
      <c r="BJ4273">
        <v>1</v>
      </c>
      <c r="BK4273">
        <v>0</v>
      </c>
      <c r="BL4273">
        <v>0</v>
      </c>
      <c r="BO4273">
        <v>0</v>
      </c>
      <c r="BP4273">
        <v>0</v>
      </c>
      <c r="BW4273" t="str">
        <f t="shared" si="1974"/>
        <v>14:49:02.388</v>
      </c>
      <c r="CJ4273">
        <v>0</v>
      </c>
      <c r="CK4273">
        <v>2</v>
      </c>
      <c r="CL4273">
        <v>0</v>
      </c>
      <c r="CM4273">
        <v>2</v>
      </c>
      <c r="CN4273">
        <v>0</v>
      </c>
      <c r="CO4273">
        <v>6</v>
      </c>
      <c r="CP4273" t="s">
        <v>119</v>
      </c>
      <c r="CQ4273">
        <v>56</v>
      </c>
      <c r="CR4273">
        <v>2</v>
      </c>
      <c r="CW4273">
        <v>5130696</v>
      </c>
      <c r="CY4273">
        <v>1</v>
      </c>
      <c r="CZ4273">
        <v>0</v>
      </c>
      <c r="DA4273">
        <v>1</v>
      </c>
      <c r="DB4273">
        <v>0</v>
      </c>
      <c r="DC4273">
        <v>0</v>
      </c>
      <c r="DD4273">
        <v>1</v>
      </c>
      <c r="DE4273">
        <v>0</v>
      </c>
      <c r="DF4273">
        <v>0</v>
      </c>
      <c r="DG4273">
        <v>0</v>
      </c>
      <c r="DH4273">
        <v>0</v>
      </c>
      <c r="DI4273">
        <v>0</v>
      </c>
    </row>
    <row r="4274" spans="1:113" x14ac:dyDescent="0.3">
      <c r="A4274" t="str">
        <f t="shared" si="1971"/>
        <v>05/12/2020 14:48:44.549</v>
      </c>
      <c r="C4274" t="str">
        <f t="shared" si="1962"/>
        <v>FFDFD3C0</v>
      </c>
      <c r="D4274" t="s">
        <v>131</v>
      </c>
      <c r="E4274">
        <v>18</v>
      </c>
      <c r="F4274">
        <v>2018</v>
      </c>
      <c r="G4274" t="s">
        <v>161</v>
      </c>
      <c r="J4274" t="s">
        <v>133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 t="shared" si="1972"/>
        <v>14:49:02.383</v>
      </c>
      <c r="T4274" t="str">
        <f t="shared" si="1973"/>
        <v>14:49:02.183</v>
      </c>
      <c r="U4274" t="str">
        <f t="shared" si="1955"/>
        <v>A9808D</v>
      </c>
      <c r="V4274">
        <v>0</v>
      </c>
      <c r="W4274">
        <v>0</v>
      </c>
      <c r="X4274">
        <v>1</v>
      </c>
      <c r="Z4274">
        <v>0</v>
      </c>
      <c r="AA4274">
        <v>9</v>
      </c>
      <c r="AB4274">
        <v>3</v>
      </c>
      <c r="AC4274">
        <v>0</v>
      </c>
      <c r="AD4274">
        <v>10</v>
      </c>
      <c r="AE4274">
        <v>0</v>
      </c>
      <c r="AF4274">
        <v>3</v>
      </c>
      <c r="AG4274">
        <v>2</v>
      </c>
      <c r="AH4274">
        <v>0</v>
      </c>
      <c r="AI4274" t="s">
        <v>968</v>
      </c>
      <c r="AJ4274">
        <v>28.255334000000001</v>
      </c>
      <c r="AK4274" t="s">
        <v>969</v>
      </c>
      <c r="AL4274">
        <v>-82.311200999999997</v>
      </c>
      <c r="AM4274">
        <v>100</v>
      </c>
      <c r="AN4274">
        <v>2300</v>
      </c>
      <c r="AO4274" t="s">
        <v>118</v>
      </c>
      <c r="AP4274">
        <v>-105</v>
      </c>
      <c r="AQ4274">
        <v>-94</v>
      </c>
      <c r="AR4274">
        <v>-64</v>
      </c>
      <c r="AZ4274">
        <v>1200</v>
      </c>
      <c r="BA4274">
        <v>1</v>
      </c>
      <c r="BB4274" t="str">
        <f t="shared" si="1963"/>
        <v xml:space="preserve">N711JA  </v>
      </c>
      <c r="BC4274">
        <v>1</v>
      </c>
      <c r="BE4274">
        <v>0</v>
      </c>
      <c r="BF4274">
        <v>0</v>
      </c>
      <c r="BG4274">
        <v>0</v>
      </c>
      <c r="BH4274">
        <v>2325</v>
      </c>
      <c r="BI4274">
        <v>1</v>
      </c>
      <c r="BJ4274">
        <v>1</v>
      </c>
      <c r="BK4274">
        <v>0</v>
      </c>
      <c r="BL4274">
        <v>0</v>
      </c>
      <c r="BO4274">
        <v>0</v>
      </c>
      <c r="BP4274">
        <v>0</v>
      </c>
      <c r="BW4274" t="str">
        <f t="shared" si="1974"/>
        <v>14:49:02.388</v>
      </c>
      <c r="CJ4274">
        <v>0</v>
      </c>
      <c r="CK4274">
        <v>2</v>
      </c>
      <c r="CL4274">
        <v>0</v>
      </c>
      <c r="CM4274">
        <v>2</v>
      </c>
      <c r="CN4274">
        <v>0</v>
      </c>
      <c r="CO4274">
        <v>6</v>
      </c>
      <c r="CP4274" t="s">
        <v>119</v>
      </c>
      <c r="CQ4274">
        <v>56</v>
      </c>
      <c r="CR4274">
        <v>2</v>
      </c>
      <c r="CW4274">
        <v>5130696</v>
      </c>
      <c r="CY4274">
        <v>1</v>
      </c>
      <c r="CZ4274">
        <v>0</v>
      </c>
      <c r="DA4274">
        <v>1</v>
      </c>
      <c r="DB4274">
        <v>0</v>
      </c>
      <c r="DC4274">
        <v>0</v>
      </c>
      <c r="DD4274">
        <v>1</v>
      </c>
      <c r="DE4274">
        <v>0</v>
      </c>
      <c r="DF4274">
        <v>0</v>
      </c>
      <c r="DG4274">
        <v>0</v>
      </c>
      <c r="DH4274">
        <v>0</v>
      </c>
      <c r="DI4274">
        <v>0</v>
      </c>
    </row>
    <row r="4275" spans="1:113" x14ac:dyDescent="0.3">
      <c r="A4275" t="str">
        <f t="shared" si="1971"/>
        <v>05/12/2020 14:48:44.549</v>
      </c>
      <c r="C4275" t="str">
        <f t="shared" si="1962"/>
        <v>FFDFD3C0</v>
      </c>
      <c r="D4275" t="s">
        <v>126</v>
      </c>
      <c r="E4275">
        <v>6</v>
      </c>
      <c r="F4275">
        <v>1006</v>
      </c>
      <c r="G4275" t="s">
        <v>114</v>
      </c>
      <c r="J4275" t="s">
        <v>128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 t="shared" si="1972"/>
        <v>14:49:02.383</v>
      </c>
      <c r="T4275" t="str">
        <f t="shared" si="1973"/>
        <v>14:49:02.183</v>
      </c>
      <c r="U4275" t="str">
        <f t="shared" si="1955"/>
        <v>A9808D</v>
      </c>
      <c r="V4275">
        <v>0</v>
      </c>
      <c r="W4275">
        <v>0</v>
      </c>
      <c r="X4275">
        <v>1</v>
      </c>
      <c r="Z4275">
        <v>0</v>
      </c>
      <c r="AA4275">
        <v>9</v>
      </c>
      <c r="AB4275">
        <v>3</v>
      </c>
      <c r="AC4275">
        <v>0</v>
      </c>
      <c r="AD4275">
        <v>10</v>
      </c>
      <c r="AE4275">
        <v>0</v>
      </c>
      <c r="AF4275">
        <v>3</v>
      </c>
      <c r="AG4275">
        <v>2</v>
      </c>
      <c r="AH4275">
        <v>0</v>
      </c>
      <c r="AI4275" t="s">
        <v>968</v>
      </c>
      <c r="AJ4275">
        <v>28.255334000000001</v>
      </c>
      <c r="AK4275" t="s">
        <v>969</v>
      </c>
      <c r="AL4275">
        <v>-82.311200999999997</v>
      </c>
      <c r="AM4275">
        <v>100</v>
      </c>
      <c r="AN4275">
        <v>2300</v>
      </c>
      <c r="AO4275" t="s">
        <v>118</v>
      </c>
      <c r="AP4275">
        <v>-105</v>
      </c>
      <c r="AQ4275">
        <v>-94</v>
      </c>
      <c r="AR4275">
        <v>-64</v>
      </c>
      <c r="AZ4275">
        <v>1200</v>
      </c>
      <c r="BA4275">
        <v>1</v>
      </c>
      <c r="BB4275" t="str">
        <f t="shared" si="1963"/>
        <v xml:space="preserve">N711JA  </v>
      </c>
      <c r="BC4275">
        <v>1</v>
      </c>
      <c r="BE4275">
        <v>0</v>
      </c>
      <c r="BF4275">
        <v>0</v>
      </c>
      <c r="BG4275">
        <v>0</v>
      </c>
      <c r="BH4275">
        <v>2325</v>
      </c>
      <c r="BI4275">
        <v>1</v>
      </c>
      <c r="BJ4275">
        <v>1</v>
      </c>
      <c r="BK4275">
        <v>0</v>
      </c>
      <c r="BL4275">
        <v>0</v>
      </c>
      <c r="BO4275">
        <v>0</v>
      </c>
      <c r="BP4275">
        <v>0</v>
      </c>
      <c r="BW4275" t="str">
        <f t="shared" si="1974"/>
        <v>14:49:02.388</v>
      </c>
      <c r="CJ4275">
        <v>0</v>
      </c>
      <c r="CK4275">
        <v>2</v>
      </c>
      <c r="CL4275">
        <v>0</v>
      </c>
      <c r="CM4275">
        <v>2</v>
      </c>
      <c r="CN4275">
        <v>0</v>
      </c>
      <c r="CO4275">
        <v>6</v>
      </c>
      <c r="CP4275" t="s">
        <v>119</v>
      </c>
      <c r="CQ4275">
        <v>358</v>
      </c>
      <c r="CR4275">
        <v>0</v>
      </c>
      <c r="CW4275">
        <v>5103421</v>
      </c>
      <c r="CY4275">
        <v>1</v>
      </c>
      <c r="CZ4275">
        <v>0</v>
      </c>
      <c r="DA4275">
        <v>1</v>
      </c>
      <c r="DB4275">
        <v>0</v>
      </c>
      <c r="DC4275">
        <v>0</v>
      </c>
      <c r="DD4275">
        <v>1</v>
      </c>
      <c r="DE4275">
        <v>0</v>
      </c>
      <c r="DF4275">
        <v>0</v>
      </c>
      <c r="DG4275">
        <v>0</v>
      </c>
      <c r="DH4275">
        <v>0</v>
      </c>
      <c r="DI4275">
        <v>0</v>
      </c>
    </row>
    <row r="4276" spans="1:113" x14ac:dyDescent="0.3">
      <c r="A4276" t="str">
        <f t="shared" ref="A4276:A4284" si="1975">"05/12/2020 14:48:45.497"</f>
        <v>05/12/2020 14:48:45.497</v>
      </c>
      <c r="C4276" t="str">
        <f t="shared" si="1962"/>
        <v>FFDFD3C0</v>
      </c>
      <c r="D4276" t="s">
        <v>126</v>
      </c>
      <c r="E4276">
        <v>6</v>
      </c>
      <c r="F4276">
        <v>1006</v>
      </c>
      <c r="G4276" t="s">
        <v>114</v>
      </c>
      <c r="J4276" t="s">
        <v>128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 t="shared" ref="S4276:S4284" si="1976">"14:49:03.336"</f>
        <v>14:49:03.336</v>
      </c>
      <c r="T4276" t="str">
        <f t="shared" ref="T4276:T4284" si="1977">"14:49:03.236"</f>
        <v>14:49:03.236</v>
      </c>
      <c r="U4276" t="str">
        <f t="shared" si="1955"/>
        <v>A9808D</v>
      </c>
      <c r="V4276">
        <v>0</v>
      </c>
      <c r="W4276">
        <v>0</v>
      </c>
      <c r="X4276">
        <v>1</v>
      </c>
      <c r="Z4276">
        <v>0</v>
      </c>
      <c r="AA4276">
        <v>9</v>
      </c>
      <c r="AB4276">
        <v>3</v>
      </c>
      <c r="AC4276">
        <v>0</v>
      </c>
      <c r="AD4276">
        <v>10</v>
      </c>
      <c r="AE4276">
        <v>0</v>
      </c>
      <c r="AF4276">
        <v>3</v>
      </c>
      <c r="AG4276">
        <v>2</v>
      </c>
      <c r="AH4276">
        <v>0</v>
      </c>
      <c r="AI4276" t="s">
        <v>970</v>
      </c>
      <c r="AJ4276">
        <v>28.254926000000001</v>
      </c>
      <c r="AK4276" t="s">
        <v>971</v>
      </c>
      <c r="AL4276">
        <v>-82.311716000000004</v>
      </c>
      <c r="AM4276">
        <v>100</v>
      </c>
      <c r="AN4276">
        <v>2300</v>
      </c>
      <c r="AO4276" t="s">
        <v>118</v>
      </c>
      <c r="AP4276">
        <v>-106</v>
      </c>
      <c r="AQ4276">
        <v>-93</v>
      </c>
      <c r="AR4276">
        <v>-64</v>
      </c>
      <c r="AZ4276">
        <v>1200</v>
      </c>
      <c r="BA4276">
        <v>1</v>
      </c>
      <c r="BB4276" t="str">
        <f t="shared" si="1963"/>
        <v xml:space="preserve">N711JA  </v>
      </c>
      <c r="BC4276">
        <v>1</v>
      </c>
      <c r="BE4276">
        <v>0</v>
      </c>
      <c r="BF4276">
        <v>0</v>
      </c>
      <c r="BG4276">
        <v>0</v>
      </c>
      <c r="BH4276">
        <v>2300</v>
      </c>
      <c r="BI4276">
        <v>1</v>
      </c>
      <c r="BJ4276">
        <v>1</v>
      </c>
      <c r="BK4276">
        <v>0</v>
      </c>
      <c r="BL4276">
        <v>0</v>
      </c>
      <c r="BO4276">
        <v>0</v>
      </c>
      <c r="BP4276">
        <v>0</v>
      </c>
      <c r="BW4276" t="str">
        <f>"14:49:03.341"</f>
        <v>14:49:03.341</v>
      </c>
      <c r="CJ4276">
        <v>0</v>
      </c>
      <c r="CK4276">
        <v>2</v>
      </c>
      <c r="CL4276">
        <v>0</v>
      </c>
      <c r="CM4276">
        <v>2</v>
      </c>
      <c r="CN4276">
        <v>0</v>
      </c>
      <c r="CO4276">
        <v>6</v>
      </c>
      <c r="CP4276" t="s">
        <v>119</v>
      </c>
      <c r="CQ4276">
        <v>358</v>
      </c>
      <c r="CR4276">
        <v>0</v>
      </c>
      <c r="CW4276">
        <v>5104646</v>
      </c>
      <c r="CY4276">
        <v>1</v>
      </c>
      <c r="CZ4276">
        <v>0</v>
      </c>
      <c r="DA4276">
        <v>0</v>
      </c>
      <c r="DB4276">
        <v>0</v>
      </c>
      <c r="DC4276">
        <v>0</v>
      </c>
      <c r="DD4276">
        <v>1</v>
      </c>
      <c r="DE4276">
        <v>0</v>
      </c>
      <c r="DF4276">
        <v>0</v>
      </c>
      <c r="DG4276">
        <v>0</v>
      </c>
      <c r="DH4276">
        <v>0</v>
      </c>
      <c r="DI4276">
        <v>0</v>
      </c>
    </row>
    <row r="4277" spans="1:113" x14ac:dyDescent="0.3">
      <c r="A4277" t="str">
        <f t="shared" si="1975"/>
        <v>05/12/2020 14:48:45.497</v>
      </c>
      <c r="C4277" t="str">
        <f t="shared" si="1962"/>
        <v>FFDFD3C0</v>
      </c>
      <c r="D4277" t="s">
        <v>134</v>
      </c>
      <c r="E4277">
        <v>12</v>
      </c>
      <c r="H4277">
        <v>64</v>
      </c>
      <c r="I4277" t="s">
        <v>135</v>
      </c>
      <c r="J4277" t="s">
        <v>136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 t="shared" si="1976"/>
        <v>14:49:03.336</v>
      </c>
      <c r="T4277" t="str">
        <f t="shared" si="1977"/>
        <v>14:49:03.236</v>
      </c>
      <c r="U4277" t="str">
        <f t="shared" si="1955"/>
        <v>A9808D</v>
      </c>
      <c r="V4277">
        <v>0</v>
      </c>
      <c r="W4277">
        <v>0</v>
      </c>
      <c r="X4277">
        <v>1</v>
      </c>
      <c r="Z4277">
        <v>0</v>
      </c>
      <c r="AA4277">
        <v>9</v>
      </c>
      <c r="AB4277">
        <v>3</v>
      </c>
      <c r="AC4277">
        <v>0</v>
      </c>
      <c r="AD4277">
        <v>10</v>
      </c>
      <c r="AE4277">
        <v>0</v>
      </c>
      <c r="AF4277">
        <v>3</v>
      </c>
      <c r="AG4277">
        <v>2</v>
      </c>
      <c r="AH4277">
        <v>0</v>
      </c>
      <c r="AI4277" t="s">
        <v>970</v>
      </c>
      <c r="AJ4277">
        <v>28.254926000000001</v>
      </c>
      <c r="AK4277" t="s">
        <v>971</v>
      </c>
      <c r="AL4277">
        <v>-82.311716000000004</v>
      </c>
      <c r="AM4277">
        <v>100</v>
      </c>
      <c r="AN4277">
        <v>2300</v>
      </c>
      <c r="AO4277" t="s">
        <v>118</v>
      </c>
      <c r="AP4277">
        <v>-106</v>
      </c>
      <c r="AQ4277">
        <v>-93</v>
      </c>
      <c r="AR4277">
        <v>-64</v>
      </c>
      <c r="AZ4277">
        <v>1200</v>
      </c>
      <c r="BA4277">
        <v>1</v>
      </c>
      <c r="BB4277" t="str">
        <f t="shared" si="1963"/>
        <v xml:space="preserve">N711JA  </v>
      </c>
      <c r="BC4277">
        <v>1</v>
      </c>
      <c r="BE4277">
        <v>0</v>
      </c>
      <c r="BF4277">
        <v>0</v>
      </c>
      <c r="BG4277">
        <v>0</v>
      </c>
      <c r="BH4277">
        <v>2300</v>
      </c>
      <c r="BI4277">
        <v>1</v>
      </c>
      <c r="BJ4277">
        <v>1</v>
      </c>
      <c r="BK4277">
        <v>0</v>
      </c>
      <c r="BL4277">
        <v>0</v>
      </c>
      <c r="BO4277">
        <v>0</v>
      </c>
      <c r="BP4277">
        <v>0</v>
      </c>
      <c r="BW4277" t="str">
        <f>"14:49:03.341"</f>
        <v>14:49:03.341</v>
      </c>
      <c r="CJ4277">
        <v>0</v>
      </c>
      <c r="CK4277">
        <v>2</v>
      </c>
      <c r="CL4277">
        <v>0</v>
      </c>
      <c r="CM4277">
        <v>2</v>
      </c>
      <c r="CN4277">
        <v>0</v>
      </c>
      <c r="CO4277">
        <v>6</v>
      </c>
      <c r="CP4277" t="s">
        <v>119</v>
      </c>
      <c r="CQ4277">
        <v>358</v>
      </c>
      <c r="CR4277">
        <v>0</v>
      </c>
      <c r="CW4277">
        <v>5104646</v>
      </c>
      <c r="CY4277">
        <v>1</v>
      </c>
      <c r="CZ4277">
        <v>0</v>
      </c>
      <c r="DA4277">
        <v>1</v>
      </c>
      <c r="DB4277">
        <v>0</v>
      </c>
      <c r="DC4277">
        <v>0</v>
      </c>
      <c r="DD4277">
        <v>1</v>
      </c>
      <c r="DE4277">
        <v>0</v>
      </c>
      <c r="DF4277">
        <v>0</v>
      </c>
      <c r="DG4277">
        <v>0</v>
      </c>
      <c r="DH4277">
        <v>0</v>
      </c>
      <c r="DI4277">
        <v>0</v>
      </c>
    </row>
    <row r="4278" spans="1:113" x14ac:dyDescent="0.3">
      <c r="A4278" t="str">
        <f t="shared" si="1975"/>
        <v>05/12/2020 14:48:45.497</v>
      </c>
      <c r="C4278" t="str">
        <f t="shared" si="1962"/>
        <v>FFDFD3C0</v>
      </c>
      <c r="D4278" t="s">
        <v>113</v>
      </c>
      <c r="E4278">
        <v>3</v>
      </c>
      <c r="H4278">
        <v>164</v>
      </c>
      <c r="I4278" t="s">
        <v>114</v>
      </c>
      <c r="J4278" t="s">
        <v>115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 t="shared" si="1976"/>
        <v>14:49:03.336</v>
      </c>
      <c r="T4278" t="str">
        <f t="shared" si="1977"/>
        <v>14:49:03.236</v>
      </c>
      <c r="U4278" t="str">
        <f t="shared" si="1955"/>
        <v>A9808D</v>
      </c>
      <c r="V4278">
        <v>0</v>
      </c>
      <c r="W4278">
        <v>0</v>
      </c>
      <c r="X4278">
        <v>1</v>
      </c>
      <c r="Z4278">
        <v>0</v>
      </c>
      <c r="AA4278">
        <v>9</v>
      </c>
      <c r="AB4278">
        <v>3</v>
      </c>
      <c r="AC4278">
        <v>0</v>
      </c>
      <c r="AD4278">
        <v>10</v>
      </c>
      <c r="AE4278">
        <v>0</v>
      </c>
      <c r="AF4278">
        <v>3</v>
      </c>
      <c r="AG4278">
        <v>2</v>
      </c>
      <c r="AH4278">
        <v>0</v>
      </c>
      <c r="AI4278" t="s">
        <v>970</v>
      </c>
      <c r="AJ4278">
        <v>28.254926000000001</v>
      </c>
      <c r="AK4278" t="s">
        <v>971</v>
      </c>
      <c r="AL4278">
        <v>-82.311716000000004</v>
      </c>
      <c r="AM4278">
        <v>100</v>
      </c>
      <c r="AN4278">
        <v>2300</v>
      </c>
      <c r="AO4278" t="s">
        <v>118</v>
      </c>
      <c r="AP4278">
        <v>-106</v>
      </c>
      <c r="AQ4278">
        <v>-93</v>
      </c>
      <c r="AR4278">
        <v>-64</v>
      </c>
      <c r="AZ4278">
        <v>1200</v>
      </c>
      <c r="BA4278">
        <v>1</v>
      </c>
      <c r="BB4278" t="str">
        <f t="shared" si="1963"/>
        <v xml:space="preserve">N711JA  </v>
      </c>
      <c r="BC4278">
        <v>1</v>
      </c>
      <c r="BE4278">
        <v>0</v>
      </c>
      <c r="BF4278">
        <v>0</v>
      </c>
      <c r="BG4278">
        <v>0</v>
      </c>
      <c r="BH4278">
        <v>2300</v>
      </c>
      <c r="BI4278">
        <v>1</v>
      </c>
      <c r="BJ4278">
        <v>1</v>
      </c>
      <c r="BK4278">
        <v>0</v>
      </c>
      <c r="BL4278">
        <v>0</v>
      </c>
      <c r="BO4278">
        <v>0</v>
      </c>
      <c r="BP4278">
        <v>0</v>
      </c>
      <c r="BW4278" t="str">
        <f>"14:49:03.342"</f>
        <v>14:49:03.342</v>
      </c>
      <c r="CJ4278">
        <v>0</v>
      </c>
      <c r="CK4278">
        <v>2</v>
      </c>
      <c r="CL4278">
        <v>0</v>
      </c>
      <c r="CM4278">
        <v>2</v>
      </c>
      <c r="CN4278">
        <v>0</v>
      </c>
      <c r="CO4278">
        <v>6</v>
      </c>
      <c r="CP4278" t="s">
        <v>119</v>
      </c>
      <c r="CQ4278">
        <v>56</v>
      </c>
      <c r="CR4278">
        <v>2</v>
      </c>
      <c r="CW4278">
        <v>5131921</v>
      </c>
      <c r="CY4278">
        <v>1</v>
      </c>
      <c r="CZ4278">
        <v>0</v>
      </c>
      <c r="DA4278">
        <v>1</v>
      </c>
      <c r="DB4278">
        <v>0</v>
      </c>
      <c r="DC4278">
        <v>0</v>
      </c>
      <c r="DD4278">
        <v>1</v>
      </c>
      <c r="DE4278">
        <v>0</v>
      </c>
      <c r="DF4278">
        <v>0</v>
      </c>
      <c r="DG4278">
        <v>0</v>
      </c>
      <c r="DH4278">
        <v>0</v>
      </c>
      <c r="DI4278">
        <v>0</v>
      </c>
    </row>
    <row r="4279" spans="1:113" x14ac:dyDescent="0.3">
      <c r="A4279" t="str">
        <f t="shared" si="1975"/>
        <v>05/12/2020 14:48:45.497</v>
      </c>
      <c r="C4279" t="str">
        <f t="shared" si="1962"/>
        <v>FFDFD3C0</v>
      </c>
      <c r="D4279" t="s">
        <v>138</v>
      </c>
      <c r="E4279">
        <v>2</v>
      </c>
      <c r="H4279">
        <v>8</v>
      </c>
      <c r="I4279" t="s">
        <v>139</v>
      </c>
      <c r="J4279" t="s">
        <v>136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 t="shared" si="1976"/>
        <v>14:49:03.336</v>
      </c>
      <c r="T4279" t="str">
        <f t="shared" si="1977"/>
        <v>14:49:03.236</v>
      </c>
      <c r="U4279" t="str">
        <f t="shared" si="1955"/>
        <v>A9808D</v>
      </c>
      <c r="V4279">
        <v>0</v>
      </c>
      <c r="W4279">
        <v>0</v>
      </c>
      <c r="X4279">
        <v>1</v>
      </c>
      <c r="Z4279">
        <v>0</v>
      </c>
      <c r="AA4279">
        <v>9</v>
      </c>
      <c r="AB4279">
        <v>3</v>
      </c>
      <c r="AC4279">
        <v>0</v>
      </c>
      <c r="AD4279">
        <v>10</v>
      </c>
      <c r="AE4279">
        <v>0</v>
      </c>
      <c r="AF4279">
        <v>3</v>
      </c>
      <c r="AG4279">
        <v>2</v>
      </c>
      <c r="AH4279">
        <v>0</v>
      </c>
      <c r="AI4279" t="s">
        <v>970</v>
      </c>
      <c r="AJ4279">
        <v>28.254926000000001</v>
      </c>
      <c r="AK4279" t="s">
        <v>971</v>
      </c>
      <c r="AL4279">
        <v>-82.311716000000004</v>
      </c>
      <c r="AM4279">
        <v>100</v>
      </c>
      <c r="AN4279">
        <v>2300</v>
      </c>
      <c r="AO4279" t="s">
        <v>118</v>
      </c>
      <c r="AP4279">
        <v>-106</v>
      </c>
      <c r="AQ4279">
        <v>-93</v>
      </c>
      <c r="AR4279">
        <v>-64</v>
      </c>
      <c r="AZ4279">
        <v>1200</v>
      </c>
      <c r="BA4279">
        <v>1</v>
      </c>
      <c r="BB4279" t="str">
        <f t="shared" si="1963"/>
        <v xml:space="preserve">N711JA  </v>
      </c>
      <c r="BC4279">
        <v>1</v>
      </c>
      <c r="BE4279">
        <v>0</v>
      </c>
      <c r="BF4279">
        <v>0</v>
      </c>
      <c r="BG4279">
        <v>0</v>
      </c>
      <c r="BH4279">
        <v>2300</v>
      </c>
      <c r="BI4279">
        <v>1</v>
      </c>
      <c r="BJ4279">
        <v>1</v>
      </c>
      <c r="BK4279">
        <v>0</v>
      </c>
      <c r="BL4279">
        <v>0</v>
      </c>
      <c r="BO4279">
        <v>0</v>
      </c>
      <c r="BP4279">
        <v>0</v>
      </c>
      <c r="BW4279" t="str">
        <f>"14:49:03.342"</f>
        <v>14:49:03.342</v>
      </c>
      <c r="CJ4279">
        <v>0</v>
      </c>
      <c r="CK4279">
        <v>2</v>
      </c>
      <c r="CL4279">
        <v>0</v>
      </c>
      <c r="CM4279">
        <v>2</v>
      </c>
      <c r="CN4279">
        <v>0</v>
      </c>
      <c r="CO4279">
        <v>6</v>
      </c>
      <c r="CP4279" t="s">
        <v>119</v>
      </c>
      <c r="CQ4279">
        <v>56</v>
      </c>
      <c r="CR4279">
        <v>2</v>
      </c>
      <c r="CW4279">
        <v>5131921</v>
      </c>
      <c r="CY4279">
        <v>1</v>
      </c>
      <c r="CZ4279">
        <v>0</v>
      </c>
      <c r="DA4279">
        <v>1</v>
      </c>
      <c r="DB4279">
        <v>0</v>
      </c>
      <c r="DC4279">
        <v>0</v>
      </c>
      <c r="DD4279">
        <v>1</v>
      </c>
      <c r="DE4279">
        <v>0</v>
      </c>
      <c r="DF4279">
        <v>0</v>
      </c>
      <c r="DG4279">
        <v>0</v>
      </c>
      <c r="DH4279">
        <v>0</v>
      </c>
      <c r="DI4279">
        <v>0</v>
      </c>
    </row>
    <row r="4280" spans="1:113" x14ac:dyDescent="0.3">
      <c r="A4280" t="str">
        <f t="shared" si="1975"/>
        <v>05/12/2020 14:48:45.497</v>
      </c>
      <c r="C4280" t="str">
        <f t="shared" si="1962"/>
        <v>FFDFD3C0</v>
      </c>
      <c r="D4280" t="s">
        <v>138</v>
      </c>
      <c r="E4280">
        <v>3</v>
      </c>
      <c r="H4280">
        <v>9</v>
      </c>
      <c r="I4280" t="s">
        <v>140</v>
      </c>
      <c r="J4280" t="s">
        <v>136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 t="shared" si="1976"/>
        <v>14:49:03.336</v>
      </c>
      <c r="T4280" t="str">
        <f t="shared" si="1977"/>
        <v>14:49:03.236</v>
      </c>
      <c r="U4280" t="str">
        <f t="shared" si="1955"/>
        <v>A9808D</v>
      </c>
      <c r="V4280">
        <v>0</v>
      </c>
      <c r="W4280">
        <v>0</v>
      </c>
      <c r="X4280">
        <v>1</v>
      </c>
      <c r="Z4280">
        <v>0</v>
      </c>
      <c r="AA4280">
        <v>9</v>
      </c>
      <c r="AB4280">
        <v>3</v>
      </c>
      <c r="AC4280">
        <v>0</v>
      </c>
      <c r="AD4280">
        <v>10</v>
      </c>
      <c r="AE4280">
        <v>0</v>
      </c>
      <c r="AF4280">
        <v>3</v>
      </c>
      <c r="AG4280">
        <v>2</v>
      </c>
      <c r="AH4280">
        <v>0</v>
      </c>
      <c r="AI4280" t="s">
        <v>970</v>
      </c>
      <c r="AJ4280">
        <v>28.254926000000001</v>
      </c>
      <c r="AK4280" t="s">
        <v>971</v>
      </c>
      <c r="AL4280">
        <v>-82.311716000000004</v>
      </c>
      <c r="AM4280">
        <v>100</v>
      </c>
      <c r="AN4280">
        <v>2300</v>
      </c>
      <c r="AO4280" t="s">
        <v>118</v>
      </c>
      <c r="AP4280">
        <v>-106</v>
      </c>
      <c r="AQ4280">
        <v>-93</v>
      </c>
      <c r="AR4280">
        <v>-64</v>
      </c>
      <c r="AZ4280">
        <v>1200</v>
      </c>
      <c r="BA4280">
        <v>1</v>
      </c>
      <c r="BB4280" t="str">
        <f t="shared" si="1963"/>
        <v xml:space="preserve">N711JA  </v>
      </c>
      <c r="BC4280">
        <v>1</v>
      </c>
      <c r="BE4280">
        <v>0</v>
      </c>
      <c r="BF4280">
        <v>0</v>
      </c>
      <c r="BG4280">
        <v>0</v>
      </c>
      <c r="BH4280">
        <v>2300</v>
      </c>
      <c r="BI4280">
        <v>1</v>
      </c>
      <c r="BJ4280">
        <v>1</v>
      </c>
      <c r="BK4280">
        <v>0</v>
      </c>
      <c r="BL4280">
        <v>0</v>
      </c>
      <c r="BO4280">
        <v>0</v>
      </c>
      <c r="BP4280">
        <v>0</v>
      </c>
      <c r="BW4280" t="str">
        <f>"14:49:03.341"</f>
        <v>14:49:03.341</v>
      </c>
      <c r="CJ4280">
        <v>0</v>
      </c>
      <c r="CK4280">
        <v>2</v>
      </c>
      <c r="CL4280">
        <v>0</v>
      </c>
      <c r="CM4280">
        <v>2</v>
      </c>
      <c r="CN4280">
        <v>0</v>
      </c>
      <c r="CO4280">
        <v>6</v>
      </c>
      <c r="CP4280" t="s">
        <v>119</v>
      </c>
      <c r="CQ4280">
        <v>358</v>
      </c>
      <c r="CR4280">
        <v>0</v>
      </c>
      <c r="CW4280">
        <v>5104646</v>
      </c>
      <c r="CY4280">
        <v>1</v>
      </c>
      <c r="CZ4280">
        <v>0</v>
      </c>
      <c r="DA4280">
        <v>1</v>
      </c>
      <c r="DB4280">
        <v>0</v>
      </c>
      <c r="DC4280">
        <v>0</v>
      </c>
      <c r="DD4280">
        <v>1</v>
      </c>
      <c r="DE4280">
        <v>0</v>
      </c>
      <c r="DF4280">
        <v>0</v>
      </c>
      <c r="DG4280">
        <v>0</v>
      </c>
      <c r="DH4280">
        <v>0</v>
      </c>
      <c r="DI4280">
        <v>0</v>
      </c>
    </row>
    <row r="4281" spans="1:113" x14ac:dyDescent="0.3">
      <c r="A4281" t="str">
        <f t="shared" si="1975"/>
        <v>05/12/2020 14:48:45.497</v>
      </c>
      <c r="C4281" t="str">
        <f t="shared" si="1962"/>
        <v>FFDFD3C0</v>
      </c>
      <c r="D4281" t="s">
        <v>131</v>
      </c>
      <c r="E4281">
        <v>10</v>
      </c>
      <c r="F4281">
        <v>2010</v>
      </c>
      <c r="G4281" t="s">
        <v>132</v>
      </c>
      <c r="J4281" t="s">
        <v>133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 t="shared" si="1976"/>
        <v>14:49:03.336</v>
      </c>
      <c r="T4281" t="str">
        <f t="shared" si="1977"/>
        <v>14:49:03.236</v>
      </c>
      <c r="U4281" t="str">
        <f t="shared" si="1955"/>
        <v>A9808D</v>
      </c>
      <c r="V4281">
        <v>0</v>
      </c>
      <c r="W4281">
        <v>0</v>
      </c>
      <c r="X4281">
        <v>1</v>
      </c>
      <c r="Z4281">
        <v>0</v>
      </c>
      <c r="AA4281">
        <v>9</v>
      </c>
      <c r="AB4281">
        <v>3</v>
      </c>
      <c r="AC4281">
        <v>0</v>
      </c>
      <c r="AD4281">
        <v>10</v>
      </c>
      <c r="AE4281">
        <v>0</v>
      </c>
      <c r="AF4281">
        <v>3</v>
      </c>
      <c r="AG4281">
        <v>2</v>
      </c>
      <c r="AH4281">
        <v>0</v>
      </c>
      <c r="AI4281" t="s">
        <v>970</v>
      </c>
      <c r="AJ4281">
        <v>28.254926000000001</v>
      </c>
      <c r="AK4281" t="s">
        <v>971</v>
      </c>
      <c r="AL4281">
        <v>-82.311716000000004</v>
      </c>
      <c r="AM4281">
        <v>100</v>
      </c>
      <c r="AN4281">
        <v>2300</v>
      </c>
      <c r="AO4281" t="s">
        <v>118</v>
      </c>
      <c r="AP4281">
        <v>-106</v>
      </c>
      <c r="AQ4281">
        <v>-93</v>
      </c>
      <c r="AR4281">
        <v>-64</v>
      </c>
      <c r="AZ4281">
        <v>1200</v>
      </c>
      <c r="BA4281">
        <v>1</v>
      </c>
      <c r="BB4281" t="str">
        <f t="shared" si="1963"/>
        <v xml:space="preserve">N711JA  </v>
      </c>
      <c r="BC4281">
        <v>1</v>
      </c>
      <c r="BE4281">
        <v>0</v>
      </c>
      <c r="BF4281">
        <v>0</v>
      </c>
      <c r="BG4281">
        <v>0</v>
      </c>
      <c r="BH4281">
        <v>2300</v>
      </c>
      <c r="BI4281">
        <v>1</v>
      </c>
      <c r="BJ4281">
        <v>1</v>
      </c>
      <c r="BK4281">
        <v>0</v>
      </c>
      <c r="BL4281">
        <v>0</v>
      </c>
      <c r="BO4281">
        <v>0</v>
      </c>
      <c r="BP4281">
        <v>0</v>
      </c>
      <c r="BW4281" t="str">
        <f>"14:49:03.341"</f>
        <v>14:49:03.341</v>
      </c>
      <c r="CJ4281">
        <v>0</v>
      </c>
      <c r="CK4281">
        <v>2</v>
      </c>
      <c r="CL4281">
        <v>0</v>
      </c>
      <c r="CM4281">
        <v>2</v>
      </c>
      <c r="CN4281">
        <v>0</v>
      </c>
      <c r="CO4281">
        <v>6</v>
      </c>
      <c r="CP4281" t="s">
        <v>119</v>
      </c>
      <c r="CQ4281">
        <v>358</v>
      </c>
      <c r="CR4281">
        <v>0</v>
      </c>
      <c r="CW4281">
        <v>5104646</v>
      </c>
      <c r="CY4281">
        <v>1</v>
      </c>
      <c r="CZ4281">
        <v>0</v>
      </c>
      <c r="DA4281">
        <v>1</v>
      </c>
      <c r="DB4281">
        <v>0</v>
      </c>
      <c r="DC4281">
        <v>0</v>
      </c>
      <c r="DD4281">
        <v>1</v>
      </c>
      <c r="DE4281">
        <v>0</v>
      </c>
      <c r="DF4281">
        <v>0</v>
      </c>
      <c r="DG4281">
        <v>0</v>
      </c>
      <c r="DH4281">
        <v>0</v>
      </c>
      <c r="DI4281">
        <v>0</v>
      </c>
    </row>
    <row r="4282" spans="1:113" x14ac:dyDescent="0.3">
      <c r="A4282" t="str">
        <f t="shared" si="1975"/>
        <v>05/12/2020 14:48:45.497</v>
      </c>
      <c r="C4282" t="str">
        <f t="shared" si="1962"/>
        <v>FFDFD3C0</v>
      </c>
      <c r="D4282" t="s">
        <v>126</v>
      </c>
      <c r="E4282">
        <v>7</v>
      </c>
      <c r="F4282">
        <v>1007</v>
      </c>
      <c r="G4282" t="s">
        <v>127</v>
      </c>
      <c r="J4282" t="s">
        <v>128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 t="shared" si="1976"/>
        <v>14:49:03.336</v>
      </c>
      <c r="T4282" t="str">
        <f t="shared" si="1977"/>
        <v>14:49:03.236</v>
      </c>
      <c r="U4282" t="str">
        <f t="shared" si="1955"/>
        <v>A9808D</v>
      </c>
      <c r="V4282">
        <v>0</v>
      </c>
      <c r="W4282">
        <v>0</v>
      </c>
      <c r="X4282">
        <v>1</v>
      </c>
      <c r="Z4282">
        <v>0</v>
      </c>
      <c r="AA4282">
        <v>9</v>
      </c>
      <c r="AB4282">
        <v>3</v>
      </c>
      <c r="AC4282">
        <v>0</v>
      </c>
      <c r="AD4282">
        <v>10</v>
      </c>
      <c r="AE4282">
        <v>0</v>
      </c>
      <c r="AF4282">
        <v>3</v>
      </c>
      <c r="AG4282">
        <v>2</v>
      </c>
      <c r="AH4282">
        <v>0</v>
      </c>
      <c r="AI4282" t="s">
        <v>970</v>
      </c>
      <c r="AJ4282">
        <v>28.254926000000001</v>
      </c>
      <c r="AK4282" t="s">
        <v>971</v>
      </c>
      <c r="AL4282">
        <v>-82.311716000000004</v>
      </c>
      <c r="AM4282">
        <v>100</v>
      </c>
      <c r="AN4282">
        <v>2300</v>
      </c>
      <c r="AO4282" t="s">
        <v>118</v>
      </c>
      <c r="AP4282">
        <v>-106</v>
      </c>
      <c r="AQ4282">
        <v>-93</v>
      </c>
      <c r="AR4282">
        <v>-64</v>
      </c>
      <c r="AZ4282">
        <v>1200</v>
      </c>
      <c r="BA4282">
        <v>1</v>
      </c>
      <c r="BB4282" t="str">
        <f t="shared" si="1963"/>
        <v xml:space="preserve">N711JA  </v>
      </c>
      <c r="BC4282">
        <v>1</v>
      </c>
      <c r="BE4282">
        <v>0</v>
      </c>
      <c r="BF4282">
        <v>0</v>
      </c>
      <c r="BG4282">
        <v>0</v>
      </c>
      <c r="BH4282">
        <v>2300</v>
      </c>
      <c r="BI4282">
        <v>1</v>
      </c>
      <c r="BJ4282">
        <v>1</v>
      </c>
      <c r="BK4282">
        <v>0</v>
      </c>
      <c r="BL4282">
        <v>0</v>
      </c>
      <c r="BO4282">
        <v>0</v>
      </c>
      <c r="BP4282">
        <v>0</v>
      </c>
      <c r="BW4282" t="str">
        <f>"14:49:03.341"</f>
        <v>14:49:03.341</v>
      </c>
      <c r="CJ4282">
        <v>0</v>
      </c>
      <c r="CK4282">
        <v>2</v>
      </c>
      <c r="CL4282">
        <v>0</v>
      </c>
      <c r="CM4282">
        <v>2</v>
      </c>
      <c r="CN4282">
        <v>0</v>
      </c>
      <c r="CO4282">
        <v>6</v>
      </c>
      <c r="CP4282" t="s">
        <v>119</v>
      </c>
      <c r="CQ4282">
        <v>358</v>
      </c>
      <c r="CR4282">
        <v>0</v>
      </c>
      <c r="CW4282">
        <v>5104646</v>
      </c>
      <c r="CY4282">
        <v>1</v>
      </c>
      <c r="CZ4282">
        <v>0</v>
      </c>
      <c r="DA4282">
        <v>1</v>
      </c>
      <c r="DB4282">
        <v>0</v>
      </c>
      <c r="DC4282">
        <v>0</v>
      </c>
      <c r="DD4282">
        <v>1</v>
      </c>
      <c r="DE4282">
        <v>0</v>
      </c>
      <c r="DF4282">
        <v>0</v>
      </c>
      <c r="DG4282">
        <v>0</v>
      </c>
      <c r="DH4282">
        <v>0</v>
      </c>
      <c r="DI4282">
        <v>0</v>
      </c>
    </row>
    <row r="4283" spans="1:113" x14ac:dyDescent="0.3">
      <c r="A4283" t="str">
        <f t="shared" si="1975"/>
        <v>05/12/2020 14:48:45.497</v>
      </c>
      <c r="C4283" t="str">
        <f t="shared" si="1962"/>
        <v>FFDFD3C0</v>
      </c>
      <c r="D4283" t="s">
        <v>131</v>
      </c>
      <c r="E4283">
        <v>12</v>
      </c>
      <c r="F4283">
        <v>2012</v>
      </c>
      <c r="G4283" t="s">
        <v>137</v>
      </c>
      <c r="J4283" t="s">
        <v>133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 t="shared" si="1976"/>
        <v>14:49:03.336</v>
      </c>
      <c r="T4283" t="str">
        <f t="shared" si="1977"/>
        <v>14:49:03.236</v>
      </c>
      <c r="U4283" t="str">
        <f t="shared" si="1955"/>
        <v>A9808D</v>
      </c>
      <c r="V4283">
        <v>0</v>
      </c>
      <c r="W4283">
        <v>0</v>
      </c>
      <c r="X4283">
        <v>1</v>
      </c>
      <c r="Z4283">
        <v>0</v>
      </c>
      <c r="AA4283">
        <v>9</v>
      </c>
      <c r="AB4283">
        <v>3</v>
      </c>
      <c r="AC4283">
        <v>0</v>
      </c>
      <c r="AD4283">
        <v>10</v>
      </c>
      <c r="AE4283">
        <v>0</v>
      </c>
      <c r="AF4283">
        <v>3</v>
      </c>
      <c r="AG4283">
        <v>2</v>
      </c>
      <c r="AH4283">
        <v>0</v>
      </c>
      <c r="AI4283" t="s">
        <v>970</v>
      </c>
      <c r="AJ4283">
        <v>28.254926000000001</v>
      </c>
      <c r="AK4283" t="s">
        <v>971</v>
      </c>
      <c r="AL4283">
        <v>-82.311716000000004</v>
      </c>
      <c r="AM4283">
        <v>100</v>
      </c>
      <c r="AN4283">
        <v>2300</v>
      </c>
      <c r="AO4283" t="s">
        <v>118</v>
      </c>
      <c r="AP4283">
        <v>-106</v>
      </c>
      <c r="AQ4283">
        <v>-93</v>
      </c>
      <c r="AR4283">
        <v>-64</v>
      </c>
      <c r="AZ4283">
        <v>1200</v>
      </c>
      <c r="BA4283">
        <v>1</v>
      </c>
      <c r="BB4283" t="str">
        <f t="shared" si="1963"/>
        <v xml:space="preserve">N711JA  </v>
      </c>
      <c r="BC4283">
        <v>1</v>
      </c>
      <c r="BE4283">
        <v>0</v>
      </c>
      <c r="BF4283">
        <v>0</v>
      </c>
      <c r="BG4283">
        <v>0</v>
      </c>
      <c r="BH4283">
        <v>2300</v>
      </c>
      <c r="BI4283">
        <v>1</v>
      </c>
      <c r="BJ4283">
        <v>1</v>
      </c>
      <c r="BK4283">
        <v>0</v>
      </c>
      <c r="BL4283">
        <v>0</v>
      </c>
      <c r="BO4283">
        <v>0</v>
      </c>
      <c r="BP4283">
        <v>0</v>
      </c>
      <c r="BW4283" t="str">
        <f>"14:49:03.342"</f>
        <v>14:49:03.342</v>
      </c>
      <c r="CJ4283">
        <v>0</v>
      </c>
      <c r="CK4283">
        <v>2</v>
      </c>
      <c r="CL4283">
        <v>0</v>
      </c>
      <c r="CM4283">
        <v>2</v>
      </c>
      <c r="CN4283">
        <v>0</v>
      </c>
      <c r="CO4283">
        <v>6</v>
      </c>
      <c r="CP4283" t="s">
        <v>119</v>
      </c>
      <c r="CQ4283">
        <v>56</v>
      </c>
      <c r="CR4283">
        <v>2</v>
      </c>
      <c r="CW4283">
        <v>5131921</v>
      </c>
      <c r="CY4283">
        <v>1</v>
      </c>
      <c r="CZ4283">
        <v>0</v>
      </c>
      <c r="DA4283">
        <v>1</v>
      </c>
      <c r="DB4283">
        <v>0</v>
      </c>
      <c r="DC4283">
        <v>0</v>
      </c>
      <c r="DD4283">
        <v>1</v>
      </c>
      <c r="DE4283">
        <v>0</v>
      </c>
      <c r="DF4283">
        <v>0</v>
      </c>
      <c r="DG4283">
        <v>0</v>
      </c>
      <c r="DH4283">
        <v>0</v>
      </c>
      <c r="DI4283">
        <v>0</v>
      </c>
    </row>
    <row r="4284" spans="1:113" x14ac:dyDescent="0.3">
      <c r="A4284" t="str">
        <f t="shared" si="1975"/>
        <v>05/12/2020 14:48:45.497</v>
      </c>
      <c r="C4284" t="str">
        <f t="shared" si="1962"/>
        <v>FFDFD3C0</v>
      </c>
      <c r="D4284" t="s">
        <v>131</v>
      </c>
      <c r="E4284">
        <v>18</v>
      </c>
      <c r="F4284">
        <v>2018</v>
      </c>
      <c r="G4284" t="s">
        <v>161</v>
      </c>
      <c r="J4284" t="s">
        <v>133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 t="shared" si="1976"/>
        <v>14:49:03.336</v>
      </c>
      <c r="T4284" t="str">
        <f t="shared" si="1977"/>
        <v>14:49:03.236</v>
      </c>
      <c r="U4284" t="str">
        <f t="shared" si="1955"/>
        <v>A9808D</v>
      </c>
      <c r="V4284">
        <v>0</v>
      </c>
      <c r="W4284">
        <v>0</v>
      </c>
      <c r="X4284">
        <v>1</v>
      </c>
      <c r="Z4284">
        <v>0</v>
      </c>
      <c r="AA4284">
        <v>9</v>
      </c>
      <c r="AB4284">
        <v>3</v>
      </c>
      <c r="AC4284">
        <v>0</v>
      </c>
      <c r="AD4284">
        <v>10</v>
      </c>
      <c r="AE4284">
        <v>0</v>
      </c>
      <c r="AF4284">
        <v>3</v>
      </c>
      <c r="AG4284">
        <v>2</v>
      </c>
      <c r="AH4284">
        <v>0</v>
      </c>
      <c r="AI4284" t="s">
        <v>970</v>
      </c>
      <c r="AJ4284">
        <v>28.254926000000001</v>
      </c>
      <c r="AK4284" t="s">
        <v>971</v>
      </c>
      <c r="AL4284">
        <v>-82.311716000000004</v>
      </c>
      <c r="AM4284">
        <v>100</v>
      </c>
      <c r="AN4284">
        <v>2300</v>
      </c>
      <c r="AO4284" t="s">
        <v>118</v>
      </c>
      <c r="AP4284">
        <v>-106</v>
      </c>
      <c r="AQ4284">
        <v>-93</v>
      </c>
      <c r="AR4284">
        <v>-64</v>
      </c>
      <c r="AZ4284">
        <v>1200</v>
      </c>
      <c r="BA4284">
        <v>1</v>
      </c>
      <c r="BB4284" t="str">
        <f t="shared" si="1963"/>
        <v xml:space="preserve">N711JA  </v>
      </c>
      <c r="BC4284">
        <v>1</v>
      </c>
      <c r="BE4284">
        <v>0</v>
      </c>
      <c r="BF4284">
        <v>0</v>
      </c>
      <c r="BG4284">
        <v>0</v>
      </c>
      <c r="BH4284">
        <v>2300</v>
      </c>
      <c r="BI4284">
        <v>1</v>
      </c>
      <c r="BJ4284">
        <v>1</v>
      </c>
      <c r="BK4284">
        <v>0</v>
      </c>
      <c r="BL4284">
        <v>0</v>
      </c>
      <c r="BO4284">
        <v>0</v>
      </c>
      <c r="BP4284">
        <v>0</v>
      </c>
      <c r="BW4284" t="str">
        <f>"14:49:03.342"</f>
        <v>14:49:03.342</v>
      </c>
      <c r="CJ4284">
        <v>0</v>
      </c>
      <c r="CK4284">
        <v>2</v>
      </c>
      <c r="CL4284">
        <v>0</v>
      </c>
      <c r="CM4284">
        <v>2</v>
      </c>
      <c r="CN4284">
        <v>0</v>
      </c>
      <c r="CO4284">
        <v>6</v>
      </c>
      <c r="CP4284" t="s">
        <v>119</v>
      </c>
      <c r="CQ4284">
        <v>56</v>
      </c>
      <c r="CR4284">
        <v>2</v>
      </c>
      <c r="CW4284">
        <v>5131921</v>
      </c>
      <c r="CY4284">
        <v>1</v>
      </c>
      <c r="CZ4284">
        <v>0</v>
      </c>
      <c r="DA4284">
        <v>1</v>
      </c>
      <c r="DB4284">
        <v>0</v>
      </c>
      <c r="DC4284">
        <v>0</v>
      </c>
      <c r="DD4284">
        <v>1</v>
      </c>
      <c r="DE4284">
        <v>0</v>
      </c>
      <c r="DF4284">
        <v>0</v>
      </c>
      <c r="DG4284">
        <v>0</v>
      </c>
      <c r="DH4284">
        <v>0</v>
      </c>
      <c r="DI4284">
        <v>0</v>
      </c>
    </row>
    <row r="4285" spans="1:113" x14ac:dyDescent="0.3">
      <c r="A4285" t="str">
        <f t="shared" ref="A4285:A4293" si="1978">"05/12/2020 14:48:46.581"</f>
        <v>05/12/2020 14:48:46.581</v>
      </c>
      <c r="C4285" t="str">
        <f t="shared" si="1962"/>
        <v>FFDFD3C0</v>
      </c>
      <c r="D4285" t="s">
        <v>113</v>
      </c>
      <c r="E4285">
        <v>3</v>
      </c>
      <c r="H4285">
        <v>164</v>
      </c>
      <c r="I4285" t="s">
        <v>114</v>
      </c>
      <c r="J4285" t="s">
        <v>115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 t="shared" ref="S4285:S4293" si="1979">"14:49:04.414"</f>
        <v>14:49:04.414</v>
      </c>
      <c r="T4285" t="str">
        <f t="shared" ref="T4285:T4293" si="1980">"14:49:04.314"</f>
        <v>14:49:04.314</v>
      </c>
      <c r="U4285" t="str">
        <f t="shared" si="1955"/>
        <v>A9808D</v>
      </c>
      <c r="V4285">
        <v>0</v>
      </c>
      <c r="W4285">
        <v>0</v>
      </c>
      <c r="X4285">
        <v>1</v>
      </c>
      <c r="Z4285">
        <v>0</v>
      </c>
      <c r="AA4285">
        <v>9</v>
      </c>
      <c r="AB4285">
        <v>3</v>
      </c>
      <c r="AC4285">
        <v>0</v>
      </c>
      <c r="AD4285">
        <v>10</v>
      </c>
      <c r="AE4285">
        <v>0</v>
      </c>
      <c r="AF4285">
        <v>3</v>
      </c>
      <c r="AG4285">
        <v>2</v>
      </c>
      <c r="AH4285">
        <v>0</v>
      </c>
      <c r="AI4285" t="s">
        <v>972</v>
      </c>
      <c r="AJ4285">
        <v>28.254453999999999</v>
      </c>
      <c r="AK4285" t="s">
        <v>973</v>
      </c>
      <c r="AL4285">
        <v>-82.312359999999998</v>
      </c>
      <c r="AM4285">
        <v>100</v>
      </c>
      <c r="AN4285">
        <v>2300</v>
      </c>
      <c r="AO4285" t="s">
        <v>118</v>
      </c>
      <c r="AP4285">
        <v>-108</v>
      </c>
      <c r="AQ4285">
        <v>-92</v>
      </c>
      <c r="AR4285">
        <v>-192</v>
      </c>
      <c r="AZ4285">
        <v>1200</v>
      </c>
      <c r="BA4285">
        <v>1</v>
      </c>
      <c r="BB4285" t="str">
        <f t="shared" si="1963"/>
        <v xml:space="preserve">N711JA  </v>
      </c>
      <c r="BC4285">
        <v>1</v>
      </c>
      <c r="BE4285">
        <v>0</v>
      </c>
      <c r="BF4285">
        <v>0</v>
      </c>
      <c r="BG4285">
        <v>0</v>
      </c>
      <c r="BH4285">
        <v>2300</v>
      </c>
      <c r="BI4285">
        <v>1</v>
      </c>
      <c r="BJ4285">
        <v>1</v>
      </c>
      <c r="BK4285">
        <v>0</v>
      </c>
      <c r="BL4285">
        <v>0</v>
      </c>
      <c r="BO4285">
        <v>0</v>
      </c>
      <c r="BP4285">
        <v>0</v>
      </c>
      <c r="BW4285" t="str">
        <f t="shared" ref="BW4285:BW4293" si="1981">"14:49:04.419"</f>
        <v>14:49:04.419</v>
      </c>
      <c r="CJ4285">
        <v>0</v>
      </c>
      <c r="CK4285">
        <v>2</v>
      </c>
      <c r="CL4285">
        <v>0</v>
      </c>
      <c r="CM4285">
        <v>2</v>
      </c>
      <c r="CN4285">
        <v>0</v>
      </c>
      <c r="CO4285">
        <v>6</v>
      </c>
      <c r="CP4285" t="s">
        <v>119</v>
      </c>
      <c r="CQ4285">
        <v>56</v>
      </c>
      <c r="CR4285">
        <v>2</v>
      </c>
      <c r="CW4285">
        <v>5133297</v>
      </c>
      <c r="CY4285">
        <v>1</v>
      </c>
      <c r="CZ4285">
        <v>0</v>
      </c>
      <c r="DA4285">
        <v>0</v>
      </c>
      <c r="DB4285">
        <v>0</v>
      </c>
      <c r="DC4285">
        <v>0</v>
      </c>
      <c r="DD4285">
        <v>1</v>
      </c>
      <c r="DE4285">
        <v>0</v>
      </c>
      <c r="DF4285">
        <v>0</v>
      </c>
      <c r="DG4285">
        <v>0</v>
      </c>
      <c r="DH4285">
        <v>0</v>
      </c>
      <c r="DI4285">
        <v>0</v>
      </c>
    </row>
    <row r="4286" spans="1:113" x14ac:dyDescent="0.3">
      <c r="A4286" t="str">
        <f t="shared" si="1978"/>
        <v>05/12/2020 14:48:46.581</v>
      </c>
      <c r="C4286" t="str">
        <f t="shared" si="1962"/>
        <v>FFDFD3C0</v>
      </c>
      <c r="D4286" t="s">
        <v>138</v>
      </c>
      <c r="E4286">
        <v>2</v>
      </c>
      <c r="H4286">
        <v>8</v>
      </c>
      <c r="I4286" t="s">
        <v>139</v>
      </c>
      <c r="J4286" t="s">
        <v>136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 t="shared" si="1979"/>
        <v>14:49:04.414</v>
      </c>
      <c r="T4286" t="str">
        <f t="shared" si="1980"/>
        <v>14:49:04.314</v>
      </c>
      <c r="U4286" t="str">
        <f t="shared" si="1955"/>
        <v>A9808D</v>
      </c>
      <c r="V4286">
        <v>0</v>
      </c>
      <c r="W4286">
        <v>0</v>
      </c>
      <c r="X4286">
        <v>1</v>
      </c>
      <c r="Z4286">
        <v>0</v>
      </c>
      <c r="AA4286">
        <v>9</v>
      </c>
      <c r="AB4286">
        <v>3</v>
      </c>
      <c r="AC4286">
        <v>0</v>
      </c>
      <c r="AD4286">
        <v>10</v>
      </c>
      <c r="AE4286">
        <v>0</v>
      </c>
      <c r="AF4286">
        <v>3</v>
      </c>
      <c r="AG4286">
        <v>2</v>
      </c>
      <c r="AH4286">
        <v>0</v>
      </c>
      <c r="AI4286" t="s">
        <v>972</v>
      </c>
      <c r="AJ4286">
        <v>28.254453999999999</v>
      </c>
      <c r="AK4286" t="s">
        <v>973</v>
      </c>
      <c r="AL4286">
        <v>-82.312359999999998</v>
      </c>
      <c r="AM4286">
        <v>100</v>
      </c>
      <c r="AN4286">
        <v>2300</v>
      </c>
      <c r="AO4286" t="s">
        <v>118</v>
      </c>
      <c r="AP4286">
        <v>-108</v>
      </c>
      <c r="AQ4286">
        <v>-92</v>
      </c>
      <c r="AR4286">
        <v>-192</v>
      </c>
      <c r="AZ4286">
        <v>1200</v>
      </c>
      <c r="BA4286">
        <v>1</v>
      </c>
      <c r="BB4286" t="str">
        <f t="shared" si="1963"/>
        <v xml:space="preserve">N711JA  </v>
      </c>
      <c r="BC4286">
        <v>1</v>
      </c>
      <c r="BE4286">
        <v>0</v>
      </c>
      <c r="BF4286">
        <v>0</v>
      </c>
      <c r="BG4286">
        <v>0</v>
      </c>
      <c r="BH4286">
        <v>2300</v>
      </c>
      <c r="BI4286">
        <v>1</v>
      </c>
      <c r="BJ4286">
        <v>1</v>
      </c>
      <c r="BK4286">
        <v>0</v>
      </c>
      <c r="BL4286">
        <v>0</v>
      </c>
      <c r="BO4286">
        <v>0</v>
      </c>
      <c r="BP4286">
        <v>0</v>
      </c>
      <c r="BW4286" t="str">
        <f t="shared" si="1981"/>
        <v>14:49:04.419</v>
      </c>
      <c r="CJ4286">
        <v>0</v>
      </c>
      <c r="CK4286">
        <v>2</v>
      </c>
      <c r="CL4286">
        <v>0</v>
      </c>
      <c r="CM4286">
        <v>2</v>
      </c>
      <c r="CN4286">
        <v>0</v>
      </c>
      <c r="CO4286">
        <v>6</v>
      </c>
      <c r="CP4286" t="s">
        <v>119</v>
      </c>
      <c r="CQ4286">
        <v>56</v>
      </c>
      <c r="CR4286">
        <v>2</v>
      </c>
      <c r="CW4286">
        <v>5133297</v>
      </c>
      <c r="CY4286">
        <v>1</v>
      </c>
      <c r="CZ4286">
        <v>0</v>
      </c>
      <c r="DA4286">
        <v>1</v>
      </c>
      <c r="DB4286">
        <v>0</v>
      </c>
      <c r="DC4286">
        <v>0</v>
      </c>
      <c r="DD4286">
        <v>1</v>
      </c>
      <c r="DE4286">
        <v>0</v>
      </c>
      <c r="DF4286">
        <v>0</v>
      </c>
      <c r="DG4286">
        <v>0</v>
      </c>
      <c r="DH4286">
        <v>0</v>
      </c>
      <c r="DI4286">
        <v>0</v>
      </c>
    </row>
    <row r="4287" spans="1:113" x14ac:dyDescent="0.3">
      <c r="A4287" t="str">
        <f t="shared" si="1978"/>
        <v>05/12/2020 14:48:46.581</v>
      </c>
      <c r="C4287" t="str">
        <f t="shared" si="1962"/>
        <v>FFDFD3C0</v>
      </c>
      <c r="D4287" t="s">
        <v>138</v>
      </c>
      <c r="E4287">
        <v>3</v>
      </c>
      <c r="H4287">
        <v>9</v>
      </c>
      <c r="I4287" t="s">
        <v>140</v>
      </c>
      <c r="J4287" t="s">
        <v>136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 t="shared" si="1979"/>
        <v>14:49:04.414</v>
      </c>
      <c r="T4287" t="str">
        <f t="shared" si="1980"/>
        <v>14:49:04.314</v>
      </c>
      <c r="U4287" t="str">
        <f t="shared" si="1955"/>
        <v>A9808D</v>
      </c>
      <c r="V4287">
        <v>0</v>
      </c>
      <c r="W4287">
        <v>0</v>
      </c>
      <c r="X4287">
        <v>1</v>
      </c>
      <c r="Z4287">
        <v>0</v>
      </c>
      <c r="AA4287">
        <v>9</v>
      </c>
      <c r="AB4287">
        <v>3</v>
      </c>
      <c r="AC4287">
        <v>0</v>
      </c>
      <c r="AD4287">
        <v>10</v>
      </c>
      <c r="AE4287">
        <v>0</v>
      </c>
      <c r="AF4287">
        <v>3</v>
      </c>
      <c r="AG4287">
        <v>2</v>
      </c>
      <c r="AH4287">
        <v>0</v>
      </c>
      <c r="AI4287" t="s">
        <v>972</v>
      </c>
      <c r="AJ4287">
        <v>28.254453999999999</v>
      </c>
      <c r="AK4287" t="s">
        <v>973</v>
      </c>
      <c r="AL4287">
        <v>-82.312359999999998</v>
      </c>
      <c r="AM4287">
        <v>100</v>
      </c>
      <c r="AN4287">
        <v>2300</v>
      </c>
      <c r="AO4287" t="s">
        <v>118</v>
      </c>
      <c r="AP4287">
        <v>-108</v>
      </c>
      <c r="AQ4287">
        <v>-92</v>
      </c>
      <c r="AR4287">
        <v>-192</v>
      </c>
      <c r="AZ4287">
        <v>1200</v>
      </c>
      <c r="BA4287">
        <v>1</v>
      </c>
      <c r="BB4287" t="str">
        <f t="shared" si="1963"/>
        <v xml:space="preserve">N711JA  </v>
      </c>
      <c r="BC4287">
        <v>1</v>
      </c>
      <c r="BE4287">
        <v>0</v>
      </c>
      <c r="BF4287">
        <v>0</v>
      </c>
      <c r="BG4287">
        <v>0</v>
      </c>
      <c r="BH4287">
        <v>2300</v>
      </c>
      <c r="BI4287">
        <v>1</v>
      </c>
      <c r="BJ4287">
        <v>1</v>
      </c>
      <c r="BK4287">
        <v>0</v>
      </c>
      <c r="BL4287">
        <v>0</v>
      </c>
      <c r="BO4287">
        <v>0</v>
      </c>
      <c r="BP4287">
        <v>0</v>
      </c>
      <c r="BW4287" t="str">
        <f t="shared" si="1981"/>
        <v>14:49:04.419</v>
      </c>
      <c r="CJ4287">
        <v>0</v>
      </c>
      <c r="CK4287">
        <v>2</v>
      </c>
      <c r="CL4287">
        <v>0</v>
      </c>
      <c r="CM4287">
        <v>2</v>
      </c>
      <c r="CN4287">
        <v>0</v>
      </c>
      <c r="CO4287">
        <v>6</v>
      </c>
      <c r="CP4287" t="s">
        <v>119</v>
      </c>
      <c r="CQ4287">
        <v>358</v>
      </c>
      <c r="CR4287">
        <v>0</v>
      </c>
      <c r="CW4287">
        <v>5105915</v>
      </c>
      <c r="CY4287">
        <v>1</v>
      </c>
      <c r="CZ4287">
        <v>0</v>
      </c>
      <c r="DA4287">
        <v>1</v>
      </c>
      <c r="DB4287">
        <v>0</v>
      </c>
      <c r="DC4287">
        <v>0</v>
      </c>
      <c r="DD4287">
        <v>1</v>
      </c>
      <c r="DE4287">
        <v>0</v>
      </c>
      <c r="DF4287">
        <v>0</v>
      </c>
      <c r="DG4287">
        <v>0</v>
      </c>
      <c r="DH4287">
        <v>0</v>
      </c>
      <c r="DI4287">
        <v>0</v>
      </c>
    </row>
    <row r="4288" spans="1:113" x14ac:dyDescent="0.3">
      <c r="A4288" t="str">
        <f t="shared" si="1978"/>
        <v>05/12/2020 14:48:46.581</v>
      </c>
      <c r="C4288" t="str">
        <f t="shared" si="1962"/>
        <v>FFDFD3C0</v>
      </c>
      <c r="D4288" t="s">
        <v>131</v>
      </c>
      <c r="E4288">
        <v>10</v>
      </c>
      <c r="F4288">
        <v>2010</v>
      </c>
      <c r="G4288" t="s">
        <v>132</v>
      </c>
      <c r="J4288" t="s">
        <v>133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 t="shared" si="1979"/>
        <v>14:49:04.414</v>
      </c>
      <c r="T4288" t="str">
        <f t="shared" si="1980"/>
        <v>14:49:04.314</v>
      </c>
      <c r="U4288" t="str">
        <f t="shared" si="1955"/>
        <v>A9808D</v>
      </c>
      <c r="V4288">
        <v>0</v>
      </c>
      <c r="W4288">
        <v>0</v>
      </c>
      <c r="X4288">
        <v>1</v>
      </c>
      <c r="Z4288">
        <v>0</v>
      </c>
      <c r="AA4288">
        <v>9</v>
      </c>
      <c r="AB4288">
        <v>3</v>
      </c>
      <c r="AC4288">
        <v>0</v>
      </c>
      <c r="AD4288">
        <v>10</v>
      </c>
      <c r="AE4288">
        <v>0</v>
      </c>
      <c r="AF4288">
        <v>3</v>
      </c>
      <c r="AG4288">
        <v>2</v>
      </c>
      <c r="AH4288">
        <v>0</v>
      </c>
      <c r="AI4288" t="s">
        <v>972</v>
      </c>
      <c r="AJ4288">
        <v>28.254453999999999</v>
      </c>
      <c r="AK4288" t="s">
        <v>973</v>
      </c>
      <c r="AL4288">
        <v>-82.312359999999998</v>
      </c>
      <c r="AM4288">
        <v>100</v>
      </c>
      <c r="AN4288">
        <v>2300</v>
      </c>
      <c r="AO4288" t="s">
        <v>118</v>
      </c>
      <c r="AP4288">
        <v>-108</v>
      </c>
      <c r="AQ4288">
        <v>-92</v>
      </c>
      <c r="AR4288">
        <v>-192</v>
      </c>
      <c r="AZ4288">
        <v>1200</v>
      </c>
      <c r="BA4288">
        <v>1</v>
      </c>
      <c r="BB4288" t="str">
        <f t="shared" si="1963"/>
        <v xml:space="preserve">N711JA  </v>
      </c>
      <c r="BC4288">
        <v>1</v>
      </c>
      <c r="BE4288">
        <v>0</v>
      </c>
      <c r="BF4288">
        <v>0</v>
      </c>
      <c r="BG4288">
        <v>0</v>
      </c>
      <c r="BH4288">
        <v>2300</v>
      </c>
      <c r="BI4288">
        <v>1</v>
      </c>
      <c r="BJ4288">
        <v>1</v>
      </c>
      <c r="BK4288">
        <v>0</v>
      </c>
      <c r="BL4288">
        <v>0</v>
      </c>
      <c r="BO4288">
        <v>0</v>
      </c>
      <c r="BP4288">
        <v>0</v>
      </c>
      <c r="BW4288" t="str">
        <f t="shared" si="1981"/>
        <v>14:49:04.419</v>
      </c>
      <c r="CJ4288">
        <v>0</v>
      </c>
      <c r="CK4288">
        <v>2</v>
      </c>
      <c r="CL4288">
        <v>0</v>
      </c>
      <c r="CM4288">
        <v>2</v>
      </c>
      <c r="CN4288">
        <v>0</v>
      </c>
      <c r="CO4288">
        <v>6</v>
      </c>
      <c r="CP4288" t="s">
        <v>119</v>
      </c>
      <c r="CQ4288">
        <v>358</v>
      </c>
      <c r="CR4288">
        <v>0</v>
      </c>
      <c r="CW4288">
        <v>5105915</v>
      </c>
      <c r="CY4288">
        <v>1</v>
      </c>
      <c r="CZ4288">
        <v>0</v>
      </c>
      <c r="DA4288">
        <v>1</v>
      </c>
      <c r="DB4288">
        <v>0</v>
      </c>
      <c r="DC4288">
        <v>0</v>
      </c>
      <c r="DD4288">
        <v>1</v>
      </c>
      <c r="DE4288">
        <v>0</v>
      </c>
      <c r="DF4288">
        <v>0</v>
      </c>
      <c r="DG4288">
        <v>0</v>
      </c>
      <c r="DH4288">
        <v>0</v>
      </c>
      <c r="DI4288">
        <v>0</v>
      </c>
    </row>
    <row r="4289" spans="1:113" x14ac:dyDescent="0.3">
      <c r="A4289" t="str">
        <f t="shared" si="1978"/>
        <v>05/12/2020 14:48:46.581</v>
      </c>
      <c r="C4289" t="str">
        <f t="shared" si="1962"/>
        <v>FFDFD3C0</v>
      </c>
      <c r="D4289" t="s">
        <v>131</v>
      </c>
      <c r="E4289">
        <v>12</v>
      </c>
      <c r="F4289">
        <v>2012</v>
      </c>
      <c r="G4289" t="s">
        <v>137</v>
      </c>
      <c r="J4289" t="s">
        <v>133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 t="shared" si="1979"/>
        <v>14:49:04.414</v>
      </c>
      <c r="T4289" t="str">
        <f t="shared" si="1980"/>
        <v>14:49:04.314</v>
      </c>
      <c r="U4289" t="str">
        <f t="shared" si="1955"/>
        <v>A9808D</v>
      </c>
      <c r="V4289">
        <v>0</v>
      </c>
      <c r="W4289">
        <v>0</v>
      </c>
      <c r="X4289">
        <v>1</v>
      </c>
      <c r="Z4289">
        <v>0</v>
      </c>
      <c r="AA4289">
        <v>9</v>
      </c>
      <c r="AB4289">
        <v>3</v>
      </c>
      <c r="AC4289">
        <v>0</v>
      </c>
      <c r="AD4289">
        <v>10</v>
      </c>
      <c r="AE4289">
        <v>0</v>
      </c>
      <c r="AF4289">
        <v>3</v>
      </c>
      <c r="AG4289">
        <v>2</v>
      </c>
      <c r="AH4289">
        <v>0</v>
      </c>
      <c r="AI4289" t="s">
        <v>972</v>
      </c>
      <c r="AJ4289">
        <v>28.254453999999999</v>
      </c>
      <c r="AK4289" t="s">
        <v>973</v>
      </c>
      <c r="AL4289">
        <v>-82.312359999999998</v>
      </c>
      <c r="AM4289">
        <v>100</v>
      </c>
      <c r="AN4289">
        <v>2300</v>
      </c>
      <c r="AO4289" t="s">
        <v>118</v>
      </c>
      <c r="AP4289">
        <v>-108</v>
      </c>
      <c r="AQ4289">
        <v>-92</v>
      </c>
      <c r="AR4289">
        <v>-192</v>
      </c>
      <c r="AZ4289">
        <v>1200</v>
      </c>
      <c r="BA4289">
        <v>1</v>
      </c>
      <c r="BB4289" t="str">
        <f t="shared" si="1963"/>
        <v xml:space="preserve">N711JA  </v>
      </c>
      <c r="BC4289">
        <v>1</v>
      </c>
      <c r="BE4289">
        <v>0</v>
      </c>
      <c r="BF4289">
        <v>0</v>
      </c>
      <c r="BG4289">
        <v>0</v>
      </c>
      <c r="BH4289">
        <v>2300</v>
      </c>
      <c r="BI4289">
        <v>1</v>
      </c>
      <c r="BJ4289">
        <v>1</v>
      </c>
      <c r="BK4289">
        <v>0</v>
      </c>
      <c r="BL4289">
        <v>0</v>
      </c>
      <c r="BO4289">
        <v>0</v>
      </c>
      <c r="BP4289">
        <v>0</v>
      </c>
      <c r="BW4289" t="str">
        <f t="shared" si="1981"/>
        <v>14:49:04.419</v>
      </c>
      <c r="CJ4289">
        <v>0</v>
      </c>
      <c r="CK4289">
        <v>2</v>
      </c>
      <c r="CL4289">
        <v>0</v>
      </c>
      <c r="CM4289">
        <v>2</v>
      </c>
      <c r="CN4289">
        <v>0</v>
      </c>
      <c r="CO4289">
        <v>6</v>
      </c>
      <c r="CP4289" t="s">
        <v>119</v>
      </c>
      <c r="CQ4289">
        <v>56</v>
      </c>
      <c r="CR4289">
        <v>2</v>
      </c>
      <c r="CW4289">
        <v>5133297</v>
      </c>
      <c r="CY4289">
        <v>1</v>
      </c>
      <c r="CZ4289">
        <v>0</v>
      </c>
      <c r="DA4289">
        <v>1</v>
      </c>
      <c r="DB4289">
        <v>0</v>
      </c>
      <c r="DC4289">
        <v>0</v>
      </c>
      <c r="DD4289">
        <v>1</v>
      </c>
      <c r="DE4289">
        <v>0</v>
      </c>
      <c r="DF4289">
        <v>0</v>
      </c>
      <c r="DG4289">
        <v>0</v>
      </c>
      <c r="DH4289">
        <v>0</v>
      </c>
      <c r="DI4289">
        <v>0</v>
      </c>
    </row>
    <row r="4290" spans="1:113" x14ac:dyDescent="0.3">
      <c r="A4290" t="str">
        <f t="shared" si="1978"/>
        <v>05/12/2020 14:48:46.581</v>
      </c>
      <c r="C4290" t="str">
        <f t="shared" si="1962"/>
        <v>FFDFD3C0</v>
      </c>
      <c r="D4290" t="s">
        <v>126</v>
      </c>
      <c r="E4290">
        <v>7</v>
      </c>
      <c r="F4290">
        <v>1007</v>
      </c>
      <c r="G4290" t="s">
        <v>127</v>
      </c>
      <c r="J4290" t="s">
        <v>128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 t="shared" si="1979"/>
        <v>14:49:04.414</v>
      </c>
      <c r="T4290" t="str">
        <f t="shared" si="1980"/>
        <v>14:49:04.314</v>
      </c>
      <c r="U4290" t="str">
        <f t="shared" ref="U4290:U4353" si="1982">"A9808D"</f>
        <v>A9808D</v>
      </c>
      <c r="V4290">
        <v>0</v>
      </c>
      <c r="W4290">
        <v>0</v>
      </c>
      <c r="X4290">
        <v>1</v>
      </c>
      <c r="Z4290">
        <v>0</v>
      </c>
      <c r="AA4290">
        <v>9</v>
      </c>
      <c r="AB4290">
        <v>3</v>
      </c>
      <c r="AC4290">
        <v>0</v>
      </c>
      <c r="AD4290">
        <v>10</v>
      </c>
      <c r="AE4290">
        <v>0</v>
      </c>
      <c r="AF4290">
        <v>3</v>
      </c>
      <c r="AG4290">
        <v>2</v>
      </c>
      <c r="AH4290">
        <v>0</v>
      </c>
      <c r="AI4290" t="s">
        <v>972</v>
      </c>
      <c r="AJ4290">
        <v>28.254453999999999</v>
      </c>
      <c r="AK4290" t="s">
        <v>973</v>
      </c>
      <c r="AL4290">
        <v>-82.312359999999998</v>
      </c>
      <c r="AM4290">
        <v>100</v>
      </c>
      <c r="AN4290">
        <v>2300</v>
      </c>
      <c r="AO4290" t="s">
        <v>118</v>
      </c>
      <c r="AP4290">
        <v>-108</v>
      </c>
      <c r="AQ4290">
        <v>-92</v>
      </c>
      <c r="AR4290">
        <v>-192</v>
      </c>
      <c r="AZ4290">
        <v>1200</v>
      </c>
      <c r="BA4290">
        <v>1</v>
      </c>
      <c r="BB4290" t="str">
        <f t="shared" si="1963"/>
        <v xml:space="preserve">N711JA  </v>
      </c>
      <c r="BC4290">
        <v>1</v>
      </c>
      <c r="BE4290">
        <v>0</v>
      </c>
      <c r="BF4290">
        <v>0</v>
      </c>
      <c r="BG4290">
        <v>0</v>
      </c>
      <c r="BH4290">
        <v>2300</v>
      </c>
      <c r="BI4290">
        <v>1</v>
      </c>
      <c r="BJ4290">
        <v>1</v>
      </c>
      <c r="BK4290">
        <v>0</v>
      </c>
      <c r="BL4290">
        <v>0</v>
      </c>
      <c r="BO4290">
        <v>0</v>
      </c>
      <c r="BP4290">
        <v>0</v>
      </c>
      <c r="BW4290" t="str">
        <f t="shared" si="1981"/>
        <v>14:49:04.419</v>
      </c>
      <c r="CJ4290">
        <v>0</v>
      </c>
      <c r="CK4290">
        <v>2</v>
      </c>
      <c r="CL4290">
        <v>0</v>
      </c>
      <c r="CM4290">
        <v>2</v>
      </c>
      <c r="CN4290">
        <v>0</v>
      </c>
      <c r="CO4290">
        <v>6</v>
      </c>
      <c r="CP4290" t="s">
        <v>119</v>
      </c>
      <c r="CQ4290">
        <v>358</v>
      </c>
      <c r="CR4290">
        <v>0</v>
      </c>
      <c r="CW4290">
        <v>5105915</v>
      </c>
      <c r="CY4290">
        <v>1</v>
      </c>
      <c r="CZ4290">
        <v>0</v>
      </c>
      <c r="DA4290">
        <v>1</v>
      </c>
      <c r="DB4290">
        <v>0</v>
      </c>
      <c r="DC4290">
        <v>0</v>
      </c>
      <c r="DD4290">
        <v>1</v>
      </c>
      <c r="DE4290">
        <v>0</v>
      </c>
      <c r="DF4290">
        <v>0</v>
      </c>
      <c r="DG4290">
        <v>0</v>
      </c>
      <c r="DH4290">
        <v>0</v>
      </c>
      <c r="DI4290">
        <v>0</v>
      </c>
    </row>
    <row r="4291" spans="1:113" x14ac:dyDescent="0.3">
      <c r="A4291" t="str">
        <f t="shared" si="1978"/>
        <v>05/12/2020 14:48:46.581</v>
      </c>
      <c r="C4291" t="str">
        <f t="shared" si="1962"/>
        <v>FFDFD3C0</v>
      </c>
      <c r="D4291" t="s">
        <v>131</v>
      </c>
      <c r="E4291">
        <v>18</v>
      </c>
      <c r="F4291">
        <v>2018</v>
      </c>
      <c r="G4291" t="s">
        <v>161</v>
      </c>
      <c r="J4291" t="s">
        <v>133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 t="shared" si="1979"/>
        <v>14:49:04.414</v>
      </c>
      <c r="T4291" t="str">
        <f t="shared" si="1980"/>
        <v>14:49:04.314</v>
      </c>
      <c r="U4291" t="str">
        <f t="shared" si="1982"/>
        <v>A9808D</v>
      </c>
      <c r="V4291">
        <v>0</v>
      </c>
      <c r="W4291">
        <v>0</v>
      </c>
      <c r="X4291">
        <v>1</v>
      </c>
      <c r="Z4291">
        <v>0</v>
      </c>
      <c r="AA4291">
        <v>9</v>
      </c>
      <c r="AB4291">
        <v>3</v>
      </c>
      <c r="AC4291">
        <v>0</v>
      </c>
      <c r="AD4291">
        <v>10</v>
      </c>
      <c r="AE4291">
        <v>0</v>
      </c>
      <c r="AF4291">
        <v>3</v>
      </c>
      <c r="AG4291">
        <v>2</v>
      </c>
      <c r="AH4291">
        <v>0</v>
      </c>
      <c r="AI4291" t="s">
        <v>972</v>
      </c>
      <c r="AJ4291">
        <v>28.254453999999999</v>
      </c>
      <c r="AK4291" t="s">
        <v>973</v>
      </c>
      <c r="AL4291">
        <v>-82.312359999999998</v>
      </c>
      <c r="AM4291">
        <v>100</v>
      </c>
      <c r="AN4291">
        <v>2300</v>
      </c>
      <c r="AO4291" t="s">
        <v>118</v>
      </c>
      <c r="AP4291">
        <v>-108</v>
      </c>
      <c r="AQ4291">
        <v>-92</v>
      </c>
      <c r="AR4291">
        <v>-192</v>
      </c>
      <c r="AZ4291">
        <v>1200</v>
      </c>
      <c r="BA4291">
        <v>1</v>
      </c>
      <c r="BB4291" t="str">
        <f t="shared" si="1963"/>
        <v xml:space="preserve">N711JA  </v>
      </c>
      <c r="BC4291">
        <v>1</v>
      </c>
      <c r="BE4291">
        <v>0</v>
      </c>
      <c r="BF4291">
        <v>0</v>
      </c>
      <c r="BG4291">
        <v>0</v>
      </c>
      <c r="BH4291">
        <v>2300</v>
      </c>
      <c r="BI4291">
        <v>1</v>
      </c>
      <c r="BJ4291">
        <v>1</v>
      </c>
      <c r="BK4291">
        <v>0</v>
      </c>
      <c r="BL4291">
        <v>0</v>
      </c>
      <c r="BO4291">
        <v>0</v>
      </c>
      <c r="BP4291">
        <v>0</v>
      </c>
      <c r="BW4291" t="str">
        <f t="shared" si="1981"/>
        <v>14:49:04.419</v>
      </c>
      <c r="CJ4291">
        <v>0</v>
      </c>
      <c r="CK4291">
        <v>2</v>
      </c>
      <c r="CL4291">
        <v>0</v>
      </c>
      <c r="CM4291">
        <v>2</v>
      </c>
      <c r="CN4291">
        <v>0</v>
      </c>
      <c r="CO4291">
        <v>6</v>
      </c>
      <c r="CP4291" t="s">
        <v>119</v>
      </c>
      <c r="CQ4291">
        <v>56</v>
      </c>
      <c r="CR4291">
        <v>2</v>
      </c>
      <c r="CW4291">
        <v>5133297</v>
      </c>
      <c r="CY4291">
        <v>1</v>
      </c>
      <c r="CZ4291">
        <v>0</v>
      </c>
      <c r="DA4291">
        <v>1</v>
      </c>
      <c r="DB4291">
        <v>0</v>
      </c>
      <c r="DC4291">
        <v>0</v>
      </c>
      <c r="DD4291">
        <v>1</v>
      </c>
      <c r="DE4291">
        <v>0</v>
      </c>
      <c r="DF4291">
        <v>0</v>
      </c>
      <c r="DG4291">
        <v>0</v>
      </c>
      <c r="DH4291">
        <v>0</v>
      </c>
      <c r="DI4291">
        <v>0</v>
      </c>
    </row>
    <row r="4292" spans="1:113" x14ac:dyDescent="0.3">
      <c r="A4292" t="str">
        <f t="shared" si="1978"/>
        <v>05/12/2020 14:48:46.581</v>
      </c>
      <c r="C4292" t="str">
        <f t="shared" si="1962"/>
        <v>FFDFD3C0</v>
      </c>
      <c r="D4292" t="s">
        <v>126</v>
      </c>
      <c r="E4292">
        <v>6</v>
      </c>
      <c r="F4292">
        <v>1006</v>
      </c>
      <c r="G4292" t="s">
        <v>114</v>
      </c>
      <c r="J4292" t="s">
        <v>128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 t="shared" si="1979"/>
        <v>14:49:04.414</v>
      </c>
      <c r="T4292" t="str">
        <f t="shared" si="1980"/>
        <v>14:49:04.314</v>
      </c>
      <c r="U4292" t="str">
        <f t="shared" si="1982"/>
        <v>A9808D</v>
      </c>
      <c r="V4292">
        <v>0</v>
      </c>
      <c r="W4292">
        <v>0</v>
      </c>
      <c r="X4292">
        <v>1</v>
      </c>
      <c r="Z4292">
        <v>0</v>
      </c>
      <c r="AA4292">
        <v>9</v>
      </c>
      <c r="AB4292">
        <v>3</v>
      </c>
      <c r="AC4292">
        <v>0</v>
      </c>
      <c r="AD4292">
        <v>10</v>
      </c>
      <c r="AE4292">
        <v>0</v>
      </c>
      <c r="AF4292">
        <v>3</v>
      </c>
      <c r="AG4292">
        <v>2</v>
      </c>
      <c r="AH4292">
        <v>0</v>
      </c>
      <c r="AI4292" t="s">
        <v>972</v>
      </c>
      <c r="AJ4292">
        <v>28.254453999999999</v>
      </c>
      <c r="AK4292" t="s">
        <v>973</v>
      </c>
      <c r="AL4292">
        <v>-82.312359999999998</v>
      </c>
      <c r="AM4292">
        <v>100</v>
      </c>
      <c r="AN4292">
        <v>2300</v>
      </c>
      <c r="AO4292" t="s">
        <v>118</v>
      </c>
      <c r="AP4292">
        <v>-108</v>
      </c>
      <c r="AQ4292">
        <v>-92</v>
      </c>
      <c r="AR4292">
        <v>-192</v>
      </c>
      <c r="AZ4292">
        <v>1200</v>
      </c>
      <c r="BA4292">
        <v>1</v>
      </c>
      <c r="BB4292" t="str">
        <f t="shared" si="1963"/>
        <v xml:space="preserve">N711JA  </v>
      </c>
      <c r="BC4292">
        <v>1</v>
      </c>
      <c r="BE4292">
        <v>0</v>
      </c>
      <c r="BF4292">
        <v>0</v>
      </c>
      <c r="BG4292">
        <v>0</v>
      </c>
      <c r="BH4292">
        <v>2300</v>
      </c>
      <c r="BI4292">
        <v>1</v>
      </c>
      <c r="BJ4292">
        <v>1</v>
      </c>
      <c r="BK4292">
        <v>0</v>
      </c>
      <c r="BL4292">
        <v>0</v>
      </c>
      <c r="BO4292">
        <v>0</v>
      </c>
      <c r="BP4292">
        <v>0</v>
      </c>
      <c r="BW4292" t="str">
        <f t="shared" si="1981"/>
        <v>14:49:04.419</v>
      </c>
      <c r="CJ4292">
        <v>0</v>
      </c>
      <c r="CK4292">
        <v>2</v>
      </c>
      <c r="CL4292">
        <v>0</v>
      </c>
      <c r="CM4292">
        <v>2</v>
      </c>
      <c r="CN4292">
        <v>0</v>
      </c>
      <c r="CO4292">
        <v>6</v>
      </c>
      <c r="CP4292" t="s">
        <v>119</v>
      </c>
      <c r="CQ4292">
        <v>358</v>
      </c>
      <c r="CR4292">
        <v>0</v>
      </c>
      <c r="CW4292">
        <v>5105915</v>
      </c>
      <c r="CY4292">
        <v>1</v>
      </c>
      <c r="CZ4292">
        <v>0</v>
      </c>
      <c r="DA4292">
        <v>1</v>
      </c>
      <c r="DB4292">
        <v>0</v>
      </c>
      <c r="DC4292">
        <v>0</v>
      </c>
      <c r="DD4292">
        <v>1</v>
      </c>
      <c r="DE4292">
        <v>0</v>
      </c>
      <c r="DF4292">
        <v>0</v>
      </c>
      <c r="DG4292">
        <v>0</v>
      </c>
      <c r="DH4292">
        <v>0</v>
      </c>
      <c r="DI4292">
        <v>0</v>
      </c>
    </row>
    <row r="4293" spans="1:113" x14ac:dyDescent="0.3">
      <c r="A4293" t="str">
        <f t="shared" si="1978"/>
        <v>05/12/2020 14:48:46.581</v>
      </c>
      <c r="C4293" t="str">
        <f t="shared" si="1962"/>
        <v>FFDFD3C0</v>
      </c>
      <c r="D4293" t="s">
        <v>134</v>
      </c>
      <c r="E4293">
        <v>12</v>
      </c>
      <c r="H4293">
        <v>64</v>
      </c>
      <c r="I4293" t="s">
        <v>135</v>
      </c>
      <c r="J4293" t="s">
        <v>136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 t="shared" si="1979"/>
        <v>14:49:04.414</v>
      </c>
      <c r="T4293" t="str">
        <f t="shared" si="1980"/>
        <v>14:49:04.314</v>
      </c>
      <c r="U4293" t="str">
        <f t="shared" si="1982"/>
        <v>A9808D</v>
      </c>
      <c r="V4293">
        <v>0</v>
      </c>
      <c r="W4293">
        <v>0</v>
      </c>
      <c r="X4293">
        <v>1</v>
      </c>
      <c r="Z4293">
        <v>0</v>
      </c>
      <c r="AA4293">
        <v>9</v>
      </c>
      <c r="AB4293">
        <v>3</v>
      </c>
      <c r="AC4293">
        <v>0</v>
      </c>
      <c r="AD4293">
        <v>10</v>
      </c>
      <c r="AE4293">
        <v>0</v>
      </c>
      <c r="AF4293">
        <v>3</v>
      </c>
      <c r="AG4293">
        <v>2</v>
      </c>
      <c r="AH4293">
        <v>0</v>
      </c>
      <c r="AI4293" t="s">
        <v>972</v>
      </c>
      <c r="AJ4293">
        <v>28.254453999999999</v>
      </c>
      <c r="AK4293" t="s">
        <v>973</v>
      </c>
      <c r="AL4293">
        <v>-82.312359999999998</v>
      </c>
      <c r="AM4293">
        <v>100</v>
      </c>
      <c r="AN4293">
        <v>2300</v>
      </c>
      <c r="AO4293" t="s">
        <v>118</v>
      </c>
      <c r="AP4293">
        <v>-108</v>
      </c>
      <c r="AQ4293">
        <v>-92</v>
      </c>
      <c r="AR4293">
        <v>-192</v>
      </c>
      <c r="AZ4293">
        <v>1200</v>
      </c>
      <c r="BA4293">
        <v>1</v>
      </c>
      <c r="BB4293" t="str">
        <f t="shared" si="1963"/>
        <v xml:space="preserve">N711JA  </v>
      </c>
      <c r="BC4293">
        <v>1</v>
      </c>
      <c r="BE4293">
        <v>0</v>
      </c>
      <c r="BF4293">
        <v>0</v>
      </c>
      <c r="BG4293">
        <v>0</v>
      </c>
      <c r="BH4293">
        <v>2300</v>
      </c>
      <c r="BI4293">
        <v>1</v>
      </c>
      <c r="BJ4293">
        <v>1</v>
      </c>
      <c r="BK4293">
        <v>0</v>
      </c>
      <c r="BL4293">
        <v>0</v>
      </c>
      <c r="BO4293">
        <v>0</v>
      </c>
      <c r="BP4293">
        <v>0</v>
      </c>
      <c r="BW4293" t="str">
        <f t="shared" si="1981"/>
        <v>14:49:04.419</v>
      </c>
      <c r="CJ4293">
        <v>0</v>
      </c>
      <c r="CK4293">
        <v>2</v>
      </c>
      <c r="CL4293">
        <v>0</v>
      </c>
      <c r="CM4293">
        <v>2</v>
      </c>
      <c r="CN4293">
        <v>0</v>
      </c>
      <c r="CO4293">
        <v>6</v>
      </c>
      <c r="CP4293" t="s">
        <v>119</v>
      </c>
      <c r="CQ4293">
        <v>358</v>
      </c>
      <c r="CR4293">
        <v>0</v>
      </c>
      <c r="CW4293">
        <v>5105915</v>
      </c>
      <c r="CY4293">
        <v>1</v>
      </c>
      <c r="CZ4293">
        <v>0</v>
      </c>
      <c r="DA4293">
        <v>1</v>
      </c>
      <c r="DB4293">
        <v>0</v>
      </c>
      <c r="DC4293">
        <v>0</v>
      </c>
      <c r="DD4293">
        <v>1</v>
      </c>
      <c r="DE4293">
        <v>0</v>
      </c>
      <c r="DF4293">
        <v>0</v>
      </c>
      <c r="DG4293">
        <v>0</v>
      </c>
      <c r="DH4293">
        <v>0</v>
      </c>
      <c r="DI4293">
        <v>0</v>
      </c>
    </row>
    <row r="4294" spans="1:113" x14ac:dyDescent="0.3">
      <c r="A4294" t="str">
        <f t="shared" ref="A4294:A4300" si="1983">"05/12/2020 14:48:47.535"</f>
        <v>05/12/2020 14:48:47.535</v>
      </c>
      <c r="C4294" t="str">
        <f t="shared" si="1962"/>
        <v>FFDFD3C0</v>
      </c>
      <c r="D4294" t="s">
        <v>134</v>
      </c>
      <c r="E4294">
        <v>12</v>
      </c>
      <c r="H4294">
        <v>64</v>
      </c>
      <c r="I4294" t="s">
        <v>135</v>
      </c>
      <c r="J4294" t="s">
        <v>136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 t="shared" ref="S4294:T4300" si="1984">"14:49:05.344"</f>
        <v>14:49:05.344</v>
      </c>
      <c r="T4294" t="str">
        <f t="shared" si="1984"/>
        <v>14:49:05.344</v>
      </c>
      <c r="U4294" t="str">
        <f t="shared" si="1982"/>
        <v>A9808D</v>
      </c>
      <c r="V4294">
        <v>0</v>
      </c>
      <c r="W4294">
        <v>0</v>
      </c>
      <c r="X4294">
        <v>1</v>
      </c>
      <c r="Z4294">
        <v>0</v>
      </c>
      <c r="AA4294">
        <v>9</v>
      </c>
      <c r="AB4294">
        <v>3</v>
      </c>
      <c r="AC4294">
        <v>0</v>
      </c>
      <c r="AD4294">
        <v>10</v>
      </c>
      <c r="AE4294">
        <v>0</v>
      </c>
      <c r="AF4294">
        <v>3</v>
      </c>
      <c r="AG4294">
        <v>2</v>
      </c>
      <c r="AH4294">
        <v>0</v>
      </c>
      <c r="AI4294" t="s">
        <v>974</v>
      </c>
      <c r="AJ4294">
        <v>28.254089</v>
      </c>
      <c r="AK4294" t="s">
        <v>975</v>
      </c>
      <c r="AL4294">
        <v>-82.312853000000004</v>
      </c>
      <c r="AM4294">
        <v>100</v>
      </c>
      <c r="AN4294">
        <v>2300</v>
      </c>
      <c r="AO4294" t="s">
        <v>118</v>
      </c>
      <c r="AP4294">
        <v>-109</v>
      </c>
      <c r="AQ4294">
        <v>-90</v>
      </c>
      <c r="AR4294">
        <v>-256</v>
      </c>
      <c r="AZ4294">
        <v>1200</v>
      </c>
      <c r="BA4294">
        <v>1</v>
      </c>
      <c r="BB4294" t="str">
        <f t="shared" si="1963"/>
        <v xml:space="preserve">N711JA  </v>
      </c>
      <c r="BC4294">
        <v>1</v>
      </c>
      <c r="BE4294">
        <v>0</v>
      </c>
      <c r="BF4294">
        <v>0</v>
      </c>
      <c r="BG4294">
        <v>0</v>
      </c>
      <c r="BH4294">
        <v>2300</v>
      </c>
      <c r="BI4294">
        <v>1</v>
      </c>
      <c r="BJ4294">
        <v>1</v>
      </c>
      <c r="BK4294">
        <v>0</v>
      </c>
      <c r="BL4294">
        <v>0</v>
      </c>
      <c r="BO4294">
        <v>0</v>
      </c>
      <c r="BP4294">
        <v>0</v>
      </c>
      <c r="BW4294" t="str">
        <f t="shared" ref="BW4294:BW4300" si="1985">"14:49:05.351"</f>
        <v>14:49:05.351</v>
      </c>
      <c r="CJ4294">
        <v>0</v>
      </c>
      <c r="CK4294">
        <v>2</v>
      </c>
      <c r="CL4294">
        <v>0</v>
      </c>
      <c r="CM4294">
        <v>2</v>
      </c>
      <c r="CN4294">
        <v>0</v>
      </c>
      <c r="CO4294">
        <v>6</v>
      </c>
      <c r="CP4294" t="s">
        <v>119</v>
      </c>
      <c r="CQ4294">
        <v>358</v>
      </c>
      <c r="CR4294">
        <v>0</v>
      </c>
      <c r="CW4294">
        <v>5106982</v>
      </c>
      <c r="CY4294">
        <v>1</v>
      </c>
      <c r="CZ4294">
        <v>0</v>
      </c>
      <c r="DA4294">
        <v>0</v>
      </c>
      <c r="DB4294">
        <v>0</v>
      </c>
      <c r="DC4294">
        <v>0</v>
      </c>
      <c r="DD4294">
        <v>1</v>
      </c>
      <c r="DE4294">
        <v>0</v>
      </c>
      <c r="DF4294">
        <v>0</v>
      </c>
      <c r="DG4294">
        <v>0</v>
      </c>
      <c r="DH4294">
        <v>0</v>
      </c>
      <c r="DI4294">
        <v>0</v>
      </c>
    </row>
    <row r="4295" spans="1:113" x14ac:dyDescent="0.3">
      <c r="A4295" t="str">
        <f t="shared" si="1983"/>
        <v>05/12/2020 14:48:47.535</v>
      </c>
      <c r="C4295" t="str">
        <f t="shared" si="1962"/>
        <v>FFDFD3C0</v>
      </c>
      <c r="D4295" t="s">
        <v>113</v>
      </c>
      <c r="E4295">
        <v>3</v>
      </c>
      <c r="H4295">
        <v>164</v>
      </c>
      <c r="I4295" t="s">
        <v>114</v>
      </c>
      <c r="J4295" t="s">
        <v>115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 t="shared" si="1984"/>
        <v>14:49:05.344</v>
      </c>
      <c r="T4295" t="str">
        <f t="shared" si="1984"/>
        <v>14:49:05.344</v>
      </c>
      <c r="U4295" t="str">
        <f t="shared" si="1982"/>
        <v>A9808D</v>
      </c>
      <c r="V4295">
        <v>0</v>
      </c>
      <c r="W4295">
        <v>0</v>
      </c>
      <c r="X4295">
        <v>1</v>
      </c>
      <c r="Z4295">
        <v>0</v>
      </c>
      <c r="AA4295">
        <v>9</v>
      </c>
      <c r="AB4295">
        <v>3</v>
      </c>
      <c r="AC4295">
        <v>0</v>
      </c>
      <c r="AD4295">
        <v>10</v>
      </c>
      <c r="AE4295">
        <v>0</v>
      </c>
      <c r="AF4295">
        <v>3</v>
      </c>
      <c r="AG4295">
        <v>2</v>
      </c>
      <c r="AH4295">
        <v>0</v>
      </c>
      <c r="AI4295" t="s">
        <v>974</v>
      </c>
      <c r="AJ4295">
        <v>28.254089</v>
      </c>
      <c r="AK4295" t="s">
        <v>975</v>
      </c>
      <c r="AL4295">
        <v>-82.312853000000004</v>
      </c>
      <c r="AM4295">
        <v>100</v>
      </c>
      <c r="AN4295">
        <v>2300</v>
      </c>
      <c r="AO4295" t="s">
        <v>118</v>
      </c>
      <c r="AP4295">
        <v>-109</v>
      </c>
      <c r="AQ4295">
        <v>-90</v>
      </c>
      <c r="AR4295">
        <v>-256</v>
      </c>
      <c r="AZ4295">
        <v>1200</v>
      </c>
      <c r="BA4295">
        <v>1</v>
      </c>
      <c r="BB4295" t="str">
        <f t="shared" si="1963"/>
        <v xml:space="preserve">N711JA  </v>
      </c>
      <c r="BC4295">
        <v>1</v>
      </c>
      <c r="BE4295">
        <v>0</v>
      </c>
      <c r="BF4295">
        <v>0</v>
      </c>
      <c r="BG4295">
        <v>0</v>
      </c>
      <c r="BH4295">
        <v>2300</v>
      </c>
      <c r="BI4295">
        <v>1</v>
      </c>
      <c r="BJ4295">
        <v>1</v>
      </c>
      <c r="BK4295">
        <v>0</v>
      </c>
      <c r="BL4295">
        <v>0</v>
      </c>
      <c r="BO4295">
        <v>0</v>
      </c>
      <c r="BP4295">
        <v>0</v>
      </c>
      <c r="BW4295" t="str">
        <f t="shared" si="1985"/>
        <v>14:49:05.351</v>
      </c>
      <c r="CJ4295">
        <v>0</v>
      </c>
      <c r="CK4295">
        <v>2</v>
      </c>
      <c r="CL4295">
        <v>0</v>
      </c>
      <c r="CM4295">
        <v>2</v>
      </c>
      <c r="CN4295">
        <v>0</v>
      </c>
      <c r="CO4295">
        <v>5</v>
      </c>
      <c r="CP4295" t="s">
        <v>119</v>
      </c>
      <c r="CQ4295">
        <v>9</v>
      </c>
      <c r="CR4295">
        <v>0</v>
      </c>
      <c r="CW4295">
        <v>12958888</v>
      </c>
      <c r="CY4295">
        <v>1</v>
      </c>
      <c r="CZ4295">
        <v>0</v>
      </c>
      <c r="DA4295">
        <v>1</v>
      </c>
      <c r="DB4295">
        <v>0</v>
      </c>
      <c r="DC4295">
        <v>0</v>
      </c>
      <c r="DD4295">
        <v>1</v>
      </c>
      <c r="DE4295">
        <v>0</v>
      </c>
      <c r="DF4295">
        <v>0</v>
      </c>
      <c r="DG4295">
        <v>0</v>
      </c>
      <c r="DH4295">
        <v>0</v>
      </c>
      <c r="DI4295">
        <v>0</v>
      </c>
    </row>
    <row r="4296" spans="1:113" x14ac:dyDescent="0.3">
      <c r="A4296" t="str">
        <f t="shared" si="1983"/>
        <v>05/12/2020 14:48:47.535</v>
      </c>
      <c r="C4296" t="str">
        <f t="shared" si="1962"/>
        <v>FFDFD3C0</v>
      </c>
      <c r="D4296" t="s">
        <v>131</v>
      </c>
      <c r="E4296">
        <v>10</v>
      </c>
      <c r="F4296">
        <v>2010</v>
      </c>
      <c r="G4296" t="s">
        <v>132</v>
      </c>
      <c r="J4296" t="s">
        <v>133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 t="shared" si="1984"/>
        <v>14:49:05.344</v>
      </c>
      <c r="T4296" t="str">
        <f t="shared" si="1984"/>
        <v>14:49:05.344</v>
      </c>
      <c r="U4296" t="str">
        <f t="shared" si="1982"/>
        <v>A9808D</v>
      </c>
      <c r="V4296">
        <v>0</v>
      </c>
      <c r="W4296">
        <v>0</v>
      </c>
      <c r="X4296">
        <v>1</v>
      </c>
      <c r="Z4296">
        <v>0</v>
      </c>
      <c r="AA4296">
        <v>9</v>
      </c>
      <c r="AB4296">
        <v>3</v>
      </c>
      <c r="AC4296">
        <v>0</v>
      </c>
      <c r="AD4296">
        <v>10</v>
      </c>
      <c r="AE4296">
        <v>0</v>
      </c>
      <c r="AF4296">
        <v>3</v>
      </c>
      <c r="AG4296">
        <v>2</v>
      </c>
      <c r="AH4296">
        <v>0</v>
      </c>
      <c r="AI4296" t="s">
        <v>974</v>
      </c>
      <c r="AJ4296">
        <v>28.254089</v>
      </c>
      <c r="AK4296" t="s">
        <v>975</v>
      </c>
      <c r="AL4296">
        <v>-82.312853000000004</v>
      </c>
      <c r="AM4296">
        <v>100</v>
      </c>
      <c r="AN4296">
        <v>2300</v>
      </c>
      <c r="AO4296" t="s">
        <v>118</v>
      </c>
      <c r="AP4296">
        <v>-109</v>
      </c>
      <c r="AQ4296">
        <v>-90</v>
      </c>
      <c r="AR4296">
        <v>-256</v>
      </c>
      <c r="AZ4296">
        <v>1200</v>
      </c>
      <c r="BA4296">
        <v>1</v>
      </c>
      <c r="BB4296" t="str">
        <f t="shared" si="1963"/>
        <v xml:space="preserve">N711JA  </v>
      </c>
      <c r="BC4296">
        <v>1</v>
      </c>
      <c r="BE4296">
        <v>0</v>
      </c>
      <c r="BF4296">
        <v>0</v>
      </c>
      <c r="BG4296">
        <v>0</v>
      </c>
      <c r="BH4296">
        <v>2300</v>
      </c>
      <c r="BI4296">
        <v>1</v>
      </c>
      <c r="BJ4296">
        <v>1</v>
      </c>
      <c r="BK4296">
        <v>0</v>
      </c>
      <c r="BL4296">
        <v>0</v>
      </c>
      <c r="BO4296">
        <v>0</v>
      </c>
      <c r="BP4296">
        <v>0</v>
      </c>
      <c r="BW4296" t="str">
        <f t="shared" si="1985"/>
        <v>14:49:05.351</v>
      </c>
      <c r="CJ4296">
        <v>0</v>
      </c>
      <c r="CK4296">
        <v>2</v>
      </c>
      <c r="CL4296">
        <v>0</v>
      </c>
      <c r="CM4296">
        <v>2</v>
      </c>
      <c r="CN4296">
        <v>0</v>
      </c>
      <c r="CO4296">
        <v>6</v>
      </c>
      <c r="CP4296" t="s">
        <v>119</v>
      </c>
      <c r="CQ4296">
        <v>358</v>
      </c>
      <c r="CR4296">
        <v>0</v>
      </c>
      <c r="CW4296">
        <v>5106982</v>
      </c>
      <c r="CY4296">
        <v>1</v>
      </c>
      <c r="CZ4296">
        <v>0</v>
      </c>
      <c r="DA4296">
        <v>1</v>
      </c>
      <c r="DB4296">
        <v>0</v>
      </c>
      <c r="DC4296">
        <v>0</v>
      </c>
      <c r="DD4296">
        <v>1</v>
      </c>
      <c r="DE4296">
        <v>0</v>
      </c>
      <c r="DF4296">
        <v>0</v>
      </c>
      <c r="DG4296">
        <v>0</v>
      </c>
      <c r="DH4296">
        <v>0</v>
      </c>
      <c r="DI4296">
        <v>0</v>
      </c>
    </row>
    <row r="4297" spans="1:113" x14ac:dyDescent="0.3">
      <c r="A4297" t="str">
        <f t="shared" si="1983"/>
        <v>05/12/2020 14:48:47.535</v>
      </c>
      <c r="C4297" t="str">
        <f t="shared" si="1962"/>
        <v>FFDFD3C0</v>
      </c>
      <c r="D4297" t="s">
        <v>126</v>
      </c>
      <c r="E4297">
        <v>7</v>
      </c>
      <c r="F4297">
        <v>1007</v>
      </c>
      <c r="G4297" t="s">
        <v>127</v>
      </c>
      <c r="J4297" t="s">
        <v>128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 t="shared" si="1984"/>
        <v>14:49:05.344</v>
      </c>
      <c r="T4297" t="str">
        <f t="shared" si="1984"/>
        <v>14:49:05.344</v>
      </c>
      <c r="U4297" t="str">
        <f t="shared" si="1982"/>
        <v>A9808D</v>
      </c>
      <c r="V4297">
        <v>0</v>
      </c>
      <c r="W4297">
        <v>0</v>
      </c>
      <c r="X4297">
        <v>1</v>
      </c>
      <c r="Z4297">
        <v>0</v>
      </c>
      <c r="AA4297">
        <v>9</v>
      </c>
      <c r="AB4297">
        <v>3</v>
      </c>
      <c r="AC4297">
        <v>0</v>
      </c>
      <c r="AD4297">
        <v>10</v>
      </c>
      <c r="AE4297">
        <v>0</v>
      </c>
      <c r="AF4297">
        <v>3</v>
      </c>
      <c r="AG4297">
        <v>2</v>
      </c>
      <c r="AH4297">
        <v>0</v>
      </c>
      <c r="AI4297" t="s">
        <v>974</v>
      </c>
      <c r="AJ4297">
        <v>28.254089</v>
      </c>
      <c r="AK4297" t="s">
        <v>975</v>
      </c>
      <c r="AL4297">
        <v>-82.312853000000004</v>
      </c>
      <c r="AM4297">
        <v>100</v>
      </c>
      <c r="AN4297">
        <v>2300</v>
      </c>
      <c r="AO4297" t="s">
        <v>118</v>
      </c>
      <c r="AP4297">
        <v>-109</v>
      </c>
      <c r="AQ4297">
        <v>-90</v>
      </c>
      <c r="AR4297">
        <v>-256</v>
      </c>
      <c r="AZ4297">
        <v>1200</v>
      </c>
      <c r="BA4297">
        <v>1</v>
      </c>
      <c r="BB4297" t="str">
        <f t="shared" si="1963"/>
        <v xml:space="preserve">N711JA  </v>
      </c>
      <c r="BC4297">
        <v>1</v>
      </c>
      <c r="BE4297">
        <v>0</v>
      </c>
      <c r="BF4297">
        <v>0</v>
      </c>
      <c r="BG4297">
        <v>0</v>
      </c>
      <c r="BH4297">
        <v>2300</v>
      </c>
      <c r="BI4297">
        <v>1</v>
      </c>
      <c r="BJ4297">
        <v>1</v>
      </c>
      <c r="BK4297">
        <v>0</v>
      </c>
      <c r="BL4297">
        <v>0</v>
      </c>
      <c r="BO4297">
        <v>0</v>
      </c>
      <c r="BP4297">
        <v>0</v>
      </c>
      <c r="BW4297" t="str">
        <f t="shared" si="1985"/>
        <v>14:49:05.351</v>
      </c>
      <c r="CJ4297">
        <v>0</v>
      </c>
      <c r="CK4297">
        <v>2</v>
      </c>
      <c r="CL4297">
        <v>0</v>
      </c>
      <c r="CM4297">
        <v>2</v>
      </c>
      <c r="CN4297">
        <v>0</v>
      </c>
      <c r="CO4297">
        <v>6</v>
      </c>
      <c r="CP4297" t="s">
        <v>119</v>
      </c>
      <c r="CQ4297">
        <v>358</v>
      </c>
      <c r="CR4297">
        <v>0</v>
      </c>
      <c r="CW4297">
        <v>5106982</v>
      </c>
      <c r="CY4297">
        <v>1</v>
      </c>
      <c r="CZ4297">
        <v>0</v>
      </c>
      <c r="DA4297">
        <v>1</v>
      </c>
      <c r="DB4297">
        <v>0</v>
      </c>
      <c r="DC4297">
        <v>0</v>
      </c>
      <c r="DD4297">
        <v>1</v>
      </c>
      <c r="DE4297">
        <v>0</v>
      </c>
      <c r="DF4297">
        <v>0</v>
      </c>
      <c r="DG4297">
        <v>0</v>
      </c>
      <c r="DH4297">
        <v>0</v>
      </c>
      <c r="DI4297">
        <v>0</v>
      </c>
    </row>
    <row r="4298" spans="1:113" x14ac:dyDescent="0.3">
      <c r="A4298" t="str">
        <f t="shared" si="1983"/>
        <v>05/12/2020 14:48:47.535</v>
      </c>
      <c r="C4298" t="str">
        <f t="shared" si="1962"/>
        <v>FFDFD3C0</v>
      </c>
      <c r="D4298" t="s">
        <v>138</v>
      </c>
      <c r="E4298">
        <v>3</v>
      </c>
      <c r="H4298">
        <v>9</v>
      </c>
      <c r="I4298" t="s">
        <v>140</v>
      </c>
      <c r="J4298" t="s">
        <v>136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 t="shared" si="1984"/>
        <v>14:49:05.344</v>
      </c>
      <c r="T4298" t="str">
        <f t="shared" si="1984"/>
        <v>14:49:05.344</v>
      </c>
      <c r="U4298" t="str">
        <f t="shared" si="1982"/>
        <v>A9808D</v>
      </c>
      <c r="V4298">
        <v>0</v>
      </c>
      <c r="W4298">
        <v>0</v>
      </c>
      <c r="X4298">
        <v>1</v>
      </c>
      <c r="Z4298">
        <v>0</v>
      </c>
      <c r="AA4298">
        <v>9</v>
      </c>
      <c r="AB4298">
        <v>3</v>
      </c>
      <c r="AC4298">
        <v>0</v>
      </c>
      <c r="AD4298">
        <v>10</v>
      </c>
      <c r="AE4298">
        <v>0</v>
      </c>
      <c r="AF4298">
        <v>3</v>
      </c>
      <c r="AG4298">
        <v>2</v>
      </c>
      <c r="AH4298">
        <v>0</v>
      </c>
      <c r="AI4298" t="s">
        <v>974</v>
      </c>
      <c r="AJ4298">
        <v>28.254089</v>
      </c>
      <c r="AK4298" t="s">
        <v>975</v>
      </c>
      <c r="AL4298">
        <v>-82.312853000000004</v>
      </c>
      <c r="AM4298">
        <v>100</v>
      </c>
      <c r="AN4298">
        <v>2300</v>
      </c>
      <c r="AO4298" t="s">
        <v>118</v>
      </c>
      <c r="AP4298">
        <v>-109</v>
      </c>
      <c r="AQ4298">
        <v>-90</v>
      </c>
      <c r="AR4298">
        <v>-256</v>
      </c>
      <c r="AZ4298">
        <v>1200</v>
      </c>
      <c r="BA4298">
        <v>1</v>
      </c>
      <c r="BB4298" t="str">
        <f t="shared" si="1963"/>
        <v xml:space="preserve">N711JA  </v>
      </c>
      <c r="BC4298">
        <v>1</v>
      </c>
      <c r="BE4298">
        <v>0</v>
      </c>
      <c r="BF4298">
        <v>0</v>
      </c>
      <c r="BG4298">
        <v>0</v>
      </c>
      <c r="BH4298">
        <v>2300</v>
      </c>
      <c r="BI4298">
        <v>1</v>
      </c>
      <c r="BJ4298">
        <v>1</v>
      </c>
      <c r="BK4298">
        <v>0</v>
      </c>
      <c r="BL4298">
        <v>0</v>
      </c>
      <c r="BO4298">
        <v>0</v>
      </c>
      <c r="BP4298">
        <v>0</v>
      </c>
      <c r="BW4298" t="str">
        <f t="shared" si="1985"/>
        <v>14:49:05.351</v>
      </c>
      <c r="CJ4298">
        <v>0</v>
      </c>
      <c r="CK4298">
        <v>2</v>
      </c>
      <c r="CL4298">
        <v>0</v>
      </c>
      <c r="CM4298">
        <v>2</v>
      </c>
      <c r="CN4298">
        <v>0</v>
      </c>
      <c r="CO4298">
        <v>6</v>
      </c>
      <c r="CP4298" t="s">
        <v>119</v>
      </c>
      <c r="CQ4298">
        <v>358</v>
      </c>
      <c r="CR4298">
        <v>0</v>
      </c>
      <c r="CW4298">
        <v>5106982</v>
      </c>
      <c r="CY4298">
        <v>1</v>
      </c>
      <c r="CZ4298">
        <v>0</v>
      </c>
      <c r="DA4298">
        <v>1</v>
      </c>
      <c r="DB4298">
        <v>0</v>
      </c>
      <c r="DC4298">
        <v>0</v>
      </c>
      <c r="DD4298">
        <v>1</v>
      </c>
      <c r="DE4298">
        <v>0</v>
      </c>
      <c r="DF4298">
        <v>0</v>
      </c>
      <c r="DG4298">
        <v>0</v>
      </c>
      <c r="DH4298">
        <v>0</v>
      </c>
      <c r="DI4298">
        <v>0</v>
      </c>
    </row>
    <row r="4299" spans="1:113" x14ac:dyDescent="0.3">
      <c r="A4299" t="str">
        <f t="shared" si="1983"/>
        <v>05/12/2020 14:48:47.535</v>
      </c>
      <c r="C4299" t="str">
        <f t="shared" si="1962"/>
        <v>FFDFD3C0</v>
      </c>
      <c r="D4299" t="s">
        <v>131</v>
      </c>
      <c r="E4299">
        <v>18</v>
      </c>
      <c r="F4299">
        <v>2018</v>
      </c>
      <c r="G4299" t="s">
        <v>161</v>
      </c>
      <c r="J4299" t="s">
        <v>133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 t="shared" si="1984"/>
        <v>14:49:05.344</v>
      </c>
      <c r="T4299" t="str">
        <f t="shared" si="1984"/>
        <v>14:49:05.344</v>
      </c>
      <c r="U4299" t="str">
        <f t="shared" si="1982"/>
        <v>A9808D</v>
      </c>
      <c r="V4299">
        <v>0</v>
      </c>
      <c r="W4299">
        <v>0</v>
      </c>
      <c r="X4299">
        <v>1</v>
      </c>
      <c r="Z4299">
        <v>0</v>
      </c>
      <c r="AA4299">
        <v>9</v>
      </c>
      <c r="AB4299">
        <v>3</v>
      </c>
      <c r="AC4299">
        <v>0</v>
      </c>
      <c r="AD4299">
        <v>10</v>
      </c>
      <c r="AE4299">
        <v>0</v>
      </c>
      <c r="AF4299">
        <v>3</v>
      </c>
      <c r="AG4299">
        <v>2</v>
      </c>
      <c r="AH4299">
        <v>0</v>
      </c>
      <c r="AI4299" t="s">
        <v>974</v>
      </c>
      <c r="AJ4299">
        <v>28.254089</v>
      </c>
      <c r="AK4299" t="s">
        <v>975</v>
      </c>
      <c r="AL4299">
        <v>-82.312853000000004</v>
      </c>
      <c r="AM4299">
        <v>100</v>
      </c>
      <c r="AN4299">
        <v>2300</v>
      </c>
      <c r="AO4299" t="s">
        <v>118</v>
      </c>
      <c r="AP4299">
        <v>-109</v>
      </c>
      <c r="AQ4299">
        <v>-90</v>
      </c>
      <c r="AR4299">
        <v>-256</v>
      </c>
      <c r="AZ4299">
        <v>1200</v>
      </c>
      <c r="BA4299">
        <v>1</v>
      </c>
      <c r="BB4299" t="str">
        <f t="shared" si="1963"/>
        <v xml:space="preserve">N711JA  </v>
      </c>
      <c r="BC4299">
        <v>1</v>
      </c>
      <c r="BE4299">
        <v>0</v>
      </c>
      <c r="BF4299">
        <v>0</v>
      </c>
      <c r="BG4299">
        <v>0</v>
      </c>
      <c r="BH4299">
        <v>2300</v>
      </c>
      <c r="BI4299">
        <v>1</v>
      </c>
      <c r="BJ4299">
        <v>1</v>
      </c>
      <c r="BK4299">
        <v>0</v>
      </c>
      <c r="BL4299">
        <v>0</v>
      </c>
      <c r="BO4299">
        <v>0</v>
      </c>
      <c r="BP4299">
        <v>0</v>
      </c>
      <c r="BW4299" t="str">
        <f t="shared" si="1985"/>
        <v>14:49:05.351</v>
      </c>
      <c r="CJ4299">
        <v>0</v>
      </c>
      <c r="CK4299">
        <v>2</v>
      </c>
      <c r="CL4299">
        <v>0</v>
      </c>
      <c r="CM4299">
        <v>2</v>
      </c>
      <c r="CN4299">
        <v>0</v>
      </c>
      <c r="CO4299">
        <v>2</v>
      </c>
      <c r="CP4299" t="s">
        <v>119</v>
      </c>
      <c r="CQ4299">
        <v>62</v>
      </c>
      <c r="CR4299">
        <v>1</v>
      </c>
      <c r="CW4299">
        <v>13030850</v>
      </c>
      <c r="CY4299">
        <v>1</v>
      </c>
      <c r="CZ4299">
        <v>0</v>
      </c>
      <c r="DA4299">
        <v>1</v>
      </c>
      <c r="DB4299">
        <v>0</v>
      </c>
      <c r="DC4299">
        <v>0</v>
      </c>
      <c r="DD4299">
        <v>1</v>
      </c>
      <c r="DE4299">
        <v>0</v>
      </c>
      <c r="DF4299">
        <v>0</v>
      </c>
      <c r="DG4299">
        <v>0</v>
      </c>
      <c r="DH4299">
        <v>0</v>
      </c>
      <c r="DI4299">
        <v>0</v>
      </c>
    </row>
    <row r="4300" spans="1:113" x14ac:dyDescent="0.3">
      <c r="A4300" t="str">
        <f t="shared" si="1983"/>
        <v>05/12/2020 14:48:47.535</v>
      </c>
      <c r="C4300" t="str">
        <f t="shared" si="1962"/>
        <v>FFDFD3C0</v>
      </c>
      <c r="D4300" t="s">
        <v>126</v>
      </c>
      <c r="E4300">
        <v>6</v>
      </c>
      <c r="F4300">
        <v>1006</v>
      </c>
      <c r="G4300" t="s">
        <v>114</v>
      </c>
      <c r="J4300" t="s">
        <v>128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 t="shared" si="1984"/>
        <v>14:49:05.344</v>
      </c>
      <c r="T4300" t="str">
        <f t="shared" si="1984"/>
        <v>14:49:05.344</v>
      </c>
      <c r="U4300" t="str">
        <f t="shared" si="1982"/>
        <v>A9808D</v>
      </c>
      <c r="V4300">
        <v>0</v>
      </c>
      <c r="W4300">
        <v>0</v>
      </c>
      <c r="X4300">
        <v>1</v>
      </c>
      <c r="Z4300">
        <v>0</v>
      </c>
      <c r="AA4300">
        <v>9</v>
      </c>
      <c r="AB4300">
        <v>3</v>
      </c>
      <c r="AC4300">
        <v>0</v>
      </c>
      <c r="AD4300">
        <v>10</v>
      </c>
      <c r="AE4300">
        <v>0</v>
      </c>
      <c r="AF4300">
        <v>3</v>
      </c>
      <c r="AG4300">
        <v>2</v>
      </c>
      <c r="AH4300">
        <v>0</v>
      </c>
      <c r="AI4300" t="s">
        <v>974</v>
      </c>
      <c r="AJ4300">
        <v>28.254089</v>
      </c>
      <c r="AK4300" t="s">
        <v>975</v>
      </c>
      <c r="AL4300">
        <v>-82.312853000000004</v>
      </c>
      <c r="AM4300">
        <v>100</v>
      </c>
      <c r="AN4300">
        <v>2300</v>
      </c>
      <c r="AO4300" t="s">
        <v>118</v>
      </c>
      <c r="AP4300">
        <v>-109</v>
      </c>
      <c r="AQ4300">
        <v>-90</v>
      </c>
      <c r="AR4300">
        <v>-256</v>
      </c>
      <c r="AZ4300">
        <v>1200</v>
      </c>
      <c r="BA4300">
        <v>1</v>
      </c>
      <c r="BB4300" t="str">
        <f t="shared" si="1963"/>
        <v xml:space="preserve">N711JA  </v>
      </c>
      <c r="BC4300">
        <v>1</v>
      </c>
      <c r="BE4300">
        <v>0</v>
      </c>
      <c r="BF4300">
        <v>0</v>
      </c>
      <c r="BG4300">
        <v>0</v>
      </c>
      <c r="BH4300">
        <v>2300</v>
      </c>
      <c r="BI4300">
        <v>1</v>
      </c>
      <c r="BJ4300">
        <v>1</v>
      </c>
      <c r="BK4300">
        <v>0</v>
      </c>
      <c r="BL4300">
        <v>0</v>
      </c>
      <c r="BO4300">
        <v>0</v>
      </c>
      <c r="BP4300">
        <v>0</v>
      </c>
      <c r="BW4300" t="str">
        <f t="shared" si="1985"/>
        <v>14:49:05.351</v>
      </c>
      <c r="CJ4300">
        <v>0</v>
      </c>
      <c r="CK4300">
        <v>2</v>
      </c>
      <c r="CL4300">
        <v>0</v>
      </c>
      <c r="CM4300">
        <v>2</v>
      </c>
      <c r="CN4300">
        <v>0</v>
      </c>
      <c r="CO4300">
        <v>6</v>
      </c>
      <c r="CP4300" t="s">
        <v>119</v>
      </c>
      <c r="CQ4300">
        <v>358</v>
      </c>
      <c r="CR4300">
        <v>0</v>
      </c>
      <c r="CW4300">
        <v>5106982</v>
      </c>
      <c r="CY4300">
        <v>1</v>
      </c>
      <c r="CZ4300">
        <v>0</v>
      </c>
      <c r="DA4300">
        <v>1</v>
      </c>
      <c r="DB4300">
        <v>0</v>
      </c>
      <c r="DC4300">
        <v>0</v>
      </c>
      <c r="DD4300">
        <v>1</v>
      </c>
      <c r="DE4300">
        <v>0</v>
      </c>
      <c r="DF4300">
        <v>0</v>
      </c>
      <c r="DG4300">
        <v>0</v>
      </c>
      <c r="DH4300">
        <v>0</v>
      </c>
      <c r="DI4300">
        <v>0</v>
      </c>
    </row>
    <row r="4301" spans="1:113" x14ac:dyDescent="0.3">
      <c r="A4301" t="str">
        <f t="shared" ref="A4301:A4309" si="1986">"05/12/2020 14:48:48.345"</f>
        <v>05/12/2020 14:48:48.345</v>
      </c>
      <c r="C4301" t="str">
        <f t="shared" si="1962"/>
        <v>FFDFD3C0</v>
      </c>
      <c r="D4301" t="s">
        <v>134</v>
      </c>
      <c r="E4301">
        <v>12</v>
      </c>
      <c r="H4301">
        <v>64</v>
      </c>
      <c r="I4301" t="s">
        <v>135</v>
      </c>
      <c r="J4301" t="s">
        <v>136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 t="shared" ref="S4301:S4309" si="1987">"14:49:06.164"</f>
        <v>14:49:06.164</v>
      </c>
      <c r="T4301" t="str">
        <f t="shared" ref="T4301:T4309" si="1988">"14:49:05.764"</f>
        <v>14:49:05.764</v>
      </c>
      <c r="U4301" t="str">
        <f t="shared" si="1982"/>
        <v>A9808D</v>
      </c>
      <c r="V4301">
        <v>0</v>
      </c>
      <c r="W4301">
        <v>0</v>
      </c>
      <c r="X4301">
        <v>1</v>
      </c>
      <c r="Z4301">
        <v>0</v>
      </c>
      <c r="AA4301">
        <v>9</v>
      </c>
      <c r="AB4301">
        <v>3</v>
      </c>
      <c r="AC4301">
        <v>0</v>
      </c>
      <c r="AD4301">
        <v>10</v>
      </c>
      <c r="AE4301">
        <v>0</v>
      </c>
      <c r="AF4301">
        <v>3</v>
      </c>
      <c r="AG4301">
        <v>2</v>
      </c>
      <c r="AH4301">
        <v>0</v>
      </c>
      <c r="AI4301" t="s">
        <v>808</v>
      </c>
      <c r="AJ4301">
        <v>28.253724999999999</v>
      </c>
      <c r="AK4301" t="s">
        <v>976</v>
      </c>
      <c r="AL4301">
        <v>-82.313389999999998</v>
      </c>
      <c r="AM4301">
        <v>100</v>
      </c>
      <c r="AN4301">
        <v>2300</v>
      </c>
      <c r="AO4301" t="s">
        <v>118</v>
      </c>
      <c r="AP4301">
        <v>-110</v>
      </c>
      <c r="AQ4301">
        <v>-89</v>
      </c>
      <c r="AR4301">
        <v>-256</v>
      </c>
      <c r="AZ4301">
        <v>1200</v>
      </c>
      <c r="BA4301">
        <v>1</v>
      </c>
      <c r="BB4301" t="str">
        <f t="shared" si="1963"/>
        <v xml:space="preserve">N711JA  </v>
      </c>
      <c r="BC4301">
        <v>1</v>
      </c>
      <c r="BE4301">
        <v>0</v>
      </c>
      <c r="BF4301">
        <v>0</v>
      </c>
      <c r="BG4301">
        <v>0</v>
      </c>
      <c r="BH4301">
        <v>2300</v>
      </c>
      <c r="BI4301">
        <v>1</v>
      </c>
      <c r="BJ4301">
        <v>1</v>
      </c>
      <c r="BK4301">
        <v>0</v>
      </c>
      <c r="BL4301">
        <v>0</v>
      </c>
      <c r="BO4301">
        <v>0</v>
      </c>
      <c r="BP4301">
        <v>0</v>
      </c>
      <c r="BW4301" t="str">
        <f t="shared" ref="BW4301:BW4309" si="1989">"14:49:06.171"</f>
        <v>14:49:06.171</v>
      </c>
      <c r="CJ4301">
        <v>0</v>
      </c>
      <c r="CK4301">
        <v>2</v>
      </c>
      <c r="CL4301">
        <v>0</v>
      </c>
      <c r="CM4301">
        <v>2</v>
      </c>
      <c r="CN4301">
        <v>0</v>
      </c>
      <c r="CO4301">
        <v>6</v>
      </c>
      <c r="CP4301" t="s">
        <v>119</v>
      </c>
      <c r="CQ4301">
        <v>358</v>
      </c>
      <c r="CR4301">
        <v>0</v>
      </c>
      <c r="CW4301">
        <v>5107958</v>
      </c>
      <c r="CY4301">
        <v>1</v>
      </c>
      <c r="CZ4301">
        <v>0</v>
      </c>
      <c r="DA4301">
        <v>0</v>
      </c>
      <c r="DB4301">
        <v>0</v>
      </c>
      <c r="DC4301">
        <v>0</v>
      </c>
      <c r="DD4301">
        <v>1</v>
      </c>
      <c r="DE4301">
        <v>0</v>
      </c>
      <c r="DF4301">
        <v>0</v>
      </c>
      <c r="DG4301">
        <v>0</v>
      </c>
      <c r="DH4301">
        <v>0</v>
      </c>
      <c r="DI4301">
        <v>0</v>
      </c>
    </row>
    <row r="4302" spans="1:113" x14ac:dyDescent="0.3">
      <c r="A4302" t="str">
        <f t="shared" si="1986"/>
        <v>05/12/2020 14:48:48.345</v>
      </c>
      <c r="C4302" t="str">
        <f t="shared" si="1962"/>
        <v>FFDFD3C0</v>
      </c>
      <c r="D4302" t="s">
        <v>126</v>
      </c>
      <c r="E4302">
        <v>7</v>
      </c>
      <c r="F4302">
        <v>1007</v>
      </c>
      <c r="G4302" t="s">
        <v>127</v>
      </c>
      <c r="J4302" t="s">
        <v>128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 t="shared" si="1987"/>
        <v>14:49:06.164</v>
      </c>
      <c r="T4302" t="str">
        <f t="shared" si="1988"/>
        <v>14:49:05.764</v>
      </c>
      <c r="U4302" t="str">
        <f t="shared" si="1982"/>
        <v>A9808D</v>
      </c>
      <c r="V4302">
        <v>0</v>
      </c>
      <c r="W4302">
        <v>0</v>
      </c>
      <c r="X4302">
        <v>1</v>
      </c>
      <c r="Z4302">
        <v>0</v>
      </c>
      <c r="AA4302">
        <v>9</v>
      </c>
      <c r="AB4302">
        <v>3</v>
      </c>
      <c r="AC4302">
        <v>0</v>
      </c>
      <c r="AD4302">
        <v>10</v>
      </c>
      <c r="AE4302">
        <v>0</v>
      </c>
      <c r="AF4302">
        <v>3</v>
      </c>
      <c r="AG4302">
        <v>2</v>
      </c>
      <c r="AH4302">
        <v>0</v>
      </c>
      <c r="AI4302" t="s">
        <v>808</v>
      </c>
      <c r="AJ4302">
        <v>28.253724999999999</v>
      </c>
      <c r="AK4302" t="s">
        <v>976</v>
      </c>
      <c r="AL4302">
        <v>-82.313389999999998</v>
      </c>
      <c r="AM4302">
        <v>100</v>
      </c>
      <c r="AN4302">
        <v>2300</v>
      </c>
      <c r="AO4302" t="s">
        <v>118</v>
      </c>
      <c r="AP4302">
        <v>-110</v>
      </c>
      <c r="AQ4302">
        <v>-89</v>
      </c>
      <c r="AR4302">
        <v>-256</v>
      </c>
      <c r="AZ4302">
        <v>1200</v>
      </c>
      <c r="BA4302">
        <v>1</v>
      </c>
      <c r="BB4302" t="str">
        <f t="shared" si="1963"/>
        <v xml:space="preserve">N711JA  </v>
      </c>
      <c r="BC4302">
        <v>1</v>
      </c>
      <c r="BE4302">
        <v>0</v>
      </c>
      <c r="BF4302">
        <v>0</v>
      </c>
      <c r="BG4302">
        <v>0</v>
      </c>
      <c r="BH4302">
        <v>2300</v>
      </c>
      <c r="BI4302">
        <v>1</v>
      </c>
      <c r="BJ4302">
        <v>1</v>
      </c>
      <c r="BK4302">
        <v>0</v>
      </c>
      <c r="BL4302">
        <v>0</v>
      </c>
      <c r="BO4302">
        <v>0</v>
      </c>
      <c r="BP4302">
        <v>0</v>
      </c>
      <c r="BW4302" t="str">
        <f t="shared" si="1989"/>
        <v>14:49:06.171</v>
      </c>
      <c r="CJ4302">
        <v>0</v>
      </c>
      <c r="CK4302">
        <v>2</v>
      </c>
      <c r="CL4302">
        <v>0</v>
      </c>
      <c r="CM4302">
        <v>2</v>
      </c>
      <c r="CN4302">
        <v>0</v>
      </c>
      <c r="CO4302">
        <v>6</v>
      </c>
      <c r="CP4302" t="s">
        <v>119</v>
      </c>
      <c r="CQ4302">
        <v>358</v>
      </c>
      <c r="CR4302">
        <v>0</v>
      </c>
      <c r="CW4302">
        <v>5107958</v>
      </c>
      <c r="CY4302">
        <v>1</v>
      </c>
      <c r="CZ4302">
        <v>0</v>
      </c>
      <c r="DA4302">
        <v>1</v>
      </c>
      <c r="DB4302">
        <v>0</v>
      </c>
      <c r="DC4302">
        <v>0</v>
      </c>
      <c r="DD4302">
        <v>1</v>
      </c>
      <c r="DE4302">
        <v>0</v>
      </c>
      <c r="DF4302">
        <v>0</v>
      </c>
      <c r="DG4302">
        <v>0</v>
      </c>
      <c r="DH4302">
        <v>0</v>
      </c>
      <c r="DI4302">
        <v>0</v>
      </c>
    </row>
    <row r="4303" spans="1:113" x14ac:dyDescent="0.3">
      <c r="A4303" t="str">
        <f t="shared" si="1986"/>
        <v>05/12/2020 14:48:48.345</v>
      </c>
      <c r="C4303" t="str">
        <f t="shared" si="1962"/>
        <v>FFDFD3C0</v>
      </c>
      <c r="D4303" t="s">
        <v>131</v>
      </c>
      <c r="E4303">
        <v>10</v>
      </c>
      <c r="F4303">
        <v>2010</v>
      </c>
      <c r="G4303" t="s">
        <v>132</v>
      </c>
      <c r="J4303" t="s">
        <v>133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 t="shared" si="1987"/>
        <v>14:49:06.164</v>
      </c>
      <c r="T4303" t="str">
        <f t="shared" si="1988"/>
        <v>14:49:05.764</v>
      </c>
      <c r="U4303" t="str">
        <f t="shared" si="1982"/>
        <v>A9808D</v>
      </c>
      <c r="V4303">
        <v>0</v>
      </c>
      <c r="W4303">
        <v>0</v>
      </c>
      <c r="X4303">
        <v>1</v>
      </c>
      <c r="Z4303">
        <v>0</v>
      </c>
      <c r="AA4303">
        <v>9</v>
      </c>
      <c r="AB4303">
        <v>3</v>
      </c>
      <c r="AC4303">
        <v>0</v>
      </c>
      <c r="AD4303">
        <v>10</v>
      </c>
      <c r="AE4303">
        <v>0</v>
      </c>
      <c r="AF4303">
        <v>3</v>
      </c>
      <c r="AG4303">
        <v>2</v>
      </c>
      <c r="AH4303">
        <v>0</v>
      </c>
      <c r="AI4303" t="s">
        <v>808</v>
      </c>
      <c r="AJ4303">
        <v>28.253724999999999</v>
      </c>
      <c r="AK4303" t="s">
        <v>976</v>
      </c>
      <c r="AL4303">
        <v>-82.313389999999998</v>
      </c>
      <c r="AM4303">
        <v>100</v>
      </c>
      <c r="AN4303">
        <v>2300</v>
      </c>
      <c r="AO4303" t="s">
        <v>118</v>
      </c>
      <c r="AP4303">
        <v>-110</v>
      </c>
      <c r="AQ4303">
        <v>-89</v>
      </c>
      <c r="AR4303">
        <v>-256</v>
      </c>
      <c r="AZ4303">
        <v>1200</v>
      </c>
      <c r="BA4303">
        <v>1</v>
      </c>
      <c r="BB4303" t="str">
        <f t="shared" si="1963"/>
        <v xml:space="preserve">N711JA  </v>
      </c>
      <c r="BC4303">
        <v>1</v>
      </c>
      <c r="BE4303">
        <v>0</v>
      </c>
      <c r="BF4303">
        <v>0</v>
      </c>
      <c r="BG4303">
        <v>0</v>
      </c>
      <c r="BH4303">
        <v>2300</v>
      </c>
      <c r="BI4303">
        <v>1</v>
      </c>
      <c r="BJ4303">
        <v>1</v>
      </c>
      <c r="BK4303">
        <v>0</v>
      </c>
      <c r="BL4303">
        <v>0</v>
      </c>
      <c r="BO4303">
        <v>0</v>
      </c>
      <c r="BP4303">
        <v>0</v>
      </c>
      <c r="BW4303" t="str">
        <f t="shared" si="1989"/>
        <v>14:49:06.171</v>
      </c>
      <c r="CJ4303">
        <v>0</v>
      </c>
      <c r="CK4303">
        <v>2</v>
      </c>
      <c r="CL4303">
        <v>0</v>
      </c>
      <c r="CM4303">
        <v>2</v>
      </c>
      <c r="CN4303">
        <v>0</v>
      </c>
      <c r="CO4303">
        <v>6</v>
      </c>
      <c r="CP4303" t="s">
        <v>119</v>
      </c>
      <c r="CQ4303">
        <v>358</v>
      </c>
      <c r="CR4303">
        <v>0</v>
      </c>
      <c r="CW4303">
        <v>5107958</v>
      </c>
      <c r="CY4303">
        <v>1</v>
      </c>
      <c r="CZ4303">
        <v>0</v>
      </c>
      <c r="DA4303">
        <v>1</v>
      </c>
      <c r="DB4303">
        <v>0</v>
      </c>
      <c r="DC4303">
        <v>0</v>
      </c>
      <c r="DD4303">
        <v>1</v>
      </c>
      <c r="DE4303">
        <v>0</v>
      </c>
      <c r="DF4303">
        <v>0</v>
      </c>
      <c r="DG4303">
        <v>0</v>
      </c>
      <c r="DH4303">
        <v>0</v>
      </c>
      <c r="DI4303">
        <v>0</v>
      </c>
    </row>
    <row r="4304" spans="1:113" x14ac:dyDescent="0.3">
      <c r="A4304" t="str">
        <f t="shared" si="1986"/>
        <v>05/12/2020 14:48:48.345</v>
      </c>
      <c r="C4304" t="str">
        <f t="shared" si="1962"/>
        <v>FFDFD3C0</v>
      </c>
      <c r="D4304" t="s">
        <v>131</v>
      </c>
      <c r="E4304">
        <v>12</v>
      </c>
      <c r="F4304">
        <v>2012</v>
      </c>
      <c r="G4304" t="s">
        <v>137</v>
      </c>
      <c r="J4304" t="s">
        <v>133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 t="shared" si="1987"/>
        <v>14:49:06.164</v>
      </c>
      <c r="T4304" t="str">
        <f t="shared" si="1988"/>
        <v>14:49:05.764</v>
      </c>
      <c r="U4304" t="str">
        <f t="shared" si="1982"/>
        <v>A9808D</v>
      </c>
      <c r="V4304">
        <v>0</v>
      </c>
      <c r="W4304">
        <v>0</v>
      </c>
      <c r="X4304">
        <v>1</v>
      </c>
      <c r="Z4304">
        <v>0</v>
      </c>
      <c r="AA4304">
        <v>9</v>
      </c>
      <c r="AB4304">
        <v>3</v>
      </c>
      <c r="AC4304">
        <v>0</v>
      </c>
      <c r="AD4304">
        <v>10</v>
      </c>
      <c r="AE4304">
        <v>0</v>
      </c>
      <c r="AF4304">
        <v>3</v>
      </c>
      <c r="AG4304">
        <v>2</v>
      </c>
      <c r="AH4304">
        <v>0</v>
      </c>
      <c r="AI4304" t="s">
        <v>808</v>
      </c>
      <c r="AJ4304">
        <v>28.253724999999999</v>
      </c>
      <c r="AK4304" t="s">
        <v>976</v>
      </c>
      <c r="AL4304">
        <v>-82.313389999999998</v>
      </c>
      <c r="AM4304">
        <v>100</v>
      </c>
      <c r="AN4304">
        <v>2300</v>
      </c>
      <c r="AO4304" t="s">
        <v>118</v>
      </c>
      <c r="AP4304">
        <v>-110</v>
      </c>
      <c r="AQ4304">
        <v>-89</v>
      </c>
      <c r="AR4304">
        <v>-256</v>
      </c>
      <c r="AZ4304">
        <v>1200</v>
      </c>
      <c r="BA4304">
        <v>1</v>
      </c>
      <c r="BB4304" t="str">
        <f t="shared" si="1963"/>
        <v xml:space="preserve">N711JA  </v>
      </c>
      <c r="BC4304">
        <v>1</v>
      </c>
      <c r="BE4304">
        <v>0</v>
      </c>
      <c r="BF4304">
        <v>0</v>
      </c>
      <c r="BG4304">
        <v>0</v>
      </c>
      <c r="BH4304">
        <v>2300</v>
      </c>
      <c r="BI4304">
        <v>1</v>
      </c>
      <c r="BJ4304">
        <v>1</v>
      </c>
      <c r="BK4304">
        <v>0</v>
      </c>
      <c r="BL4304">
        <v>0</v>
      </c>
      <c r="BO4304">
        <v>0</v>
      </c>
      <c r="BP4304">
        <v>0</v>
      </c>
      <c r="BW4304" t="str">
        <f t="shared" si="1989"/>
        <v>14:49:06.171</v>
      </c>
      <c r="CJ4304">
        <v>0</v>
      </c>
      <c r="CK4304">
        <v>2</v>
      </c>
      <c r="CL4304">
        <v>0</v>
      </c>
      <c r="CM4304">
        <v>2</v>
      </c>
      <c r="CN4304">
        <v>0</v>
      </c>
      <c r="CO4304">
        <v>6</v>
      </c>
      <c r="CP4304" t="s">
        <v>119</v>
      </c>
      <c r="CQ4304">
        <v>56</v>
      </c>
      <c r="CR4304">
        <v>2</v>
      </c>
      <c r="CW4304">
        <v>5135444</v>
      </c>
      <c r="CY4304">
        <v>1</v>
      </c>
      <c r="CZ4304">
        <v>0</v>
      </c>
      <c r="DA4304">
        <v>1</v>
      </c>
      <c r="DB4304">
        <v>0</v>
      </c>
      <c r="DC4304">
        <v>0</v>
      </c>
      <c r="DD4304">
        <v>1</v>
      </c>
      <c r="DE4304">
        <v>0</v>
      </c>
      <c r="DF4304">
        <v>0</v>
      </c>
      <c r="DG4304">
        <v>0</v>
      </c>
      <c r="DH4304">
        <v>0</v>
      </c>
      <c r="DI4304">
        <v>0</v>
      </c>
    </row>
    <row r="4305" spans="1:113" x14ac:dyDescent="0.3">
      <c r="A4305" t="str">
        <f t="shared" si="1986"/>
        <v>05/12/2020 14:48:48.345</v>
      </c>
      <c r="C4305" t="str">
        <f t="shared" si="1962"/>
        <v>FFDFD3C0</v>
      </c>
      <c r="D4305" t="s">
        <v>113</v>
      </c>
      <c r="E4305">
        <v>3</v>
      </c>
      <c r="H4305">
        <v>164</v>
      </c>
      <c r="I4305" t="s">
        <v>114</v>
      </c>
      <c r="J4305" t="s">
        <v>115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 t="shared" si="1987"/>
        <v>14:49:06.164</v>
      </c>
      <c r="T4305" t="str">
        <f t="shared" si="1988"/>
        <v>14:49:05.764</v>
      </c>
      <c r="U4305" t="str">
        <f t="shared" si="1982"/>
        <v>A9808D</v>
      </c>
      <c r="V4305">
        <v>0</v>
      </c>
      <c r="W4305">
        <v>0</v>
      </c>
      <c r="X4305">
        <v>1</v>
      </c>
      <c r="Z4305">
        <v>0</v>
      </c>
      <c r="AA4305">
        <v>9</v>
      </c>
      <c r="AB4305">
        <v>3</v>
      </c>
      <c r="AC4305">
        <v>0</v>
      </c>
      <c r="AD4305">
        <v>10</v>
      </c>
      <c r="AE4305">
        <v>0</v>
      </c>
      <c r="AF4305">
        <v>3</v>
      </c>
      <c r="AG4305">
        <v>2</v>
      </c>
      <c r="AH4305">
        <v>0</v>
      </c>
      <c r="AI4305" t="s">
        <v>808</v>
      </c>
      <c r="AJ4305">
        <v>28.253724999999999</v>
      </c>
      <c r="AK4305" t="s">
        <v>976</v>
      </c>
      <c r="AL4305">
        <v>-82.313389999999998</v>
      </c>
      <c r="AM4305">
        <v>100</v>
      </c>
      <c r="AN4305">
        <v>2300</v>
      </c>
      <c r="AO4305" t="s">
        <v>118</v>
      </c>
      <c r="AP4305">
        <v>-110</v>
      </c>
      <c r="AQ4305">
        <v>-89</v>
      </c>
      <c r="AR4305">
        <v>-256</v>
      </c>
      <c r="AZ4305">
        <v>1200</v>
      </c>
      <c r="BA4305">
        <v>1</v>
      </c>
      <c r="BB4305" t="str">
        <f t="shared" si="1963"/>
        <v xml:space="preserve">N711JA  </v>
      </c>
      <c r="BC4305">
        <v>1</v>
      </c>
      <c r="BE4305">
        <v>0</v>
      </c>
      <c r="BF4305">
        <v>0</v>
      </c>
      <c r="BG4305">
        <v>0</v>
      </c>
      <c r="BH4305">
        <v>2300</v>
      </c>
      <c r="BI4305">
        <v>1</v>
      </c>
      <c r="BJ4305">
        <v>1</v>
      </c>
      <c r="BK4305">
        <v>0</v>
      </c>
      <c r="BL4305">
        <v>0</v>
      </c>
      <c r="BO4305">
        <v>0</v>
      </c>
      <c r="BP4305">
        <v>0</v>
      </c>
      <c r="BW4305" t="str">
        <f t="shared" si="1989"/>
        <v>14:49:06.171</v>
      </c>
      <c r="CJ4305">
        <v>0</v>
      </c>
      <c r="CK4305">
        <v>2</v>
      </c>
      <c r="CL4305">
        <v>0</v>
      </c>
      <c r="CM4305">
        <v>2</v>
      </c>
      <c r="CN4305">
        <v>0</v>
      </c>
      <c r="CO4305">
        <v>6</v>
      </c>
      <c r="CP4305" t="s">
        <v>119</v>
      </c>
      <c r="CQ4305">
        <v>56</v>
      </c>
      <c r="CR4305">
        <v>2</v>
      </c>
      <c r="CW4305">
        <v>5135444</v>
      </c>
      <c r="CY4305">
        <v>1</v>
      </c>
      <c r="CZ4305">
        <v>0</v>
      </c>
      <c r="DA4305">
        <v>1</v>
      </c>
      <c r="DB4305">
        <v>0</v>
      </c>
      <c r="DC4305">
        <v>0</v>
      </c>
      <c r="DD4305">
        <v>1</v>
      </c>
      <c r="DE4305">
        <v>0</v>
      </c>
      <c r="DF4305">
        <v>0</v>
      </c>
      <c r="DG4305">
        <v>0</v>
      </c>
      <c r="DH4305">
        <v>0</v>
      </c>
      <c r="DI4305">
        <v>0</v>
      </c>
    </row>
    <row r="4306" spans="1:113" x14ac:dyDescent="0.3">
      <c r="A4306" t="str">
        <f t="shared" si="1986"/>
        <v>05/12/2020 14:48:48.345</v>
      </c>
      <c r="C4306" t="str">
        <f t="shared" si="1962"/>
        <v>FFDFD3C0</v>
      </c>
      <c r="D4306" t="s">
        <v>131</v>
      </c>
      <c r="E4306">
        <v>18</v>
      </c>
      <c r="F4306">
        <v>2018</v>
      </c>
      <c r="G4306" t="s">
        <v>161</v>
      </c>
      <c r="J4306" t="s">
        <v>133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 t="shared" si="1987"/>
        <v>14:49:06.164</v>
      </c>
      <c r="T4306" t="str">
        <f t="shared" si="1988"/>
        <v>14:49:05.764</v>
      </c>
      <c r="U4306" t="str">
        <f t="shared" si="1982"/>
        <v>A9808D</v>
      </c>
      <c r="V4306">
        <v>0</v>
      </c>
      <c r="W4306">
        <v>0</v>
      </c>
      <c r="X4306">
        <v>1</v>
      </c>
      <c r="Z4306">
        <v>0</v>
      </c>
      <c r="AA4306">
        <v>9</v>
      </c>
      <c r="AB4306">
        <v>3</v>
      </c>
      <c r="AC4306">
        <v>0</v>
      </c>
      <c r="AD4306">
        <v>10</v>
      </c>
      <c r="AE4306">
        <v>0</v>
      </c>
      <c r="AF4306">
        <v>3</v>
      </c>
      <c r="AG4306">
        <v>2</v>
      </c>
      <c r="AH4306">
        <v>0</v>
      </c>
      <c r="AI4306" t="s">
        <v>808</v>
      </c>
      <c r="AJ4306">
        <v>28.253724999999999</v>
      </c>
      <c r="AK4306" t="s">
        <v>976</v>
      </c>
      <c r="AL4306">
        <v>-82.313389999999998</v>
      </c>
      <c r="AM4306">
        <v>100</v>
      </c>
      <c r="AN4306">
        <v>2300</v>
      </c>
      <c r="AO4306" t="s">
        <v>118</v>
      </c>
      <c r="AP4306">
        <v>-110</v>
      </c>
      <c r="AQ4306">
        <v>-89</v>
      </c>
      <c r="AR4306">
        <v>-256</v>
      </c>
      <c r="AZ4306">
        <v>1200</v>
      </c>
      <c r="BA4306">
        <v>1</v>
      </c>
      <c r="BB4306" t="str">
        <f t="shared" si="1963"/>
        <v xml:space="preserve">N711JA  </v>
      </c>
      <c r="BC4306">
        <v>1</v>
      </c>
      <c r="BE4306">
        <v>0</v>
      </c>
      <c r="BF4306">
        <v>0</v>
      </c>
      <c r="BG4306">
        <v>0</v>
      </c>
      <c r="BH4306">
        <v>2300</v>
      </c>
      <c r="BI4306">
        <v>1</v>
      </c>
      <c r="BJ4306">
        <v>1</v>
      </c>
      <c r="BK4306">
        <v>0</v>
      </c>
      <c r="BL4306">
        <v>0</v>
      </c>
      <c r="BO4306">
        <v>0</v>
      </c>
      <c r="BP4306">
        <v>0</v>
      </c>
      <c r="BW4306" t="str">
        <f t="shared" si="1989"/>
        <v>14:49:06.171</v>
      </c>
      <c r="CJ4306">
        <v>0</v>
      </c>
      <c r="CK4306">
        <v>2</v>
      </c>
      <c r="CL4306">
        <v>0</v>
      </c>
      <c r="CM4306">
        <v>2</v>
      </c>
      <c r="CN4306">
        <v>0</v>
      </c>
      <c r="CO4306">
        <v>6</v>
      </c>
      <c r="CP4306" t="s">
        <v>119</v>
      </c>
      <c r="CQ4306">
        <v>56</v>
      </c>
      <c r="CR4306">
        <v>2</v>
      </c>
      <c r="CW4306">
        <v>5135444</v>
      </c>
      <c r="CY4306">
        <v>1</v>
      </c>
      <c r="CZ4306">
        <v>0</v>
      </c>
      <c r="DA4306">
        <v>1</v>
      </c>
      <c r="DB4306">
        <v>0</v>
      </c>
      <c r="DC4306">
        <v>0</v>
      </c>
      <c r="DD4306">
        <v>1</v>
      </c>
      <c r="DE4306">
        <v>0</v>
      </c>
      <c r="DF4306">
        <v>0</v>
      </c>
      <c r="DG4306">
        <v>0</v>
      </c>
      <c r="DH4306">
        <v>0</v>
      </c>
      <c r="DI4306">
        <v>0</v>
      </c>
    </row>
    <row r="4307" spans="1:113" x14ac:dyDescent="0.3">
      <c r="A4307" t="str">
        <f t="shared" si="1986"/>
        <v>05/12/2020 14:48:48.345</v>
      </c>
      <c r="C4307" t="str">
        <f t="shared" si="1962"/>
        <v>FFDFD3C0</v>
      </c>
      <c r="D4307" t="s">
        <v>138</v>
      </c>
      <c r="E4307">
        <v>2</v>
      </c>
      <c r="H4307">
        <v>8</v>
      </c>
      <c r="I4307" t="s">
        <v>139</v>
      </c>
      <c r="J4307" t="s">
        <v>136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 t="shared" si="1987"/>
        <v>14:49:06.164</v>
      </c>
      <c r="T4307" t="str">
        <f t="shared" si="1988"/>
        <v>14:49:05.764</v>
      </c>
      <c r="U4307" t="str">
        <f t="shared" si="1982"/>
        <v>A9808D</v>
      </c>
      <c r="V4307">
        <v>0</v>
      </c>
      <c r="W4307">
        <v>0</v>
      </c>
      <c r="X4307">
        <v>1</v>
      </c>
      <c r="Z4307">
        <v>0</v>
      </c>
      <c r="AA4307">
        <v>9</v>
      </c>
      <c r="AB4307">
        <v>3</v>
      </c>
      <c r="AC4307">
        <v>0</v>
      </c>
      <c r="AD4307">
        <v>10</v>
      </c>
      <c r="AE4307">
        <v>0</v>
      </c>
      <c r="AF4307">
        <v>3</v>
      </c>
      <c r="AG4307">
        <v>2</v>
      </c>
      <c r="AH4307">
        <v>0</v>
      </c>
      <c r="AI4307" t="s">
        <v>808</v>
      </c>
      <c r="AJ4307">
        <v>28.253724999999999</v>
      </c>
      <c r="AK4307" t="s">
        <v>976</v>
      </c>
      <c r="AL4307">
        <v>-82.313389999999998</v>
      </c>
      <c r="AM4307">
        <v>100</v>
      </c>
      <c r="AN4307">
        <v>2300</v>
      </c>
      <c r="AO4307" t="s">
        <v>118</v>
      </c>
      <c r="AP4307">
        <v>-110</v>
      </c>
      <c r="AQ4307">
        <v>-89</v>
      </c>
      <c r="AR4307">
        <v>-256</v>
      </c>
      <c r="AZ4307">
        <v>1200</v>
      </c>
      <c r="BA4307">
        <v>1</v>
      </c>
      <c r="BB4307" t="str">
        <f t="shared" si="1963"/>
        <v xml:space="preserve">N711JA  </v>
      </c>
      <c r="BC4307">
        <v>1</v>
      </c>
      <c r="BE4307">
        <v>0</v>
      </c>
      <c r="BF4307">
        <v>0</v>
      </c>
      <c r="BG4307">
        <v>0</v>
      </c>
      <c r="BH4307">
        <v>2300</v>
      </c>
      <c r="BI4307">
        <v>1</v>
      </c>
      <c r="BJ4307">
        <v>1</v>
      </c>
      <c r="BK4307">
        <v>0</v>
      </c>
      <c r="BL4307">
        <v>0</v>
      </c>
      <c r="BO4307">
        <v>0</v>
      </c>
      <c r="BP4307">
        <v>0</v>
      </c>
      <c r="BW4307" t="str">
        <f t="shared" si="1989"/>
        <v>14:49:06.171</v>
      </c>
      <c r="CJ4307">
        <v>0</v>
      </c>
      <c r="CK4307">
        <v>2</v>
      </c>
      <c r="CL4307">
        <v>0</v>
      </c>
      <c r="CM4307">
        <v>2</v>
      </c>
      <c r="CN4307">
        <v>0</v>
      </c>
      <c r="CO4307">
        <v>6</v>
      </c>
      <c r="CP4307" t="s">
        <v>119</v>
      </c>
      <c r="CQ4307">
        <v>56</v>
      </c>
      <c r="CR4307">
        <v>2</v>
      </c>
      <c r="CW4307">
        <v>5135444</v>
      </c>
      <c r="CY4307">
        <v>1</v>
      </c>
      <c r="CZ4307">
        <v>0</v>
      </c>
      <c r="DA4307">
        <v>1</v>
      </c>
      <c r="DB4307">
        <v>0</v>
      </c>
      <c r="DC4307">
        <v>0</v>
      </c>
      <c r="DD4307">
        <v>1</v>
      </c>
      <c r="DE4307">
        <v>0</v>
      </c>
      <c r="DF4307">
        <v>0</v>
      </c>
      <c r="DG4307">
        <v>0</v>
      </c>
      <c r="DH4307">
        <v>0</v>
      </c>
      <c r="DI4307">
        <v>0</v>
      </c>
    </row>
    <row r="4308" spans="1:113" x14ac:dyDescent="0.3">
      <c r="A4308" t="str">
        <f t="shared" si="1986"/>
        <v>05/12/2020 14:48:48.345</v>
      </c>
      <c r="C4308" t="str">
        <f t="shared" si="1962"/>
        <v>FFDFD3C0</v>
      </c>
      <c r="D4308" t="s">
        <v>138</v>
      </c>
      <c r="E4308">
        <v>3</v>
      </c>
      <c r="H4308">
        <v>9</v>
      </c>
      <c r="I4308" t="s">
        <v>140</v>
      </c>
      <c r="J4308" t="s">
        <v>136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 t="shared" si="1987"/>
        <v>14:49:06.164</v>
      </c>
      <c r="T4308" t="str">
        <f t="shared" si="1988"/>
        <v>14:49:05.764</v>
      </c>
      <c r="U4308" t="str">
        <f t="shared" si="1982"/>
        <v>A9808D</v>
      </c>
      <c r="V4308">
        <v>0</v>
      </c>
      <c r="W4308">
        <v>0</v>
      </c>
      <c r="X4308">
        <v>1</v>
      </c>
      <c r="Z4308">
        <v>0</v>
      </c>
      <c r="AA4308">
        <v>9</v>
      </c>
      <c r="AB4308">
        <v>3</v>
      </c>
      <c r="AC4308">
        <v>0</v>
      </c>
      <c r="AD4308">
        <v>10</v>
      </c>
      <c r="AE4308">
        <v>0</v>
      </c>
      <c r="AF4308">
        <v>3</v>
      </c>
      <c r="AG4308">
        <v>2</v>
      </c>
      <c r="AH4308">
        <v>0</v>
      </c>
      <c r="AI4308" t="s">
        <v>808</v>
      </c>
      <c r="AJ4308">
        <v>28.253724999999999</v>
      </c>
      <c r="AK4308" t="s">
        <v>976</v>
      </c>
      <c r="AL4308">
        <v>-82.313389999999998</v>
      </c>
      <c r="AM4308">
        <v>100</v>
      </c>
      <c r="AN4308">
        <v>2300</v>
      </c>
      <c r="AO4308" t="s">
        <v>118</v>
      </c>
      <c r="AP4308">
        <v>-110</v>
      </c>
      <c r="AQ4308">
        <v>-89</v>
      </c>
      <c r="AR4308">
        <v>-256</v>
      </c>
      <c r="AZ4308">
        <v>1200</v>
      </c>
      <c r="BA4308">
        <v>1</v>
      </c>
      <c r="BB4308" t="str">
        <f t="shared" si="1963"/>
        <v xml:space="preserve">N711JA  </v>
      </c>
      <c r="BC4308">
        <v>1</v>
      </c>
      <c r="BE4308">
        <v>0</v>
      </c>
      <c r="BF4308">
        <v>0</v>
      </c>
      <c r="BG4308">
        <v>0</v>
      </c>
      <c r="BH4308">
        <v>2300</v>
      </c>
      <c r="BI4308">
        <v>1</v>
      </c>
      <c r="BJ4308">
        <v>1</v>
      </c>
      <c r="BK4308">
        <v>0</v>
      </c>
      <c r="BL4308">
        <v>0</v>
      </c>
      <c r="BO4308">
        <v>0</v>
      </c>
      <c r="BP4308">
        <v>0</v>
      </c>
      <c r="BW4308" t="str">
        <f t="shared" si="1989"/>
        <v>14:49:06.171</v>
      </c>
      <c r="CJ4308">
        <v>0</v>
      </c>
      <c r="CK4308">
        <v>2</v>
      </c>
      <c r="CL4308">
        <v>0</v>
      </c>
      <c r="CM4308">
        <v>2</v>
      </c>
      <c r="CN4308">
        <v>0</v>
      </c>
      <c r="CO4308">
        <v>6</v>
      </c>
      <c r="CP4308" t="s">
        <v>119</v>
      </c>
      <c r="CQ4308">
        <v>358</v>
      </c>
      <c r="CR4308">
        <v>0</v>
      </c>
      <c r="CW4308">
        <v>5107958</v>
      </c>
      <c r="CY4308">
        <v>1</v>
      </c>
      <c r="CZ4308">
        <v>0</v>
      </c>
      <c r="DA4308">
        <v>1</v>
      </c>
      <c r="DB4308">
        <v>0</v>
      </c>
      <c r="DC4308">
        <v>0</v>
      </c>
      <c r="DD4308">
        <v>1</v>
      </c>
      <c r="DE4308">
        <v>0</v>
      </c>
      <c r="DF4308">
        <v>0</v>
      </c>
      <c r="DG4308">
        <v>0</v>
      </c>
      <c r="DH4308">
        <v>0</v>
      </c>
      <c r="DI4308">
        <v>0</v>
      </c>
    </row>
    <row r="4309" spans="1:113" x14ac:dyDescent="0.3">
      <c r="A4309" t="str">
        <f t="shared" si="1986"/>
        <v>05/12/2020 14:48:48.345</v>
      </c>
      <c r="C4309" t="str">
        <f t="shared" si="1962"/>
        <v>FFDFD3C0</v>
      </c>
      <c r="D4309" t="s">
        <v>126</v>
      </c>
      <c r="E4309">
        <v>6</v>
      </c>
      <c r="F4309">
        <v>1006</v>
      </c>
      <c r="G4309" t="s">
        <v>114</v>
      </c>
      <c r="J4309" t="s">
        <v>128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 t="shared" si="1987"/>
        <v>14:49:06.164</v>
      </c>
      <c r="T4309" t="str">
        <f t="shared" si="1988"/>
        <v>14:49:05.764</v>
      </c>
      <c r="U4309" t="str">
        <f t="shared" si="1982"/>
        <v>A9808D</v>
      </c>
      <c r="V4309">
        <v>0</v>
      </c>
      <c r="W4309">
        <v>0</v>
      </c>
      <c r="X4309">
        <v>1</v>
      </c>
      <c r="Z4309">
        <v>0</v>
      </c>
      <c r="AA4309">
        <v>9</v>
      </c>
      <c r="AB4309">
        <v>3</v>
      </c>
      <c r="AC4309">
        <v>0</v>
      </c>
      <c r="AD4309">
        <v>10</v>
      </c>
      <c r="AE4309">
        <v>0</v>
      </c>
      <c r="AF4309">
        <v>3</v>
      </c>
      <c r="AG4309">
        <v>2</v>
      </c>
      <c r="AH4309">
        <v>0</v>
      </c>
      <c r="AI4309" t="s">
        <v>808</v>
      </c>
      <c r="AJ4309">
        <v>28.253724999999999</v>
      </c>
      <c r="AK4309" t="s">
        <v>976</v>
      </c>
      <c r="AL4309">
        <v>-82.313389999999998</v>
      </c>
      <c r="AM4309">
        <v>100</v>
      </c>
      <c r="AN4309">
        <v>2300</v>
      </c>
      <c r="AO4309" t="s">
        <v>118</v>
      </c>
      <c r="AP4309">
        <v>-110</v>
      </c>
      <c r="AQ4309">
        <v>-89</v>
      </c>
      <c r="AR4309">
        <v>-256</v>
      </c>
      <c r="AZ4309">
        <v>1200</v>
      </c>
      <c r="BA4309">
        <v>1</v>
      </c>
      <c r="BB4309" t="str">
        <f t="shared" si="1963"/>
        <v xml:space="preserve">N711JA  </v>
      </c>
      <c r="BC4309">
        <v>1</v>
      </c>
      <c r="BE4309">
        <v>0</v>
      </c>
      <c r="BF4309">
        <v>0</v>
      </c>
      <c r="BG4309">
        <v>0</v>
      </c>
      <c r="BH4309">
        <v>2300</v>
      </c>
      <c r="BI4309">
        <v>1</v>
      </c>
      <c r="BJ4309">
        <v>1</v>
      </c>
      <c r="BK4309">
        <v>0</v>
      </c>
      <c r="BL4309">
        <v>0</v>
      </c>
      <c r="BO4309">
        <v>0</v>
      </c>
      <c r="BP4309">
        <v>0</v>
      </c>
      <c r="BW4309" t="str">
        <f t="shared" si="1989"/>
        <v>14:49:06.171</v>
      </c>
      <c r="CJ4309">
        <v>0</v>
      </c>
      <c r="CK4309">
        <v>2</v>
      </c>
      <c r="CL4309">
        <v>0</v>
      </c>
      <c r="CM4309">
        <v>2</v>
      </c>
      <c r="CN4309">
        <v>0</v>
      </c>
      <c r="CO4309">
        <v>6</v>
      </c>
      <c r="CP4309" t="s">
        <v>119</v>
      </c>
      <c r="CQ4309">
        <v>358</v>
      </c>
      <c r="CR4309">
        <v>0</v>
      </c>
      <c r="CW4309">
        <v>5107958</v>
      </c>
      <c r="CY4309">
        <v>1</v>
      </c>
      <c r="CZ4309">
        <v>0</v>
      </c>
      <c r="DA4309">
        <v>1</v>
      </c>
      <c r="DB4309">
        <v>0</v>
      </c>
      <c r="DC4309">
        <v>0</v>
      </c>
      <c r="DD4309">
        <v>1</v>
      </c>
      <c r="DE4309">
        <v>0</v>
      </c>
      <c r="DF4309">
        <v>0</v>
      </c>
      <c r="DG4309">
        <v>0</v>
      </c>
      <c r="DH4309">
        <v>0</v>
      </c>
      <c r="DI4309">
        <v>0</v>
      </c>
    </row>
    <row r="4310" spans="1:113" x14ac:dyDescent="0.3">
      <c r="A4310" t="str">
        <f t="shared" ref="A4310:A4318" si="1990">"05/12/2020 14:48:49.410"</f>
        <v>05/12/2020 14:48:49.410</v>
      </c>
      <c r="C4310" t="str">
        <f t="shared" ref="C4310:C4373" si="1991">"FFDFD3C0"</f>
        <v>FFDFD3C0</v>
      </c>
      <c r="D4310" t="s">
        <v>134</v>
      </c>
      <c r="E4310">
        <v>12</v>
      </c>
      <c r="H4310">
        <v>64</v>
      </c>
      <c r="I4310" t="s">
        <v>135</v>
      </c>
      <c r="J4310" t="s">
        <v>136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 t="shared" ref="S4310:S4318" si="1992">"14:49:07.195"</f>
        <v>14:49:07.195</v>
      </c>
      <c r="T4310" t="str">
        <f t="shared" ref="T4310:T4318" si="1993">"14:49:06.795"</f>
        <v>14:49:06.795</v>
      </c>
      <c r="U4310" t="str">
        <f t="shared" si="1982"/>
        <v>A9808D</v>
      </c>
      <c r="V4310">
        <v>0</v>
      </c>
      <c r="W4310">
        <v>0</v>
      </c>
      <c r="X4310">
        <v>1</v>
      </c>
      <c r="Z4310">
        <v>0</v>
      </c>
      <c r="AA4310">
        <v>9</v>
      </c>
      <c r="AB4310">
        <v>3</v>
      </c>
      <c r="AC4310">
        <v>0</v>
      </c>
      <c r="AD4310">
        <v>10</v>
      </c>
      <c r="AE4310">
        <v>0</v>
      </c>
      <c r="AF4310">
        <v>3</v>
      </c>
      <c r="AG4310">
        <v>2</v>
      </c>
      <c r="AH4310">
        <v>0</v>
      </c>
      <c r="AI4310" t="s">
        <v>977</v>
      </c>
      <c r="AJ4310">
        <v>28.253316999999999</v>
      </c>
      <c r="AK4310" t="s">
        <v>978</v>
      </c>
      <c r="AL4310">
        <v>-82.313947999999996</v>
      </c>
      <c r="AM4310">
        <v>100</v>
      </c>
      <c r="AN4310">
        <v>2300</v>
      </c>
      <c r="AO4310" t="s">
        <v>118</v>
      </c>
      <c r="AP4310">
        <v>-112</v>
      </c>
      <c r="AQ4310">
        <v>-87</v>
      </c>
      <c r="AR4310">
        <v>-320</v>
      </c>
      <c r="AZ4310">
        <v>1200</v>
      </c>
      <c r="BA4310">
        <v>1</v>
      </c>
      <c r="BB4310" t="str">
        <f t="shared" ref="BB4310:BB4373" si="1994">"N711JA  "</f>
        <v xml:space="preserve">N711JA  </v>
      </c>
      <c r="BC4310">
        <v>1</v>
      </c>
      <c r="BE4310">
        <v>0</v>
      </c>
      <c r="BF4310">
        <v>0</v>
      </c>
      <c r="BG4310">
        <v>0</v>
      </c>
      <c r="BH4310">
        <v>2300</v>
      </c>
      <c r="BI4310">
        <v>1</v>
      </c>
      <c r="BJ4310">
        <v>1</v>
      </c>
      <c r="BK4310">
        <v>0</v>
      </c>
      <c r="BL4310">
        <v>0</v>
      </c>
      <c r="BO4310">
        <v>0</v>
      </c>
      <c r="BP4310">
        <v>0</v>
      </c>
      <c r="BW4310" t="str">
        <f t="shared" ref="BW4310:BW4318" si="1995">"14:49:07.203"</f>
        <v>14:49:07.203</v>
      </c>
      <c r="CJ4310">
        <v>0</v>
      </c>
      <c r="CK4310">
        <v>2</v>
      </c>
      <c r="CL4310">
        <v>0</v>
      </c>
      <c r="CM4310">
        <v>2</v>
      </c>
      <c r="CN4310">
        <v>0</v>
      </c>
      <c r="CO4310">
        <v>6</v>
      </c>
      <c r="CP4310" t="s">
        <v>119</v>
      </c>
      <c r="CQ4310">
        <v>358</v>
      </c>
      <c r="CR4310">
        <v>0</v>
      </c>
      <c r="CW4310">
        <v>5109243</v>
      </c>
      <c r="CY4310">
        <v>1</v>
      </c>
      <c r="CZ4310">
        <v>0</v>
      </c>
      <c r="DA4310">
        <v>0</v>
      </c>
      <c r="DB4310">
        <v>0</v>
      </c>
      <c r="DC4310">
        <v>0</v>
      </c>
      <c r="DD4310">
        <v>1</v>
      </c>
      <c r="DE4310">
        <v>0</v>
      </c>
      <c r="DF4310">
        <v>0</v>
      </c>
      <c r="DG4310">
        <v>0</v>
      </c>
      <c r="DH4310">
        <v>0</v>
      </c>
      <c r="DI4310">
        <v>0</v>
      </c>
    </row>
    <row r="4311" spans="1:113" x14ac:dyDescent="0.3">
      <c r="A4311" t="str">
        <f t="shared" si="1990"/>
        <v>05/12/2020 14:48:49.410</v>
      </c>
      <c r="C4311" t="str">
        <f t="shared" si="1991"/>
        <v>FFDFD3C0</v>
      </c>
      <c r="D4311" t="s">
        <v>126</v>
      </c>
      <c r="E4311">
        <v>7</v>
      </c>
      <c r="F4311">
        <v>1007</v>
      </c>
      <c r="G4311" t="s">
        <v>127</v>
      </c>
      <c r="J4311" t="s">
        <v>128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 t="shared" si="1992"/>
        <v>14:49:07.195</v>
      </c>
      <c r="T4311" t="str">
        <f t="shared" si="1993"/>
        <v>14:49:06.795</v>
      </c>
      <c r="U4311" t="str">
        <f t="shared" si="1982"/>
        <v>A9808D</v>
      </c>
      <c r="V4311">
        <v>0</v>
      </c>
      <c r="W4311">
        <v>0</v>
      </c>
      <c r="X4311">
        <v>1</v>
      </c>
      <c r="Z4311">
        <v>0</v>
      </c>
      <c r="AA4311">
        <v>9</v>
      </c>
      <c r="AB4311">
        <v>3</v>
      </c>
      <c r="AC4311">
        <v>0</v>
      </c>
      <c r="AD4311">
        <v>10</v>
      </c>
      <c r="AE4311">
        <v>0</v>
      </c>
      <c r="AF4311">
        <v>3</v>
      </c>
      <c r="AG4311">
        <v>2</v>
      </c>
      <c r="AH4311">
        <v>0</v>
      </c>
      <c r="AI4311" t="s">
        <v>977</v>
      </c>
      <c r="AJ4311">
        <v>28.253316999999999</v>
      </c>
      <c r="AK4311" t="s">
        <v>978</v>
      </c>
      <c r="AL4311">
        <v>-82.313947999999996</v>
      </c>
      <c r="AM4311">
        <v>100</v>
      </c>
      <c r="AN4311">
        <v>2300</v>
      </c>
      <c r="AO4311" t="s">
        <v>118</v>
      </c>
      <c r="AP4311">
        <v>-112</v>
      </c>
      <c r="AQ4311">
        <v>-87</v>
      </c>
      <c r="AR4311">
        <v>-320</v>
      </c>
      <c r="AZ4311">
        <v>1200</v>
      </c>
      <c r="BA4311">
        <v>1</v>
      </c>
      <c r="BB4311" t="str">
        <f t="shared" si="1994"/>
        <v xml:space="preserve">N711JA  </v>
      </c>
      <c r="BC4311">
        <v>1</v>
      </c>
      <c r="BE4311">
        <v>0</v>
      </c>
      <c r="BF4311">
        <v>0</v>
      </c>
      <c r="BG4311">
        <v>0</v>
      </c>
      <c r="BH4311">
        <v>2300</v>
      </c>
      <c r="BI4311">
        <v>1</v>
      </c>
      <c r="BJ4311">
        <v>1</v>
      </c>
      <c r="BK4311">
        <v>0</v>
      </c>
      <c r="BL4311">
        <v>0</v>
      </c>
      <c r="BO4311">
        <v>0</v>
      </c>
      <c r="BP4311">
        <v>0</v>
      </c>
      <c r="BW4311" t="str">
        <f t="shared" si="1995"/>
        <v>14:49:07.203</v>
      </c>
      <c r="CJ4311">
        <v>0</v>
      </c>
      <c r="CK4311">
        <v>2</v>
      </c>
      <c r="CL4311">
        <v>0</v>
      </c>
      <c r="CM4311">
        <v>2</v>
      </c>
      <c r="CN4311">
        <v>0</v>
      </c>
      <c r="CO4311">
        <v>6</v>
      </c>
      <c r="CP4311" t="s">
        <v>119</v>
      </c>
      <c r="CQ4311">
        <v>56</v>
      </c>
      <c r="CR4311">
        <v>2</v>
      </c>
      <c r="CW4311">
        <v>5136702</v>
      </c>
      <c r="CY4311">
        <v>1</v>
      </c>
      <c r="CZ4311">
        <v>0</v>
      </c>
      <c r="DA4311">
        <v>1</v>
      </c>
      <c r="DB4311">
        <v>0</v>
      </c>
      <c r="DC4311">
        <v>0</v>
      </c>
      <c r="DD4311">
        <v>1</v>
      </c>
      <c r="DE4311">
        <v>0</v>
      </c>
      <c r="DF4311">
        <v>0</v>
      </c>
      <c r="DG4311">
        <v>0</v>
      </c>
      <c r="DH4311">
        <v>0</v>
      </c>
      <c r="DI4311">
        <v>0</v>
      </c>
    </row>
    <row r="4312" spans="1:113" x14ac:dyDescent="0.3">
      <c r="A4312" t="str">
        <f t="shared" si="1990"/>
        <v>05/12/2020 14:48:49.410</v>
      </c>
      <c r="C4312" t="str">
        <f t="shared" si="1991"/>
        <v>FFDFD3C0</v>
      </c>
      <c r="D4312" t="s">
        <v>131</v>
      </c>
      <c r="E4312">
        <v>12</v>
      </c>
      <c r="F4312">
        <v>2012</v>
      </c>
      <c r="G4312" t="s">
        <v>137</v>
      </c>
      <c r="J4312" t="s">
        <v>133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 t="shared" si="1992"/>
        <v>14:49:07.195</v>
      </c>
      <c r="T4312" t="str">
        <f t="shared" si="1993"/>
        <v>14:49:06.795</v>
      </c>
      <c r="U4312" t="str">
        <f t="shared" si="1982"/>
        <v>A9808D</v>
      </c>
      <c r="V4312">
        <v>0</v>
      </c>
      <c r="W4312">
        <v>0</v>
      </c>
      <c r="X4312">
        <v>1</v>
      </c>
      <c r="Z4312">
        <v>0</v>
      </c>
      <c r="AA4312">
        <v>9</v>
      </c>
      <c r="AB4312">
        <v>3</v>
      </c>
      <c r="AC4312">
        <v>0</v>
      </c>
      <c r="AD4312">
        <v>10</v>
      </c>
      <c r="AE4312">
        <v>0</v>
      </c>
      <c r="AF4312">
        <v>3</v>
      </c>
      <c r="AG4312">
        <v>2</v>
      </c>
      <c r="AH4312">
        <v>0</v>
      </c>
      <c r="AI4312" t="s">
        <v>977</v>
      </c>
      <c r="AJ4312">
        <v>28.253316999999999</v>
      </c>
      <c r="AK4312" t="s">
        <v>978</v>
      </c>
      <c r="AL4312">
        <v>-82.313947999999996</v>
      </c>
      <c r="AM4312">
        <v>100</v>
      </c>
      <c r="AN4312">
        <v>2300</v>
      </c>
      <c r="AO4312" t="s">
        <v>118</v>
      </c>
      <c r="AP4312">
        <v>-112</v>
      </c>
      <c r="AQ4312">
        <v>-87</v>
      </c>
      <c r="AR4312">
        <v>-320</v>
      </c>
      <c r="AZ4312">
        <v>1200</v>
      </c>
      <c r="BA4312">
        <v>1</v>
      </c>
      <c r="BB4312" t="str">
        <f t="shared" si="1994"/>
        <v xml:space="preserve">N711JA  </v>
      </c>
      <c r="BC4312">
        <v>1</v>
      </c>
      <c r="BE4312">
        <v>0</v>
      </c>
      <c r="BF4312">
        <v>0</v>
      </c>
      <c r="BG4312">
        <v>0</v>
      </c>
      <c r="BH4312">
        <v>2300</v>
      </c>
      <c r="BI4312">
        <v>1</v>
      </c>
      <c r="BJ4312">
        <v>1</v>
      </c>
      <c r="BK4312">
        <v>0</v>
      </c>
      <c r="BL4312">
        <v>0</v>
      </c>
      <c r="BO4312">
        <v>0</v>
      </c>
      <c r="BP4312">
        <v>0</v>
      </c>
      <c r="BW4312" t="str">
        <f t="shared" si="1995"/>
        <v>14:49:07.203</v>
      </c>
      <c r="CJ4312">
        <v>0</v>
      </c>
      <c r="CK4312">
        <v>2</v>
      </c>
      <c r="CL4312">
        <v>0</v>
      </c>
      <c r="CM4312">
        <v>2</v>
      </c>
      <c r="CN4312">
        <v>0</v>
      </c>
      <c r="CO4312">
        <v>6</v>
      </c>
      <c r="CP4312" t="s">
        <v>119</v>
      </c>
      <c r="CQ4312">
        <v>56</v>
      </c>
      <c r="CR4312">
        <v>2</v>
      </c>
      <c r="CW4312">
        <v>5136702</v>
      </c>
      <c r="CY4312">
        <v>1</v>
      </c>
      <c r="CZ4312">
        <v>0</v>
      </c>
      <c r="DA4312">
        <v>1</v>
      </c>
      <c r="DB4312">
        <v>0</v>
      </c>
      <c r="DC4312">
        <v>0</v>
      </c>
      <c r="DD4312">
        <v>1</v>
      </c>
      <c r="DE4312">
        <v>0</v>
      </c>
      <c r="DF4312">
        <v>0</v>
      </c>
      <c r="DG4312">
        <v>0</v>
      </c>
      <c r="DH4312">
        <v>0</v>
      </c>
      <c r="DI4312">
        <v>0</v>
      </c>
    </row>
    <row r="4313" spans="1:113" x14ac:dyDescent="0.3">
      <c r="A4313" t="str">
        <f t="shared" si="1990"/>
        <v>05/12/2020 14:48:49.410</v>
      </c>
      <c r="C4313" t="str">
        <f t="shared" si="1991"/>
        <v>FFDFD3C0</v>
      </c>
      <c r="D4313" t="s">
        <v>131</v>
      </c>
      <c r="E4313">
        <v>10</v>
      </c>
      <c r="F4313">
        <v>2010</v>
      </c>
      <c r="G4313" t="s">
        <v>132</v>
      </c>
      <c r="J4313" t="s">
        <v>133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 t="shared" si="1992"/>
        <v>14:49:07.195</v>
      </c>
      <c r="T4313" t="str">
        <f t="shared" si="1993"/>
        <v>14:49:06.795</v>
      </c>
      <c r="U4313" t="str">
        <f t="shared" si="1982"/>
        <v>A9808D</v>
      </c>
      <c r="V4313">
        <v>0</v>
      </c>
      <c r="W4313">
        <v>0</v>
      </c>
      <c r="X4313">
        <v>1</v>
      </c>
      <c r="Z4313">
        <v>0</v>
      </c>
      <c r="AA4313">
        <v>9</v>
      </c>
      <c r="AB4313">
        <v>3</v>
      </c>
      <c r="AC4313">
        <v>0</v>
      </c>
      <c r="AD4313">
        <v>10</v>
      </c>
      <c r="AE4313">
        <v>0</v>
      </c>
      <c r="AF4313">
        <v>3</v>
      </c>
      <c r="AG4313">
        <v>2</v>
      </c>
      <c r="AH4313">
        <v>0</v>
      </c>
      <c r="AI4313" t="s">
        <v>977</v>
      </c>
      <c r="AJ4313">
        <v>28.253316999999999</v>
      </c>
      <c r="AK4313" t="s">
        <v>978</v>
      </c>
      <c r="AL4313">
        <v>-82.313947999999996</v>
      </c>
      <c r="AM4313">
        <v>100</v>
      </c>
      <c r="AN4313">
        <v>2300</v>
      </c>
      <c r="AO4313" t="s">
        <v>118</v>
      </c>
      <c r="AP4313">
        <v>-112</v>
      </c>
      <c r="AQ4313">
        <v>-87</v>
      </c>
      <c r="AR4313">
        <v>-320</v>
      </c>
      <c r="AZ4313">
        <v>1200</v>
      </c>
      <c r="BA4313">
        <v>1</v>
      </c>
      <c r="BB4313" t="str">
        <f t="shared" si="1994"/>
        <v xml:space="preserve">N711JA  </v>
      </c>
      <c r="BC4313">
        <v>1</v>
      </c>
      <c r="BE4313">
        <v>0</v>
      </c>
      <c r="BF4313">
        <v>0</v>
      </c>
      <c r="BG4313">
        <v>0</v>
      </c>
      <c r="BH4313">
        <v>2300</v>
      </c>
      <c r="BI4313">
        <v>1</v>
      </c>
      <c r="BJ4313">
        <v>1</v>
      </c>
      <c r="BK4313">
        <v>0</v>
      </c>
      <c r="BL4313">
        <v>0</v>
      </c>
      <c r="BO4313">
        <v>0</v>
      </c>
      <c r="BP4313">
        <v>0</v>
      </c>
      <c r="BW4313" t="str">
        <f t="shared" si="1995"/>
        <v>14:49:07.203</v>
      </c>
      <c r="CJ4313">
        <v>0</v>
      </c>
      <c r="CK4313">
        <v>2</v>
      </c>
      <c r="CL4313">
        <v>0</v>
      </c>
      <c r="CM4313">
        <v>2</v>
      </c>
      <c r="CN4313">
        <v>0</v>
      </c>
      <c r="CO4313">
        <v>6</v>
      </c>
      <c r="CP4313" t="s">
        <v>119</v>
      </c>
      <c r="CQ4313">
        <v>56</v>
      </c>
      <c r="CR4313">
        <v>2</v>
      </c>
      <c r="CW4313">
        <v>5136702</v>
      </c>
      <c r="CY4313">
        <v>1</v>
      </c>
      <c r="CZ4313">
        <v>0</v>
      </c>
      <c r="DA4313">
        <v>1</v>
      </c>
      <c r="DB4313">
        <v>0</v>
      </c>
      <c r="DC4313">
        <v>0</v>
      </c>
      <c r="DD4313">
        <v>1</v>
      </c>
      <c r="DE4313">
        <v>0</v>
      </c>
      <c r="DF4313">
        <v>0</v>
      </c>
      <c r="DG4313">
        <v>0</v>
      </c>
      <c r="DH4313">
        <v>0</v>
      </c>
      <c r="DI4313">
        <v>0</v>
      </c>
    </row>
    <row r="4314" spans="1:113" x14ac:dyDescent="0.3">
      <c r="A4314" t="str">
        <f t="shared" si="1990"/>
        <v>05/12/2020 14:48:49.410</v>
      </c>
      <c r="C4314" t="str">
        <f t="shared" si="1991"/>
        <v>FFDFD3C0</v>
      </c>
      <c r="D4314" t="s">
        <v>113</v>
      </c>
      <c r="E4314">
        <v>3</v>
      </c>
      <c r="H4314">
        <v>164</v>
      </c>
      <c r="I4314" t="s">
        <v>114</v>
      </c>
      <c r="J4314" t="s">
        <v>115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 t="shared" si="1992"/>
        <v>14:49:07.195</v>
      </c>
      <c r="T4314" t="str">
        <f t="shared" si="1993"/>
        <v>14:49:06.795</v>
      </c>
      <c r="U4314" t="str">
        <f t="shared" si="1982"/>
        <v>A9808D</v>
      </c>
      <c r="V4314">
        <v>0</v>
      </c>
      <c r="W4314">
        <v>0</v>
      </c>
      <c r="X4314">
        <v>1</v>
      </c>
      <c r="Z4314">
        <v>0</v>
      </c>
      <c r="AA4314">
        <v>9</v>
      </c>
      <c r="AB4314">
        <v>3</v>
      </c>
      <c r="AC4314">
        <v>0</v>
      </c>
      <c r="AD4314">
        <v>10</v>
      </c>
      <c r="AE4314">
        <v>0</v>
      </c>
      <c r="AF4314">
        <v>3</v>
      </c>
      <c r="AG4314">
        <v>2</v>
      </c>
      <c r="AH4314">
        <v>0</v>
      </c>
      <c r="AI4314" t="s">
        <v>977</v>
      </c>
      <c r="AJ4314">
        <v>28.253316999999999</v>
      </c>
      <c r="AK4314" t="s">
        <v>978</v>
      </c>
      <c r="AL4314">
        <v>-82.313947999999996</v>
      </c>
      <c r="AM4314">
        <v>100</v>
      </c>
      <c r="AN4314">
        <v>2300</v>
      </c>
      <c r="AO4314" t="s">
        <v>118</v>
      </c>
      <c r="AP4314">
        <v>-112</v>
      </c>
      <c r="AQ4314">
        <v>-87</v>
      </c>
      <c r="AR4314">
        <v>-320</v>
      </c>
      <c r="AZ4314">
        <v>1200</v>
      </c>
      <c r="BA4314">
        <v>1</v>
      </c>
      <c r="BB4314" t="str">
        <f t="shared" si="1994"/>
        <v xml:space="preserve">N711JA  </v>
      </c>
      <c r="BC4314">
        <v>1</v>
      </c>
      <c r="BE4314">
        <v>0</v>
      </c>
      <c r="BF4314">
        <v>0</v>
      </c>
      <c r="BG4314">
        <v>0</v>
      </c>
      <c r="BH4314">
        <v>2300</v>
      </c>
      <c r="BI4314">
        <v>1</v>
      </c>
      <c r="BJ4314">
        <v>1</v>
      </c>
      <c r="BK4314">
        <v>0</v>
      </c>
      <c r="BL4314">
        <v>0</v>
      </c>
      <c r="BO4314">
        <v>0</v>
      </c>
      <c r="BP4314">
        <v>0</v>
      </c>
      <c r="BW4314" t="str">
        <f t="shared" si="1995"/>
        <v>14:49:07.203</v>
      </c>
      <c r="CJ4314">
        <v>0</v>
      </c>
      <c r="CK4314">
        <v>2</v>
      </c>
      <c r="CL4314">
        <v>0</v>
      </c>
      <c r="CM4314">
        <v>2</v>
      </c>
      <c r="CN4314">
        <v>0</v>
      </c>
      <c r="CO4314">
        <v>6</v>
      </c>
      <c r="CP4314" t="s">
        <v>119</v>
      </c>
      <c r="CQ4314">
        <v>56</v>
      </c>
      <c r="CR4314">
        <v>2</v>
      </c>
      <c r="CW4314">
        <v>5136702</v>
      </c>
      <c r="CY4314">
        <v>1</v>
      </c>
      <c r="CZ4314">
        <v>0</v>
      </c>
      <c r="DA4314">
        <v>1</v>
      </c>
      <c r="DB4314">
        <v>0</v>
      </c>
      <c r="DC4314">
        <v>0</v>
      </c>
      <c r="DD4314">
        <v>1</v>
      </c>
      <c r="DE4314">
        <v>0</v>
      </c>
      <c r="DF4314">
        <v>0</v>
      </c>
      <c r="DG4314">
        <v>0</v>
      </c>
      <c r="DH4314">
        <v>0</v>
      </c>
      <c r="DI4314">
        <v>0</v>
      </c>
    </row>
    <row r="4315" spans="1:113" x14ac:dyDescent="0.3">
      <c r="A4315" t="str">
        <f t="shared" si="1990"/>
        <v>05/12/2020 14:48:49.410</v>
      </c>
      <c r="C4315" t="str">
        <f t="shared" si="1991"/>
        <v>FFDFD3C0</v>
      </c>
      <c r="D4315" t="s">
        <v>131</v>
      </c>
      <c r="E4315">
        <v>18</v>
      </c>
      <c r="F4315">
        <v>2018</v>
      </c>
      <c r="G4315" t="s">
        <v>161</v>
      </c>
      <c r="J4315" t="s">
        <v>133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 t="shared" si="1992"/>
        <v>14:49:07.195</v>
      </c>
      <c r="T4315" t="str">
        <f t="shared" si="1993"/>
        <v>14:49:06.795</v>
      </c>
      <c r="U4315" t="str">
        <f t="shared" si="1982"/>
        <v>A9808D</v>
      </c>
      <c r="V4315">
        <v>0</v>
      </c>
      <c r="W4315">
        <v>0</v>
      </c>
      <c r="X4315">
        <v>1</v>
      </c>
      <c r="Z4315">
        <v>0</v>
      </c>
      <c r="AA4315">
        <v>9</v>
      </c>
      <c r="AB4315">
        <v>3</v>
      </c>
      <c r="AC4315">
        <v>0</v>
      </c>
      <c r="AD4315">
        <v>10</v>
      </c>
      <c r="AE4315">
        <v>0</v>
      </c>
      <c r="AF4315">
        <v>3</v>
      </c>
      <c r="AG4315">
        <v>2</v>
      </c>
      <c r="AH4315">
        <v>0</v>
      </c>
      <c r="AI4315" t="s">
        <v>977</v>
      </c>
      <c r="AJ4315">
        <v>28.253316999999999</v>
      </c>
      <c r="AK4315" t="s">
        <v>978</v>
      </c>
      <c r="AL4315">
        <v>-82.313947999999996</v>
      </c>
      <c r="AM4315">
        <v>100</v>
      </c>
      <c r="AN4315">
        <v>2300</v>
      </c>
      <c r="AO4315" t="s">
        <v>118</v>
      </c>
      <c r="AP4315">
        <v>-112</v>
      </c>
      <c r="AQ4315">
        <v>-87</v>
      </c>
      <c r="AR4315">
        <v>-320</v>
      </c>
      <c r="AZ4315">
        <v>1200</v>
      </c>
      <c r="BA4315">
        <v>1</v>
      </c>
      <c r="BB4315" t="str">
        <f t="shared" si="1994"/>
        <v xml:space="preserve">N711JA  </v>
      </c>
      <c r="BC4315">
        <v>1</v>
      </c>
      <c r="BE4315">
        <v>0</v>
      </c>
      <c r="BF4315">
        <v>0</v>
      </c>
      <c r="BG4315">
        <v>0</v>
      </c>
      <c r="BH4315">
        <v>2300</v>
      </c>
      <c r="BI4315">
        <v>1</v>
      </c>
      <c r="BJ4315">
        <v>1</v>
      </c>
      <c r="BK4315">
        <v>0</v>
      </c>
      <c r="BL4315">
        <v>0</v>
      </c>
      <c r="BO4315">
        <v>0</v>
      </c>
      <c r="BP4315">
        <v>0</v>
      </c>
      <c r="BW4315" t="str">
        <f t="shared" si="1995"/>
        <v>14:49:07.203</v>
      </c>
      <c r="CJ4315">
        <v>0</v>
      </c>
      <c r="CK4315">
        <v>2</v>
      </c>
      <c r="CL4315">
        <v>0</v>
      </c>
      <c r="CM4315">
        <v>2</v>
      </c>
      <c r="CN4315">
        <v>0</v>
      </c>
      <c r="CO4315">
        <v>6</v>
      </c>
      <c r="CP4315" t="s">
        <v>119</v>
      </c>
      <c r="CQ4315">
        <v>56</v>
      </c>
      <c r="CR4315">
        <v>2</v>
      </c>
      <c r="CW4315">
        <v>5136702</v>
      </c>
      <c r="CY4315">
        <v>1</v>
      </c>
      <c r="CZ4315">
        <v>0</v>
      </c>
      <c r="DA4315">
        <v>1</v>
      </c>
      <c r="DB4315">
        <v>0</v>
      </c>
      <c r="DC4315">
        <v>0</v>
      </c>
      <c r="DD4315">
        <v>1</v>
      </c>
      <c r="DE4315">
        <v>0</v>
      </c>
      <c r="DF4315">
        <v>0</v>
      </c>
      <c r="DG4315">
        <v>0</v>
      </c>
      <c r="DH4315">
        <v>0</v>
      </c>
      <c r="DI4315">
        <v>0</v>
      </c>
    </row>
    <row r="4316" spans="1:113" x14ac:dyDescent="0.3">
      <c r="A4316" t="str">
        <f t="shared" si="1990"/>
        <v>05/12/2020 14:48:49.410</v>
      </c>
      <c r="C4316" t="str">
        <f t="shared" si="1991"/>
        <v>FFDFD3C0</v>
      </c>
      <c r="D4316" t="s">
        <v>138</v>
      </c>
      <c r="E4316">
        <v>2</v>
      </c>
      <c r="H4316">
        <v>8</v>
      </c>
      <c r="I4316" t="s">
        <v>139</v>
      </c>
      <c r="J4316" t="s">
        <v>136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 t="shared" si="1992"/>
        <v>14:49:07.195</v>
      </c>
      <c r="T4316" t="str">
        <f t="shared" si="1993"/>
        <v>14:49:06.795</v>
      </c>
      <c r="U4316" t="str">
        <f t="shared" si="1982"/>
        <v>A9808D</v>
      </c>
      <c r="V4316">
        <v>0</v>
      </c>
      <c r="W4316">
        <v>0</v>
      </c>
      <c r="X4316">
        <v>1</v>
      </c>
      <c r="Z4316">
        <v>0</v>
      </c>
      <c r="AA4316">
        <v>9</v>
      </c>
      <c r="AB4316">
        <v>3</v>
      </c>
      <c r="AC4316">
        <v>0</v>
      </c>
      <c r="AD4316">
        <v>10</v>
      </c>
      <c r="AE4316">
        <v>0</v>
      </c>
      <c r="AF4316">
        <v>3</v>
      </c>
      <c r="AG4316">
        <v>2</v>
      </c>
      <c r="AH4316">
        <v>0</v>
      </c>
      <c r="AI4316" t="s">
        <v>977</v>
      </c>
      <c r="AJ4316">
        <v>28.253316999999999</v>
      </c>
      <c r="AK4316" t="s">
        <v>978</v>
      </c>
      <c r="AL4316">
        <v>-82.313947999999996</v>
      </c>
      <c r="AM4316">
        <v>100</v>
      </c>
      <c r="AN4316">
        <v>2300</v>
      </c>
      <c r="AO4316" t="s">
        <v>118</v>
      </c>
      <c r="AP4316">
        <v>-112</v>
      </c>
      <c r="AQ4316">
        <v>-87</v>
      </c>
      <c r="AR4316">
        <v>-320</v>
      </c>
      <c r="AZ4316">
        <v>1200</v>
      </c>
      <c r="BA4316">
        <v>1</v>
      </c>
      <c r="BB4316" t="str">
        <f t="shared" si="1994"/>
        <v xml:space="preserve">N711JA  </v>
      </c>
      <c r="BC4316">
        <v>1</v>
      </c>
      <c r="BE4316">
        <v>0</v>
      </c>
      <c r="BF4316">
        <v>0</v>
      </c>
      <c r="BG4316">
        <v>0</v>
      </c>
      <c r="BH4316">
        <v>2300</v>
      </c>
      <c r="BI4316">
        <v>1</v>
      </c>
      <c r="BJ4316">
        <v>1</v>
      </c>
      <c r="BK4316">
        <v>0</v>
      </c>
      <c r="BL4316">
        <v>0</v>
      </c>
      <c r="BO4316">
        <v>0</v>
      </c>
      <c r="BP4316">
        <v>0</v>
      </c>
      <c r="BW4316" t="str">
        <f t="shared" si="1995"/>
        <v>14:49:07.203</v>
      </c>
      <c r="CJ4316">
        <v>0</v>
      </c>
      <c r="CK4316">
        <v>2</v>
      </c>
      <c r="CL4316">
        <v>0</v>
      </c>
      <c r="CM4316">
        <v>2</v>
      </c>
      <c r="CN4316">
        <v>0</v>
      </c>
      <c r="CO4316">
        <v>6</v>
      </c>
      <c r="CP4316" t="s">
        <v>119</v>
      </c>
      <c r="CQ4316">
        <v>56</v>
      </c>
      <c r="CR4316">
        <v>2</v>
      </c>
      <c r="CW4316">
        <v>5136702</v>
      </c>
      <c r="CY4316">
        <v>1</v>
      </c>
      <c r="CZ4316">
        <v>0</v>
      </c>
      <c r="DA4316">
        <v>1</v>
      </c>
      <c r="DB4316">
        <v>0</v>
      </c>
      <c r="DC4316">
        <v>0</v>
      </c>
      <c r="DD4316">
        <v>1</v>
      </c>
      <c r="DE4316">
        <v>0</v>
      </c>
      <c r="DF4316">
        <v>0</v>
      </c>
      <c r="DG4316">
        <v>0</v>
      </c>
      <c r="DH4316">
        <v>0</v>
      </c>
      <c r="DI4316">
        <v>0</v>
      </c>
    </row>
    <row r="4317" spans="1:113" x14ac:dyDescent="0.3">
      <c r="A4317" t="str">
        <f t="shared" si="1990"/>
        <v>05/12/2020 14:48:49.410</v>
      </c>
      <c r="C4317" t="str">
        <f t="shared" si="1991"/>
        <v>FFDFD3C0</v>
      </c>
      <c r="D4317" t="s">
        <v>138</v>
      </c>
      <c r="E4317">
        <v>3</v>
      </c>
      <c r="H4317">
        <v>9</v>
      </c>
      <c r="I4317" t="s">
        <v>140</v>
      </c>
      <c r="J4317" t="s">
        <v>136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 t="shared" si="1992"/>
        <v>14:49:07.195</v>
      </c>
      <c r="T4317" t="str">
        <f t="shared" si="1993"/>
        <v>14:49:06.795</v>
      </c>
      <c r="U4317" t="str">
        <f t="shared" si="1982"/>
        <v>A9808D</v>
      </c>
      <c r="V4317">
        <v>0</v>
      </c>
      <c r="W4317">
        <v>0</v>
      </c>
      <c r="X4317">
        <v>1</v>
      </c>
      <c r="Z4317">
        <v>0</v>
      </c>
      <c r="AA4317">
        <v>9</v>
      </c>
      <c r="AB4317">
        <v>3</v>
      </c>
      <c r="AC4317">
        <v>0</v>
      </c>
      <c r="AD4317">
        <v>10</v>
      </c>
      <c r="AE4317">
        <v>0</v>
      </c>
      <c r="AF4317">
        <v>3</v>
      </c>
      <c r="AG4317">
        <v>2</v>
      </c>
      <c r="AH4317">
        <v>0</v>
      </c>
      <c r="AI4317" t="s">
        <v>977</v>
      </c>
      <c r="AJ4317">
        <v>28.253316999999999</v>
      </c>
      <c r="AK4317" t="s">
        <v>978</v>
      </c>
      <c r="AL4317">
        <v>-82.313947999999996</v>
      </c>
      <c r="AM4317">
        <v>100</v>
      </c>
      <c r="AN4317">
        <v>2300</v>
      </c>
      <c r="AO4317" t="s">
        <v>118</v>
      </c>
      <c r="AP4317">
        <v>-112</v>
      </c>
      <c r="AQ4317">
        <v>-87</v>
      </c>
      <c r="AR4317">
        <v>-320</v>
      </c>
      <c r="AZ4317">
        <v>1200</v>
      </c>
      <c r="BA4317">
        <v>1</v>
      </c>
      <c r="BB4317" t="str">
        <f t="shared" si="1994"/>
        <v xml:space="preserve">N711JA  </v>
      </c>
      <c r="BC4317">
        <v>1</v>
      </c>
      <c r="BE4317">
        <v>0</v>
      </c>
      <c r="BF4317">
        <v>0</v>
      </c>
      <c r="BG4317">
        <v>0</v>
      </c>
      <c r="BH4317">
        <v>2300</v>
      </c>
      <c r="BI4317">
        <v>1</v>
      </c>
      <c r="BJ4317">
        <v>1</v>
      </c>
      <c r="BK4317">
        <v>0</v>
      </c>
      <c r="BL4317">
        <v>0</v>
      </c>
      <c r="BO4317">
        <v>0</v>
      </c>
      <c r="BP4317">
        <v>0</v>
      </c>
      <c r="BW4317" t="str">
        <f t="shared" si="1995"/>
        <v>14:49:07.203</v>
      </c>
      <c r="CJ4317">
        <v>0</v>
      </c>
      <c r="CK4317">
        <v>2</v>
      </c>
      <c r="CL4317">
        <v>0</v>
      </c>
      <c r="CM4317">
        <v>2</v>
      </c>
      <c r="CN4317">
        <v>0</v>
      </c>
      <c r="CO4317">
        <v>6</v>
      </c>
      <c r="CP4317" t="s">
        <v>119</v>
      </c>
      <c r="CQ4317">
        <v>56</v>
      </c>
      <c r="CR4317">
        <v>2</v>
      </c>
      <c r="CW4317">
        <v>5136702</v>
      </c>
      <c r="CY4317">
        <v>1</v>
      </c>
      <c r="CZ4317">
        <v>0</v>
      </c>
      <c r="DA4317">
        <v>1</v>
      </c>
      <c r="DB4317">
        <v>0</v>
      </c>
      <c r="DC4317">
        <v>0</v>
      </c>
      <c r="DD4317">
        <v>1</v>
      </c>
      <c r="DE4317">
        <v>0</v>
      </c>
      <c r="DF4317">
        <v>0</v>
      </c>
      <c r="DG4317">
        <v>0</v>
      </c>
      <c r="DH4317">
        <v>0</v>
      </c>
      <c r="DI4317">
        <v>0</v>
      </c>
    </row>
    <row r="4318" spans="1:113" x14ac:dyDescent="0.3">
      <c r="A4318" t="str">
        <f t="shared" si="1990"/>
        <v>05/12/2020 14:48:49.410</v>
      </c>
      <c r="C4318" t="str">
        <f t="shared" si="1991"/>
        <v>FFDFD3C0</v>
      </c>
      <c r="D4318" t="s">
        <v>126</v>
      </c>
      <c r="E4318">
        <v>6</v>
      </c>
      <c r="F4318">
        <v>1006</v>
      </c>
      <c r="G4318" t="s">
        <v>114</v>
      </c>
      <c r="J4318" t="s">
        <v>128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 t="shared" si="1992"/>
        <v>14:49:07.195</v>
      </c>
      <c r="T4318" t="str">
        <f t="shared" si="1993"/>
        <v>14:49:06.795</v>
      </c>
      <c r="U4318" t="str">
        <f t="shared" si="1982"/>
        <v>A9808D</v>
      </c>
      <c r="V4318">
        <v>0</v>
      </c>
      <c r="W4318">
        <v>0</v>
      </c>
      <c r="X4318">
        <v>1</v>
      </c>
      <c r="Z4318">
        <v>0</v>
      </c>
      <c r="AA4318">
        <v>9</v>
      </c>
      <c r="AB4318">
        <v>3</v>
      </c>
      <c r="AC4318">
        <v>0</v>
      </c>
      <c r="AD4318">
        <v>10</v>
      </c>
      <c r="AE4318">
        <v>0</v>
      </c>
      <c r="AF4318">
        <v>3</v>
      </c>
      <c r="AG4318">
        <v>2</v>
      </c>
      <c r="AH4318">
        <v>0</v>
      </c>
      <c r="AI4318" t="s">
        <v>977</v>
      </c>
      <c r="AJ4318">
        <v>28.253316999999999</v>
      </c>
      <c r="AK4318" t="s">
        <v>978</v>
      </c>
      <c r="AL4318">
        <v>-82.313947999999996</v>
      </c>
      <c r="AM4318">
        <v>100</v>
      </c>
      <c r="AN4318">
        <v>2300</v>
      </c>
      <c r="AO4318" t="s">
        <v>118</v>
      </c>
      <c r="AP4318">
        <v>-112</v>
      </c>
      <c r="AQ4318">
        <v>-87</v>
      </c>
      <c r="AR4318">
        <v>-320</v>
      </c>
      <c r="AZ4318">
        <v>1200</v>
      </c>
      <c r="BA4318">
        <v>1</v>
      </c>
      <c r="BB4318" t="str">
        <f t="shared" si="1994"/>
        <v xml:space="preserve">N711JA  </v>
      </c>
      <c r="BC4318">
        <v>1</v>
      </c>
      <c r="BE4318">
        <v>0</v>
      </c>
      <c r="BF4318">
        <v>0</v>
      </c>
      <c r="BG4318">
        <v>0</v>
      </c>
      <c r="BH4318">
        <v>2300</v>
      </c>
      <c r="BI4318">
        <v>1</v>
      </c>
      <c r="BJ4318">
        <v>1</v>
      </c>
      <c r="BK4318">
        <v>0</v>
      </c>
      <c r="BL4318">
        <v>0</v>
      </c>
      <c r="BO4318">
        <v>0</v>
      </c>
      <c r="BP4318">
        <v>0</v>
      </c>
      <c r="BW4318" t="str">
        <f t="shared" si="1995"/>
        <v>14:49:07.203</v>
      </c>
      <c r="CJ4318">
        <v>0</v>
      </c>
      <c r="CK4318">
        <v>2</v>
      </c>
      <c r="CL4318">
        <v>0</v>
      </c>
      <c r="CM4318">
        <v>2</v>
      </c>
      <c r="CN4318">
        <v>0</v>
      </c>
      <c r="CO4318">
        <v>6</v>
      </c>
      <c r="CP4318" t="s">
        <v>119</v>
      </c>
      <c r="CQ4318">
        <v>56</v>
      </c>
      <c r="CR4318">
        <v>2</v>
      </c>
      <c r="CW4318">
        <v>5136702</v>
      </c>
      <c r="CY4318">
        <v>1</v>
      </c>
      <c r="CZ4318">
        <v>0</v>
      </c>
      <c r="DA4318">
        <v>1</v>
      </c>
      <c r="DB4318">
        <v>0</v>
      </c>
      <c r="DC4318">
        <v>0</v>
      </c>
      <c r="DD4318">
        <v>1</v>
      </c>
      <c r="DE4318">
        <v>0</v>
      </c>
      <c r="DF4318">
        <v>0</v>
      </c>
      <c r="DG4318">
        <v>0</v>
      </c>
      <c r="DH4318">
        <v>0</v>
      </c>
      <c r="DI4318">
        <v>0</v>
      </c>
    </row>
    <row r="4319" spans="1:113" x14ac:dyDescent="0.3">
      <c r="A4319" t="str">
        <f t="shared" ref="A4319:A4327" si="1996">"05/12/2020 14:48:50.416"</f>
        <v>05/12/2020 14:48:50.416</v>
      </c>
      <c r="C4319" t="str">
        <f t="shared" si="1991"/>
        <v>FFDFD3C0</v>
      </c>
      <c r="D4319" t="s">
        <v>126</v>
      </c>
      <c r="E4319">
        <v>7</v>
      </c>
      <c r="F4319">
        <v>1007</v>
      </c>
      <c r="G4319" t="s">
        <v>127</v>
      </c>
      <c r="J4319" t="s">
        <v>128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>"14:49:08.227"</f>
        <v>14:49:08.227</v>
      </c>
      <c r="T4319" t="str">
        <f>"14:49:07.927"</f>
        <v>14:49:07.927</v>
      </c>
      <c r="U4319" t="str">
        <f t="shared" si="1982"/>
        <v>A9808D</v>
      </c>
      <c r="V4319">
        <v>0</v>
      </c>
      <c r="W4319">
        <v>0</v>
      </c>
      <c r="X4319">
        <v>1</v>
      </c>
      <c r="Z4319">
        <v>0</v>
      </c>
      <c r="AA4319">
        <v>9</v>
      </c>
      <c r="AB4319">
        <v>3</v>
      </c>
      <c r="AC4319">
        <v>0</v>
      </c>
      <c r="AD4319">
        <v>10</v>
      </c>
      <c r="AE4319">
        <v>0</v>
      </c>
      <c r="AF4319">
        <v>3</v>
      </c>
      <c r="AG4319">
        <v>2</v>
      </c>
      <c r="AH4319">
        <v>0</v>
      </c>
      <c r="AI4319" t="s">
        <v>979</v>
      </c>
      <c r="AJ4319">
        <v>28.252952000000001</v>
      </c>
      <c r="AK4319" t="s">
        <v>980</v>
      </c>
      <c r="AL4319">
        <v>-82.314590999999993</v>
      </c>
      <c r="AM4319">
        <v>100</v>
      </c>
      <c r="AN4319">
        <v>2300</v>
      </c>
      <c r="AO4319" t="s">
        <v>118</v>
      </c>
      <c r="AP4319">
        <v>-115</v>
      </c>
      <c r="AQ4319">
        <v>-85</v>
      </c>
      <c r="AR4319">
        <v>-384</v>
      </c>
      <c r="AZ4319">
        <v>1200</v>
      </c>
      <c r="BA4319">
        <v>1</v>
      </c>
      <c r="BB4319" t="str">
        <f t="shared" si="1994"/>
        <v xml:space="preserve">N711JA  </v>
      </c>
      <c r="BC4319">
        <v>1</v>
      </c>
      <c r="BE4319">
        <v>0</v>
      </c>
      <c r="BF4319">
        <v>0</v>
      </c>
      <c r="BG4319">
        <v>0</v>
      </c>
      <c r="BH4319">
        <v>2300</v>
      </c>
      <c r="BI4319">
        <v>1</v>
      </c>
      <c r="BJ4319">
        <v>1</v>
      </c>
      <c r="BK4319">
        <v>0</v>
      </c>
      <c r="BL4319">
        <v>0</v>
      </c>
      <c r="BO4319">
        <v>0</v>
      </c>
      <c r="BP4319">
        <v>0</v>
      </c>
      <c r="BW4319" t="str">
        <f>"14:49:08.234"</f>
        <v>14:49:08.234</v>
      </c>
      <c r="CJ4319">
        <v>0</v>
      </c>
      <c r="CK4319">
        <v>2</v>
      </c>
      <c r="CL4319">
        <v>0</v>
      </c>
      <c r="CM4319">
        <v>2</v>
      </c>
      <c r="CN4319">
        <v>0</v>
      </c>
      <c r="CO4319">
        <v>6</v>
      </c>
      <c r="CP4319" t="s">
        <v>119</v>
      </c>
      <c r="CQ4319">
        <v>358</v>
      </c>
      <c r="CR4319">
        <v>0</v>
      </c>
      <c r="CW4319">
        <v>5110581</v>
      </c>
      <c r="CY4319">
        <v>1</v>
      </c>
      <c r="CZ4319">
        <v>0</v>
      </c>
      <c r="DA4319">
        <v>0</v>
      </c>
      <c r="DB4319">
        <v>0</v>
      </c>
      <c r="DC4319">
        <v>0</v>
      </c>
      <c r="DD4319">
        <v>1</v>
      </c>
      <c r="DE4319">
        <v>0</v>
      </c>
      <c r="DF4319">
        <v>0</v>
      </c>
      <c r="DG4319">
        <v>0</v>
      </c>
      <c r="DH4319">
        <v>0</v>
      </c>
      <c r="DI4319">
        <v>0</v>
      </c>
    </row>
    <row r="4320" spans="1:113" x14ac:dyDescent="0.3">
      <c r="A4320" t="str">
        <f t="shared" si="1996"/>
        <v>05/12/2020 14:48:50.416</v>
      </c>
      <c r="C4320" t="str">
        <f t="shared" si="1991"/>
        <v>FFDFD3C0</v>
      </c>
      <c r="D4320" t="s">
        <v>131</v>
      </c>
      <c r="E4320">
        <v>10</v>
      </c>
      <c r="F4320">
        <v>2010</v>
      </c>
      <c r="G4320" t="s">
        <v>132</v>
      </c>
      <c r="J4320" t="s">
        <v>133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>"14:49:08.227"</f>
        <v>14:49:08.227</v>
      </c>
      <c r="T4320" t="str">
        <f>"14:49:07.927"</f>
        <v>14:49:07.927</v>
      </c>
      <c r="U4320" t="str">
        <f t="shared" si="1982"/>
        <v>A9808D</v>
      </c>
      <c r="V4320">
        <v>0</v>
      </c>
      <c r="W4320">
        <v>0</v>
      </c>
      <c r="X4320">
        <v>1</v>
      </c>
      <c r="Z4320">
        <v>0</v>
      </c>
      <c r="AA4320">
        <v>9</v>
      </c>
      <c r="AB4320">
        <v>3</v>
      </c>
      <c r="AC4320">
        <v>0</v>
      </c>
      <c r="AD4320">
        <v>10</v>
      </c>
      <c r="AE4320">
        <v>0</v>
      </c>
      <c r="AF4320">
        <v>3</v>
      </c>
      <c r="AG4320">
        <v>2</v>
      </c>
      <c r="AH4320">
        <v>0</v>
      </c>
      <c r="AI4320" t="s">
        <v>979</v>
      </c>
      <c r="AJ4320">
        <v>28.252952000000001</v>
      </c>
      <c r="AK4320" t="s">
        <v>980</v>
      </c>
      <c r="AL4320">
        <v>-82.314590999999993</v>
      </c>
      <c r="AM4320">
        <v>100</v>
      </c>
      <c r="AN4320">
        <v>2300</v>
      </c>
      <c r="AO4320" t="s">
        <v>118</v>
      </c>
      <c r="AP4320">
        <v>-115</v>
      </c>
      <c r="AQ4320">
        <v>-85</v>
      </c>
      <c r="AR4320">
        <v>-384</v>
      </c>
      <c r="AZ4320">
        <v>1200</v>
      </c>
      <c r="BA4320">
        <v>1</v>
      </c>
      <c r="BB4320" t="str">
        <f t="shared" si="1994"/>
        <v xml:space="preserve">N711JA  </v>
      </c>
      <c r="BC4320">
        <v>1</v>
      </c>
      <c r="BE4320">
        <v>0</v>
      </c>
      <c r="BF4320">
        <v>0</v>
      </c>
      <c r="BG4320">
        <v>0</v>
      </c>
      <c r="BH4320">
        <v>2300</v>
      </c>
      <c r="BI4320">
        <v>1</v>
      </c>
      <c r="BJ4320">
        <v>1</v>
      </c>
      <c r="BK4320">
        <v>0</v>
      </c>
      <c r="BL4320">
        <v>0</v>
      </c>
      <c r="BO4320">
        <v>0</v>
      </c>
      <c r="BP4320">
        <v>0</v>
      </c>
      <c r="BW4320" t="str">
        <f>"14:49:08.234"</f>
        <v>14:49:08.234</v>
      </c>
      <c r="CJ4320">
        <v>0</v>
      </c>
      <c r="CK4320">
        <v>2</v>
      </c>
      <c r="CL4320">
        <v>0</v>
      </c>
      <c r="CM4320">
        <v>2</v>
      </c>
      <c r="CN4320">
        <v>0</v>
      </c>
      <c r="CO4320">
        <v>6</v>
      </c>
      <c r="CP4320" t="s">
        <v>119</v>
      </c>
      <c r="CQ4320">
        <v>358</v>
      </c>
      <c r="CR4320">
        <v>0</v>
      </c>
      <c r="CW4320">
        <v>5110581</v>
      </c>
      <c r="CY4320">
        <v>1</v>
      </c>
      <c r="CZ4320">
        <v>0</v>
      </c>
      <c r="DA4320">
        <v>1</v>
      </c>
      <c r="DB4320">
        <v>0</v>
      </c>
      <c r="DC4320">
        <v>0</v>
      </c>
      <c r="DD4320">
        <v>1</v>
      </c>
      <c r="DE4320">
        <v>0</v>
      </c>
      <c r="DF4320">
        <v>0</v>
      </c>
      <c r="DG4320">
        <v>0</v>
      </c>
      <c r="DH4320">
        <v>0</v>
      </c>
      <c r="DI4320">
        <v>0</v>
      </c>
    </row>
    <row r="4321" spans="1:113" x14ac:dyDescent="0.3">
      <c r="A4321" t="str">
        <f t="shared" si="1996"/>
        <v>05/12/2020 14:48:50.416</v>
      </c>
      <c r="C4321" t="str">
        <f t="shared" si="1991"/>
        <v>FFDFD3C0</v>
      </c>
      <c r="D4321" t="s">
        <v>131</v>
      </c>
      <c r="E4321">
        <v>12</v>
      </c>
      <c r="F4321">
        <v>2012</v>
      </c>
      <c r="G4321" t="s">
        <v>137</v>
      </c>
      <c r="J4321" t="s">
        <v>133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>"14:49:08.234"</f>
        <v>14:49:08.234</v>
      </c>
      <c r="T4321" t="str">
        <f>"14:49:07.934"</f>
        <v>14:49:07.934</v>
      </c>
      <c r="U4321" t="str">
        <f t="shared" si="1982"/>
        <v>A9808D</v>
      </c>
      <c r="V4321">
        <v>0</v>
      </c>
      <c r="W4321">
        <v>0</v>
      </c>
      <c r="X4321">
        <v>1</v>
      </c>
      <c r="Z4321">
        <v>0</v>
      </c>
      <c r="AA4321">
        <v>9</v>
      </c>
      <c r="AB4321">
        <v>3</v>
      </c>
      <c r="AC4321">
        <v>0</v>
      </c>
      <c r="AD4321">
        <v>10</v>
      </c>
      <c r="AE4321">
        <v>0</v>
      </c>
      <c r="AF4321">
        <v>3</v>
      </c>
      <c r="AG4321">
        <v>2</v>
      </c>
      <c r="AH4321">
        <v>0</v>
      </c>
      <c r="AI4321" t="s">
        <v>979</v>
      </c>
      <c r="AJ4321">
        <v>28.252952000000001</v>
      </c>
      <c r="AK4321" t="s">
        <v>980</v>
      </c>
      <c r="AL4321">
        <v>-82.314590999999993</v>
      </c>
      <c r="AM4321">
        <v>100</v>
      </c>
      <c r="AN4321">
        <v>2300</v>
      </c>
      <c r="AO4321" t="s">
        <v>118</v>
      </c>
      <c r="AP4321">
        <v>-115</v>
      </c>
      <c r="AQ4321">
        <v>-85</v>
      </c>
      <c r="AR4321">
        <v>-384</v>
      </c>
      <c r="AZ4321">
        <v>1200</v>
      </c>
      <c r="BA4321">
        <v>1</v>
      </c>
      <c r="BB4321" t="str">
        <f t="shared" si="1994"/>
        <v xml:space="preserve">N711JA  </v>
      </c>
      <c r="BC4321">
        <v>1</v>
      </c>
      <c r="BE4321">
        <v>0</v>
      </c>
      <c r="BF4321">
        <v>0</v>
      </c>
      <c r="BG4321">
        <v>0</v>
      </c>
      <c r="BH4321">
        <v>2300</v>
      </c>
      <c r="BI4321">
        <v>1</v>
      </c>
      <c r="BJ4321">
        <v>1</v>
      </c>
      <c r="BK4321">
        <v>0</v>
      </c>
      <c r="BL4321">
        <v>0</v>
      </c>
      <c r="BO4321">
        <v>0</v>
      </c>
      <c r="BP4321">
        <v>0</v>
      </c>
      <c r="BW4321" t="str">
        <f>"14:49:08.235"</f>
        <v>14:49:08.235</v>
      </c>
      <c r="CJ4321">
        <v>0</v>
      </c>
      <c r="CK4321">
        <v>2</v>
      </c>
      <c r="CL4321">
        <v>0</v>
      </c>
      <c r="CM4321">
        <v>2</v>
      </c>
      <c r="CN4321">
        <v>0</v>
      </c>
      <c r="CO4321">
        <v>2</v>
      </c>
      <c r="CP4321" t="s">
        <v>119</v>
      </c>
      <c r="CQ4321">
        <v>11</v>
      </c>
      <c r="CR4321">
        <v>2</v>
      </c>
      <c r="CW4321">
        <v>16234031</v>
      </c>
      <c r="CY4321">
        <v>1</v>
      </c>
      <c r="CZ4321">
        <v>0</v>
      </c>
      <c r="DA4321">
        <v>1</v>
      </c>
      <c r="DB4321">
        <v>0</v>
      </c>
      <c r="DC4321">
        <v>0</v>
      </c>
      <c r="DD4321">
        <v>1</v>
      </c>
      <c r="DE4321">
        <v>0</v>
      </c>
      <c r="DF4321">
        <v>0</v>
      </c>
      <c r="DG4321">
        <v>0</v>
      </c>
      <c r="DH4321">
        <v>0</v>
      </c>
      <c r="DI4321">
        <v>0</v>
      </c>
    </row>
    <row r="4322" spans="1:113" x14ac:dyDescent="0.3">
      <c r="A4322" t="str">
        <f t="shared" si="1996"/>
        <v>05/12/2020 14:48:50.416</v>
      </c>
      <c r="C4322" t="str">
        <f t="shared" si="1991"/>
        <v>FFDFD3C0</v>
      </c>
      <c r="D4322" t="s">
        <v>134</v>
      </c>
      <c r="E4322">
        <v>12</v>
      </c>
      <c r="H4322">
        <v>64</v>
      </c>
      <c r="I4322" t="s">
        <v>135</v>
      </c>
      <c r="J4322" t="s">
        <v>136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>"14:49:08.227"</f>
        <v>14:49:08.227</v>
      </c>
      <c r="T4322" t="str">
        <f>"14:49:07.927"</f>
        <v>14:49:07.927</v>
      </c>
      <c r="U4322" t="str">
        <f t="shared" si="1982"/>
        <v>A9808D</v>
      </c>
      <c r="V4322">
        <v>0</v>
      </c>
      <c r="W4322">
        <v>0</v>
      </c>
      <c r="X4322">
        <v>1</v>
      </c>
      <c r="Z4322">
        <v>0</v>
      </c>
      <c r="AA4322">
        <v>9</v>
      </c>
      <c r="AB4322">
        <v>3</v>
      </c>
      <c r="AC4322">
        <v>0</v>
      </c>
      <c r="AD4322">
        <v>10</v>
      </c>
      <c r="AE4322">
        <v>0</v>
      </c>
      <c r="AF4322">
        <v>3</v>
      </c>
      <c r="AG4322">
        <v>2</v>
      </c>
      <c r="AH4322">
        <v>0</v>
      </c>
      <c r="AI4322" t="s">
        <v>979</v>
      </c>
      <c r="AJ4322">
        <v>28.252952000000001</v>
      </c>
      <c r="AK4322" t="s">
        <v>980</v>
      </c>
      <c r="AL4322">
        <v>-82.314590999999993</v>
      </c>
      <c r="AM4322">
        <v>100</v>
      </c>
      <c r="AN4322">
        <v>2300</v>
      </c>
      <c r="AO4322" t="s">
        <v>118</v>
      </c>
      <c r="AP4322">
        <v>-115</v>
      </c>
      <c r="AQ4322">
        <v>-85</v>
      </c>
      <c r="AR4322">
        <v>-384</v>
      </c>
      <c r="AZ4322">
        <v>1200</v>
      </c>
      <c r="BA4322">
        <v>1</v>
      </c>
      <c r="BB4322" t="str">
        <f t="shared" si="1994"/>
        <v xml:space="preserve">N711JA  </v>
      </c>
      <c r="BC4322">
        <v>1</v>
      </c>
      <c r="BE4322">
        <v>0</v>
      </c>
      <c r="BF4322">
        <v>0</v>
      </c>
      <c r="BG4322">
        <v>0</v>
      </c>
      <c r="BH4322">
        <v>2300</v>
      </c>
      <c r="BI4322">
        <v>1</v>
      </c>
      <c r="BJ4322">
        <v>1</v>
      </c>
      <c r="BK4322">
        <v>0</v>
      </c>
      <c r="BL4322">
        <v>0</v>
      </c>
      <c r="BO4322">
        <v>0</v>
      </c>
      <c r="BP4322">
        <v>0</v>
      </c>
      <c r="BW4322" t="str">
        <f>"14:49:08.234"</f>
        <v>14:49:08.234</v>
      </c>
      <c r="CJ4322">
        <v>0</v>
      </c>
      <c r="CK4322">
        <v>2</v>
      </c>
      <c r="CL4322">
        <v>0</v>
      </c>
      <c r="CM4322">
        <v>2</v>
      </c>
      <c r="CN4322">
        <v>0</v>
      </c>
      <c r="CO4322">
        <v>6</v>
      </c>
      <c r="CP4322" t="s">
        <v>119</v>
      </c>
      <c r="CQ4322">
        <v>358</v>
      </c>
      <c r="CR4322">
        <v>0</v>
      </c>
      <c r="CW4322">
        <v>5110581</v>
      </c>
      <c r="CY4322">
        <v>1</v>
      </c>
      <c r="CZ4322">
        <v>0</v>
      </c>
      <c r="DA4322">
        <v>1</v>
      </c>
      <c r="DB4322">
        <v>0</v>
      </c>
      <c r="DC4322">
        <v>0</v>
      </c>
      <c r="DD4322">
        <v>1</v>
      </c>
      <c r="DE4322">
        <v>0</v>
      </c>
      <c r="DF4322">
        <v>0</v>
      </c>
      <c r="DG4322">
        <v>0</v>
      </c>
      <c r="DH4322">
        <v>0</v>
      </c>
      <c r="DI4322">
        <v>0</v>
      </c>
    </row>
    <row r="4323" spans="1:113" x14ac:dyDescent="0.3">
      <c r="A4323" t="str">
        <f t="shared" si="1996"/>
        <v>05/12/2020 14:48:50.416</v>
      </c>
      <c r="C4323" t="str">
        <f t="shared" si="1991"/>
        <v>FFDFD3C0</v>
      </c>
      <c r="D4323" t="s">
        <v>131</v>
      </c>
      <c r="E4323">
        <v>18</v>
      </c>
      <c r="F4323">
        <v>2018</v>
      </c>
      <c r="G4323" t="s">
        <v>161</v>
      </c>
      <c r="J4323" t="s">
        <v>133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>"14:49:08.234"</f>
        <v>14:49:08.234</v>
      </c>
      <c r="T4323" t="str">
        <f>"14:49:07.934"</f>
        <v>14:49:07.934</v>
      </c>
      <c r="U4323" t="str">
        <f t="shared" si="1982"/>
        <v>A9808D</v>
      </c>
      <c r="V4323">
        <v>0</v>
      </c>
      <c r="W4323">
        <v>0</v>
      </c>
      <c r="X4323">
        <v>1</v>
      </c>
      <c r="Z4323">
        <v>0</v>
      </c>
      <c r="AA4323">
        <v>9</v>
      </c>
      <c r="AB4323">
        <v>3</v>
      </c>
      <c r="AC4323">
        <v>0</v>
      </c>
      <c r="AD4323">
        <v>10</v>
      </c>
      <c r="AE4323">
        <v>0</v>
      </c>
      <c r="AF4323">
        <v>3</v>
      </c>
      <c r="AG4323">
        <v>2</v>
      </c>
      <c r="AH4323">
        <v>0</v>
      </c>
      <c r="AI4323" t="s">
        <v>979</v>
      </c>
      <c r="AJ4323">
        <v>28.252952000000001</v>
      </c>
      <c r="AK4323" t="s">
        <v>980</v>
      </c>
      <c r="AL4323">
        <v>-82.314590999999993</v>
      </c>
      <c r="AM4323">
        <v>100</v>
      </c>
      <c r="AN4323">
        <v>2300</v>
      </c>
      <c r="AO4323" t="s">
        <v>118</v>
      </c>
      <c r="AP4323">
        <v>-115</v>
      </c>
      <c r="AQ4323">
        <v>-85</v>
      </c>
      <c r="AR4323">
        <v>-384</v>
      </c>
      <c r="AZ4323">
        <v>1200</v>
      </c>
      <c r="BA4323">
        <v>1</v>
      </c>
      <c r="BB4323" t="str">
        <f t="shared" si="1994"/>
        <v xml:space="preserve">N711JA  </v>
      </c>
      <c r="BC4323">
        <v>1</v>
      </c>
      <c r="BE4323">
        <v>0</v>
      </c>
      <c r="BF4323">
        <v>0</v>
      </c>
      <c r="BG4323">
        <v>0</v>
      </c>
      <c r="BH4323">
        <v>2300</v>
      </c>
      <c r="BI4323">
        <v>1</v>
      </c>
      <c r="BJ4323">
        <v>1</v>
      </c>
      <c r="BK4323">
        <v>0</v>
      </c>
      <c r="BL4323">
        <v>0</v>
      </c>
      <c r="BO4323">
        <v>0</v>
      </c>
      <c r="BP4323">
        <v>0</v>
      </c>
      <c r="BW4323" t="str">
        <f>"14:49:08.235"</f>
        <v>14:49:08.235</v>
      </c>
      <c r="CJ4323">
        <v>0</v>
      </c>
      <c r="CK4323">
        <v>2</v>
      </c>
      <c r="CL4323">
        <v>0</v>
      </c>
      <c r="CM4323">
        <v>2</v>
      </c>
      <c r="CN4323">
        <v>0</v>
      </c>
      <c r="CO4323">
        <v>2</v>
      </c>
      <c r="CP4323" t="s">
        <v>119</v>
      </c>
      <c r="CQ4323">
        <v>62</v>
      </c>
      <c r="CR4323">
        <v>1</v>
      </c>
      <c r="CW4323">
        <v>13034005</v>
      </c>
      <c r="CY4323">
        <v>1</v>
      </c>
      <c r="CZ4323">
        <v>0</v>
      </c>
      <c r="DA4323">
        <v>1</v>
      </c>
      <c r="DB4323">
        <v>0</v>
      </c>
      <c r="DC4323">
        <v>0</v>
      </c>
      <c r="DD4323">
        <v>1</v>
      </c>
      <c r="DE4323">
        <v>0</v>
      </c>
      <c r="DF4323">
        <v>0</v>
      </c>
      <c r="DG4323">
        <v>0</v>
      </c>
      <c r="DH4323">
        <v>0</v>
      </c>
      <c r="DI4323">
        <v>0</v>
      </c>
    </row>
    <row r="4324" spans="1:113" x14ac:dyDescent="0.3">
      <c r="A4324" t="str">
        <f t="shared" si="1996"/>
        <v>05/12/2020 14:48:50.416</v>
      </c>
      <c r="C4324" t="str">
        <f t="shared" si="1991"/>
        <v>FFDFD3C0</v>
      </c>
      <c r="D4324" t="s">
        <v>113</v>
      </c>
      <c r="E4324">
        <v>3</v>
      </c>
      <c r="H4324">
        <v>164</v>
      </c>
      <c r="I4324" t="s">
        <v>114</v>
      </c>
      <c r="J4324" t="s">
        <v>115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>"14:49:08.234"</f>
        <v>14:49:08.234</v>
      </c>
      <c r="T4324" t="str">
        <f>"14:49:07.934"</f>
        <v>14:49:07.934</v>
      </c>
      <c r="U4324" t="str">
        <f t="shared" si="1982"/>
        <v>A9808D</v>
      </c>
      <c r="V4324">
        <v>0</v>
      </c>
      <c r="W4324">
        <v>0</v>
      </c>
      <c r="X4324">
        <v>1</v>
      </c>
      <c r="Z4324">
        <v>0</v>
      </c>
      <c r="AA4324">
        <v>9</v>
      </c>
      <c r="AB4324">
        <v>3</v>
      </c>
      <c r="AC4324">
        <v>0</v>
      </c>
      <c r="AD4324">
        <v>10</v>
      </c>
      <c r="AE4324">
        <v>0</v>
      </c>
      <c r="AF4324">
        <v>3</v>
      </c>
      <c r="AG4324">
        <v>2</v>
      </c>
      <c r="AH4324">
        <v>0</v>
      </c>
      <c r="AI4324" t="s">
        <v>979</v>
      </c>
      <c r="AJ4324">
        <v>28.252952000000001</v>
      </c>
      <c r="AK4324" t="s">
        <v>980</v>
      </c>
      <c r="AL4324">
        <v>-82.314590999999993</v>
      </c>
      <c r="AM4324">
        <v>100</v>
      </c>
      <c r="AN4324">
        <v>2300</v>
      </c>
      <c r="AO4324" t="s">
        <v>118</v>
      </c>
      <c r="AP4324">
        <v>-115</v>
      </c>
      <c r="AQ4324">
        <v>-85</v>
      </c>
      <c r="AR4324">
        <v>-384</v>
      </c>
      <c r="AZ4324">
        <v>1200</v>
      </c>
      <c r="BA4324">
        <v>1</v>
      </c>
      <c r="BB4324" t="str">
        <f t="shared" si="1994"/>
        <v xml:space="preserve">N711JA  </v>
      </c>
      <c r="BC4324">
        <v>1</v>
      </c>
      <c r="BE4324">
        <v>0</v>
      </c>
      <c r="BF4324">
        <v>0</v>
      </c>
      <c r="BG4324">
        <v>0</v>
      </c>
      <c r="BH4324">
        <v>2300</v>
      </c>
      <c r="BI4324">
        <v>1</v>
      </c>
      <c r="BJ4324">
        <v>1</v>
      </c>
      <c r="BK4324">
        <v>0</v>
      </c>
      <c r="BL4324">
        <v>0</v>
      </c>
      <c r="BO4324">
        <v>0</v>
      </c>
      <c r="BP4324">
        <v>0</v>
      </c>
      <c r="BW4324" t="str">
        <f>"14:49:08.235"</f>
        <v>14:49:08.235</v>
      </c>
      <c r="CJ4324">
        <v>0</v>
      </c>
      <c r="CK4324">
        <v>2</v>
      </c>
      <c r="CL4324">
        <v>0</v>
      </c>
      <c r="CM4324">
        <v>2</v>
      </c>
      <c r="CN4324">
        <v>0</v>
      </c>
      <c r="CO4324">
        <v>2</v>
      </c>
      <c r="CP4324" t="s">
        <v>119</v>
      </c>
      <c r="CQ4324">
        <v>11</v>
      </c>
      <c r="CR4324">
        <v>2</v>
      </c>
      <c r="CW4324">
        <v>16234031</v>
      </c>
      <c r="CY4324">
        <v>1</v>
      </c>
      <c r="CZ4324">
        <v>0</v>
      </c>
      <c r="DA4324">
        <v>1</v>
      </c>
      <c r="DB4324">
        <v>0</v>
      </c>
      <c r="DC4324">
        <v>0</v>
      </c>
      <c r="DD4324">
        <v>1</v>
      </c>
      <c r="DE4324">
        <v>0</v>
      </c>
      <c r="DF4324">
        <v>0</v>
      </c>
      <c r="DG4324">
        <v>0</v>
      </c>
      <c r="DH4324">
        <v>0</v>
      </c>
      <c r="DI4324">
        <v>0</v>
      </c>
    </row>
    <row r="4325" spans="1:113" x14ac:dyDescent="0.3">
      <c r="A4325" t="str">
        <f t="shared" si="1996"/>
        <v>05/12/2020 14:48:50.416</v>
      </c>
      <c r="C4325" t="str">
        <f t="shared" si="1991"/>
        <v>FFDFD3C0</v>
      </c>
      <c r="D4325" t="s">
        <v>126</v>
      </c>
      <c r="E4325">
        <v>6</v>
      </c>
      <c r="F4325">
        <v>1006</v>
      </c>
      <c r="G4325" t="s">
        <v>114</v>
      </c>
      <c r="J4325" t="s">
        <v>128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>"14:49:08.227"</f>
        <v>14:49:08.227</v>
      </c>
      <c r="T4325" t="str">
        <f>"14:49:07.927"</f>
        <v>14:49:07.927</v>
      </c>
      <c r="U4325" t="str">
        <f t="shared" si="1982"/>
        <v>A9808D</v>
      </c>
      <c r="V4325">
        <v>0</v>
      </c>
      <c r="W4325">
        <v>0</v>
      </c>
      <c r="X4325">
        <v>1</v>
      </c>
      <c r="Z4325">
        <v>0</v>
      </c>
      <c r="AA4325">
        <v>9</v>
      </c>
      <c r="AB4325">
        <v>3</v>
      </c>
      <c r="AC4325">
        <v>0</v>
      </c>
      <c r="AD4325">
        <v>10</v>
      </c>
      <c r="AE4325">
        <v>0</v>
      </c>
      <c r="AF4325">
        <v>3</v>
      </c>
      <c r="AG4325">
        <v>2</v>
      </c>
      <c r="AH4325">
        <v>0</v>
      </c>
      <c r="AI4325" t="s">
        <v>979</v>
      </c>
      <c r="AJ4325">
        <v>28.252952000000001</v>
      </c>
      <c r="AK4325" t="s">
        <v>980</v>
      </c>
      <c r="AL4325">
        <v>-82.314590999999993</v>
      </c>
      <c r="AM4325">
        <v>100</v>
      </c>
      <c r="AN4325">
        <v>2300</v>
      </c>
      <c r="AO4325" t="s">
        <v>118</v>
      </c>
      <c r="AP4325">
        <v>-115</v>
      </c>
      <c r="AQ4325">
        <v>-85</v>
      </c>
      <c r="AR4325">
        <v>-384</v>
      </c>
      <c r="AZ4325">
        <v>1200</v>
      </c>
      <c r="BA4325">
        <v>1</v>
      </c>
      <c r="BB4325" t="str">
        <f t="shared" si="1994"/>
        <v xml:space="preserve">N711JA  </v>
      </c>
      <c r="BC4325">
        <v>1</v>
      </c>
      <c r="BE4325">
        <v>0</v>
      </c>
      <c r="BF4325">
        <v>0</v>
      </c>
      <c r="BG4325">
        <v>0</v>
      </c>
      <c r="BH4325">
        <v>2300</v>
      </c>
      <c r="BI4325">
        <v>1</v>
      </c>
      <c r="BJ4325">
        <v>1</v>
      </c>
      <c r="BK4325">
        <v>0</v>
      </c>
      <c r="BL4325">
        <v>0</v>
      </c>
      <c r="BO4325">
        <v>0</v>
      </c>
      <c r="BP4325">
        <v>0</v>
      </c>
      <c r="BW4325" t="str">
        <f>"14:49:08.234"</f>
        <v>14:49:08.234</v>
      </c>
      <c r="CJ4325">
        <v>0</v>
      </c>
      <c r="CK4325">
        <v>2</v>
      </c>
      <c r="CL4325">
        <v>0</v>
      </c>
      <c r="CM4325">
        <v>2</v>
      </c>
      <c r="CN4325">
        <v>0</v>
      </c>
      <c r="CO4325">
        <v>6</v>
      </c>
      <c r="CP4325" t="s">
        <v>119</v>
      </c>
      <c r="CQ4325">
        <v>358</v>
      </c>
      <c r="CR4325">
        <v>0</v>
      </c>
      <c r="CW4325">
        <v>5110581</v>
      </c>
      <c r="CY4325">
        <v>1</v>
      </c>
      <c r="CZ4325">
        <v>0</v>
      </c>
      <c r="DA4325">
        <v>1</v>
      </c>
      <c r="DB4325">
        <v>0</v>
      </c>
      <c r="DC4325">
        <v>0</v>
      </c>
      <c r="DD4325">
        <v>1</v>
      </c>
      <c r="DE4325">
        <v>0</v>
      </c>
      <c r="DF4325">
        <v>0</v>
      </c>
      <c r="DG4325">
        <v>0</v>
      </c>
      <c r="DH4325">
        <v>0</v>
      </c>
      <c r="DI4325">
        <v>0</v>
      </c>
    </row>
    <row r="4326" spans="1:113" x14ac:dyDescent="0.3">
      <c r="A4326" t="str">
        <f t="shared" si="1996"/>
        <v>05/12/2020 14:48:50.416</v>
      </c>
      <c r="C4326" t="str">
        <f t="shared" si="1991"/>
        <v>FFDFD3C0</v>
      </c>
      <c r="D4326" t="s">
        <v>138</v>
      </c>
      <c r="E4326">
        <v>2</v>
      </c>
      <c r="H4326">
        <v>8</v>
      </c>
      <c r="I4326" t="s">
        <v>139</v>
      </c>
      <c r="J4326" t="s">
        <v>136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>"14:49:08.234"</f>
        <v>14:49:08.234</v>
      </c>
      <c r="T4326" t="str">
        <f>"14:49:07.934"</f>
        <v>14:49:07.934</v>
      </c>
      <c r="U4326" t="str">
        <f t="shared" si="1982"/>
        <v>A9808D</v>
      </c>
      <c r="V4326">
        <v>0</v>
      </c>
      <c r="W4326">
        <v>0</v>
      </c>
      <c r="X4326">
        <v>1</v>
      </c>
      <c r="Z4326">
        <v>0</v>
      </c>
      <c r="AA4326">
        <v>9</v>
      </c>
      <c r="AB4326">
        <v>3</v>
      </c>
      <c r="AC4326">
        <v>0</v>
      </c>
      <c r="AD4326">
        <v>10</v>
      </c>
      <c r="AE4326">
        <v>0</v>
      </c>
      <c r="AF4326">
        <v>3</v>
      </c>
      <c r="AG4326">
        <v>2</v>
      </c>
      <c r="AH4326">
        <v>0</v>
      </c>
      <c r="AI4326" t="s">
        <v>979</v>
      </c>
      <c r="AJ4326">
        <v>28.252952000000001</v>
      </c>
      <c r="AK4326" t="s">
        <v>980</v>
      </c>
      <c r="AL4326">
        <v>-82.314590999999993</v>
      </c>
      <c r="AM4326">
        <v>100</v>
      </c>
      <c r="AN4326">
        <v>2300</v>
      </c>
      <c r="AO4326" t="s">
        <v>118</v>
      </c>
      <c r="AP4326">
        <v>-115</v>
      </c>
      <c r="AQ4326">
        <v>-85</v>
      </c>
      <c r="AR4326">
        <v>-384</v>
      </c>
      <c r="AZ4326">
        <v>1200</v>
      </c>
      <c r="BA4326">
        <v>1</v>
      </c>
      <c r="BB4326" t="str">
        <f t="shared" si="1994"/>
        <v xml:space="preserve">N711JA  </v>
      </c>
      <c r="BC4326">
        <v>1</v>
      </c>
      <c r="BE4326">
        <v>0</v>
      </c>
      <c r="BF4326">
        <v>0</v>
      </c>
      <c r="BG4326">
        <v>0</v>
      </c>
      <c r="BH4326">
        <v>2300</v>
      </c>
      <c r="BI4326">
        <v>1</v>
      </c>
      <c r="BJ4326">
        <v>1</v>
      </c>
      <c r="BK4326">
        <v>0</v>
      </c>
      <c r="BL4326">
        <v>0</v>
      </c>
      <c r="BO4326">
        <v>0</v>
      </c>
      <c r="BP4326">
        <v>0</v>
      </c>
      <c r="BW4326" t="str">
        <f>"14:49:08.235"</f>
        <v>14:49:08.235</v>
      </c>
      <c r="CJ4326">
        <v>0</v>
      </c>
      <c r="CK4326">
        <v>2</v>
      </c>
      <c r="CL4326">
        <v>0</v>
      </c>
      <c r="CM4326">
        <v>2</v>
      </c>
      <c r="CN4326">
        <v>0</v>
      </c>
      <c r="CO4326">
        <v>2</v>
      </c>
      <c r="CP4326" t="s">
        <v>119</v>
      </c>
      <c r="CQ4326">
        <v>11</v>
      </c>
      <c r="CR4326">
        <v>2</v>
      </c>
      <c r="CW4326">
        <v>16234031</v>
      </c>
      <c r="CY4326">
        <v>1</v>
      </c>
      <c r="CZ4326">
        <v>0</v>
      </c>
      <c r="DA4326">
        <v>1</v>
      </c>
      <c r="DB4326">
        <v>0</v>
      </c>
      <c r="DC4326">
        <v>0</v>
      </c>
      <c r="DD4326">
        <v>1</v>
      </c>
      <c r="DE4326">
        <v>0</v>
      </c>
      <c r="DF4326">
        <v>0</v>
      </c>
      <c r="DG4326">
        <v>0</v>
      </c>
      <c r="DH4326">
        <v>0</v>
      </c>
      <c r="DI4326">
        <v>0</v>
      </c>
    </row>
    <row r="4327" spans="1:113" x14ac:dyDescent="0.3">
      <c r="A4327" t="str">
        <f t="shared" si="1996"/>
        <v>05/12/2020 14:48:50.416</v>
      </c>
      <c r="C4327" t="str">
        <f t="shared" si="1991"/>
        <v>FFDFD3C0</v>
      </c>
      <c r="D4327" t="s">
        <v>138</v>
      </c>
      <c r="E4327">
        <v>3</v>
      </c>
      <c r="H4327">
        <v>9</v>
      </c>
      <c r="I4327" t="s">
        <v>140</v>
      </c>
      <c r="J4327" t="s">
        <v>136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>"14:49:08.227"</f>
        <v>14:49:08.227</v>
      </c>
      <c r="T4327" t="str">
        <f>"14:49:07.927"</f>
        <v>14:49:07.927</v>
      </c>
      <c r="U4327" t="str">
        <f t="shared" si="1982"/>
        <v>A9808D</v>
      </c>
      <c r="V4327">
        <v>0</v>
      </c>
      <c r="W4327">
        <v>0</v>
      </c>
      <c r="X4327">
        <v>1</v>
      </c>
      <c r="Z4327">
        <v>0</v>
      </c>
      <c r="AA4327">
        <v>9</v>
      </c>
      <c r="AB4327">
        <v>3</v>
      </c>
      <c r="AC4327">
        <v>0</v>
      </c>
      <c r="AD4327">
        <v>10</v>
      </c>
      <c r="AE4327">
        <v>0</v>
      </c>
      <c r="AF4327">
        <v>3</v>
      </c>
      <c r="AG4327">
        <v>2</v>
      </c>
      <c r="AH4327">
        <v>0</v>
      </c>
      <c r="AI4327" t="s">
        <v>979</v>
      </c>
      <c r="AJ4327">
        <v>28.252952000000001</v>
      </c>
      <c r="AK4327" t="s">
        <v>980</v>
      </c>
      <c r="AL4327">
        <v>-82.314590999999993</v>
      </c>
      <c r="AM4327">
        <v>100</v>
      </c>
      <c r="AN4327">
        <v>2300</v>
      </c>
      <c r="AO4327" t="s">
        <v>118</v>
      </c>
      <c r="AP4327">
        <v>-115</v>
      </c>
      <c r="AQ4327">
        <v>-85</v>
      </c>
      <c r="AR4327">
        <v>-384</v>
      </c>
      <c r="AZ4327">
        <v>1200</v>
      </c>
      <c r="BA4327">
        <v>1</v>
      </c>
      <c r="BB4327" t="str">
        <f t="shared" si="1994"/>
        <v xml:space="preserve">N711JA  </v>
      </c>
      <c r="BC4327">
        <v>1</v>
      </c>
      <c r="BE4327">
        <v>0</v>
      </c>
      <c r="BF4327">
        <v>0</v>
      </c>
      <c r="BG4327">
        <v>0</v>
      </c>
      <c r="BH4327">
        <v>2300</v>
      </c>
      <c r="BI4327">
        <v>1</v>
      </c>
      <c r="BJ4327">
        <v>1</v>
      </c>
      <c r="BK4327">
        <v>0</v>
      </c>
      <c r="BL4327">
        <v>0</v>
      </c>
      <c r="BO4327">
        <v>0</v>
      </c>
      <c r="BP4327">
        <v>0</v>
      </c>
      <c r="BW4327" t="str">
        <f>"14:49:08.234"</f>
        <v>14:49:08.234</v>
      </c>
      <c r="CJ4327">
        <v>0</v>
      </c>
      <c r="CK4327">
        <v>2</v>
      </c>
      <c r="CL4327">
        <v>0</v>
      </c>
      <c r="CM4327">
        <v>2</v>
      </c>
      <c r="CN4327">
        <v>0</v>
      </c>
      <c r="CO4327">
        <v>6</v>
      </c>
      <c r="CP4327" t="s">
        <v>119</v>
      </c>
      <c r="CQ4327">
        <v>358</v>
      </c>
      <c r="CR4327">
        <v>0</v>
      </c>
      <c r="CW4327">
        <v>5110581</v>
      </c>
      <c r="CY4327">
        <v>1</v>
      </c>
      <c r="CZ4327">
        <v>0</v>
      </c>
      <c r="DA4327">
        <v>1</v>
      </c>
      <c r="DB4327">
        <v>0</v>
      </c>
      <c r="DC4327">
        <v>0</v>
      </c>
      <c r="DD4327">
        <v>1</v>
      </c>
      <c r="DE4327">
        <v>0</v>
      </c>
      <c r="DF4327">
        <v>0</v>
      </c>
      <c r="DG4327">
        <v>0</v>
      </c>
      <c r="DH4327">
        <v>0</v>
      </c>
      <c r="DI4327">
        <v>0</v>
      </c>
    </row>
    <row r="4328" spans="1:113" x14ac:dyDescent="0.3">
      <c r="A4328" t="str">
        <f t="shared" ref="A4328:A4336" si="1997">"05/12/2020 14:48:51.472"</f>
        <v>05/12/2020 14:48:51.472</v>
      </c>
      <c r="C4328" t="str">
        <f t="shared" si="1991"/>
        <v>FFDFD3C0</v>
      </c>
      <c r="D4328" t="s">
        <v>126</v>
      </c>
      <c r="E4328">
        <v>7</v>
      </c>
      <c r="F4328">
        <v>1007</v>
      </c>
      <c r="G4328" t="s">
        <v>127</v>
      </c>
      <c r="J4328" t="s">
        <v>128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 t="shared" ref="S4328:S4336" si="1998">"14:49:09.305"</f>
        <v>14:49:09.305</v>
      </c>
      <c r="T4328" t="str">
        <f>"14:49:08.905"</f>
        <v>14:49:08.905</v>
      </c>
      <c r="U4328" t="str">
        <f t="shared" si="1982"/>
        <v>A9808D</v>
      </c>
      <c r="V4328">
        <v>0</v>
      </c>
      <c r="W4328">
        <v>0</v>
      </c>
      <c r="X4328">
        <v>1</v>
      </c>
      <c r="Z4328">
        <v>0</v>
      </c>
      <c r="AA4328">
        <v>9</v>
      </c>
      <c r="AB4328">
        <v>3</v>
      </c>
      <c r="AC4328">
        <v>0</v>
      </c>
      <c r="AD4328">
        <v>10</v>
      </c>
      <c r="AE4328">
        <v>0</v>
      </c>
      <c r="AF4328">
        <v>3</v>
      </c>
      <c r="AG4328">
        <v>2</v>
      </c>
      <c r="AH4328">
        <v>0</v>
      </c>
      <c r="AI4328" t="s">
        <v>981</v>
      </c>
      <c r="AJ4328">
        <v>28.252500999999999</v>
      </c>
      <c r="AK4328" t="s">
        <v>982</v>
      </c>
      <c r="AL4328">
        <v>-82.315278000000006</v>
      </c>
      <c r="AM4328">
        <v>100</v>
      </c>
      <c r="AN4328">
        <v>2300</v>
      </c>
      <c r="AO4328" t="s">
        <v>118</v>
      </c>
      <c r="AP4328">
        <v>-117</v>
      </c>
      <c r="AQ4328">
        <v>-83</v>
      </c>
      <c r="AR4328">
        <v>-448</v>
      </c>
      <c r="AZ4328">
        <v>1200</v>
      </c>
      <c r="BA4328">
        <v>1</v>
      </c>
      <c r="BB4328" t="str">
        <f t="shared" si="1994"/>
        <v xml:space="preserve">N711JA  </v>
      </c>
      <c r="BC4328">
        <v>1</v>
      </c>
      <c r="BE4328">
        <v>0</v>
      </c>
      <c r="BF4328">
        <v>0</v>
      </c>
      <c r="BG4328">
        <v>0</v>
      </c>
      <c r="BH4328">
        <v>2275</v>
      </c>
      <c r="BI4328">
        <v>1</v>
      </c>
      <c r="BJ4328">
        <v>1</v>
      </c>
      <c r="BK4328">
        <v>0</v>
      </c>
      <c r="BL4328">
        <v>0</v>
      </c>
      <c r="BO4328">
        <v>0</v>
      </c>
      <c r="BP4328">
        <v>0</v>
      </c>
      <c r="BW4328" t="str">
        <f t="shared" ref="BW4328:BW4336" si="1999">"14:49:09.312"</f>
        <v>14:49:09.312</v>
      </c>
      <c r="CJ4328">
        <v>0</v>
      </c>
      <c r="CK4328">
        <v>2</v>
      </c>
      <c r="CL4328">
        <v>0</v>
      </c>
      <c r="CM4328">
        <v>2</v>
      </c>
      <c r="CN4328">
        <v>0</v>
      </c>
      <c r="CO4328">
        <v>6</v>
      </c>
      <c r="CP4328" t="s">
        <v>119</v>
      </c>
      <c r="CQ4328">
        <v>358</v>
      </c>
      <c r="CR4328">
        <v>0</v>
      </c>
      <c r="CW4328">
        <v>5111841</v>
      </c>
      <c r="CY4328">
        <v>1</v>
      </c>
      <c r="CZ4328">
        <v>0</v>
      </c>
      <c r="DA4328">
        <v>0</v>
      </c>
      <c r="DB4328">
        <v>0</v>
      </c>
      <c r="DC4328">
        <v>0</v>
      </c>
      <c r="DD4328">
        <v>1</v>
      </c>
      <c r="DE4328">
        <v>0</v>
      </c>
      <c r="DF4328">
        <v>0</v>
      </c>
      <c r="DG4328">
        <v>0</v>
      </c>
      <c r="DH4328">
        <v>0</v>
      </c>
      <c r="DI4328">
        <v>0</v>
      </c>
    </row>
    <row r="4329" spans="1:113" x14ac:dyDescent="0.3">
      <c r="A4329" t="str">
        <f t="shared" si="1997"/>
        <v>05/12/2020 14:48:51.472</v>
      </c>
      <c r="C4329" t="str">
        <f t="shared" si="1991"/>
        <v>FFDFD3C0</v>
      </c>
      <c r="D4329" t="s">
        <v>131</v>
      </c>
      <c r="E4329">
        <v>10</v>
      </c>
      <c r="F4329">
        <v>2010</v>
      </c>
      <c r="G4329" t="s">
        <v>132</v>
      </c>
      <c r="J4329" t="s">
        <v>133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 t="shared" si="1998"/>
        <v>14:49:09.305</v>
      </c>
      <c r="T4329" t="str">
        <f>"14:49:08.905"</f>
        <v>14:49:08.905</v>
      </c>
      <c r="U4329" t="str">
        <f t="shared" si="1982"/>
        <v>A9808D</v>
      </c>
      <c r="V4329">
        <v>0</v>
      </c>
      <c r="W4329">
        <v>0</v>
      </c>
      <c r="X4329">
        <v>1</v>
      </c>
      <c r="Z4329">
        <v>0</v>
      </c>
      <c r="AA4329">
        <v>9</v>
      </c>
      <c r="AB4329">
        <v>3</v>
      </c>
      <c r="AC4329">
        <v>0</v>
      </c>
      <c r="AD4329">
        <v>10</v>
      </c>
      <c r="AE4329">
        <v>0</v>
      </c>
      <c r="AF4329">
        <v>3</v>
      </c>
      <c r="AG4329">
        <v>2</v>
      </c>
      <c r="AH4329">
        <v>0</v>
      </c>
      <c r="AI4329" t="s">
        <v>981</v>
      </c>
      <c r="AJ4329">
        <v>28.252500999999999</v>
      </c>
      <c r="AK4329" t="s">
        <v>982</v>
      </c>
      <c r="AL4329">
        <v>-82.315278000000006</v>
      </c>
      <c r="AM4329">
        <v>100</v>
      </c>
      <c r="AN4329">
        <v>2300</v>
      </c>
      <c r="AO4329" t="s">
        <v>118</v>
      </c>
      <c r="AP4329">
        <v>-117</v>
      </c>
      <c r="AQ4329">
        <v>-83</v>
      </c>
      <c r="AR4329">
        <v>-448</v>
      </c>
      <c r="AZ4329">
        <v>1200</v>
      </c>
      <c r="BA4329">
        <v>1</v>
      </c>
      <c r="BB4329" t="str">
        <f t="shared" si="1994"/>
        <v xml:space="preserve">N711JA  </v>
      </c>
      <c r="BC4329">
        <v>1</v>
      </c>
      <c r="BE4329">
        <v>0</v>
      </c>
      <c r="BF4329">
        <v>0</v>
      </c>
      <c r="BG4329">
        <v>0</v>
      </c>
      <c r="BH4329">
        <v>2275</v>
      </c>
      <c r="BI4329">
        <v>1</v>
      </c>
      <c r="BJ4329">
        <v>1</v>
      </c>
      <c r="BK4329">
        <v>0</v>
      </c>
      <c r="BL4329">
        <v>0</v>
      </c>
      <c r="BO4329">
        <v>0</v>
      </c>
      <c r="BP4329">
        <v>0</v>
      </c>
      <c r="BW4329" t="str">
        <f t="shared" si="1999"/>
        <v>14:49:09.312</v>
      </c>
      <c r="CJ4329">
        <v>0</v>
      </c>
      <c r="CK4329">
        <v>2</v>
      </c>
      <c r="CL4329">
        <v>0</v>
      </c>
      <c r="CM4329">
        <v>2</v>
      </c>
      <c r="CN4329">
        <v>0</v>
      </c>
      <c r="CO4329">
        <v>6</v>
      </c>
      <c r="CP4329" t="s">
        <v>119</v>
      </c>
      <c r="CQ4329">
        <v>358</v>
      </c>
      <c r="CR4329">
        <v>0</v>
      </c>
      <c r="CW4329">
        <v>5111841</v>
      </c>
      <c r="CY4329">
        <v>1</v>
      </c>
      <c r="CZ4329">
        <v>0</v>
      </c>
      <c r="DA4329">
        <v>1</v>
      </c>
      <c r="DB4329">
        <v>0</v>
      </c>
      <c r="DC4329">
        <v>0</v>
      </c>
      <c r="DD4329">
        <v>1</v>
      </c>
      <c r="DE4329">
        <v>0</v>
      </c>
      <c r="DF4329">
        <v>0</v>
      </c>
      <c r="DG4329">
        <v>0</v>
      </c>
      <c r="DH4329">
        <v>0</v>
      </c>
      <c r="DI4329">
        <v>0</v>
      </c>
    </row>
    <row r="4330" spans="1:113" x14ac:dyDescent="0.3">
      <c r="A4330" t="str">
        <f t="shared" si="1997"/>
        <v>05/12/2020 14:48:51.472</v>
      </c>
      <c r="C4330" t="str">
        <f t="shared" si="1991"/>
        <v>FFDFD3C0</v>
      </c>
      <c r="D4330" t="s">
        <v>131</v>
      </c>
      <c r="E4330">
        <v>12</v>
      </c>
      <c r="F4330">
        <v>2012</v>
      </c>
      <c r="G4330" t="s">
        <v>137</v>
      </c>
      <c r="J4330" t="s">
        <v>133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 t="shared" si="1998"/>
        <v>14:49:09.305</v>
      </c>
      <c r="T4330" t="str">
        <f>"14:49:08.405"</f>
        <v>14:49:08.405</v>
      </c>
      <c r="U4330" t="str">
        <f t="shared" si="1982"/>
        <v>A9808D</v>
      </c>
      <c r="V4330">
        <v>0</v>
      </c>
      <c r="W4330">
        <v>0</v>
      </c>
      <c r="X4330">
        <v>1</v>
      </c>
      <c r="Z4330">
        <v>0</v>
      </c>
      <c r="AA4330">
        <v>9</v>
      </c>
      <c r="AB4330">
        <v>3</v>
      </c>
      <c r="AC4330">
        <v>0</v>
      </c>
      <c r="AD4330">
        <v>10</v>
      </c>
      <c r="AE4330">
        <v>0</v>
      </c>
      <c r="AF4330">
        <v>3</v>
      </c>
      <c r="AG4330">
        <v>2</v>
      </c>
      <c r="AH4330">
        <v>0</v>
      </c>
      <c r="AI4330" t="s">
        <v>981</v>
      </c>
      <c r="AJ4330">
        <v>28.252500999999999</v>
      </c>
      <c r="AK4330" t="s">
        <v>982</v>
      </c>
      <c r="AL4330">
        <v>-82.315278000000006</v>
      </c>
      <c r="AM4330">
        <v>100</v>
      </c>
      <c r="AN4330">
        <v>2300</v>
      </c>
      <c r="AO4330" t="s">
        <v>118</v>
      </c>
      <c r="AP4330">
        <v>-116</v>
      </c>
      <c r="AQ4330">
        <v>-84</v>
      </c>
      <c r="AR4330">
        <v>-448</v>
      </c>
      <c r="AZ4330">
        <v>1200</v>
      </c>
      <c r="BA4330">
        <v>1</v>
      </c>
      <c r="BB4330" t="str">
        <f t="shared" si="1994"/>
        <v xml:space="preserve">N711JA  </v>
      </c>
      <c r="BC4330">
        <v>1</v>
      </c>
      <c r="BE4330">
        <v>0</v>
      </c>
      <c r="BF4330">
        <v>0</v>
      </c>
      <c r="BG4330">
        <v>0</v>
      </c>
      <c r="BH4330">
        <v>2300</v>
      </c>
      <c r="BI4330">
        <v>1</v>
      </c>
      <c r="BJ4330">
        <v>1</v>
      </c>
      <c r="BK4330">
        <v>0</v>
      </c>
      <c r="BL4330">
        <v>0</v>
      </c>
      <c r="BO4330">
        <v>0</v>
      </c>
      <c r="BP4330">
        <v>0</v>
      </c>
      <c r="BW4330" t="str">
        <f t="shared" si="1999"/>
        <v>14:49:09.312</v>
      </c>
      <c r="CJ4330">
        <v>0</v>
      </c>
      <c r="CK4330">
        <v>2</v>
      </c>
      <c r="CL4330">
        <v>0</v>
      </c>
      <c r="CM4330">
        <v>2</v>
      </c>
      <c r="CN4330">
        <v>0</v>
      </c>
      <c r="CO4330">
        <v>2</v>
      </c>
      <c r="CP4330" t="s">
        <v>675</v>
      </c>
      <c r="CQ4330">
        <v>363</v>
      </c>
      <c r="CR4330">
        <v>0</v>
      </c>
      <c r="CW4330">
        <v>6654259</v>
      </c>
      <c r="CY4330">
        <v>1</v>
      </c>
      <c r="CZ4330">
        <v>0</v>
      </c>
      <c r="DA4330">
        <v>1</v>
      </c>
      <c r="DB4330">
        <v>0</v>
      </c>
      <c r="DC4330">
        <v>0</v>
      </c>
      <c r="DD4330">
        <v>1</v>
      </c>
      <c r="DE4330">
        <v>0</v>
      </c>
      <c r="DF4330">
        <v>0</v>
      </c>
      <c r="DG4330">
        <v>0</v>
      </c>
      <c r="DH4330">
        <v>0</v>
      </c>
      <c r="DI4330">
        <v>0</v>
      </c>
    </row>
    <row r="4331" spans="1:113" x14ac:dyDescent="0.3">
      <c r="A4331" t="str">
        <f t="shared" si="1997"/>
        <v>05/12/2020 14:48:51.472</v>
      </c>
      <c r="C4331" t="str">
        <f t="shared" si="1991"/>
        <v>FFDFD3C0</v>
      </c>
      <c r="D4331" t="s">
        <v>131</v>
      </c>
      <c r="E4331">
        <v>18</v>
      </c>
      <c r="F4331">
        <v>2018</v>
      </c>
      <c r="G4331" t="s">
        <v>161</v>
      </c>
      <c r="J4331" t="s">
        <v>133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 t="shared" si="1998"/>
        <v>14:49:09.305</v>
      </c>
      <c r="T4331" t="str">
        <f>"14:49:08.905"</f>
        <v>14:49:08.905</v>
      </c>
      <c r="U4331" t="str">
        <f t="shared" si="1982"/>
        <v>A9808D</v>
      </c>
      <c r="V4331">
        <v>0</v>
      </c>
      <c r="W4331">
        <v>0</v>
      </c>
      <c r="X4331">
        <v>1</v>
      </c>
      <c r="Z4331">
        <v>0</v>
      </c>
      <c r="AA4331">
        <v>9</v>
      </c>
      <c r="AB4331">
        <v>3</v>
      </c>
      <c r="AC4331">
        <v>0</v>
      </c>
      <c r="AD4331">
        <v>10</v>
      </c>
      <c r="AE4331">
        <v>0</v>
      </c>
      <c r="AF4331">
        <v>3</v>
      </c>
      <c r="AG4331">
        <v>2</v>
      </c>
      <c r="AH4331">
        <v>0</v>
      </c>
      <c r="AI4331" t="s">
        <v>981</v>
      </c>
      <c r="AJ4331">
        <v>28.252500999999999</v>
      </c>
      <c r="AK4331" t="s">
        <v>982</v>
      </c>
      <c r="AL4331">
        <v>-82.315278000000006</v>
      </c>
      <c r="AM4331">
        <v>100</v>
      </c>
      <c r="AN4331">
        <v>2300</v>
      </c>
      <c r="AO4331" t="s">
        <v>118</v>
      </c>
      <c r="AP4331">
        <v>-117</v>
      </c>
      <c r="AQ4331">
        <v>-83</v>
      </c>
      <c r="AR4331">
        <v>-448</v>
      </c>
      <c r="AZ4331">
        <v>1200</v>
      </c>
      <c r="BA4331">
        <v>1</v>
      </c>
      <c r="BB4331" t="str">
        <f t="shared" si="1994"/>
        <v xml:space="preserve">N711JA  </v>
      </c>
      <c r="BC4331">
        <v>1</v>
      </c>
      <c r="BE4331">
        <v>0</v>
      </c>
      <c r="BF4331">
        <v>0</v>
      </c>
      <c r="BG4331">
        <v>0</v>
      </c>
      <c r="BH4331">
        <v>2275</v>
      </c>
      <c r="BI4331">
        <v>1</v>
      </c>
      <c r="BJ4331">
        <v>1</v>
      </c>
      <c r="BK4331">
        <v>0</v>
      </c>
      <c r="BL4331">
        <v>0</v>
      </c>
      <c r="BO4331">
        <v>0</v>
      </c>
      <c r="BP4331">
        <v>0</v>
      </c>
      <c r="BW4331" t="str">
        <f t="shared" si="1999"/>
        <v>14:49:09.312</v>
      </c>
      <c r="CJ4331">
        <v>0</v>
      </c>
      <c r="CK4331">
        <v>2</v>
      </c>
      <c r="CL4331">
        <v>0</v>
      </c>
      <c r="CM4331">
        <v>2</v>
      </c>
      <c r="CN4331">
        <v>0</v>
      </c>
      <c r="CO4331">
        <v>2</v>
      </c>
      <c r="CP4331" t="s">
        <v>119</v>
      </c>
      <c r="CQ4331">
        <v>62</v>
      </c>
      <c r="CR4331">
        <v>1</v>
      </c>
      <c r="CW4331">
        <v>13035107</v>
      </c>
      <c r="CY4331">
        <v>1</v>
      </c>
      <c r="CZ4331">
        <v>0</v>
      </c>
      <c r="DA4331">
        <v>1</v>
      </c>
      <c r="DB4331">
        <v>0</v>
      </c>
      <c r="DC4331">
        <v>0</v>
      </c>
      <c r="DD4331">
        <v>1</v>
      </c>
      <c r="DE4331">
        <v>0</v>
      </c>
      <c r="DF4331">
        <v>0</v>
      </c>
      <c r="DG4331">
        <v>0</v>
      </c>
      <c r="DH4331">
        <v>0</v>
      </c>
      <c r="DI4331">
        <v>0</v>
      </c>
    </row>
    <row r="4332" spans="1:113" x14ac:dyDescent="0.3">
      <c r="A4332" t="str">
        <f t="shared" si="1997"/>
        <v>05/12/2020 14:48:51.472</v>
      </c>
      <c r="C4332" t="str">
        <f t="shared" si="1991"/>
        <v>FFDFD3C0</v>
      </c>
      <c r="D4332" t="s">
        <v>134</v>
      </c>
      <c r="E4332">
        <v>12</v>
      </c>
      <c r="H4332">
        <v>64</v>
      </c>
      <c r="I4332" t="s">
        <v>135</v>
      </c>
      <c r="J4332" t="s">
        <v>136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 t="shared" si="1998"/>
        <v>14:49:09.305</v>
      </c>
      <c r="T4332" t="str">
        <f>"14:49:08.905"</f>
        <v>14:49:08.905</v>
      </c>
      <c r="U4332" t="str">
        <f t="shared" si="1982"/>
        <v>A9808D</v>
      </c>
      <c r="V4332">
        <v>0</v>
      </c>
      <c r="W4332">
        <v>0</v>
      </c>
      <c r="X4332">
        <v>1</v>
      </c>
      <c r="Z4332">
        <v>0</v>
      </c>
      <c r="AA4332">
        <v>9</v>
      </c>
      <c r="AB4332">
        <v>3</v>
      </c>
      <c r="AC4332">
        <v>0</v>
      </c>
      <c r="AD4332">
        <v>10</v>
      </c>
      <c r="AE4332">
        <v>0</v>
      </c>
      <c r="AF4332">
        <v>3</v>
      </c>
      <c r="AG4332">
        <v>2</v>
      </c>
      <c r="AH4332">
        <v>0</v>
      </c>
      <c r="AI4332" t="s">
        <v>981</v>
      </c>
      <c r="AJ4332">
        <v>28.252500999999999</v>
      </c>
      <c r="AK4332" t="s">
        <v>982</v>
      </c>
      <c r="AL4332">
        <v>-82.315278000000006</v>
      </c>
      <c r="AM4332">
        <v>100</v>
      </c>
      <c r="AN4332">
        <v>2300</v>
      </c>
      <c r="AO4332" t="s">
        <v>118</v>
      </c>
      <c r="AP4332">
        <v>-117</v>
      </c>
      <c r="AQ4332">
        <v>-83</v>
      </c>
      <c r="AR4332">
        <v>-448</v>
      </c>
      <c r="AZ4332">
        <v>1200</v>
      </c>
      <c r="BA4332">
        <v>1</v>
      </c>
      <c r="BB4332" t="str">
        <f t="shared" si="1994"/>
        <v xml:space="preserve">N711JA  </v>
      </c>
      <c r="BC4332">
        <v>1</v>
      </c>
      <c r="BE4332">
        <v>0</v>
      </c>
      <c r="BF4332">
        <v>0</v>
      </c>
      <c r="BG4332">
        <v>0</v>
      </c>
      <c r="BH4332">
        <v>2275</v>
      </c>
      <c r="BI4332">
        <v>1</v>
      </c>
      <c r="BJ4332">
        <v>1</v>
      </c>
      <c r="BK4332">
        <v>0</v>
      </c>
      <c r="BL4332">
        <v>0</v>
      </c>
      <c r="BO4332">
        <v>0</v>
      </c>
      <c r="BP4332">
        <v>0</v>
      </c>
      <c r="BW4332" t="str">
        <f t="shared" si="1999"/>
        <v>14:49:09.312</v>
      </c>
      <c r="CJ4332">
        <v>0</v>
      </c>
      <c r="CK4332">
        <v>2</v>
      </c>
      <c r="CL4332">
        <v>0</v>
      </c>
      <c r="CM4332">
        <v>2</v>
      </c>
      <c r="CN4332">
        <v>0</v>
      </c>
      <c r="CO4332">
        <v>6</v>
      </c>
      <c r="CP4332" t="s">
        <v>119</v>
      </c>
      <c r="CQ4332">
        <v>358</v>
      </c>
      <c r="CR4332">
        <v>0</v>
      </c>
      <c r="CW4332">
        <v>5111841</v>
      </c>
      <c r="CY4332">
        <v>1</v>
      </c>
      <c r="CZ4332">
        <v>0</v>
      </c>
      <c r="DA4332">
        <v>1</v>
      </c>
      <c r="DB4332">
        <v>0</v>
      </c>
      <c r="DC4332">
        <v>0</v>
      </c>
      <c r="DD4332">
        <v>1</v>
      </c>
      <c r="DE4332">
        <v>0</v>
      </c>
      <c r="DF4332">
        <v>0</v>
      </c>
      <c r="DG4332">
        <v>0</v>
      </c>
      <c r="DH4332">
        <v>0</v>
      </c>
      <c r="DI4332">
        <v>0</v>
      </c>
    </row>
    <row r="4333" spans="1:113" x14ac:dyDescent="0.3">
      <c r="A4333" t="str">
        <f t="shared" si="1997"/>
        <v>05/12/2020 14:48:51.472</v>
      </c>
      <c r="C4333" t="str">
        <f t="shared" si="1991"/>
        <v>FFDFD3C0</v>
      </c>
      <c r="D4333" t="s">
        <v>126</v>
      </c>
      <c r="E4333">
        <v>6</v>
      </c>
      <c r="F4333">
        <v>1006</v>
      </c>
      <c r="G4333" t="s">
        <v>114</v>
      </c>
      <c r="J4333" t="s">
        <v>128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 t="shared" si="1998"/>
        <v>14:49:09.305</v>
      </c>
      <c r="T4333" t="str">
        <f>"14:49:08.905"</f>
        <v>14:49:08.905</v>
      </c>
      <c r="U4333" t="str">
        <f t="shared" si="1982"/>
        <v>A9808D</v>
      </c>
      <c r="V4333">
        <v>0</v>
      </c>
      <c r="W4333">
        <v>0</v>
      </c>
      <c r="X4333">
        <v>1</v>
      </c>
      <c r="Z4333">
        <v>0</v>
      </c>
      <c r="AA4333">
        <v>9</v>
      </c>
      <c r="AB4333">
        <v>3</v>
      </c>
      <c r="AC4333">
        <v>0</v>
      </c>
      <c r="AD4333">
        <v>10</v>
      </c>
      <c r="AE4333">
        <v>0</v>
      </c>
      <c r="AF4333">
        <v>3</v>
      </c>
      <c r="AG4333">
        <v>2</v>
      </c>
      <c r="AH4333">
        <v>0</v>
      </c>
      <c r="AI4333" t="s">
        <v>981</v>
      </c>
      <c r="AJ4333">
        <v>28.252500999999999</v>
      </c>
      <c r="AK4333" t="s">
        <v>982</v>
      </c>
      <c r="AL4333">
        <v>-82.315278000000006</v>
      </c>
      <c r="AM4333">
        <v>100</v>
      </c>
      <c r="AN4333">
        <v>2300</v>
      </c>
      <c r="AO4333" t="s">
        <v>118</v>
      </c>
      <c r="AP4333">
        <v>-117</v>
      </c>
      <c r="AQ4333">
        <v>-83</v>
      </c>
      <c r="AR4333">
        <v>-448</v>
      </c>
      <c r="AZ4333">
        <v>1200</v>
      </c>
      <c r="BA4333">
        <v>1</v>
      </c>
      <c r="BB4333" t="str">
        <f t="shared" si="1994"/>
        <v xml:space="preserve">N711JA  </v>
      </c>
      <c r="BC4333">
        <v>1</v>
      </c>
      <c r="BE4333">
        <v>0</v>
      </c>
      <c r="BF4333">
        <v>0</v>
      </c>
      <c r="BG4333">
        <v>0</v>
      </c>
      <c r="BH4333">
        <v>2275</v>
      </c>
      <c r="BI4333">
        <v>1</v>
      </c>
      <c r="BJ4333">
        <v>1</v>
      </c>
      <c r="BK4333">
        <v>0</v>
      </c>
      <c r="BL4333">
        <v>0</v>
      </c>
      <c r="BO4333">
        <v>0</v>
      </c>
      <c r="BP4333">
        <v>0</v>
      </c>
      <c r="BW4333" t="str">
        <f t="shared" si="1999"/>
        <v>14:49:09.312</v>
      </c>
      <c r="CJ4333">
        <v>0</v>
      </c>
      <c r="CK4333">
        <v>2</v>
      </c>
      <c r="CL4333">
        <v>0</v>
      </c>
      <c r="CM4333">
        <v>2</v>
      </c>
      <c r="CN4333">
        <v>0</v>
      </c>
      <c r="CO4333">
        <v>6</v>
      </c>
      <c r="CP4333" t="s">
        <v>119</v>
      </c>
      <c r="CQ4333">
        <v>358</v>
      </c>
      <c r="CR4333">
        <v>0</v>
      </c>
      <c r="CW4333">
        <v>5111841</v>
      </c>
      <c r="CY4333">
        <v>1</v>
      </c>
      <c r="CZ4333">
        <v>0</v>
      </c>
      <c r="DA4333">
        <v>1</v>
      </c>
      <c r="DB4333">
        <v>0</v>
      </c>
      <c r="DC4333">
        <v>0</v>
      </c>
      <c r="DD4333">
        <v>1</v>
      </c>
      <c r="DE4333">
        <v>0</v>
      </c>
      <c r="DF4333">
        <v>0</v>
      </c>
      <c r="DG4333">
        <v>0</v>
      </c>
      <c r="DH4333">
        <v>0</v>
      </c>
      <c r="DI4333">
        <v>0</v>
      </c>
    </row>
    <row r="4334" spans="1:113" x14ac:dyDescent="0.3">
      <c r="A4334" t="str">
        <f t="shared" si="1997"/>
        <v>05/12/2020 14:48:51.472</v>
      </c>
      <c r="C4334" t="str">
        <f t="shared" si="1991"/>
        <v>FFDFD3C0</v>
      </c>
      <c r="D4334" t="s">
        <v>113</v>
      </c>
      <c r="E4334">
        <v>3</v>
      </c>
      <c r="H4334">
        <v>164</v>
      </c>
      <c r="I4334" t="s">
        <v>114</v>
      </c>
      <c r="J4334" t="s">
        <v>115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 t="shared" si="1998"/>
        <v>14:49:09.305</v>
      </c>
      <c r="T4334" t="str">
        <f>"14:49:08.905"</f>
        <v>14:49:08.905</v>
      </c>
      <c r="U4334" t="str">
        <f t="shared" si="1982"/>
        <v>A9808D</v>
      </c>
      <c r="V4334">
        <v>0</v>
      </c>
      <c r="W4334">
        <v>0</v>
      </c>
      <c r="X4334">
        <v>1</v>
      </c>
      <c r="Z4334">
        <v>0</v>
      </c>
      <c r="AA4334">
        <v>9</v>
      </c>
      <c r="AB4334">
        <v>3</v>
      </c>
      <c r="AC4334">
        <v>0</v>
      </c>
      <c r="AD4334">
        <v>10</v>
      </c>
      <c r="AE4334">
        <v>0</v>
      </c>
      <c r="AF4334">
        <v>3</v>
      </c>
      <c r="AG4334">
        <v>2</v>
      </c>
      <c r="AH4334">
        <v>0</v>
      </c>
      <c r="AI4334" t="s">
        <v>981</v>
      </c>
      <c r="AJ4334">
        <v>28.252500999999999</v>
      </c>
      <c r="AK4334" t="s">
        <v>982</v>
      </c>
      <c r="AL4334">
        <v>-82.315278000000006</v>
      </c>
      <c r="AM4334">
        <v>100</v>
      </c>
      <c r="AN4334">
        <v>2300</v>
      </c>
      <c r="AO4334" t="s">
        <v>118</v>
      </c>
      <c r="AP4334">
        <v>-117</v>
      </c>
      <c r="AQ4334">
        <v>-83</v>
      </c>
      <c r="AR4334">
        <v>-448</v>
      </c>
      <c r="AZ4334">
        <v>1200</v>
      </c>
      <c r="BA4334">
        <v>1</v>
      </c>
      <c r="BB4334" t="str">
        <f t="shared" si="1994"/>
        <v xml:space="preserve">N711JA  </v>
      </c>
      <c r="BC4334">
        <v>1</v>
      </c>
      <c r="BE4334">
        <v>0</v>
      </c>
      <c r="BF4334">
        <v>0</v>
      </c>
      <c r="BG4334">
        <v>0</v>
      </c>
      <c r="BH4334">
        <v>2275</v>
      </c>
      <c r="BI4334">
        <v>1</v>
      </c>
      <c r="BJ4334">
        <v>1</v>
      </c>
      <c r="BK4334">
        <v>0</v>
      </c>
      <c r="BL4334">
        <v>0</v>
      </c>
      <c r="BO4334">
        <v>0</v>
      </c>
      <c r="BP4334">
        <v>0</v>
      </c>
      <c r="BW4334" t="str">
        <f t="shared" si="1999"/>
        <v>14:49:09.312</v>
      </c>
      <c r="CJ4334">
        <v>0</v>
      </c>
      <c r="CK4334">
        <v>2</v>
      </c>
      <c r="CL4334">
        <v>0</v>
      </c>
      <c r="CM4334">
        <v>2</v>
      </c>
      <c r="CN4334">
        <v>0</v>
      </c>
      <c r="CO4334">
        <v>2</v>
      </c>
      <c r="CP4334" t="s">
        <v>119</v>
      </c>
      <c r="CQ4334">
        <v>62</v>
      </c>
      <c r="CR4334">
        <v>1</v>
      </c>
      <c r="CW4334">
        <v>13035107</v>
      </c>
      <c r="CY4334">
        <v>1</v>
      </c>
      <c r="CZ4334">
        <v>0</v>
      </c>
      <c r="DA4334">
        <v>1</v>
      </c>
      <c r="DB4334">
        <v>0</v>
      </c>
      <c r="DC4334">
        <v>0</v>
      </c>
      <c r="DD4334">
        <v>1</v>
      </c>
      <c r="DE4334">
        <v>0</v>
      </c>
      <c r="DF4334">
        <v>0</v>
      </c>
      <c r="DG4334">
        <v>0</v>
      </c>
      <c r="DH4334">
        <v>0</v>
      </c>
      <c r="DI4334">
        <v>0</v>
      </c>
    </row>
    <row r="4335" spans="1:113" x14ac:dyDescent="0.3">
      <c r="A4335" t="str">
        <f t="shared" si="1997"/>
        <v>05/12/2020 14:48:51.472</v>
      </c>
      <c r="C4335" t="str">
        <f t="shared" si="1991"/>
        <v>FFDFD3C0</v>
      </c>
      <c r="D4335" t="s">
        <v>138</v>
      </c>
      <c r="E4335">
        <v>2</v>
      </c>
      <c r="H4335">
        <v>8</v>
      </c>
      <c r="I4335" t="s">
        <v>139</v>
      </c>
      <c r="J4335" t="s">
        <v>136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 t="shared" si="1998"/>
        <v>14:49:09.305</v>
      </c>
      <c r="T4335" t="str">
        <f>"14:49:08.405"</f>
        <v>14:49:08.405</v>
      </c>
      <c r="U4335" t="str">
        <f t="shared" si="1982"/>
        <v>A9808D</v>
      </c>
      <c r="V4335">
        <v>0</v>
      </c>
      <c r="W4335">
        <v>0</v>
      </c>
      <c r="X4335">
        <v>1</v>
      </c>
      <c r="Z4335">
        <v>0</v>
      </c>
      <c r="AA4335">
        <v>9</v>
      </c>
      <c r="AB4335">
        <v>3</v>
      </c>
      <c r="AC4335">
        <v>0</v>
      </c>
      <c r="AD4335">
        <v>10</v>
      </c>
      <c r="AE4335">
        <v>0</v>
      </c>
      <c r="AF4335">
        <v>3</v>
      </c>
      <c r="AG4335">
        <v>2</v>
      </c>
      <c r="AH4335">
        <v>0</v>
      </c>
      <c r="AI4335" t="s">
        <v>981</v>
      </c>
      <c r="AJ4335">
        <v>28.252500999999999</v>
      </c>
      <c r="AK4335" t="s">
        <v>982</v>
      </c>
      <c r="AL4335">
        <v>-82.315278000000006</v>
      </c>
      <c r="AM4335">
        <v>100</v>
      </c>
      <c r="AN4335">
        <v>2300</v>
      </c>
      <c r="AO4335" t="s">
        <v>118</v>
      </c>
      <c r="AP4335">
        <v>-116</v>
      </c>
      <c r="AQ4335">
        <v>-84</v>
      </c>
      <c r="AR4335">
        <v>-448</v>
      </c>
      <c r="AZ4335">
        <v>1200</v>
      </c>
      <c r="BA4335">
        <v>1</v>
      </c>
      <c r="BB4335" t="str">
        <f t="shared" si="1994"/>
        <v xml:space="preserve">N711JA  </v>
      </c>
      <c r="BC4335">
        <v>1</v>
      </c>
      <c r="BE4335">
        <v>0</v>
      </c>
      <c r="BF4335">
        <v>0</v>
      </c>
      <c r="BG4335">
        <v>0</v>
      </c>
      <c r="BH4335">
        <v>2300</v>
      </c>
      <c r="BI4335">
        <v>1</v>
      </c>
      <c r="BJ4335">
        <v>1</v>
      </c>
      <c r="BK4335">
        <v>0</v>
      </c>
      <c r="BL4335">
        <v>0</v>
      </c>
      <c r="BO4335">
        <v>0</v>
      </c>
      <c r="BP4335">
        <v>0</v>
      </c>
      <c r="BW4335" t="str">
        <f t="shared" si="1999"/>
        <v>14:49:09.312</v>
      </c>
      <c r="CJ4335">
        <v>0</v>
      </c>
      <c r="CK4335">
        <v>2</v>
      </c>
      <c r="CL4335">
        <v>0</v>
      </c>
      <c r="CM4335">
        <v>2</v>
      </c>
      <c r="CN4335">
        <v>0</v>
      </c>
      <c r="CO4335">
        <v>2</v>
      </c>
      <c r="CP4335" t="s">
        <v>675</v>
      </c>
      <c r="CQ4335">
        <v>363</v>
      </c>
      <c r="CR4335">
        <v>0</v>
      </c>
      <c r="CW4335">
        <v>6654259</v>
      </c>
      <c r="CY4335">
        <v>1</v>
      </c>
      <c r="CZ4335">
        <v>0</v>
      </c>
      <c r="DA4335">
        <v>1</v>
      </c>
      <c r="DB4335">
        <v>0</v>
      </c>
      <c r="DC4335">
        <v>0</v>
      </c>
      <c r="DD4335">
        <v>1</v>
      </c>
      <c r="DE4335">
        <v>0</v>
      </c>
      <c r="DF4335">
        <v>0</v>
      </c>
      <c r="DG4335">
        <v>0</v>
      </c>
      <c r="DH4335">
        <v>0</v>
      </c>
      <c r="DI4335">
        <v>0</v>
      </c>
    </row>
    <row r="4336" spans="1:113" x14ac:dyDescent="0.3">
      <c r="A4336" t="str">
        <f t="shared" si="1997"/>
        <v>05/12/2020 14:48:51.472</v>
      </c>
      <c r="C4336" t="str">
        <f t="shared" si="1991"/>
        <v>FFDFD3C0</v>
      </c>
      <c r="D4336" t="s">
        <v>138</v>
      </c>
      <c r="E4336">
        <v>3</v>
      </c>
      <c r="H4336">
        <v>9</v>
      </c>
      <c r="I4336" t="s">
        <v>140</v>
      </c>
      <c r="J4336" t="s">
        <v>136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 t="shared" si="1998"/>
        <v>14:49:09.305</v>
      </c>
      <c r="T4336" t="str">
        <f>"14:49:08.905"</f>
        <v>14:49:08.905</v>
      </c>
      <c r="U4336" t="str">
        <f t="shared" si="1982"/>
        <v>A9808D</v>
      </c>
      <c r="V4336">
        <v>0</v>
      </c>
      <c r="W4336">
        <v>0</v>
      </c>
      <c r="X4336">
        <v>1</v>
      </c>
      <c r="Z4336">
        <v>0</v>
      </c>
      <c r="AA4336">
        <v>9</v>
      </c>
      <c r="AB4336">
        <v>3</v>
      </c>
      <c r="AC4336">
        <v>0</v>
      </c>
      <c r="AD4336">
        <v>10</v>
      </c>
      <c r="AE4336">
        <v>0</v>
      </c>
      <c r="AF4336">
        <v>3</v>
      </c>
      <c r="AG4336">
        <v>2</v>
      </c>
      <c r="AH4336">
        <v>0</v>
      </c>
      <c r="AI4336" t="s">
        <v>981</v>
      </c>
      <c r="AJ4336">
        <v>28.252500999999999</v>
      </c>
      <c r="AK4336" t="s">
        <v>982</v>
      </c>
      <c r="AL4336">
        <v>-82.315278000000006</v>
      </c>
      <c r="AM4336">
        <v>100</v>
      </c>
      <c r="AN4336">
        <v>2300</v>
      </c>
      <c r="AO4336" t="s">
        <v>118</v>
      </c>
      <c r="AP4336">
        <v>-117</v>
      </c>
      <c r="AQ4336">
        <v>-83</v>
      </c>
      <c r="AR4336">
        <v>-448</v>
      </c>
      <c r="AZ4336">
        <v>1200</v>
      </c>
      <c r="BA4336">
        <v>1</v>
      </c>
      <c r="BB4336" t="str">
        <f t="shared" si="1994"/>
        <v xml:space="preserve">N711JA  </v>
      </c>
      <c r="BC4336">
        <v>1</v>
      </c>
      <c r="BE4336">
        <v>0</v>
      </c>
      <c r="BF4336">
        <v>0</v>
      </c>
      <c r="BG4336">
        <v>0</v>
      </c>
      <c r="BH4336">
        <v>2275</v>
      </c>
      <c r="BI4336">
        <v>1</v>
      </c>
      <c r="BJ4336">
        <v>1</v>
      </c>
      <c r="BK4336">
        <v>0</v>
      </c>
      <c r="BL4336">
        <v>0</v>
      </c>
      <c r="BO4336">
        <v>0</v>
      </c>
      <c r="BP4336">
        <v>0</v>
      </c>
      <c r="BW4336" t="str">
        <f t="shared" si="1999"/>
        <v>14:49:09.312</v>
      </c>
      <c r="CJ4336">
        <v>0</v>
      </c>
      <c r="CK4336">
        <v>2</v>
      </c>
      <c r="CL4336">
        <v>0</v>
      </c>
      <c r="CM4336">
        <v>2</v>
      </c>
      <c r="CN4336">
        <v>0</v>
      </c>
      <c r="CO4336">
        <v>6</v>
      </c>
      <c r="CP4336" t="s">
        <v>119</v>
      </c>
      <c r="CQ4336">
        <v>358</v>
      </c>
      <c r="CR4336">
        <v>0</v>
      </c>
      <c r="CW4336">
        <v>5111841</v>
      </c>
      <c r="CY4336">
        <v>1</v>
      </c>
      <c r="CZ4336">
        <v>0</v>
      </c>
      <c r="DA4336">
        <v>1</v>
      </c>
      <c r="DB4336">
        <v>0</v>
      </c>
      <c r="DC4336">
        <v>0</v>
      </c>
      <c r="DD4336">
        <v>1</v>
      </c>
      <c r="DE4336">
        <v>0</v>
      </c>
      <c r="DF4336">
        <v>0</v>
      </c>
      <c r="DG4336">
        <v>0</v>
      </c>
      <c r="DH4336">
        <v>0</v>
      </c>
      <c r="DI4336">
        <v>0</v>
      </c>
    </row>
    <row r="4337" spans="1:113" x14ac:dyDescent="0.3">
      <c r="A4337" t="str">
        <f t="shared" ref="A4337:A4345" si="2000">"05/12/2020 14:48:52.428"</f>
        <v>05/12/2020 14:48:52.428</v>
      </c>
      <c r="C4337" t="str">
        <f t="shared" si="1991"/>
        <v>FFDFD3C0</v>
      </c>
      <c r="D4337" t="s">
        <v>126</v>
      </c>
      <c r="E4337">
        <v>7</v>
      </c>
      <c r="F4337">
        <v>1007</v>
      </c>
      <c r="G4337" t="s">
        <v>127</v>
      </c>
      <c r="J4337" t="s">
        <v>128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 t="shared" ref="S4337:S4345" si="2001">"14:49:10.250"</f>
        <v>14:49:10.250</v>
      </c>
      <c r="T4337" t="str">
        <f t="shared" ref="T4337:T4345" si="2002">"14:49:09.950"</f>
        <v>14:49:09.950</v>
      </c>
      <c r="U4337" t="str">
        <f t="shared" si="1982"/>
        <v>A9808D</v>
      </c>
      <c r="V4337">
        <v>0</v>
      </c>
      <c r="W4337">
        <v>0</v>
      </c>
      <c r="X4337">
        <v>1</v>
      </c>
      <c r="Z4337">
        <v>0</v>
      </c>
      <c r="AA4337">
        <v>9</v>
      </c>
      <c r="AB4337">
        <v>3</v>
      </c>
      <c r="AC4337">
        <v>0</v>
      </c>
      <c r="AD4337">
        <v>10</v>
      </c>
      <c r="AE4337">
        <v>0</v>
      </c>
      <c r="AF4337">
        <v>3</v>
      </c>
      <c r="AG4337">
        <v>2</v>
      </c>
      <c r="AH4337">
        <v>0</v>
      </c>
      <c r="AI4337" t="s">
        <v>983</v>
      </c>
      <c r="AJ4337">
        <v>28.252158000000001</v>
      </c>
      <c r="AK4337" t="s">
        <v>984</v>
      </c>
      <c r="AL4337">
        <v>-82.315792999999999</v>
      </c>
      <c r="AM4337">
        <v>100</v>
      </c>
      <c r="AN4337">
        <v>2200</v>
      </c>
      <c r="AO4337" t="s">
        <v>118</v>
      </c>
      <c r="AP4337">
        <v>-119</v>
      </c>
      <c r="AQ4337">
        <v>-80</v>
      </c>
      <c r="AR4337">
        <v>-512</v>
      </c>
      <c r="AZ4337">
        <v>1200</v>
      </c>
      <c r="BA4337">
        <v>1</v>
      </c>
      <c r="BB4337" t="str">
        <f t="shared" si="1994"/>
        <v xml:space="preserve">N711JA  </v>
      </c>
      <c r="BC4337">
        <v>1</v>
      </c>
      <c r="BE4337">
        <v>0</v>
      </c>
      <c r="BF4337">
        <v>0</v>
      </c>
      <c r="BG4337">
        <v>0</v>
      </c>
      <c r="BH4337">
        <v>2375</v>
      </c>
      <c r="BI4337">
        <v>1</v>
      </c>
      <c r="BJ4337">
        <v>1</v>
      </c>
      <c r="BK4337">
        <v>0</v>
      </c>
      <c r="BL4337">
        <v>0</v>
      </c>
      <c r="BO4337">
        <v>0</v>
      </c>
      <c r="BP4337">
        <v>0</v>
      </c>
      <c r="BW4337" t="str">
        <f t="shared" ref="BW4337:BW4345" si="2003">"14:49:10.256"</f>
        <v>14:49:10.256</v>
      </c>
      <c r="CJ4337">
        <v>0</v>
      </c>
      <c r="CK4337">
        <v>2</v>
      </c>
      <c r="CL4337">
        <v>0</v>
      </c>
      <c r="CM4337">
        <v>2</v>
      </c>
      <c r="CN4337">
        <v>0</v>
      </c>
      <c r="CO4337">
        <v>6</v>
      </c>
      <c r="CP4337" t="s">
        <v>119</v>
      </c>
      <c r="CQ4337">
        <v>358</v>
      </c>
      <c r="CR4337">
        <v>0</v>
      </c>
      <c r="CW4337">
        <v>5112932</v>
      </c>
      <c r="CY4337">
        <v>1</v>
      </c>
      <c r="CZ4337">
        <v>0</v>
      </c>
      <c r="DA4337">
        <v>0</v>
      </c>
      <c r="DB4337">
        <v>0</v>
      </c>
      <c r="DC4337">
        <v>0</v>
      </c>
      <c r="DD4337">
        <v>1</v>
      </c>
      <c r="DE4337">
        <v>0</v>
      </c>
      <c r="DF4337">
        <v>0</v>
      </c>
      <c r="DG4337">
        <v>0</v>
      </c>
      <c r="DH4337">
        <v>0</v>
      </c>
      <c r="DI4337">
        <v>0</v>
      </c>
    </row>
    <row r="4338" spans="1:113" x14ac:dyDescent="0.3">
      <c r="A4338" t="str">
        <f t="shared" si="2000"/>
        <v>05/12/2020 14:48:52.428</v>
      </c>
      <c r="C4338" t="str">
        <f t="shared" si="1991"/>
        <v>FFDFD3C0</v>
      </c>
      <c r="D4338" t="s">
        <v>131</v>
      </c>
      <c r="E4338">
        <v>10</v>
      </c>
      <c r="F4338">
        <v>2010</v>
      </c>
      <c r="G4338" t="s">
        <v>132</v>
      </c>
      <c r="J4338" t="s">
        <v>133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 t="shared" si="2001"/>
        <v>14:49:10.250</v>
      </c>
      <c r="T4338" t="str">
        <f t="shared" si="2002"/>
        <v>14:49:09.950</v>
      </c>
      <c r="U4338" t="str">
        <f t="shared" si="1982"/>
        <v>A9808D</v>
      </c>
      <c r="V4338">
        <v>0</v>
      </c>
      <c r="W4338">
        <v>0</v>
      </c>
      <c r="X4338">
        <v>1</v>
      </c>
      <c r="Z4338">
        <v>0</v>
      </c>
      <c r="AA4338">
        <v>9</v>
      </c>
      <c r="AB4338">
        <v>3</v>
      </c>
      <c r="AC4338">
        <v>0</v>
      </c>
      <c r="AD4338">
        <v>10</v>
      </c>
      <c r="AE4338">
        <v>0</v>
      </c>
      <c r="AF4338">
        <v>3</v>
      </c>
      <c r="AG4338">
        <v>2</v>
      </c>
      <c r="AH4338">
        <v>0</v>
      </c>
      <c r="AI4338" t="s">
        <v>983</v>
      </c>
      <c r="AJ4338">
        <v>28.252158000000001</v>
      </c>
      <c r="AK4338" t="s">
        <v>984</v>
      </c>
      <c r="AL4338">
        <v>-82.315792999999999</v>
      </c>
      <c r="AM4338">
        <v>100</v>
      </c>
      <c r="AN4338">
        <v>2200</v>
      </c>
      <c r="AO4338" t="s">
        <v>118</v>
      </c>
      <c r="AP4338">
        <v>-119</v>
      </c>
      <c r="AQ4338">
        <v>-80</v>
      </c>
      <c r="AR4338">
        <v>-512</v>
      </c>
      <c r="AZ4338">
        <v>1200</v>
      </c>
      <c r="BA4338">
        <v>1</v>
      </c>
      <c r="BB4338" t="str">
        <f t="shared" si="1994"/>
        <v xml:space="preserve">N711JA  </v>
      </c>
      <c r="BC4338">
        <v>1</v>
      </c>
      <c r="BE4338">
        <v>0</v>
      </c>
      <c r="BF4338">
        <v>0</v>
      </c>
      <c r="BG4338">
        <v>0</v>
      </c>
      <c r="BH4338">
        <v>2375</v>
      </c>
      <c r="BI4338">
        <v>1</v>
      </c>
      <c r="BJ4338">
        <v>1</v>
      </c>
      <c r="BK4338">
        <v>0</v>
      </c>
      <c r="BL4338">
        <v>0</v>
      </c>
      <c r="BO4338">
        <v>0</v>
      </c>
      <c r="BP4338">
        <v>0</v>
      </c>
      <c r="BW4338" t="str">
        <f t="shared" si="2003"/>
        <v>14:49:10.256</v>
      </c>
      <c r="CJ4338">
        <v>0</v>
      </c>
      <c r="CK4338">
        <v>2</v>
      </c>
      <c r="CL4338">
        <v>0</v>
      </c>
      <c r="CM4338">
        <v>2</v>
      </c>
      <c r="CN4338">
        <v>0</v>
      </c>
      <c r="CO4338">
        <v>6</v>
      </c>
      <c r="CP4338" t="s">
        <v>119</v>
      </c>
      <c r="CQ4338">
        <v>358</v>
      </c>
      <c r="CR4338">
        <v>0</v>
      </c>
      <c r="CW4338">
        <v>5112932</v>
      </c>
      <c r="CY4338">
        <v>1</v>
      </c>
      <c r="CZ4338">
        <v>0</v>
      </c>
      <c r="DA4338">
        <v>1</v>
      </c>
      <c r="DB4338">
        <v>0</v>
      </c>
      <c r="DC4338">
        <v>0</v>
      </c>
      <c r="DD4338">
        <v>1</v>
      </c>
      <c r="DE4338">
        <v>0</v>
      </c>
      <c r="DF4338">
        <v>0</v>
      </c>
      <c r="DG4338">
        <v>0</v>
      </c>
      <c r="DH4338">
        <v>0</v>
      </c>
      <c r="DI4338">
        <v>0</v>
      </c>
    </row>
    <row r="4339" spans="1:113" x14ac:dyDescent="0.3">
      <c r="A4339" t="str">
        <f t="shared" si="2000"/>
        <v>05/12/2020 14:48:52.428</v>
      </c>
      <c r="C4339" t="str">
        <f t="shared" si="1991"/>
        <v>FFDFD3C0</v>
      </c>
      <c r="D4339" t="s">
        <v>131</v>
      </c>
      <c r="E4339">
        <v>12</v>
      </c>
      <c r="F4339">
        <v>2012</v>
      </c>
      <c r="G4339" t="s">
        <v>137</v>
      </c>
      <c r="J4339" t="s">
        <v>133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 t="shared" si="2001"/>
        <v>14:49:10.250</v>
      </c>
      <c r="T4339" t="str">
        <f t="shared" si="2002"/>
        <v>14:49:09.950</v>
      </c>
      <c r="U4339" t="str">
        <f t="shared" si="1982"/>
        <v>A9808D</v>
      </c>
      <c r="V4339">
        <v>0</v>
      </c>
      <c r="W4339">
        <v>0</v>
      </c>
      <c r="X4339">
        <v>1</v>
      </c>
      <c r="Z4339">
        <v>0</v>
      </c>
      <c r="AA4339">
        <v>9</v>
      </c>
      <c r="AB4339">
        <v>3</v>
      </c>
      <c r="AC4339">
        <v>0</v>
      </c>
      <c r="AD4339">
        <v>10</v>
      </c>
      <c r="AE4339">
        <v>0</v>
      </c>
      <c r="AF4339">
        <v>3</v>
      </c>
      <c r="AG4339">
        <v>2</v>
      </c>
      <c r="AH4339">
        <v>0</v>
      </c>
      <c r="AI4339" t="s">
        <v>983</v>
      </c>
      <c r="AJ4339">
        <v>28.252158000000001</v>
      </c>
      <c r="AK4339" t="s">
        <v>984</v>
      </c>
      <c r="AL4339">
        <v>-82.315792999999999</v>
      </c>
      <c r="AM4339">
        <v>100</v>
      </c>
      <c r="AN4339">
        <v>2200</v>
      </c>
      <c r="AO4339" t="s">
        <v>118</v>
      </c>
      <c r="AP4339">
        <v>-119</v>
      </c>
      <c r="AQ4339">
        <v>-80</v>
      </c>
      <c r="AR4339">
        <v>-512</v>
      </c>
      <c r="AZ4339">
        <v>1200</v>
      </c>
      <c r="BA4339">
        <v>1</v>
      </c>
      <c r="BB4339" t="str">
        <f t="shared" si="1994"/>
        <v xml:space="preserve">N711JA  </v>
      </c>
      <c r="BC4339">
        <v>1</v>
      </c>
      <c r="BE4339">
        <v>0</v>
      </c>
      <c r="BF4339">
        <v>0</v>
      </c>
      <c r="BG4339">
        <v>0</v>
      </c>
      <c r="BH4339">
        <v>2375</v>
      </c>
      <c r="BI4339">
        <v>1</v>
      </c>
      <c r="BJ4339">
        <v>1</v>
      </c>
      <c r="BK4339">
        <v>0</v>
      </c>
      <c r="BL4339">
        <v>0</v>
      </c>
      <c r="BO4339">
        <v>0</v>
      </c>
      <c r="BP4339">
        <v>0</v>
      </c>
      <c r="BW4339" t="str">
        <f t="shared" si="2003"/>
        <v>14:49:10.256</v>
      </c>
      <c r="CJ4339">
        <v>0</v>
      </c>
      <c r="CK4339">
        <v>2</v>
      </c>
      <c r="CL4339">
        <v>0</v>
      </c>
      <c r="CM4339">
        <v>2</v>
      </c>
      <c r="CN4339">
        <v>0</v>
      </c>
      <c r="CO4339">
        <v>1</v>
      </c>
      <c r="CP4339" t="s">
        <v>675</v>
      </c>
      <c r="CQ4339">
        <v>363</v>
      </c>
      <c r="CR4339">
        <v>0</v>
      </c>
      <c r="CW4339">
        <v>6655496</v>
      </c>
      <c r="CY4339">
        <v>1</v>
      </c>
      <c r="CZ4339">
        <v>0</v>
      </c>
      <c r="DA4339">
        <v>1</v>
      </c>
      <c r="DB4339">
        <v>0</v>
      </c>
      <c r="DC4339">
        <v>0</v>
      </c>
      <c r="DD4339">
        <v>1</v>
      </c>
      <c r="DE4339">
        <v>0</v>
      </c>
      <c r="DF4339">
        <v>0</v>
      </c>
      <c r="DG4339">
        <v>0</v>
      </c>
      <c r="DH4339">
        <v>0</v>
      </c>
      <c r="DI4339">
        <v>0</v>
      </c>
    </row>
    <row r="4340" spans="1:113" x14ac:dyDescent="0.3">
      <c r="A4340" t="str">
        <f t="shared" si="2000"/>
        <v>05/12/2020 14:48:52.428</v>
      </c>
      <c r="C4340" t="str">
        <f t="shared" si="1991"/>
        <v>FFDFD3C0</v>
      </c>
      <c r="D4340" t="s">
        <v>131</v>
      </c>
      <c r="E4340">
        <v>18</v>
      </c>
      <c r="F4340">
        <v>2018</v>
      </c>
      <c r="G4340" t="s">
        <v>161</v>
      </c>
      <c r="J4340" t="s">
        <v>133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 t="shared" si="2001"/>
        <v>14:49:10.250</v>
      </c>
      <c r="T4340" t="str">
        <f t="shared" si="2002"/>
        <v>14:49:09.950</v>
      </c>
      <c r="U4340" t="str">
        <f t="shared" si="1982"/>
        <v>A9808D</v>
      </c>
      <c r="V4340">
        <v>0</v>
      </c>
      <c r="W4340">
        <v>0</v>
      </c>
      <c r="X4340">
        <v>1</v>
      </c>
      <c r="Z4340">
        <v>0</v>
      </c>
      <c r="AA4340">
        <v>9</v>
      </c>
      <c r="AB4340">
        <v>3</v>
      </c>
      <c r="AC4340">
        <v>0</v>
      </c>
      <c r="AD4340">
        <v>10</v>
      </c>
      <c r="AE4340">
        <v>0</v>
      </c>
      <c r="AF4340">
        <v>3</v>
      </c>
      <c r="AG4340">
        <v>2</v>
      </c>
      <c r="AH4340">
        <v>0</v>
      </c>
      <c r="AI4340" t="s">
        <v>983</v>
      </c>
      <c r="AJ4340">
        <v>28.252158000000001</v>
      </c>
      <c r="AK4340" t="s">
        <v>984</v>
      </c>
      <c r="AL4340">
        <v>-82.315792999999999</v>
      </c>
      <c r="AM4340">
        <v>100</v>
      </c>
      <c r="AN4340">
        <v>2200</v>
      </c>
      <c r="AO4340" t="s">
        <v>118</v>
      </c>
      <c r="AP4340">
        <v>-119</v>
      </c>
      <c r="AQ4340">
        <v>-80</v>
      </c>
      <c r="AR4340">
        <v>-512</v>
      </c>
      <c r="AZ4340">
        <v>1200</v>
      </c>
      <c r="BA4340">
        <v>1</v>
      </c>
      <c r="BB4340" t="str">
        <f t="shared" si="1994"/>
        <v xml:space="preserve">N711JA  </v>
      </c>
      <c r="BC4340">
        <v>1</v>
      </c>
      <c r="BE4340">
        <v>0</v>
      </c>
      <c r="BF4340">
        <v>0</v>
      </c>
      <c r="BG4340">
        <v>0</v>
      </c>
      <c r="BH4340">
        <v>2375</v>
      </c>
      <c r="BI4340">
        <v>1</v>
      </c>
      <c r="BJ4340">
        <v>1</v>
      </c>
      <c r="BK4340">
        <v>0</v>
      </c>
      <c r="BL4340">
        <v>0</v>
      </c>
      <c r="BO4340">
        <v>0</v>
      </c>
      <c r="BP4340">
        <v>0</v>
      </c>
      <c r="BW4340" t="str">
        <f t="shared" si="2003"/>
        <v>14:49:10.256</v>
      </c>
      <c r="CJ4340">
        <v>0</v>
      </c>
      <c r="CK4340">
        <v>2</v>
      </c>
      <c r="CL4340">
        <v>0</v>
      </c>
      <c r="CM4340">
        <v>2</v>
      </c>
      <c r="CN4340">
        <v>0</v>
      </c>
      <c r="CO4340">
        <v>2</v>
      </c>
      <c r="CP4340" t="s">
        <v>119</v>
      </c>
      <c r="CQ4340">
        <v>62</v>
      </c>
      <c r="CR4340">
        <v>1</v>
      </c>
      <c r="CW4340">
        <v>13036101</v>
      </c>
      <c r="CY4340">
        <v>1</v>
      </c>
      <c r="CZ4340">
        <v>0</v>
      </c>
      <c r="DA4340">
        <v>1</v>
      </c>
      <c r="DB4340">
        <v>0</v>
      </c>
      <c r="DC4340">
        <v>0</v>
      </c>
      <c r="DD4340">
        <v>1</v>
      </c>
      <c r="DE4340">
        <v>0</v>
      </c>
      <c r="DF4340">
        <v>0</v>
      </c>
      <c r="DG4340">
        <v>0</v>
      </c>
      <c r="DH4340">
        <v>0</v>
      </c>
      <c r="DI4340">
        <v>0</v>
      </c>
    </row>
    <row r="4341" spans="1:113" x14ac:dyDescent="0.3">
      <c r="A4341" t="str">
        <f t="shared" si="2000"/>
        <v>05/12/2020 14:48:52.428</v>
      </c>
      <c r="C4341" t="str">
        <f t="shared" si="1991"/>
        <v>FFDFD3C0</v>
      </c>
      <c r="D4341" t="s">
        <v>126</v>
      </c>
      <c r="E4341">
        <v>6</v>
      </c>
      <c r="F4341">
        <v>1006</v>
      </c>
      <c r="G4341" t="s">
        <v>114</v>
      </c>
      <c r="J4341" t="s">
        <v>128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 t="shared" si="2001"/>
        <v>14:49:10.250</v>
      </c>
      <c r="T4341" t="str">
        <f t="shared" si="2002"/>
        <v>14:49:09.950</v>
      </c>
      <c r="U4341" t="str">
        <f t="shared" si="1982"/>
        <v>A9808D</v>
      </c>
      <c r="V4341">
        <v>0</v>
      </c>
      <c r="W4341">
        <v>0</v>
      </c>
      <c r="X4341">
        <v>1</v>
      </c>
      <c r="Z4341">
        <v>0</v>
      </c>
      <c r="AA4341">
        <v>9</v>
      </c>
      <c r="AB4341">
        <v>3</v>
      </c>
      <c r="AC4341">
        <v>0</v>
      </c>
      <c r="AD4341">
        <v>10</v>
      </c>
      <c r="AE4341">
        <v>0</v>
      </c>
      <c r="AF4341">
        <v>3</v>
      </c>
      <c r="AG4341">
        <v>2</v>
      </c>
      <c r="AH4341">
        <v>0</v>
      </c>
      <c r="AI4341" t="s">
        <v>983</v>
      </c>
      <c r="AJ4341">
        <v>28.252158000000001</v>
      </c>
      <c r="AK4341" t="s">
        <v>984</v>
      </c>
      <c r="AL4341">
        <v>-82.315792999999999</v>
      </c>
      <c r="AM4341">
        <v>100</v>
      </c>
      <c r="AN4341">
        <v>2200</v>
      </c>
      <c r="AO4341" t="s">
        <v>118</v>
      </c>
      <c r="AP4341">
        <v>-119</v>
      </c>
      <c r="AQ4341">
        <v>-80</v>
      </c>
      <c r="AR4341">
        <v>-512</v>
      </c>
      <c r="AZ4341">
        <v>1200</v>
      </c>
      <c r="BA4341">
        <v>1</v>
      </c>
      <c r="BB4341" t="str">
        <f t="shared" si="1994"/>
        <v xml:space="preserve">N711JA  </v>
      </c>
      <c r="BC4341">
        <v>1</v>
      </c>
      <c r="BE4341">
        <v>0</v>
      </c>
      <c r="BF4341">
        <v>0</v>
      </c>
      <c r="BG4341">
        <v>0</v>
      </c>
      <c r="BH4341">
        <v>2375</v>
      </c>
      <c r="BI4341">
        <v>1</v>
      </c>
      <c r="BJ4341">
        <v>1</v>
      </c>
      <c r="BK4341">
        <v>0</v>
      </c>
      <c r="BL4341">
        <v>0</v>
      </c>
      <c r="BO4341">
        <v>0</v>
      </c>
      <c r="BP4341">
        <v>0</v>
      </c>
      <c r="BW4341" t="str">
        <f t="shared" si="2003"/>
        <v>14:49:10.256</v>
      </c>
      <c r="CJ4341">
        <v>0</v>
      </c>
      <c r="CK4341">
        <v>2</v>
      </c>
      <c r="CL4341">
        <v>0</v>
      </c>
      <c r="CM4341">
        <v>2</v>
      </c>
      <c r="CN4341">
        <v>0</v>
      </c>
      <c r="CO4341">
        <v>6</v>
      </c>
      <c r="CP4341" t="s">
        <v>119</v>
      </c>
      <c r="CQ4341">
        <v>358</v>
      </c>
      <c r="CR4341">
        <v>0</v>
      </c>
      <c r="CW4341">
        <v>5112932</v>
      </c>
      <c r="CY4341">
        <v>1</v>
      </c>
      <c r="CZ4341">
        <v>0</v>
      </c>
      <c r="DA4341">
        <v>1</v>
      </c>
      <c r="DB4341">
        <v>0</v>
      </c>
      <c r="DC4341">
        <v>0</v>
      </c>
      <c r="DD4341">
        <v>1</v>
      </c>
      <c r="DE4341">
        <v>0</v>
      </c>
      <c r="DF4341">
        <v>0</v>
      </c>
      <c r="DG4341">
        <v>0</v>
      </c>
      <c r="DH4341">
        <v>0</v>
      </c>
      <c r="DI4341">
        <v>0</v>
      </c>
    </row>
    <row r="4342" spans="1:113" x14ac:dyDescent="0.3">
      <c r="A4342" t="str">
        <f t="shared" si="2000"/>
        <v>05/12/2020 14:48:52.428</v>
      </c>
      <c r="C4342" t="str">
        <f t="shared" si="1991"/>
        <v>FFDFD3C0</v>
      </c>
      <c r="D4342" t="s">
        <v>134</v>
      </c>
      <c r="E4342">
        <v>12</v>
      </c>
      <c r="H4342">
        <v>64</v>
      </c>
      <c r="I4342" t="s">
        <v>135</v>
      </c>
      <c r="J4342" t="s">
        <v>136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 t="shared" si="2001"/>
        <v>14:49:10.250</v>
      </c>
      <c r="T4342" t="str">
        <f t="shared" si="2002"/>
        <v>14:49:09.950</v>
      </c>
      <c r="U4342" t="str">
        <f t="shared" si="1982"/>
        <v>A9808D</v>
      </c>
      <c r="V4342">
        <v>0</v>
      </c>
      <c r="W4342">
        <v>0</v>
      </c>
      <c r="X4342">
        <v>1</v>
      </c>
      <c r="Z4342">
        <v>0</v>
      </c>
      <c r="AA4342">
        <v>9</v>
      </c>
      <c r="AB4342">
        <v>3</v>
      </c>
      <c r="AC4342">
        <v>0</v>
      </c>
      <c r="AD4342">
        <v>10</v>
      </c>
      <c r="AE4342">
        <v>0</v>
      </c>
      <c r="AF4342">
        <v>3</v>
      </c>
      <c r="AG4342">
        <v>2</v>
      </c>
      <c r="AH4342">
        <v>0</v>
      </c>
      <c r="AI4342" t="s">
        <v>983</v>
      </c>
      <c r="AJ4342">
        <v>28.252158000000001</v>
      </c>
      <c r="AK4342" t="s">
        <v>984</v>
      </c>
      <c r="AL4342">
        <v>-82.315792999999999</v>
      </c>
      <c r="AM4342">
        <v>100</v>
      </c>
      <c r="AN4342">
        <v>2200</v>
      </c>
      <c r="AO4342" t="s">
        <v>118</v>
      </c>
      <c r="AP4342">
        <v>-119</v>
      </c>
      <c r="AQ4342">
        <v>-80</v>
      </c>
      <c r="AR4342">
        <v>-512</v>
      </c>
      <c r="AZ4342">
        <v>1200</v>
      </c>
      <c r="BA4342">
        <v>1</v>
      </c>
      <c r="BB4342" t="str">
        <f t="shared" si="1994"/>
        <v xml:space="preserve">N711JA  </v>
      </c>
      <c r="BC4342">
        <v>1</v>
      </c>
      <c r="BE4342">
        <v>0</v>
      </c>
      <c r="BF4342">
        <v>0</v>
      </c>
      <c r="BG4342">
        <v>0</v>
      </c>
      <c r="BH4342">
        <v>2375</v>
      </c>
      <c r="BI4342">
        <v>1</v>
      </c>
      <c r="BJ4342">
        <v>1</v>
      </c>
      <c r="BK4342">
        <v>0</v>
      </c>
      <c r="BL4342">
        <v>0</v>
      </c>
      <c r="BO4342">
        <v>0</v>
      </c>
      <c r="BP4342">
        <v>0</v>
      </c>
      <c r="BW4342" t="str">
        <f t="shared" si="2003"/>
        <v>14:49:10.256</v>
      </c>
      <c r="CJ4342">
        <v>0</v>
      </c>
      <c r="CK4342">
        <v>2</v>
      </c>
      <c r="CL4342">
        <v>0</v>
      </c>
      <c r="CM4342">
        <v>2</v>
      </c>
      <c r="CN4342">
        <v>0</v>
      </c>
      <c r="CO4342">
        <v>6</v>
      </c>
      <c r="CP4342" t="s">
        <v>119</v>
      </c>
      <c r="CQ4342">
        <v>358</v>
      </c>
      <c r="CR4342">
        <v>0</v>
      </c>
      <c r="CW4342">
        <v>5112932</v>
      </c>
      <c r="CY4342">
        <v>1</v>
      </c>
      <c r="CZ4342">
        <v>0</v>
      </c>
      <c r="DA4342">
        <v>1</v>
      </c>
      <c r="DB4342">
        <v>0</v>
      </c>
      <c r="DC4342">
        <v>0</v>
      </c>
      <c r="DD4342">
        <v>1</v>
      </c>
      <c r="DE4342">
        <v>0</v>
      </c>
      <c r="DF4342">
        <v>0</v>
      </c>
      <c r="DG4342">
        <v>0</v>
      </c>
      <c r="DH4342">
        <v>0</v>
      </c>
      <c r="DI4342">
        <v>0</v>
      </c>
    </row>
    <row r="4343" spans="1:113" x14ac:dyDescent="0.3">
      <c r="A4343" t="str">
        <f t="shared" si="2000"/>
        <v>05/12/2020 14:48:52.428</v>
      </c>
      <c r="C4343" t="str">
        <f t="shared" si="1991"/>
        <v>FFDFD3C0</v>
      </c>
      <c r="D4343" t="s">
        <v>113</v>
      </c>
      <c r="E4343">
        <v>3</v>
      </c>
      <c r="H4343">
        <v>164</v>
      </c>
      <c r="I4343" t="s">
        <v>114</v>
      </c>
      <c r="J4343" t="s">
        <v>115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 t="shared" si="2001"/>
        <v>14:49:10.250</v>
      </c>
      <c r="T4343" t="str">
        <f t="shared" si="2002"/>
        <v>14:49:09.950</v>
      </c>
      <c r="U4343" t="str">
        <f t="shared" si="1982"/>
        <v>A9808D</v>
      </c>
      <c r="V4343">
        <v>0</v>
      </c>
      <c r="W4343">
        <v>0</v>
      </c>
      <c r="X4343">
        <v>1</v>
      </c>
      <c r="Z4343">
        <v>0</v>
      </c>
      <c r="AA4343">
        <v>9</v>
      </c>
      <c r="AB4343">
        <v>3</v>
      </c>
      <c r="AC4343">
        <v>0</v>
      </c>
      <c r="AD4343">
        <v>10</v>
      </c>
      <c r="AE4343">
        <v>0</v>
      </c>
      <c r="AF4343">
        <v>3</v>
      </c>
      <c r="AG4343">
        <v>2</v>
      </c>
      <c r="AH4343">
        <v>0</v>
      </c>
      <c r="AI4343" t="s">
        <v>983</v>
      </c>
      <c r="AJ4343">
        <v>28.252158000000001</v>
      </c>
      <c r="AK4343" t="s">
        <v>984</v>
      </c>
      <c r="AL4343">
        <v>-82.315792999999999</v>
      </c>
      <c r="AM4343">
        <v>100</v>
      </c>
      <c r="AN4343">
        <v>2200</v>
      </c>
      <c r="AO4343" t="s">
        <v>118</v>
      </c>
      <c r="AP4343">
        <v>-119</v>
      </c>
      <c r="AQ4343">
        <v>-80</v>
      </c>
      <c r="AR4343">
        <v>-512</v>
      </c>
      <c r="AZ4343">
        <v>1200</v>
      </c>
      <c r="BA4343">
        <v>1</v>
      </c>
      <c r="BB4343" t="str">
        <f t="shared" si="1994"/>
        <v xml:space="preserve">N711JA  </v>
      </c>
      <c r="BC4343">
        <v>1</v>
      </c>
      <c r="BE4343">
        <v>0</v>
      </c>
      <c r="BF4343">
        <v>0</v>
      </c>
      <c r="BG4343">
        <v>0</v>
      </c>
      <c r="BH4343">
        <v>2375</v>
      </c>
      <c r="BI4343">
        <v>1</v>
      </c>
      <c r="BJ4343">
        <v>1</v>
      </c>
      <c r="BK4343">
        <v>0</v>
      </c>
      <c r="BL4343">
        <v>0</v>
      </c>
      <c r="BO4343">
        <v>0</v>
      </c>
      <c r="BP4343">
        <v>0</v>
      </c>
      <c r="BW4343" t="str">
        <f t="shared" si="2003"/>
        <v>14:49:10.256</v>
      </c>
      <c r="CJ4343">
        <v>0</v>
      </c>
      <c r="CK4343">
        <v>2</v>
      </c>
      <c r="CL4343">
        <v>0</v>
      </c>
      <c r="CM4343">
        <v>2</v>
      </c>
      <c r="CN4343">
        <v>0</v>
      </c>
      <c r="CO4343">
        <v>2</v>
      </c>
      <c r="CP4343" t="s">
        <v>119</v>
      </c>
      <c r="CQ4343">
        <v>62</v>
      </c>
      <c r="CR4343">
        <v>1</v>
      </c>
      <c r="CW4343">
        <v>13036101</v>
      </c>
      <c r="CY4343">
        <v>1</v>
      </c>
      <c r="CZ4343">
        <v>0</v>
      </c>
      <c r="DA4343">
        <v>1</v>
      </c>
      <c r="DB4343">
        <v>0</v>
      </c>
      <c r="DC4343">
        <v>0</v>
      </c>
      <c r="DD4343">
        <v>1</v>
      </c>
      <c r="DE4343">
        <v>0</v>
      </c>
      <c r="DF4343">
        <v>0</v>
      </c>
      <c r="DG4343">
        <v>0</v>
      </c>
      <c r="DH4343">
        <v>0</v>
      </c>
      <c r="DI4343">
        <v>0</v>
      </c>
    </row>
    <row r="4344" spans="1:113" x14ac:dyDescent="0.3">
      <c r="A4344" t="str">
        <f t="shared" si="2000"/>
        <v>05/12/2020 14:48:52.428</v>
      </c>
      <c r="C4344" t="str">
        <f t="shared" si="1991"/>
        <v>FFDFD3C0</v>
      </c>
      <c r="D4344" t="s">
        <v>138</v>
      </c>
      <c r="E4344">
        <v>2</v>
      </c>
      <c r="H4344">
        <v>8</v>
      </c>
      <c r="I4344" t="s">
        <v>139</v>
      </c>
      <c r="J4344" t="s">
        <v>136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 t="shared" si="2001"/>
        <v>14:49:10.250</v>
      </c>
      <c r="T4344" t="str">
        <f t="shared" si="2002"/>
        <v>14:49:09.950</v>
      </c>
      <c r="U4344" t="str">
        <f t="shared" si="1982"/>
        <v>A9808D</v>
      </c>
      <c r="V4344">
        <v>0</v>
      </c>
      <c r="W4344">
        <v>0</v>
      </c>
      <c r="X4344">
        <v>1</v>
      </c>
      <c r="Z4344">
        <v>0</v>
      </c>
      <c r="AA4344">
        <v>9</v>
      </c>
      <c r="AB4344">
        <v>3</v>
      </c>
      <c r="AC4344">
        <v>0</v>
      </c>
      <c r="AD4344">
        <v>10</v>
      </c>
      <c r="AE4344">
        <v>0</v>
      </c>
      <c r="AF4344">
        <v>3</v>
      </c>
      <c r="AG4344">
        <v>2</v>
      </c>
      <c r="AH4344">
        <v>0</v>
      </c>
      <c r="AI4344" t="s">
        <v>983</v>
      </c>
      <c r="AJ4344">
        <v>28.252158000000001</v>
      </c>
      <c r="AK4344" t="s">
        <v>984</v>
      </c>
      <c r="AL4344">
        <v>-82.315792999999999</v>
      </c>
      <c r="AM4344">
        <v>100</v>
      </c>
      <c r="AN4344">
        <v>2200</v>
      </c>
      <c r="AO4344" t="s">
        <v>118</v>
      </c>
      <c r="AP4344">
        <v>-119</v>
      </c>
      <c r="AQ4344">
        <v>-80</v>
      </c>
      <c r="AR4344">
        <v>-512</v>
      </c>
      <c r="AZ4344">
        <v>1200</v>
      </c>
      <c r="BA4344">
        <v>1</v>
      </c>
      <c r="BB4344" t="str">
        <f t="shared" si="1994"/>
        <v xml:space="preserve">N711JA  </v>
      </c>
      <c r="BC4344">
        <v>1</v>
      </c>
      <c r="BE4344">
        <v>0</v>
      </c>
      <c r="BF4344">
        <v>0</v>
      </c>
      <c r="BG4344">
        <v>0</v>
      </c>
      <c r="BH4344">
        <v>2375</v>
      </c>
      <c r="BI4344">
        <v>1</v>
      </c>
      <c r="BJ4344">
        <v>1</v>
      </c>
      <c r="BK4344">
        <v>0</v>
      </c>
      <c r="BL4344">
        <v>0</v>
      </c>
      <c r="BO4344">
        <v>0</v>
      </c>
      <c r="BP4344">
        <v>0</v>
      </c>
      <c r="BW4344" t="str">
        <f t="shared" si="2003"/>
        <v>14:49:10.256</v>
      </c>
      <c r="CJ4344">
        <v>0</v>
      </c>
      <c r="CK4344">
        <v>2</v>
      </c>
      <c r="CL4344">
        <v>0</v>
      </c>
      <c r="CM4344">
        <v>2</v>
      </c>
      <c r="CN4344">
        <v>0</v>
      </c>
      <c r="CO4344">
        <v>1</v>
      </c>
      <c r="CP4344" t="s">
        <v>675</v>
      </c>
      <c r="CQ4344">
        <v>363</v>
      </c>
      <c r="CR4344">
        <v>0</v>
      </c>
      <c r="CW4344">
        <v>6655496</v>
      </c>
      <c r="CY4344">
        <v>1</v>
      </c>
      <c r="CZ4344">
        <v>0</v>
      </c>
      <c r="DA4344">
        <v>1</v>
      </c>
      <c r="DB4344">
        <v>0</v>
      </c>
      <c r="DC4344">
        <v>0</v>
      </c>
      <c r="DD4344">
        <v>1</v>
      </c>
      <c r="DE4344">
        <v>0</v>
      </c>
      <c r="DF4344">
        <v>0</v>
      </c>
      <c r="DG4344">
        <v>0</v>
      </c>
      <c r="DH4344">
        <v>0</v>
      </c>
      <c r="DI4344">
        <v>0</v>
      </c>
    </row>
    <row r="4345" spans="1:113" x14ac:dyDescent="0.3">
      <c r="A4345" t="str">
        <f t="shared" si="2000"/>
        <v>05/12/2020 14:48:52.428</v>
      </c>
      <c r="C4345" t="str">
        <f t="shared" si="1991"/>
        <v>FFDFD3C0</v>
      </c>
      <c r="D4345" t="s">
        <v>138</v>
      </c>
      <c r="E4345">
        <v>3</v>
      </c>
      <c r="H4345">
        <v>9</v>
      </c>
      <c r="I4345" t="s">
        <v>140</v>
      </c>
      <c r="J4345" t="s">
        <v>136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 t="shared" si="2001"/>
        <v>14:49:10.250</v>
      </c>
      <c r="T4345" t="str">
        <f t="shared" si="2002"/>
        <v>14:49:09.950</v>
      </c>
      <c r="U4345" t="str">
        <f t="shared" si="1982"/>
        <v>A9808D</v>
      </c>
      <c r="V4345">
        <v>0</v>
      </c>
      <c r="W4345">
        <v>0</v>
      </c>
      <c r="X4345">
        <v>1</v>
      </c>
      <c r="Z4345">
        <v>0</v>
      </c>
      <c r="AA4345">
        <v>9</v>
      </c>
      <c r="AB4345">
        <v>3</v>
      </c>
      <c r="AC4345">
        <v>0</v>
      </c>
      <c r="AD4345">
        <v>10</v>
      </c>
      <c r="AE4345">
        <v>0</v>
      </c>
      <c r="AF4345">
        <v>3</v>
      </c>
      <c r="AG4345">
        <v>2</v>
      </c>
      <c r="AH4345">
        <v>0</v>
      </c>
      <c r="AI4345" t="s">
        <v>983</v>
      </c>
      <c r="AJ4345">
        <v>28.252158000000001</v>
      </c>
      <c r="AK4345" t="s">
        <v>984</v>
      </c>
      <c r="AL4345">
        <v>-82.315792999999999</v>
      </c>
      <c r="AM4345">
        <v>100</v>
      </c>
      <c r="AN4345">
        <v>2200</v>
      </c>
      <c r="AO4345" t="s">
        <v>118</v>
      </c>
      <c r="AP4345">
        <v>-119</v>
      </c>
      <c r="AQ4345">
        <v>-80</v>
      </c>
      <c r="AR4345">
        <v>-512</v>
      </c>
      <c r="AZ4345">
        <v>1200</v>
      </c>
      <c r="BA4345">
        <v>1</v>
      </c>
      <c r="BB4345" t="str">
        <f t="shared" si="1994"/>
        <v xml:space="preserve">N711JA  </v>
      </c>
      <c r="BC4345">
        <v>1</v>
      </c>
      <c r="BE4345">
        <v>0</v>
      </c>
      <c r="BF4345">
        <v>0</v>
      </c>
      <c r="BG4345">
        <v>0</v>
      </c>
      <c r="BH4345">
        <v>2375</v>
      </c>
      <c r="BI4345">
        <v>1</v>
      </c>
      <c r="BJ4345">
        <v>1</v>
      </c>
      <c r="BK4345">
        <v>0</v>
      </c>
      <c r="BL4345">
        <v>0</v>
      </c>
      <c r="BO4345">
        <v>0</v>
      </c>
      <c r="BP4345">
        <v>0</v>
      </c>
      <c r="BW4345" t="str">
        <f t="shared" si="2003"/>
        <v>14:49:10.256</v>
      </c>
      <c r="CJ4345">
        <v>0</v>
      </c>
      <c r="CK4345">
        <v>2</v>
      </c>
      <c r="CL4345">
        <v>0</v>
      </c>
      <c r="CM4345">
        <v>2</v>
      </c>
      <c r="CN4345">
        <v>0</v>
      </c>
      <c r="CO4345">
        <v>6</v>
      </c>
      <c r="CP4345" t="s">
        <v>119</v>
      </c>
      <c r="CQ4345">
        <v>358</v>
      </c>
      <c r="CR4345">
        <v>0</v>
      </c>
      <c r="CW4345">
        <v>5112932</v>
      </c>
      <c r="CY4345">
        <v>1</v>
      </c>
      <c r="CZ4345">
        <v>0</v>
      </c>
      <c r="DA4345">
        <v>1</v>
      </c>
      <c r="DB4345">
        <v>0</v>
      </c>
      <c r="DC4345">
        <v>0</v>
      </c>
      <c r="DD4345">
        <v>1</v>
      </c>
      <c r="DE4345">
        <v>0</v>
      </c>
      <c r="DF4345">
        <v>0</v>
      </c>
      <c r="DG4345">
        <v>0</v>
      </c>
      <c r="DH4345">
        <v>0</v>
      </c>
      <c r="DI4345">
        <v>0</v>
      </c>
    </row>
    <row r="4346" spans="1:113" x14ac:dyDescent="0.3">
      <c r="A4346" t="str">
        <f t="shared" ref="A4346:A4354" si="2004">"05/12/2020 14:48:53.451"</f>
        <v>05/12/2020 14:48:53.451</v>
      </c>
      <c r="C4346" t="str">
        <f t="shared" si="1991"/>
        <v>FFDFD3C0</v>
      </c>
      <c r="D4346" t="s">
        <v>126</v>
      </c>
      <c r="E4346">
        <v>6</v>
      </c>
      <c r="F4346">
        <v>1006</v>
      </c>
      <c r="G4346" t="s">
        <v>114</v>
      </c>
      <c r="J4346" t="s">
        <v>128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 t="shared" ref="S4346:T4354" si="2005">"14:49:11.273"</f>
        <v>14:49:11.273</v>
      </c>
      <c r="T4346" t="str">
        <f t="shared" si="2005"/>
        <v>14:49:11.273</v>
      </c>
      <c r="U4346" t="str">
        <f t="shared" si="1982"/>
        <v>A9808D</v>
      </c>
      <c r="V4346">
        <v>0</v>
      </c>
      <c r="W4346">
        <v>0</v>
      </c>
      <c r="X4346">
        <v>1</v>
      </c>
      <c r="Z4346">
        <v>0</v>
      </c>
      <c r="AA4346">
        <v>9</v>
      </c>
      <c r="AB4346">
        <v>3</v>
      </c>
      <c r="AC4346">
        <v>0</v>
      </c>
      <c r="AD4346">
        <v>10</v>
      </c>
      <c r="AE4346">
        <v>0</v>
      </c>
      <c r="AF4346">
        <v>3</v>
      </c>
      <c r="AG4346">
        <v>2</v>
      </c>
      <c r="AH4346">
        <v>0</v>
      </c>
      <c r="AI4346" t="s">
        <v>633</v>
      </c>
      <c r="AJ4346">
        <v>28.251750000000001</v>
      </c>
      <c r="AK4346" t="s">
        <v>985</v>
      </c>
      <c r="AL4346">
        <v>-82.316543999999993</v>
      </c>
      <c r="AM4346">
        <v>100</v>
      </c>
      <c r="AN4346">
        <v>2200</v>
      </c>
      <c r="AO4346" t="s">
        <v>118</v>
      </c>
      <c r="AP4346">
        <v>-122</v>
      </c>
      <c r="AQ4346">
        <v>-77</v>
      </c>
      <c r="AR4346">
        <v>-512</v>
      </c>
      <c r="AZ4346">
        <v>1200</v>
      </c>
      <c r="BA4346">
        <v>1</v>
      </c>
      <c r="BB4346" t="str">
        <f t="shared" si="1994"/>
        <v xml:space="preserve">N711JA  </v>
      </c>
      <c r="BC4346">
        <v>1</v>
      </c>
      <c r="BE4346">
        <v>0</v>
      </c>
      <c r="BF4346">
        <v>0</v>
      </c>
      <c r="BG4346">
        <v>0</v>
      </c>
      <c r="BH4346">
        <v>2275</v>
      </c>
      <c r="BI4346">
        <v>1</v>
      </c>
      <c r="BJ4346">
        <v>1</v>
      </c>
      <c r="BK4346">
        <v>0</v>
      </c>
      <c r="BL4346">
        <v>0</v>
      </c>
      <c r="BO4346">
        <v>0</v>
      </c>
      <c r="BP4346">
        <v>0</v>
      </c>
      <c r="BW4346" t="str">
        <f t="shared" ref="BW4346:BW4354" si="2006">"14:49:11.274"</f>
        <v>14:49:11.274</v>
      </c>
      <c r="CJ4346">
        <v>0</v>
      </c>
      <c r="CK4346">
        <v>2</v>
      </c>
      <c r="CL4346">
        <v>0</v>
      </c>
      <c r="CM4346">
        <v>2</v>
      </c>
      <c r="CN4346">
        <v>0</v>
      </c>
      <c r="CO4346">
        <v>6</v>
      </c>
      <c r="CP4346" t="s">
        <v>119</v>
      </c>
      <c r="CQ4346">
        <v>56</v>
      </c>
      <c r="CR4346">
        <v>2</v>
      </c>
      <c r="CW4346">
        <v>5141914</v>
      </c>
      <c r="CY4346">
        <v>1</v>
      </c>
      <c r="CZ4346">
        <v>0</v>
      </c>
      <c r="DA4346">
        <v>0</v>
      </c>
      <c r="DB4346">
        <v>0</v>
      </c>
      <c r="DC4346">
        <v>0</v>
      </c>
      <c r="DD4346">
        <v>1</v>
      </c>
      <c r="DE4346">
        <v>0</v>
      </c>
      <c r="DF4346">
        <v>0</v>
      </c>
      <c r="DG4346">
        <v>0</v>
      </c>
      <c r="DH4346">
        <v>0</v>
      </c>
      <c r="DI4346">
        <v>0</v>
      </c>
    </row>
    <row r="4347" spans="1:113" x14ac:dyDescent="0.3">
      <c r="A4347" t="str">
        <f t="shared" si="2004"/>
        <v>05/12/2020 14:48:53.451</v>
      </c>
      <c r="C4347" t="str">
        <f t="shared" si="1991"/>
        <v>FFDFD3C0</v>
      </c>
      <c r="D4347" t="s">
        <v>134</v>
      </c>
      <c r="E4347">
        <v>12</v>
      </c>
      <c r="H4347">
        <v>64</v>
      </c>
      <c r="I4347" t="s">
        <v>135</v>
      </c>
      <c r="J4347" t="s">
        <v>136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 t="shared" si="2005"/>
        <v>14:49:11.273</v>
      </c>
      <c r="T4347" t="str">
        <f t="shared" si="2005"/>
        <v>14:49:11.273</v>
      </c>
      <c r="U4347" t="str">
        <f t="shared" si="1982"/>
        <v>A9808D</v>
      </c>
      <c r="V4347">
        <v>0</v>
      </c>
      <c r="W4347">
        <v>0</v>
      </c>
      <c r="X4347">
        <v>1</v>
      </c>
      <c r="Z4347">
        <v>0</v>
      </c>
      <c r="AA4347">
        <v>9</v>
      </c>
      <c r="AB4347">
        <v>3</v>
      </c>
      <c r="AC4347">
        <v>0</v>
      </c>
      <c r="AD4347">
        <v>10</v>
      </c>
      <c r="AE4347">
        <v>0</v>
      </c>
      <c r="AF4347">
        <v>3</v>
      </c>
      <c r="AG4347">
        <v>2</v>
      </c>
      <c r="AH4347">
        <v>0</v>
      </c>
      <c r="AI4347" t="s">
        <v>633</v>
      </c>
      <c r="AJ4347">
        <v>28.251750000000001</v>
      </c>
      <c r="AK4347" t="s">
        <v>985</v>
      </c>
      <c r="AL4347">
        <v>-82.316543999999993</v>
      </c>
      <c r="AM4347">
        <v>100</v>
      </c>
      <c r="AN4347">
        <v>2200</v>
      </c>
      <c r="AO4347" t="s">
        <v>118</v>
      </c>
      <c r="AP4347">
        <v>-122</v>
      </c>
      <c r="AQ4347">
        <v>-77</v>
      </c>
      <c r="AR4347">
        <v>-512</v>
      </c>
      <c r="AZ4347">
        <v>1200</v>
      </c>
      <c r="BA4347">
        <v>1</v>
      </c>
      <c r="BB4347" t="str">
        <f t="shared" si="1994"/>
        <v xml:space="preserve">N711JA  </v>
      </c>
      <c r="BC4347">
        <v>1</v>
      </c>
      <c r="BE4347">
        <v>0</v>
      </c>
      <c r="BF4347">
        <v>0</v>
      </c>
      <c r="BG4347">
        <v>0</v>
      </c>
      <c r="BH4347">
        <v>2275</v>
      </c>
      <c r="BI4347">
        <v>1</v>
      </c>
      <c r="BJ4347">
        <v>1</v>
      </c>
      <c r="BK4347">
        <v>0</v>
      </c>
      <c r="BL4347">
        <v>0</v>
      </c>
      <c r="BO4347">
        <v>0</v>
      </c>
      <c r="BP4347">
        <v>0</v>
      </c>
      <c r="BW4347" t="str">
        <f t="shared" si="2006"/>
        <v>14:49:11.274</v>
      </c>
      <c r="CJ4347">
        <v>0</v>
      </c>
      <c r="CK4347">
        <v>2</v>
      </c>
      <c r="CL4347">
        <v>0</v>
      </c>
      <c r="CM4347">
        <v>2</v>
      </c>
      <c r="CN4347">
        <v>0</v>
      </c>
      <c r="CO4347">
        <v>6</v>
      </c>
      <c r="CP4347" t="s">
        <v>119</v>
      </c>
      <c r="CQ4347">
        <v>358</v>
      </c>
      <c r="CR4347">
        <v>0</v>
      </c>
      <c r="CW4347">
        <v>5114103</v>
      </c>
      <c r="CY4347">
        <v>1</v>
      </c>
      <c r="CZ4347">
        <v>0</v>
      </c>
      <c r="DA4347">
        <v>1</v>
      </c>
      <c r="DB4347">
        <v>0</v>
      </c>
      <c r="DC4347">
        <v>0</v>
      </c>
      <c r="DD4347">
        <v>1</v>
      </c>
      <c r="DE4347">
        <v>0</v>
      </c>
      <c r="DF4347">
        <v>0</v>
      </c>
      <c r="DG4347">
        <v>0</v>
      </c>
      <c r="DH4347">
        <v>0</v>
      </c>
      <c r="DI4347">
        <v>0</v>
      </c>
    </row>
    <row r="4348" spans="1:113" x14ac:dyDescent="0.3">
      <c r="A4348" t="str">
        <f t="shared" si="2004"/>
        <v>05/12/2020 14:48:53.451</v>
      </c>
      <c r="C4348" t="str">
        <f t="shared" si="1991"/>
        <v>FFDFD3C0</v>
      </c>
      <c r="D4348" t="s">
        <v>113</v>
      </c>
      <c r="E4348">
        <v>3</v>
      </c>
      <c r="H4348">
        <v>164</v>
      </c>
      <c r="I4348" t="s">
        <v>114</v>
      </c>
      <c r="J4348" t="s">
        <v>115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 t="shared" si="2005"/>
        <v>14:49:11.273</v>
      </c>
      <c r="T4348" t="str">
        <f t="shared" si="2005"/>
        <v>14:49:11.273</v>
      </c>
      <c r="U4348" t="str">
        <f t="shared" si="1982"/>
        <v>A9808D</v>
      </c>
      <c r="V4348">
        <v>0</v>
      </c>
      <c r="W4348">
        <v>0</v>
      </c>
      <c r="X4348">
        <v>1</v>
      </c>
      <c r="Z4348">
        <v>0</v>
      </c>
      <c r="AA4348">
        <v>9</v>
      </c>
      <c r="AB4348">
        <v>3</v>
      </c>
      <c r="AC4348">
        <v>0</v>
      </c>
      <c r="AD4348">
        <v>10</v>
      </c>
      <c r="AE4348">
        <v>0</v>
      </c>
      <c r="AF4348">
        <v>3</v>
      </c>
      <c r="AG4348">
        <v>2</v>
      </c>
      <c r="AH4348">
        <v>0</v>
      </c>
      <c r="AI4348" t="s">
        <v>633</v>
      </c>
      <c r="AJ4348">
        <v>28.251750000000001</v>
      </c>
      <c r="AK4348" t="s">
        <v>985</v>
      </c>
      <c r="AL4348">
        <v>-82.316543999999993</v>
      </c>
      <c r="AM4348">
        <v>100</v>
      </c>
      <c r="AN4348">
        <v>2200</v>
      </c>
      <c r="AO4348" t="s">
        <v>118</v>
      </c>
      <c r="AP4348">
        <v>-122</v>
      </c>
      <c r="AQ4348">
        <v>-77</v>
      </c>
      <c r="AR4348">
        <v>-512</v>
      </c>
      <c r="AZ4348">
        <v>1200</v>
      </c>
      <c r="BA4348">
        <v>1</v>
      </c>
      <c r="BB4348" t="str">
        <f t="shared" si="1994"/>
        <v xml:space="preserve">N711JA  </v>
      </c>
      <c r="BC4348">
        <v>1</v>
      </c>
      <c r="BE4348">
        <v>0</v>
      </c>
      <c r="BF4348">
        <v>0</v>
      </c>
      <c r="BG4348">
        <v>0</v>
      </c>
      <c r="BH4348">
        <v>2275</v>
      </c>
      <c r="BI4348">
        <v>1</v>
      </c>
      <c r="BJ4348">
        <v>1</v>
      </c>
      <c r="BK4348">
        <v>0</v>
      </c>
      <c r="BL4348">
        <v>0</v>
      </c>
      <c r="BO4348">
        <v>0</v>
      </c>
      <c r="BP4348">
        <v>0</v>
      </c>
      <c r="BW4348" t="str">
        <f t="shared" si="2006"/>
        <v>14:49:11.274</v>
      </c>
      <c r="CJ4348">
        <v>0</v>
      </c>
      <c r="CK4348">
        <v>2</v>
      </c>
      <c r="CL4348">
        <v>0</v>
      </c>
      <c r="CM4348">
        <v>2</v>
      </c>
      <c r="CN4348">
        <v>0</v>
      </c>
      <c r="CO4348">
        <v>6</v>
      </c>
      <c r="CP4348" t="s">
        <v>119</v>
      </c>
      <c r="CQ4348">
        <v>56</v>
      </c>
      <c r="CR4348">
        <v>2</v>
      </c>
      <c r="CW4348">
        <v>5141914</v>
      </c>
      <c r="CY4348">
        <v>1</v>
      </c>
      <c r="CZ4348">
        <v>0</v>
      </c>
      <c r="DA4348">
        <v>1</v>
      </c>
      <c r="DB4348">
        <v>0</v>
      </c>
      <c r="DC4348">
        <v>0</v>
      </c>
      <c r="DD4348">
        <v>1</v>
      </c>
      <c r="DE4348">
        <v>0</v>
      </c>
      <c r="DF4348">
        <v>0</v>
      </c>
      <c r="DG4348">
        <v>0</v>
      </c>
      <c r="DH4348">
        <v>0</v>
      </c>
      <c r="DI4348">
        <v>0</v>
      </c>
    </row>
    <row r="4349" spans="1:113" x14ac:dyDescent="0.3">
      <c r="A4349" t="str">
        <f t="shared" si="2004"/>
        <v>05/12/2020 14:48:53.451</v>
      </c>
      <c r="C4349" t="str">
        <f t="shared" si="1991"/>
        <v>FFDFD3C0</v>
      </c>
      <c r="D4349" t="s">
        <v>138</v>
      </c>
      <c r="E4349">
        <v>2</v>
      </c>
      <c r="H4349">
        <v>8</v>
      </c>
      <c r="I4349" t="s">
        <v>139</v>
      </c>
      <c r="J4349" t="s">
        <v>136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 t="shared" si="2005"/>
        <v>14:49:11.273</v>
      </c>
      <c r="T4349" t="str">
        <f t="shared" si="2005"/>
        <v>14:49:11.273</v>
      </c>
      <c r="U4349" t="str">
        <f t="shared" si="1982"/>
        <v>A9808D</v>
      </c>
      <c r="V4349">
        <v>0</v>
      </c>
      <c r="W4349">
        <v>0</v>
      </c>
      <c r="X4349">
        <v>1</v>
      </c>
      <c r="Z4349">
        <v>0</v>
      </c>
      <c r="AA4349">
        <v>9</v>
      </c>
      <c r="AB4349">
        <v>3</v>
      </c>
      <c r="AC4349">
        <v>0</v>
      </c>
      <c r="AD4349">
        <v>10</v>
      </c>
      <c r="AE4349">
        <v>0</v>
      </c>
      <c r="AF4349">
        <v>3</v>
      </c>
      <c r="AG4349">
        <v>2</v>
      </c>
      <c r="AH4349">
        <v>0</v>
      </c>
      <c r="AI4349" t="s">
        <v>633</v>
      </c>
      <c r="AJ4349">
        <v>28.251750000000001</v>
      </c>
      <c r="AK4349" t="s">
        <v>985</v>
      </c>
      <c r="AL4349">
        <v>-82.316543999999993</v>
      </c>
      <c r="AM4349">
        <v>100</v>
      </c>
      <c r="AN4349">
        <v>2200</v>
      </c>
      <c r="AO4349" t="s">
        <v>118</v>
      </c>
      <c r="AP4349">
        <v>-122</v>
      </c>
      <c r="AQ4349">
        <v>-77</v>
      </c>
      <c r="AR4349">
        <v>-512</v>
      </c>
      <c r="AZ4349">
        <v>1200</v>
      </c>
      <c r="BA4349">
        <v>1</v>
      </c>
      <c r="BB4349" t="str">
        <f t="shared" si="1994"/>
        <v xml:space="preserve">N711JA  </v>
      </c>
      <c r="BC4349">
        <v>1</v>
      </c>
      <c r="BE4349">
        <v>0</v>
      </c>
      <c r="BF4349">
        <v>0</v>
      </c>
      <c r="BG4349">
        <v>0</v>
      </c>
      <c r="BH4349">
        <v>2275</v>
      </c>
      <c r="BI4349">
        <v>1</v>
      </c>
      <c r="BJ4349">
        <v>1</v>
      </c>
      <c r="BK4349">
        <v>0</v>
      </c>
      <c r="BL4349">
        <v>0</v>
      </c>
      <c r="BO4349">
        <v>0</v>
      </c>
      <c r="BP4349">
        <v>0</v>
      </c>
      <c r="BW4349" t="str">
        <f t="shared" si="2006"/>
        <v>14:49:11.274</v>
      </c>
      <c r="CJ4349">
        <v>0</v>
      </c>
      <c r="CK4349">
        <v>2</v>
      </c>
      <c r="CL4349">
        <v>0</v>
      </c>
      <c r="CM4349">
        <v>2</v>
      </c>
      <c r="CN4349">
        <v>0</v>
      </c>
      <c r="CO4349">
        <v>6</v>
      </c>
      <c r="CP4349" t="s">
        <v>119</v>
      </c>
      <c r="CQ4349">
        <v>56</v>
      </c>
      <c r="CR4349">
        <v>2</v>
      </c>
      <c r="CW4349">
        <v>5141914</v>
      </c>
      <c r="CY4349">
        <v>1</v>
      </c>
      <c r="CZ4349">
        <v>0</v>
      </c>
      <c r="DA4349">
        <v>1</v>
      </c>
      <c r="DB4349">
        <v>0</v>
      </c>
      <c r="DC4349">
        <v>0</v>
      </c>
      <c r="DD4349">
        <v>1</v>
      </c>
      <c r="DE4349">
        <v>0</v>
      </c>
      <c r="DF4349">
        <v>0</v>
      </c>
      <c r="DG4349">
        <v>0</v>
      </c>
      <c r="DH4349">
        <v>0</v>
      </c>
      <c r="DI4349">
        <v>0</v>
      </c>
    </row>
    <row r="4350" spans="1:113" x14ac:dyDescent="0.3">
      <c r="A4350" t="str">
        <f t="shared" si="2004"/>
        <v>05/12/2020 14:48:53.451</v>
      </c>
      <c r="C4350" t="str">
        <f t="shared" si="1991"/>
        <v>FFDFD3C0</v>
      </c>
      <c r="D4350" t="s">
        <v>138</v>
      </c>
      <c r="E4350">
        <v>3</v>
      </c>
      <c r="H4350">
        <v>9</v>
      </c>
      <c r="I4350" t="s">
        <v>140</v>
      </c>
      <c r="J4350" t="s">
        <v>136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 t="shared" si="2005"/>
        <v>14:49:11.273</v>
      </c>
      <c r="T4350" t="str">
        <f t="shared" si="2005"/>
        <v>14:49:11.273</v>
      </c>
      <c r="U4350" t="str">
        <f t="shared" si="1982"/>
        <v>A9808D</v>
      </c>
      <c r="V4350">
        <v>0</v>
      </c>
      <c r="W4350">
        <v>0</v>
      </c>
      <c r="X4350">
        <v>1</v>
      </c>
      <c r="Z4350">
        <v>0</v>
      </c>
      <c r="AA4350">
        <v>9</v>
      </c>
      <c r="AB4350">
        <v>3</v>
      </c>
      <c r="AC4350">
        <v>0</v>
      </c>
      <c r="AD4350">
        <v>10</v>
      </c>
      <c r="AE4350">
        <v>0</v>
      </c>
      <c r="AF4350">
        <v>3</v>
      </c>
      <c r="AG4350">
        <v>2</v>
      </c>
      <c r="AH4350">
        <v>0</v>
      </c>
      <c r="AI4350" t="s">
        <v>633</v>
      </c>
      <c r="AJ4350">
        <v>28.251750000000001</v>
      </c>
      <c r="AK4350" t="s">
        <v>985</v>
      </c>
      <c r="AL4350">
        <v>-82.316543999999993</v>
      </c>
      <c r="AM4350">
        <v>100</v>
      </c>
      <c r="AN4350">
        <v>2200</v>
      </c>
      <c r="AO4350" t="s">
        <v>118</v>
      </c>
      <c r="AP4350">
        <v>-122</v>
      </c>
      <c r="AQ4350">
        <v>-77</v>
      </c>
      <c r="AR4350">
        <v>-512</v>
      </c>
      <c r="AZ4350">
        <v>1200</v>
      </c>
      <c r="BA4350">
        <v>1</v>
      </c>
      <c r="BB4350" t="str">
        <f t="shared" si="1994"/>
        <v xml:space="preserve">N711JA  </v>
      </c>
      <c r="BC4350">
        <v>1</v>
      </c>
      <c r="BE4350">
        <v>0</v>
      </c>
      <c r="BF4350">
        <v>0</v>
      </c>
      <c r="BG4350">
        <v>0</v>
      </c>
      <c r="BH4350">
        <v>2275</v>
      </c>
      <c r="BI4350">
        <v>1</v>
      </c>
      <c r="BJ4350">
        <v>1</v>
      </c>
      <c r="BK4350">
        <v>0</v>
      </c>
      <c r="BL4350">
        <v>0</v>
      </c>
      <c r="BO4350">
        <v>0</v>
      </c>
      <c r="BP4350">
        <v>0</v>
      </c>
      <c r="BW4350" t="str">
        <f t="shared" si="2006"/>
        <v>14:49:11.274</v>
      </c>
      <c r="CJ4350">
        <v>0</v>
      </c>
      <c r="CK4350">
        <v>2</v>
      </c>
      <c r="CL4350">
        <v>0</v>
      </c>
      <c r="CM4350">
        <v>2</v>
      </c>
      <c r="CN4350">
        <v>0</v>
      </c>
      <c r="CO4350">
        <v>6</v>
      </c>
      <c r="CP4350" t="s">
        <v>119</v>
      </c>
      <c r="CQ4350">
        <v>56</v>
      </c>
      <c r="CR4350">
        <v>2</v>
      </c>
      <c r="CW4350">
        <v>5141914</v>
      </c>
      <c r="CY4350">
        <v>1</v>
      </c>
      <c r="CZ4350">
        <v>0</v>
      </c>
      <c r="DA4350">
        <v>1</v>
      </c>
      <c r="DB4350">
        <v>0</v>
      </c>
      <c r="DC4350">
        <v>0</v>
      </c>
      <c r="DD4350">
        <v>1</v>
      </c>
      <c r="DE4350">
        <v>0</v>
      </c>
      <c r="DF4350">
        <v>0</v>
      </c>
      <c r="DG4350">
        <v>0</v>
      </c>
      <c r="DH4350">
        <v>0</v>
      </c>
      <c r="DI4350">
        <v>0</v>
      </c>
    </row>
    <row r="4351" spans="1:113" x14ac:dyDescent="0.3">
      <c r="A4351" t="str">
        <f t="shared" si="2004"/>
        <v>05/12/2020 14:48:53.451</v>
      </c>
      <c r="C4351" t="str">
        <f t="shared" si="1991"/>
        <v>FFDFD3C0</v>
      </c>
      <c r="D4351" t="s">
        <v>131</v>
      </c>
      <c r="E4351">
        <v>10</v>
      </c>
      <c r="F4351">
        <v>2010</v>
      </c>
      <c r="G4351" t="s">
        <v>132</v>
      </c>
      <c r="J4351" t="s">
        <v>133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 t="shared" si="2005"/>
        <v>14:49:11.273</v>
      </c>
      <c r="T4351" t="str">
        <f t="shared" si="2005"/>
        <v>14:49:11.273</v>
      </c>
      <c r="U4351" t="str">
        <f t="shared" si="1982"/>
        <v>A9808D</v>
      </c>
      <c r="V4351">
        <v>0</v>
      </c>
      <c r="W4351">
        <v>0</v>
      </c>
      <c r="X4351">
        <v>1</v>
      </c>
      <c r="Z4351">
        <v>0</v>
      </c>
      <c r="AA4351">
        <v>9</v>
      </c>
      <c r="AB4351">
        <v>3</v>
      </c>
      <c r="AC4351">
        <v>0</v>
      </c>
      <c r="AD4351">
        <v>10</v>
      </c>
      <c r="AE4351">
        <v>0</v>
      </c>
      <c r="AF4351">
        <v>3</v>
      </c>
      <c r="AG4351">
        <v>2</v>
      </c>
      <c r="AH4351">
        <v>0</v>
      </c>
      <c r="AI4351" t="s">
        <v>633</v>
      </c>
      <c r="AJ4351">
        <v>28.251750000000001</v>
      </c>
      <c r="AK4351" t="s">
        <v>985</v>
      </c>
      <c r="AL4351">
        <v>-82.316543999999993</v>
      </c>
      <c r="AM4351">
        <v>100</v>
      </c>
      <c r="AN4351">
        <v>2200</v>
      </c>
      <c r="AO4351" t="s">
        <v>118</v>
      </c>
      <c r="AP4351">
        <v>-122</v>
      </c>
      <c r="AQ4351">
        <v>-77</v>
      </c>
      <c r="AR4351">
        <v>-512</v>
      </c>
      <c r="AZ4351">
        <v>1200</v>
      </c>
      <c r="BA4351">
        <v>1</v>
      </c>
      <c r="BB4351" t="str">
        <f t="shared" si="1994"/>
        <v xml:space="preserve">N711JA  </v>
      </c>
      <c r="BC4351">
        <v>1</v>
      </c>
      <c r="BE4351">
        <v>0</v>
      </c>
      <c r="BF4351">
        <v>0</v>
      </c>
      <c r="BG4351">
        <v>0</v>
      </c>
      <c r="BH4351">
        <v>2275</v>
      </c>
      <c r="BI4351">
        <v>1</v>
      </c>
      <c r="BJ4351">
        <v>1</v>
      </c>
      <c r="BK4351">
        <v>0</v>
      </c>
      <c r="BL4351">
        <v>0</v>
      </c>
      <c r="BO4351">
        <v>0</v>
      </c>
      <c r="BP4351">
        <v>0</v>
      </c>
      <c r="BW4351" t="str">
        <f t="shared" si="2006"/>
        <v>14:49:11.274</v>
      </c>
      <c r="CJ4351">
        <v>0</v>
      </c>
      <c r="CK4351">
        <v>2</v>
      </c>
      <c r="CL4351">
        <v>0</v>
      </c>
      <c r="CM4351">
        <v>2</v>
      </c>
      <c r="CN4351">
        <v>0</v>
      </c>
      <c r="CO4351">
        <v>6</v>
      </c>
      <c r="CP4351" t="s">
        <v>119</v>
      </c>
      <c r="CQ4351">
        <v>56</v>
      </c>
      <c r="CR4351">
        <v>2</v>
      </c>
      <c r="CW4351">
        <v>5141914</v>
      </c>
      <c r="CY4351">
        <v>1</v>
      </c>
      <c r="CZ4351">
        <v>0</v>
      </c>
      <c r="DA4351">
        <v>1</v>
      </c>
      <c r="DB4351">
        <v>0</v>
      </c>
      <c r="DC4351">
        <v>0</v>
      </c>
      <c r="DD4351">
        <v>1</v>
      </c>
      <c r="DE4351">
        <v>0</v>
      </c>
      <c r="DF4351">
        <v>0</v>
      </c>
      <c r="DG4351">
        <v>0</v>
      </c>
      <c r="DH4351">
        <v>0</v>
      </c>
      <c r="DI4351">
        <v>0</v>
      </c>
    </row>
    <row r="4352" spans="1:113" x14ac:dyDescent="0.3">
      <c r="A4352" t="str">
        <f t="shared" si="2004"/>
        <v>05/12/2020 14:48:53.451</v>
      </c>
      <c r="C4352" t="str">
        <f t="shared" si="1991"/>
        <v>FFDFD3C0</v>
      </c>
      <c r="D4352" t="s">
        <v>131</v>
      </c>
      <c r="E4352">
        <v>12</v>
      </c>
      <c r="F4352">
        <v>2012</v>
      </c>
      <c r="G4352" t="s">
        <v>137</v>
      </c>
      <c r="J4352" t="s">
        <v>133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 t="shared" si="2005"/>
        <v>14:49:11.273</v>
      </c>
      <c r="T4352" t="str">
        <f t="shared" si="2005"/>
        <v>14:49:11.273</v>
      </c>
      <c r="U4352" t="str">
        <f t="shared" si="1982"/>
        <v>A9808D</v>
      </c>
      <c r="V4352">
        <v>0</v>
      </c>
      <c r="W4352">
        <v>0</v>
      </c>
      <c r="X4352">
        <v>1</v>
      </c>
      <c r="Z4352">
        <v>0</v>
      </c>
      <c r="AA4352">
        <v>9</v>
      </c>
      <c r="AB4352">
        <v>3</v>
      </c>
      <c r="AC4352">
        <v>0</v>
      </c>
      <c r="AD4352">
        <v>10</v>
      </c>
      <c r="AE4352">
        <v>0</v>
      </c>
      <c r="AF4352">
        <v>3</v>
      </c>
      <c r="AG4352">
        <v>2</v>
      </c>
      <c r="AH4352">
        <v>0</v>
      </c>
      <c r="AI4352" t="s">
        <v>633</v>
      </c>
      <c r="AJ4352">
        <v>28.251750000000001</v>
      </c>
      <c r="AK4352" t="s">
        <v>985</v>
      </c>
      <c r="AL4352">
        <v>-82.316543999999993</v>
      </c>
      <c r="AM4352">
        <v>100</v>
      </c>
      <c r="AN4352">
        <v>2200</v>
      </c>
      <c r="AO4352" t="s">
        <v>118</v>
      </c>
      <c r="AP4352">
        <v>-122</v>
      </c>
      <c r="AQ4352">
        <v>-77</v>
      </c>
      <c r="AR4352">
        <v>-512</v>
      </c>
      <c r="AZ4352">
        <v>1200</v>
      </c>
      <c r="BA4352">
        <v>1</v>
      </c>
      <c r="BB4352" t="str">
        <f t="shared" si="1994"/>
        <v xml:space="preserve">N711JA  </v>
      </c>
      <c r="BC4352">
        <v>1</v>
      </c>
      <c r="BE4352">
        <v>0</v>
      </c>
      <c r="BF4352">
        <v>0</v>
      </c>
      <c r="BG4352">
        <v>0</v>
      </c>
      <c r="BH4352">
        <v>2275</v>
      </c>
      <c r="BI4352">
        <v>1</v>
      </c>
      <c r="BJ4352">
        <v>1</v>
      </c>
      <c r="BK4352">
        <v>0</v>
      </c>
      <c r="BL4352">
        <v>0</v>
      </c>
      <c r="BO4352">
        <v>0</v>
      </c>
      <c r="BP4352">
        <v>0</v>
      </c>
      <c r="BW4352" t="str">
        <f t="shared" si="2006"/>
        <v>14:49:11.274</v>
      </c>
      <c r="CJ4352">
        <v>0</v>
      </c>
      <c r="CK4352">
        <v>2</v>
      </c>
      <c r="CL4352">
        <v>0</v>
      </c>
      <c r="CM4352">
        <v>2</v>
      </c>
      <c r="CN4352">
        <v>0</v>
      </c>
      <c r="CO4352">
        <v>6</v>
      </c>
      <c r="CP4352" t="s">
        <v>119</v>
      </c>
      <c r="CQ4352">
        <v>56</v>
      </c>
      <c r="CR4352">
        <v>2</v>
      </c>
      <c r="CW4352">
        <v>5141914</v>
      </c>
      <c r="CY4352">
        <v>1</v>
      </c>
      <c r="CZ4352">
        <v>0</v>
      </c>
      <c r="DA4352">
        <v>1</v>
      </c>
      <c r="DB4352">
        <v>0</v>
      </c>
      <c r="DC4352">
        <v>0</v>
      </c>
      <c r="DD4352">
        <v>1</v>
      </c>
      <c r="DE4352">
        <v>0</v>
      </c>
      <c r="DF4352">
        <v>0</v>
      </c>
      <c r="DG4352">
        <v>0</v>
      </c>
      <c r="DH4352">
        <v>0</v>
      </c>
      <c r="DI4352">
        <v>0</v>
      </c>
    </row>
    <row r="4353" spans="1:113" x14ac:dyDescent="0.3">
      <c r="A4353" t="str">
        <f t="shared" si="2004"/>
        <v>05/12/2020 14:48:53.451</v>
      </c>
      <c r="C4353" t="str">
        <f t="shared" si="1991"/>
        <v>FFDFD3C0</v>
      </c>
      <c r="D4353" t="s">
        <v>126</v>
      </c>
      <c r="E4353">
        <v>7</v>
      </c>
      <c r="F4353">
        <v>1007</v>
      </c>
      <c r="G4353" t="s">
        <v>127</v>
      </c>
      <c r="J4353" t="s">
        <v>128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 t="shared" si="2005"/>
        <v>14:49:11.273</v>
      </c>
      <c r="T4353" t="str">
        <f t="shared" si="2005"/>
        <v>14:49:11.273</v>
      </c>
      <c r="U4353" t="str">
        <f t="shared" si="1982"/>
        <v>A9808D</v>
      </c>
      <c r="V4353">
        <v>0</v>
      </c>
      <c r="W4353">
        <v>0</v>
      </c>
      <c r="X4353">
        <v>1</v>
      </c>
      <c r="Z4353">
        <v>0</v>
      </c>
      <c r="AA4353">
        <v>9</v>
      </c>
      <c r="AB4353">
        <v>3</v>
      </c>
      <c r="AC4353">
        <v>0</v>
      </c>
      <c r="AD4353">
        <v>10</v>
      </c>
      <c r="AE4353">
        <v>0</v>
      </c>
      <c r="AF4353">
        <v>3</v>
      </c>
      <c r="AG4353">
        <v>2</v>
      </c>
      <c r="AH4353">
        <v>0</v>
      </c>
      <c r="AI4353" t="s">
        <v>633</v>
      </c>
      <c r="AJ4353">
        <v>28.251750000000001</v>
      </c>
      <c r="AK4353" t="s">
        <v>985</v>
      </c>
      <c r="AL4353">
        <v>-82.316543999999993</v>
      </c>
      <c r="AM4353">
        <v>100</v>
      </c>
      <c r="AN4353">
        <v>2200</v>
      </c>
      <c r="AO4353" t="s">
        <v>118</v>
      </c>
      <c r="AP4353">
        <v>-122</v>
      </c>
      <c r="AQ4353">
        <v>-77</v>
      </c>
      <c r="AR4353">
        <v>-512</v>
      </c>
      <c r="AZ4353">
        <v>1200</v>
      </c>
      <c r="BA4353">
        <v>1</v>
      </c>
      <c r="BB4353" t="str">
        <f t="shared" si="1994"/>
        <v xml:space="preserve">N711JA  </v>
      </c>
      <c r="BC4353">
        <v>1</v>
      </c>
      <c r="BE4353">
        <v>0</v>
      </c>
      <c r="BF4353">
        <v>0</v>
      </c>
      <c r="BG4353">
        <v>0</v>
      </c>
      <c r="BH4353">
        <v>2275</v>
      </c>
      <c r="BI4353">
        <v>1</v>
      </c>
      <c r="BJ4353">
        <v>1</v>
      </c>
      <c r="BK4353">
        <v>0</v>
      </c>
      <c r="BL4353">
        <v>0</v>
      </c>
      <c r="BO4353">
        <v>0</v>
      </c>
      <c r="BP4353">
        <v>0</v>
      </c>
      <c r="BW4353" t="str">
        <f t="shared" si="2006"/>
        <v>14:49:11.274</v>
      </c>
      <c r="CJ4353">
        <v>0</v>
      </c>
      <c r="CK4353">
        <v>2</v>
      </c>
      <c r="CL4353">
        <v>0</v>
      </c>
      <c r="CM4353">
        <v>2</v>
      </c>
      <c r="CN4353">
        <v>0</v>
      </c>
      <c r="CO4353">
        <v>6</v>
      </c>
      <c r="CP4353" t="s">
        <v>119</v>
      </c>
      <c r="CQ4353">
        <v>56</v>
      </c>
      <c r="CR4353">
        <v>2</v>
      </c>
      <c r="CW4353">
        <v>5141914</v>
      </c>
      <c r="CY4353">
        <v>1</v>
      </c>
      <c r="CZ4353">
        <v>0</v>
      </c>
      <c r="DA4353">
        <v>1</v>
      </c>
      <c r="DB4353">
        <v>0</v>
      </c>
      <c r="DC4353">
        <v>0</v>
      </c>
      <c r="DD4353">
        <v>1</v>
      </c>
      <c r="DE4353">
        <v>0</v>
      </c>
      <c r="DF4353">
        <v>0</v>
      </c>
      <c r="DG4353">
        <v>0</v>
      </c>
      <c r="DH4353">
        <v>0</v>
      </c>
      <c r="DI4353">
        <v>0</v>
      </c>
    </row>
    <row r="4354" spans="1:113" x14ac:dyDescent="0.3">
      <c r="A4354" t="str">
        <f t="shared" si="2004"/>
        <v>05/12/2020 14:48:53.451</v>
      </c>
      <c r="C4354" t="str">
        <f t="shared" si="1991"/>
        <v>FFDFD3C0</v>
      </c>
      <c r="D4354" t="s">
        <v>131</v>
      </c>
      <c r="E4354">
        <v>18</v>
      </c>
      <c r="F4354">
        <v>2018</v>
      </c>
      <c r="G4354" t="s">
        <v>161</v>
      </c>
      <c r="J4354" t="s">
        <v>133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 t="shared" si="2005"/>
        <v>14:49:11.273</v>
      </c>
      <c r="T4354" t="str">
        <f t="shared" si="2005"/>
        <v>14:49:11.273</v>
      </c>
      <c r="U4354" t="str">
        <f t="shared" ref="U4354:U4417" si="2007">"A9808D"</f>
        <v>A9808D</v>
      </c>
      <c r="V4354">
        <v>0</v>
      </c>
      <c r="W4354">
        <v>0</v>
      </c>
      <c r="X4354">
        <v>1</v>
      </c>
      <c r="Z4354">
        <v>0</v>
      </c>
      <c r="AA4354">
        <v>9</v>
      </c>
      <c r="AB4354">
        <v>3</v>
      </c>
      <c r="AC4354">
        <v>0</v>
      </c>
      <c r="AD4354">
        <v>10</v>
      </c>
      <c r="AE4354">
        <v>0</v>
      </c>
      <c r="AF4354">
        <v>3</v>
      </c>
      <c r="AG4354">
        <v>2</v>
      </c>
      <c r="AH4354">
        <v>0</v>
      </c>
      <c r="AI4354" t="s">
        <v>633</v>
      </c>
      <c r="AJ4354">
        <v>28.251750000000001</v>
      </c>
      <c r="AK4354" t="s">
        <v>985</v>
      </c>
      <c r="AL4354">
        <v>-82.316543999999993</v>
      </c>
      <c r="AM4354">
        <v>100</v>
      </c>
      <c r="AN4354">
        <v>2200</v>
      </c>
      <c r="AO4354" t="s">
        <v>118</v>
      </c>
      <c r="AP4354">
        <v>-122</v>
      </c>
      <c r="AQ4354">
        <v>-77</v>
      </c>
      <c r="AR4354">
        <v>-512</v>
      </c>
      <c r="AZ4354">
        <v>1200</v>
      </c>
      <c r="BA4354">
        <v>1</v>
      </c>
      <c r="BB4354" t="str">
        <f t="shared" si="1994"/>
        <v xml:space="preserve">N711JA  </v>
      </c>
      <c r="BC4354">
        <v>1</v>
      </c>
      <c r="BE4354">
        <v>0</v>
      </c>
      <c r="BF4354">
        <v>0</v>
      </c>
      <c r="BG4354">
        <v>0</v>
      </c>
      <c r="BH4354">
        <v>2275</v>
      </c>
      <c r="BI4354">
        <v>1</v>
      </c>
      <c r="BJ4354">
        <v>1</v>
      </c>
      <c r="BK4354">
        <v>0</v>
      </c>
      <c r="BL4354">
        <v>0</v>
      </c>
      <c r="BO4354">
        <v>0</v>
      </c>
      <c r="BP4354">
        <v>0</v>
      </c>
      <c r="BW4354" t="str">
        <f t="shared" si="2006"/>
        <v>14:49:11.274</v>
      </c>
      <c r="CJ4354">
        <v>0</v>
      </c>
      <c r="CK4354">
        <v>2</v>
      </c>
      <c r="CL4354">
        <v>0</v>
      </c>
      <c r="CM4354">
        <v>2</v>
      </c>
      <c r="CN4354">
        <v>0</v>
      </c>
      <c r="CO4354">
        <v>6</v>
      </c>
      <c r="CP4354" t="s">
        <v>119</v>
      </c>
      <c r="CQ4354">
        <v>56</v>
      </c>
      <c r="CR4354">
        <v>2</v>
      </c>
      <c r="CW4354">
        <v>5141914</v>
      </c>
      <c r="CY4354">
        <v>1</v>
      </c>
      <c r="CZ4354">
        <v>0</v>
      </c>
      <c r="DA4354">
        <v>1</v>
      </c>
      <c r="DB4354">
        <v>0</v>
      </c>
      <c r="DC4354">
        <v>0</v>
      </c>
      <c r="DD4354">
        <v>1</v>
      </c>
      <c r="DE4354">
        <v>0</v>
      </c>
      <c r="DF4354">
        <v>0</v>
      </c>
      <c r="DG4354">
        <v>0</v>
      </c>
      <c r="DH4354">
        <v>0</v>
      </c>
      <c r="DI4354">
        <v>0</v>
      </c>
    </row>
    <row r="4355" spans="1:113" x14ac:dyDescent="0.3">
      <c r="A4355" t="str">
        <f>"05/12/2020 14:48:54.535"</f>
        <v>05/12/2020 14:48:54.535</v>
      </c>
      <c r="C4355" t="str">
        <f t="shared" si="1991"/>
        <v>FFDFD3C0</v>
      </c>
      <c r="D4355" t="s">
        <v>138</v>
      </c>
      <c r="E4355">
        <v>3</v>
      </c>
      <c r="H4355">
        <v>9</v>
      </c>
      <c r="I4355" t="s">
        <v>140</v>
      </c>
      <c r="J4355" t="s">
        <v>136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>"14:49:12.375"</f>
        <v>14:49:12.375</v>
      </c>
      <c r="T4355" t="str">
        <f>"14:49:12.175"</f>
        <v>14:49:12.175</v>
      </c>
      <c r="U4355" t="str">
        <f t="shared" si="2007"/>
        <v>A9808D</v>
      </c>
      <c r="V4355">
        <v>0</v>
      </c>
      <c r="W4355">
        <v>0</v>
      </c>
      <c r="X4355">
        <v>1</v>
      </c>
      <c r="Z4355">
        <v>0</v>
      </c>
      <c r="AA4355">
        <v>9</v>
      </c>
      <c r="AB4355">
        <v>3</v>
      </c>
      <c r="AC4355">
        <v>0</v>
      </c>
      <c r="AD4355">
        <v>10</v>
      </c>
      <c r="AE4355">
        <v>0</v>
      </c>
      <c r="AF4355">
        <v>3</v>
      </c>
      <c r="AG4355">
        <v>2</v>
      </c>
      <c r="AH4355">
        <v>0</v>
      </c>
      <c r="AI4355" t="s">
        <v>986</v>
      </c>
      <c r="AJ4355">
        <v>28.251386</v>
      </c>
      <c r="AK4355" t="s">
        <v>987</v>
      </c>
      <c r="AL4355">
        <v>-82.317231000000007</v>
      </c>
      <c r="AM4355">
        <v>100</v>
      </c>
      <c r="AN4355">
        <v>2200</v>
      </c>
      <c r="AO4355" t="s">
        <v>118</v>
      </c>
      <c r="AP4355">
        <v>-124</v>
      </c>
      <c r="AQ4355">
        <v>-75</v>
      </c>
      <c r="AR4355">
        <v>-512</v>
      </c>
      <c r="AZ4355">
        <v>1200</v>
      </c>
      <c r="BA4355">
        <v>1</v>
      </c>
      <c r="BB4355" t="str">
        <f t="shared" si="1994"/>
        <v xml:space="preserve">N711JA  </v>
      </c>
      <c r="BC4355">
        <v>1</v>
      </c>
      <c r="BE4355">
        <v>0</v>
      </c>
      <c r="BF4355">
        <v>0</v>
      </c>
      <c r="BG4355">
        <v>0</v>
      </c>
      <c r="BH4355">
        <v>2250</v>
      </c>
      <c r="BI4355">
        <v>1</v>
      </c>
      <c r="BJ4355">
        <v>1</v>
      </c>
      <c r="BK4355">
        <v>0</v>
      </c>
      <c r="BL4355">
        <v>0</v>
      </c>
      <c r="BO4355">
        <v>0</v>
      </c>
      <c r="BP4355">
        <v>0</v>
      </c>
      <c r="BW4355" t="str">
        <f>"14:49:12.381"</f>
        <v>14:49:12.381</v>
      </c>
      <c r="CJ4355">
        <v>0</v>
      </c>
      <c r="CK4355">
        <v>2</v>
      </c>
      <c r="CL4355">
        <v>0</v>
      </c>
      <c r="CM4355">
        <v>2</v>
      </c>
      <c r="CN4355">
        <v>0</v>
      </c>
      <c r="CO4355">
        <v>6</v>
      </c>
      <c r="CP4355" t="s">
        <v>119</v>
      </c>
      <c r="CQ4355">
        <v>358</v>
      </c>
      <c r="CR4355">
        <v>0</v>
      </c>
      <c r="CW4355">
        <v>5115479</v>
      </c>
      <c r="CY4355">
        <v>1</v>
      </c>
      <c r="CZ4355">
        <v>0</v>
      </c>
      <c r="DA4355">
        <v>0</v>
      </c>
      <c r="DB4355">
        <v>0</v>
      </c>
      <c r="DC4355">
        <v>0</v>
      </c>
      <c r="DD4355">
        <v>1</v>
      </c>
      <c r="DE4355">
        <v>0</v>
      </c>
      <c r="DF4355">
        <v>0</v>
      </c>
      <c r="DG4355">
        <v>0</v>
      </c>
      <c r="DH4355">
        <v>0</v>
      </c>
      <c r="DI4355">
        <v>0</v>
      </c>
    </row>
    <row r="4356" spans="1:113" x14ac:dyDescent="0.3">
      <c r="A4356" t="str">
        <f>"05/12/2020 14:48:54.535"</f>
        <v>05/12/2020 14:48:54.535</v>
      </c>
      <c r="C4356" t="str">
        <f t="shared" si="1991"/>
        <v>FFDFD3C0</v>
      </c>
      <c r="D4356" t="s">
        <v>131</v>
      </c>
      <c r="E4356">
        <v>10</v>
      </c>
      <c r="F4356">
        <v>2010</v>
      </c>
      <c r="G4356" t="s">
        <v>132</v>
      </c>
      <c r="J4356" t="s">
        <v>133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>"14:49:12.375"</f>
        <v>14:49:12.375</v>
      </c>
      <c r="T4356" t="str">
        <f>"14:49:12.175"</f>
        <v>14:49:12.175</v>
      </c>
      <c r="U4356" t="str">
        <f t="shared" si="2007"/>
        <v>A9808D</v>
      </c>
      <c r="V4356">
        <v>0</v>
      </c>
      <c r="W4356">
        <v>0</v>
      </c>
      <c r="X4356">
        <v>1</v>
      </c>
      <c r="Z4356">
        <v>0</v>
      </c>
      <c r="AA4356">
        <v>9</v>
      </c>
      <c r="AB4356">
        <v>3</v>
      </c>
      <c r="AC4356">
        <v>0</v>
      </c>
      <c r="AD4356">
        <v>10</v>
      </c>
      <c r="AE4356">
        <v>0</v>
      </c>
      <c r="AF4356">
        <v>3</v>
      </c>
      <c r="AG4356">
        <v>2</v>
      </c>
      <c r="AH4356">
        <v>0</v>
      </c>
      <c r="AI4356" t="s">
        <v>986</v>
      </c>
      <c r="AJ4356">
        <v>28.251386</v>
      </c>
      <c r="AK4356" t="s">
        <v>987</v>
      </c>
      <c r="AL4356">
        <v>-82.317231000000007</v>
      </c>
      <c r="AM4356">
        <v>100</v>
      </c>
      <c r="AN4356">
        <v>2200</v>
      </c>
      <c r="AO4356" t="s">
        <v>118</v>
      </c>
      <c r="AP4356">
        <v>-124</v>
      </c>
      <c r="AQ4356">
        <v>-75</v>
      </c>
      <c r="AR4356">
        <v>-512</v>
      </c>
      <c r="AZ4356">
        <v>1200</v>
      </c>
      <c r="BA4356">
        <v>1</v>
      </c>
      <c r="BB4356" t="str">
        <f t="shared" si="1994"/>
        <v xml:space="preserve">N711JA  </v>
      </c>
      <c r="BC4356">
        <v>1</v>
      </c>
      <c r="BE4356">
        <v>0</v>
      </c>
      <c r="BF4356">
        <v>0</v>
      </c>
      <c r="BG4356">
        <v>0</v>
      </c>
      <c r="BH4356">
        <v>2250</v>
      </c>
      <c r="BI4356">
        <v>1</v>
      </c>
      <c r="BJ4356">
        <v>1</v>
      </c>
      <c r="BK4356">
        <v>0</v>
      </c>
      <c r="BL4356">
        <v>0</v>
      </c>
      <c r="BO4356">
        <v>0</v>
      </c>
      <c r="BP4356">
        <v>0</v>
      </c>
      <c r="BW4356" t="str">
        <f>"14:49:12.381"</f>
        <v>14:49:12.381</v>
      </c>
      <c r="CJ4356">
        <v>0</v>
      </c>
      <c r="CK4356">
        <v>2</v>
      </c>
      <c r="CL4356">
        <v>0</v>
      </c>
      <c r="CM4356">
        <v>2</v>
      </c>
      <c r="CN4356">
        <v>0</v>
      </c>
      <c r="CO4356">
        <v>6</v>
      </c>
      <c r="CP4356" t="s">
        <v>119</v>
      </c>
      <c r="CQ4356">
        <v>358</v>
      </c>
      <c r="CR4356">
        <v>0</v>
      </c>
      <c r="CW4356">
        <v>5115479</v>
      </c>
      <c r="CY4356">
        <v>1</v>
      </c>
      <c r="CZ4356">
        <v>0</v>
      </c>
      <c r="DA4356">
        <v>1</v>
      </c>
      <c r="DB4356">
        <v>0</v>
      </c>
      <c r="DC4356">
        <v>0</v>
      </c>
      <c r="DD4356">
        <v>1</v>
      </c>
      <c r="DE4356">
        <v>0</v>
      </c>
      <c r="DF4356">
        <v>0</v>
      </c>
      <c r="DG4356">
        <v>0</v>
      </c>
      <c r="DH4356">
        <v>0</v>
      </c>
      <c r="DI4356">
        <v>0</v>
      </c>
    </row>
    <row r="4357" spans="1:113" x14ac:dyDescent="0.3">
      <c r="A4357" t="str">
        <f>"05/12/2020 14:48:54.535"</f>
        <v>05/12/2020 14:48:54.535</v>
      </c>
      <c r="C4357" t="str">
        <f t="shared" si="1991"/>
        <v>FFDFD3C0</v>
      </c>
      <c r="D4357" t="s">
        <v>126</v>
      </c>
      <c r="E4357">
        <v>7</v>
      </c>
      <c r="F4357">
        <v>1007</v>
      </c>
      <c r="G4357" t="s">
        <v>127</v>
      </c>
      <c r="J4357" t="s">
        <v>128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>"14:49:12.375"</f>
        <v>14:49:12.375</v>
      </c>
      <c r="T4357" t="str">
        <f>"14:49:12.175"</f>
        <v>14:49:12.175</v>
      </c>
      <c r="U4357" t="str">
        <f t="shared" si="2007"/>
        <v>A9808D</v>
      </c>
      <c r="V4357">
        <v>0</v>
      </c>
      <c r="W4357">
        <v>0</v>
      </c>
      <c r="X4357">
        <v>1</v>
      </c>
      <c r="Z4357">
        <v>0</v>
      </c>
      <c r="AA4357">
        <v>9</v>
      </c>
      <c r="AB4357">
        <v>3</v>
      </c>
      <c r="AC4357">
        <v>0</v>
      </c>
      <c r="AD4357">
        <v>10</v>
      </c>
      <c r="AE4357">
        <v>0</v>
      </c>
      <c r="AF4357">
        <v>3</v>
      </c>
      <c r="AG4357">
        <v>2</v>
      </c>
      <c r="AH4357">
        <v>0</v>
      </c>
      <c r="AI4357" t="s">
        <v>986</v>
      </c>
      <c r="AJ4357">
        <v>28.251386</v>
      </c>
      <c r="AK4357" t="s">
        <v>987</v>
      </c>
      <c r="AL4357">
        <v>-82.317231000000007</v>
      </c>
      <c r="AM4357">
        <v>100</v>
      </c>
      <c r="AN4357">
        <v>2200</v>
      </c>
      <c r="AO4357" t="s">
        <v>118</v>
      </c>
      <c r="AP4357">
        <v>-124</v>
      </c>
      <c r="AQ4357">
        <v>-75</v>
      </c>
      <c r="AR4357">
        <v>-512</v>
      </c>
      <c r="AZ4357">
        <v>1200</v>
      </c>
      <c r="BA4357">
        <v>1</v>
      </c>
      <c r="BB4357" t="str">
        <f t="shared" si="1994"/>
        <v xml:space="preserve">N711JA  </v>
      </c>
      <c r="BC4357">
        <v>1</v>
      </c>
      <c r="BE4357">
        <v>0</v>
      </c>
      <c r="BF4357">
        <v>0</v>
      </c>
      <c r="BG4357">
        <v>0</v>
      </c>
      <c r="BH4357">
        <v>2250</v>
      </c>
      <c r="BI4357">
        <v>1</v>
      </c>
      <c r="BJ4357">
        <v>1</v>
      </c>
      <c r="BK4357">
        <v>0</v>
      </c>
      <c r="BL4357">
        <v>0</v>
      </c>
      <c r="BO4357">
        <v>0</v>
      </c>
      <c r="BP4357">
        <v>0</v>
      </c>
      <c r="BW4357" t="str">
        <f>"14:49:12.381"</f>
        <v>14:49:12.381</v>
      </c>
      <c r="CJ4357">
        <v>0</v>
      </c>
      <c r="CK4357">
        <v>2</v>
      </c>
      <c r="CL4357">
        <v>0</v>
      </c>
      <c r="CM4357">
        <v>2</v>
      </c>
      <c r="CN4357">
        <v>0</v>
      </c>
      <c r="CO4357">
        <v>6</v>
      </c>
      <c r="CP4357" t="s">
        <v>119</v>
      </c>
      <c r="CQ4357">
        <v>358</v>
      </c>
      <c r="CR4357">
        <v>0</v>
      </c>
      <c r="CW4357">
        <v>5115479</v>
      </c>
      <c r="CY4357">
        <v>1</v>
      </c>
      <c r="CZ4357">
        <v>0</v>
      </c>
      <c r="DA4357">
        <v>1</v>
      </c>
      <c r="DB4357">
        <v>0</v>
      </c>
      <c r="DC4357">
        <v>0</v>
      </c>
      <c r="DD4357">
        <v>1</v>
      </c>
      <c r="DE4357">
        <v>0</v>
      </c>
      <c r="DF4357">
        <v>0</v>
      </c>
      <c r="DG4357">
        <v>0</v>
      </c>
      <c r="DH4357">
        <v>0</v>
      </c>
      <c r="DI4357">
        <v>0</v>
      </c>
    </row>
    <row r="4358" spans="1:113" x14ac:dyDescent="0.3">
      <c r="A4358" t="str">
        <f>"05/12/2020 14:48:54.535"</f>
        <v>05/12/2020 14:48:54.535</v>
      </c>
      <c r="C4358" t="str">
        <f t="shared" si="1991"/>
        <v>FFDFD3C0</v>
      </c>
      <c r="D4358" t="s">
        <v>126</v>
      </c>
      <c r="E4358">
        <v>6</v>
      </c>
      <c r="F4358">
        <v>1006</v>
      </c>
      <c r="G4358" t="s">
        <v>114</v>
      </c>
      <c r="J4358" t="s">
        <v>128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>"14:49:12.375"</f>
        <v>14:49:12.375</v>
      </c>
      <c r="T4358" t="str">
        <f>"14:49:12.175"</f>
        <v>14:49:12.175</v>
      </c>
      <c r="U4358" t="str">
        <f t="shared" si="2007"/>
        <v>A9808D</v>
      </c>
      <c r="V4358">
        <v>0</v>
      </c>
      <c r="W4358">
        <v>0</v>
      </c>
      <c r="X4358">
        <v>1</v>
      </c>
      <c r="Z4358">
        <v>0</v>
      </c>
      <c r="AA4358">
        <v>9</v>
      </c>
      <c r="AB4358">
        <v>3</v>
      </c>
      <c r="AC4358">
        <v>0</v>
      </c>
      <c r="AD4358">
        <v>10</v>
      </c>
      <c r="AE4358">
        <v>0</v>
      </c>
      <c r="AF4358">
        <v>3</v>
      </c>
      <c r="AG4358">
        <v>2</v>
      </c>
      <c r="AH4358">
        <v>0</v>
      </c>
      <c r="AI4358" t="s">
        <v>986</v>
      </c>
      <c r="AJ4358">
        <v>28.251386</v>
      </c>
      <c r="AK4358" t="s">
        <v>987</v>
      </c>
      <c r="AL4358">
        <v>-82.317231000000007</v>
      </c>
      <c r="AM4358">
        <v>100</v>
      </c>
      <c r="AN4358">
        <v>2200</v>
      </c>
      <c r="AO4358" t="s">
        <v>118</v>
      </c>
      <c r="AP4358">
        <v>-124</v>
      </c>
      <c r="AQ4358">
        <v>-75</v>
      </c>
      <c r="AR4358">
        <v>-512</v>
      </c>
      <c r="AZ4358">
        <v>1200</v>
      </c>
      <c r="BA4358">
        <v>1</v>
      </c>
      <c r="BB4358" t="str">
        <f t="shared" si="1994"/>
        <v xml:space="preserve">N711JA  </v>
      </c>
      <c r="BC4358">
        <v>1</v>
      </c>
      <c r="BE4358">
        <v>0</v>
      </c>
      <c r="BF4358">
        <v>0</v>
      </c>
      <c r="BG4358">
        <v>0</v>
      </c>
      <c r="BH4358">
        <v>2250</v>
      </c>
      <c r="BI4358">
        <v>1</v>
      </c>
      <c r="BJ4358">
        <v>1</v>
      </c>
      <c r="BK4358">
        <v>0</v>
      </c>
      <c r="BL4358">
        <v>0</v>
      </c>
      <c r="BO4358">
        <v>0</v>
      </c>
      <c r="BP4358">
        <v>0</v>
      </c>
      <c r="BW4358" t="str">
        <f>"14:49:12.381"</f>
        <v>14:49:12.381</v>
      </c>
      <c r="CJ4358">
        <v>0</v>
      </c>
      <c r="CK4358">
        <v>2</v>
      </c>
      <c r="CL4358">
        <v>0</v>
      </c>
      <c r="CM4358">
        <v>2</v>
      </c>
      <c r="CN4358">
        <v>0</v>
      </c>
      <c r="CO4358">
        <v>6</v>
      </c>
      <c r="CP4358" t="s">
        <v>119</v>
      </c>
      <c r="CQ4358">
        <v>358</v>
      </c>
      <c r="CR4358">
        <v>0</v>
      </c>
      <c r="CW4358">
        <v>5115479</v>
      </c>
      <c r="CY4358">
        <v>1</v>
      </c>
      <c r="CZ4358">
        <v>0</v>
      </c>
      <c r="DA4358">
        <v>1</v>
      </c>
      <c r="DB4358">
        <v>0</v>
      </c>
      <c r="DC4358">
        <v>0</v>
      </c>
      <c r="DD4358">
        <v>1</v>
      </c>
      <c r="DE4358">
        <v>0</v>
      </c>
      <c r="DF4358">
        <v>0</v>
      </c>
      <c r="DG4358">
        <v>0</v>
      </c>
      <c r="DH4358">
        <v>0</v>
      </c>
      <c r="DI4358">
        <v>0</v>
      </c>
    </row>
    <row r="4359" spans="1:113" x14ac:dyDescent="0.3">
      <c r="A4359" t="str">
        <f>"05/12/2020 14:48:54.535"</f>
        <v>05/12/2020 14:48:54.535</v>
      </c>
      <c r="C4359" t="str">
        <f t="shared" si="1991"/>
        <v>FFDFD3C0</v>
      </c>
      <c r="D4359" t="s">
        <v>134</v>
      </c>
      <c r="E4359">
        <v>12</v>
      </c>
      <c r="H4359">
        <v>64</v>
      </c>
      <c r="I4359" t="s">
        <v>135</v>
      </c>
      <c r="J4359" t="s">
        <v>136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>"14:49:12.375"</f>
        <v>14:49:12.375</v>
      </c>
      <c r="T4359" t="str">
        <f>"14:49:12.175"</f>
        <v>14:49:12.175</v>
      </c>
      <c r="U4359" t="str">
        <f t="shared" si="2007"/>
        <v>A9808D</v>
      </c>
      <c r="V4359">
        <v>0</v>
      </c>
      <c r="W4359">
        <v>0</v>
      </c>
      <c r="X4359">
        <v>1</v>
      </c>
      <c r="Z4359">
        <v>0</v>
      </c>
      <c r="AA4359">
        <v>9</v>
      </c>
      <c r="AB4359">
        <v>3</v>
      </c>
      <c r="AC4359">
        <v>0</v>
      </c>
      <c r="AD4359">
        <v>10</v>
      </c>
      <c r="AE4359">
        <v>0</v>
      </c>
      <c r="AF4359">
        <v>3</v>
      </c>
      <c r="AG4359">
        <v>2</v>
      </c>
      <c r="AH4359">
        <v>0</v>
      </c>
      <c r="AI4359" t="s">
        <v>986</v>
      </c>
      <c r="AJ4359">
        <v>28.251386</v>
      </c>
      <c r="AK4359" t="s">
        <v>987</v>
      </c>
      <c r="AL4359">
        <v>-82.317231000000007</v>
      </c>
      <c r="AM4359">
        <v>100</v>
      </c>
      <c r="AN4359">
        <v>2200</v>
      </c>
      <c r="AO4359" t="s">
        <v>118</v>
      </c>
      <c r="AP4359">
        <v>-124</v>
      </c>
      <c r="AQ4359">
        <v>-75</v>
      </c>
      <c r="AR4359">
        <v>-512</v>
      </c>
      <c r="AZ4359">
        <v>1200</v>
      </c>
      <c r="BA4359">
        <v>1</v>
      </c>
      <c r="BB4359" t="str">
        <f t="shared" si="1994"/>
        <v xml:space="preserve">N711JA  </v>
      </c>
      <c r="BC4359">
        <v>1</v>
      </c>
      <c r="BE4359">
        <v>0</v>
      </c>
      <c r="BF4359">
        <v>0</v>
      </c>
      <c r="BG4359">
        <v>0</v>
      </c>
      <c r="BH4359">
        <v>2250</v>
      </c>
      <c r="BI4359">
        <v>1</v>
      </c>
      <c r="BJ4359">
        <v>1</v>
      </c>
      <c r="BK4359">
        <v>0</v>
      </c>
      <c r="BL4359">
        <v>0</v>
      </c>
      <c r="BO4359">
        <v>0</v>
      </c>
      <c r="BP4359">
        <v>0</v>
      </c>
      <c r="BW4359" t="str">
        <f>"14:49:12.381"</f>
        <v>14:49:12.381</v>
      </c>
      <c r="CJ4359">
        <v>0</v>
      </c>
      <c r="CK4359">
        <v>2</v>
      </c>
      <c r="CL4359">
        <v>0</v>
      </c>
      <c r="CM4359">
        <v>2</v>
      </c>
      <c r="CN4359">
        <v>0</v>
      </c>
      <c r="CO4359">
        <v>6</v>
      </c>
      <c r="CP4359" t="s">
        <v>119</v>
      </c>
      <c r="CQ4359">
        <v>358</v>
      </c>
      <c r="CR4359">
        <v>0</v>
      </c>
      <c r="CW4359">
        <v>5115479</v>
      </c>
      <c r="CY4359">
        <v>1</v>
      </c>
      <c r="CZ4359">
        <v>0</v>
      </c>
      <c r="DA4359">
        <v>1</v>
      </c>
      <c r="DB4359">
        <v>0</v>
      </c>
      <c r="DC4359">
        <v>0</v>
      </c>
      <c r="DD4359">
        <v>1</v>
      </c>
      <c r="DE4359">
        <v>0</v>
      </c>
      <c r="DF4359">
        <v>0</v>
      </c>
      <c r="DG4359">
        <v>0</v>
      </c>
      <c r="DH4359">
        <v>0</v>
      </c>
      <c r="DI4359">
        <v>0</v>
      </c>
    </row>
    <row r="4360" spans="1:113" x14ac:dyDescent="0.3">
      <c r="A4360" t="str">
        <f>"05/12/2020 14:48:55.536"</f>
        <v>05/12/2020 14:48:55.536</v>
      </c>
      <c r="C4360" t="str">
        <f t="shared" si="1991"/>
        <v>FFDFD3C0</v>
      </c>
      <c r="D4360" t="s">
        <v>134</v>
      </c>
      <c r="E4360">
        <v>12</v>
      </c>
      <c r="H4360">
        <v>64</v>
      </c>
      <c r="I4360" t="s">
        <v>135</v>
      </c>
      <c r="J4360" t="s">
        <v>136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>"14:49:13.328"</f>
        <v>14:49:13.328</v>
      </c>
      <c r="T4360" t="str">
        <f>"14:49:13.228"</f>
        <v>14:49:13.228</v>
      </c>
      <c r="U4360" t="str">
        <f t="shared" si="2007"/>
        <v>A9808D</v>
      </c>
      <c r="V4360">
        <v>0</v>
      </c>
      <c r="W4360">
        <v>0</v>
      </c>
      <c r="X4360">
        <v>1</v>
      </c>
      <c r="Z4360">
        <v>0</v>
      </c>
      <c r="AA4360">
        <v>9</v>
      </c>
      <c r="AB4360">
        <v>3</v>
      </c>
      <c r="AC4360">
        <v>0</v>
      </c>
      <c r="AD4360">
        <v>10</v>
      </c>
      <c r="AE4360">
        <v>0</v>
      </c>
      <c r="AF4360">
        <v>3</v>
      </c>
      <c r="AG4360">
        <v>2</v>
      </c>
      <c r="AH4360">
        <v>0</v>
      </c>
      <c r="AI4360" t="s">
        <v>988</v>
      </c>
      <c r="AJ4360">
        <v>28.251064</v>
      </c>
      <c r="AK4360" t="s">
        <v>989</v>
      </c>
      <c r="AL4360">
        <v>-82.317874000000003</v>
      </c>
      <c r="AM4360">
        <v>100</v>
      </c>
      <c r="AN4360">
        <v>2200</v>
      </c>
      <c r="AO4360" t="s">
        <v>118</v>
      </c>
      <c r="AP4360">
        <v>-126</v>
      </c>
      <c r="AQ4360">
        <v>-73</v>
      </c>
      <c r="AR4360">
        <v>-576</v>
      </c>
      <c r="AZ4360">
        <v>1200</v>
      </c>
      <c r="BA4360">
        <v>1</v>
      </c>
      <c r="BB4360" t="str">
        <f t="shared" si="1994"/>
        <v xml:space="preserve">N711JA  </v>
      </c>
      <c r="BC4360">
        <v>1</v>
      </c>
      <c r="BE4360">
        <v>0</v>
      </c>
      <c r="BF4360">
        <v>0</v>
      </c>
      <c r="BG4360">
        <v>0</v>
      </c>
      <c r="BH4360">
        <v>2250</v>
      </c>
      <c r="BI4360">
        <v>1</v>
      </c>
      <c r="BJ4360">
        <v>1</v>
      </c>
      <c r="BK4360">
        <v>0</v>
      </c>
      <c r="BL4360">
        <v>0</v>
      </c>
      <c r="BO4360">
        <v>0</v>
      </c>
      <c r="BP4360">
        <v>0</v>
      </c>
      <c r="BW4360" t="str">
        <f>"14:49:13.333"</f>
        <v>14:49:13.333</v>
      </c>
      <c r="CJ4360">
        <v>0</v>
      </c>
      <c r="CK4360">
        <v>2</v>
      </c>
      <c r="CL4360">
        <v>0</v>
      </c>
      <c r="CM4360">
        <v>2</v>
      </c>
      <c r="CN4360">
        <v>0</v>
      </c>
      <c r="CO4360">
        <v>6</v>
      </c>
      <c r="CP4360" t="s">
        <v>119</v>
      </c>
      <c r="CQ4360">
        <v>358</v>
      </c>
      <c r="CR4360">
        <v>0</v>
      </c>
      <c r="CW4360">
        <v>5116660</v>
      </c>
      <c r="CY4360">
        <v>1</v>
      </c>
      <c r="CZ4360">
        <v>0</v>
      </c>
      <c r="DA4360">
        <v>0</v>
      </c>
      <c r="DB4360">
        <v>0</v>
      </c>
      <c r="DC4360">
        <v>0</v>
      </c>
      <c r="DD4360">
        <v>1</v>
      </c>
      <c r="DE4360">
        <v>0</v>
      </c>
      <c r="DF4360">
        <v>0</v>
      </c>
      <c r="DG4360">
        <v>0</v>
      </c>
      <c r="DH4360">
        <v>0</v>
      </c>
      <c r="DI4360">
        <v>0</v>
      </c>
    </row>
    <row r="4361" spans="1:113" x14ac:dyDescent="0.3">
      <c r="A4361" t="str">
        <f>"05/12/2020 14:48:55.536"</f>
        <v>05/12/2020 14:48:55.536</v>
      </c>
      <c r="C4361" t="str">
        <f t="shared" si="1991"/>
        <v>FFDFD3C0</v>
      </c>
      <c r="D4361" t="s">
        <v>138</v>
      </c>
      <c r="E4361">
        <v>3</v>
      </c>
      <c r="H4361">
        <v>9</v>
      </c>
      <c r="I4361" t="s">
        <v>140</v>
      </c>
      <c r="J4361" t="s">
        <v>136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>"14:49:13.328"</f>
        <v>14:49:13.328</v>
      </c>
      <c r="T4361" t="str">
        <f>"14:49:13.228"</f>
        <v>14:49:13.228</v>
      </c>
      <c r="U4361" t="str">
        <f t="shared" si="2007"/>
        <v>A9808D</v>
      </c>
      <c r="V4361">
        <v>0</v>
      </c>
      <c r="W4361">
        <v>0</v>
      </c>
      <c r="X4361">
        <v>1</v>
      </c>
      <c r="Z4361">
        <v>0</v>
      </c>
      <c r="AA4361">
        <v>9</v>
      </c>
      <c r="AB4361">
        <v>3</v>
      </c>
      <c r="AC4361">
        <v>0</v>
      </c>
      <c r="AD4361">
        <v>10</v>
      </c>
      <c r="AE4361">
        <v>0</v>
      </c>
      <c r="AF4361">
        <v>3</v>
      </c>
      <c r="AG4361">
        <v>2</v>
      </c>
      <c r="AH4361">
        <v>0</v>
      </c>
      <c r="AI4361" t="s">
        <v>988</v>
      </c>
      <c r="AJ4361">
        <v>28.251064</v>
      </c>
      <c r="AK4361" t="s">
        <v>989</v>
      </c>
      <c r="AL4361">
        <v>-82.317874000000003</v>
      </c>
      <c r="AM4361">
        <v>100</v>
      </c>
      <c r="AN4361">
        <v>2200</v>
      </c>
      <c r="AO4361" t="s">
        <v>118</v>
      </c>
      <c r="AP4361">
        <v>-126</v>
      </c>
      <c r="AQ4361">
        <v>-73</v>
      </c>
      <c r="AR4361">
        <v>-576</v>
      </c>
      <c r="AZ4361">
        <v>1200</v>
      </c>
      <c r="BA4361">
        <v>1</v>
      </c>
      <c r="BB4361" t="str">
        <f t="shared" si="1994"/>
        <v xml:space="preserve">N711JA  </v>
      </c>
      <c r="BC4361">
        <v>1</v>
      </c>
      <c r="BE4361">
        <v>0</v>
      </c>
      <c r="BF4361">
        <v>0</v>
      </c>
      <c r="BG4361">
        <v>0</v>
      </c>
      <c r="BH4361">
        <v>2250</v>
      </c>
      <c r="BI4361">
        <v>1</v>
      </c>
      <c r="BJ4361">
        <v>1</v>
      </c>
      <c r="BK4361">
        <v>0</v>
      </c>
      <c r="BL4361">
        <v>0</v>
      </c>
      <c r="BO4361">
        <v>0</v>
      </c>
      <c r="BP4361">
        <v>0</v>
      </c>
      <c r="BW4361" t="str">
        <f>"14:49:13.333"</f>
        <v>14:49:13.333</v>
      </c>
      <c r="CJ4361">
        <v>0</v>
      </c>
      <c r="CK4361">
        <v>2</v>
      </c>
      <c r="CL4361">
        <v>0</v>
      </c>
      <c r="CM4361">
        <v>2</v>
      </c>
      <c r="CN4361">
        <v>0</v>
      </c>
      <c r="CO4361">
        <v>6</v>
      </c>
      <c r="CP4361" t="s">
        <v>119</v>
      </c>
      <c r="CQ4361">
        <v>358</v>
      </c>
      <c r="CR4361">
        <v>0</v>
      </c>
      <c r="CW4361">
        <v>5116660</v>
      </c>
      <c r="CY4361">
        <v>1</v>
      </c>
      <c r="CZ4361">
        <v>0</v>
      </c>
      <c r="DA4361">
        <v>1</v>
      </c>
      <c r="DB4361">
        <v>0</v>
      </c>
      <c r="DC4361">
        <v>0</v>
      </c>
      <c r="DD4361">
        <v>1</v>
      </c>
      <c r="DE4361">
        <v>0</v>
      </c>
      <c r="DF4361">
        <v>0</v>
      </c>
      <c r="DG4361">
        <v>0</v>
      </c>
      <c r="DH4361">
        <v>0</v>
      </c>
      <c r="DI4361">
        <v>0</v>
      </c>
    </row>
    <row r="4362" spans="1:113" x14ac:dyDescent="0.3">
      <c r="A4362" t="str">
        <f>"05/12/2020 14:48:55.536"</f>
        <v>05/12/2020 14:48:55.536</v>
      </c>
      <c r="C4362" t="str">
        <f t="shared" si="1991"/>
        <v>FFDFD3C0</v>
      </c>
      <c r="D4362" t="s">
        <v>126</v>
      </c>
      <c r="E4362">
        <v>7</v>
      </c>
      <c r="F4362">
        <v>1007</v>
      </c>
      <c r="G4362" t="s">
        <v>127</v>
      </c>
      <c r="J4362" t="s">
        <v>128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>"14:49:13.328"</f>
        <v>14:49:13.328</v>
      </c>
      <c r="T4362" t="str">
        <f>"14:49:13.228"</f>
        <v>14:49:13.228</v>
      </c>
      <c r="U4362" t="str">
        <f t="shared" si="2007"/>
        <v>A9808D</v>
      </c>
      <c r="V4362">
        <v>0</v>
      </c>
      <c r="W4362">
        <v>0</v>
      </c>
      <c r="X4362">
        <v>1</v>
      </c>
      <c r="Z4362">
        <v>0</v>
      </c>
      <c r="AA4362">
        <v>9</v>
      </c>
      <c r="AB4362">
        <v>3</v>
      </c>
      <c r="AC4362">
        <v>0</v>
      </c>
      <c r="AD4362">
        <v>10</v>
      </c>
      <c r="AE4362">
        <v>0</v>
      </c>
      <c r="AF4362">
        <v>3</v>
      </c>
      <c r="AG4362">
        <v>2</v>
      </c>
      <c r="AH4362">
        <v>0</v>
      </c>
      <c r="AI4362" t="s">
        <v>988</v>
      </c>
      <c r="AJ4362">
        <v>28.251064</v>
      </c>
      <c r="AK4362" t="s">
        <v>989</v>
      </c>
      <c r="AL4362">
        <v>-82.317874000000003</v>
      </c>
      <c r="AM4362">
        <v>100</v>
      </c>
      <c r="AN4362">
        <v>2200</v>
      </c>
      <c r="AO4362" t="s">
        <v>118</v>
      </c>
      <c r="AP4362">
        <v>-126</v>
      </c>
      <c r="AQ4362">
        <v>-73</v>
      </c>
      <c r="AR4362">
        <v>-576</v>
      </c>
      <c r="AZ4362">
        <v>1200</v>
      </c>
      <c r="BA4362">
        <v>1</v>
      </c>
      <c r="BB4362" t="str">
        <f t="shared" si="1994"/>
        <v xml:space="preserve">N711JA  </v>
      </c>
      <c r="BC4362">
        <v>1</v>
      </c>
      <c r="BE4362">
        <v>0</v>
      </c>
      <c r="BF4362">
        <v>0</v>
      </c>
      <c r="BG4362">
        <v>0</v>
      </c>
      <c r="BH4362">
        <v>2250</v>
      </c>
      <c r="BI4362">
        <v>1</v>
      </c>
      <c r="BJ4362">
        <v>1</v>
      </c>
      <c r="BK4362">
        <v>0</v>
      </c>
      <c r="BL4362">
        <v>0</v>
      </c>
      <c r="BO4362">
        <v>0</v>
      </c>
      <c r="BP4362">
        <v>0</v>
      </c>
      <c r="BW4362" t="str">
        <f>"14:49:13.333"</f>
        <v>14:49:13.333</v>
      </c>
      <c r="CJ4362">
        <v>0</v>
      </c>
      <c r="CK4362">
        <v>2</v>
      </c>
      <c r="CL4362">
        <v>0</v>
      </c>
      <c r="CM4362">
        <v>2</v>
      </c>
      <c r="CN4362">
        <v>0</v>
      </c>
      <c r="CO4362">
        <v>6</v>
      </c>
      <c r="CP4362" t="s">
        <v>119</v>
      </c>
      <c r="CQ4362">
        <v>358</v>
      </c>
      <c r="CR4362">
        <v>0</v>
      </c>
      <c r="CW4362">
        <v>5116660</v>
      </c>
      <c r="CY4362">
        <v>1</v>
      </c>
      <c r="CZ4362">
        <v>0</v>
      </c>
      <c r="DA4362">
        <v>1</v>
      </c>
      <c r="DB4362">
        <v>0</v>
      </c>
      <c r="DC4362">
        <v>0</v>
      </c>
      <c r="DD4362">
        <v>1</v>
      </c>
      <c r="DE4362">
        <v>0</v>
      </c>
      <c r="DF4362">
        <v>0</v>
      </c>
      <c r="DG4362">
        <v>0</v>
      </c>
      <c r="DH4362">
        <v>0</v>
      </c>
      <c r="DI4362">
        <v>0</v>
      </c>
    </row>
    <row r="4363" spans="1:113" x14ac:dyDescent="0.3">
      <c r="A4363" t="str">
        <f>"05/12/2020 14:48:55.536"</f>
        <v>05/12/2020 14:48:55.536</v>
      </c>
      <c r="C4363" t="str">
        <f t="shared" si="1991"/>
        <v>FFDFD3C0</v>
      </c>
      <c r="D4363" t="s">
        <v>131</v>
      </c>
      <c r="E4363">
        <v>10</v>
      </c>
      <c r="F4363">
        <v>2010</v>
      </c>
      <c r="G4363" t="s">
        <v>132</v>
      </c>
      <c r="J4363" t="s">
        <v>133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>"14:49:13.328"</f>
        <v>14:49:13.328</v>
      </c>
      <c r="T4363" t="str">
        <f>"14:49:13.228"</f>
        <v>14:49:13.228</v>
      </c>
      <c r="U4363" t="str">
        <f t="shared" si="2007"/>
        <v>A9808D</v>
      </c>
      <c r="V4363">
        <v>0</v>
      </c>
      <c r="W4363">
        <v>0</v>
      </c>
      <c r="X4363">
        <v>1</v>
      </c>
      <c r="Z4363">
        <v>0</v>
      </c>
      <c r="AA4363">
        <v>9</v>
      </c>
      <c r="AB4363">
        <v>3</v>
      </c>
      <c r="AC4363">
        <v>0</v>
      </c>
      <c r="AD4363">
        <v>10</v>
      </c>
      <c r="AE4363">
        <v>0</v>
      </c>
      <c r="AF4363">
        <v>3</v>
      </c>
      <c r="AG4363">
        <v>2</v>
      </c>
      <c r="AH4363">
        <v>0</v>
      </c>
      <c r="AI4363" t="s">
        <v>988</v>
      </c>
      <c r="AJ4363">
        <v>28.251064</v>
      </c>
      <c r="AK4363" t="s">
        <v>989</v>
      </c>
      <c r="AL4363">
        <v>-82.317874000000003</v>
      </c>
      <c r="AM4363">
        <v>100</v>
      </c>
      <c r="AN4363">
        <v>2200</v>
      </c>
      <c r="AO4363" t="s">
        <v>118</v>
      </c>
      <c r="AP4363">
        <v>-126</v>
      </c>
      <c r="AQ4363">
        <v>-73</v>
      </c>
      <c r="AR4363">
        <v>-576</v>
      </c>
      <c r="AZ4363">
        <v>1200</v>
      </c>
      <c r="BA4363">
        <v>1</v>
      </c>
      <c r="BB4363" t="str">
        <f t="shared" si="1994"/>
        <v xml:space="preserve">N711JA  </v>
      </c>
      <c r="BC4363">
        <v>1</v>
      </c>
      <c r="BE4363">
        <v>0</v>
      </c>
      <c r="BF4363">
        <v>0</v>
      </c>
      <c r="BG4363">
        <v>0</v>
      </c>
      <c r="BH4363">
        <v>2250</v>
      </c>
      <c r="BI4363">
        <v>1</v>
      </c>
      <c r="BJ4363">
        <v>1</v>
      </c>
      <c r="BK4363">
        <v>0</v>
      </c>
      <c r="BL4363">
        <v>0</v>
      </c>
      <c r="BO4363">
        <v>0</v>
      </c>
      <c r="BP4363">
        <v>0</v>
      </c>
      <c r="BW4363" t="str">
        <f>"14:49:13.333"</f>
        <v>14:49:13.333</v>
      </c>
      <c r="CJ4363">
        <v>0</v>
      </c>
      <c r="CK4363">
        <v>2</v>
      </c>
      <c r="CL4363">
        <v>0</v>
      </c>
      <c r="CM4363">
        <v>2</v>
      </c>
      <c r="CN4363">
        <v>0</v>
      </c>
      <c r="CO4363">
        <v>6</v>
      </c>
      <c r="CP4363" t="s">
        <v>119</v>
      </c>
      <c r="CQ4363">
        <v>358</v>
      </c>
      <c r="CR4363">
        <v>0</v>
      </c>
      <c r="CW4363">
        <v>5116660</v>
      </c>
      <c r="CY4363">
        <v>1</v>
      </c>
      <c r="CZ4363">
        <v>0</v>
      </c>
      <c r="DA4363">
        <v>1</v>
      </c>
      <c r="DB4363">
        <v>0</v>
      </c>
      <c r="DC4363">
        <v>0</v>
      </c>
      <c r="DD4363">
        <v>1</v>
      </c>
      <c r="DE4363">
        <v>0</v>
      </c>
      <c r="DF4363">
        <v>0</v>
      </c>
      <c r="DG4363">
        <v>0</v>
      </c>
      <c r="DH4363">
        <v>0</v>
      </c>
      <c r="DI4363">
        <v>0</v>
      </c>
    </row>
    <row r="4364" spans="1:113" x14ac:dyDescent="0.3">
      <c r="A4364" t="str">
        <f>"05/12/2020 14:48:55.536"</f>
        <v>05/12/2020 14:48:55.536</v>
      </c>
      <c r="C4364" t="str">
        <f t="shared" si="1991"/>
        <v>FFDFD3C0</v>
      </c>
      <c r="D4364" t="s">
        <v>126</v>
      </c>
      <c r="E4364">
        <v>6</v>
      </c>
      <c r="F4364">
        <v>1006</v>
      </c>
      <c r="G4364" t="s">
        <v>114</v>
      </c>
      <c r="J4364" t="s">
        <v>128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>"14:49:13.328"</f>
        <v>14:49:13.328</v>
      </c>
      <c r="T4364" t="str">
        <f>"14:49:13.228"</f>
        <v>14:49:13.228</v>
      </c>
      <c r="U4364" t="str">
        <f t="shared" si="2007"/>
        <v>A9808D</v>
      </c>
      <c r="V4364">
        <v>0</v>
      </c>
      <c r="W4364">
        <v>0</v>
      </c>
      <c r="X4364">
        <v>1</v>
      </c>
      <c r="Z4364">
        <v>0</v>
      </c>
      <c r="AA4364">
        <v>9</v>
      </c>
      <c r="AB4364">
        <v>3</v>
      </c>
      <c r="AC4364">
        <v>0</v>
      </c>
      <c r="AD4364">
        <v>10</v>
      </c>
      <c r="AE4364">
        <v>0</v>
      </c>
      <c r="AF4364">
        <v>3</v>
      </c>
      <c r="AG4364">
        <v>2</v>
      </c>
      <c r="AH4364">
        <v>0</v>
      </c>
      <c r="AI4364" t="s">
        <v>988</v>
      </c>
      <c r="AJ4364">
        <v>28.251064</v>
      </c>
      <c r="AK4364" t="s">
        <v>989</v>
      </c>
      <c r="AL4364">
        <v>-82.317874000000003</v>
      </c>
      <c r="AM4364">
        <v>100</v>
      </c>
      <c r="AN4364">
        <v>2200</v>
      </c>
      <c r="AO4364" t="s">
        <v>118</v>
      </c>
      <c r="AP4364">
        <v>-126</v>
      </c>
      <c r="AQ4364">
        <v>-73</v>
      </c>
      <c r="AR4364">
        <v>-576</v>
      </c>
      <c r="AZ4364">
        <v>1200</v>
      </c>
      <c r="BA4364">
        <v>1</v>
      </c>
      <c r="BB4364" t="str">
        <f t="shared" si="1994"/>
        <v xml:space="preserve">N711JA  </v>
      </c>
      <c r="BC4364">
        <v>1</v>
      </c>
      <c r="BE4364">
        <v>0</v>
      </c>
      <c r="BF4364">
        <v>0</v>
      </c>
      <c r="BG4364">
        <v>0</v>
      </c>
      <c r="BH4364">
        <v>2250</v>
      </c>
      <c r="BI4364">
        <v>1</v>
      </c>
      <c r="BJ4364">
        <v>1</v>
      </c>
      <c r="BK4364">
        <v>0</v>
      </c>
      <c r="BL4364">
        <v>0</v>
      </c>
      <c r="BO4364">
        <v>0</v>
      </c>
      <c r="BP4364">
        <v>0</v>
      </c>
      <c r="BW4364" t="str">
        <f>"14:49:13.333"</f>
        <v>14:49:13.333</v>
      </c>
      <c r="CJ4364">
        <v>0</v>
      </c>
      <c r="CK4364">
        <v>2</v>
      </c>
      <c r="CL4364">
        <v>0</v>
      </c>
      <c r="CM4364">
        <v>2</v>
      </c>
      <c r="CN4364">
        <v>0</v>
      </c>
      <c r="CO4364">
        <v>6</v>
      </c>
      <c r="CP4364" t="s">
        <v>119</v>
      </c>
      <c r="CQ4364">
        <v>358</v>
      </c>
      <c r="CR4364">
        <v>0</v>
      </c>
      <c r="CW4364">
        <v>5116660</v>
      </c>
      <c r="CY4364">
        <v>1</v>
      </c>
      <c r="CZ4364">
        <v>0</v>
      </c>
      <c r="DA4364">
        <v>1</v>
      </c>
      <c r="DB4364">
        <v>0</v>
      </c>
      <c r="DC4364">
        <v>0</v>
      </c>
      <c r="DD4364">
        <v>1</v>
      </c>
      <c r="DE4364">
        <v>0</v>
      </c>
      <c r="DF4364">
        <v>0</v>
      </c>
      <c r="DG4364">
        <v>0</v>
      </c>
      <c r="DH4364">
        <v>0</v>
      </c>
      <c r="DI4364">
        <v>0</v>
      </c>
    </row>
    <row r="4365" spans="1:113" x14ac:dyDescent="0.3">
      <c r="A4365" t="str">
        <f t="shared" ref="A4365:A4371" si="2008">"05/12/2020 14:48:56.457"</f>
        <v>05/12/2020 14:48:56.457</v>
      </c>
      <c r="C4365" t="str">
        <f t="shared" si="1991"/>
        <v>FFDFD3C0</v>
      </c>
      <c r="D4365" t="s">
        <v>131</v>
      </c>
      <c r="E4365">
        <v>10</v>
      </c>
      <c r="F4365">
        <v>2010</v>
      </c>
      <c r="G4365" t="s">
        <v>132</v>
      </c>
      <c r="J4365" t="s">
        <v>133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 t="shared" ref="S4365:S4371" si="2009">"14:49:14.297"</f>
        <v>14:49:14.297</v>
      </c>
      <c r="T4365" t="str">
        <f>"14:49:13.597"</f>
        <v>14:49:13.597</v>
      </c>
      <c r="U4365" t="str">
        <f t="shared" si="2007"/>
        <v>A9808D</v>
      </c>
      <c r="V4365">
        <v>0</v>
      </c>
      <c r="W4365">
        <v>0</v>
      </c>
      <c r="X4365">
        <v>1</v>
      </c>
      <c r="Z4365">
        <v>0</v>
      </c>
      <c r="AA4365">
        <v>9</v>
      </c>
      <c r="AB4365">
        <v>3</v>
      </c>
      <c r="AC4365">
        <v>0</v>
      </c>
      <c r="AD4365">
        <v>10</v>
      </c>
      <c r="AE4365">
        <v>0</v>
      </c>
      <c r="AF4365">
        <v>3</v>
      </c>
      <c r="AG4365">
        <v>2</v>
      </c>
      <c r="AH4365">
        <v>0</v>
      </c>
      <c r="AI4365" t="s">
        <v>990</v>
      </c>
      <c r="AJ4365">
        <v>28.250741999999999</v>
      </c>
      <c r="AK4365" t="s">
        <v>646</v>
      </c>
      <c r="AL4365">
        <v>-82.318517999999997</v>
      </c>
      <c r="AM4365">
        <v>100</v>
      </c>
      <c r="AN4365">
        <v>2200</v>
      </c>
      <c r="AO4365" t="s">
        <v>118</v>
      </c>
      <c r="AP4365">
        <v>-127</v>
      </c>
      <c r="AQ4365">
        <v>-72</v>
      </c>
      <c r="AR4365">
        <v>-576</v>
      </c>
      <c r="AZ4365">
        <v>1200</v>
      </c>
      <c r="BA4365">
        <v>1</v>
      </c>
      <c r="BB4365" t="str">
        <f t="shared" si="1994"/>
        <v xml:space="preserve">N711JA  </v>
      </c>
      <c r="BC4365">
        <v>1</v>
      </c>
      <c r="BE4365">
        <v>0</v>
      </c>
      <c r="BF4365">
        <v>0</v>
      </c>
      <c r="BG4365">
        <v>0</v>
      </c>
      <c r="BH4365">
        <v>2250</v>
      </c>
      <c r="BI4365">
        <v>1</v>
      </c>
      <c r="BJ4365">
        <v>1</v>
      </c>
      <c r="BK4365">
        <v>0</v>
      </c>
      <c r="BL4365">
        <v>0</v>
      </c>
      <c r="BO4365">
        <v>0</v>
      </c>
      <c r="BP4365">
        <v>0</v>
      </c>
      <c r="BW4365" t="str">
        <f t="shared" ref="BW4365:BW4371" si="2010">"14:49:14.301"</f>
        <v>14:49:14.301</v>
      </c>
      <c r="CJ4365">
        <v>0</v>
      </c>
      <c r="CK4365">
        <v>2</v>
      </c>
      <c r="CL4365">
        <v>0</v>
      </c>
      <c r="CM4365">
        <v>2</v>
      </c>
      <c r="CN4365">
        <v>0</v>
      </c>
      <c r="CO4365">
        <v>6</v>
      </c>
      <c r="CP4365" t="s">
        <v>119</v>
      </c>
      <c r="CQ4365">
        <v>358</v>
      </c>
      <c r="CR4365">
        <v>0</v>
      </c>
      <c r="CW4365">
        <v>5117788</v>
      </c>
      <c r="CY4365">
        <v>1</v>
      </c>
      <c r="CZ4365">
        <v>0</v>
      </c>
      <c r="DA4365">
        <v>0</v>
      </c>
      <c r="DB4365">
        <v>0</v>
      </c>
      <c r="DC4365">
        <v>0</v>
      </c>
      <c r="DD4365">
        <v>1</v>
      </c>
      <c r="DE4365">
        <v>0</v>
      </c>
      <c r="DF4365">
        <v>0</v>
      </c>
      <c r="DG4365">
        <v>0</v>
      </c>
      <c r="DH4365">
        <v>0</v>
      </c>
      <c r="DI4365">
        <v>0</v>
      </c>
    </row>
    <row r="4366" spans="1:113" x14ac:dyDescent="0.3">
      <c r="A4366" t="str">
        <f t="shared" si="2008"/>
        <v>05/12/2020 14:48:56.457</v>
      </c>
      <c r="C4366" t="str">
        <f t="shared" si="1991"/>
        <v>FFDFD3C0</v>
      </c>
      <c r="D4366" t="s">
        <v>131</v>
      </c>
      <c r="E4366">
        <v>12</v>
      </c>
      <c r="F4366">
        <v>2012</v>
      </c>
      <c r="G4366" t="s">
        <v>137</v>
      </c>
      <c r="J4366" t="s">
        <v>133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 t="shared" si="2009"/>
        <v>14:49:14.297</v>
      </c>
      <c r="T4366" t="str">
        <f>"14:49:14.197"</f>
        <v>14:49:14.197</v>
      </c>
      <c r="U4366" t="str">
        <f t="shared" si="2007"/>
        <v>A9808D</v>
      </c>
      <c r="V4366">
        <v>0</v>
      </c>
      <c r="W4366">
        <v>0</v>
      </c>
      <c r="X4366">
        <v>1</v>
      </c>
      <c r="Z4366">
        <v>0</v>
      </c>
      <c r="AA4366">
        <v>9</v>
      </c>
      <c r="AB4366">
        <v>3</v>
      </c>
      <c r="AC4366">
        <v>0</v>
      </c>
      <c r="AD4366">
        <v>10</v>
      </c>
      <c r="AE4366">
        <v>0</v>
      </c>
      <c r="AF4366">
        <v>3</v>
      </c>
      <c r="AG4366">
        <v>2</v>
      </c>
      <c r="AH4366">
        <v>0</v>
      </c>
      <c r="AI4366" t="s">
        <v>990</v>
      </c>
      <c r="AJ4366">
        <v>28.250741999999999</v>
      </c>
      <c r="AK4366" t="s">
        <v>646</v>
      </c>
      <c r="AL4366">
        <v>-82.318517999999997</v>
      </c>
      <c r="AM4366">
        <v>100</v>
      </c>
      <c r="AN4366">
        <v>2200</v>
      </c>
      <c r="AO4366" t="s">
        <v>118</v>
      </c>
      <c r="AP4366">
        <v>-129</v>
      </c>
      <c r="AQ4366">
        <v>-70</v>
      </c>
      <c r="AR4366">
        <v>-576</v>
      </c>
      <c r="AZ4366">
        <v>1200</v>
      </c>
      <c r="BA4366">
        <v>1</v>
      </c>
      <c r="BB4366" t="str">
        <f t="shared" si="1994"/>
        <v xml:space="preserve">N711JA  </v>
      </c>
      <c r="BC4366">
        <v>1</v>
      </c>
      <c r="BE4366">
        <v>0</v>
      </c>
      <c r="BF4366">
        <v>0</v>
      </c>
      <c r="BG4366">
        <v>0</v>
      </c>
      <c r="BH4366">
        <v>2250</v>
      </c>
      <c r="BI4366">
        <v>1</v>
      </c>
      <c r="BJ4366">
        <v>1</v>
      </c>
      <c r="BK4366">
        <v>0</v>
      </c>
      <c r="BL4366">
        <v>0</v>
      </c>
      <c r="BO4366">
        <v>0</v>
      </c>
      <c r="BP4366">
        <v>0</v>
      </c>
      <c r="BW4366" t="str">
        <f t="shared" si="2010"/>
        <v>14:49:14.301</v>
      </c>
      <c r="CJ4366">
        <v>0</v>
      </c>
      <c r="CK4366">
        <v>2</v>
      </c>
      <c r="CL4366">
        <v>0</v>
      </c>
      <c r="CM4366">
        <v>2</v>
      </c>
      <c r="CN4366">
        <v>0</v>
      </c>
      <c r="CO4366">
        <v>2</v>
      </c>
      <c r="CP4366" t="s">
        <v>675</v>
      </c>
      <c r="CQ4366">
        <v>363</v>
      </c>
      <c r="CR4366">
        <v>0</v>
      </c>
      <c r="CW4366">
        <v>6660968</v>
      </c>
      <c r="CY4366">
        <v>1</v>
      </c>
      <c r="CZ4366">
        <v>0</v>
      </c>
      <c r="DA4366">
        <v>1</v>
      </c>
      <c r="DB4366">
        <v>0</v>
      </c>
      <c r="DC4366">
        <v>0</v>
      </c>
      <c r="DD4366">
        <v>1</v>
      </c>
      <c r="DE4366">
        <v>0</v>
      </c>
      <c r="DF4366">
        <v>0</v>
      </c>
      <c r="DG4366">
        <v>0</v>
      </c>
      <c r="DH4366">
        <v>0</v>
      </c>
      <c r="DI4366">
        <v>0</v>
      </c>
    </row>
    <row r="4367" spans="1:113" x14ac:dyDescent="0.3">
      <c r="A4367" t="str">
        <f t="shared" si="2008"/>
        <v>05/12/2020 14:48:56.457</v>
      </c>
      <c r="C4367" t="str">
        <f t="shared" si="1991"/>
        <v>FFDFD3C0</v>
      </c>
      <c r="D4367" t="s">
        <v>126</v>
      </c>
      <c r="E4367">
        <v>7</v>
      </c>
      <c r="F4367">
        <v>1007</v>
      </c>
      <c r="G4367" t="s">
        <v>127</v>
      </c>
      <c r="J4367" t="s">
        <v>128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 t="shared" si="2009"/>
        <v>14:49:14.297</v>
      </c>
      <c r="T4367" t="str">
        <f>"14:49:14.197"</f>
        <v>14:49:14.197</v>
      </c>
      <c r="U4367" t="str">
        <f t="shared" si="2007"/>
        <v>A9808D</v>
      </c>
      <c r="V4367">
        <v>0</v>
      </c>
      <c r="W4367">
        <v>0</v>
      </c>
      <c r="X4367">
        <v>1</v>
      </c>
      <c r="Z4367">
        <v>0</v>
      </c>
      <c r="AA4367">
        <v>9</v>
      </c>
      <c r="AB4367">
        <v>3</v>
      </c>
      <c r="AC4367">
        <v>0</v>
      </c>
      <c r="AD4367">
        <v>10</v>
      </c>
      <c r="AE4367">
        <v>0</v>
      </c>
      <c r="AF4367">
        <v>3</v>
      </c>
      <c r="AG4367">
        <v>2</v>
      </c>
      <c r="AH4367">
        <v>0</v>
      </c>
      <c r="AI4367" t="s">
        <v>990</v>
      </c>
      <c r="AJ4367">
        <v>28.250741999999999</v>
      </c>
      <c r="AK4367" t="s">
        <v>646</v>
      </c>
      <c r="AL4367">
        <v>-82.318517999999997</v>
      </c>
      <c r="AM4367">
        <v>100</v>
      </c>
      <c r="AN4367">
        <v>2200</v>
      </c>
      <c r="AO4367" t="s">
        <v>118</v>
      </c>
      <c r="AP4367">
        <v>-129</v>
      </c>
      <c r="AQ4367">
        <v>-70</v>
      </c>
      <c r="AR4367">
        <v>-576</v>
      </c>
      <c r="AZ4367">
        <v>1200</v>
      </c>
      <c r="BA4367">
        <v>1</v>
      </c>
      <c r="BB4367" t="str">
        <f t="shared" si="1994"/>
        <v xml:space="preserve">N711JA  </v>
      </c>
      <c r="BC4367">
        <v>1</v>
      </c>
      <c r="BE4367">
        <v>0</v>
      </c>
      <c r="BF4367">
        <v>0</v>
      </c>
      <c r="BG4367">
        <v>0</v>
      </c>
      <c r="BH4367">
        <v>2250</v>
      </c>
      <c r="BI4367">
        <v>1</v>
      </c>
      <c r="BJ4367">
        <v>1</v>
      </c>
      <c r="BK4367">
        <v>0</v>
      </c>
      <c r="BL4367">
        <v>0</v>
      </c>
      <c r="BO4367">
        <v>0</v>
      </c>
      <c r="BP4367">
        <v>0</v>
      </c>
      <c r="BW4367" t="str">
        <f t="shared" si="2010"/>
        <v>14:49:14.301</v>
      </c>
      <c r="CJ4367">
        <v>0</v>
      </c>
      <c r="CK4367">
        <v>2</v>
      </c>
      <c r="CL4367">
        <v>0</v>
      </c>
      <c r="CM4367">
        <v>2</v>
      </c>
      <c r="CN4367">
        <v>0</v>
      </c>
      <c r="CO4367">
        <v>2</v>
      </c>
      <c r="CP4367" t="s">
        <v>675</v>
      </c>
      <c r="CQ4367">
        <v>363</v>
      </c>
      <c r="CR4367">
        <v>0</v>
      </c>
      <c r="CW4367">
        <v>6660968</v>
      </c>
      <c r="CY4367">
        <v>1</v>
      </c>
      <c r="CZ4367">
        <v>0</v>
      </c>
      <c r="DA4367">
        <v>1</v>
      </c>
      <c r="DB4367">
        <v>0</v>
      </c>
      <c r="DC4367">
        <v>0</v>
      </c>
      <c r="DD4367">
        <v>1</v>
      </c>
      <c r="DE4367">
        <v>0</v>
      </c>
      <c r="DF4367">
        <v>0</v>
      </c>
      <c r="DG4367">
        <v>0</v>
      </c>
      <c r="DH4367">
        <v>0</v>
      </c>
      <c r="DI4367">
        <v>0</v>
      </c>
    </row>
    <row r="4368" spans="1:113" x14ac:dyDescent="0.3">
      <c r="A4368" t="str">
        <f t="shared" si="2008"/>
        <v>05/12/2020 14:48:56.457</v>
      </c>
      <c r="C4368" t="str">
        <f t="shared" si="1991"/>
        <v>FFDFD3C0</v>
      </c>
      <c r="D4368" t="s">
        <v>138</v>
      </c>
      <c r="E4368">
        <v>2</v>
      </c>
      <c r="H4368">
        <v>8</v>
      </c>
      <c r="I4368" t="s">
        <v>139</v>
      </c>
      <c r="J4368" t="s">
        <v>136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 t="shared" si="2009"/>
        <v>14:49:14.297</v>
      </c>
      <c r="T4368" t="str">
        <f>"14:49:14.197"</f>
        <v>14:49:14.197</v>
      </c>
      <c r="U4368" t="str">
        <f t="shared" si="2007"/>
        <v>A9808D</v>
      </c>
      <c r="V4368">
        <v>0</v>
      </c>
      <c r="W4368">
        <v>0</v>
      </c>
      <c r="X4368">
        <v>1</v>
      </c>
      <c r="Z4368">
        <v>0</v>
      </c>
      <c r="AA4368">
        <v>9</v>
      </c>
      <c r="AB4368">
        <v>3</v>
      </c>
      <c r="AC4368">
        <v>0</v>
      </c>
      <c r="AD4368">
        <v>10</v>
      </c>
      <c r="AE4368">
        <v>0</v>
      </c>
      <c r="AF4368">
        <v>3</v>
      </c>
      <c r="AG4368">
        <v>2</v>
      </c>
      <c r="AH4368">
        <v>0</v>
      </c>
      <c r="AI4368" t="s">
        <v>990</v>
      </c>
      <c r="AJ4368">
        <v>28.250741999999999</v>
      </c>
      <c r="AK4368" t="s">
        <v>646</v>
      </c>
      <c r="AL4368">
        <v>-82.318517999999997</v>
      </c>
      <c r="AM4368">
        <v>100</v>
      </c>
      <c r="AN4368">
        <v>2200</v>
      </c>
      <c r="AO4368" t="s">
        <v>118</v>
      </c>
      <c r="AP4368">
        <v>-129</v>
      </c>
      <c r="AQ4368">
        <v>-70</v>
      </c>
      <c r="AR4368">
        <v>-576</v>
      </c>
      <c r="AZ4368">
        <v>1200</v>
      </c>
      <c r="BA4368">
        <v>1</v>
      </c>
      <c r="BB4368" t="str">
        <f t="shared" si="1994"/>
        <v xml:space="preserve">N711JA  </v>
      </c>
      <c r="BC4368">
        <v>1</v>
      </c>
      <c r="BE4368">
        <v>0</v>
      </c>
      <c r="BF4368">
        <v>0</v>
      </c>
      <c r="BG4368">
        <v>0</v>
      </c>
      <c r="BH4368">
        <v>2250</v>
      </c>
      <c r="BI4368">
        <v>1</v>
      </c>
      <c r="BJ4368">
        <v>1</v>
      </c>
      <c r="BK4368">
        <v>0</v>
      </c>
      <c r="BL4368">
        <v>0</v>
      </c>
      <c r="BO4368">
        <v>0</v>
      </c>
      <c r="BP4368">
        <v>0</v>
      </c>
      <c r="BW4368" t="str">
        <f t="shared" si="2010"/>
        <v>14:49:14.301</v>
      </c>
      <c r="CJ4368">
        <v>0</v>
      </c>
      <c r="CK4368">
        <v>2</v>
      </c>
      <c r="CL4368">
        <v>0</v>
      </c>
      <c r="CM4368">
        <v>2</v>
      </c>
      <c r="CN4368">
        <v>0</v>
      </c>
      <c r="CO4368">
        <v>2</v>
      </c>
      <c r="CP4368" t="s">
        <v>675</v>
      </c>
      <c r="CQ4368">
        <v>363</v>
      </c>
      <c r="CR4368">
        <v>0</v>
      </c>
      <c r="CW4368">
        <v>6660968</v>
      </c>
      <c r="CY4368">
        <v>1</v>
      </c>
      <c r="CZ4368">
        <v>0</v>
      </c>
      <c r="DA4368">
        <v>1</v>
      </c>
      <c r="DB4368">
        <v>0</v>
      </c>
      <c r="DC4368">
        <v>0</v>
      </c>
      <c r="DD4368">
        <v>1</v>
      </c>
      <c r="DE4368">
        <v>0</v>
      </c>
      <c r="DF4368">
        <v>0</v>
      </c>
      <c r="DG4368">
        <v>0</v>
      </c>
      <c r="DH4368">
        <v>0</v>
      </c>
      <c r="DI4368">
        <v>0</v>
      </c>
    </row>
    <row r="4369" spans="1:113" x14ac:dyDescent="0.3">
      <c r="A4369" t="str">
        <f t="shared" si="2008"/>
        <v>05/12/2020 14:48:56.457</v>
      </c>
      <c r="C4369" t="str">
        <f t="shared" si="1991"/>
        <v>FFDFD3C0</v>
      </c>
      <c r="D4369" t="s">
        <v>138</v>
      </c>
      <c r="E4369">
        <v>3</v>
      </c>
      <c r="H4369">
        <v>9</v>
      </c>
      <c r="I4369" t="s">
        <v>140</v>
      </c>
      <c r="J4369" t="s">
        <v>136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 t="shared" si="2009"/>
        <v>14:49:14.297</v>
      </c>
      <c r="T4369" t="str">
        <f>"14:49:13.597"</f>
        <v>14:49:13.597</v>
      </c>
      <c r="U4369" t="str">
        <f t="shared" si="2007"/>
        <v>A9808D</v>
      </c>
      <c r="V4369">
        <v>0</v>
      </c>
      <c r="W4369">
        <v>0</v>
      </c>
      <c r="X4369">
        <v>1</v>
      </c>
      <c r="Z4369">
        <v>0</v>
      </c>
      <c r="AA4369">
        <v>9</v>
      </c>
      <c r="AB4369">
        <v>3</v>
      </c>
      <c r="AC4369">
        <v>0</v>
      </c>
      <c r="AD4369">
        <v>10</v>
      </c>
      <c r="AE4369">
        <v>0</v>
      </c>
      <c r="AF4369">
        <v>3</v>
      </c>
      <c r="AG4369">
        <v>2</v>
      </c>
      <c r="AH4369">
        <v>0</v>
      </c>
      <c r="AI4369" t="s">
        <v>990</v>
      </c>
      <c r="AJ4369">
        <v>28.250741999999999</v>
      </c>
      <c r="AK4369" t="s">
        <v>646</v>
      </c>
      <c r="AL4369">
        <v>-82.318517999999997</v>
      </c>
      <c r="AM4369">
        <v>100</v>
      </c>
      <c r="AN4369">
        <v>2200</v>
      </c>
      <c r="AO4369" t="s">
        <v>118</v>
      </c>
      <c r="AP4369">
        <v>-127</v>
      </c>
      <c r="AQ4369">
        <v>-72</v>
      </c>
      <c r="AR4369">
        <v>-576</v>
      </c>
      <c r="AZ4369">
        <v>1200</v>
      </c>
      <c r="BA4369">
        <v>1</v>
      </c>
      <c r="BB4369" t="str">
        <f t="shared" si="1994"/>
        <v xml:space="preserve">N711JA  </v>
      </c>
      <c r="BC4369">
        <v>1</v>
      </c>
      <c r="BE4369">
        <v>0</v>
      </c>
      <c r="BF4369">
        <v>0</v>
      </c>
      <c r="BG4369">
        <v>0</v>
      </c>
      <c r="BH4369">
        <v>2250</v>
      </c>
      <c r="BI4369">
        <v>1</v>
      </c>
      <c r="BJ4369">
        <v>1</v>
      </c>
      <c r="BK4369">
        <v>0</v>
      </c>
      <c r="BL4369">
        <v>0</v>
      </c>
      <c r="BO4369">
        <v>0</v>
      </c>
      <c r="BP4369">
        <v>0</v>
      </c>
      <c r="BW4369" t="str">
        <f t="shared" si="2010"/>
        <v>14:49:14.301</v>
      </c>
      <c r="CJ4369">
        <v>0</v>
      </c>
      <c r="CK4369">
        <v>2</v>
      </c>
      <c r="CL4369">
        <v>0</v>
      </c>
      <c r="CM4369">
        <v>2</v>
      </c>
      <c r="CN4369">
        <v>0</v>
      </c>
      <c r="CO4369">
        <v>6</v>
      </c>
      <c r="CP4369" t="s">
        <v>119</v>
      </c>
      <c r="CQ4369">
        <v>358</v>
      </c>
      <c r="CR4369">
        <v>0</v>
      </c>
      <c r="CW4369">
        <v>5117788</v>
      </c>
      <c r="CY4369">
        <v>1</v>
      </c>
      <c r="CZ4369">
        <v>0</v>
      </c>
      <c r="DA4369">
        <v>1</v>
      </c>
      <c r="DB4369">
        <v>0</v>
      </c>
      <c r="DC4369">
        <v>0</v>
      </c>
      <c r="DD4369">
        <v>1</v>
      </c>
      <c r="DE4369">
        <v>0</v>
      </c>
      <c r="DF4369">
        <v>0</v>
      </c>
      <c r="DG4369">
        <v>0</v>
      </c>
      <c r="DH4369">
        <v>0</v>
      </c>
      <c r="DI4369">
        <v>0</v>
      </c>
    </row>
    <row r="4370" spans="1:113" x14ac:dyDescent="0.3">
      <c r="A4370" t="str">
        <f t="shared" si="2008"/>
        <v>05/12/2020 14:48:56.457</v>
      </c>
      <c r="C4370" t="str">
        <f t="shared" si="1991"/>
        <v>FFDFD3C0</v>
      </c>
      <c r="D4370" t="s">
        <v>126</v>
      </c>
      <c r="E4370">
        <v>6</v>
      </c>
      <c r="F4370">
        <v>1006</v>
      </c>
      <c r="G4370" t="s">
        <v>114</v>
      </c>
      <c r="J4370" t="s">
        <v>128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 t="shared" si="2009"/>
        <v>14:49:14.297</v>
      </c>
      <c r="T4370" t="str">
        <f>"14:49:13.597"</f>
        <v>14:49:13.597</v>
      </c>
      <c r="U4370" t="str">
        <f t="shared" si="2007"/>
        <v>A9808D</v>
      </c>
      <c r="V4370">
        <v>0</v>
      </c>
      <c r="W4370">
        <v>0</v>
      </c>
      <c r="X4370">
        <v>1</v>
      </c>
      <c r="Z4370">
        <v>0</v>
      </c>
      <c r="AA4370">
        <v>9</v>
      </c>
      <c r="AB4370">
        <v>3</v>
      </c>
      <c r="AC4370">
        <v>0</v>
      </c>
      <c r="AD4370">
        <v>10</v>
      </c>
      <c r="AE4370">
        <v>0</v>
      </c>
      <c r="AF4370">
        <v>3</v>
      </c>
      <c r="AG4370">
        <v>2</v>
      </c>
      <c r="AH4370">
        <v>0</v>
      </c>
      <c r="AI4370" t="s">
        <v>990</v>
      </c>
      <c r="AJ4370">
        <v>28.250741999999999</v>
      </c>
      <c r="AK4370" t="s">
        <v>646</v>
      </c>
      <c r="AL4370">
        <v>-82.318517999999997</v>
      </c>
      <c r="AM4370">
        <v>100</v>
      </c>
      <c r="AN4370">
        <v>2200</v>
      </c>
      <c r="AO4370" t="s">
        <v>118</v>
      </c>
      <c r="AP4370">
        <v>-127</v>
      </c>
      <c r="AQ4370">
        <v>-72</v>
      </c>
      <c r="AR4370">
        <v>-576</v>
      </c>
      <c r="AZ4370">
        <v>1200</v>
      </c>
      <c r="BA4370">
        <v>1</v>
      </c>
      <c r="BB4370" t="str">
        <f t="shared" si="1994"/>
        <v xml:space="preserve">N711JA  </v>
      </c>
      <c r="BC4370">
        <v>1</v>
      </c>
      <c r="BE4370">
        <v>0</v>
      </c>
      <c r="BF4370">
        <v>0</v>
      </c>
      <c r="BG4370">
        <v>0</v>
      </c>
      <c r="BH4370">
        <v>2250</v>
      </c>
      <c r="BI4370">
        <v>1</v>
      </c>
      <c r="BJ4370">
        <v>1</v>
      </c>
      <c r="BK4370">
        <v>0</v>
      </c>
      <c r="BL4370">
        <v>0</v>
      </c>
      <c r="BO4370">
        <v>0</v>
      </c>
      <c r="BP4370">
        <v>0</v>
      </c>
      <c r="BW4370" t="str">
        <f t="shared" si="2010"/>
        <v>14:49:14.301</v>
      </c>
      <c r="CJ4370">
        <v>0</v>
      </c>
      <c r="CK4370">
        <v>2</v>
      </c>
      <c r="CL4370">
        <v>0</v>
      </c>
      <c r="CM4370">
        <v>2</v>
      </c>
      <c r="CN4370">
        <v>0</v>
      </c>
      <c r="CO4370">
        <v>6</v>
      </c>
      <c r="CP4370" t="s">
        <v>119</v>
      </c>
      <c r="CQ4370">
        <v>358</v>
      </c>
      <c r="CR4370">
        <v>0</v>
      </c>
      <c r="CW4370">
        <v>5117788</v>
      </c>
      <c r="CY4370">
        <v>1</v>
      </c>
      <c r="CZ4370">
        <v>0</v>
      </c>
      <c r="DA4370">
        <v>1</v>
      </c>
      <c r="DB4370">
        <v>0</v>
      </c>
      <c r="DC4370">
        <v>0</v>
      </c>
      <c r="DD4370">
        <v>1</v>
      </c>
      <c r="DE4370">
        <v>0</v>
      </c>
      <c r="DF4370">
        <v>0</v>
      </c>
      <c r="DG4370">
        <v>0</v>
      </c>
      <c r="DH4370">
        <v>0</v>
      </c>
      <c r="DI4370">
        <v>0</v>
      </c>
    </row>
    <row r="4371" spans="1:113" x14ac:dyDescent="0.3">
      <c r="A4371" t="str">
        <f t="shared" si="2008"/>
        <v>05/12/2020 14:48:56.457</v>
      </c>
      <c r="C4371" t="str">
        <f t="shared" si="1991"/>
        <v>FFDFD3C0</v>
      </c>
      <c r="D4371" t="s">
        <v>134</v>
      </c>
      <c r="E4371">
        <v>12</v>
      </c>
      <c r="H4371">
        <v>64</v>
      </c>
      <c r="I4371" t="s">
        <v>135</v>
      </c>
      <c r="J4371" t="s">
        <v>136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 t="shared" si="2009"/>
        <v>14:49:14.297</v>
      </c>
      <c r="T4371" t="str">
        <f>"14:49:13.597"</f>
        <v>14:49:13.597</v>
      </c>
      <c r="U4371" t="str">
        <f t="shared" si="2007"/>
        <v>A9808D</v>
      </c>
      <c r="V4371">
        <v>0</v>
      </c>
      <c r="W4371">
        <v>0</v>
      </c>
      <c r="X4371">
        <v>1</v>
      </c>
      <c r="Z4371">
        <v>0</v>
      </c>
      <c r="AA4371">
        <v>9</v>
      </c>
      <c r="AB4371">
        <v>3</v>
      </c>
      <c r="AC4371">
        <v>0</v>
      </c>
      <c r="AD4371">
        <v>10</v>
      </c>
      <c r="AE4371">
        <v>0</v>
      </c>
      <c r="AF4371">
        <v>3</v>
      </c>
      <c r="AG4371">
        <v>2</v>
      </c>
      <c r="AH4371">
        <v>0</v>
      </c>
      <c r="AI4371" t="s">
        <v>990</v>
      </c>
      <c r="AJ4371">
        <v>28.250741999999999</v>
      </c>
      <c r="AK4371" t="s">
        <v>646</v>
      </c>
      <c r="AL4371">
        <v>-82.318517999999997</v>
      </c>
      <c r="AM4371">
        <v>100</v>
      </c>
      <c r="AN4371">
        <v>2200</v>
      </c>
      <c r="AO4371" t="s">
        <v>118</v>
      </c>
      <c r="AP4371">
        <v>-127</v>
      </c>
      <c r="AQ4371">
        <v>-72</v>
      </c>
      <c r="AR4371">
        <v>-576</v>
      </c>
      <c r="AZ4371">
        <v>1200</v>
      </c>
      <c r="BA4371">
        <v>1</v>
      </c>
      <c r="BB4371" t="str">
        <f t="shared" si="1994"/>
        <v xml:space="preserve">N711JA  </v>
      </c>
      <c r="BC4371">
        <v>1</v>
      </c>
      <c r="BE4371">
        <v>0</v>
      </c>
      <c r="BF4371">
        <v>0</v>
      </c>
      <c r="BG4371">
        <v>0</v>
      </c>
      <c r="BH4371">
        <v>2250</v>
      </c>
      <c r="BI4371">
        <v>1</v>
      </c>
      <c r="BJ4371">
        <v>1</v>
      </c>
      <c r="BK4371">
        <v>0</v>
      </c>
      <c r="BL4371">
        <v>0</v>
      </c>
      <c r="BO4371">
        <v>0</v>
      </c>
      <c r="BP4371">
        <v>0</v>
      </c>
      <c r="BW4371" t="str">
        <f t="shared" si="2010"/>
        <v>14:49:14.301</v>
      </c>
      <c r="CJ4371">
        <v>0</v>
      </c>
      <c r="CK4371">
        <v>2</v>
      </c>
      <c r="CL4371">
        <v>0</v>
      </c>
      <c r="CM4371">
        <v>2</v>
      </c>
      <c r="CN4371">
        <v>0</v>
      </c>
      <c r="CO4371">
        <v>6</v>
      </c>
      <c r="CP4371" t="s">
        <v>119</v>
      </c>
      <c r="CQ4371">
        <v>358</v>
      </c>
      <c r="CR4371">
        <v>0</v>
      </c>
      <c r="CW4371">
        <v>5117788</v>
      </c>
      <c r="CY4371">
        <v>1</v>
      </c>
      <c r="CZ4371">
        <v>0</v>
      </c>
      <c r="DA4371">
        <v>1</v>
      </c>
      <c r="DB4371">
        <v>0</v>
      </c>
      <c r="DC4371">
        <v>0</v>
      </c>
      <c r="DD4371">
        <v>1</v>
      </c>
      <c r="DE4371">
        <v>0</v>
      </c>
      <c r="DF4371">
        <v>0</v>
      </c>
      <c r="DG4371">
        <v>0</v>
      </c>
      <c r="DH4371">
        <v>0</v>
      </c>
      <c r="DI4371">
        <v>0</v>
      </c>
    </row>
    <row r="4372" spans="1:113" x14ac:dyDescent="0.3">
      <c r="A4372" t="str">
        <f t="shared" ref="A4372:A4380" si="2011">"05/12/2020 14:48:57.612"</f>
        <v>05/12/2020 14:48:57.612</v>
      </c>
      <c r="C4372" t="str">
        <f t="shared" si="1991"/>
        <v>FFDFD3C0</v>
      </c>
      <c r="D4372" t="s">
        <v>134</v>
      </c>
      <c r="E4372">
        <v>12</v>
      </c>
      <c r="H4372">
        <v>64</v>
      </c>
      <c r="I4372" t="s">
        <v>135</v>
      </c>
      <c r="J4372" t="s">
        <v>136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 t="shared" ref="S4372:S4380" si="2012">"14:49:15.406"</f>
        <v>14:49:15.406</v>
      </c>
      <c r="T4372" t="str">
        <f>"14:49:15.206"</f>
        <v>14:49:15.206</v>
      </c>
      <c r="U4372" t="str">
        <f t="shared" si="2007"/>
        <v>A9808D</v>
      </c>
      <c r="V4372">
        <v>0</v>
      </c>
      <c r="W4372">
        <v>0</v>
      </c>
      <c r="X4372">
        <v>1</v>
      </c>
      <c r="Z4372">
        <v>0</v>
      </c>
      <c r="AA4372">
        <v>9</v>
      </c>
      <c r="AB4372">
        <v>3</v>
      </c>
      <c r="AC4372">
        <v>0</v>
      </c>
      <c r="AD4372">
        <v>10</v>
      </c>
      <c r="AE4372">
        <v>0</v>
      </c>
      <c r="AF4372">
        <v>3</v>
      </c>
      <c r="AG4372">
        <v>2</v>
      </c>
      <c r="AH4372">
        <v>0</v>
      </c>
      <c r="AI4372" t="s">
        <v>991</v>
      </c>
      <c r="AJ4372">
        <v>28.250419999999998</v>
      </c>
      <c r="AK4372" t="s">
        <v>992</v>
      </c>
      <c r="AL4372">
        <v>-82.319291000000007</v>
      </c>
      <c r="AM4372">
        <v>100</v>
      </c>
      <c r="AN4372">
        <v>2200</v>
      </c>
      <c r="AO4372" t="s">
        <v>118</v>
      </c>
      <c r="AP4372">
        <v>-130</v>
      </c>
      <c r="AQ4372">
        <v>-68</v>
      </c>
      <c r="AR4372">
        <v>-512</v>
      </c>
      <c r="AZ4372">
        <v>1200</v>
      </c>
      <c r="BA4372">
        <v>1</v>
      </c>
      <c r="BB4372" t="str">
        <f t="shared" si="1994"/>
        <v xml:space="preserve">N711JA  </v>
      </c>
      <c r="BC4372">
        <v>1</v>
      </c>
      <c r="BE4372">
        <v>0</v>
      </c>
      <c r="BF4372">
        <v>0</v>
      </c>
      <c r="BG4372">
        <v>0</v>
      </c>
      <c r="BH4372">
        <v>2225</v>
      </c>
      <c r="BI4372">
        <v>1</v>
      </c>
      <c r="BJ4372">
        <v>1</v>
      </c>
      <c r="BK4372">
        <v>0</v>
      </c>
      <c r="BL4372">
        <v>0</v>
      </c>
      <c r="BO4372">
        <v>0</v>
      </c>
      <c r="BP4372">
        <v>0</v>
      </c>
      <c r="BW4372" t="str">
        <f t="shared" ref="BW4372:BW4380" si="2013">"14:49:15.409"</f>
        <v>14:49:15.409</v>
      </c>
      <c r="CJ4372">
        <v>0</v>
      </c>
      <c r="CK4372">
        <v>2</v>
      </c>
      <c r="CL4372">
        <v>0</v>
      </c>
      <c r="CM4372">
        <v>2</v>
      </c>
      <c r="CN4372">
        <v>0</v>
      </c>
      <c r="CO4372">
        <v>6</v>
      </c>
      <c r="CP4372" t="s">
        <v>119</v>
      </c>
      <c r="CQ4372">
        <v>358</v>
      </c>
      <c r="CR4372">
        <v>0</v>
      </c>
      <c r="CW4372">
        <v>5119011</v>
      </c>
      <c r="CY4372">
        <v>1</v>
      </c>
      <c r="CZ4372">
        <v>0</v>
      </c>
      <c r="DA4372">
        <v>0</v>
      </c>
      <c r="DB4372">
        <v>0</v>
      </c>
      <c r="DC4372">
        <v>0</v>
      </c>
      <c r="DD4372">
        <v>1</v>
      </c>
      <c r="DE4372">
        <v>0</v>
      </c>
      <c r="DF4372">
        <v>0</v>
      </c>
      <c r="DG4372">
        <v>0</v>
      </c>
      <c r="DH4372">
        <v>0</v>
      </c>
      <c r="DI4372">
        <v>0</v>
      </c>
    </row>
    <row r="4373" spans="1:113" x14ac:dyDescent="0.3">
      <c r="A4373" t="str">
        <f t="shared" si="2011"/>
        <v>05/12/2020 14:48:57.612</v>
      </c>
      <c r="C4373" t="str">
        <f t="shared" si="1991"/>
        <v>FFDFD3C0</v>
      </c>
      <c r="D4373" t="s">
        <v>126</v>
      </c>
      <c r="E4373">
        <v>7</v>
      </c>
      <c r="F4373">
        <v>1007</v>
      </c>
      <c r="G4373" t="s">
        <v>127</v>
      </c>
      <c r="J4373" t="s">
        <v>128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 t="shared" si="2012"/>
        <v>14:49:15.406</v>
      </c>
      <c r="T4373" t="str">
        <f>"14:49:15.206"</f>
        <v>14:49:15.206</v>
      </c>
      <c r="U4373" t="str">
        <f t="shared" si="2007"/>
        <v>A9808D</v>
      </c>
      <c r="V4373">
        <v>0</v>
      </c>
      <c r="W4373">
        <v>0</v>
      </c>
      <c r="X4373">
        <v>1</v>
      </c>
      <c r="Z4373">
        <v>0</v>
      </c>
      <c r="AA4373">
        <v>9</v>
      </c>
      <c r="AB4373">
        <v>3</v>
      </c>
      <c r="AC4373">
        <v>0</v>
      </c>
      <c r="AD4373">
        <v>10</v>
      </c>
      <c r="AE4373">
        <v>0</v>
      </c>
      <c r="AF4373">
        <v>3</v>
      </c>
      <c r="AG4373">
        <v>2</v>
      </c>
      <c r="AH4373">
        <v>0</v>
      </c>
      <c r="AI4373" t="s">
        <v>991</v>
      </c>
      <c r="AJ4373">
        <v>28.250419999999998</v>
      </c>
      <c r="AK4373" t="s">
        <v>992</v>
      </c>
      <c r="AL4373">
        <v>-82.319291000000007</v>
      </c>
      <c r="AM4373">
        <v>100</v>
      </c>
      <c r="AN4373">
        <v>2200</v>
      </c>
      <c r="AO4373" t="s">
        <v>118</v>
      </c>
      <c r="AP4373">
        <v>-130</v>
      </c>
      <c r="AQ4373">
        <v>-68</v>
      </c>
      <c r="AR4373">
        <v>-512</v>
      </c>
      <c r="AZ4373">
        <v>1200</v>
      </c>
      <c r="BA4373">
        <v>1</v>
      </c>
      <c r="BB4373" t="str">
        <f t="shared" si="1994"/>
        <v xml:space="preserve">N711JA  </v>
      </c>
      <c r="BC4373">
        <v>1</v>
      </c>
      <c r="BE4373">
        <v>0</v>
      </c>
      <c r="BF4373">
        <v>0</v>
      </c>
      <c r="BG4373">
        <v>0</v>
      </c>
      <c r="BH4373">
        <v>2225</v>
      </c>
      <c r="BI4373">
        <v>1</v>
      </c>
      <c r="BJ4373">
        <v>1</v>
      </c>
      <c r="BK4373">
        <v>0</v>
      </c>
      <c r="BL4373">
        <v>0</v>
      </c>
      <c r="BO4373">
        <v>0</v>
      </c>
      <c r="BP4373">
        <v>0</v>
      </c>
      <c r="BW4373" t="str">
        <f t="shared" si="2013"/>
        <v>14:49:15.409</v>
      </c>
      <c r="CJ4373">
        <v>0</v>
      </c>
      <c r="CK4373">
        <v>2</v>
      </c>
      <c r="CL4373">
        <v>0</v>
      </c>
      <c r="CM4373">
        <v>2</v>
      </c>
      <c r="CN4373">
        <v>0</v>
      </c>
      <c r="CO4373">
        <v>6</v>
      </c>
      <c r="CP4373" t="s">
        <v>119</v>
      </c>
      <c r="CQ4373">
        <v>358</v>
      </c>
      <c r="CR4373">
        <v>0</v>
      </c>
      <c r="CW4373">
        <v>5119011</v>
      </c>
      <c r="CY4373">
        <v>1</v>
      </c>
      <c r="CZ4373">
        <v>0</v>
      </c>
      <c r="DA4373">
        <v>1</v>
      </c>
      <c r="DB4373">
        <v>0</v>
      </c>
      <c r="DC4373">
        <v>0</v>
      </c>
      <c r="DD4373">
        <v>1</v>
      </c>
      <c r="DE4373">
        <v>0</v>
      </c>
      <c r="DF4373">
        <v>0</v>
      </c>
      <c r="DG4373">
        <v>0</v>
      </c>
      <c r="DH4373">
        <v>0</v>
      </c>
      <c r="DI4373">
        <v>0</v>
      </c>
    </row>
    <row r="4374" spans="1:113" x14ac:dyDescent="0.3">
      <c r="A4374" t="str">
        <f t="shared" si="2011"/>
        <v>05/12/2020 14:48:57.612</v>
      </c>
      <c r="C4374" t="str">
        <f t="shared" ref="C4374:C4437" si="2014">"FFDFD3C0"</f>
        <v>FFDFD3C0</v>
      </c>
      <c r="D4374" t="s">
        <v>131</v>
      </c>
      <c r="E4374">
        <v>10</v>
      </c>
      <c r="F4374">
        <v>2010</v>
      </c>
      <c r="G4374" t="s">
        <v>132</v>
      </c>
      <c r="J4374" t="s">
        <v>133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 t="shared" si="2012"/>
        <v>14:49:15.406</v>
      </c>
      <c r="T4374" t="str">
        <f>"14:49:15.206"</f>
        <v>14:49:15.206</v>
      </c>
      <c r="U4374" t="str">
        <f t="shared" si="2007"/>
        <v>A9808D</v>
      </c>
      <c r="V4374">
        <v>0</v>
      </c>
      <c r="W4374">
        <v>0</v>
      </c>
      <c r="X4374">
        <v>1</v>
      </c>
      <c r="Z4374">
        <v>0</v>
      </c>
      <c r="AA4374">
        <v>9</v>
      </c>
      <c r="AB4374">
        <v>3</v>
      </c>
      <c r="AC4374">
        <v>0</v>
      </c>
      <c r="AD4374">
        <v>10</v>
      </c>
      <c r="AE4374">
        <v>0</v>
      </c>
      <c r="AF4374">
        <v>3</v>
      </c>
      <c r="AG4374">
        <v>2</v>
      </c>
      <c r="AH4374">
        <v>0</v>
      </c>
      <c r="AI4374" t="s">
        <v>991</v>
      </c>
      <c r="AJ4374">
        <v>28.250419999999998</v>
      </c>
      <c r="AK4374" t="s">
        <v>992</v>
      </c>
      <c r="AL4374">
        <v>-82.319291000000007</v>
      </c>
      <c r="AM4374">
        <v>100</v>
      </c>
      <c r="AN4374">
        <v>2200</v>
      </c>
      <c r="AO4374" t="s">
        <v>118</v>
      </c>
      <c r="AP4374">
        <v>-130</v>
      </c>
      <c r="AQ4374">
        <v>-68</v>
      </c>
      <c r="AR4374">
        <v>-512</v>
      </c>
      <c r="AZ4374">
        <v>1200</v>
      </c>
      <c r="BA4374">
        <v>1</v>
      </c>
      <c r="BB4374" t="str">
        <f t="shared" ref="BB4374:BB4437" si="2015">"N711JA  "</f>
        <v xml:space="preserve">N711JA  </v>
      </c>
      <c r="BC4374">
        <v>1</v>
      </c>
      <c r="BE4374">
        <v>0</v>
      </c>
      <c r="BF4374">
        <v>0</v>
      </c>
      <c r="BG4374">
        <v>0</v>
      </c>
      <c r="BH4374">
        <v>2225</v>
      </c>
      <c r="BI4374">
        <v>1</v>
      </c>
      <c r="BJ4374">
        <v>1</v>
      </c>
      <c r="BK4374">
        <v>0</v>
      </c>
      <c r="BL4374">
        <v>0</v>
      </c>
      <c r="BO4374">
        <v>0</v>
      </c>
      <c r="BP4374">
        <v>0</v>
      </c>
      <c r="BW4374" t="str">
        <f t="shared" si="2013"/>
        <v>14:49:15.409</v>
      </c>
      <c r="CJ4374">
        <v>0</v>
      </c>
      <c r="CK4374">
        <v>2</v>
      </c>
      <c r="CL4374">
        <v>0</v>
      </c>
      <c r="CM4374">
        <v>2</v>
      </c>
      <c r="CN4374">
        <v>0</v>
      </c>
      <c r="CO4374">
        <v>6</v>
      </c>
      <c r="CP4374" t="s">
        <v>119</v>
      </c>
      <c r="CQ4374">
        <v>358</v>
      </c>
      <c r="CR4374">
        <v>0</v>
      </c>
      <c r="CW4374">
        <v>5119011</v>
      </c>
      <c r="CY4374">
        <v>1</v>
      </c>
      <c r="CZ4374">
        <v>0</v>
      </c>
      <c r="DA4374">
        <v>1</v>
      </c>
      <c r="DB4374">
        <v>0</v>
      </c>
      <c r="DC4374">
        <v>0</v>
      </c>
      <c r="DD4374">
        <v>1</v>
      </c>
      <c r="DE4374">
        <v>0</v>
      </c>
      <c r="DF4374">
        <v>0</v>
      </c>
      <c r="DG4374">
        <v>0</v>
      </c>
      <c r="DH4374">
        <v>0</v>
      </c>
      <c r="DI4374">
        <v>0</v>
      </c>
    </row>
    <row r="4375" spans="1:113" x14ac:dyDescent="0.3">
      <c r="A4375" t="str">
        <f t="shared" si="2011"/>
        <v>05/12/2020 14:48:57.612</v>
      </c>
      <c r="C4375" t="str">
        <f t="shared" si="2014"/>
        <v>FFDFD3C0</v>
      </c>
      <c r="D4375" t="s">
        <v>131</v>
      </c>
      <c r="E4375">
        <v>12</v>
      </c>
      <c r="F4375">
        <v>2012</v>
      </c>
      <c r="G4375" t="s">
        <v>137</v>
      </c>
      <c r="J4375" t="s">
        <v>133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 t="shared" si="2012"/>
        <v>14:49:15.406</v>
      </c>
      <c r="T4375" t="str">
        <f>"14:49:14.706"</f>
        <v>14:49:14.706</v>
      </c>
      <c r="U4375" t="str">
        <f t="shared" si="2007"/>
        <v>A9808D</v>
      </c>
      <c r="V4375">
        <v>0</v>
      </c>
      <c r="W4375">
        <v>0</v>
      </c>
      <c r="X4375">
        <v>1</v>
      </c>
      <c r="Z4375">
        <v>0</v>
      </c>
      <c r="AA4375">
        <v>9</v>
      </c>
      <c r="AB4375">
        <v>3</v>
      </c>
      <c r="AC4375">
        <v>0</v>
      </c>
      <c r="AD4375">
        <v>10</v>
      </c>
      <c r="AE4375">
        <v>0</v>
      </c>
      <c r="AF4375">
        <v>3</v>
      </c>
      <c r="AG4375">
        <v>2</v>
      </c>
      <c r="AH4375">
        <v>0</v>
      </c>
      <c r="AI4375" t="s">
        <v>991</v>
      </c>
      <c r="AJ4375">
        <v>28.250419999999998</v>
      </c>
      <c r="AK4375" t="s">
        <v>992</v>
      </c>
      <c r="AL4375">
        <v>-82.319291000000007</v>
      </c>
      <c r="AM4375">
        <v>100</v>
      </c>
      <c r="AN4375">
        <v>2200</v>
      </c>
      <c r="AO4375" t="s">
        <v>118</v>
      </c>
      <c r="AP4375">
        <v>-129</v>
      </c>
      <c r="AQ4375">
        <v>-69</v>
      </c>
      <c r="AR4375">
        <v>-512</v>
      </c>
      <c r="AZ4375">
        <v>1200</v>
      </c>
      <c r="BA4375">
        <v>1</v>
      </c>
      <c r="BB4375" t="str">
        <f t="shared" si="2015"/>
        <v xml:space="preserve">N711JA  </v>
      </c>
      <c r="BC4375">
        <v>1</v>
      </c>
      <c r="BE4375">
        <v>0</v>
      </c>
      <c r="BF4375">
        <v>0</v>
      </c>
      <c r="BG4375">
        <v>0</v>
      </c>
      <c r="BH4375">
        <v>2225</v>
      </c>
      <c r="BI4375">
        <v>1</v>
      </c>
      <c r="BJ4375">
        <v>1</v>
      </c>
      <c r="BK4375">
        <v>0</v>
      </c>
      <c r="BL4375">
        <v>0</v>
      </c>
      <c r="BO4375">
        <v>0</v>
      </c>
      <c r="BP4375">
        <v>0</v>
      </c>
      <c r="BW4375" t="str">
        <f t="shared" si="2013"/>
        <v>14:49:15.409</v>
      </c>
      <c r="CJ4375">
        <v>0</v>
      </c>
      <c r="CK4375">
        <v>2</v>
      </c>
      <c r="CL4375">
        <v>0</v>
      </c>
      <c r="CM4375">
        <v>2</v>
      </c>
      <c r="CN4375">
        <v>0</v>
      </c>
      <c r="CO4375">
        <v>1</v>
      </c>
      <c r="CP4375" t="s">
        <v>675</v>
      </c>
      <c r="CQ4375">
        <v>363</v>
      </c>
      <c r="CR4375">
        <v>0</v>
      </c>
      <c r="CW4375">
        <v>6662523</v>
      </c>
      <c r="CY4375">
        <v>1</v>
      </c>
      <c r="CZ4375">
        <v>0</v>
      </c>
      <c r="DA4375">
        <v>1</v>
      </c>
      <c r="DB4375">
        <v>0</v>
      </c>
      <c r="DC4375">
        <v>0</v>
      </c>
      <c r="DD4375">
        <v>1</v>
      </c>
      <c r="DE4375">
        <v>0</v>
      </c>
      <c r="DF4375">
        <v>0</v>
      </c>
      <c r="DG4375">
        <v>0</v>
      </c>
      <c r="DH4375">
        <v>0</v>
      </c>
      <c r="DI4375">
        <v>0</v>
      </c>
    </row>
    <row r="4376" spans="1:113" x14ac:dyDescent="0.3">
      <c r="A4376" t="str">
        <f t="shared" si="2011"/>
        <v>05/12/2020 14:48:57.612</v>
      </c>
      <c r="C4376" t="str">
        <f t="shared" si="2014"/>
        <v>FFDFD3C0</v>
      </c>
      <c r="D4376" t="s">
        <v>131</v>
      </c>
      <c r="E4376">
        <v>18</v>
      </c>
      <c r="F4376">
        <v>2018</v>
      </c>
      <c r="G4376" t="s">
        <v>161</v>
      </c>
      <c r="J4376" t="s">
        <v>133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 t="shared" si="2012"/>
        <v>14:49:15.406</v>
      </c>
      <c r="T4376" t="str">
        <f>"14:49:14.706"</f>
        <v>14:49:14.706</v>
      </c>
      <c r="U4376" t="str">
        <f t="shared" si="2007"/>
        <v>A9808D</v>
      </c>
      <c r="V4376">
        <v>0</v>
      </c>
      <c r="W4376">
        <v>0</v>
      </c>
      <c r="X4376">
        <v>1</v>
      </c>
      <c r="Z4376">
        <v>0</v>
      </c>
      <c r="AA4376">
        <v>9</v>
      </c>
      <c r="AB4376">
        <v>3</v>
      </c>
      <c r="AC4376">
        <v>0</v>
      </c>
      <c r="AD4376">
        <v>10</v>
      </c>
      <c r="AE4376">
        <v>0</v>
      </c>
      <c r="AF4376">
        <v>3</v>
      </c>
      <c r="AG4376">
        <v>2</v>
      </c>
      <c r="AH4376">
        <v>0</v>
      </c>
      <c r="AI4376" t="s">
        <v>991</v>
      </c>
      <c r="AJ4376">
        <v>28.250419999999998</v>
      </c>
      <c r="AK4376" t="s">
        <v>992</v>
      </c>
      <c r="AL4376">
        <v>-82.319291000000007</v>
      </c>
      <c r="AM4376">
        <v>100</v>
      </c>
      <c r="AN4376">
        <v>2200</v>
      </c>
      <c r="AO4376" t="s">
        <v>118</v>
      </c>
      <c r="AP4376">
        <v>-129</v>
      </c>
      <c r="AQ4376">
        <v>-69</v>
      </c>
      <c r="AR4376">
        <v>-512</v>
      </c>
      <c r="AZ4376">
        <v>1200</v>
      </c>
      <c r="BA4376">
        <v>1</v>
      </c>
      <c r="BB4376" t="str">
        <f t="shared" si="2015"/>
        <v xml:space="preserve">N711JA  </v>
      </c>
      <c r="BC4376">
        <v>1</v>
      </c>
      <c r="BE4376">
        <v>0</v>
      </c>
      <c r="BF4376">
        <v>0</v>
      </c>
      <c r="BG4376">
        <v>0</v>
      </c>
      <c r="BH4376">
        <v>2225</v>
      </c>
      <c r="BI4376">
        <v>1</v>
      </c>
      <c r="BJ4376">
        <v>1</v>
      </c>
      <c r="BK4376">
        <v>0</v>
      </c>
      <c r="BL4376">
        <v>0</v>
      </c>
      <c r="BO4376">
        <v>0</v>
      </c>
      <c r="BP4376">
        <v>0</v>
      </c>
      <c r="BW4376" t="str">
        <f t="shared" si="2013"/>
        <v>14:49:15.409</v>
      </c>
      <c r="CJ4376">
        <v>0</v>
      </c>
      <c r="CK4376">
        <v>2</v>
      </c>
      <c r="CL4376">
        <v>0</v>
      </c>
      <c r="CM4376">
        <v>2</v>
      </c>
      <c r="CN4376">
        <v>0</v>
      </c>
      <c r="CO4376">
        <v>2</v>
      </c>
      <c r="CP4376" t="s">
        <v>119</v>
      </c>
      <c r="CQ4376">
        <v>62</v>
      </c>
      <c r="CR4376">
        <v>1</v>
      </c>
      <c r="CW4376">
        <v>13041721</v>
      </c>
      <c r="CY4376">
        <v>1</v>
      </c>
      <c r="CZ4376">
        <v>0</v>
      </c>
      <c r="DA4376">
        <v>1</v>
      </c>
      <c r="DB4376">
        <v>0</v>
      </c>
      <c r="DC4376">
        <v>0</v>
      </c>
      <c r="DD4376">
        <v>1</v>
      </c>
      <c r="DE4376">
        <v>0</v>
      </c>
      <c r="DF4376">
        <v>0</v>
      </c>
      <c r="DG4376">
        <v>0</v>
      </c>
      <c r="DH4376">
        <v>0</v>
      </c>
      <c r="DI4376">
        <v>0</v>
      </c>
    </row>
    <row r="4377" spans="1:113" x14ac:dyDescent="0.3">
      <c r="A4377" t="str">
        <f t="shared" si="2011"/>
        <v>05/12/2020 14:48:57.612</v>
      </c>
      <c r="C4377" t="str">
        <f t="shared" si="2014"/>
        <v>FFDFD3C0</v>
      </c>
      <c r="D4377" t="s">
        <v>113</v>
      </c>
      <c r="E4377">
        <v>3</v>
      </c>
      <c r="H4377">
        <v>164</v>
      </c>
      <c r="I4377" t="s">
        <v>114</v>
      </c>
      <c r="J4377" t="s">
        <v>115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 t="shared" si="2012"/>
        <v>14:49:15.406</v>
      </c>
      <c r="T4377" t="str">
        <f>"14:49:14.706"</f>
        <v>14:49:14.706</v>
      </c>
      <c r="U4377" t="str">
        <f t="shared" si="2007"/>
        <v>A9808D</v>
      </c>
      <c r="V4377">
        <v>0</v>
      </c>
      <c r="W4377">
        <v>0</v>
      </c>
      <c r="X4377">
        <v>1</v>
      </c>
      <c r="Z4377">
        <v>0</v>
      </c>
      <c r="AA4377">
        <v>9</v>
      </c>
      <c r="AB4377">
        <v>3</v>
      </c>
      <c r="AC4377">
        <v>0</v>
      </c>
      <c r="AD4377">
        <v>10</v>
      </c>
      <c r="AE4377">
        <v>0</v>
      </c>
      <c r="AF4377">
        <v>3</v>
      </c>
      <c r="AG4377">
        <v>2</v>
      </c>
      <c r="AH4377">
        <v>0</v>
      </c>
      <c r="AI4377" t="s">
        <v>991</v>
      </c>
      <c r="AJ4377">
        <v>28.250419999999998</v>
      </c>
      <c r="AK4377" t="s">
        <v>992</v>
      </c>
      <c r="AL4377">
        <v>-82.319291000000007</v>
      </c>
      <c r="AM4377">
        <v>100</v>
      </c>
      <c r="AN4377">
        <v>2200</v>
      </c>
      <c r="AO4377" t="s">
        <v>118</v>
      </c>
      <c r="AP4377">
        <v>-129</v>
      </c>
      <c r="AQ4377">
        <v>-69</v>
      </c>
      <c r="AR4377">
        <v>-512</v>
      </c>
      <c r="AZ4377">
        <v>1200</v>
      </c>
      <c r="BA4377">
        <v>1</v>
      </c>
      <c r="BB4377" t="str">
        <f t="shared" si="2015"/>
        <v xml:space="preserve">N711JA  </v>
      </c>
      <c r="BC4377">
        <v>1</v>
      </c>
      <c r="BE4377">
        <v>0</v>
      </c>
      <c r="BF4377">
        <v>0</v>
      </c>
      <c r="BG4377">
        <v>0</v>
      </c>
      <c r="BH4377">
        <v>2225</v>
      </c>
      <c r="BI4377">
        <v>1</v>
      </c>
      <c r="BJ4377">
        <v>1</v>
      </c>
      <c r="BK4377">
        <v>0</v>
      </c>
      <c r="BL4377">
        <v>0</v>
      </c>
      <c r="BO4377">
        <v>0</v>
      </c>
      <c r="BP4377">
        <v>0</v>
      </c>
      <c r="BW4377" t="str">
        <f t="shared" si="2013"/>
        <v>14:49:15.409</v>
      </c>
      <c r="CJ4377">
        <v>0</v>
      </c>
      <c r="CK4377">
        <v>2</v>
      </c>
      <c r="CL4377">
        <v>0</v>
      </c>
      <c r="CM4377">
        <v>2</v>
      </c>
      <c r="CN4377">
        <v>0</v>
      </c>
      <c r="CO4377">
        <v>2</v>
      </c>
      <c r="CP4377" t="s">
        <v>119</v>
      </c>
      <c r="CQ4377">
        <v>62</v>
      </c>
      <c r="CR4377">
        <v>1</v>
      </c>
      <c r="CW4377">
        <v>13041721</v>
      </c>
      <c r="CY4377">
        <v>1</v>
      </c>
      <c r="CZ4377">
        <v>0</v>
      </c>
      <c r="DA4377">
        <v>1</v>
      </c>
      <c r="DB4377">
        <v>0</v>
      </c>
      <c r="DC4377">
        <v>0</v>
      </c>
      <c r="DD4377">
        <v>1</v>
      </c>
      <c r="DE4377">
        <v>0</v>
      </c>
      <c r="DF4377">
        <v>0</v>
      </c>
      <c r="DG4377">
        <v>0</v>
      </c>
      <c r="DH4377">
        <v>0</v>
      </c>
      <c r="DI4377">
        <v>0</v>
      </c>
    </row>
    <row r="4378" spans="1:113" x14ac:dyDescent="0.3">
      <c r="A4378" t="str">
        <f t="shared" si="2011"/>
        <v>05/12/2020 14:48:57.612</v>
      </c>
      <c r="C4378" t="str">
        <f t="shared" si="2014"/>
        <v>FFDFD3C0</v>
      </c>
      <c r="D4378" t="s">
        <v>138</v>
      </c>
      <c r="E4378">
        <v>2</v>
      </c>
      <c r="H4378">
        <v>8</v>
      </c>
      <c r="I4378" t="s">
        <v>139</v>
      </c>
      <c r="J4378" t="s">
        <v>136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 t="shared" si="2012"/>
        <v>14:49:15.406</v>
      </c>
      <c r="T4378" t="str">
        <f>"14:49:14.706"</f>
        <v>14:49:14.706</v>
      </c>
      <c r="U4378" t="str">
        <f t="shared" si="2007"/>
        <v>A9808D</v>
      </c>
      <c r="V4378">
        <v>0</v>
      </c>
      <c r="W4378">
        <v>0</v>
      </c>
      <c r="X4378">
        <v>1</v>
      </c>
      <c r="Z4378">
        <v>0</v>
      </c>
      <c r="AA4378">
        <v>9</v>
      </c>
      <c r="AB4378">
        <v>3</v>
      </c>
      <c r="AC4378">
        <v>0</v>
      </c>
      <c r="AD4378">
        <v>10</v>
      </c>
      <c r="AE4378">
        <v>0</v>
      </c>
      <c r="AF4378">
        <v>3</v>
      </c>
      <c r="AG4378">
        <v>2</v>
      </c>
      <c r="AH4378">
        <v>0</v>
      </c>
      <c r="AI4378" t="s">
        <v>991</v>
      </c>
      <c r="AJ4378">
        <v>28.250419999999998</v>
      </c>
      <c r="AK4378" t="s">
        <v>992</v>
      </c>
      <c r="AL4378">
        <v>-82.319291000000007</v>
      </c>
      <c r="AM4378">
        <v>100</v>
      </c>
      <c r="AN4378">
        <v>2200</v>
      </c>
      <c r="AO4378" t="s">
        <v>118</v>
      </c>
      <c r="AP4378">
        <v>-129</v>
      </c>
      <c r="AQ4378">
        <v>-69</v>
      </c>
      <c r="AR4378">
        <v>-512</v>
      </c>
      <c r="AZ4378">
        <v>1200</v>
      </c>
      <c r="BA4378">
        <v>1</v>
      </c>
      <c r="BB4378" t="str">
        <f t="shared" si="2015"/>
        <v xml:space="preserve">N711JA  </v>
      </c>
      <c r="BC4378">
        <v>1</v>
      </c>
      <c r="BE4378">
        <v>0</v>
      </c>
      <c r="BF4378">
        <v>0</v>
      </c>
      <c r="BG4378">
        <v>0</v>
      </c>
      <c r="BH4378">
        <v>2225</v>
      </c>
      <c r="BI4378">
        <v>1</v>
      </c>
      <c r="BJ4378">
        <v>1</v>
      </c>
      <c r="BK4378">
        <v>0</v>
      </c>
      <c r="BL4378">
        <v>0</v>
      </c>
      <c r="BO4378">
        <v>0</v>
      </c>
      <c r="BP4378">
        <v>0</v>
      </c>
      <c r="BW4378" t="str">
        <f t="shared" si="2013"/>
        <v>14:49:15.409</v>
      </c>
      <c r="CJ4378">
        <v>0</v>
      </c>
      <c r="CK4378">
        <v>2</v>
      </c>
      <c r="CL4378">
        <v>0</v>
      </c>
      <c r="CM4378">
        <v>2</v>
      </c>
      <c r="CN4378">
        <v>0</v>
      </c>
      <c r="CO4378">
        <v>1</v>
      </c>
      <c r="CP4378" t="s">
        <v>675</v>
      </c>
      <c r="CQ4378">
        <v>363</v>
      </c>
      <c r="CR4378">
        <v>0</v>
      </c>
      <c r="CW4378">
        <v>6662523</v>
      </c>
      <c r="CY4378">
        <v>1</v>
      </c>
      <c r="CZ4378">
        <v>0</v>
      </c>
      <c r="DA4378">
        <v>1</v>
      </c>
      <c r="DB4378">
        <v>0</v>
      </c>
      <c r="DC4378">
        <v>0</v>
      </c>
      <c r="DD4378">
        <v>1</v>
      </c>
      <c r="DE4378">
        <v>0</v>
      </c>
      <c r="DF4378">
        <v>0</v>
      </c>
      <c r="DG4378">
        <v>0</v>
      </c>
      <c r="DH4378">
        <v>0</v>
      </c>
      <c r="DI4378">
        <v>0</v>
      </c>
    </row>
    <row r="4379" spans="1:113" x14ac:dyDescent="0.3">
      <c r="A4379" t="str">
        <f t="shared" si="2011"/>
        <v>05/12/2020 14:48:57.612</v>
      </c>
      <c r="C4379" t="str">
        <f t="shared" si="2014"/>
        <v>FFDFD3C0</v>
      </c>
      <c r="D4379" t="s">
        <v>138</v>
      </c>
      <c r="E4379">
        <v>3</v>
      </c>
      <c r="H4379">
        <v>9</v>
      </c>
      <c r="I4379" t="s">
        <v>140</v>
      </c>
      <c r="J4379" t="s">
        <v>136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 t="shared" si="2012"/>
        <v>14:49:15.406</v>
      </c>
      <c r="T4379" t="str">
        <f>"14:49:15.206"</f>
        <v>14:49:15.206</v>
      </c>
      <c r="U4379" t="str">
        <f t="shared" si="2007"/>
        <v>A9808D</v>
      </c>
      <c r="V4379">
        <v>0</v>
      </c>
      <c r="W4379">
        <v>0</v>
      </c>
      <c r="X4379">
        <v>1</v>
      </c>
      <c r="Z4379">
        <v>0</v>
      </c>
      <c r="AA4379">
        <v>9</v>
      </c>
      <c r="AB4379">
        <v>3</v>
      </c>
      <c r="AC4379">
        <v>0</v>
      </c>
      <c r="AD4379">
        <v>10</v>
      </c>
      <c r="AE4379">
        <v>0</v>
      </c>
      <c r="AF4379">
        <v>3</v>
      </c>
      <c r="AG4379">
        <v>2</v>
      </c>
      <c r="AH4379">
        <v>0</v>
      </c>
      <c r="AI4379" t="s">
        <v>991</v>
      </c>
      <c r="AJ4379">
        <v>28.250419999999998</v>
      </c>
      <c r="AK4379" t="s">
        <v>992</v>
      </c>
      <c r="AL4379">
        <v>-82.319291000000007</v>
      </c>
      <c r="AM4379">
        <v>100</v>
      </c>
      <c r="AN4379">
        <v>2200</v>
      </c>
      <c r="AO4379" t="s">
        <v>118</v>
      </c>
      <c r="AP4379">
        <v>-130</v>
      </c>
      <c r="AQ4379">
        <v>-68</v>
      </c>
      <c r="AR4379">
        <v>-512</v>
      </c>
      <c r="AZ4379">
        <v>1200</v>
      </c>
      <c r="BA4379">
        <v>1</v>
      </c>
      <c r="BB4379" t="str">
        <f t="shared" si="2015"/>
        <v xml:space="preserve">N711JA  </v>
      </c>
      <c r="BC4379">
        <v>1</v>
      </c>
      <c r="BE4379">
        <v>0</v>
      </c>
      <c r="BF4379">
        <v>0</v>
      </c>
      <c r="BG4379">
        <v>0</v>
      </c>
      <c r="BH4379">
        <v>2225</v>
      </c>
      <c r="BI4379">
        <v>1</v>
      </c>
      <c r="BJ4379">
        <v>1</v>
      </c>
      <c r="BK4379">
        <v>0</v>
      </c>
      <c r="BL4379">
        <v>0</v>
      </c>
      <c r="BO4379">
        <v>0</v>
      </c>
      <c r="BP4379">
        <v>0</v>
      </c>
      <c r="BW4379" t="str">
        <f t="shared" si="2013"/>
        <v>14:49:15.409</v>
      </c>
      <c r="CJ4379">
        <v>0</v>
      </c>
      <c r="CK4379">
        <v>2</v>
      </c>
      <c r="CL4379">
        <v>0</v>
      </c>
      <c r="CM4379">
        <v>2</v>
      </c>
      <c r="CN4379">
        <v>0</v>
      </c>
      <c r="CO4379">
        <v>6</v>
      </c>
      <c r="CP4379" t="s">
        <v>119</v>
      </c>
      <c r="CQ4379">
        <v>358</v>
      </c>
      <c r="CR4379">
        <v>0</v>
      </c>
      <c r="CW4379">
        <v>5119011</v>
      </c>
      <c r="CY4379">
        <v>1</v>
      </c>
      <c r="CZ4379">
        <v>0</v>
      </c>
      <c r="DA4379">
        <v>1</v>
      </c>
      <c r="DB4379">
        <v>0</v>
      </c>
      <c r="DC4379">
        <v>0</v>
      </c>
      <c r="DD4379">
        <v>1</v>
      </c>
      <c r="DE4379">
        <v>0</v>
      </c>
      <c r="DF4379">
        <v>0</v>
      </c>
      <c r="DG4379">
        <v>0</v>
      </c>
      <c r="DH4379">
        <v>0</v>
      </c>
      <c r="DI4379">
        <v>0</v>
      </c>
    </row>
    <row r="4380" spans="1:113" x14ac:dyDescent="0.3">
      <c r="A4380" t="str">
        <f t="shared" si="2011"/>
        <v>05/12/2020 14:48:57.612</v>
      </c>
      <c r="C4380" t="str">
        <f t="shared" si="2014"/>
        <v>FFDFD3C0</v>
      </c>
      <c r="D4380" t="s">
        <v>126</v>
      </c>
      <c r="E4380">
        <v>6</v>
      </c>
      <c r="F4380">
        <v>1006</v>
      </c>
      <c r="G4380" t="s">
        <v>114</v>
      </c>
      <c r="J4380" t="s">
        <v>128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 t="shared" si="2012"/>
        <v>14:49:15.406</v>
      </c>
      <c r="T4380" t="str">
        <f>"14:49:15.206"</f>
        <v>14:49:15.206</v>
      </c>
      <c r="U4380" t="str">
        <f t="shared" si="2007"/>
        <v>A9808D</v>
      </c>
      <c r="V4380">
        <v>0</v>
      </c>
      <c r="W4380">
        <v>0</v>
      </c>
      <c r="X4380">
        <v>1</v>
      </c>
      <c r="Z4380">
        <v>0</v>
      </c>
      <c r="AA4380">
        <v>9</v>
      </c>
      <c r="AB4380">
        <v>3</v>
      </c>
      <c r="AC4380">
        <v>0</v>
      </c>
      <c r="AD4380">
        <v>10</v>
      </c>
      <c r="AE4380">
        <v>0</v>
      </c>
      <c r="AF4380">
        <v>3</v>
      </c>
      <c r="AG4380">
        <v>2</v>
      </c>
      <c r="AH4380">
        <v>0</v>
      </c>
      <c r="AI4380" t="s">
        <v>991</v>
      </c>
      <c r="AJ4380">
        <v>28.250419999999998</v>
      </c>
      <c r="AK4380" t="s">
        <v>992</v>
      </c>
      <c r="AL4380">
        <v>-82.319291000000007</v>
      </c>
      <c r="AM4380">
        <v>100</v>
      </c>
      <c r="AN4380">
        <v>2200</v>
      </c>
      <c r="AO4380" t="s">
        <v>118</v>
      </c>
      <c r="AP4380">
        <v>-130</v>
      </c>
      <c r="AQ4380">
        <v>-68</v>
      </c>
      <c r="AR4380">
        <v>-512</v>
      </c>
      <c r="AZ4380">
        <v>1200</v>
      </c>
      <c r="BA4380">
        <v>1</v>
      </c>
      <c r="BB4380" t="str">
        <f t="shared" si="2015"/>
        <v xml:space="preserve">N711JA  </v>
      </c>
      <c r="BC4380">
        <v>1</v>
      </c>
      <c r="BE4380">
        <v>0</v>
      </c>
      <c r="BF4380">
        <v>0</v>
      </c>
      <c r="BG4380">
        <v>0</v>
      </c>
      <c r="BH4380">
        <v>2225</v>
      </c>
      <c r="BI4380">
        <v>1</v>
      </c>
      <c r="BJ4380">
        <v>1</v>
      </c>
      <c r="BK4380">
        <v>0</v>
      </c>
      <c r="BL4380">
        <v>0</v>
      </c>
      <c r="BO4380">
        <v>0</v>
      </c>
      <c r="BP4380">
        <v>0</v>
      </c>
      <c r="BW4380" t="str">
        <f t="shared" si="2013"/>
        <v>14:49:15.409</v>
      </c>
      <c r="CJ4380">
        <v>0</v>
      </c>
      <c r="CK4380">
        <v>2</v>
      </c>
      <c r="CL4380">
        <v>0</v>
      </c>
      <c r="CM4380">
        <v>2</v>
      </c>
      <c r="CN4380">
        <v>0</v>
      </c>
      <c r="CO4380">
        <v>6</v>
      </c>
      <c r="CP4380" t="s">
        <v>119</v>
      </c>
      <c r="CQ4380">
        <v>358</v>
      </c>
      <c r="CR4380">
        <v>0</v>
      </c>
      <c r="CW4380">
        <v>5119011</v>
      </c>
      <c r="CY4380">
        <v>1</v>
      </c>
      <c r="CZ4380">
        <v>0</v>
      </c>
      <c r="DA4380">
        <v>1</v>
      </c>
      <c r="DB4380">
        <v>0</v>
      </c>
      <c r="DC4380">
        <v>0</v>
      </c>
      <c r="DD4380">
        <v>1</v>
      </c>
      <c r="DE4380">
        <v>0</v>
      </c>
      <c r="DF4380">
        <v>0</v>
      </c>
      <c r="DG4380">
        <v>0</v>
      </c>
      <c r="DH4380">
        <v>0</v>
      </c>
      <c r="DI4380">
        <v>0</v>
      </c>
    </row>
    <row r="4381" spans="1:113" x14ac:dyDescent="0.3">
      <c r="A4381" t="str">
        <f t="shared" ref="A4381:A4389" si="2016">"05/12/2020 14:48:58.618"</f>
        <v>05/12/2020 14:48:58.618</v>
      </c>
      <c r="C4381" t="str">
        <f t="shared" si="2014"/>
        <v>FFDFD3C0</v>
      </c>
      <c r="D4381" t="s">
        <v>126</v>
      </c>
      <c r="E4381">
        <v>7</v>
      </c>
      <c r="F4381">
        <v>1007</v>
      </c>
      <c r="G4381" t="s">
        <v>127</v>
      </c>
      <c r="J4381" t="s">
        <v>128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 t="shared" ref="S4381:S4389" si="2017">"14:49:16.430"</f>
        <v>14:49:16.430</v>
      </c>
      <c r="T4381" t="str">
        <f t="shared" ref="T4381:T4389" si="2018">"14:49:16.230"</f>
        <v>14:49:16.230</v>
      </c>
      <c r="U4381" t="str">
        <f t="shared" si="2007"/>
        <v>A9808D</v>
      </c>
      <c r="V4381">
        <v>0</v>
      </c>
      <c r="W4381">
        <v>0</v>
      </c>
      <c r="X4381">
        <v>1</v>
      </c>
      <c r="Z4381">
        <v>0</v>
      </c>
      <c r="AA4381">
        <v>9</v>
      </c>
      <c r="AB4381">
        <v>3</v>
      </c>
      <c r="AC4381">
        <v>0</v>
      </c>
      <c r="AD4381">
        <v>10</v>
      </c>
      <c r="AE4381">
        <v>0</v>
      </c>
      <c r="AF4381">
        <v>3</v>
      </c>
      <c r="AG4381">
        <v>2</v>
      </c>
      <c r="AH4381">
        <v>0</v>
      </c>
      <c r="AI4381" t="s">
        <v>654</v>
      </c>
      <c r="AJ4381">
        <v>28.250098000000001</v>
      </c>
      <c r="AK4381" t="s">
        <v>993</v>
      </c>
      <c r="AL4381">
        <v>-82.319976999999994</v>
      </c>
      <c r="AM4381">
        <v>100</v>
      </c>
      <c r="AN4381">
        <v>2200</v>
      </c>
      <c r="AO4381" t="s">
        <v>118</v>
      </c>
      <c r="AP4381">
        <v>-132</v>
      </c>
      <c r="AQ4381">
        <v>-66</v>
      </c>
      <c r="AR4381">
        <v>-512</v>
      </c>
      <c r="AZ4381">
        <v>1200</v>
      </c>
      <c r="BA4381">
        <v>1</v>
      </c>
      <c r="BB4381" t="str">
        <f t="shared" si="2015"/>
        <v xml:space="preserve">N711JA  </v>
      </c>
      <c r="BC4381">
        <v>1</v>
      </c>
      <c r="BE4381">
        <v>0</v>
      </c>
      <c r="BF4381">
        <v>0</v>
      </c>
      <c r="BG4381">
        <v>0</v>
      </c>
      <c r="BH4381">
        <v>2225</v>
      </c>
      <c r="BI4381">
        <v>1</v>
      </c>
      <c r="BJ4381">
        <v>1</v>
      </c>
      <c r="BK4381">
        <v>0</v>
      </c>
      <c r="BL4381">
        <v>0</v>
      </c>
      <c r="BO4381">
        <v>0</v>
      </c>
      <c r="BP4381">
        <v>0</v>
      </c>
      <c r="BW4381" t="str">
        <f t="shared" ref="BW4381:BW4389" si="2019">"14:49:16.430"</f>
        <v>14:49:16.430</v>
      </c>
      <c r="CJ4381">
        <v>0</v>
      </c>
      <c r="CK4381">
        <v>2</v>
      </c>
      <c r="CL4381">
        <v>0</v>
      </c>
      <c r="CM4381">
        <v>2</v>
      </c>
      <c r="CN4381">
        <v>0</v>
      </c>
      <c r="CO4381">
        <v>6</v>
      </c>
      <c r="CP4381" t="s">
        <v>119</v>
      </c>
      <c r="CQ4381">
        <v>56</v>
      </c>
      <c r="CR4381">
        <v>2</v>
      </c>
      <c r="CW4381">
        <v>5148352</v>
      </c>
      <c r="CY4381">
        <v>1</v>
      </c>
      <c r="CZ4381">
        <v>0</v>
      </c>
      <c r="DA4381">
        <v>0</v>
      </c>
      <c r="DB4381">
        <v>0</v>
      </c>
      <c r="DC4381">
        <v>0</v>
      </c>
      <c r="DD4381">
        <v>1</v>
      </c>
      <c r="DE4381">
        <v>0</v>
      </c>
      <c r="DF4381">
        <v>0</v>
      </c>
      <c r="DG4381">
        <v>0</v>
      </c>
      <c r="DH4381">
        <v>0</v>
      </c>
      <c r="DI4381">
        <v>0</v>
      </c>
    </row>
    <row r="4382" spans="1:113" x14ac:dyDescent="0.3">
      <c r="A4382" t="str">
        <f t="shared" si="2016"/>
        <v>05/12/2020 14:48:58.618</v>
      </c>
      <c r="C4382" t="str">
        <f t="shared" si="2014"/>
        <v>FFDFD3C0</v>
      </c>
      <c r="D4382" t="s">
        <v>131</v>
      </c>
      <c r="E4382">
        <v>10</v>
      </c>
      <c r="F4382">
        <v>2010</v>
      </c>
      <c r="G4382" t="s">
        <v>132</v>
      </c>
      <c r="J4382" t="s">
        <v>133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 t="shared" si="2017"/>
        <v>14:49:16.430</v>
      </c>
      <c r="T4382" t="str">
        <f t="shared" si="2018"/>
        <v>14:49:16.230</v>
      </c>
      <c r="U4382" t="str">
        <f t="shared" si="2007"/>
        <v>A9808D</v>
      </c>
      <c r="V4382">
        <v>0</v>
      </c>
      <c r="W4382">
        <v>0</v>
      </c>
      <c r="X4382">
        <v>1</v>
      </c>
      <c r="Z4382">
        <v>0</v>
      </c>
      <c r="AA4382">
        <v>9</v>
      </c>
      <c r="AB4382">
        <v>3</v>
      </c>
      <c r="AC4382">
        <v>0</v>
      </c>
      <c r="AD4382">
        <v>10</v>
      </c>
      <c r="AE4382">
        <v>0</v>
      </c>
      <c r="AF4382">
        <v>3</v>
      </c>
      <c r="AG4382">
        <v>2</v>
      </c>
      <c r="AH4382">
        <v>0</v>
      </c>
      <c r="AI4382" t="s">
        <v>654</v>
      </c>
      <c r="AJ4382">
        <v>28.250098000000001</v>
      </c>
      <c r="AK4382" t="s">
        <v>993</v>
      </c>
      <c r="AL4382">
        <v>-82.319976999999994</v>
      </c>
      <c r="AM4382">
        <v>100</v>
      </c>
      <c r="AN4382">
        <v>2200</v>
      </c>
      <c r="AO4382" t="s">
        <v>118</v>
      </c>
      <c r="AP4382">
        <v>-132</v>
      </c>
      <c r="AQ4382">
        <v>-66</v>
      </c>
      <c r="AR4382">
        <v>-512</v>
      </c>
      <c r="AZ4382">
        <v>1200</v>
      </c>
      <c r="BA4382">
        <v>1</v>
      </c>
      <c r="BB4382" t="str">
        <f t="shared" si="2015"/>
        <v xml:space="preserve">N711JA  </v>
      </c>
      <c r="BC4382">
        <v>1</v>
      </c>
      <c r="BE4382">
        <v>0</v>
      </c>
      <c r="BF4382">
        <v>0</v>
      </c>
      <c r="BG4382">
        <v>0</v>
      </c>
      <c r="BH4382">
        <v>2225</v>
      </c>
      <c r="BI4382">
        <v>1</v>
      </c>
      <c r="BJ4382">
        <v>1</v>
      </c>
      <c r="BK4382">
        <v>0</v>
      </c>
      <c r="BL4382">
        <v>0</v>
      </c>
      <c r="BO4382">
        <v>0</v>
      </c>
      <c r="BP4382">
        <v>0</v>
      </c>
      <c r="BW4382" t="str">
        <f t="shared" si="2019"/>
        <v>14:49:16.430</v>
      </c>
      <c r="CJ4382">
        <v>0</v>
      </c>
      <c r="CK4382">
        <v>2</v>
      </c>
      <c r="CL4382">
        <v>0</v>
      </c>
      <c r="CM4382">
        <v>2</v>
      </c>
      <c r="CN4382">
        <v>0</v>
      </c>
      <c r="CO4382">
        <v>6</v>
      </c>
      <c r="CP4382" t="s">
        <v>119</v>
      </c>
      <c r="CQ4382">
        <v>56</v>
      </c>
      <c r="CR4382">
        <v>2</v>
      </c>
      <c r="CW4382">
        <v>5148352</v>
      </c>
      <c r="CY4382">
        <v>1</v>
      </c>
      <c r="CZ4382">
        <v>0</v>
      </c>
      <c r="DA4382">
        <v>1</v>
      </c>
      <c r="DB4382">
        <v>0</v>
      </c>
      <c r="DC4382">
        <v>0</v>
      </c>
      <c r="DD4382">
        <v>1</v>
      </c>
      <c r="DE4382">
        <v>0</v>
      </c>
      <c r="DF4382">
        <v>0</v>
      </c>
      <c r="DG4382">
        <v>0</v>
      </c>
      <c r="DH4382">
        <v>0</v>
      </c>
      <c r="DI4382">
        <v>0</v>
      </c>
    </row>
    <row r="4383" spans="1:113" x14ac:dyDescent="0.3">
      <c r="A4383" t="str">
        <f t="shared" si="2016"/>
        <v>05/12/2020 14:48:58.618</v>
      </c>
      <c r="C4383" t="str">
        <f t="shared" si="2014"/>
        <v>FFDFD3C0</v>
      </c>
      <c r="D4383" t="s">
        <v>131</v>
      </c>
      <c r="E4383">
        <v>12</v>
      </c>
      <c r="F4383">
        <v>2012</v>
      </c>
      <c r="G4383" t="s">
        <v>137</v>
      </c>
      <c r="J4383" t="s">
        <v>133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 t="shared" si="2017"/>
        <v>14:49:16.430</v>
      </c>
      <c r="T4383" t="str">
        <f t="shared" si="2018"/>
        <v>14:49:16.230</v>
      </c>
      <c r="U4383" t="str">
        <f t="shared" si="2007"/>
        <v>A9808D</v>
      </c>
      <c r="V4383">
        <v>0</v>
      </c>
      <c r="W4383">
        <v>0</v>
      </c>
      <c r="X4383">
        <v>1</v>
      </c>
      <c r="Z4383">
        <v>0</v>
      </c>
      <c r="AA4383">
        <v>9</v>
      </c>
      <c r="AB4383">
        <v>3</v>
      </c>
      <c r="AC4383">
        <v>0</v>
      </c>
      <c r="AD4383">
        <v>10</v>
      </c>
      <c r="AE4383">
        <v>0</v>
      </c>
      <c r="AF4383">
        <v>3</v>
      </c>
      <c r="AG4383">
        <v>2</v>
      </c>
      <c r="AH4383">
        <v>0</v>
      </c>
      <c r="AI4383" t="s">
        <v>654</v>
      </c>
      <c r="AJ4383">
        <v>28.250098000000001</v>
      </c>
      <c r="AK4383" t="s">
        <v>993</v>
      </c>
      <c r="AL4383">
        <v>-82.319976999999994</v>
      </c>
      <c r="AM4383">
        <v>100</v>
      </c>
      <c r="AN4383">
        <v>2200</v>
      </c>
      <c r="AO4383" t="s">
        <v>118</v>
      </c>
      <c r="AP4383">
        <v>-132</v>
      </c>
      <c r="AQ4383">
        <v>-66</v>
      </c>
      <c r="AR4383">
        <v>-512</v>
      </c>
      <c r="AZ4383">
        <v>1200</v>
      </c>
      <c r="BA4383">
        <v>1</v>
      </c>
      <c r="BB4383" t="str">
        <f t="shared" si="2015"/>
        <v xml:space="preserve">N711JA  </v>
      </c>
      <c r="BC4383">
        <v>1</v>
      </c>
      <c r="BE4383">
        <v>0</v>
      </c>
      <c r="BF4383">
        <v>0</v>
      </c>
      <c r="BG4383">
        <v>0</v>
      </c>
      <c r="BH4383">
        <v>2225</v>
      </c>
      <c r="BI4383">
        <v>1</v>
      </c>
      <c r="BJ4383">
        <v>1</v>
      </c>
      <c r="BK4383">
        <v>0</v>
      </c>
      <c r="BL4383">
        <v>0</v>
      </c>
      <c r="BO4383">
        <v>0</v>
      </c>
      <c r="BP4383">
        <v>0</v>
      </c>
      <c r="BW4383" t="str">
        <f t="shared" si="2019"/>
        <v>14:49:16.430</v>
      </c>
      <c r="CJ4383">
        <v>0</v>
      </c>
      <c r="CK4383">
        <v>2</v>
      </c>
      <c r="CL4383">
        <v>0</v>
      </c>
      <c r="CM4383">
        <v>2</v>
      </c>
      <c r="CN4383">
        <v>0</v>
      </c>
      <c r="CO4383">
        <v>6</v>
      </c>
      <c r="CP4383" t="s">
        <v>119</v>
      </c>
      <c r="CQ4383">
        <v>56</v>
      </c>
      <c r="CR4383">
        <v>2</v>
      </c>
      <c r="CW4383">
        <v>5148352</v>
      </c>
      <c r="CY4383">
        <v>1</v>
      </c>
      <c r="CZ4383">
        <v>0</v>
      </c>
      <c r="DA4383">
        <v>1</v>
      </c>
      <c r="DB4383">
        <v>0</v>
      </c>
      <c r="DC4383">
        <v>0</v>
      </c>
      <c r="DD4383">
        <v>1</v>
      </c>
      <c r="DE4383">
        <v>0</v>
      </c>
      <c r="DF4383">
        <v>0</v>
      </c>
      <c r="DG4383">
        <v>0</v>
      </c>
      <c r="DH4383">
        <v>0</v>
      </c>
      <c r="DI4383">
        <v>0</v>
      </c>
    </row>
    <row r="4384" spans="1:113" x14ac:dyDescent="0.3">
      <c r="A4384" t="str">
        <f t="shared" si="2016"/>
        <v>05/12/2020 14:48:58.618</v>
      </c>
      <c r="C4384" t="str">
        <f t="shared" si="2014"/>
        <v>FFDFD3C0</v>
      </c>
      <c r="D4384" t="s">
        <v>131</v>
      </c>
      <c r="E4384">
        <v>18</v>
      </c>
      <c r="F4384">
        <v>2018</v>
      </c>
      <c r="G4384" t="s">
        <v>161</v>
      </c>
      <c r="J4384" t="s">
        <v>133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 t="shared" si="2017"/>
        <v>14:49:16.430</v>
      </c>
      <c r="T4384" t="str">
        <f t="shared" si="2018"/>
        <v>14:49:16.230</v>
      </c>
      <c r="U4384" t="str">
        <f t="shared" si="2007"/>
        <v>A9808D</v>
      </c>
      <c r="V4384">
        <v>0</v>
      </c>
      <c r="W4384">
        <v>0</v>
      </c>
      <c r="X4384">
        <v>1</v>
      </c>
      <c r="Z4384">
        <v>0</v>
      </c>
      <c r="AA4384">
        <v>9</v>
      </c>
      <c r="AB4384">
        <v>3</v>
      </c>
      <c r="AC4384">
        <v>0</v>
      </c>
      <c r="AD4384">
        <v>10</v>
      </c>
      <c r="AE4384">
        <v>0</v>
      </c>
      <c r="AF4384">
        <v>3</v>
      </c>
      <c r="AG4384">
        <v>2</v>
      </c>
      <c r="AH4384">
        <v>0</v>
      </c>
      <c r="AI4384" t="s">
        <v>654</v>
      </c>
      <c r="AJ4384">
        <v>28.250098000000001</v>
      </c>
      <c r="AK4384" t="s">
        <v>993</v>
      </c>
      <c r="AL4384">
        <v>-82.319976999999994</v>
      </c>
      <c r="AM4384">
        <v>100</v>
      </c>
      <c r="AN4384">
        <v>2200</v>
      </c>
      <c r="AO4384" t="s">
        <v>118</v>
      </c>
      <c r="AP4384">
        <v>-132</v>
      </c>
      <c r="AQ4384">
        <v>-66</v>
      </c>
      <c r="AR4384">
        <v>-512</v>
      </c>
      <c r="AZ4384">
        <v>1200</v>
      </c>
      <c r="BA4384">
        <v>1</v>
      </c>
      <c r="BB4384" t="str">
        <f t="shared" si="2015"/>
        <v xml:space="preserve">N711JA  </v>
      </c>
      <c r="BC4384">
        <v>1</v>
      </c>
      <c r="BE4384">
        <v>0</v>
      </c>
      <c r="BF4384">
        <v>0</v>
      </c>
      <c r="BG4384">
        <v>0</v>
      </c>
      <c r="BH4384">
        <v>2225</v>
      </c>
      <c r="BI4384">
        <v>1</v>
      </c>
      <c r="BJ4384">
        <v>1</v>
      </c>
      <c r="BK4384">
        <v>0</v>
      </c>
      <c r="BL4384">
        <v>0</v>
      </c>
      <c r="BO4384">
        <v>0</v>
      </c>
      <c r="BP4384">
        <v>0</v>
      </c>
      <c r="BW4384" t="str">
        <f t="shared" si="2019"/>
        <v>14:49:16.430</v>
      </c>
      <c r="CJ4384">
        <v>0</v>
      </c>
      <c r="CK4384">
        <v>2</v>
      </c>
      <c r="CL4384">
        <v>0</v>
      </c>
      <c r="CM4384">
        <v>2</v>
      </c>
      <c r="CN4384">
        <v>0</v>
      </c>
      <c r="CO4384">
        <v>6</v>
      </c>
      <c r="CP4384" t="s">
        <v>119</v>
      </c>
      <c r="CQ4384">
        <v>56</v>
      </c>
      <c r="CR4384">
        <v>2</v>
      </c>
      <c r="CW4384">
        <v>5148352</v>
      </c>
      <c r="CY4384">
        <v>1</v>
      </c>
      <c r="CZ4384">
        <v>0</v>
      </c>
      <c r="DA4384">
        <v>1</v>
      </c>
      <c r="DB4384">
        <v>0</v>
      </c>
      <c r="DC4384">
        <v>0</v>
      </c>
      <c r="DD4384">
        <v>1</v>
      </c>
      <c r="DE4384">
        <v>0</v>
      </c>
      <c r="DF4384">
        <v>0</v>
      </c>
      <c r="DG4384">
        <v>0</v>
      </c>
      <c r="DH4384">
        <v>0</v>
      </c>
      <c r="DI4384">
        <v>0</v>
      </c>
    </row>
    <row r="4385" spans="1:113" x14ac:dyDescent="0.3">
      <c r="A4385" t="str">
        <f t="shared" si="2016"/>
        <v>05/12/2020 14:48:58.618</v>
      </c>
      <c r="C4385" t="str">
        <f t="shared" si="2014"/>
        <v>FFDFD3C0</v>
      </c>
      <c r="D4385" t="s">
        <v>134</v>
      </c>
      <c r="E4385">
        <v>12</v>
      </c>
      <c r="H4385">
        <v>64</v>
      </c>
      <c r="I4385" t="s">
        <v>135</v>
      </c>
      <c r="J4385" t="s">
        <v>136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 t="shared" si="2017"/>
        <v>14:49:16.430</v>
      </c>
      <c r="T4385" t="str">
        <f t="shared" si="2018"/>
        <v>14:49:16.230</v>
      </c>
      <c r="U4385" t="str">
        <f t="shared" si="2007"/>
        <v>A9808D</v>
      </c>
      <c r="V4385">
        <v>0</v>
      </c>
      <c r="W4385">
        <v>0</v>
      </c>
      <c r="X4385">
        <v>1</v>
      </c>
      <c r="Z4385">
        <v>0</v>
      </c>
      <c r="AA4385">
        <v>9</v>
      </c>
      <c r="AB4385">
        <v>3</v>
      </c>
      <c r="AC4385">
        <v>0</v>
      </c>
      <c r="AD4385">
        <v>10</v>
      </c>
      <c r="AE4385">
        <v>0</v>
      </c>
      <c r="AF4385">
        <v>3</v>
      </c>
      <c r="AG4385">
        <v>2</v>
      </c>
      <c r="AH4385">
        <v>0</v>
      </c>
      <c r="AI4385" t="s">
        <v>654</v>
      </c>
      <c r="AJ4385">
        <v>28.250098000000001</v>
      </c>
      <c r="AK4385" t="s">
        <v>993</v>
      </c>
      <c r="AL4385">
        <v>-82.319976999999994</v>
      </c>
      <c r="AM4385">
        <v>100</v>
      </c>
      <c r="AN4385">
        <v>2200</v>
      </c>
      <c r="AO4385" t="s">
        <v>118</v>
      </c>
      <c r="AP4385">
        <v>-132</v>
      </c>
      <c r="AQ4385">
        <v>-66</v>
      </c>
      <c r="AR4385">
        <v>-512</v>
      </c>
      <c r="AZ4385">
        <v>1200</v>
      </c>
      <c r="BA4385">
        <v>1</v>
      </c>
      <c r="BB4385" t="str">
        <f t="shared" si="2015"/>
        <v xml:space="preserve">N711JA  </v>
      </c>
      <c r="BC4385">
        <v>1</v>
      </c>
      <c r="BE4385">
        <v>0</v>
      </c>
      <c r="BF4385">
        <v>0</v>
      </c>
      <c r="BG4385">
        <v>0</v>
      </c>
      <c r="BH4385">
        <v>2225</v>
      </c>
      <c r="BI4385">
        <v>1</v>
      </c>
      <c r="BJ4385">
        <v>1</v>
      </c>
      <c r="BK4385">
        <v>0</v>
      </c>
      <c r="BL4385">
        <v>0</v>
      </c>
      <c r="BO4385">
        <v>0</v>
      </c>
      <c r="BP4385">
        <v>0</v>
      </c>
      <c r="BW4385" t="str">
        <f t="shared" si="2019"/>
        <v>14:49:16.430</v>
      </c>
      <c r="CJ4385">
        <v>0</v>
      </c>
      <c r="CK4385">
        <v>2</v>
      </c>
      <c r="CL4385">
        <v>0</v>
      </c>
      <c r="CM4385">
        <v>2</v>
      </c>
      <c r="CN4385">
        <v>0</v>
      </c>
      <c r="CO4385">
        <v>6</v>
      </c>
      <c r="CP4385" t="s">
        <v>119</v>
      </c>
      <c r="CQ4385">
        <v>358</v>
      </c>
      <c r="CR4385">
        <v>0</v>
      </c>
      <c r="CW4385">
        <v>5120191</v>
      </c>
      <c r="CY4385">
        <v>1</v>
      </c>
      <c r="CZ4385">
        <v>0</v>
      </c>
      <c r="DA4385">
        <v>1</v>
      </c>
      <c r="DB4385">
        <v>0</v>
      </c>
      <c r="DC4385">
        <v>0</v>
      </c>
      <c r="DD4385">
        <v>1</v>
      </c>
      <c r="DE4385">
        <v>0</v>
      </c>
      <c r="DF4385">
        <v>0</v>
      </c>
      <c r="DG4385">
        <v>0</v>
      </c>
      <c r="DH4385">
        <v>0</v>
      </c>
      <c r="DI4385">
        <v>0</v>
      </c>
    </row>
    <row r="4386" spans="1:113" x14ac:dyDescent="0.3">
      <c r="A4386" t="str">
        <f t="shared" si="2016"/>
        <v>05/12/2020 14:48:58.618</v>
      </c>
      <c r="C4386" t="str">
        <f t="shared" si="2014"/>
        <v>FFDFD3C0</v>
      </c>
      <c r="D4386" t="s">
        <v>126</v>
      </c>
      <c r="E4386">
        <v>6</v>
      </c>
      <c r="F4386">
        <v>1006</v>
      </c>
      <c r="G4386" t="s">
        <v>114</v>
      </c>
      <c r="J4386" t="s">
        <v>128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 t="shared" si="2017"/>
        <v>14:49:16.430</v>
      </c>
      <c r="T4386" t="str">
        <f t="shared" si="2018"/>
        <v>14:49:16.230</v>
      </c>
      <c r="U4386" t="str">
        <f t="shared" si="2007"/>
        <v>A9808D</v>
      </c>
      <c r="V4386">
        <v>0</v>
      </c>
      <c r="W4386">
        <v>0</v>
      </c>
      <c r="X4386">
        <v>1</v>
      </c>
      <c r="Z4386">
        <v>0</v>
      </c>
      <c r="AA4386">
        <v>9</v>
      </c>
      <c r="AB4386">
        <v>3</v>
      </c>
      <c r="AC4386">
        <v>0</v>
      </c>
      <c r="AD4386">
        <v>10</v>
      </c>
      <c r="AE4386">
        <v>0</v>
      </c>
      <c r="AF4386">
        <v>3</v>
      </c>
      <c r="AG4386">
        <v>2</v>
      </c>
      <c r="AH4386">
        <v>0</v>
      </c>
      <c r="AI4386" t="s">
        <v>654</v>
      </c>
      <c r="AJ4386">
        <v>28.250098000000001</v>
      </c>
      <c r="AK4386" t="s">
        <v>993</v>
      </c>
      <c r="AL4386">
        <v>-82.319976999999994</v>
      </c>
      <c r="AM4386">
        <v>100</v>
      </c>
      <c r="AN4386">
        <v>2200</v>
      </c>
      <c r="AO4386" t="s">
        <v>118</v>
      </c>
      <c r="AP4386">
        <v>-132</v>
      </c>
      <c r="AQ4386">
        <v>-66</v>
      </c>
      <c r="AR4386">
        <v>-512</v>
      </c>
      <c r="AZ4386">
        <v>1200</v>
      </c>
      <c r="BA4386">
        <v>1</v>
      </c>
      <c r="BB4386" t="str">
        <f t="shared" si="2015"/>
        <v xml:space="preserve">N711JA  </v>
      </c>
      <c r="BC4386">
        <v>1</v>
      </c>
      <c r="BE4386">
        <v>0</v>
      </c>
      <c r="BF4386">
        <v>0</v>
      </c>
      <c r="BG4386">
        <v>0</v>
      </c>
      <c r="BH4386">
        <v>2225</v>
      </c>
      <c r="BI4386">
        <v>1</v>
      </c>
      <c r="BJ4386">
        <v>1</v>
      </c>
      <c r="BK4386">
        <v>0</v>
      </c>
      <c r="BL4386">
        <v>0</v>
      </c>
      <c r="BO4386">
        <v>0</v>
      </c>
      <c r="BP4386">
        <v>0</v>
      </c>
      <c r="BW4386" t="str">
        <f t="shared" si="2019"/>
        <v>14:49:16.430</v>
      </c>
      <c r="CJ4386">
        <v>0</v>
      </c>
      <c r="CK4386">
        <v>2</v>
      </c>
      <c r="CL4386">
        <v>0</v>
      </c>
      <c r="CM4386">
        <v>2</v>
      </c>
      <c r="CN4386">
        <v>0</v>
      </c>
      <c r="CO4386">
        <v>6</v>
      </c>
      <c r="CP4386" t="s">
        <v>119</v>
      </c>
      <c r="CQ4386">
        <v>56</v>
      </c>
      <c r="CR4386">
        <v>2</v>
      </c>
      <c r="CW4386">
        <v>5148352</v>
      </c>
      <c r="CY4386">
        <v>1</v>
      </c>
      <c r="CZ4386">
        <v>0</v>
      </c>
      <c r="DA4386">
        <v>1</v>
      </c>
      <c r="DB4386">
        <v>0</v>
      </c>
      <c r="DC4386">
        <v>0</v>
      </c>
      <c r="DD4386">
        <v>1</v>
      </c>
      <c r="DE4386">
        <v>0</v>
      </c>
      <c r="DF4386">
        <v>0</v>
      </c>
      <c r="DG4386">
        <v>0</v>
      </c>
      <c r="DH4386">
        <v>0</v>
      </c>
      <c r="DI4386">
        <v>0</v>
      </c>
    </row>
    <row r="4387" spans="1:113" x14ac:dyDescent="0.3">
      <c r="A4387" t="str">
        <f t="shared" si="2016"/>
        <v>05/12/2020 14:48:58.618</v>
      </c>
      <c r="C4387" t="str">
        <f t="shared" si="2014"/>
        <v>FFDFD3C0</v>
      </c>
      <c r="D4387" t="s">
        <v>113</v>
      </c>
      <c r="E4387">
        <v>3</v>
      </c>
      <c r="H4387">
        <v>164</v>
      </c>
      <c r="I4387" t="s">
        <v>114</v>
      </c>
      <c r="J4387" t="s">
        <v>115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 t="shared" si="2017"/>
        <v>14:49:16.430</v>
      </c>
      <c r="T4387" t="str">
        <f t="shared" si="2018"/>
        <v>14:49:16.230</v>
      </c>
      <c r="U4387" t="str">
        <f t="shared" si="2007"/>
        <v>A9808D</v>
      </c>
      <c r="V4387">
        <v>0</v>
      </c>
      <c r="W4387">
        <v>0</v>
      </c>
      <c r="X4387">
        <v>1</v>
      </c>
      <c r="Z4387">
        <v>0</v>
      </c>
      <c r="AA4387">
        <v>9</v>
      </c>
      <c r="AB4387">
        <v>3</v>
      </c>
      <c r="AC4387">
        <v>0</v>
      </c>
      <c r="AD4387">
        <v>10</v>
      </c>
      <c r="AE4387">
        <v>0</v>
      </c>
      <c r="AF4387">
        <v>3</v>
      </c>
      <c r="AG4387">
        <v>2</v>
      </c>
      <c r="AH4387">
        <v>0</v>
      </c>
      <c r="AI4387" t="s">
        <v>654</v>
      </c>
      <c r="AJ4387">
        <v>28.250098000000001</v>
      </c>
      <c r="AK4387" t="s">
        <v>993</v>
      </c>
      <c r="AL4387">
        <v>-82.319976999999994</v>
      </c>
      <c r="AM4387">
        <v>100</v>
      </c>
      <c r="AN4387">
        <v>2200</v>
      </c>
      <c r="AO4387" t="s">
        <v>118</v>
      </c>
      <c r="AP4387">
        <v>-132</v>
      </c>
      <c r="AQ4387">
        <v>-66</v>
      </c>
      <c r="AR4387">
        <v>-512</v>
      </c>
      <c r="AZ4387">
        <v>1200</v>
      </c>
      <c r="BA4387">
        <v>1</v>
      </c>
      <c r="BB4387" t="str">
        <f t="shared" si="2015"/>
        <v xml:space="preserve">N711JA  </v>
      </c>
      <c r="BC4387">
        <v>1</v>
      </c>
      <c r="BE4387">
        <v>0</v>
      </c>
      <c r="BF4387">
        <v>0</v>
      </c>
      <c r="BG4387">
        <v>0</v>
      </c>
      <c r="BH4387">
        <v>2225</v>
      </c>
      <c r="BI4387">
        <v>1</v>
      </c>
      <c r="BJ4387">
        <v>1</v>
      </c>
      <c r="BK4387">
        <v>0</v>
      </c>
      <c r="BL4387">
        <v>0</v>
      </c>
      <c r="BO4387">
        <v>0</v>
      </c>
      <c r="BP4387">
        <v>0</v>
      </c>
      <c r="BW4387" t="str">
        <f t="shared" si="2019"/>
        <v>14:49:16.430</v>
      </c>
      <c r="CJ4387">
        <v>0</v>
      </c>
      <c r="CK4387">
        <v>2</v>
      </c>
      <c r="CL4387">
        <v>0</v>
      </c>
      <c r="CM4387">
        <v>2</v>
      </c>
      <c r="CN4387">
        <v>0</v>
      </c>
      <c r="CO4387">
        <v>6</v>
      </c>
      <c r="CP4387" t="s">
        <v>119</v>
      </c>
      <c r="CQ4387">
        <v>56</v>
      </c>
      <c r="CR4387">
        <v>2</v>
      </c>
      <c r="CW4387">
        <v>5148352</v>
      </c>
      <c r="CY4387">
        <v>1</v>
      </c>
      <c r="CZ4387">
        <v>0</v>
      </c>
      <c r="DA4387">
        <v>1</v>
      </c>
      <c r="DB4387">
        <v>0</v>
      </c>
      <c r="DC4387">
        <v>0</v>
      </c>
      <c r="DD4387">
        <v>1</v>
      </c>
      <c r="DE4387">
        <v>0</v>
      </c>
      <c r="DF4387">
        <v>0</v>
      </c>
      <c r="DG4387">
        <v>0</v>
      </c>
      <c r="DH4387">
        <v>0</v>
      </c>
      <c r="DI4387">
        <v>0</v>
      </c>
    </row>
    <row r="4388" spans="1:113" x14ac:dyDescent="0.3">
      <c r="A4388" t="str">
        <f t="shared" si="2016"/>
        <v>05/12/2020 14:48:58.618</v>
      </c>
      <c r="C4388" t="str">
        <f t="shared" si="2014"/>
        <v>FFDFD3C0</v>
      </c>
      <c r="D4388" t="s">
        <v>138</v>
      </c>
      <c r="E4388">
        <v>2</v>
      </c>
      <c r="H4388">
        <v>8</v>
      </c>
      <c r="I4388" t="s">
        <v>139</v>
      </c>
      <c r="J4388" t="s">
        <v>136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 t="shared" si="2017"/>
        <v>14:49:16.430</v>
      </c>
      <c r="T4388" t="str">
        <f t="shared" si="2018"/>
        <v>14:49:16.230</v>
      </c>
      <c r="U4388" t="str">
        <f t="shared" si="2007"/>
        <v>A9808D</v>
      </c>
      <c r="V4388">
        <v>0</v>
      </c>
      <c r="W4388">
        <v>0</v>
      </c>
      <c r="X4388">
        <v>1</v>
      </c>
      <c r="Z4388">
        <v>0</v>
      </c>
      <c r="AA4388">
        <v>9</v>
      </c>
      <c r="AB4388">
        <v>3</v>
      </c>
      <c r="AC4388">
        <v>0</v>
      </c>
      <c r="AD4388">
        <v>10</v>
      </c>
      <c r="AE4388">
        <v>0</v>
      </c>
      <c r="AF4388">
        <v>3</v>
      </c>
      <c r="AG4388">
        <v>2</v>
      </c>
      <c r="AH4388">
        <v>0</v>
      </c>
      <c r="AI4388" t="s">
        <v>654</v>
      </c>
      <c r="AJ4388">
        <v>28.250098000000001</v>
      </c>
      <c r="AK4388" t="s">
        <v>993</v>
      </c>
      <c r="AL4388">
        <v>-82.319976999999994</v>
      </c>
      <c r="AM4388">
        <v>100</v>
      </c>
      <c r="AN4388">
        <v>2200</v>
      </c>
      <c r="AO4388" t="s">
        <v>118</v>
      </c>
      <c r="AP4388">
        <v>-132</v>
      </c>
      <c r="AQ4388">
        <v>-66</v>
      </c>
      <c r="AR4388">
        <v>-512</v>
      </c>
      <c r="AZ4388">
        <v>1200</v>
      </c>
      <c r="BA4388">
        <v>1</v>
      </c>
      <c r="BB4388" t="str">
        <f t="shared" si="2015"/>
        <v xml:space="preserve">N711JA  </v>
      </c>
      <c r="BC4388">
        <v>1</v>
      </c>
      <c r="BE4388">
        <v>0</v>
      </c>
      <c r="BF4388">
        <v>0</v>
      </c>
      <c r="BG4388">
        <v>0</v>
      </c>
      <c r="BH4388">
        <v>2225</v>
      </c>
      <c r="BI4388">
        <v>1</v>
      </c>
      <c r="BJ4388">
        <v>1</v>
      </c>
      <c r="BK4388">
        <v>0</v>
      </c>
      <c r="BL4388">
        <v>0</v>
      </c>
      <c r="BO4388">
        <v>0</v>
      </c>
      <c r="BP4388">
        <v>0</v>
      </c>
      <c r="BW4388" t="str">
        <f t="shared" si="2019"/>
        <v>14:49:16.430</v>
      </c>
      <c r="CJ4388">
        <v>0</v>
      </c>
      <c r="CK4388">
        <v>2</v>
      </c>
      <c r="CL4388">
        <v>0</v>
      </c>
      <c r="CM4388">
        <v>2</v>
      </c>
      <c r="CN4388">
        <v>0</v>
      </c>
      <c r="CO4388">
        <v>6</v>
      </c>
      <c r="CP4388" t="s">
        <v>119</v>
      </c>
      <c r="CQ4388">
        <v>56</v>
      </c>
      <c r="CR4388">
        <v>2</v>
      </c>
      <c r="CW4388">
        <v>5148352</v>
      </c>
      <c r="CY4388">
        <v>1</v>
      </c>
      <c r="CZ4388">
        <v>0</v>
      </c>
      <c r="DA4388">
        <v>1</v>
      </c>
      <c r="DB4388">
        <v>0</v>
      </c>
      <c r="DC4388">
        <v>0</v>
      </c>
      <c r="DD4388">
        <v>1</v>
      </c>
      <c r="DE4388">
        <v>0</v>
      </c>
      <c r="DF4388">
        <v>0</v>
      </c>
      <c r="DG4388">
        <v>0</v>
      </c>
      <c r="DH4388">
        <v>0</v>
      </c>
      <c r="DI4388">
        <v>0</v>
      </c>
    </row>
    <row r="4389" spans="1:113" x14ac:dyDescent="0.3">
      <c r="A4389" t="str">
        <f t="shared" si="2016"/>
        <v>05/12/2020 14:48:58.618</v>
      </c>
      <c r="C4389" t="str">
        <f t="shared" si="2014"/>
        <v>FFDFD3C0</v>
      </c>
      <c r="D4389" t="s">
        <v>138</v>
      </c>
      <c r="E4389">
        <v>3</v>
      </c>
      <c r="H4389">
        <v>9</v>
      </c>
      <c r="I4389" t="s">
        <v>140</v>
      </c>
      <c r="J4389" t="s">
        <v>136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 t="shared" si="2017"/>
        <v>14:49:16.430</v>
      </c>
      <c r="T4389" t="str">
        <f t="shared" si="2018"/>
        <v>14:49:16.230</v>
      </c>
      <c r="U4389" t="str">
        <f t="shared" si="2007"/>
        <v>A9808D</v>
      </c>
      <c r="V4389">
        <v>0</v>
      </c>
      <c r="W4389">
        <v>0</v>
      </c>
      <c r="X4389">
        <v>1</v>
      </c>
      <c r="Z4389">
        <v>0</v>
      </c>
      <c r="AA4389">
        <v>9</v>
      </c>
      <c r="AB4389">
        <v>3</v>
      </c>
      <c r="AC4389">
        <v>0</v>
      </c>
      <c r="AD4389">
        <v>10</v>
      </c>
      <c r="AE4389">
        <v>0</v>
      </c>
      <c r="AF4389">
        <v>3</v>
      </c>
      <c r="AG4389">
        <v>2</v>
      </c>
      <c r="AH4389">
        <v>0</v>
      </c>
      <c r="AI4389" t="s">
        <v>654</v>
      </c>
      <c r="AJ4389">
        <v>28.250098000000001</v>
      </c>
      <c r="AK4389" t="s">
        <v>993</v>
      </c>
      <c r="AL4389">
        <v>-82.319976999999994</v>
      </c>
      <c r="AM4389">
        <v>100</v>
      </c>
      <c r="AN4389">
        <v>2200</v>
      </c>
      <c r="AO4389" t="s">
        <v>118</v>
      </c>
      <c r="AP4389">
        <v>-132</v>
      </c>
      <c r="AQ4389">
        <v>-66</v>
      </c>
      <c r="AR4389">
        <v>-512</v>
      </c>
      <c r="AZ4389">
        <v>1200</v>
      </c>
      <c r="BA4389">
        <v>1</v>
      </c>
      <c r="BB4389" t="str">
        <f t="shared" si="2015"/>
        <v xml:space="preserve">N711JA  </v>
      </c>
      <c r="BC4389">
        <v>1</v>
      </c>
      <c r="BE4389">
        <v>0</v>
      </c>
      <c r="BF4389">
        <v>0</v>
      </c>
      <c r="BG4389">
        <v>0</v>
      </c>
      <c r="BH4389">
        <v>2225</v>
      </c>
      <c r="BI4389">
        <v>1</v>
      </c>
      <c r="BJ4389">
        <v>1</v>
      </c>
      <c r="BK4389">
        <v>0</v>
      </c>
      <c r="BL4389">
        <v>0</v>
      </c>
      <c r="BO4389">
        <v>0</v>
      </c>
      <c r="BP4389">
        <v>0</v>
      </c>
      <c r="BW4389" t="str">
        <f t="shared" si="2019"/>
        <v>14:49:16.430</v>
      </c>
      <c r="CJ4389">
        <v>0</v>
      </c>
      <c r="CK4389">
        <v>2</v>
      </c>
      <c r="CL4389">
        <v>0</v>
      </c>
      <c r="CM4389">
        <v>2</v>
      </c>
      <c r="CN4389">
        <v>0</v>
      </c>
      <c r="CO4389">
        <v>6</v>
      </c>
      <c r="CP4389" t="s">
        <v>119</v>
      </c>
      <c r="CQ4389">
        <v>56</v>
      </c>
      <c r="CR4389">
        <v>2</v>
      </c>
      <c r="CW4389">
        <v>5148352</v>
      </c>
      <c r="CY4389">
        <v>1</v>
      </c>
      <c r="CZ4389">
        <v>0</v>
      </c>
      <c r="DA4389">
        <v>1</v>
      </c>
      <c r="DB4389">
        <v>0</v>
      </c>
      <c r="DC4389">
        <v>0</v>
      </c>
      <c r="DD4389">
        <v>1</v>
      </c>
      <c r="DE4389">
        <v>0</v>
      </c>
      <c r="DF4389">
        <v>0</v>
      </c>
      <c r="DG4389">
        <v>0</v>
      </c>
      <c r="DH4389">
        <v>0</v>
      </c>
      <c r="DI4389">
        <v>0</v>
      </c>
    </row>
    <row r="4390" spans="1:113" x14ac:dyDescent="0.3">
      <c r="A4390" t="str">
        <f t="shared" ref="A4390:A4398" si="2020">"05/12/2020 14:48:59.775"</f>
        <v>05/12/2020 14:48:59.775</v>
      </c>
      <c r="C4390" t="str">
        <f t="shared" si="2014"/>
        <v>FFDFD3C0</v>
      </c>
      <c r="D4390" t="s">
        <v>126</v>
      </c>
      <c r="E4390">
        <v>7</v>
      </c>
      <c r="F4390">
        <v>1007</v>
      </c>
      <c r="G4390" t="s">
        <v>127</v>
      </c>
      <c r="J4390" t="s">
        <v>128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 t="shared" ref="S4390:S4398" si="2021">"14:49:17.578"</f>
        <v>14:49:17.578</v>
      </c>
      <c r="T4390" t="str">
        <f t="shared" ref="T4390:T4398" si="2022">"14:49:17.278"</f>
        <v>14:49:17.278</v>
      </c>
      <c r="U4390" t="str">
        <f t="shared" si="2007"/>
        <v>A9808D</v>
      </c>
      <c r="V4390">
        <v>0</v>
      </c>
      <c r="W4390">
        <v>0</v>
      </c>
      <c r="X4390">
        <v>1</v>
      </c>
      <c r="Z4390">
        <v>0</v>
      </c>
      <c r="AA4390">
        <v>9</v>
      </c>
      <c r="AB4390">
        <v>3</v>
      </c>
      <c r="AC4390">
        <v>0</v>
      </c>
      <c r="AD4390">
        <v>10</v>
      </c>
      <c r="AE4390">
        <v>0</v>
      </c>
      <c r="AF4390">
        <v>3</v>
      </c>
      <c r="AG4390">
        <v>2</v>
      </c>
      <c r="AH4390">
        <v>0</v>
      </c>
      <c r="AI4390" t="s">
        <v>994</v>
      </c>
      <c r="AJ4390">
        <v>28.249732999999999</v>
      </c>
      <c r="AK4390" t="s">
        <v>995</v>
      </c>
      <c r="AL4390">
        <v>-82.320813999999999</v>
      </c>
      <c r="AM4390">
        <v>100</v>
      </c>
      <c r="AN4390">
        <v>2200</v>
      </c>
      <c r="AO4390" t="s">
        <v>118</v>
      </c>
      <c r="AP4390">
        <v>-134</v>
      </c>
      <c r="AQ4390">
        <v>-64</v>
      </c>
      <c r="AR4390">
        <v>-448</v>
      </c>
      <c r="AZ4390">
        <v>1200</v>
      </c>
      <c r="BA4390">
        <v>1</v>
      </c>
      <c r="BB4390" t="str">
        <f t="shared" si="2015"/>
        <v xml:space="preserve">N711JA  </v>
      </c>
      <c r="BC4390">
        <v>1</v>
      </c>
      <c r="BE4390">
        <v>0</v>
      </c>
      <c r="BF4390">
        <v>0</v>
      </c>
      <c r="BG4390">
        <v>0</v>
      </c>
      <c r="BH4390">
        <v>2225</v>
      </c>
      <c r="BI4390">
        <v>1</v>
      </c>
      <c r="BJ4390">
        <v>1</v>
      </c>
      <c r="BK4390">
        <v>0</v>
      </c>
      <c r="BL4390">
        <v>0</v>
      </c>
      <c r="BO4390">
        <v>0</v>
      </c>
      <c r="BP4390">
        <v>0</v>
      </c>
      <c r="BW4390" t="str">
        <f t="shared" ref="BW4390:BW4398" si="2023">"14:49:17.580"</f>
        <v>14:49:17.580</v>
      </c>
      <c r="CJ4390">
        <v>0</v>
      </c>
      <c r="CK4390">
        <v>2</v>
      </c>
      <c r="CL4390">
        <v>0</v>
      </c>
      <c r="CM4390">
        <v>2</v>
      </c>
      <c r="CN4390">
        <v>0</v>
      </c>
      <c r="CO4390">
        <v>7</v>
      </c>
      <c r="CP4390" t="s">
        <v>119</v>
      </c>
      <c r="CQ4390">
        <v>8</v>
      </c>
      <c r="CR4390">
        <v>3</v>
      </c>
      <c r="CW4390">
        <v>9150715</v>
      </c>
      <c r="CY4390">
        <v>1</v>
      </c>
      <c r="CZ4390">
        <v>0</v>
      </c>
      <c r="DA4390">
        <v>0</v>
      </c>
      <c r="DB4390">
        <v>0</v>
      </c>
      <c r="DC4390">
        <v>0</v>
      </c>
      <c r="DD4390">
        <v>1</v>
      </c>
      <c r="DE4390">
        <v>0</v>
      </c>
      <c r="DF4390">
        <v>0</v>
      </c>
      <c r="DG4390">
        <v>0</v>
      </c>
      <c r="DH4390">
        <v>0</v>
      </c>
      <c r="DI4390">
        <v>0</v>
      </c>
    </row>
    <row r="4391" spans="1:113" x14ac:dyDescent="0.3">
      <c r="A4391" t="str">
        <f t="shared" si="2020"/>
        <v>05/12/2020 14:48:59.775</v>
      </c>
      <c r="C4391" t="str">
        <f t="shared" si="2014"/>
        <v>FFDFD3C0</v>
      </c>
      <c r="D4391" t="s">
        <v>131</v>
      </c>
      <c r="E4391">
        <v>10</v>
      </c>
      <c r="F4391">
        <v>2010</v>
      </c>
      <c r="G4391" t="s">
        <v>132</v>
      </c>
      <c r="J4391" t="s">
        <v>133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 t="shared" si="2021"/>
        <v>14:49:17.578</v>
      </c>
      <c r="T4391" t="str">
        <f t="shared" si="2022"/>
        <v>14:49:17.278</v>
      </c>
      <c r="U4391" t="str">
        <f t="shared" si="2007"/>
        <v>A9808D</v>
      </c>
      <c r="V4391">
        <v>0</v>
      </c>
      <c r="W4391">
        <v>0</v>
      </c>
      <c r="X4391">
        <v>1</v>
      </c>
      <c r="Z4391">
        <v>0</v>
      </c>
      <c r="AA4391">
        <v>9</v>
      </c>
      <c r="AB4391">
        <v>3</v>
      </c>
      <c r="AC4391">
        <v>0</v>
      </c>
      <c r="AD4391">
        <v>10</v>
      </c>
      <c r="AE4391">
        <v>0</v>
      </c>
      <c r="AF4391">
        <v>3</v>
      </c>
      <c r="AG4391">
        <v>2</v>
      </c>
      <c r="AH4391">
        <v>0</v>
      </c>
      <c r="AI4391" t="s">
        <v>994</v>
      </c>
      <c r="AJ4391">
        <v>28.249732999999999</v>
      </c>
      <c r="AK4391" t="s">
        <v>995</v>
      </c>
      <c r="AL4391">
        <v>-82.320813999999999</v>
      </c>
      <c r="AM4391">
        <v>100</v>
      </c>
      <c r="AN4391">
        <v>2200</v>
      </c>
      <c r="AO4391" t="s">
        <v>118</v>
      </c>
      <c r="AP4391">
        <v>-134</v>
      </c>
      <c r="AQ4391">
        <v>-64</v>
      </c>
      <c r="AR4391">
        <v>-448</v>
      </c>
      <c r="AZ4391">
        <v>1200</v>
      </c>
      <c r="BA4391">
        <v>1</v>
      </c>
      <c r="BB4391" t="str">
        <f t="shared" si="2015"/>
        <v xml:space="preserve">N711JA  </v>
      </c>
      <c r="BC4391">
        <v>1</v>
      </c>
      <c r="BE4391">
        <v>0</v>
      </c>
      <c r="BF4391">
        <v>0</v>
      </c>
      <c r="BG4391">
        <v>0</v>
      </c>
      <c r="BH4391">
        <v>2225</v>
      </c>
      <c r="BI4391">
        <v>1</v>
      </c>
      <c r="BJ4391">
        <v>1</v>
      </c>
      <c r="BK4391">
        <v>0</v>
      </c>
      <c r="BL4391">
        <v>0</v>
      </c>
      <c r="BO4391">
        <v>0</v>
      </c>
      <c r="BP4391">
        <v>0</v>
      </c>
      <c r="BW4391" t="str">
        <f t="shared" si="2023"/>
        <v>14:49:17.580</v>
      </c>
      <c r="CJ4391">
        <v>0</v>
      </c>
      <c r="CK4391">
        <v>2</v>
      </c>
      <c r="CL4391">
        <v>0</v>
      </c>
      <c r="CM4391">
        <v>2</v>
      </c>
      <c r="CN4391">
        <v>0</v>
      </c>
      <c r="CO4391">
        <v>7</v>
      </c>
      <c r="CP4391" t="s">
        <v>119</v>
      </c>
      <c r="CQ4391">
        <v>8</v>
      </c>
      <c r="CR4391">
        <v>3</v>
      </c>
      <c r="CW4391">
        <v>9150715</v>
      </c>
      <c r="CY4391">
        <v>1</v>
      </c>
      <c r="CZ4391">
        <v>0</v>
      </c>
      <c r="DA4391">
        <v>1</v>
      </c>
      <c r="DB4391">
        <v>0</v>
      </c>
      <c r="DC4391">
        <v>0</v>
      </c>
      <c r="DD4391">
        <v>1</v>
      </c>
      <c r="DE4391">
        <v>0</v>
      </c>
      <c r="DF4391">
        <v>0</v>
      </c>
      <c r="DG4391">
        <v>0</v>
      </c>
      <c r="DH4391">
        <v>0</v>
      </c>
      <c r="DI4391">
        <v>0</v>
      </c>
    </row>
    <row r="4392" spans="1:113" x14ac:dyDescent="0.3">
      <c r="A4392" t="str">
        <f t="shared" si="2020"/>
        <v>05/12/2020 14:48:59.775</v>
      </c>
      <c r="C4392" t="str">
        <f t="shared" si="2014"/>
        <v>FFDFD3C0</v>
      </c>
      <c r="D4392" t="s">
        <v>131</v>
      </c>
      <c r="E4392">
        <v>12</v>
      </c>
      <c r="F4392">
        <v>2012</v>
      </c>
      <c r="G4392" t="s">
        <v>137</v>
      </c>
      <c r="J4392" t="s">
        <v>133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 t="shared" si="2021"/>
        <v>14:49:17.578</v>
      </c>
      <c r="T4392" t="str">
        <f t="shared" si="2022"/>
        <v>14:49:17.278</v>
      </c>
      <c r="U4392" t="str">
        <f t="shared" si="2007"/>
        <v>A9808D</v>
      </c>
      <c r="V4392">
        <v>0</v>
      </c>
      <c r="W4392">
        <v>0</v>
      </c>
      <c r="X4392">
        <v>1</v>
      </c>
      <c r="Z4392">
        <v>0</v>
      </c>
      <c r="AA4392">
        <v>9</v>
      </c>
      <c r="AB4392">
        <v>3</v>
      </c>
      <c r="AC4392">
        <v>0</v>
      </c>
      <c r="AD4392">
        <v>10</v>
      </c>
      <c r="AE4392">
        <v>0</v>
      </c>
      <c r="AF4392">
        <v>3</v>
      </c>
      <c r="AG4392">
        <v>2</v>
      </c>
      <c r="AH4392">
        <v>0</v>
      </c>
      <c r="AI4392" t="s">
        <v>994</v>
      </c>
      <c r="AJ4392">
        <v>28.249732999999999</v>
      </c>
      <c r="AK4392" t="s">
        <v>995</v>
      </c>
      <c r="AL4392">
        <v>-82.320813999999999</v>
      </c>
      <c r="AM4392">
        <v>100</v>
      </c>
      <c r="AN4392">
        <v>2200</v>
      </c>
      <c r="AO4392" t="s">
        <v>118</v>
      </c>
      <c r="AP4392">
        <v>-134</v>
      </c>
      <c r="AQ4392">
        <v>-64</v>
      </c>
      <c r="AR4392">
        <v>-448</v>
      </c>
      <c r="AZ4392">
        <v>1200</v>
      </c>
      <c r="BA4392">
        <v>1</v>
      </c>
      <c r="BB4392" t="str">
        <f t="shared" si="2015"/>
        <v xml:space="preserve">N711JA  </v>
      </c>
      <c r="BC4392">
        <v>1</v>
      </c>
      <c r="BE4392">
        <v>0</v>
      </c>
      <c r="BF4392">
        <v>0</v>
      </c>
      <c r="BG4392">
        <v>0</v>
      </c>
      <c r="BH4392">
        <v>2225</v>
      </c>
      <c r="BI4392">
        <v>1</v>
      </c>
      <c r="BJ4392">
        <v>1</v>
      </c>
      <c r="BK4392">
        <v>0</v>
      </c>
      <c r="BL4392">
        <v>0</v>
      </c>
      <c r="BO4392">
        <v>0</v>
      </c>
      <c r="BP4392">
        <v>0</v>
      </c>
      <c r="BW4392" t="str">
        <f t="shared" si="2023"/>
        <v>14:49:17.580</v>
      </c>
      <c r="CJ4392">
        <v>0</v>
      </c>
      <c r="CK4392">
        <v>2</v>
      </c>
      <c r="CL4392">
        <v>0</v>
      </c>
      <c r="CM4392">
        <v>2</v>
      </c>
      <c r="CN4392">
        <v>0</v>
      </c>
      <c r="CO4392">
        <v>7</v>
      </c>
      <c r="CP4392" t="s">
        <v>119</v>
      </c>
      <c r="CQ4392">
        <v>8</v>
      </c>
      <c r="CR4392">
        <v>3</v>
      </c>
      <c r="CW4392">
        <v>9150715</v>
      </c>
      <c r="CY4392">
        <v>1</v>
      </c>
      <c r="CZ4392">
        <v>0</v>
      </c>
      <c r="DA4392">
        <v>1</v>
      </c>
      <c r="DB4392">
        <v>0</v>
      </c>
      <c r="DC4392">
        <v>0</v>
      </c>
      <c r="DD4392">
        <v>1</v>
      </c>
      <c r="DE4392">
        <v>0</v>
      </c>
      <c r="DF4392">
        <v>0</v>
      </c>
      <c r="DG4392">
        <v>0</v>
      </c>
      <c r="DH4392">
        <v>0</v>
      </c>
      <c r="DI4392">
        <v>0</v>
      </c>
    </row>
    <row r="4393" spans="1:113" x14ac:dyDescent="0.3">
      <c r="A4393" t="str">
        <f t="shared" si="2020"/>
        <v>05/12/2020 14:48:59.775</v>
      </c>
      <c r="C4393" t="str">
        <f t="shared" si="2014"/>
        <v>FFDFD3C0</v>
      </c>
      <c r="D4393" t="s">
        <v>131</v>
      </c>
      <c r="E4393">
        <v>18</v>
      </c>
      <c r="F4393">
        <v>2018</v>
      </c>
      <c r="G4393" t="s">
        <v>161</v>
      </c>
      <c r="J4393" t="s">
        <v>133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 t="shared" si="2021"/>
        <v>14:49:17.578</v>
      </c>
      <c r="T4393" t="str">
        <f t="shared" si="2022"/>
        <v>14:49:17.278</v>
      </c>
      <c r="U4393" t="str">
        <f t="shared" si="2007"/>
        <v>A9808D</v>
      </c>
      <c r="V4393">
        <v>0</v>
      </c>
      <c r="W4393">
        <v>0</v>
      </c>
      <c r="X4393">
        <v>1</v>
      </c>
      <c r="Z4393">
        <v>0</v>
      </c>
      <c r="AA4393">
        <v>9</v>
      </c>
      <c r="AB4393">
        <v>3</v>
      </c>
      <c r="AC4393">
        <v>0</v>
      </c>
      <c r="AD4393">
        <v>10</v>
      </c>
      <c r="AE4393">
        <v>0</v>
      </c>
      <c r="AF4393">
        <v>3</v>
      </c>
      <c r="AG4393">
        <v>2</v>
      </c>
      <c r="AH4393">
        <v>0</v>
      </c>
      <c r="AI4393" t="s">
        <v>994</v>
      </c>
      <c r="AJ4393">
        <v>28.249732999999999</v>
      </c>
      <c r="AK4393" t="s">
        <v>995</v>
      </c>
      <c r="AL4393">
        <v>-82.320813999999999</v>
      </c>
      <c r="AM4393">
        <v>100</v>
      </c>
      <c r="AN4393">
        <v>2200</v>
      </c>
      <c r="AO4393" t="s">
        <v>118</v>
      </c>
      <c r="AP4393">
        <v>-134</v>
      </c>
      <c r="AQ4393">
        <v>-64</v>
      </c>
      <c r="AR4393">
        <v>-448</v>
      </c>
      <c r="AZ4393">
        <v>1200</v>
      </c>
      <c r="BA4393">
        <v>1</v>
      </c>
      <c r="BB4393" t="str">
        <f t="shared" si="2015"/>
        <v xml:space="preserve">N711JA  </v>
      </c>
      <c r="BC4393">
        <v>1</v>
      </c>
      <c r="BE4393">
        <v>0</v>
      </c>
      <c r="BF4393">
        <v>0</v>
      </c>
      <c r="BG4393">
        <v>0</v>
      </c>
      <c r="BH4393">
        <v>2225</v>
      </c>
      <c r="BI4393">
        <v>1</v>
      </c>
      <c r="BJ4393">
        <v>1</v>
      </c>
      <c r="BK4393">
        <v>0</v>
      </c>
      <c r="BL4393">
        <v>0</v>
      </c>
      <c r="BO4393">
        <v>0</v>
      </c>
      <c r="BP4393">
        <v>0</v>
      </c>
      <c r="BW4393" t="str">
        <f t="shared" si="2023"/>
        <v>14:49:17.580</v>
      </c>
      <c r="CJ4393">
        <v>0</v>
      </c>
      <c r="CK4393">
        <v>2</v>
      </c>
      <c r="CL4393">
        <v>0</v>
      </c>
      <c r="CM4393">
        <v>2</v>
      </c>
      <c r="CN4393">
        <v>0</v>
      </c>
      <c r="CO4393">
        <v>6</v>
      </c>
      <c r="CP4393" t="s">
        <v>119</v>
      </c>
      <c r="CQ4393">
        <v>56</v>
      </c>
      <c r="CR4393">
        <v>2</v>
      </c>
      <c r="CW4393">
        <v>5149856</v>
      </c>
      <c r="CY4393">
        <v>1</v>
      </c>
      <c r="CZ4393">
        <v>0</v>
      </c>
      <c r="DA4393">
        <v>1</v>
      </c>
      <c r="DB4393">
        <v>0</v>
      </c>
      <c r="DC4393">
        <v>0</v>
      </c>
      <c r="DD4393">
        <v>1</v>
      </c>
      <c r="DE4393">
        <v>0</v>
      </c>
      <c r="DF4393">
        <v>0</v>
      </c>
      <c r="DG4393">
        <v>0</v>
      </c>
      <c r="DH4393">
        <v>0</v>
      </c>
      <c r="DI4393">
        <v>0</v>
      </c>
    </row>
    <row r="4394" spans="1:113" x14ac:dyDescent="0.3">
      <c r="A4394" t="str">
        <f t="shared" si="2020"/>
        <v>05/12/2020 14:48:59.775</v>
      </c>
      <c r="C4394" t="str">
        <f t="shared" si="2014"/>
        <v>FFDFD3C0</v>
      </c>
      <c r="D4394" t="s">
        <v>126</v>
      </c>
      <c r="E4394">
        <v>6</v>
      </c>
      <c r="F4394">
        <v>1006</v>
      </c>
      <c r="G4394" t="s">
        <v>114</v>
      </c>
      <c r="J4394" t="s">
        <v>128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 t="shared" si="2021"/>
        <v>14:49:17.578</v>
      </c>
      <c r="T4394" t="str">
        <f t="shared" si="2022"/>
        <v>14:49:17.278</v>
      </c>
      <c r="U4394" t="str">
        <f t="shared" si="2007"/>
        <v>A9808D</v>
      </c>
      <c r="V4394">
        <v>0</v>
      </c>
      <c r="W4394">
        <v>0</v>
      </c>
      <c r="X4394">
        <v>1</v>
      </c>
      <c r="Z4394">
        <v>0</v>
      </c>
      <c r="AA4394">
        <v>9</v>
      </c>
      <c r="AB4394">
        <v>3</v>
      </c>
      <c r="AC4394">
        <v>0</v>
      </c>
      <c r="AD4394">
        <v>10</v>
      </c>
      <c r="AE4394">
        <v>0</v>
      </c>
      <c r="AF4394">
        <v>3</v>
      </c>
      <c r="AG4394">
        <v>2</v>
      </c>
      <c r="AH4394">
        <v>0</v>
      </c>
      <c r="AI4394" t="s">
        <v>994</v>
      </c>
      <c r="AJ4394">
        <v>28.249732999999999</v>
      </c>
      <c r="AK4394" t="s">
        <v>995</v>
      </c>
      <c r="AL4394">
        <v>-82.320813999999999</v>
      </c>
      <c r="AM4394">
        <v>100</v>
      </c>
      <c r="AN4394">
        <v>2200</v>
      </c>
      <c r="AO4394" t="s">
        <v>118</v>
      </c>
      <c r="AP4394">
        <v>-134</v>
      </c>
      <c r="AQ4394">
        <v>-64</v>
      </c>
      <c r="AR4394">
        <v>-448</v>
      </c>
      <c r="AZ4394">
        <v>1200</v>
      </c>
      <c r="BA4394">
        <v>1</v>
      </c>
      <c r="BB4394" t="str">
        <f t="shared" si="2015"/>
        <v xml:space="preserve">N711JA  </v>
      </c>
      <c r="BC4394">
        <v>1</v>
      </c>
      <c r="BE4394">
        <v>0</v>
      </c>
      <c r="BF4394">
        <v>0</v>
      </c>
      <c r="BG4394">
        <v>0</v>
      </c>
      <c r="BH4394">
        <v>2225</v>
      </c>
      <c r="BI4394">
        <v>1</v>
      </c>
      <c r="BJ4394">
        <v>1</v>
      </c>
      <c r="BK4394">
        <v>0</v>
      </c>
      <c r="BL4394">
        <v>0</v>
      </c>
      <c r="BO4394">
        <v>0</v>
      </c>
      <c r="BP4394">
        <v>0</v>
      </c>
      <c r="BW4394" t="str">
        <f t="shared" si="2023"/>
        <v>14:49:17.580</v>
      </c>
      <c r="CJ4394">
        <v>0</v>
      </c>
      <c r="CK4394">
        <v>2</v>
      </c>
      <c r="CL4394">
        <v>0</v>
      </c>
      <c r="CM4394">
        <v>2</v>
      </c>
      <c r="CN4394">
        <v>0</v>
      </c>
      <c r="CO4394">
        <v>7</v>
      </c>
      <c r="CP4394" t="s">
        <v>119</v>
      </c>
      <c r="CQ4394">
        <v>8</v>
      </c>
      <c r="CR4394">
        <v>3</v>
      </c>
      <c r="CW4394">
        <v>9150715</v>
      </c>
      <c r="CY4394">
        <v>1</v>
      </c>
      <c r="CZ4394">
        <v>0</v>
      </c>
      <c r="DA4394">
        <v>1</v>
      </c>
      <c r="DB4394">
        <v>0</v>
      </c>
      <c r="DC4394">
        <v>0</v>
      </c>
      <c r="DD4394">
        <v>1</v>
      </c>
      <c r="DE4394">
        <v>0</v>
      </c>
      <c r="DF4394">
        <v>0</v>
      </c>
      <c r="DG4394">
        <v>0</v>
      </c>
      <c r="DH4394">
        <v>0</v>
      </c>
      <c r="DI4394">
        <v>0</v>
      </c>
    </row>
    <row r="4395" spans="1:113" x14ac:dyDescent="0.3">
      <c r="A4395" t="str">
        <f t="shared" si="2020"/>
        <v>05/12/2020 14:48:59.775</v>
      </c>
      <c r="C4395" t="str">
        <f t="shared" si="2014"/>
        <v>FFDFD3C0</v>
      </c>
      <c r="D4395" t="s">
        <v>134</v>
      </c>
      <c r="E4395">
        <v>12</v>
      </c>
      <c r="H4395">
        <v>64</v>
      </c>
      <c r="I4395" t="s">
        <v>135</v>
      </c>
      <c r="J4395" t="s">
        <v>136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 t="shared" si="2021"/>
        <v>14:49:17.578</v>
      </c>
      <c r="T4395" t="str">
        <f t="shared" si="2022"/>
        <v>14:49:17.278</v>
      </c>
      <c r="U4395" t="str">
        <f t="shared" si="2007"/>
        <v>A9808D</v>
      </c>
      <c r="V4395">
        <v>0</v>
      </c>
      <c r="W4395">
        <v>0</v>
      </c>
      <c r="X4395">
        <v>1</v>
      </c>
      <c r="Z4395">
        <v>0</v>
      </c>
      <c r="AA4395">
        <v>9</v>
      </c>
      <c r="AB4395">
        <v>3</v>
      </c>
      <c r="AC4395">
        <v>0</v>
      </c>
      <c r="AD4395">
        <v>10</v>
      </c>
      <c r="AE4395">
        <v>0</v>
      </c>
      <c r="AF4395">
        <v>3</v>
      </c>
      <c r="AG4395">
        <v>2</v>
      </c>
      <c r="AH4395">
        <v>0</v>
      </c>
      <c r="AI4395" t="s">
        <v>994</v>
      </c>
      <c r="AJ4395">
        <v>28.249732999999999</v>
      </c>
      <c r="AK4395" t="s">
        <v>995</v>
      </c>
      <c r="AL4395">
        <v>-82.320813999999999</v>
      </c>
      <c r="AM4395">
        <v>100</v>
      </c>
      <c r="AN4395">
        <v>2200</v>
      </c>
      <c r="AO4395" t="s">
        <v>118</v>
      </c>
      <c r="AP4395">
        <v>-134</v>
      </c>
      <c r="AQ4395">
        <v>-64</v>
      </c>
      <c r="AR4395">
        <v>-448</v>
      </c>
      <c r="AZ4395">
        <v>1200</v>
      </c>
      <c r="BA4395">
        <v>1</v>
      </c>
      <c r="BB4395" t="str">
        <f t="shared" si="2015"/>
        <v xml:space="preserve">N711JA  </v>
      </c>
      <c r="BC4395">
        <v>1</v>
      </c>
      <c r="BE4395">
        <v>0</v>
      </c>
      <c r="BF4395">
        <v>0</v>
      </c>
      <c r="BG4395">
        <v>0</v>
      </c>
      <c r="BH4395">
        <v>2225</v>
      </c>
      <c r="BI4395">
        <v>1</v>
      </c>
      <c r="BJ4395">
        <v>1</v>
      </c>
      <c r="BK4395">
        <v>0</v>
      </c>
      <c r="BL4395">
        <v>0</v>
      </c>
      <c r="BO4395">
        <v>0</v>
      </c>
      <c r="BP4395">
        <v>0</v>
      </c>
      <c r="BW4395" t="str">
        <f t="shared" si="2023"/>
        <v>14:49:17.580</v>
      </c>
      <c r="CJ4395">
        <v>0</v>
      </c>
      <c r="CK4395">
        <v>2</v>
      </c>
      <c r="CL4395">
        <v>0</v>
      </c>
      <c r="CM4395">
        <v>2</v>
      </c>
      <c r="CN4395">
        <v>0</v>
      </c>
      <c r="CO4395">
        <v>7</v>
      </c>
      <c r="CP4395" t="s">
        <v>119</v>
      </c>
      <c r="CQ4395">
        <v>8</v>
      </c>
      <c r="CR4395">
        <v>3</v>
      </c>
      <c r="CW4395">
        <v>9150715</v>
      </c>
      <c r="CY4395">
        <v>1</v>
      </c>
      <c r="CZ4395">
        <v>0</v>
      </c>
      <c r="DA4395">
        <v>1</v>
      </c>
      <c r="DB4395">
        <v>0</v>
      </c>
      <c r="DC4395">
        <v>0</v>
      </c>
      <c r="DD4395">
        <v>1</v>
      </c>
      <c r="DE4395">
        <v>0</v>
      </c>
      <c r="DF4395">
        <v>0</v>
      </c>
      <c r="DG4395">
        <v>0</v>
      </c>
      <c r="DH4395">
        <v>0</v>
      </c>
      <c r="DI4395">
        <v>0</v>
      </c>
    </row>
    <row r="4396" spans="1:113" x14ac:dyDescent="0.3">
      <c r="A4396" t="str">
        <f t="shared" si="2020"/>
        <v>05/12/2020 14:48:59.775</v>
      </c>
      <c r="C4396" t="str">
        <f t="shared" si="2014"/>
        <v>FFDFD3C0</v>
      </c>
      <c r="D4396" t="s">
        <v>138</v>
      </c>
      <c r="E4396">
        <v>2</v>
      </c>
      <c r="H4396">
        <v>8</v>
      </c>
      <c r="I4396" t="s">
        <v>139</v>
      </c>
      <c r="J4396" t="s">
        <v>136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 t="shared" si="2021"/>
        <v>14:49:17.578</v>
      </c>
      <c r="T4396" t="str">
        <f t="shared" si="2022"/>
        <v>14:49:17.278</v>
      </c>
      <c r="U4396" t="str">
        <f t="shared" si="2007"/>
        <v>A9808D</v>
      </c>
      <c r="V4396">
        <v>0</v>
      </c>
      <c r="W4396">
        <v>0</v>
      </c>
      <c r="X4396">
        <v>1</v>
      </c>
      <c r="Z4396">
        <v>0</v>
      </c>
      <c r="AA4396">
        <v>9</v>
      </c>
      <c r="AB4396">
        <v>3</v>
      </c>
      <c r="AC4396">
        <v>0</v>
      </c>
      <c r="AD4396">
        <v>10</v>
      </c>
      <c r="AE4396">
        <v>0</v>
      </c>
      <c r="AF4396">
        <v>3</v>
      </c>
      <c r="AG4396">
        <v>2</v>
      </c>
      <c r="AH4396">
        <v>0</v>
      </c>
      <c r="AI4396" t="s">
        <v>994</v>
      </c>
      <c r="AJ4396">
        <v>28.249732999999999</v>
      </c>
      <c r="AK4396" t="s">
        <v>995</v>
      </c>
      <c r="AL4396">
        <v>-82.320813999999999</v>
      </c>
      <c r="AM4396">
        <v>100</v>
      </c>
      <c r="AN4396">
        <v>2200</v>
      </c>
      <c r="AO4396" t="s">
        <v>118</v>
      </c>
      <c r="AP4396">
        <v>-134</v>
      </c>
      <c r="AQ4396">
        <v>-64</v>
      </c>
      <c r="AR4396">
        <v>-448</v>
      </c>
      <c r="AZ4396">
        <v>1200</v>
      </c>
      <c r="BA4396">
        <v>1</v>
      </c>
      <c r="BB4396" t="str">
        <f t="shared" si="2015"/>
        <v xml:space="preserve">N711JA  </v>
      </c>
      <c r="BC4396">
        <v>1</v>
      </c>
      <c r="BE4396">
        <v>0</v>
      </c>
      <c r="BF4396">
        <v>0</v>
      </c>
      <c r="BG4396">
        <v>0</v>
      </c>
      <c r="BH4396">
        <v>2225</v>
      </c>
      <c r="BI4396">
        <v>1</v>
      </c>
      <c r="BJ4396">
        <v>1</v>
      </c>
      <c r="BK4396">
        <v>0</v>
      </c>
      <c r="BL4396">
        <v>0</v>
      </c>
      <c r="BO4396">
        <v>0</v>
      </c>
      <c r="BP4396">
        <v>0</v>
      </c>
      <c r="BW4396" t="str">
        <f t="shared" si="2023"/>
        <v>14:49:17.580</v>
      </c>
      <c r="CJ4396">
        <v>0</v>
      </c>
      <c r="CK4396">
        <v>2</v>
      </c>
      <c r="CL4396">
        <v>0</v>
      </c>
      <c r="CM4396">
        <v>2</v>
      </c>
      <c r="CN4396">
        <v>0</v>
      </c>
      <c r="CO4396">
        <v>7</v>
      </c>
      <c r="CP4396" t="s">
        <v>119</v>
      </c>
      <c r="CQ4396">
        <v>8</v>
      </c>
      <c r="CR4396">
        <v>3</v>
      </c>
      <c r="CW4396">
        <v>9150715</v>
      </c>
      <c r="CY4396">
        <v>1</v>
      </c>
      <c r="CZ4396">
        <v>0</v>
      </c>
      <c r="DA4396">
        <v>1</v>
      </c>
      <c r="DB4396">
        <v>0</v>
      </c>
      <c r="DC4396">
        <v>0</v>
      </c>
      <c r="DD4396">
        <v>1</v>
      </c>
      <c r="DE4396">
        <v>0</v>
      </c>
      <c r="DF4396">
        <v>0</v>
      </c>
      <c r="DG4396">
        <v>0</v>
      </c>
      <c r="DH4396">
        <v>0</v>
      </c>
      <c r="DI4396">
        <v>0</v>
      </c>
    </row>
    <row r="4397" spans="1:113" x14ac:dyDescent="0.3">
      <c r="A4397" t="str">
        <f t="shared" si="2020"/>
        <v>05/12/2020 14:48:59.775</v>
      </c>
      <c r="C4397" t="str">
        <f t="shared" si="2014"/>
        <v>FFDFD3C0</v>
      </c>
      <c r="D4397" t="s">
        <v>138</v>
      </c>
      <c r="E4397">
        <v>3</v>
      </c>
      <c r="H4397">
        <v>9</v>
      </c>
      <c r="I4397" t="s">
        <v>140</v>
      </c>
      <c r="J4397" t="s">
        <v>136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 t="shared" si="2021"/>
        <v>14:49:17.578</v>
      </c>
      <c r="T4397" t="str">
        <f t="shared" si="2022"/>
        <v>14:49:17.278</v>
      </c>
      <c r="U4397" t="str">
        <f t="shared" si="2007"/>
        <v>A9808D</v>
      </c>
      <c r="V4397">
        <v>0</v>
      </c>
      <c r="W4397">
        <v>0</v>
      </c>
      <c r="X4397">
        <v>1</v>
      </c>
      <c r="Z4397">
        <v>0</v>
      </c>
      <c r="AA4397">
        <v>9</v>
      </c>
      <c r="AB4397">
        <v>3</v>
      </c>
      <c r="AC4397">
        <v>0</v>
      </c>
      <c r="AD4397">
        <v>10</v>
      </c>
      <c r="AE4397">
        <v>0</v>
      </c>
      <c r="AF4397">
        <v>3</v>
      </c>
      <c r="AG4397">
        <v>2</v>
      </c>
      <c r="AH4397">
        <v>0</v>
      </c>
      <c r="AI4397" t="s">
        <v>994</v>
      </c>
      <c r="AJ4397">
        <v>28.249732999999999</v>
      </c>
      <c r="AK4397" t="s">
        <v>995</v>
      </c>
      <c r="AL4397">
        <v>-82.320813999999999</v>
      </c>
      <c r="AM4397">
        <v>100</v>
      </c>
      <c r="AN4397">
        <v>2200</v>
      </c>
      <c r="AO4397" t="s">
        <v>118</v>
      </c>
      <c r="AP4397">
        <v>-134</v>
      </c>
      <c r="AQ4397">
        <v>-64</v>
      </c>
      <c r="AR4397">
        <v>-448</v>
      </c>
      <c r="AZ4397">
        <v>1200</v>
      </c>
      <c r="BA4397">
        <v>1</v>
      </c>
      <c r="BB4397" t="str">
        <f t="shared" si="2015"/>
        <v xml:space="preserve">N711JA  </v>
      </c>
      <c r="BC4397">
        <v>1</v>
      </c>
      <c r="BE4397">
        <v>0</v>
      </c>
      <c r="BF4397">
        <v>0</v>
      </c>
      <c r="BG4397">
        <v>0</v>
      </c>
      <c r="BH4397">
        <v>2225</v>
      </c>
      <c r="BI4397">
        <v>1</v>
      </c>
      <c r="BJ4397">
        <v>1</v>
      </c>
      <c r="BK4397">
        <v>0</v>
      </c>
      <c r="BL4397">
        <v>0</v>
      </c>
      <c r="BO4397">
        <v>0</v>
      </c>
      <c r="BP4397">
        <v>0</v>
      </c>
      <c r="BW4397" t="str">
        <f t="shared" si="2023"/>
        <v>14:49:17.580</v>
      </c>
      <c r="CJ4397">
        <v>0</v>
      </c>
      <c r="CK4397">
        <v>2</v>
      </c>
      <c r="CL4397">
        <v>0</v>
      </c>
      <c r="CM4397">
        <v>2</v>
      </c>
      <c r="CN4397">
        <v>0</v>
      </c>
      <c r="CO4397">
        <v>7</v>
      </c>
      <c r="CP4397" t="s">
        <v>119</v>
      </c>
      <c r="CQ4397">
        <v>8</v>
      </c>
      <c r="CR4397">
        <v>3</v>
      </c>
      <c r="CW4397">
        <v>9150715</v>
      </c>
      <c r="CY4397">
        <v>1</v>
      </c>
      <c r="CZ4397">
        <v>0</v>
      </c>
      <c r="DA4397">
        <v>1</v>
      </c>
      <c r="DB4397">
        <v>0</v>
      </c>
      <c r="DC4397">
        <v>0</v>
      </c>
      <c r="DD4397">
        <v>1</v>
      </c>
      <c r="DE4397">
        <v>0</v>
      </c>
      <c r="DF4397">
        <v>0</v>
      </c>
      <c r="DG4397">
        <v>0</v>
      </c>
      <c r="DH4397">
        <v>0</v>
      </c>
      <c r="DI4397">
        <v>0</v>
      </c>
    </row>
    <row r="4398" spans="1:113" x14ac:dyDescent="0.3">
      <c r="A4398" t="str">
        <f t="shared" si="2020"/>
        <v>05/12/2020 14:48:59.775</v>
      </c>
      <c r="C4398" t="str">
        <f t="shared" si="2014"/>
        <v>FFDFD3C0</v>
      </c>
      <c r="D4398" t="s">
        <v>113</v>
      </c>
      <c r="E4398">
        <v>3</v>
      </c>
      <c r="H4398">
        <v>164</v>
      </c>
      <c r="I4398" t="s">
        <v>114</v>
      </c>
      <c r="J4398" t="s">
        <v>115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 t="shared" si="2021"/>
        <v>14:49:17.578</v>
      </c>
      <c r="T4398" t="str">
        <f t="shared" si="2022"/>
        <v>14:49:17.278</v>
      </c>
      <c r="U4398" t="str">
        <f t="shared" si="2007"/>
        <v>A9808D</v>
      </c>
      <c r="V4398">
        <v>0</v>
      </c>
      <c r="W4398">
        <v>0</v>
      </c>
      <c r="X4398">
        <v>1</v>
      </c>
      <c r="Z4398">
        <v>0</v>
      </c>
      <c r="AA4398">
        <v>9</v>
      </c>
      <c r="AB4398">
        <v>3</v>
      </c>
      <c r="AC4398">
        <v>0</v>
      </c>
      <c r="AD4398">
        <v>10</v>
      </c>
      <c r="AE4398">
        <v>0</v>
      </c>
      <c r="AF4398">
        <v>3</v>
      </c>
      <c r="AG4398">
        <v>2</v>
      </c>
      <c r="AH4398">
        <v>0</v>
      </c>
      <c r="AI4398" t="s">
        <v>994</v>
      </c>
      <c r="AJ4398">
        <v>28.249732999999999</v>
      </c>
      <c r="AK4398" t="s">
        <v>995</v>
      </c>
      <c r="AL4398">
        <v>-82.320813999999999</v>
      </c>
      <c r="AM4398">
        <v>100</v>
      </c>
      <c r="AN4398">
        <v>2200</v>
      </c>
      <c r="AO4398" t="s">
        <v>118</v>
      </c>
      <c r="AP4398">
        <v>-134</v>
      </c>
      <c r="AQ4398">
        <v>-64</v>
      </c>
      <c r="AR4398">
        <v>-448</v>
      </c>
      <c r="AZ4398">
        <v>1200</v>
      </c>
      <c r="BA4398">
        <v>1</v>
      </c>
      <c r="BB4398" t="str">
        <f t="shared" si="2015"/>
        <v xml:space="preserve">N711JA  </v>
      </c>
      <c r="BC4398">
        <v>1</v>
      </c>
      <c r="BE4398">
        <v>0</v>
      </c>
      <c r="BF4398">
        <v>0</v>
      </c>
      <c r="BG4398">
        <v>0</v>
      </c>
      <c r="BH4398">
        <v>2225</v>
      </c>
      <c r="BI4398">
        <v>1</v>
      </c>
      <c r="BJ4398">
        <v>1</v>
      </c>
      <c r="BK4398">
        <v>0</v>
      </c>
      <c r="BL4398">
        <v>0</v>
      </c>
      <c r="BO4398">
        <v>0</v>
      </c>
      <c r="BP4398">
        <v>0</v>
      </c>
      <c r="BW4398" t="str">
        <f t="shared" si="2023"/>
        <v>14:49:17.580</v>
      </c>
      <c r="CJ4398">
        <v>0</v>
      </c>
      <c r="CK4398">
        <v>2</v>
      </c>
      <c r="CL4398">
        <v>0</v>
      </c>
      <c r="CM4398">
        <v>2</v>
      </c>
      <c r="CN4398">
        <v>0</v>
      </c>
      <c r="CO4398">
        <v>7</v>
      </c>
      <c r="CP4398" t="s">
        <v>119</v>
      </c>
      <c r="CQ4398">
        <v>8</v>
      </c>
      <c r="CR4398">
        <v>3</v>
      </c>
      <c r="CW4398">
        <v>9150715</v>
      </c>
      <c r="CY4398">
        <v>1</v>
      </c>
      <c r="CZ4398">
        <v>0</v>
      </c>
      <c r="DA4398">
        <v>1</v>
      </c>
      <c r="DB4398">
        <v>0</v>
      </c>
      <c r="DC4398">
        <v>0</v>
      </c>
      <c r="DD4398">
        <v>1</v>
      </c>
      <c r="DE4398">
        <v>0</v>
      </c>
      <c r="DF4398">
        <v>0</v>
      </c>
      <c r="DG4398">
        <v>0</v>
      </c>
      <c r="DH4398">
        <v>0</v>
      </c>
      <c r="DI4398">
        <v>0</v>
      </c>
    </row>
    <row r="4399" spans="1:113" x14ac:dyDescent="0.3">
      <c r="A4399" t="str">
        <f t="shared" ref="A4399:A4407" si="2024">"05/12/2020 14:49:00.651"</f>
        <v>05/12/2020 14:49:00.651</v>
      </c>
      <c r="C4399" t="str">
        <f t="shared" si="2014"/>
        <v>FFDFD3C0</v>
      </c>
      <c r="D4399" t="s">
        <v>134</v>
      </c>
      <c r="E4399">
        <v>12</v>
      </c>
      <c r="H4399">
        <v>64</v>
      </c>
      <c r="I4399" t="s">
        <v>135</v>
      </c>
      <c r="J4399" t="s">
        <v>136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 t="shared" ref="S4399:S4407" si="2025">"14:49:18.461"</f>
        <v>14:49:18.461</v>
      </c>
      <c r="T4399" t="str">
        <f t="shared" ref="T4399:T4407" si="2026">"14:49:18.161"</f>
        <v>14:49:18.161</v>
      </c>
      <c r="U4399" t="str">
        <f t="shared" si="2007"/>
        <v>A9808D</v>
      </c>
      <c r="V4399">
        <v>0</v>
      </c>
      <c r="W4399">
        <v>0</v>
      </c>
      <c r="X4399">
        <v>1</v>
      </c>
      <c r="Z4399">
        <v>0</v>
      </c>
      <c r="AA4399">
        <v>9</v>
      </c>
      <c r="AB4399">
        <v>3</v>
      </c>
      <c r="AC4399">
        <v>0</v>
      </c>
      <c r="AD4399">
        <v>10</v>
      </c>
      <c r="AE4399">
        <v>0</v>
      </c>
      <c r="AF4399">
        <v>3</v>
      </c>
      <c r="AG4399">
        <v>2</v>
      </c>
      <c r="AH4399">
        <v>0</v>
      </c>
      <c r="AI4399" t="s">
        <v>996</v>
      </c>
      <c r="AJ4399">
        <v>28.249518999999999</v>
      </c>
      <c r="AK4399" t="s">
        <v>997</v>
      </c>
      <c r="AL4399">
        <v>-82.321458000000007</v>
      </c>
      <c r="AM4399">
        <v>100</v>
      </c>
      <c r="AN4399">
        <v>2200</v>
      </c>
      <c r="AO4399" t="s">
        <v>118</v>
      </c>
      <c r="AP4399">
        <v>-135</v>
      </c>
      <c r="AQ4399">
        <v>-62</v>
      </c>
      <c r="AR4399">
        <v>-384</v>
      </c>
      <c r="AZ4399">
        <v>1200</v>
      </c>
      <c r="BA4399">
        <v>1</v>
      </c>
      <c r="BB4399" t="str">
        <f t="shared" si="2015"/>
        <v xml:space="preserve">N711JA  </v>
      </c>
      <c r="BC4399">
        <v>1</v>
      </c>
      <c r="BE4399">
        <v>0</v>
      </c>
      <c r="BF4399">
        <v>0</v>
      </c>
      <c r="BG4399">
        <v>0</v>
      </c>
      <c r="BH4399">
        <v>2200</v>
      </c>
      <c r="BI4399">
        <v>1</v>
      </c>
      <c r="BJ4399">
        <v>1</v>
      </c>
      <c r="BK4399">
        <v>0</v>
      </c>
      <c r="BL4399">
        <v>0</v>
      </c>
      <c r="BO4399">
        <v>0</v>
      </c>
      <c r="BP4399">
        <v>0</v>
      </c>
      <c r="BW4399" t="str">
        <f t="shared" ref="BW4399:BW4407" si="2027">"14:49:18.468"</f>
        <v>14:49:18.468</v>
      </c>
      <c r="CJ4399">
        <v>0</v>
      </c>
      <c r="CK4399">
        <v>2</v>
      </c>
      <c r="CL4399">
        <v>0</v>
      </c>
      <c r="CM4399">
        <v>2</v>
      </c>
      <c r="CN4399">
        <v>0</v>
      </c>
      <c r="CO4399">
        <v>7</v>
      </c>
      <c r="CP4399" t="s">
        <v>119</v>
      </c>
      <c r="CQ4399">
        <v>8</v>
      </c>
      <c r="CR4399">
        <v>3</v>
      </c>
      <c r="CW4399">
        <v>9151595</v>
      </c>
      <c r="CY4399">
        <v>1</v>
      </c>
      <c r="CZ4399">
        <v>0</v>
      </c>
      <c r="DA4399">
        <v>0</v>
      </c>
      <c r="DB4399">
        <v>0</v>
      </c>
      <c r="DC4399">
        <v>0</v>
      </c>
      <c r="DD4399">
        <v>1</v>
      </c>
      <c r="DE4399">
        <v>0</v>
      </c>
      <c r="DF4399">
        <v>0</v>
      </c>
      <c r="DG4399">
        <v>0</v>
      </c>
      <c r="DH4399">
        <v>0</v>
      </c>
      <c r="DI4399">
        <v>0</v>
      </c>
    </row>
    <row r="4400" spans="1:113" x14ac:dyDescent="0.3">
      <c r="A4400" t="str">
        <f t="shared" si="2024"/>
        <v>05/12/2020 14:49:00.651</v>
      </c>
      <c r="C4400" t="str">
        <f t="shared" si="2014"/>
        <v>FFDFD3C0</v>
      </c>
      <c r="D4400" t="s">
        <v>113</v>
      </c>
      <c r="E4400">
        <v>3</v>
      </c>
      <c r="H4400">
        <v>164</v>
      </c>
      <c r="I4400" t="s">
        <v>114</v>
      </c>
      <c r="J4400" t="s">
        <v>115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 t="shared" si="2025"/>
        <v>14:49:18.461</v>
      </c>
      <c r="T4400" t="str">
        <f t="shared" si="2026"/>
        <v>14:49:18.161</v>
      </c>
      <c r="U4400" t="str">
        <f t="shared" si="2007"/>
        <v>A9808D</v>
      </c>
      <c r="V4400">
        <v>0</v>
      </c>
      <c r="W4400">
        <v>0</v>
      </c>
      <c r="X4400">
        <v>1</v>
      </c>
      <c r="Z4400">
        <v>0</v>
      </c>
      <c r="AA4400">
        <v>9</v>
      </c>
      <c r="AB4400">
        <v>3</v>
      </c>
      <c r="AC4400">
        <v>0</v>
      </c>
      <c r="AD4400">
        <v>10</v>
      </c>
      <c r="AE4400">
        <v>0</v>
      </c>
      <c r="AF4400">
        <v>3</v>
      </c>
      <c r="AG4400">
        <v>2</v>
      </c>
      <c r="AH4400">
        <v>0</v>
      </c>
      <c r="AI4400" t="s">
        <v>996</v>
      </c>
      <c r="AJ4400">
        <v>28.249518999999999</v>
      </c>
      <c r="AK4400" t="s">
        <v>997</v>
      </c>
      <c r="AL4400">
        <v>-82.321458000000007</v>
      </c>
      <c r="AM4400">
        <v>100</v>
      </c>
      <c r="AN4400">
        <v>2200</v>
      </c>
      <c r="AO4400" t="s">
        <v>118</v>
      </c>
      <c r="AP4400">
        <v>-135</v>
      </c>
      <c r="AQ4400">
        <v>-62</v>
      </c>
      <c r="AR4400">
        <v>-384</v>
      </c>
      <c r="AZ4400">
        <v>1200</v>
      </c>
      <c r="BA4400">
        <v>1</v>
      </c>
      <c r="BB4400" t="str">
        <f t="shared" si="2015"/>
        <v xml:space="preserve">N711JA  </v>
      </c>
      <c r="BC4400">
        <v>1</v>
      </c>
      <c r="BE4400">
        <v>0</v>
      </c>
      <c r="BF4400">
        <v>0</v>
      </c>
      <c r="BG4400">
        <v>0</v>
      </c>
      <c r="BH4400">
        <v>2200</v>
      </c>
      <c r="BI4400">
        <v>1</v>
      </c>
      <c r="BJ4400">
        <v>1</v>
      </c>
      <c r="BK4400">
        <v>0</v>
      </c>
      <c r="BL4400">
        <v>0</v>
      </c>
      <c r="BO4400">
        <v>0</v>
      </c>
      <c r="BP4400">
        <v>0</v>
      </c>
      <c r="BW4400" t="str">
        <f t="shared" si="2027"/>
        <v>14:49:18.468</v>
      </c>
      <c r="CJ4400">
        <v>0</v>
      </c>
      <c r="CK4400">
        <v>2</v>
      </c>
      <c r="CL4400">
        <v>0</v>
      </c>
      <c r="CM4400">
        <v>2</v>
      </c>
      <c r="CN4400">
        <v>0</v>
      </c>
      <c r="CO4400">
        <v>7</v>
      </c>
      <c r="CP4400" t="s">
        <v>119</v>
      </c>
      <c r="CQ4400">
        <v>8</v>
      </c>
      <c r="CR4400">
        <v>3</v>
      </c>
      <c r="CW4400">
        <v>9151595</v>
      </c>
      <c r="CY4400">
        <v>1</v>
      </c>
      <c r="CZ4400">
        <v>0</v>
      </c>
      <c r="DA4400">
        <v>1</v>
      </c>
      <c r="DB4400">
        <v>0</v>
      </c>
      <c r="DC4400">
        <v>0</v>
      </c>
      <c r="DD4400">
        <v>1</v>
      </c>
      <c r="DE4400">
        <v>0</v>
      </c>
      <c r="DF4400">
        <v>0</v>
      </c>
      <c r="DG4400">
        <v>0</v>
      </c>
      <c r="DH4400">
        <v>0</v>
      </c>
      <c r="DI4400">
        <v>0</v>
      </c>
    </row>
    <row r="4401" spans="1:113" x14ac:dyDescent="0.3">
      <c r="A4401" t="str">
        <f t="shared" si="2024"/>
        <v>05/12/2020 14:49:00.651</v>
      </c>
      <c r="C4401" t="str">
        <f t="shared" si="2014"/>
        <v>FFDFD3C0</v>
      </c>
      <c r="D4401" t="s">
        <v>138</v>
      </c>
      <c r="E4401">
        <v>2</v>
      </c>
      <c r="H4401">
        <v>8</v>
      </c>
      <c r="I4401" t="s">
        <v>139</v>
      </c>
      <c r="J4401" t="s">
        <v>136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 t="shared" si="2025"/>
        <v>14:49:18.461</v>
      </c>
      <c r="T4401" t="str">
        <f t="shared" si="2026"/>
        <v>14:49:18.161</v>
      </c>
      <c r="U4401" t="str">
        <f t="shared" si="2007"/>
        <v>A9808D</v>
      </c>
      <c r="V4401">
        <v>0</v>
      </c>
      <c r="W4401">
        <v>0</v>
      </c>
      <c r="X4401">
        <v>1</v>
      </c>
      <c r="Z4401">
        <v>0</v>
      </c>
      <c r="AA4401">
        <v>9</v>
      </c>
      <c r="AB4401">
        <v>3</v>
      </c>
      <c r="AC4401">
        <v>0</v>
      </c>
      <c r="AD4401">
        <v>10</v>
      </c>
      <c r="AE4401">
        <v>0</v>
      </c>
      <c r="AF4401">
        <v>3</v>
      </c>
      <c r="AG4401">
        <v>2</v>
      </c>
      <c r="AH4401">
        <v>0</v>
      </c>
      <c r="AI4401" t="s">
        <v>996</v>
      </c>
      <c r="AJ4401">
        <v>28.249518999999999</v>
      </c>
      <c r="AK4401" t="s">
        <v>997</v>
      </c>
      <c r="AL4401">
        <v>-82.321458000000007</v>
      </c>
      <c r="AM4401">
        <v>100</v>
      </c>
      <c r="AN4401">
        <v>2200</v>
      </c>
      <c r="AO4401" t="s">
        <v>118</v>
      </c>
      <c r="AP4401">
        <v>-135</v>
      </c>
      <c r="AQ4401">
        <v>-62</v>
      </c>
      <c r="AR4401">
        <v>-384</v>
      </c>
      <c r="AZ4401">
        <v>1200</v>
      </c>
      <c r="BA4401">
        <v>1</v>
      </c>
      <c r="BB4401" t="str">
        <f t="shared" si="2015"/>
        <v xml:space="preserve">N711JA  </v>
      </c>
      <c r="BC4401">
        <v>1</v>
      </c>
      <c r="BE4401">
        <v>0</v>
      </c>
      <c r="BF4401">
        <v>0</v>
      </c>
      <c r="BG4401">
        <v>0</v>
      </c>
      <c r="BH4401">
        <v>2200</v>
      </c>
      <c r="BI4401">
        <v>1</v>
      </c>
      <c r="BJ4401">
        <v>1</v>
      </c>
      <c r="BK4401">
        <v>0</v>
      </c>
      <c r="BL4401">
        <v>0</v>
      </c>
      <c r="BO4401">
        <v>0</v>
      </c>
      <c r="BP4401">
        <v>0</v>
      </c>
      <c r="BW4401" t="str">
        <f t="shared" si="2027"/>
        <v>14:49:18.468</v>
      </c>
      <c r="CJ4401">
        <v>0</v>
      </c>
      <c r="CK4401">
        <v>2</v>
      </c>
      <c r="CL4401">
        <v>0</v>
      </c>
      <c r="CM4401">
        <v>2</v>
      </c>
      <c r="CN4401">
        <v>0</v>
      </c>
      <c r="CO4401">
        <v>7</v>
      </c>
      <c r="CP4401" t="s">
        <v>119</v>
      </c>
      <c r="CQ4401">
        <v>8</v>
      </c>
      <c r="CR4401">
        <v>3</v>
      </c>
      <c r="CW4401">
        <v>9151595</v>
      </c>
      <c r="CY4401">
        <v>1</v>
      </c>
      <c r="CZ4401">
        <v>0</v>
      </c>
      <c r="DA4401">
        <v>1</v>
      </c>
      <c r="DB4401">
        <v>0</v>
      </c>
      <c r="DC4401">
        <v>0</v>
      </c>
      <c r="DD4401">
        <v>1</v>
      </c>
      <c r="DE4401">
        <v>0</v>
      </c>
      <c r="DF4401">
        <v>0</v>
      </c>
      <c r="DG4401">
        <v>0</v>
      </c>
      <c r="DH4401">
        <v>0</v>
      </c>
      <c r="DI4401">
        <v>0</v>
      </c>
    </row>
    <row r="4402" spans="1:113" x14ac:dyDescent="0.3">
      <c r="A4402" t="str">
        <f t="shared" si="2024"/>
        <v>05/12/2020 14:49:00.651</v>
      </c>
      <c r="C4402" t="str">
        <f t="shared" si="2014"/>
        <v>FFDFD3C0</v>
      </c>
      <c r="D4402" t="s">
        <v>138</v>
      </c>
      <c r="E4402">
        <v>3</v>
      </c>
      <c r="H4402">
        <v>9</v>
      </c>
      <c r="I4402" t="s">
        <v>140</v>
      </c>
      <c r="J4402" t="s">
        <v>136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 t="shared" si="2025"/>
        <v>14:49:18.461</v>
      </c>
      <c r="T4402" t="str">
        <f t="shared" si="2026"/>
        <v>14:49:18.161</v>
      </c>
      <c r="U4402" t="str">
        <f t="shared" si="2007"/>
        <v>A9808D</v>
      </c>
      <c r="V4402">
        <v>0</v>
      </c>
      <c r="W4402">
        <v>0</v>
      </c>
      <c r="X4402">
        <v>1</v>
      </c>
      <c r="Z4402">
        <v>0</v>
      </c>
      <c r="AA4402">
        <v>9</v>
      </c>
      <c r="AB4402">
        <v>3</v>
      </c>
      <c r="AC4402">
        <v>0</v>
      </c>
      <c r="AD4402">
        <v>10</v>
      </c>
      <c r="AE4402">
        <v>0</v>
      </c>
      <c r="AF4402">
        <v>3</v>
      </c>
      <c r="AG4402">
        <v>2</v>
      </c>
      <c r="AH4402">
        <v>0</v>
      </c>
      <c r="AI4402" t="s">
        <v>996</v>
      </c>
      <c r="AJ4402">
        <v>28.249518999999999</v>
      </c>
      <c r="AK4402" t="s">
        <v>997</v>
      </c>
      <c r="AL4402">
        <v>-82.321458000000007</v>
      </c>
      <c r="AM4402">
        <v>100</v>
      </c>
      <c r="AN4402">
        <v>2200</v>
      </c>
      <c r="AO4402" t="s">
        <v>118</v>
      </c>
      <c r="AP4402">
        <v>-135</v>
      </c>
      <c r="AQ4402">
        <v>-62</v>
      </c>
      <c r="AR4402">
        <v>-384</v>
      </c>
      <c r="AZ4402">
        <v>1200</v>
      </c>
      <c r="BA4402">
        <v>1</v>
      </c>
      <c r="BB4402" t="str">
        <f t="shared" si="2015"/>
        <v xml:space="preserve">N711JA  </v>
      </c>
      <c r="BC4402">
        <v>1</v>
      </c>
      <c r="BE4402">
        <v>0</v>
      </c>
      <c r="BF4402">
        <v>0</v>
      </c>
      <c r="BG4402">
        <v>0</v>
      </c>
      <c r="BH4402">
        <v>2200</v>
      </c>
      <c r="BI4402">
        <v>1</v>
      </c>
      <c r="BJ4402">
        <v>1</v>
      </c>
      <c r="BK4402">
        <v>0</v>
      </c>
      <c r="BL4402">
        <v>0</v>
      </c>
      <c r="BO4402">
        <v>0</v>
      </c>
      <c r="BP4402">
        <v>0</v>
      </c>
      <c r="BW4402" t="str">
        <f t="shared" si="2027"/>
        <v>14:49:18.468</v>
      </c>
      <c r="CJ4402">
        <v>0</v>
      </c>
      <c r="CK4402">
        <v>2</v>
      </c>
      <c r="CL4402">
        <v>0</v>
      </c>
      <c r="CM4402">
        <v>2</v>
      </c>
      <c r="CN4402">
        <v>0</v>
      </c>
      <c r="CO4402">
        <v>7</v>
      </c>
      <c r="CP4402" t="s">
        <v>119</v>
      </c>
      <c r="CQ4402">
        <v>8</v>
      </c>
      <c r="CR4402">
        <v>3</v>
      </c>
      <c r="CW4402">
        <v>9151595</v>
      </c>
      <c r="CY4402">
        <v>1</v>
      </c>
      <c r="CZ4402">
        <v>0</v>
      </c>
      <c r="DA4402">
        <v>1</v>
      </c>
      <c r="DB4402">
        <v>0</v>
      </c>
      <c r="DC4402">
        <v>0</v>
      </c>
      <c r="DD4402">
        <v>1</v>
      </c>
      <c r="DE4402">
        <v>0</v>
      </c>
      <c r="DF4402">
        <v>0</v>
      </c>
      <c r="DG4402">
        <v>0</v>
      </c>
      <c r="DH4402">
        <v>0</v>
      </c>
      <c r="DI4402">
        <v>0</v>
      </c>
    </row>
    <row r="4403" spans="1:113" x14ac:dyDescent="0.3">
      <c r="A4403" t="str">
        <f t="shared" si="2024"/>
        <v>05/12/2020 14:49:00.651</v>
      </c>
      <c r="C4403" t="str">
        <f t="shared" si="2014"/>
        <v>FFDFD3C0</v>
      </c>
      <c r="D4403" t="s">
        <v>126</v>
      </c>
      <c r="E4403">
        <v>7</v>
      </c>
      <c r="F4403">
        <v>1007</v>
      </c>
      <c r="G4403" t="s">
        <v>127</v>
      </c>
      <c r="J4403" t="s">
        <v>128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 t="shared" si="2025"/>
        <v>14:49:18.461</v>
      </c>
      <c r="T4403" t="str">
        <f t="shared" si="2026"/>
        <v>14:49:18.161</v>
      </c>
      <c r="U4403" t="str">
        <f t="shared" si="2007"/>
        <v>A9808D</v>
      </c>
      <c r="V4403">
        <v>0</v>
      </c>
      <c r="W4403">
        <v>0</v>
      </c>
      <c r="X4403">
        <v>1</v>
      </c>
      <c r="Z4403">
        <v>0</v>
      </c>
      <c r="AA4403">
        <v>9</v>
      </c>
      <c r="AB4403">
        <v>3</v>
      </c>
      <c r="AC4403">
        <v>0</v>
      </c>
      <c r="AD4403">
        <v>10</v>
      </c>
      <c r="AE4403">
        <v>0</v>
      </c>
      <c r="AF4403">
        <v>3</v>
      </c>
      <c r="AG4403">
        <v>2</v>
      </c>
      <c r="AH4403">
        <v>0</v>
      </c>
      <c r="AI4403" t="s">
        <v>996</v>
      </c>
      <c r="AJ4403">
        <v>28.249518999999999</v>
      </c>
      <c r="AK4403" t="s">
        <v>997</v>
      </c>
      <c r="AL4403">
        <v>-82.321458000000007</v>
      </c>
      <c r="AM4403">
        <v>100</v>
      </c>
      <c r="AN4403">
        <v>2200</v>
      </c>
      <c r="AO4403" t="s">
        <v>118</v>
      </c>
      <c r="AP4403">
        <v>-135</v>
      </c>
      <c r="AQ4403">
        <v>-62</v>
      </c>
      <c r="AR4403">
        <v>-384</v>
      </c>
      <c r="AZ4403">
        <v>1200</v>
      </c>
      <c r="BA4403">
        <v>1</v>
      </c>
      <c r="BB4403" t="str">
        <f t="shared" si="2015"/>
        <v xml:space="preserve">N711JA  </v>
      </c>
      <c r="BC4403">
        <v>1</v>
      </c>
      <c r="BE4403">
        <v>0</v>
      </c>
      <c r="BF4403">
        <v>0</v>
      </c>
      <c r="BG4403">
        <v>0</v>
      </c>
      <c r="BH4403">
        <v>2200</v>
      </c>
      <c r="BI4403">
        <v>1</v>
      </c>
      <c r="BJ4403">
        <v>1</v>
      </c>
      <c r="BK4403">
        <v>0</v>
      </c>
      <c r="BL4403">
        <v>0</v>
      </c>
      <c r="BO4403">
        <v>0</v>
      </c>
      <c r="BP4403">
        <v>0</v>
      </c>
      <c r="BW4403" t="str">
        <f t="shared" si="2027"/>
        <v>14:49:18.468</v>
      </c>
      <c r="CJ4403">
        <v>0</v>
      </c>
      <c r="CK4403">
        <v>2</v>
      </c>
      <c r="CL4403">
        <v>0</v>
      </c>
      <c r="CM4403">
        <v>2</v>
      </c>
      <c r="CN4403">
        <v>0</v>
      </c>
      <c r="CO4403">
        <v>7</v>
      </c>
      <c r="CP4403" t="s">
        <v>119</v>
      </c>
      <c r="CQ4403">
        <v>8</v>
      </c>
      <c r="CR4403">
        <v>3</v>
      </c>
      <c r="CW4403">
        <v>9151595</v>
      </c>
      <c r="CY4403">
        <v>1</v>
      </c>
      <c r="CZ4403">
        <v>0</v>
      </c>
      <c r="DA4403">
        <v>1</v>
      </c>
      <c r="DB4403">
        <v>0</v>
      </c>
      <c r="DC4403">
        <v>0</v>
      </c>
      <c r="DD4403">
        <v>1</v>
      </c>
      <c r="DE4403">
        <v>0</v>
      </c>
      <c r="DF4403">
        <v>0</v>
      </c>
      <c r="DG4403">
        <v>0</v>
      </c>
      <c r="DH4403">
        <v>0</v>
      </c>
      <c r="DI4403">
        <v>0</v>
      </c>
    </row>
    <row r="4404" spans="1:113" x14ac:dyDescent="0.3">
      <c r="A4404" t="str">
        <f t="shared" si="2024"/>
        <v>05/12/2020 14:49:00.651</v>
      </c>
      <c r="C4404" t="str">
        <f t="shared" si="2014"/>
        <v>FFDFD3C0</v>
      </c>
      <c r="D4404" t="s">
        <v>131</v>
      </c>
      <c r="E4404">
        <v>10</v>
      </c>
      <c r="F4404">
        <v>2010</v>
      </c>
      <c r="G4404" t="s">
        <v>132</v>
      </c>
      <c r="J4404" t="s">
        <v>133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 t="shared" si="2025"/>
        <v>14:49:18.461</v>
      </c>
      <c r="T4404" t="str">
        <f t="shared" si="2026"/>
        <v>14:49:18.161</v>
      </c>
      <c r="U4404" t="str">
        <f t="shared" si="2007"/>
        <v>A9808D</v>
      </c>
      <c r="V4404">
        <v>0</v>
      </c>
      <c r="W4404">
        <v>0</v>
      </c>
      <c r="X4404">
        <v>1</v>
      </c>
      <c r="Z4404">
        <v>0</v>
      </c>
      <c r="AA4404">
        <v>9</v>
      </c>
      <c r="AB4404">
        <v>3</v>
      </c>
      <c r="AC4404">
        <v>0</v>
      </c>
      <c r="AD4404">
        <v>10</v>
      </c>
      <c r="AE4404">
        <v>0</v>
      </c>
      <c r="AF4404">
        <v>3</v>
      </c>
      <c r="AG4404">
        <v>2</v>
      </c>
      <c r="AH4404">
        <v>0</v>
      </c>
      <c r="AI4404" t="s">
        <v>996</v>
      </c>
      <c r="AJ4404">
        <v>28.249518999999999</v>
      </c>
      <c r="AK4404" t="s">
        <v>997</v>
      </c>
      <c r="AL4404">
        <v>-82.321458000000007</v>
      </c>
      <c r="AM4404">
        <v>100</v>
      </c>
      <c r="AN4404">
        <v>2200</v>
      </c>
      <c r="AO4404" t="s">
        <v>118</v>
      </c>
      <c r="AP4404">
        <v>-135</v>
      </c>
      <c r="AQ4404">
        <v>-62</v>
      </c>
      <c r="AR4404">
        <v>-384</v>
      </c>
      <c r="AZ4404">
        <v>1200</v>
      </c>
      <c r="BA4404">
        <v>1</v>
      </c>
      <c r="BB4404" t="str">
        <f t="shared" si="2015"/>
        <v xml:space="preserve">N711JA  </v>
      </c>
      <c r="BC4404">
        <v>1</v>
      </c>
      <c r="BE4404">
        <v>0</v>
      </c>
      <c r="BF4404">
        <v>0</v>
      </c>
      <c r="BG4404">
        <v>0</v>
      </c>
      <c r="BH4404">
        <v>2200</v>
      </c>
      <c r="BI4404">
        <v>1</v>
      </c>
      <c r="BJ4404">
        <v>1</v>
      </c>
      <c r="BK4404">
        <v>0</v>
      </c>
      <c r="BL4404">
        <v>0</v>
      </c>
      <c r="BO4404">
        <v>0</v>
      </c>
      <c r="BP4404">
        <v>0</v>
      </c>
      <c r="BW4404" t="str">
        <f t="shared" si="2027"/>
        <v>14:49:18.468</v>
      </c>
      <c r="CJ4404">
        <v>0</v>
      </c>
      <c r="CK4404">
        <v>2</v>
      </c>
      <c r="CL4404">
        <v>0</v>
      </c>
      <c r="CM4404">
        <v>2</v>
      </c>
      <c r="CN4404">
        <v>0</v>
      </c>
      <c r="CO4404">
        <v>7</v>
      </c>
      <c r="CP4404" t="s">
        <v>119</v>
      </c>
      <c r="CQ4404">
        <v>8</v>
      </c>
      <c r="CR4404">
        <v>3</v>
      </c>
      <c r="CW4404">
        <v>9151595</v>
      </c>
      <c r="CY4404">
        <v>1</v>
      </c>
      <c r="CZ4404">
        <v>0</v>
      </c>
      <c r="DA4404">
        <v>1</v>
      </c>
      <c r="DB4404">
        <v>0</v>
      </c>
      <c r="DC4404">
        <v>0</v>
      </c>
      <c r="DD4404">
        <v>1</v>
      </c>
      <c r="DE4404">
        <v>0</v>
      </c>
      <c r="DF4404">
        <v>0</v>
      </c>
      <c r="DG4404">
        <v>0</v>
      </c>
      <c r="DH4404">
        <v>0</v>
      </c>
      <c r="DI4404">
        <v>0</v>
      </c>
    </row>
    <row r="4405" spans="1:113" x14ac:dyDescent="0.3">
      <c r="A4405" t="str">
        <f t="shared" si="2024"/>
        <v>05/12/2020 14:49:00.651</v>
      </c>
      <c r="C4405" t="str">
        <f t="shared" si="2014"/>
        <v>FFDFD3C0</v>
      </c>
      <c r="D4405" t="s">
        <v>131</v>
      </c>
      <c r="E4405">
        <v>12</v>
      </c>
      <c r="F4405">
        <v>2012</v>
      </c>
      <c r="G4405" t="s">
        <v>137</v>
      </c>
      <c r="J4405" t="s">
        <v>133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 t="shared" si="2025"/>
        <v>14:49:18.461</v>
      </c>
      <c r="T4405" t="str">
        <f t="shared" si="2026"/>
        <v>14:49:18.161</v>
      </c>
      <c r="U4405" t="str">
        <f t="shared" si="2007"/>
        <v>A9808D</v>
      </c>
      <c r="V4405">
        <v>0</v>
      </c>
      <c r="W4405">
        <v>0</v>
      </c>
      <c r="X4405">
        <v>1</v>
      </c>
      <c r="Z4405">
        <v>0</v>
      </c>
      <c r="AA4405">
        <v>9</v>
      </c>
      <c r="AB4405">
        <v>3</v>
      </c>
      <c r="AC4405">
        <v>0</v>
      </c>
      <c r="AD4405">
        <v>10</v>
      </c>
      <c r="AE4405">
        <v>0</v>
      </c>
      <c r="AF4405">
        <v>3</v>
      </c>
      <c r="AG4405">
        <v>2</v>
      </c>
      <c r="AH4405">
        <v>0</v>
      </c>
      <c r="AI4405" t="s">
        <v>996</v>
      </c>
      <c r="AJ4405">
        <v>28.249518999999999</v>
      </c>
      <c r="AK4405" t="s">
        <v>997</v>
      </c>
      <c r="AL4405">
        <v>-82.321458000000007</v>
      </c>
      <c r="AM4405">
        <v>100</v>
      </c>
      <c r="AN4405">
        <v>2200</v>
      </c>
      <c r="AO4405" t="s">
        <v>118</v>
      </c>
      <c r="AP4405">
        <v>-135</v>
      </c>
      <c r="AQ4405">
        <v>-62</v>
      </c>
      <c r="AR4405">
        <v>-384</v>
      </c>
      <c r="AZ4405">
        <v>1200</v>
      </c>
      <c r="BA4405">
        <v>1</v>
      </c>
      <c r="BB4405" t="str">
        <f t="shared" si="2015"/>
        <v xml:space="preserve">N711JA  </v>
      </c>
      <c r="BC4405">
        <v>1</v>
      </c>
      <c r="BE4405">
        <v>0</v>
      </c>
      <c r="BF4405">
        <v>0</v>
      </c>
      <c r="BG4405">
        <v>0</v>
      </c>
      <c r="BH4405">
        <v>2200</v>
      </c>
      <c r="BI4405">
        <v>1</v>
      </c>
      <c r="BJ4405">
        <v>1</v>
      </c>
      <c r="BK4405">
        <v>0</v>
      </c>
      <c r="BL4405">
        <v>0</v>
      </c>
      <c r="BO4405">
        <v>0</v>
      </c>
      <c r="BP4405">
        <v>0</v>
      </c>
      <c r="BW4405" t="str">
        <f t="shared" si="2027"/>
        <v>14:49:18.468</v>
      </c>
      <c r="CJ4405">
        <v>0</v>
      </c>
      <c r="CK4405">
        <v>2</v>
      </c>
      <c r="CL4405">
        <v>0</v>
      </c>
      <c r="CM4405">
        <v>2</v>
      </c>
      <c r="CN4405">
        <v>0</v>
      </c>
      <c r="CO4405">
        <v>7</v>
      </c>
      <c r="CP4405" t="s">
        <v>119</v>
      </c>
      <c r="CQ4405">
        <v>8</v>
      </c>
      <c r="CR4405">
        <v>3</v>
      </c>
      <c r="CW4405">
        <v>9151595</v>
      </c>
      <c r="CY4405">
        <v>1</v>
      </c>
      <c r="CZ4405">
        <v>0</v>
      </c>
      <c r="DA4405">
        <v>1</v>
      </c>
      <c r="DB4405">
        <v>0</v>
      </c>
      <c r="DC4405">
        <v>0</v>
      </c>
      <c r="DD4405">
        <v>1</v>
      </c>
      <c r="DE4405">
        <v>0</v>
      </c>
      <c r="DF4405">
        <v>0</v>
      </c>
      <c r="DG4405">
        <v>0</v>
      </c>
      <c r="DH4405">
        <v>0</v>
      </c>
      <c r="DI4405">
        <v>0</v>
      </c>
    </row>
    <row r="4406" spans="1:113" x14ac:dyDescent="0.3">
      <c r="A4406" t="str">
        <f t="shared" si="2024"/>
        <v>05/12/2020 14:49:00.651</v>
      </c>
      <c r="C4406" t="str">
        <f t="shared" si="2014"/>
        <v>FFDFD3C0</v>
      </c>
      <c r="D4406" t="s">
        <v>131</v>
      </c>
      <c r="E4406">
        <v>18</v>
      </c>
      <c r="F4406">
        <v>2018</v>
      </c>
      <c r="G4406" t="s">
        <v>161</v>
      </c>
      <c r="J4406" t="s">
        <v>133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 t="shared" si="2025"/>
        <v>14:49:18.461</v>
      </c>
      <c r="T4406" t="str">
        <f t="shared" si="2026"/>
        <v>14:49:18.161</v>
      </c>
      <c r="U4406" t="str">
        <f t="shared" si="2007"/>
        <v>A9808D</v>
      </c>
      <c r="V4406">
        <v>0</v>
      </c>
      <c r="W4406">
        <v>0</v>
      </c>
      <c r="X4406">
        <v>1</v>
      </c>
      <c r="Z4406">
        <v>0</v>
      </c>
      <c r="AA4406">
        <v>9</v>
      </c>
      <c r="AB4406">
        <v>3</v>
      </c>
      <c r="AC4406">
        <v>0</v>
      </c>
      <c r="AD4406">
        <v>10</v>
      </c>
      <c r="AE4406">
        <v>0</v>
      </c>
      <c r="AF4406">
        <v>3</v>
      </c>
      <c r="AG4406">
        <v>2</v>
      </c>
      <c r="AH4406">
        <v>0</v>
      </c>
      <c r="AI4406" t="s">
        <v>996</v>
      </c>
      <c r="AJ4406">
        <v>28.249518999999999</v>
      </c>
      <c r="AK4406" t="s">
        <v>997</v>
      </c>
      <c r="AL4406">
        <v>-82.321458000000007</v>
      </c>
      <c r="AM4406">
        <v>100</v>
      </c>
      <c r="AN4406">
        <v>2200</v>
      </c>
      <c r="AO4406" t="s">
        <v>118</v>
      </c>
      <c r="AP4406">
        <v>-135</v>
      </c>
      <c r="AQ4406">
        <v>-62</v>
      </c>
      <c r="AR4406">
        <v>-384</v>
      </c>
      <c r="AZ4406">
        <v>1200</v>
      </c>
      <c r="BA4406">
        <v>1</v>
      </c>
      <c r="BB4406" t="str">
        <f t="shared" si="2015"/>
        <v xml:space="preserve">N711JA  </v>
      </c>
      <c r="BC4406">
        <v>1</v>
      </c>
      <c r="BE4406">
        <v>0</v>
      </c>
      <c r="BF4406">
        <v>0</v>
      </c>
      <c r="BG4406">
        <v>0</v>
      </c>
      <c r="BH4406">
        <v>2200</v>
      </c>
      <c r="BI4406">
        <v>1</v>
      </c>
      <c r="BJ4406">
        <v>1</v>
      </c>
      <c r="BK4406">
        <v>0</v>
      </c>
      <c r="BL4406">
        <v>0</v>
      </c>
      <c r="BO4406">
        <v>0</v>
      </c>
      <c r="BP4406">
        <v>0</v>
      </c>
      <c r="BW4406" t="str">
        <f t="shared" si="2027"/>
        <v>14:49:18.468</v>
      </c>
      <c r="CJ4406">
        <v>0</v>
      </c>
      <c r="CK4406">
        <v>2</v>
      </c>
      <c r="CL4406">
        <v>0</v>
      </c>
      <c r="CM4406">
        <v>2</v>
      </c>
      <c r="CN4406">
        <v>0</v>
      </c>
      <c r="CO4406">
        <v>6</v>
      </c>
      <c r="CP4406" t="s">
        <v>119</v>
      </c>
      <c r="CQ4406">
        <v>56</v>
      </c>
      <c r="CR4406">
        <v>2</v>
      </c>
      <c r="CW4406">
        <v>5150968</v>
      </c>
      <c r="CY4406">
        <v>1</v>
      </c>
      <c r="CZ4406">
        <v>0</v>
      </c>
      <c r="DA4406">
        <v>1</v>
      </c>
      <c r="DB4406">
        <v>0</v>
      </c>
      <c r="DC4406">
        <v>0</v>
      </c>
      <c r="DD4406">
        <v>1</v>
      </c>
      <c r="DE4406">
        <v>0</v>
      </c>
      <c r="DF4406">
        <v>0</v>
      </c>
      <c r="DG4406">
        <v>0</v>
      </c>
      <c r="DH4406">
        <v>0</v>
      </c>
      <c r="DI4406">
        <v>0</v>
      </c>
    </row>
    <row r="4407" spans="1:113" x14ac:dyDescent="0.3">
      <c r="A4407" t="str">
        <f t="shared" si="2024"/>
        <v>05/12/2020 14:49:00.651</v>
      </c>
      <c r="C4407" t="str">
        <f t="shared" si="2014"/>
        <v>FFDFD3C0</v>
      </c>
      <c r="D4407" t="s">
        <v>126</v>
      </c>
      <c r="E4407">
        <v>6</v>
      </c>
      <c r="F4407">
        <v>1006</v>
      </c>
      <c r="G4407" t="s">
        <v>114</v>
      </c>
      <c r="J4407" t="s">
        <v>128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 t="shared" si="2025"/>
        <v>14:49:18.461</v>
      </c>
      <c r="T4407" t="str">
        <f t="shared" si="2026"/>
        <v>14:49:18.161</v>
      </c>
      <c r="U4407" t="str">
        <f t="shared" si="2007"/>
        <v>A9808D</v>
      </c>
      <c r="V4407">
        <v>0</v>
      </c>
      <c r="W4407">
        <v>0</v>
      </c>
      <c r="X4407">
        <v>1</v>
      </c>
      <c r="Z4407">
        <v>0</v>
      </c>
      <c r="AA4407">
        <v>9</v>
      </c>
      <c r="AB4407">
        <v>3</v>
      </c>
      <c r="AC4407">
        <v>0</v>
      </c>
      <c r="AD4407">
        <v>10</v>
      </c>
      <c r="AE4407">
        <v>0</v>
      </c>
      <c r="AF4407">
        <v>3</v>
      </c>
      <c r="AG4407">
        <v>2</v>
      </c>
      <c r="AH4407">
        <v>0</v>
      </c>
      <c r="AI4407" t="s">
        <v>996</v>
      </c>
      <c r="AJ4407">
        <v>28.249518999999999</v>
      </c>
      <c r="AK4407" t="s">
        <v>997</v>
      </c>
      <c r="AL4407">
        <v>-82.321458000000007</v>
      </c>
      <c r="AM4407">
        <v>100</v>
      </c>
      <c r="AN4407">
        <v>2200</v>
      </c>
      <c r="AO4407" t="s">
        <v>118</v>
      </c>
      <c r="AP4407">
        <v>-135</v>
      </c>
      <c r="AQ4407">
        <v>-62</v>
      </c>
      <c r="AR4407">
        <v>-384</v>
      </c>
      <c r="AZ4407">
        <v>1200</v>
      </c>
      <c r="BA4407">
        <v>1</v>
      </c>
      <c r="BB4407" t="str">
        <f t="shared" si="2015"/>
        <v xml:space="preserve">N711JA  </v>
      </c>
      <c r="BC4407">
        <v>1</v>
      </c>
      <c r="BE4407">
        <v>0</v>
      </c>
      <c r="BF4407">
        <v>0</v>
      </c>
      <c r="BG4407">
        <v>0</v>
      </c>
      <c r="BH4407">
        <v>2200</v>
      </c>
      <c r="BI4407">
        <v>1</v>
      </c>
      <c r="BJ4407">
        <v>1</v>
      </c>
      <c r="BK4407">
        <v>0</v>
      </c>
      <c r="BL4407">
        <v>0</v>
      </c>
      <c r="BO4407">
        <v>0</v>
      </c>
      <c r="BP4407">
        <v>0</v>
      </c>
      <c r="BW4407" t="str">
        <f t="shared" si="2027"/>
        <v>14:49:18.468</v>
      </c>
      <c r="CJ4407">
        <v>0</v>
      </c>
      <c r="CK4407">
        <v>2</v>
      </c>
      <c r="CL4407">
        <v>0</v>
      </c>
      <c r="CM4407">
        <v>2</v>
      </c>
      <c r="CN4407">
        <v>0</v>
      </c>
      <c r="CO4407">
        <v>7</v>
      </c>
      <c r="CP4407" t="s">
        <v>119</v>
      </c>
      <c r="CQ4407">
        <v>8</v>
      </c>
      <c r="CR4407">
        <v>3</v>
      </c>
      <c r="CW4407">
        <v>9151595</v>
      </c>
      <c r="CY4407">
        <v>1</v>
      </c>
      <c r="CZ4407">
        <v>0</v>
      </c>
      <c r="DA4407">
        <v>1</v>
      </c>
      <c r="DB4407">
        <v>0</v>
      </c>
      <c r="DC4407">
        <v>0</v>
      </c>
      <c r="DD4407">
        <v>1</v>
      </c>
      <c r="DE4407">
        <v>0</v>
      </c>
      <c r="DF4407">
        <v>0</v>
      </c>
      <c r="DG4407">
        <v>0</v>
      </c>
      <c r="DH4407">
        <v>0</v>
      </c>
      <c r="DI4407">
        <v>0</v>
      </c>
    </row>
    <row r="4408" spans="1:113" x14ac:dyDescent="0.3">
      <c r="A4408" t="str">
        <f t="shared" ref="A4408:A4416" si="2028">"05/12/2020 14:49:01.712"</f>
        <v>05/12/2020 14:49:01.712</v>
      </c>
      <c r="C4408" t="str">
        <f t="shared" si="2014"/>
        <v>FFDFD3C0</v>
      </c>
      <c r="D4408" t="s">
        <v>134</v>
      </c>
      <c r="E4408">
        <v>12</v>
      </c>
      <c r="H4408">
        <v>64</v>
      </c>
      <c r="I4408" t="s">
        <v>135</v>
      </c>
      <c r="J4408" t="s">
        <v>136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 t="shared" ref="S4408:S4416" si="2029">"14:49:19.555"</f>
        <v>14:49:19.555</v>
      </c>
      <c r="T4408" t="str">
        <f t="shared" ref="T4408:T4416" si="2030">"14:49:19.155"</f>
        <v>14:49:19.155</v>
      </c>
      <c r="U4408" t="str">
        <f t="shared" si="2007"/>
        <v>A9808D</v>
      </c>
      <c r="V4408">
        <v>0</v>
      </c>
      <c r="W4408">
        <v>0</v>
      </c>
      <c r="X4408">
        <v>1</v>
      </c>
      <c r="Z4408">
        <v>0</v>
      </c>
      <c r="AA4408">
        <v>9</v>
      </c>
      <c r="AB4408">
        <v>3</v>
      </c>
      <c r="AC4408">
        <v>0</v>
      </c>
      <c r="AD4408">
        <v>10</v>
      </c>
      <c r="AE4408">
        <v>0</v>
      </c>
      <c r="AF4408">
        <v>3</v>
      </c>
      <c r="AG4408">
        <v>2</v>
      </c>
      <c r="AH4408">
        <v>0</v>
      </c>
      <c r="AI4408" t="s">
        <v>668</v>
      </c>
      <c r="AJ4408">
        <v>28.249196999999999</v>
      </c>
      <c r="AK4408" t="s">
        <v>998</v>
      </c>
      <c r="AL4408">
        <v>-82.322230000000005</v>
      </c>
      <c r="AM4408">
        <v>100</v>
      </c>
      <c r="AN4408">
        <v>2200</v>
      </c>
      <c r="AO4408" t="s">
        <v>118</v>
      </c>
      <c r="AP4408">
        <v>-136</v>
      </c>
      <c r="AQ4408">
        <v>-60</v>
      </c>
      <c r="AR4408">
        <v>-256</v>
      </c>
      <c r="AZ4408">
        <v>1200</v>
      </c>
      <c r="BA4408">
        <v>1</v>
      </c>
      <c r="BB4408" t="str">
        <f t="shared" si="2015"/>
        <v xml:space="preserve">N711JA  </v>
      </c>
      <c r="BC4408">
        <v>1</v>
      </c>
      <c r="BE4408">
        <v>0</v>
      </c>
      <c r="BF4408">
        <v>0</v>
      </c>
      <c r="BG4408">
        <v>0</v>
      </c>
      <c r="BH4408">
        <v>2200</v>
      </c>
      <c r="BI4408">
        <v>1</v>
      </c>
      <c r="BJ4408">
        <v>1</v>
      </c>
      <c r="BK4408">
        <v>0</v>
      </c>
      <c r="BL4408">
        <v>0</v>
      </c>
      <c r="BO4408">
        <v>0</v>
      </c>
      <c r="BP4408">
        <v>0</v>
      </c>
      <c r="BW4408" t="str">
        <f t="shared" ref="BW4408:BW4416" si="2031">"14:49:19.560"</f>
        <v>14:49:19.560</v>
      </c>
      <c r="CJ4408">
        <v>0</v>
      </c>
      <c r="CK4408">
        <v>2</v>
      </c>
      <c r="CL4408">
        <v>0</v>
      </c>
      <c r="CM4408">
        <v>2</v>
      </c>
      <c r="CN4408">
        <v>0</v>
      </c>
      <c r="CO4408">
        <v>7</v>
      </c>
      <c r="CP4408" t="s">
        <v>119</v>
      </c>
      <c r="CQ4408">
        <v>8</v>
      </c>
      <c r="CR4408">
        <v>3</v>
      </c>
      <c r="CW4408">
        <v>9152745</v>
      </c>
      <c r="CY4408">
        <v>1</v>
      </c>
      <c r="CZ4408">
        <v>0</v>
      </c>
      <c r="DA4408">
        <v>0</v>
      </c>
      <c r="DB4408">
        <v>0</v>
      </c>
      <c r="DC4408">
        <v>0</v>
      </c>
      <c r="DD4408">
        <v>1</v>
      </c>
      <c r="DE4408">
        <v>0</v>
      </c>
      <c r="DF4408">
        <v>0</v>
      </c>
      <c r="DG4408">
        <v>0</v>
      </c>
      <c r="DH4408">
        <v>0</v>
      </c>
      <c r="DI4408">
        <v>0</v>
      </c>
    </row>
    <row r="4409" spans="1:113" x14ac:dyDescent="0.3">
      <c r="A4409" t="str">
        <f t="shared" si="2028"/>
        <v>05/12/2020 14:49:01.712</v>
      </c>
      <c r="C4409" t="str">
        <f t="shared" si="2014"/>
        <v>FFDFD3C0</v>
      </c>
      <c r="D4409" t="s">
        <v>138</v>
      </c>
      <c r="E4409">
        <v>2</v>
      </c>
      <c r="H4409">
        <v>8</v>
      </c>
      <c r="I4409" t="s">
        <v>139</v>
      </c>
      <c r="J4409" t="s">
        <v>136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 t="shared" si="2029"/>
        <v>14:49:19.555</v>
      </c>
      <c r="T4409" t="str">
        <f t="shared" si="2030"/>
        <v>14:49:19.155</v>
      </c>
      <c r="U4409" t="str">
        <f t="shared" si="2007"/>
        <v>A9808D</v>
      </c>
      <c r="V4409">
        <v>0</v>
      </c>
      <c r="W4409">
        <v>0</v>
      </c>
      <c r="X4409">
        <v>1</v>
      </c>
      <c r="Z4409">
        <v>0</v>
      </c>
      <c r="AA4409">
        <v>9</v>
      </c>
      <c r="AB4409">
        <v>3</v>
      </c>
      <c r="AC4409">
        <v>0</v>
      </c>
      <c r="AD4409">
        <v>10</v>
      </c>
      <c r="AE4409">
        <v>0</v>
      </c>
      <c r="AF4409">
        <v>3</v>
      </c>
      <c r="AG4409">
        <v>2</v>
      </c>
      <c r="AH4409">
        <v>0</v>
      </c>
      <c r="AI4409" t="s">
        <v>668</v>
      </c>
      <c r="AJ4409">
        <v>28.249196999999999</v>
      </c>
      <c r="AK4409" t="s">
        <v>998</v>
      </c>
      <c r="AL4409">
        <v>-82.322230000000005</v>
      </c>
      <c r="AM4409">
        <v>100</v>
      </c>
      <c r="AN4409">
        <v>2200</v>
      </c>
      <c r="AO4409" t="s">
        <v>118</v>
      </c>
      <c r="AP4409">
        <v>-136</v>
      </c>
      <c r="AQ4409">
        <v>-60</v>
      </c>
      <c r="AR4409">
        <v>-256</v>
      </c>
      <c r="AZ4409">
        <v>1200</v>
      </c>
      <c r="BA4409">
        <v>1</v>
      </c>
      <c r="BB4409" t="str">
        <f t="shared" si="2015"/>
        <v xml:space="preserve">N711JA  </v>
      </c>
      <c r="BC4409">
        <v>1</v>
      </c>
      <c r="BE4409">
        <v>0</v>
      </c>
      <c r="BF4409">
        <v>0</v>
      </c>
      <c r="BG4409">
        <v>0</v>
      </c>
      <c r="BH4409">
        <v>2200</v>
      </c>
      <c r="BI4409">
        <v>1</v>
      </c>
      <c r="BJ4409">
        <v>1</v>
      </c>
      <c r="BK4409">
        <v>0</v>
      </c>
      <c r="BL4409">
        <v>0</v>
      </c>
      <c r="BO4409">
        <v>0</v>
      </c>
      <c r="BP4409">
        <v>0</v>
      </c>
      <c r="BW4409" t="str">
        <f t="shared" si="2031"/>
        <v>14:49:19.560</v>
      </c>
      <c r="CJ4409">
        <v>0</v>
      </c>
      <c r="CK4409">
        <v>2</v>
      </c>
      <c r="CL4409">
        <v>0</v>
      </c>
      <c r="CM4409">
        <v>2</v>
      </c>
      <c r="CN4409">
        <v>0</v>
      </c>
      <c r="CO4409">
        <v>7</v>
      </c>
      <c r="CP4409" t="s">
        <v>119</v>
      </c>
      <c r="CQ4409">
        <v>8</v>
      </c>
      <c r="CR4409">
        <v>3</v>
      </c>
      <c r="CW4409">
        <v>9152745</v>
      </c>
      <c r="CY4409">
        <v>1</v>
      </c>
      <c r="CZ4409">
        <v>0</v>
      </c>
      <c r="DA4409">
        <v>1</v>
      </c>
      <c r="DB4409">
        <v>0</v>
      </c>
      <c r="DC4409">
        <v>0</v>
      </c>
      <c r="DD4409">
        <v>1</v>
      </c>
      <c r="DE4409">
        <v>0</v>
      </c>
      <c r="DF4409">
        <v>0</v>
      </c>
      <c r="DG4409">
        <v>0</v>
      </c>
      <c r="DH4409">
        <v>0</v>
      </c>
      <c r="DI4409">
        <v>0</v>
      </c>
    </row>
    <row r="4410" spans="1:113" x14ac:dyDescent="0.3">
      <c r="A4410" t="str">
        <f t="shared" si="2028"/>
        <v>05/12/2020 14:49:01.712</v>
      </c>
      <c r="C4410" t="str">
        <f t="shared" si="2014"/>
        <v>FFDFD3C0</v>
      </c>
      <c r="D4410" t="s">
        <v>113</v>
      </c>
      <c r="E4410">
        <v>3</v>
      </c>
      <c r="H4410">
        <v>164</v>
      </c>
      <c r="I4410" t="s">
        <v>114</v>
      </c>
      <c r="J4410" t="s">
        <v>115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 t="shared" si="2029"/>
        <v>14:49:19.555</v>
      </c>
      <c r="T4410" t="str">
        <f t="shared" si="2030"/>
        <v>14:49:19.155</v>
      </c>
      <c r="U4410" t="str">
        <f t="shared" si="2007"/>
        <v>A9808D</v>
      </c>
      <c r="V4410">
        <v>0</v>
      </c>
      <c r="W4410">
        <v>0</v>
      </c>
      <c r="X4410">
        <v>1</v>
      </c>
      <c r="Z4410">
        <v>0</v>
      </c>
      <c r="AA4410">
        <v>9</v>
      </c>
      <c r="AB4410">
        <v>3</v>
      </c>
      <c r="AC4410">
        <v>0</v>
      </c>
      <c r="AD4410">
        <v>10</v>
      </c>
      <c r="AE4410">
        <v>0</v>
      </c>
      <c r="AF4410">
        <v>3</v>
      </c>
      <c r="AG4410">
        <v>2</v>
      </c>
      <c r="AH4410">
        <v>0</v>
      </c>
      <c r="AI4410" t="s">
        <v>668</v>
      </c>
      <c r="AJ4410">
        <v>28.249196999999999</v>
      </c>
      <c r="AK4410" t="s">
        <v>998</v>
      </c>
      <c r="AL4410">
        <v>-82.322230000000005</v>
      </c>
      <c r="AM4410">
        <v>100</v>
      </c>
      <c r="AN4410">
        <v>2200</v>
      </c>
      <c r="AO4410" t="s">
        <v>118</v>
      </c>
      <c r="AP4410">
        <v>-136</v>
      </c>
      <c r="AQ4410">
        <v>-60</v>
      </c>
      <c r="AR4410">
        <v>-256</v>
      </c>
      <c r="AZ4410">
        <v>1200</v>
      </c>
      <c r="BA4410">
        <v>1</v>
      </c>
      <c r="BB4410" t="str">
        <f t="shared" si="2015"/>
        <v xml:space="preserve">N711JA  </v>
      </c>
      <c r="BC4410">
        <v>1</v>
      </c>
      <c r="BE4410">
        <v>0</v>
      </c>
      <c r="BF4410">
        <v>0</v>
      </c>
      <c r="BG4410">
        <v>0</v>
      </c>
      <c r="BH4410">
        <v>2200</v>
      </c>
      <c r="BI4410">
        <v>1</v>
      </c>
      <c r="BJ4410">
        <v>1</v>
      </c>
      <c r="BK4410">
        <v>0</v>
      </c>
      <c r="BL4410">
        <v>0</v>
      </c>
      <c r="BO4410">
        <v>0</v>
      </c>
      <c r="BP4410">
        <v>0</v>
      </c>
      <c r="BW4410" t="str">
        <f t="shared" si="2031"/>
        <v>14:49:19.560</v>
      </c>
      <c r="CJ4410">
        <v>0</v>
      </c>
      <c r="CK4410">
        <v>2</v>
      </c>
      <c r="CL4410">
        <v>0</v>
      </c>
      <c r="CM4410">
        <v>2</v>
      </c>
      <c r="CN4410">
        <v>0</v>
      </c>
      <c r="CO4410">
        <v>7</v>
      </c>
      <c r="CP4410" t="s">
        <v>119</v>
      </c>
      <c r="CQ4410">
        <v>8</v>
      </c>
      <c r="CR4410">
        <v>3</v>
      </c>
      <c r="CW4410">
        <v>9152745</v>
      </c>
      <c r="CY4410">
        <v>1</v>
      </c>
      <c r="CZ4410">
        <v>0</v>
      </c>
      <c r="DA4410">
        <v>1</v>
      </c>
      <c r="DB4410">
        <v>0</v>
      </c>
      <c r="DC4410">
        <v>0</v>
      </c>
      <c r="DD4410">
        <v>1</v>
      </c>
      <c r="DE4410">
        <v>0</v>
      </c>
      <c r="DF4410">
        <v>0</v>
      </c>
      <c r="DG4410">
        <v>0</v>
      </c>
      <c r="DH4410">
        <v>0</v>
      </c>
      <c r="DI4410">
        <v>0</v>
      </c>
    </row>
    <row r="4411" spans="1:113" x14ac:dyDescent="0.3">
      <c r="A4411" t="str">
        <f t="shared" si="2028"/>
        <v>05/12/2020 14:49:01.712</v>
      </c>
      <c r="C4411" t="str">
        <f t="shared" si="2014"/>
        <v>FFDFD3C0</v>
      </c>
      <c r="D4411" t="s">
        <v>138</v>
      </c>
      <c r="E4411">
        <v>3</v>
      </c>
      <c r="H4411">
        <v>9</v>
      </c>
      <c r="I4411" t="s">
        <v>140</v>
      </c>
      <c r="J4411" t="s">
        <v>136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 t="shared" si="2029"/>
        <v>14:49:19.555</v>
      </c>
      <c r="T4411" t="str">
        <f t="shared" si="2030"/>
        <v>14:49:19.155</v>
      </c>
      <c r="U4411" t="str">
        <f t="shared" si="2007"/>
        <v>A9808D</v>
      </c>
      <c r="V4411">
        <v>0</v>
      </c>
      <c r="W4411">
        <v>0</v>
      </c>
      <c r="X4411">
        <v>1</v>
      </c>
      <c r="Z4411">
        <v>0</v>
      </c>
      <c r="AA4411">
        <v>9</v>
      </c>
      <c r="AB4411">
        <v>3</v>
      </c>
      <c r="AC4411">
        <v>0</v>
      </c>
      <c r="AD4411">
        <v>10</v>
      </c>
      <c r="AE4411">
        <v>0</v>
      </c>
      <c r="AF4411">
        <v>3</v>
      </c>
      <c r="AG4411">
        <v>2</v>
      </c>
      <c r="AH4411">
        <v>0</v>
      </c>
      <c r="AI4411" t="s">
        <v>668</v>
      </c>
      <c r="AJ4411">
        <v>28.249196999999999</v>
      </c>
      <c r="AK4411" t="s">
        <v>998</v>
      </c>
      <c r="AL4411">
        <v>-82.322230000000005</v>
      </c>
      <c r="AM4411">
        <v>100</v>
      </c>
      <c r="AN4411">
        <v>2200</v>
      </c>
      <c r="AO4411" t="s">
        <v>118</v>
      </c>
      <c r="AP4411">
        <v>-136</v>
      </c>
      <c r="AQ4411">
        <v>-60</v>
      </c>
      <c r="AR4411">
        <v>-256</v>
      </c>
      <c r="AZ4411">
        <v>1200</v>
      </c>
      <c r="BA4411">
        <v>1</v>
      </c>
      <c r="BB4411" t="str">
        <f t="shared" si="2015"/>
        <v xml:space="preserve">N711JA  </v>
      </c>
      <c r="BC4411">
        <v>1</v>
      </c>
      <c r="BE4411">
        <v>0</v>
      </c>
      <c r="BF4411">
        <v>0</v>
      </c>
      <c r="BG4411">
        <v>0</v>
      </c>
      <c r="BH4411">
        <v>2200</v>
      </c>
      <c r="BI4411">
        <v>1</v>
      </c>
      <c r="BJ4411">
        <v>1</v>
      </c>
      <c r="BK4411">
        <v>0</v>
      </c>
      <c r="BL4411">
        <v>0</v>
      </c>
      <c r="BO4411">
        <v>0</v>
      </c>
      <c r="BP4411">
        <v>0</v>
      </c>
      <c r="BW4411" t="str">
        <f t="shared" si="2031"/>
        <v>14:49:19.560</v>
      </c>
      <c r="CJ4411">
        <v>0</v>
      </c>
      <c r="CK4411">
        <v>2</v>
      </c>
      <c r="CL4411">
        <v>0</v>
      </c>
      <c r="CM4411">
        <v>2</v>
      </c>
      <c r="CN4411">
        <v>0</v>
      </c>
      <c r="CO4411">
        <v>7</v>
      </c>
      <c r="CP4411" t="s">
        <v>119</v>
      </c>
      <c r="CQ4411">
        <v>8</v>
      </c>
      <c r="CR4411">
        <v>3</v>
      </c>
      <c r="CW4411">
        <v>9152745</v>
      </c>
      <c r="CY4411">
        <v>1</v>
      </c>
      <c r="CZ4411">
        <v>0</v>
      </c>
      <c r="DA4411">
        <v>1</v>
      </c>
      <c r="DB4411">
        <v>0</v>
      </c>
      <c r="DC4411">
        <v>0</v>
      </c>
      <c r="DD4411">
        <v>1</v>
      </c>
      <c r="DE4411">
        <v>0</v>
      </c>
      <c r="DF4411">
        <v>0</v>
      </c>
      <c r="DG4411">
        <v>0</v>
      </c>
      <c r="DH4411">
        <v>0</v>
      </c>
      <c r="DI4411">
        <v>0</v>
      </c>
    </row>
    <row r="4412" spans="1:113" x14ac:dyDescent="0.3">
      <c r="A4412" t="str">
        <f t="shared" si="2028"/>
        <v>05/12/2020 14:49:01.712</v>
      </c>
      <c r="C4412" t="str">
        <f t="shared" si="2014"/>
        <v>FFDFD3C0</v>
      </c>
      <c r="D4412" t="s">
        <v>126</v>
      </c>
      <c r="E4412">
        <v>7</v>
      </c>
      <c r="F4412">
        <v>1007</v>
      </c>
      <c r="G4412" t="s">
        <v>127</v>
      </c>
      <c r="J4412" t="s">
        <v>128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 t="shared" si="2029"/>
        <v>14:49:19.555</v>
      </c>
      <c r="T4412" t="str">
        <f t="shared" si="2030"/>
        <v>14:49:19.155</v>
      </c>
      <c r="U4412" t="str">
        <f t="shared" si="2007"/>
        <v>A9808D</v>
      </c>
      <c r="V4412">
        <v>0</v>
      </c>
      <c r="W4412">
        <v>0</v>
      </c>
      <c r="X4412">
        <v>1</v>
      </c>
      <c r="Z4412">
        <v>0</v>
      </c>
      <c r="AA4412">
        <v>9</v>
      </c>
      <c r="AB4412">
        <v>3</v>
      </c>
      <c r="AC4412">
        <v>0</v>
      </c>
      <c r="AD4412">
        <v>10</v>
      </c>
      <c r="AE4412">
        <v>0</v>
      </c>
      <c r="AF4412">
        <v>3</v>
      </c>
      <c r="AG4412">
        <v>2</v>
      </c>
      <c r="AH4412">
        <v>0</v>
      </c>
      <c r="AI4412" t="s">
        <v>668</v>
      </c>
      <c r="AJ4412">
        <v>28.249196999999999</v>
      </c>
      <c r="AK4412" t="s">
        <v>998</v>
      </c>
      <c r="AL4412">
        <v>-82.322230000000005</v>
      </c>
      <c r="AM4412">
        <v>100</v>
      </c>
      <c r="AN4412">
        <v>2200</v>
      </c>
      <c r="AO4412" t="s">
        <v>118</v>
      </c>
      <c r="AP4412">
        <v>-136</v>
      </c>
      <c r="AQ4412">
        <v>-60</v>
      </c>
      <c r="AR4412">
        <v>-256</v>
      </c>
      <c r="AZ4412">
        <v>1200</v>
      </c>
      <c r="BA4412">
        <v>1</v>
      </c>
      <c r="BB4412" t="str">
        <f t="shared" si="2015"/>
        <v xml:space="preserve">N711JA  </v>
      </c>
      <c r="BC4412">
        <v>1</v>
      </c>
      <c r="BE4412">
        <v>0</v>
      </c>
      <c r="BF4412">
        <v>0</v>
      </c>
      <c r="BG4412">
        <v>0</v>
      </c>
      <c r="BH4412">
        <v>2200</v>
      </c>
      <c r="BI4412">
        <v>1</v>
      </c>
      <c r="BJ4412">
        <v>1</v>
      </c>
      <c r="BK4412">
        <v>0</v>
      </c>
      <c r="BL4412">
        <v>0</v>
      </c>
      <c r="BO4412">
        <v>0</v>
      </c>
      <c r="BP4412">
        <v>0</v>
      </c>
      <c r="BW4412" t="str">
        <f t="shared" si="2031"/>
        <v>14:49:19.560</v>
      </c>
      <c r="CJ4412">
        <v>0</v>
      </c>
      <c r="CK4412">
        <v>2</v>
      </c>
      <c r="CL4412">
        <v>0</v>
      </c>
      <c r="CM4412">
        <v>2</v>
      </c>
      <c r="CN4412">
        <v>0</v>
      </c>
      <c r="CO4412">
        <v>7</v>
      </c>
      <c r="CP4412" t="s">
        <v>119</v>
      </c>
      <c r="CQ4412">
        <v>8</v>
      </c>
      <c r="CR4412">
        <v>3</v>
      </c>
      <c r="CW4412">
        <v>9152745</v>
      </c>
      <c r="CY4412">
        <v>1</v>
      </c>
      <c r="CZ4412">
        <v>0</v>
      </c>
      <c r="DA4412">
        <v>1</v>
      </c>
      <c r="DB4412">
        <v>0</v>
      </c>
      <c r="DC4412">
        <v>0</v>
      </c>
      <c r="DD4412">
        <v>1</v>
      </c>
      <c r="DE4412">
        <v>0</v>
      </c>
      <c r="DF4412">
        <v>0</v>
      </c>
      <c r="DG4412">
        <v>0</v>
      </c>
      <c r="DH4412">
        <v>0</v>
      </c>
      <c r="DI4412">
        <v>0</v>
      </c>
    </row>
    <row r="4413" spans="1:113" x14ac:dyDescent="0.3">
      <c r="A4413" t="str">
        <f t="shared" si="2028"/>
        <v>05/12/2020 14:49:01.712</v>
      </c>
      <c r="C4413" t="str">
        <f t="shared" si="2014"/>
        <v>FFDFD3C0</v>
      </c>
      <c r="D4413" t="s">
        <v>131</v>
      </c>
      <c r="E4413">
        <v>10</v>
      </c>
      <c r="F4413">
        <v>2010</v>
      </c>
      <c r="G4413" t="s">
        <v>132</v>
      </c>
      <c r="J4413" t="s">
        <v>133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 t="shared" si="2029"/>
        <v>14:49:19.555</v>
      </c>
      <c r="T4413" t="str">
        <f t="shared" si="2030"/>
        <v>14:49:19.155</v>
      </c>
      <c r="U4413" t="str">
        <f t="shared" si="2007"/>
        <v>A9808D</v>
      </c>
      <c r="V4413">
        <v>0</v>
      </c>
      <c r="W4413">
        <v>0</v>
      </c>
      <c r="X4413">
        <v>1</v>
      </c>
      <c r="Z4413">
        <v>0</v>
      </c>
      <c r="AA4413">
        <v>9</v>
      </c>
      <c r="AB4413">
        <v>3</v>
      </c>
      <c r="AC4413">
        <v>0</v>
      </c>
      <c r="AD4413">
        <v>10</v>
      </c>
      <c r="AE4413">
        <v>0</v>
      </c>
      <c r="AF4413">
        <v>3</v>
      </c>
      <c r="AG4413">
        <v>2</v>
      </c>
      <c r="AH4413">
        <v>0</v>
      </c>
      <c r="AI4413" t="s">
        <v>668</v>
      </c>
      <c r="AJ4413">
        <v>28.249196999999999</v>
      </c>
      <c r="AK4413" t="s">
        <v>998</v>
      </c>
      <c r="AL4413">
        <v>-82.322230000000005</v>
      </c>
      <c r="AM4413">
        <v>100</v>
      </c>
      <c r="AN4413">
        <v>2200</v>
      </c>
      <c r="AO4413" t="s">
        <v>118</v>
      </c>
      <c r="AP4413">
        <v>-136</v>
      </c>
      <c r="AQ4413">
        <v>-60</v>
      </c>
      <c r="AR4413">
        <v>-256</v>
      </c>
      <c r="AZ4413">
        <v>1200</v>
      </c>
      <c r="BA4413">
        <v>1</v>
      </c>
      <c r="BB4413" t="str">
        <f t="shared" si="2015"/>
        <v xml:space="preserve">N711JA  </v>
      </c>
      <c r="BC4413">
        <v>1</v>
      </c>
      <c r="BE4413">
        <v>0</v>
      </c>
      <c r="BF4413">
        <v>0</v>
      </c>
      <c r="BG4413">
        <v>0</v>
      </c>
      <c r="BH4413">
        <v>2200</v>
      </c>
      <c r="BI4413">
        <v>1</v>
      </c>
      <c r="BJ4413">
        <v>1</v>
      </c>
      <c r="BK4413">
        <v>0</v>
      </c>
      <c r="BL4413">
        <v>0</v>
      </c>
      <c r="BO4413">
        <v>0</v>
      </c>
      <c r="BP4413">
        <v>0</v>
      </c>
      <c r="BW4413" t="str">
        <f t="shared" si="2031"/>
        <v>14:49:19.560</v>
      </c>
      <c r="CJ4413">
        <v>0</v>
      </c>
      <c r="CK4413">
        <v>2</v>
      </c>
      <c r="CL4413">
        <v>0</v>
      </c>
      <c r="CM4413">
        <v>2</v>
      </c>
      <c r="CN4413">
        <v>0</v>
      </c>
      <c r="CO4413">
        <v>7</v>
      </c>
      <c r="CP4413" t="s">
        <v>119</v>
      </c>
      <c r="CQ4413">
        <v>8</v>
      </c>
      <c r="CR4413">
        <v>3</v>
      </c>
      <c r="CW4413">
        <v>9152745</v>
      </c>
      <c r="CY4413">
        <v>1</v>
      </c>
      <c r="CZ4413">
        <v>0</v>
      </c>
      <c r="DA4413">
        <v>1</v>
      </c>
      <c r="DB4413">
        <v>0</v>
      </c>
      <c r="DC4413">
        <v>0</v>
      </c>
      <c r="DD4413">
        <v>1</v>
      </c>
      <c r="DE4413">
        <v>0</v>
      </c>
      <c r="DF4413">
        <v>0</v>
      </c>
      <c r="DG4413">
        <v>0</v>
      </c>
      <c r="DH4413">
        <v>0</v>
      </c>
      <c r="DI4413">
        <v>0</v>
      </c>
    </row>
    <row r="4414" spans="1:113" x14ac:dyDescent="0.3">
      <c r="A4414" t="str">
        <f t="shared" si="2028"/>
        <v>05/12/2020 14:49:01.712</v>
      </c>
      <c r="C4414" t="str">
        <f t="shared" si="2014"/>
        <v>FFDFD3C0</v>
      </c>
      <c r="D4414" t="s">
        <v>131</v>
      </c>
      <c r="E4414">
        <v>12</v>
      </c>
      <c r="F4414">
        <v>2012</v>
      </c>
      <c r="G4414" t="s">
        <v>137</v>
      </c>
      <c r="J4414" t="s">
        <v>133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 t="shared" si="2029"/>
        <v>14:49:19.555</v>
      </c>
      <c r="T4414" t="str">
        <f t="shared" si="2030"/>
        <v>14:49:19.155</v>
      </c>
      <c r="U4414" t="str">
        <f t="shared" si="2007"/>
        <v>A9808D</v>
      </c>
      <c r="V4414">
        <v>0</v>
      </c>
      <c r="W4414">
        <v>0</v>
      </c>
      <c r="X4414">
        <v>1</v>
      </c>
      <c r="Z4414">
        <v>0</v>
      </c>
      <c r="AA4414">
        <v>9</v>
      </c>
      <c r="AB4414">
        <v>3</v>
      </c>
      <c r="AC4414">
        <v>0</v>
      </c>
      <c r="AD4414">
        <v>10</v>
      </c>
      <c r="AE4414">
        <v>0</v>
      </c>
      <c r="AF4414">
        <v>3</v>
      </c>
      <c r="AG4414">
        <v>2</v>
      </c>
      <c r="AH4414">
        <v>0</v>
      </c>
      <c r="AI4414" t="s">
        <v>668</v>
      </c>
      <c r="AJ4414">
        <v>28.249196999999999</v>
      </c>
      <c r="AK4414" t="s">
        <v>998</v>
      </c>
      <c r="AL4414">
        <v>-82.322230000000005</v>
      </c>
      <c r="AM4414">
        <v>100</v>
      </c>
      <c r="AN4414">
        <v>2200</v>
      </c>
      <c r="AO4414" t="s">
        <v>118</v>
      </c>
      <c r="AP4414">
        <v>-136</v>
      </c>
      <c r="AQ4414">
        <v>-60</v>
      </c>
      <c r="AR4414">
        <v>-256</v>
      </c>
      <c r="AZ4414">
        <v>1200</v>
      </c>
      <c r="BA4414">
        <v>1</v>
      </c>
      <c r="BB4414" t="str">
        <f t="shared" si="2015"/>
        <v xml:space="preserve">N711JA  </v>
      </c>
      <c r="BC4414">
        <v>1</v>
      </c>
      <c r="BE4414">
        <v>0</v>
      </c>
      <c r="BF4414">
        <v>0</v>
      </c>
      <c r="BG4414">
        <v>0</v>
      </c>
      <c r="BH4414">
        <v>2200</v>
      </c>
      <c r="BI4414">
        <v>1</v>
      </c>
      <c r="BJ4414">
        <v>1</v>
      </c>
      <c r="BK4414">
        <v>0</v>
      </c>
      <c r="BL4414">
        <v>0</v>
      </c>
      <c r="BO4414">
        <v>0</v>
      </c>
      <c r="BP4414">
        <v>0</v>
      </c>
      <c r="BW4414" t="str">
        <f t="shared" si="2031"/>
        <v>14:49:19.560</v>
      </c>
      <c r="CJ4414">
        <v>0</v>
      </c>
      <c r="CK4414">
        <v>2</v>
      </c>
      <c r="CL4414">
        <v>0</v>
      </c>
      <c r="CM4414">
        <v>2</v>
      </c>
      <c r="CN4414">
        <v>0</v>
      </c>
      <c r="CO4414">
        <v>7</v>
      </c>
      <c r="CP4414" t="s">
        <v>119</v>
      </c>
      <c r="CQ4414">
        <v>8</v>
      </c>
      <c r="CR4414">
        <v>3</v>
      </c>
      <c r="CW4414">
        <v>9152745</v>
      </c>
      <c r="CY4414">
        <v>1</v>
      </c>
      <c r="CZ4414">
        <v>0</v>
      </c>
      <c r="DA4414">
        <v>1</v>
      </c>
      <c r="DB4414">
        <v>0</v>
      </c>
      <c r="DC4414">
        <v>0</v>
      </c>
      <c r="DD4414">
        <v>1</v>
      </c>
      <c r="DE4414">
        <v>0</v>
      </c>
      <c r="DF4414">
        <v>0</v>
      </c>
      <c r="DG4414">
        <v>0</v>
      </c>
      <c r="DH4414">
        <v>0</v>
      </c>
      <c r="DI4414">
        <v>0</v>
      </c>
    </row>
    <row r="4415" spans="1:113" x14ac:dyDescent="0.3">
      <c r="A4415" t="str">
        <f t="shared" si="2028"/>
        <v>05/12/2020 14:49:01.712</v>
      </c>
      <c r="C4415" t="str">
        <f t="shared" si="2014"/>
        <v>FFDFD3C0</v>
      </c>
      <c r="D4415" t="s">
        <v>131</v>
      </c>
      <c r="E4415">
        <v>18</v>
      </c>
      <c r="F4415">
        <v>2018</v>
      </c>
      <c r="G4415" t="s">
        <v>161</v>
      </c>
      <c r="J4415" t="s">
        <v>133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 t="shared" si="2029"/>
        <v>14:49:19.555</v>
      </c>
      <c r="T4415" t="str">
        <f t="shared" si="2030"/>
        <v>14:49:19.155</v>
      </c>
      <c r="U4415" t="str">
        <f t="shared" si="2007"/>
        <v>A9808D</v>
      </c>
      <c r="V4415">
        <v>0</v>
      </c>
      <c r="W4415">
        <v>0</v>
      </c>
      <c r="X4415">
        <v>1</v>
      </c>
      <c r="Z4415">
        <v>0</v>
      </c>
      <c r="AA4415">
        <v>9</v>
      </c>
      <c r="AB4415">
        <v>3</v>
      </c>
      <c r="AC4415">
        <v>0</v>
      </c>
      <c r="AD4415">
        <v>10</v>
      </c>
      <c r="AE4415">
        <v>0</v>
      </c>
      <c r="AF4415">
        <v>3</v>
      </c>
      <c r="AG4415">
        <v>2</v>
      </c>
      <c r="AH4415">
        <v>0</v>
      </c>
      <c r="AI4415" t="s">
        <v>668</v>
      </c>
      <c r="AJ4415">
        <v>28.249196999999999</v>
      </c>
      <c r="AK4415" t="s">
        <v>998</v>
      </c>
      <c r="AL4415">
        <v>-82.322230000000005</v>
      </c>
      <c r="AM4415">
        <v>100</v>
      </c>
      <c r="AN4415">
        <v>2200</v>
      </c>
      <c r="AO4415" t="s">
        <v>118</v>
      </c>
      <c r="AP4415">
        <v>-136</v>
      </c>
      <c r="AQ4415">
        <v>-60</v>
      </c>
      <c r="AR4415">
        <v>-256</v>
      </c>
      <c r="AZ4415">
        <v>1200</v>
      </c>
      <c r="BA4415">
        <v>1</v>
      </c>
      <c r="BB4415" t="str">
        <f t="shared" si="2015"/>
        <v xml:space="preserve">N711JA  </v>
      </c>
      <c r="BC4415">
        <v>1</v>
      </c>
      <c r="BE4415">
        <v>0</v>
      </c>
      <c r="BF4415">
        <v>0</v>
      </c>
      <c r="BG4415">
        <v>0</v>
      </c>
      <c r="BH4415">
        <v>2200</v>
      </c>
      <c r="BI4415">
        <v>1</v>
      </c>
      <c r="BJ4415">
        <v>1</v>
      </c>
      <c r="BK4415">
        <v>0</v>
      </c>
      <c r="BL4415">
        <v>0</v>
      </c>
      <c r="BO4415">
        <v>0</v>
      </c>
      <c r="BP4415">
        <v>0</v>
      </c>
      <c r="BW4415" t="str">
        <f t="shared" si="2031"/>
        <v>14:49:19.560</v>
      </c>
      <c r="CJ4415">
        <v>0</v>
      </c>
      <c r="CK4415">
        <v>2</v>
      </c>
      <c r="CL4415">
        <v>0</v>
      </c>
      <c r="CM4415">
        <v>2</v>
      </c>
      <c r="CN4415">
        <v>0</v>
      </c>
      <c r="CO4415">
        <v>6</v>
      </c>
      <c r="CP4415" t="s">
        <v>119</v>
      </c>
      <c r="CQ4415">
        <v>56</v>
      </c>
      <c r="CR4415">
        <v>2</v>
      </c>
      <c r="CW4415">
        <v>5152394</v>
      </c>
      <c r="CY4415">
        <v>1</v>
      </c>
      <c r="CZ4415">
        <v>0</v>
      </c>
      <c r="DA4415">
        <v>1</v>
      </c>
      <c r="DB4415">
        <v>0</v>
      </c>
      <c r="DC4415">
        <v>0</v>
      </c>
      <c r="DD4415">
        <v>1</v>
      </c>
      <c r="DE4415">
        <v>0</v>
      </c>
      <c r="DF4415">
        <v>0</v>
      </c>
      <c r="DG4415">
        <v>0</v>
      </c>
      <c r="DH4415">
        <v>0</v>
      </c>
      <c r="DI4415">
        <v>0</v>
      </c>
    </row>
    <row r="4416" spans="1:113" x14ac:dyDescent="0.3">
      <c r="A4416" t="str">
        <f t="shared" si="2028"/>
        <v>05/12/2020 14:49:01.712</v>
      </c>
      <c r="C4416" t="str">
        <f t="shared" si="2014"/>
        <v>FFDFD3C0</v>
      </c>
      <c r="D4416" t="s">
        <v>126</v>
      </c>
      <c r="E4416">
        <v>6</v>
      </c>
      <c r="F4416">
        <v>1006</v>
      </c>
      <c r="G4416" t="s">
        <v>114</v>
      </c>
      <c r="J4416" t="s">
        <v>128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 t="shared" si="2029"/>
        <v>14:49:19.555</v>
      </c>
      <c r="T4416" t="str">
        <f t="shared" si="2030"/>
        <v>14:49:19.155</v>
      </c>
      <c r="U4416" t="str">
        <f t="shared" si="2007"/>
        <v>A9808D</v>
      </c>
      <c r="V4416">
        <v>0</v>
      </c>
      <c r="W4416">
        <v>0</v>
      </c>
      <c r="X4416">
        <v>1</v>
      </c>
      <c r="Z4416">
        <v>0</v>
      </c>
      <c r="AA4416">
        <v>9</v>
      </c>
      <c r="AB4416">
        <v>3</v>
      </c>
      <c r="AC4416">
        <v>0</v>
      </c>
      <c r="AD4416">
        <v>10</v>
      </c>
      <c r="AE4416">
        <v>0</v>
      </c>
      <c r="AF4416">
        <v>3</v>
      </c>
      <c r="AG4416">
        <v>2</v>
      </c>
      <c r="AH4416">
        <v>0</v>
      </c>
      <c r="AI4416" t="s">
        <v>668</v>
      </c>
      <c r="AJ4416">
        <v>28.249196999999999</v>
      </c>
      <c r="AK4416" t="s">
        <v>998</v>
      </c>
      <c r="AL4416">
        <v>-82.322230000000005</v>
      </c>
      <c r="AM4416">
        <v>100</v>
      </c>
      <c r="AN4416">
        <v>2200</v>
      </c>
      <c r="AO4416" t="s">
        <v>118</v>
      </c>
      <c r="AP4416">
        <v>-136</v>
      </c>
      <c r="AQ4416">
        <v>-60</v>
      </c>
      <c r="AR4416">
        <v>-256</v>
      </c>
      <c r="AZ4416">
        <v>1200</v>
      </c>
      <c r="BA4416">
        <v>1</v>
      </c>
      <c r="BB4416" t="str">
        <f t="shared" si="2015"/>
        <v xml:space="preserve">N711JA  </v>
      </c>
      <c r="BC4416">
        <v>1</v>
      </c>
      <c r="BE4416">
        <v>0</v>
      </c>
      <c r="BF4416">
        <v>0</v>
      </c>
      <c r="BG4416">
        <v>0</v>
      </c>
      <c r="BH4416">
        <v>2200</v>
      </c>
      <c r="BI4416">
        <v>1</v>
      </c>
      <c r="BJ4416">
        <v>1</v>
      </c>
      <c r="BK4416">
        <v>0</v>
      </c>
      <c r="BL4416">
        <v>0</v>
      </c>
      <c r="BO4416">
        <v>0</v>
      </c>
      <c r="BP4416">
        <v>0</v>
      </c>
      <c r="BW4416" t="str">
        <f t="shared" si="2031"/>
        <v>14:49:19.560</v>
      </c>
      <c r="CJ4416">
        <v>0</v>
      </c>
      <c r="CK4416">
        <v>2</v>
      </c>
      <c r="CL4416">
        <v>0</v>
      </c>
      <c r="CM4416">
        <v>2</v>
      </c>
      <c r="CN4416">
        <v>0</v>
      </c>
      <c r="CO4416">
        <v>7</v>
      </c>
      <c r="CP4416" t="s">
        <v>119</v>
      </c>
      <c r="CQ4416">
        <v>8</v>
      </c>
      <c r="CR4416">
        <v>3</v>
      </c>
      <c r="CW4416">
        <v>9152745</v>
      </c>
      <c r="CY4416">
        <v>1</v>
      </c>
      <c r="CZ4416">
        <v>0</v>
      </c>
      <c r="DA4416">
        <v>1</v>
      </c>
      <c r="DB4416">
        <v>0</v>
      </c>
      <c r="DC4416">
        <v>0</v>
      </c>
      <c r="DD4416">
        <v>1</v>
      </c>
      <c r="DE4416">
        <v>0</v>
      </c>
      <c r="DF4416">
        <v>0</v>
      </c>
      <c r="DG4416">
        <v>0</v>
      </c>
      <c r="DH4416">
        <v>0</v>
      </c>
      <c r="DI4416">
        <v>0</v>
      </c>
    </row>
    <row r="4417" spans="1:113" x14ac:dyDescent="0.3">
      <c r="A4417" t="str">
        <f t="shared" ref="A4417:A4425" si="2032">"05/12/2020 14:49:02.633"</f>
        <v>05/12/2020 14:49:02.633</v>
      </c>
      <c r="C4417" t="str">
        <f t="shared" si="2014"/>
        <v>FFDFD3C0</v>
      </c>
      <c r="D4417" t="s">
        <v>113</v>
      </c>
      <c r="E4417">
        <v>3</v>
      </c>
      <c r="H4417">
        <v>164</v>
      </c>
      <c r="I4417" t="s">
        <v>114</v>
      </c>
      <c r="J4417" t="s">
        <v>115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 t="shared" ref="S4417:S4425" si="2033">"14:49:20.477"</f>
        <v>14:49:20.477</v>
      </c>
      <c r="T4417" t="str">
        <f t="shared" ref="T4417:T4425" si="2034">"14:49:20.177"</f>
        <v>14:49:20.177</v>
      </c>
      <c r="U4417" t="str">
        <f t="shared" si="2007"/>
        <v>A9808D</v>
      </c>
      <c r="V4417">
        <v>0</v>
      </c>
      <c r="W4417">
        <v>0</v>
      </c>
      <c r="X4417">
        <v>1</v>
      </c>
      <c r="Z4417">
        <v>0</v>
      </c>
      <c r="AA4417">
        <v>9</v>
      </c>
      <c r="AB4417">
        <v>3</v>
      </c>
      <c r="AC4417">
        <v>0</v>
      </c>
      <c r="AD4417">
        <v>10</v>
      </c>
      <c r="AE4417">
        <v>0</v>
      </c>
      <c r="AF4417">
        <v>3</v>
      </c>
      <c r="AG4417">
        <v>2</v>
      </c>
      <c r="AH4417">
        <v>0</v>
      </c>
      <c r="AI4417" t="s">
        <v>999</v>
      </c>
      <c r="AJ4417">
        <v>28.248961000000001</v>
      </c>
      <c r="AK4417" t="s">
        <v>1000</v>
      </c>
      <c r="AL4417">
        <v>-82.322873999999999</v>
      </c>
      <c r="AM4417">
        <v>100</v>
      </c>
      <c r="AN4417">
        <v>2200</v>
      </c>
      <c r="AO4417" t="s">
        <v>118</v>
      </c>
      <c r="AP4417">
        <v>-137</v>
      </c>
      <c r="AQ4417">
        <v>-59</v>
      </c>
      <c r="AR4417">
        <v>-192</v>
      </c>
      <c r="AZ4417">
        <v>1200</v>
      </c>
      <c r="BA4417">
        <v>1</v>
      </c>
      <c r="BB4417" t="str">
        <f t="shared" si="2015"/>
        <v xml:space="preserve">N711JA  </v>
      </c>
      <c r="BC4417">
        <v>1</v>
      </c>
      <c r="BE4417">
        <v>0</v>
      </c>
      <c r="BF4417">
        <v>0</v>
      </c>
      <c r="BG4417">
        <v>0</v>
      </c>
      <c r="BH4417">
        <v>2200</v>
      </c>
      <c r="BI4417">
        <v>1</v>
      </c>
      <c r="BJ4417">
        <v>1</v>
      </c>
      <c r="BK4417">
        <v>0</v>
      </c>
      <c r="BL4417">
        <v>0</v>
      </c>
      <c r="BO4417">
        <v>0</v>
      </c>
      <c r="BP4417">
        <v>0</v>
      </c>
      <c r="BW4417" t="str">
        <f t="shared" ref="BW4417:BW4425" si="2035">"14:49:20.481"</f>
        <v>14:49:20.481</v>
      </c>
      <c r="CJ4417">
        <v>0</v>
      </c>
      <c r="CK4417">
        <v>2</v>
      </c>
      <c r="CL4417">
        <v>0</v>
      </c>
      <c r="CM4417">
        <v>2</v>
      </c>
      <c r="CN4417">
        <v>0</v>
      </c>
      <c r="CO4417">
        <v>7</v>
      </c>
      <c r="CP4417" t="s">
        <v>119</v>
      </c>
      <c r="CQ4417">
        <v>8</v>
      </c>
      <c r="CR4417">
        <v>3</v>
      </c>
      <c r="CW4417">
        <v>9153732</v>
      </c>
      <c r="CY4417">
        <v>1</v>
      </c>
      <c r="CZ4417">
        <v>0</v>
      </c>
      <c r="DA4417">
        <v>0</v>
      </c>
      <c r="DB4417">
        <v>0</v>
      </c>
      <c r="DC4417">
        <v>0</v>
      </c>
      <c r="DD4417">
        <v>1</v>
      </c>
      <c r="DE4417">
        <v>0</v>
      </c>
      <c r="DF4417">
        <v>0</v>
      </c>
      <c r="DG4417">
        <v>0</v>
      </c>
      <c r="DH4417">
        <v>0</v>
      </c>
      <c r="DI4417">
        <v>0</v>
      </c>
    </row>
    <row r="4418" spans="1:113" x14ac:dyDescent="0.3">
      <c r="A4418" t="str">
        <f t="shared" si="2032"/>
        <v>05/12/2020 14:49:02.633</v>
      </c>
      <c r="C4418" t="str">
        <f t="shared" si="2014"/>
        <v>FFDFD3C0</v>
      </c>
      <c r="D4418" t="s">
        <v>138</v>
      </c>
      <c r="E4418">
        <v>2</v>
      </c>
      <c r="H4418">
        <v>8</v>
      </c>
      <c r="I4418" t="s">
        <v>139</v>
      </c>
      <c r="J4418" t="s">
        <v>136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 t="shared" si="2033"/>
        <v>14:49:20.477</v>
      </c>
      <c r="T4418" t="str">
        <f t="shared" si="2034"/>
        <v>14:49:20.177</v>
      </c>
      <c r="U4418" t="str">
        <f t="shared" ref="U4418:U4481" si="2036">"A9808D"</f>
        <v>A9808D</v>
      </c>
      <c r="V4418">
        <v>0</v>
      </c>
      <c r="W4418">
        <v>0</v>
      </c>
      <c r="X4418">
        <v>1</v>
      </c>
      <c r="Z4418">
        <v>0</v>
      </c>
      <c r="AA4418">
        <v>9</v>
      </c>
      <c r="AB4418">
        <v>3</v>
      </c>
      <c r="AC4418">
        <v>0</v>
      </c>
      <c r="AD4418">
        <v>10</v>
      </c>
      <c r="AE4418">
        <v>0</v>
      </c>
      <c r="AF4418">
        <v>3</v>
      </c>
      <c r="AG4418">
        <v>2</v>
      </c>
      <c r="AH4418">
        <v>0</v>
      </c>
      <c r="AI4418" t="s">
        <v>999</v>
      </c>
      <c r="AJ4418">
        <v>28.248961000000001</v>
      </c>
      <c r="AK4418" t="s">
        <v>1000</v>
      </c>
      <c r="AL4418">
        <v>-82.322873999999999</v>
      </c>
      <c r="AM4418">
        <v>100</v>
      </c>
      <c r="AN4418">
        <v>2200</v>
      </c>
      <c r="AO4418" t="s">
        <v>118</v>
      </c>
      <c r="AP4418">
        <v>-137</v>
      </c>
      <c r="AQ4418">
        <v>-59</v>
      </c>
      <c r="AR4418">
        <v>-192</v>
      </c>
      <c r="AZ4418">
        <v>1200</v>
      </c>
      <c r="BA4418">
        <v>1</v>
      </c>
      <c r="BB4418" t="str">
        <f t="shared" si="2015"/>
        <v xml:space="preserve">N711JA  </v>
      </c>
      <c r="BC4418">
        <v>1</v>
      </c>
      <c r="BE4418">
        <v>0</v>
      </c>
      <c r="BF4418">
        <v>0</v>
      </c>
      <c r="BG4418">
        <v>0</v>
      </c>
      <c r="BH4418">
        <v>2200</v>
      </c>
      <c r="BI4418">
        <v>1</v>
      </c>
      <c r="BJ4418">
        <v>1</v>
      </c>
      <c r="BK4418">
        <v>0</v>
      </c>
      <c r="BL4418">
        <v>0</v>
      </c>
      <c r="BO4418">
        <v>0</v>
      </c>
      <c r="BP4418">
        <v>0</v>
      </c>
      <c r="BW4418" t="str">
        <f t="shared" si="2035"/>
        <v>14:49:20.481</v>
      </c>
      <c r="CJ4418">
        <v>0</v>
      </c>
      <c r="CK4418">
        <v>2</v>
      </c>
      <c r="CL4418">
        <v>0</v>
      </c>
      <c r="CM4418">
        <v>2</v>
      </c>
      <c r="CN4418">
        <v>0</v>
      </c>
      <c r="CO4418">
        <v>7</v>
      </c>
      <c r="CP4418" t="s">
        <v>119</v>
      </c>
      <c r="CQ4418">
        <v>8</v>
      </c>
      <c r="CR4418">
        <v>3</v>
      </c>
      <c r="CW4418">
        <v>9153732</v>
      </c>
      <c r="CY4418">
        <v>1</v>
      </c>
      <c r="CZ4418">
        <v>0</v>
      </c>
      <c r="DA4418">
        <v>1</v>
      </c>
      <c r="DB4418">
        <v>0</v>
      </c>
      <c r="DC4418">
        <v>0</v>
      </c>
      <c r="DD4418">
        <v>1</v>
      </c>
      <c r="DE4418">
        <v>0</v>
      </c>
      <c r="DF4418">
        <v>0</v>
      </c>
      <c r="DG4418">
        <v>0</v>
      </c>
      <c r="DH4418">
        <v>0</v>
      </c>
      <c r="DI4418">
        <v>0</v>
      </c>
    </row>
    <row r="4419" spans="1:113" x14ac:dyDescent="0.3">
      <c r="A4419" t="str">
        <f t="shared" si="2032"/>
        <v>05/12/2020 14:49:02.633</v>
      </c>
      <c r="C4419" t="str">
        <f t="shared" si="2014"/>
        <v>FFDFD3C0</v>
      </c>
      <c r="D4419" t="s">
        <v>138</v>
      </c>
      <c r="E4419">
        <v>3</v>
      </c>
      <c r="H4419">
        <v>9</v>
      </c>
      <c r="I4419" t="s">
        <v>140</v>
      </c>
      <c r="J4419" t="s">
        <v>136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 t="shared" si="2033"/>
        <v>14:49:20.477</v>
      </c>
      <c r="T4419" t="str">
        <f t="shared" si="2034"/>
        <v>14:49:20.177</v>
      </c>
      <c r="U4419" t="str">
        <f t="shared" si="2036"/>
        <v>A9808D</v>
      </c>
      <c r="V4419">
        <v>0</v>
      </c>
      <c r="W4419">
        <v>0</v>
      </c>
      <c r="X4419">
        <v>1</v>
      </c>
      <c r="Z4419">
        <v>0</v>
      </c>
      <c r="AA4419">
        <v>9</v>
      </c>
      <c r="AB4419">
        <v>3</v>
      </c>
      <c r="AC4419">
        <v>0</v>
      </c>
      <c r="AD4419">
        <v>10</v>
      </c>
      <c r="AE4419">
        <v>0</v>
      </c>
      <c r="AF4419">
        <v>3</v>
      </c>
      <c r="AG4419">
        <v>2</v>
      </c>
      <c r="AH4419">
        <v>0</v>
      </c>
      <c r="AI4419" t="s">
        <v>999</v>
      </c>
      <c r="AJ4419">
        <v>28.248961000000001</v>
      </c>
      <c r="AK4419" t="s">
        <v>1000</v>
      </c>
      <c r="AL4419">
        <v>-82.322873999999999</v>
      </c>
      <c r="AM4419">
        <v>100</v>
      </c>
      <c r="AN4419">
        <v>2200</v>
      </c>
      <c r="AO4419" t="s">
        <v>118</v>
      </c>
      <c r="AP4419">
        <v>-137</v>
      </c>
      <c r="AQ4419">
        <v>-59</v>
      </c>
      <c r="AR4419">
        <v>-192</v>
      </c>
      <c r="AZ4419">
        <v>1200</v>
      </c>
      <c r="BA4419">
        <v>1</v>
      </c>
      <c r="BB4419" t="str">
        <f t="shared" si="2015"/>
        <v xml:space="preserve">N711JA  </v>
      </c>
      <c r="BC4419">
        <v>1</v>
      </c>
      <c r="BE4419">
        <v>0</v>
      </c>
      <c r="BF4419">
        <v>0</v>
      </c>
      <c r="BG4419">
        <v>0</v>
      </c>
      <c r="BH4419">
        <v>2200</v>
      </c>
      <c r="BI4419">
        <v>1</v>
      </c>
      <c r="BJ4419">
        <v>1</v>
      </c>
      <c r="BK4419">
        <v>0</v>
      </c>
      <c r="BL4419">
        <v>0</v>
      </c>
      <c r="BO4419">
        <v>0</v>
      </c>
      <c r="BP4419">
        <v>0</v>
      </c>
      <c r="BW4419" t="str">
        <f t="shared" si="2035"/>
        <v>14:49:20.481</v>
      </c>
      <c r="CJ4419">
        <v>0</v>
      </c>
      <c r="CK4419">
        <v>2</v>
      </c>
      <c r="CL4419">
        <v>0</v>
      </c>
      <c r="CM4419">
        <v>2</v>
      </c>
      <c r="CN4419">
        <v>0</v>
      </c>
      <c r="CO4419">
        <v>7</v>
      </c>
      <c r="CP4419" t="s">
        <v>119</v>
      </c>
      <c r="CQ4419">
        <v>8</v>
      </c>
      <c r="CR4419">
        <v>3</v>
      </c>
      <c r="CW4419">
        <v>9153732</v>
      </c>
      <c r="CY4419">
        <v>1</v>
      </c>
      <c r="CZ4419">
        <v>0</v>
      </c>
      <c r="DA4419">
        <v>1</v>
      </c>
      <c r="DB4419">
        <v>0</v>
      </c>
      <c r="DC4419">
        <v>0</v>
      </c>
      <c r="DD4419">
        <v>1</v>
      </c>
      <c r="DE4419">
        <v>0</v>
      </c>
      <c r="DF4419">
        <v>0</v>
      </c>
      <c r="DG4419">
        <v>0</v>
      </c>
      <c r="DH4419">
        <v>0</v>
      </c>
      <c r="DI4419">
        <v>0</v>
      </c>
    </row>
    <row r="4420" spans="1:113" x14ac:dyDescent="0.3">
      <c r="A4420" t="str">
        <f t="shared" si="2032"/>
        <v>05/12/2020 14:49:02.633</v>
      </c>
      <c r="C4420" t="str">
        <f t="shared" si="2014"/>
        <v>FFDFD3C0</v>
      </c>
      <c r="D4420" t="s">
        <v>126</v>
      </c>
      <c r="E4420">
        <v>7</v>
      </c>
      <c r="F4420">
        <v>1007</v>
      </c>
      <c r="G4420" t="s">
        <v>127</v>
      </c>
      <c r="J4420" t="s">
        <v>128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 t="shared" si="2033"/>
        <v>14:49:20.477</v>
      </c>
      <c r="T4420" t="str">
        <f t="shared" si="2034"/>
        <v>14:49:20.177</v>
      </c>
      <c r="U4420" t="str">
        <f t="shared" si="2036"/>
        <v>A9808D</v>
      </c>
      <c r="V4420">
        <v>0</v>
      </c>
      <c r="W4420">
        <v>0</v>
      </c>
      <c r="X4420">
        <v>1</v>
      </c>
      <c r="Z4420">
        <v>0</v>
      </c>
      <c r="AA4420">
        <v>9</v>
      </c>
      <c r="AB4420">
        <v>3</v>
      </c>
      <c r="AC4420">
        <v>0</v>
      </c>
      <c r="AD4420">
        <v>10</v>
      </c>
      <c r="AE4420">
        <v>0</v>
      </c>
      <c r="AF4420">
        <v>3</v>
      </c>
      <c r="AG4420">
        <v>2</v>
      </c>
      <c r="AH4420">
        <v>0</v>
      </c>
      <c r="AI4420" t="s">
        <v>999</v>
      </c>
      <c r="AJ4420">
        <v>28.248961000000001</v>
      </c>
      <c r="AK4420" t="s">
        <v>1000</v>
      </c>
      <c r="AL4420">
        <v>-82.322873999999999</v>
      </c>
      <c r="AM4420">
        <v>100</v>
      </c>
      <c r="AN4420">
        <v>2200</v>
      </c>
      <c r="AO4420" t="s">
        <v>118</v>
      </c>
      <c r="AP4420">
        <v>-137</v>
      </c>
      <c r="AQ4420">
        <v>-59</v>
      </c>
      <c r="AR4420">
        <v>-192</v>
      </c>
      <c r="AZ4420">
        <v>1200</v>
      </c>
      <c r="BA4420">
        <v>1</v>
      </c>
      <c r="BB4420" t="str">
        <f t="shared" si="2015"/>
        <v xml:space="preserve">N711JA  </v>
      </c>
      <c r="BC4420">
        <v>1</v>
      </c>
      <c r="BE4420">
        <v>0</v>
      </c>
      <c r="BF4420">
        <v>0</v>
      </c>
      <c r="BG4420">
        <v>0</v>
      </c>
      <c r="BH4420">
        <v>2200</v>
      </c>
      <c r="BI4420">
        <v>1</v>
      </c>
      <c r="BJ4420">
        <v>1</v>
      </c>
      <c r="BK4420">
        <v>0</v>
      </c>
      <c r="BL4420">
        <v>0</v>
      </c>
      <c r="BO4420">
        <v>0</v>
      </c>
      <c r="BP4420">
        <v>0</v>
      </c>
      <c r="BW4420" t="str">
        <f t="shared" si="2035"/>
        <v>14:49:20.481</v>
      </c>
      <c r="CJ4420">
        <v>0</v>
      </c>
      <c r="CK4420">
        <v>2</v>
      </c>
      <c r="CL4420">
        <v>0</v>
      </c>
      <c r="CM4420">
        <v>2</v>
      </c>
      <c r="CN4420">
        <v>0</v>
      </c>
      <c r="CO4420">
        <v>7</v>
      </c>
      <c r="CP4420" t="s">
        <v>119</v>
      </c>
      <c r="CQ4420">
        <v>8</v>
      </c>
      <c r="CR4420">
        <v>3</v>
      </c>
      <c r="CW4420">
        <v>9153732</v>
      </c>
      <c r="CY4420">
        <v>1</v>
      </c>
      <c r="CZ4420">
        <v>0</v>
      </c>
      <c r="DA4420">
        <v>1</v>
      </c>
      <c r="DB4420">
        <v>0</v>
      </c>
      <c r="DC4420">
        <v>0</v>
      </c>
      <c r="DD4420">
        <v>1</v>
      </c>
      <c r="DE4420">
        <v>0</v>
      </c>
      <c r="DF4420">
        <v>0</v>
      </c>
      <c r="DG4420">
        <v>0</v>
      </c>
      <c r="DH4420">
        <v>0</v>
      </c>
      <c r="DI4420">
        <v>0</v>
      </c>
    </row>
    <row r="4421" spans="1:113" x14ac:dyDescent="0.3">
      <c r="A4421" t="str">
        <f t="shared" si="2032"/>
        <v>05/12/2020 14:49:02.633</v>
      </c>
      <c r="C4421" t="str">
        <f t="shared" si="2014"/>
        <v>FFDFD3C0</v>
      </c>
      <c r="D4421" t="s">
        <v>131</v>
      </c>
      <c r="E4421">
        <v>12</v>
      </c>
      <c r="F4421">
        <v>2012</v>
      </c>
      <c r="G4421" t="s">
        <v>137</v>
      </c>
      <c r="J4421" t="s">
        <v>133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 t="shared" si="2033"/>
        <v>14:49:20.477</v>
      </c>
      <c r="T4421" t="str">
        <f t="shared" si="2034"/>
        <v>14:49:20.177</v>
      </c>
      <c r="U4421" t="str">
        <f t="shared" si="2036"/>
        <v>A9808D</v>
      </c>
      <c r="V4421">
        <v>0</v>
      </c>
      <c r="W4421">
        <v>0</v>
      </c>
      <c r="X4421">
        <v>1</v>
      </c>
      <c r="Z4421">
        <v>0</v>
      </c>
      <c r="AA4421">
        <v>9</v>
      </c>
      <c r="AB4421">
        <v>3</v>
      </c>
      <c r="AC4421">
        <v>0</v>
      </c>
      <c r="AD4421">
        <v>10</v>
      </c>
      <c r="AE4421">
        <v>0</v>
      </c>
      <c r="AF4421">
        <v>3</v>
      </c>
      <c r="AG4421">
        <v>2</v>
      </c>
      <c r="AH4421">
        <v>0</v>
      </c>
      <c r="AI4421" t="s">
        <v>999</v>
      </c>
      <c r="AJ4421">
        <v>28.248961000000001</v>
      </c>
      <c r="AK4421" t="s">
        <v>1000</v>
      </c>
      <c r="AL4421">
        <v>-82.322873999999999</v>
      </c>
      <c r="AM4421">
        <v>100</v>
      </c>
      <c r="AN4421">
        <v>2200</v>
      </c>
      <c r="AO4421" t="s">
        <v>118</v>
      </c>
      <c r="AP4421">
        <v>-137</v>
      </c>
      <c r="AQ4421">
        <v>-59</v>
      </c>
      <c r="AR4421">
        <v>-192</v>
      </c>
      <c r="AZ4421">
        <v>1200</v>
      </c>
      <c r="BA4421">
        <v>1</v>
      </c>
      <c r="BB4421" t="str">
        <f t="shared" si="2015"/>
        <v xml:space="preserve">N711JA  </v>
      </c>
      <c r="BC4421">
        <v>1</v>
      </c>
      <c r="BE4421">
        <v>0</v>
      </c>
      <c r="BF4421">
        <v>0</v>
      </c>
      <c r="BG4421">
        <v>0</v>
      </c>
      <c r="BH4421">
        <v>2200</v>
      </c>
      <c r="BI4421">
        <v>1</v>
      </c>
      <c r="BJ4421">
        <v>1</v>
      </c>
      <c r="BK4421">
        <v>0</v>
      </c>
      <c r="BL4421">
        <v>0</v>
      </c>
      <c r="BO4421">
        <v>0</v>
      </c>
      <c r="BP4421">
        <v>0</v>
      </c>
      <c r="BW4421" t="str">
        <f t="shared" si="2035"/>
        <v>14:49:20.481</v>
      </c>
      <c r="CJ4421">
        <v>0</v>
      </c>
      <c r="CK4421">
        <v>2</v>
      </c>
      <c r="CL4421">
        <v>0</v>
      </c>
      <c r="CM4421">
        <v>2</v>
      </c>
      <c r="CN4421">
        <v>0</v>
      </c>
      <c r="CO4421">
        <v>7</v>
      </c>
      <c r="CP4421" t="s">
        <v>119</v>
      </c>
      <c r="CQ4421">
        <v>8</v>
      </c>
      <c r="CR4421">
        <v>3</v>
      </c>
      <c r="CW4421">
        <v>9153732</v>
      </c>
      <c r="CY4421">
        <v>1</v>
      </c>
      <c r="CZ4421">
        <v>0</v>
      </c>
      <c r="DA4421">
        <v>1</v>
      </c>
      <c r="DB4421">
        <v>0</v>
      </c>
      <c r="DC4421">
        <v>0</v>
      </c>
      <c r="DD4421">
        <v>1</v>
      </c>
      <c r="DE4421">
        <v>0</v>
      </c>
      <c r="DF4421">
        <v>0</v>
      </c>
      <c r="DG4421">
        <v>0</v>
      </c>
      <c r="DH4421">
        <v>0</v>
      </c>
      <c r="DI4421">
        <v>0</v>
      </c>
    </row>
    <row r="4422" spans="1:113" x14ac:dyDescent="0.3">
      <c r="A4422" t="str">
        <f t="shared" si="2032"/>
        <v>05/12/2020 14:49:02.633</v>
      </c>
      <c r="C4422" t="str">
        <f t="shared" si="2014"/>
        <v>FFDFD3C0</v>
      </c>
      <c r="D4422" t="s">
        <v>131</v>
      </c>
      <c r="E4422">
        <v>10</v>
      </c>
      <c r="F4422">
        <v>2010</v>
      </c>
      <c r="G4422" t="s">
        <v>132</v>
      </c>
      <c r="J4422" t="s">
        <v>133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 t="shared" si="2033"/>
        <v>14:49:20.477</v>
      </c>
      <c r="T4422" t="str">
        <f t="shared" si="2034"/>
        <v>14:49:20.177</v>
      </c>
      <c r="U4422" t="str">
        <f t="shared" si="2036"/>
        <v>A9808D</v>
      </c>
      <c r="V4422">
        <v>0</v>
      </c>
      <c r="W4422">
        <v>0</v>
      </c>
      <c r="X4422">
        <v>1</v>
      </c>
      <c r="Z4422">
        <v>0</v>
      </c>
      <c r="AA4422">
        <v>9</v>
      </c>
      <c r="AB4422">
        <v>3</v>
      </c>
      <c r="AC4422">
        <v>0</v>
      </c>
      <c r="AD4422">
        <v>10</v>
      </c>
      <c r="AE4422">
        <v>0</v>
      </c>
      <c r="AF4422">
        <v>3</v>
      </c>
      <c r="AG4422">
        <v>2</v>
      </c>
      <c r="AH4422">
        <v>0</v>
      </c>
      <c r="AI4422" t="s">
        <v>999</v>
      </c>
      <c r="AJ4422">
        <v>28.248961000000001</v>
      </c>
      <c r="AK4422" t="s">
        <v>1000</v>
      </c>
      <c r="AL4422">
        <v>-82.322873999999999</v>
      </c>
      <c r="AM4422">
        <v>100</v>
      </c>
      <c r="AN4422">
        <v>2200</v>
      </c>
      <c r="AO4422" t="s">
        <v>118</v>
      </c>
      <c r="AP4422">
        <v>-137</v>
      </c>
      <c r="AQ4422">
        <v>-59</v>
      </c>
      <c r="AR4422">
        <v>-192</v>
      </c>
      <c r="AZ4422">
        <v>1200</v>
      </c>
      <c r="BA4422">
        <v>1</v>
      </c>
      <c r="BB4422" t="str">
        <f t="shared" si="2015"/>
        <v xml:space="preserve">N711JA  </v>
      </c>
      <c r="BC4422">
        <v>1</v>
      </c>
      <c r="BE4422">
        <v>0</v>
      </c>
      <c r="BF4422">
        <v>0</v>
      </c>
      <c r="BG4422">
        <v>0</v>
      </c>
      <c r="BH4422">
        <v>2200</v>
      </c>
      <c r="BI4422">
        <v>1</v>
      </c>
      <c r="BJ4422">
        <v>1</v>
      </c>
      <c r="BK4422">
        <v>0</v>
      </c>
      <c r="BL4422">
        <v>0</v>
      </c>
      <c r="BO4422">
        <v>0</v>
      </c>
      <c r="BP4422">
        <v>0</v>
      </c>
      <c r="BW4422" t="str">
        <f t="shared" si="2035"/>
        <v>14:49:20.481</v>
      </c>
      <c r="CJ4422">
        <v>0</v>
      </c>
      <c r="CK4422">
        <v>2</v>
      </c>
      <c r="CL4422">
        <v>0</v>
      </c>
      <c r="CM4422">
        <v>2</v>
      </c>
      <c r="CN4422">
        <v>0</v>
      </c>
      <c r="CO4422">
        <v>7</v>
      </c>
      <c r="CP4422" t="s">
        <v>119</v>
      </c>
      <c r="CQ4422">
        <v>8</v>
      </c>
      <c r="CR4422">
        <v>3</v>
      </c>
      <c r="CW4422">
        <v>9153732</v>
      </c>
      <c r="CY4422">
        <v>1</v>
      </c>
      <c r="CZ4422">
        <v>0</v>
      </c>
      <c r="DA4422">
        <v>1</v>
      </c>
      <c r="DB4422">
        <v>0</v>
      </c>
      <c r="DC4422">
        <v>0</v>
      </c>
      <c r="DD4422">
        <v>1</v>
      </c>
      <c r="DE4422">
        <v>0</v>
      </c>
      <c r="DF4422">
        <v>0</v>
      </c>
      <c r="DG4422">
        <v>0</v>
      </c>
      <c r="DH4422">
        <v>0</v>
      </c>
      <c r="DI4422">
        <v>0</v>
      </c>
    </row>
    <row r="4423" spans="1:113" x14ac:dyDescent="0.3">
      <c r="A4423" t="str">
        <f t="shared" si="2032"/>
        <v>05/12/2020 14:49:02.633</v>
      </c>
      <c r="C4423" t="str">
        <f t="shared" si="2014"/>
        <v>FFDFD3C0</v>
      </c>
      <c r="D4423" t="s">
        <v>131</v>
      </c>
      <c r="E4423">
        <v>18</v>
      </c>
      <c r="F4423">
        <v>2018</v>
      </c>
      <c r="G4423" t="s">
        <v>161</v>
      </c>
      <c r="J4423" t="s">
        <v>133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 t="shared" si="2033"/>
        <v>14:49:20.477</v>
      </c>
      <c r="T4423" t="str">
        <f t="shared" si="2034"/>
        <v>14:49:20.177</v>
      </c>
      <c r="U4423" t="str">
        <f t="shared" si="2036"/>
        <v>A9808D</v>
      </c>
      <c r="V4423">
        <v>0</v>
      </c>
      <c r="W4423">
        <v>0</v>
      </c>
      <c r="X4423">
        <v>1</v>
      </c>
      <c r="Z4423">
        <v>0</v>
      </c>
      <c r="AA4423">
        <v>9</v>
      </c>
      <c r="AB4423">
        <v>3</v>
      </c>
      <c r="AC4423">
        <v>0</v>
      </c>
      <c r="AD4423">
        <v>10</v>
      </c>
      <c r="AE4423">
        <v>0</v>
      </c>
      <c r="AF4423">
        <v>3</v>
      </c>
      <c r="AG4423">
        <v>2</v>
      </c>
      <c r="AH4423">
        <v>0</v>
      </c>
      <c r="AI4423" t="s">
        <v>999</v>
      </c>
      <c r="AJ4423">
        <v>28.248961000000001</v>
      </c>
      <c r="AK4423" t="s">
        <v>1000</v>
      </c>
      <c r="AL4423">
        <v>-82.322873999999999</v>
      </c>
      <c r="AM4423">
        <v>100</v>
      </c>
      <c r="AN4423">
        <v>2200</v>
      </c>
      <c r="AO4423" t="s">
        <v>118</v>
      </c>
      <c r="AP4423">
        <v>-137</v>
      </c>
      <c r="AQ4423">
        <v>-59</v>
      </c>
      <c r="AR4423">
        <v>-192</v>
      </c>
      <c r="AZ4423">
        <v>1200</v>
      </c>
      <c r="BA4423">
        <v>1</v>
      </c>
      <c r="BB4423" t="str">
        <f t="shared" si="2015"/>
        <v xml:space="preserve">N711JA  </v>
      </c>
      <c r="BC4423">
        <v>1</v>
      </c>
      <c r="BE4423">
        <v>0</v>
      </c>
      <c r="BF4423">
        <v>0</v>
      </c>
      <c r="BG4423">
        <v>0</v>
      </c>
      <c r="BH4423">
        <v>2200</v>
      </c>
      <c r="BI4423">
        <v>1</v>
      </c>
      <c r="BJ4423">
        <v>1</v>
      </c>
      <c r="BK4423">
        <v>0</v>
      </c>
      <c r="BL4423">
        <v>0</v>
      </c>
      <c r="BO4423">
        <v>0</v>
      </c>
      <c r="BP4423">
        <v>0</v>
      </c>
      <c r="BW4423" t="str">
        <f t="shared" si="2035"/>
        <v>14:49:20.481</v>
      </c>
      <c r="CJ4423">
        <v>0</v>
      </c>
      <c r="CK4423">
        <v>2</v>
      </c>
      <c r="CL4423">
        <v>0</v>
      </c>
      <c r="CM4423">
        <v>2</v>
      </c>
      <c r="CN4423">
        <v>0</v>
      </c>
      <c r="CO4423">
        <v>6</v>
      </c>
      <c r="CP4423" t="s">
        <v>119</v>
      </c>
      <c r="CQ4423">
        <v>56</v>
      </c>
      <c r="CR4423">
        <v>2</v>
      </c>
      <c r="CW4423">
        <v>5153544</v>
      </c>
      <c r="CY4423">
        <v>1</v>
      </c>
      <c r="CZ4423">
        <v>0</v>
      </c>
      <c r="DA4423">
        <v>1</v>
      </c>
      <c r="DB4423">
        <v>0</v>
      </c>
      <c r="DC4423">
        <v>0</v>
      </c>
      <c r="DD4423">
        <v>1</v>
      </c>
      <c r="DE4423">
        <v>0</v>
      </c>
      <c r="DF4423">
        <v>0</v>
      </c>
      <c r="DG4423">
        <v>0</v>
      </c>
      <c r="DH4423">
        <v>0</v>
      </c>
      <c r="DI4423">
        <v>0</v>
      </c>
    </row>
    <row r="4424" spans="1:113" x14ac:dyDescent="0.3">
      <c r="A4424" t="str">
        <f t="shared" si="2032"/>
        <v>05/12/2020 14:49:02.633</v>
      </c>
      <c r="C4424" t="str">
        <f t="shared" si="2014"/>
        <v>FFDFD3C0</v>
      </c>
      <c r="D4424" t="s">
        <v>126</v>
      </c>
      <c r="E4424">
        <v>6</v>
      </c>
      <c r="F4424">
        <v>1006</v>
      </c>
      <c r="G4424" t="s">
        <v>114</v>
      </c>
      <c r="J4424" t="s">
        <v>128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 t="shared" si="2033"/>
        <v>14:49:20.477</v>
      </c>
      <c r="T4424" t="str">
        <f t="shared" si="2034"/>
        <v>14:49:20.177</v>
      </c>
      <c r="U4424" t="str">
        <f t="shared" si="2036"/>
        <v>A9808D</v>
      </c>
      <c r="V4424">
        <v>0</v>
      </c>
      <c r="W4424">
        <v>0</v>
      </c>
      <c r="X4424">
        <v>1</v>
      </c>
      <c r="Z4424">
        <v>0</v>
      </c>
      <c r="AA4424">
        <v>9</v>
      </c>
      <c r="AB4424">
        <v>3</v>
      </c>
      <c r="AC4424">
        <v>0</v>
      </c>
      <c r="AD4424">
        <v>10</v>
      </c>
      <c r="AE4424">
        <v>0</v>
      </c>
      <c r="AF4424">
        <v>3</v>
      </c>
      <c r="AG4424">
        <v>2</v>
      </c>
      <c r="AH4424">
        <v>0</v>
      </c>
      <c r="AI4424" t="s">
        <v>999</v>
      </c>
      <c r="AJ4424">
        <v>28.248961000000001</v>
      </c>
      <c r="AK4424" t="s">
        <v>1000</v>
      </c>
      <c r="AL4424">
        <v>-82.322873999999999</v>
      </c>
      <c r="AM4424">
        <v>100</v>
      </c>
      <c r="AN4424">
        <v>2200</v>
      </c>
      <c r="AO4424" t="s">
        <v>118</v>
      </c>
      <c r="AP4424">
        <v>-137</v>
      </c>
      <c r="AQ4424">
        <v>-59</v>
      </c>
      <c r="AR4424">
        <v>-192</v>
      </c>
      <c r="AZ4424">
        <v>1200</v>
      </c>
      <c r="BA4424">
        <v>1</v>
      </c>
      <c r="BB4424" t="str">
        <f t="shared" si="2015"/>
        <v xml:space="preserve">N711JA  </v>
      </c>
      <c r="BC4424">
        <v>1</v>
      </c>
      <c r="BE4424">
        <v>0</v>
      </c>
      <c r="BF4424">
        <v>0</v>
      </c>
      <c r="BG4424">
        <v>0</v>
      </c>
      <c r="BH4424">
        <v>2200</v>
      </c>
      <c r="BI4424">
        <v>1</v>
      </c>
      <c r="BJ4424">
        <v>1</v>
      </c>
      <c r="BK4424">
        <v>0</v>
      </c>
      <c r="BL4424">
        <v>0</v>
      </c>
      <c r="BO4424">
        <v>0</v>
      </c>
      <c r="BP4424">
        <v>0</v>
      </c>
      <c r="BW4424" t="str">
        <f t="shared" si="2035"/>
        <v>14:49:20.481</v>
      </c>
      <c r="CJ4424">
        <v>0</v>
      </c>
      <c r="CK4424">
        <v>2</v>
      </c>
      <c r="CL4424">
        <v>0</v>
      </c>
      <c r="CM4424">
        <v>2</v>
      </c>
      <c r="CN4424">
        <v>0</v>
      </c>
      <c r="CO4424">
        <v>7</v>
      </c>
      <c r="CP4424" t="s">
        <v>119</v>
      </c>
      <c r="CQ4424">
        <v>8</v>
      </c>
      <c r="CR4424">
        <v>3</v>
      </c>
      <c r="CW4424">
        <v>9153732</v>
      </c>
      <c r="CY4424">
        <v>1</v>
      </c>
      <c r="CZ4424">
        <v>0</v>
      </c>
      <c r="DA4424">
        <v>1</v>
      </c>
      <c r="DB4424">
        <v>0</v>
      </c>
      <c r="DC4424">
        <v>0</v>
      </c>
      <c r="DD4424">
        <v>1</v>
      </c>
      <c r="DE4424">
        <v>0</v>
      </c>
      <c r="DF4424">
        <v>0</v>
      </c>
      <c r="DG4424">
        <v>0</v>
      </c>
      <c r="DH4424">
        <v>0</v>
      </c>
      <c r="DI4424">
        <v>0</v>
      </c>
    </row>
    <row r="4425" spans="1:113" x14ac:dyDescent="0.3">
      <c r="A4425" t="str">
        <f t="shared" si="2032"/>
        <v>05/12/2020 14:49:02.633</v>
      </c>
      <c r="C4425" t="str">
        <f t="shared" si="2014"/>
        <v>FFDFD3C0</v>
      </c>
      <c r="D4425" t="s">
        <v>134</v>
      </c>
      <c r="E4425">
        <v>12</v>
      </c>
      <c r="H4425">
        <v>64</v>
      </c>
      <c r="I4425" t="s">
        <v>135</v>
      </c>
      <c r="J4425" t="s">
        <v>136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 t="shared" si="2033"/>
        <v>14:49:20.477</v>
      </c>
      <c r="T4425" t="str">
        <f t="shared" si="2034"/>
        <v>14:49:20.177</v>
      </c>
      <c r="U4425" t="str">
        <f t="shared" si="2036"/>
        <v>A9808D</v>
      </c>
      <c r="V4425">
        <v>0</v>
      </c>
      <c r="W4425">
        <v>0</v>
      </c>
      <c r="X4425">
        <v>1</v>
      </c>
      <c r="Z4425">
        <v>0</v>
      </c>
      <c r="AA4425">
        <v>9</v>
      </c>
      <c r="AB4425">
        <v>3</v>
      </c>
      <c r="AC4425">
        <v>0</v>
      </c>
      <c r="AD4425">
        <v>10</v>
      </c>
      <c r="AE4425">
        <v>0</v>
      </c>
      <c r="AF4425">
        <v>3</v>
      </c>
      <c r="AG4425">
        <v>2</v>
      </c>
      <c r="AH4425">
        <v>0</v>
      </c>
      <c r="AI4425" t="s">
        <v>999</v>
      </c>
      <c r="AJ4425">
        <v>28.248961000000001</v>
      </c>
      <c r="AK4425" t="s">
        <v>1000</v>
      </c>
      <c r="AL4425">
        <v>-82.322873999999999</v>
      </c>
      <c r="AM4425">
        <v>100</v>
      </c>
      <c r="AN4425">
        <v>2200</v>
      </c>
      <c r="AO4425" t="s">
        <v>118</v>
      </c>
      <c r="AP4425">
        <v>-137</v>
      </c>
      <c r="AQ4425">
        <v>-59</v>
      </c>
      <c r="AR4425">
        <v>-192</v>
      </c>
      <c r="AZ4425">
        <v>1200</v>
      </c>
      <c r="BA4425">
        <v>1</v>
      </c>
      <c r="BB4425" t="str">
        <f t="shared" si="2015"/>
        <v xml:space="preserve">N711JA  </v>
      </c>
      <c r="BC4425">
        <v>1</v>
      </c>
      <c r="BE4425">
        <v>0</v>
      </c>
      <c r="BF4425">
        <v>0</v>
      </c>
      <c r="BG4425">
        <v>0</v>
      </c>
      <c r="BH4425">
        <v>2200</v>
      </c>
      <c r="BI4425">
        <v>1</v>
      </c>
      <c r="BJ4425">
        <v>1</v>
      </c>
      <c r="BK4425">
        <v>0</v>
      </c>
      <c r="BL4425">
        <v>0</v>
      </c>
      <c r="BO4425">
        <v>0</v>
      </c>
      <c r="BP4425">
        <v>0</v>
      </c>
      <c r="BW4425" t="str">
        <f t="shared" si="2035"/>
        <v>14:49:20.481</v>
      </c>
      <c r="CJ4425">
        <v>0</v>
      </c>
      <c r="CK4425">
        <v>2</v>
      </c>
      <c r="CL4425">
        <v>0</v>
      </c>
      <c r="CM4425">
        <v>2</v>
      </c>
      <c r="CN4425">
        <v>0</v>
      </c>
      <c r="CO4425">
        <v>7</v>
      </c>
      <c r="CP4425" t="s">
        <v>119</v>
      </c>
      <c r="CQ4425">
        <v>8</v>
      </c>
      <c r="CR4425">
        <v>3</v>
      </c>
      <c r="CW4425">
        <v>9153732</v>
      </c>
      <c r="CY4425">
        <v>1</v>
      </c>
      <c r="CZ4425">
        <v>0</v>
      </c>
      <c r="DA4425">
        <v>1</v>
      </c>
      <c r="DB4425">
        <v>0</v>
      </c>
      <c r="DC4425">
        <v>0</v>
      </c>
      <c r="DD4425">
        <v>1</v>
      </c>
      <c r="DE4425">
        <v>0</v>
      </c>
      <c r="DF4425">
        <v>0</v>
      </c>
      <c r="DG4425">
        <v>0</v>
      </c>
      <c r="DH4425">
        <v>0</v>
      </c>
      <c r="DI4425">
        <v>0</v>
      </c>
    </row>
    <row r="4426" spans="1:113" x14ac:dyDescent="0.3">
      <c r="A4426" t="str">
        <f t="shared" ref="A4426:A4434" si="2037">"05/12/2020 14:49:03.612"</f>
        <v>05/12/2020 14:49:03.612</v>
      </c>
      <c r="C4426" t="str">
        <f t="shared" si="2014"/>
        <v>FFDFD3C0</v>
      </c>
      <c r="D4426" t="s">
        <v>126</v>
      </c>
      <c r="E4426">
        <v>6</v>
      </c>
      <c r="F4426">
        <v>1006</v>
      </c>
      <c r="G4426" t="s">
        <v>114</v>
      </c>
      <c r="J4426" t="s">
        <v>128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 t="shared" ref="S4426:S4434" si="2038">"14:49:21.445"</f>
        <v>14:49:21.445</v>
      </c>
      <c r="T4426" t="str">
        <f t="shared" ref="T4426:T4434" si="2039">"14:49:21.145"</f>
        <v>14:49:21.145</v>
      </c>
      <c r="U4426" t="str">
        <f t="shared" si="2036"/>
        <v>A9808D</v>
      </c>
      <c r="V4426">
        <v>0</v>
      </c>
      <c r="W4426">
        <v>0</v>
      </c>
      <c r="X4426">
        <v>1</v>
      </c>
      <c r="Z4426">
        <v>0</v>
      </c>
      <c r="AA4426">
        <v>9</v>
      </c>
      <c r="AB4426">
        <v>3</v>
      </c>
      <c r="AC4426">
        <v>0</v>
      </c>
      <c r="AD4426">
        <v>10</v>
      </c>
      <c r="AE4426">
        <v>0</v>
      </c>
      <c r="AF4426">
        <v>3</v>
      </c>
      <c r="AG4426">
        <v>2</v>
      </c>
      <c r="AH4426">
        <v>0</v>
      </c>
      <c r="AI4426" t="s">
        <v>678</v>
      </c>
      <c r="AJ4426">
        <v>28.248681999999999</v>
      </c>
      <c r="AK4426" t="s">
        <v>1001</v>
      </c>
      <c r="AL4426">
        <v>-82.323518000000007</v>
      </c>
      <c r="AM4426">
        <v>100</v>
      </c>
      <c r="AN4426">
        <v>2200</v>
      </c>
      <c r="AO4426" t="s">
        <v>118</v>
      </c>
      <c r="AP4426">
        <v>-137</v>
      </c>
      <c r="AQ4426">
        <v>-58</v>
      </c>
      <c r="AR4426">
        <v>-128</v>
      </c>
      <c r="AZ4426">
        <v>1200</v>
      </c>
      <c r="BA4426">
        <v>1</v>
      </c>
      <c r="BB4426" t="str">
        <f t="shared" si="2015"/>
        <v xml:space="preserve">N711JA  </v>
      </c>
      <c r="BC4426">
        <v>1</v>
      </c>
      <c r="BE4426">
        <v>0</v>
      </c>
      <c r="BF4426">
        <v>0</v>
      </c>
      <c r="BG4426">
        <v>0</v>
      </c>
      <c r="BH4426">
        <v>2200</v>
      </c>
      <c r="BI4426">
        <v>1</v>
      </c>
      <c r="BJ4426">
        <v>1</v>
      </c>
      <c r="BK4426">
        <v>0</v>
      </c>
      <c r="BL4426">
        <v>0</v>
      </c>
      <c r="BO4426">
        <v>0</v>
      </c>
      <c r="BP4426">
        <v>0</v>
      </c>
      <c r="BW4426" t="str">
        <f t="shared" ref="BW4426:BW4434" si="2040">"14:49:21.451"</f>
        <v>14:49:21.451</v>
      </c>
      <c r="CJ4426">
        <v>0</v>
      </c>
      <c r="CK4426">
        <v>2</v>
      </c>
      <c r="CL4426">
        <v>0</v>
      </c>
      <c r="CM4426">
        <v>2</v>
      </c>
      <c r="CN4426">
        <v>0</v>
      </c>
      <c r="CO4426">
        <v>7</v>
      </c>
      <c r="CP4426" t="s">
        <v>119</v>
      </c>
      <c r="CQ4426">
        <v>8</v>
      </c>
      <c r="CR4426">
        <v>3</v>
      </c>
      <c r="CW4426">
        <v>9154698</v>
      </c>
      <c r="CY4426">
        <v>1</v>
      </c>
      <c r="CZ4426">
        <v>0</v>
      </c>
      <c r="DA4426">
        <v>0</v>
      </c>
      <c r="DB4426">
        <v>0</v>
      </c>
      <c r="DC4426">
        <v>0</v>
      </c>
      <c r="DD4426">
        <v>1</v>
      </c>
      <c r="DE4426">
        <v>0</v>
      </c>
      <c r="DF4426">
        <v>0</v>
      </c>
      <c r="DG4426">
        <v>0</v>
      </c>
      <c r="DH4426">
        <v>0</v>
      </c>
      <c r="DI4426">
        <v>0</v>
      </c>
    </row>
    <row r="4427" spans="1:113" x14ac:dyDescent="0.3">
      <c r="A4427" t="str">
        <f t="shared" si="2037"/>
        <v>05/12/2020 14:49:03.612</v>
      </c>
      <c r="C4427" t="str">
        <f t="shared" si="2014"/>
        <v>FFDFD3C0</v>
      </c>
      <c r="D4427" t="s">
        <v>131</v>
      </c>
      <c r="E4427">
        <v>18</v>
      </c>
      <c r="F4427">
        <v>2018</v>
      </c>
      <c r="G4427" t="s">
        <v>161</v>
      </c>
      <c r="J4427" t="s">
        <v>133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 t="shared" si="2038"/>
        <v>14:49:21.445</v>
      </c>
      <c r="T4427" t="str">
        <f t="shared" si="2039"/>
        <v>14:49:21.145</v>
      </c>
      <c r="U4427" t="str">
        <f t="shared" si="2036"/>
        <v>A9808D</v>
      </c>
      <c r="V4427">
        <v>0</v>
      </c>
      <c r="W4427">
        <v>0</v>
      </c>
      <c r="X4427">
        <v>1</v>
      </c>
      <c r="Z4427">
        <v>0</v>
      </c>
      <c r="AA4427">
        <v>9</v>
      </c>
      <c r="AB4427">
        <v>3</v>
      </c>
      <c r="AC4427">
        <v>0</v>
      </c>
      <c r="AD4427">
        <v>10</v>
      </c>
      <c r="AE4427">
        <v>0</v>
      </c>
      <c r="AF4427">
        <v>3</v>
      </c>
      <c r="AG4427">
        <v>2</v>
      </c>
      <c r="AH4427">
        <v>0</v>
      </c>
      <c r="AI4427" t="s">
        <v>678</v>
      </c>
      <c r="AJ4427">
        <v>28.248681999999999</v>
      </c>
      <c r="AK4427" t="s">
        <v>1001</v>
      </c>
      <c r="AL4427">
        <v>-82.323518000000007</v>
      </c>
      <c r="AM4427">
        <v>100</v>
      </c>
      <c r="AN4427">
        <v>2200</v>
      </c>
      <c r="AO4427" t="s">
        <v>118</v>
      </c>
      <c r="AP4427">
        <v>-137</v>
      </c>
      <c r="AQ4427">
        <v>-58</v>
      </c>
      <c r="AR4427">
        <v>-128</v>
      </c>
      <c r="AZ4427">
        <v>1200</v>
      </c>
      <c r="BA4427">
        <v>1</v>
      </c>
      <c r="BB4427" t="str">
        <f t="shared" si="2015"/>
        <v xml:space="preserve">N711JA  </v>
      </c>
      <c r="BC4427">
        <v>1</v>
      </c>
      <c r="BE4427">
        <v>0</v>
      </c>
      <c r="BF4427">
        <v>0</v>
      </c>
      <c r="BG4427">
        <v>0</v>
      </c>
      <c r="BH4427">
        <v>2200</v>
      </c>
      <c r="BI4427">
        <v>1</v>
      </c>
      <c r="BJ4427">
        <v>1</v>
      </c>
      <c r="BK4427">
        <v>0</v>
      </c>
      <c r="BL4427">
        <v>0</v>
      </c>
      <c r="BO4427">
        <v>0</v>
      </c>
      <c r="BP4427">
        <v>0</v>
      </c>
      <c r="BW4427" t="str">
        <f t="shared" si="2040"/>
        <v>14:49:21.451</v>
      </c>
      <c r="CJ4427">
        <v>0</v>
      </c>
      <c r="CK4427">
        <v>2</v>
      </c>
      <c r="CL4427">
        <v>0</v>
      </c>
      <c r="CM4427">
        <v>2</v>
      </c>
      <c r="CN4427">
        <v>0</v>
      </c>
      <c r="CO4427">
        <v>6</v>
      </c>
      <c r="CP4427" t="s">
        <v>119</v>
      </c>
      <c r="CQ4427">
        <v>56</v>
      </c>
      <c r="CR4427">
        <v>2</v>
      </c>
      <c r="CW4427">
        <v>5154678</v>
      </c>
      <c r="CY4427">
        <v>1</v>
      </c>
      <c r="CZ4427">
        <v>0</v>
      </c>
      <c r="DA4427">
        <v>1</v>
      </c>
      <c r="DB4427">
        <v>0</v>
      </c>
      <c r="DC4427">
        <v>0</v>
      </c>
      <c r="DD4427">
        <v>1</v>
      </c>
      <c r="DE4427">
        <v>0</v>
      </c>
      <c r="DF4427">
        <v>0</v>
      </c>
      <c r="DG4427">
        <v>0</v>
      </c>
      <c r="DH4427">
        <v>0</v>
      </c>
      <c r="DI4427">
        <v>0</v>
      </c>
    </row>
    <row r="4428" spans="1:113" x14ac:dyDescent="0.3">
      <c r="A4428" t="str">
        <f t="shared" si="2037"/>
        <v>05/12/2020 14:49:03.612</v>
      </c>
      <c r="C4428" t="str">
        <f t="shared" si="2014"/>
        <v>FFDFD3C0</v>
      </c>
      <c r="D4428" t="s">
        <v>134</v>
      </c>
      <c r="E4428">
        <v>12</v>
      </c>
      <c r="H4428">
        <v>64</v>
      </c>
      <c r="I4428" t="s">
        <v>135</v>
      </c>
      <c r="J4428" t="s">
        <v>136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 t="shared" si="2038"/>
        <v>14:49:21.445</v>
      </c>
      <c r="T4428" t="str">
        <f t="shared" si="2039"/>
        <v>14:49:21.145</v>
      </c>
      <c r="U4428" t="str">
        <f t="shared" si="2036"/>
        <v>A9808D</v>
      </c>
      <c r="V4428">
        <v>0</v>
      </c>
      <c r="W4428">
        <v>0</v>
      </c>
      <c r="X4428">
        <v>1</v>
      </c>
      <c r="Z4428">
        <v>0</v>
      </c>
      <c r="AA4428">
        <v>9</v>
      </c>
      <c r="AB4428">
        <v>3</v>
      </c>
      <c r="AC4428">
        <v>0</v>
      </c>
      <c r="AD4428">
        <v>10</v>
      </c>
      <c r="AE4428">
        <v>0</v>
      </c>
      <c r="AF4428">
        <v>3</v>
      </c>
      <c r="AG4428">
        <v>2</v>
      </c>
      <c r="AH4428">
        <v>0</v>
      </c>
      <c r="AI4428" t="s">
        <v>678</v>
      </c>
      <c r="AJ4428">
        <v>28.248681999999999</v>
      </c>
      <c r="AK4428" t="s">
        <v>1001</v>
      </c>
      <c r="AL4428">
        <v>-82.323518000000007</v>
      </c>
      <c r="AM4428">
        <v>100</v>
      </c>
      <c r="AN4428">
        <v>2200</v>
      </c>
      <c r="AO4428" t="s">
        <v>118</v>
      </c>
      <c r="AP4428">
        <v>-137</v>
      </c>
      <c r="AQ4428">
        <v>-58</v>
      </c>
      <c r="AR4428">
        <v>-128</v>
      </c>
      <c r="AZ4428">
        <v>1200</v>
      </c>
      <c r="BA4428">
        <v>1</v>
      </c>
      <c r="BB4428" t="str">
        <f t="shared" si="2015"/>
        <v xml:space="preserve">N711JA  </v>
      </c>
      <c r="BC4428">
        <v>1</v>
      </c>
      <c r="BE4428">
        <v>0</v>
      </c>
      <c r="BF4428">
        <v>0</v>
      </c>
      <c r="BG4428">
        <v>0</v>
      </c>
      <c r="BH4428">
        <v>2200</v>
      </c>
      <c r="BI4428">
        <v>1</v>
      </c>
      <c r="BJ4428">
        <v>1</v>
      </c>
      <c r="BK4428">
        <v>0</v>
      </c>
      <c r="BL4428">
        <v>0</v>
      </c>
      <c r="BO4428">
        <v>0</v>
      </c>
      <c r="BP4428">
        <v>0</v>
      </c>
      <c r="BW4428" t="str">
        <f t="shared" si="2040"/>
        <v>14:49:21.451</v>
      </c>
      <c r="CJ4428">
        <v>0</v>
      </c>
      <c r="CK4428">
        <v>2</v>
      </c>
      <c r="CL4428">
        <v>0</v>
      </c>
      <c r="CM4428">
        <v>2</v>
      </c>
      <c r="CN4428">
        <v>0</v>
      </c>
      <c r="CO4428">
        <v>7</v>
      </c>
      <c r="CP4428" t="s">
        <v>119</v>
      </c>
      <c r="CQ4428">
        <v>8</v>
      </c>
      <c r="CR4428">
        <v>3</v>
      </c>
      <c r="CW4428">
        <v>9154698</v>
      </c>
      <c r="CY4428">
        <v>1</v>
      </c>
      <c r="CZ4428">
        <v>0</v>
      </c>
      <c r="DA4428">
        <v>1</v>
      </c>
      <c r="DB4428">
        <v>0</v>
      </c>
      <c r="DC4428">
        <v>0</v>
      </c>
      <c r="DD4428">
        <v>1</v>
      </c>
      <c r="DE4428">
        <v>0</v>
      </c>
      <c r="DF4428">
        <v>0</v>
      </c>
      <c r="DG4428">
        <v>0</v>
      </c>
      <c r="DH4428">
        <v>0</v>
      </c>
      <c r="DI4428">
        <v>0</v>
      </c>
    </row>
    <row r="4429" spans="1:113" x14ac:dyDescent="0.3">
      <c r="A4429" t="str">
        <f t="shared" si="2037"/>
        <v>05/12/2020 14:49:03.612</v>
      </c>
      <c r="C4429" t="str">
        <f t="shared" si="2014"/>
        <v>FFDFD3C0</v>
      </c>
      <c r="D4429" t="s">
        <v>113</v>
      </c>
      <c r="E4429">
        <v>3</v>
      </c>
      <c r="H4429">
        <v>164</v>
      </c>
      <c r="I4429" t="s">
        <v>114</v>
      </c>
      <c r="J4429" t="s">
        <v>115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 t="shared" si="2038"/>
        <v>14:49:21.445</v>
      </c>
      <c r="T4429" t="str">
        <f t="shared" si="2039"/>
        <v>14:49:21.145</v>
      </c>
      <c r="U4429" t="str">
        <f t="shared" si="2036"/>
        <v>A9808D</v>
      </c>
      <c r="V4429">
        <v>0</v>
      </c>
      <c r="W4429">
        <v>0</v>
      </c>
      <c r="X4429">
        <v>1</v>
      </c>
      <c r="Z4429">
        <v>0</v>
      </c>
      <c r="AA4429">
        <v>9</v>
      </c>
      <c r="AB4429">
        <v>3</v>
      </c>
      <c r="AC4429">
        <v>0</v>
      </c>
      <c r="AD4429">
        <v>10</v>
      </c>
      <c r="AE4429">
        <v>0</v>
      </c>
      <c r="AF4429">
        <v>3</v>
      </c>
      <c r="AG4429">
        <v>2</v>
      </c>
      <c r="AH4429">
        <v>0</v>
      </c>
      <c r="AI4429" t="s">
        <v>678</v>
      </c>
      <c r="AJ4429">
        <v>28.248681999999999</v>
      </c>
      <c r="AK4429" t="s">
        <v>1001</v>
      </c>
      <c r="AL4429">
        <v>-82.323518000000007</v>
      </c>
      <c r="AM4429">
        <v>100</v>
      </c>
      <c r="AN4429">
        <v>2200</v>
      </c>
      <c r="AO4429" t="s">
        <v>118</v>
      </c>
      <c r="AP4429">
        <v>-137</v>
      </c>
      <c r="AQ4429">
        <v>-58</v>
      </c>
      <c r="AR4429">
        <v>-128</v>
      </c>
      <c r="AZ4429">
        <v>1200</v>
      </c>
      <c r="BA4429">
        <v>1</v>
      </c>
      <c r="BB4429" t="str">
        <f t="shared" si="2015"/>
        <v xml:space="preserve">N711JA  </v>
      </c>
      <c r="BC4429">
        <v>1</v>
      </c>
      <c r="BE4429">
        <v>0</v>
      </c>
      <c r="BF4429">
        <v>0</v>
      </c>
      <c r="BG4429">
        <v>0</v>
      </c>
      <c r="BH4429">
        <v>2200</v>
      </c>
      <c r="BI4429">
        <v>1</v>
      </c>
      <c r="BJ4429">
        <v>1</v>
      </c>
      <c r="BK4429">
        <v>0</v>
      </c>
      <c r="BL4429">
        <v>0</v>
      </c>
      <c r="BO4429">
        <v>0</v>
      </c>
      <c r="BP4429">
        <v>0</v>
      </c>
      <c r="BW4429" t="str">
        <f t="shared" si="2040"/>
        <v>14:49:21.451</v>
      </c>
      <c r="CJ4429">
        <v>0</v>
      </c>
      <c r="CK4429">
        <v>2</v>
      </c>
      <c r="CL4429">
        <v>0</v>
      </c>
      <c r="CM4429">
        <v>2</v>
      </c>
      <c r="CN4429">
        <v>0</v>
      </c>
      <c r="CO4429">
        <v>7</v>
      </c>
      <c r="CP4429" t="s">
        <v>119</v>
      </c>
      <c r="CQ4429">
        <v>8</v>
      </c>
      <c r="CR4429">
        <v>3</v>
      </c>
      <c r="CW4429">
        <v>9154698</v>
      </c>
      <c r="CY4429">
        <v>1</v>
      </c>
      <c r="CZ4429">
        <v>0</v>
      </c>
      <c r="DA4429">
        <v>1</v>
      </c>
      <c r="DB4429">
        <v>0</v>
      </c>
      <c r="DC4429">
        <v>0</v>
      </c>
      <c r="DD4429">
        <v>1</v>
      </c>
      <c r="DE4429">
        <v>0</v>
      </c>
      <c r="DF4429">
        <v>0</v>
      </c>
      <c r="DG4429">
        <v>0</v>
      </c>
      <c r="DH4429">
        <v>0</v>
      </c>
      <c r="DI4429">
        <v>0</v>
      </c>
    </row>
    <row r="4430" spans="1:113" x14ac:dyDescent="0.3">
      <c r="A4430" t="str">
        <f t="shared" si="2037"/>
        <v>05/12/2020 14:49:03.612</v>
      </c>
      <c r="C4430" t="str">
        <f t="shared" si="2014"/>
        <v>FFDFD3C0</v>
      </c>
      <c r="D4430" t="s">
        <v>138</v>
      </c>
      <c r="E4430">
        <v>3</v>
      </c>
      <c r="H4430">
        <v>9</v>
      </c>
      <c r="I4430" t="s">
        <v>140</v>
      </c>
      <c r="J4430" t="s">
        <v>136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 t="shared" si="2038"/>
        <v>14:49:21.445</v>
      </c>
      <c r="T4430" t="str">
        <f t="shared" si="2039"/>
        <v>14:49:21.145</v>
      </c>
      <c r="U4430" t="str">
        <f t="shared" si="2036"/>
        <v>A9808D</v>
      </c>
      <c r="V4430">
        <v>0</v>
      </c>
      <c r="W4430">
        <v>0</v>
      </c>
      <c r="X4430">
        <v>1</v>
      </c>
      <c r="Z4430">
        <v>0</v>
      </c>
      <c r="AA4430">
        <v>9</v>
      </c>
      <c r="AB4430">
        <v>3</v>
      </c>
      <c r="AC4430">
        <v>0</v>
      </c>
      <c r="AD4430">
        <v>10</v>
      </c>
      <c r="AE4430">
        <v>0</v>
      </c>
      <c r="AF4430">
        <v>3</v>
      </c>
      <c r="AG4430">
        <v>2</v>
      </c>
      <c r="AH4430">
        <v>0</v>
      </c>
      <c r="AI4430" t="s">
        <v>678</v>
      </c>
      <c r="AJ4430">
        <v>28.248681999999999</v>
      </c>
      <c r="AK4430" t="s">
        <v>1001</v>
      </c>
      <c r="AL4430">
        <v>-82.323518000000007</v>
      </c>
      <c r="AM4430">
        <v>100</v>
      </c>
      <c r="AN4430">
        <v>2200</v>
      </c>
      <c r="AO4430" t="s">
        <v>118</v>
      </c>
      <c r="AP4430">
        <v>-137</v>
      </c>
      <c r="AQ4430">
        <v>-58</v>
      </c>
      <c r="AR4430">
        <v>-128</v>
      </c>
      <c r="AZ4430">
        <v>1200</v>
      </c>
      <c r="BA4430">
        <v>1</v>
      </c>
      <c r="BB4430" t="str">
        <f t="shared" si="2015"/>
        <v xml:space="preserve">N711JA  </v>
      </c>
      <c r="BC4430">
        <v>1</v>
      </c>
      <c r="BE4430">
        <v>0</v>
      </c>
      <c r="BF4430">
        <v>0</v>
      </c>
      <c r="BG4430">
        <v>0</v>
      </c>
      <c r="BH4430">
        <v>2200</v>
      </c>
      <c r="BI4430">
        <v>1</v>
      </c>
      <c r="BJ4430">
        <v>1</v>
      </c>
      <c r="BK4430">
        <v>0</v>
      </c>
      <c r="BL4430">
        <v>0</v>
      </c>
      <c r="BO4430">
        <v>0</v>
      </c>
      <c r="BP4430">
        <v>0</v>
      </c>
      <c r="BW4430" t="str">
        <f t="shared" si="2040"/>
        <v>14:49:21.451</v>
      </c>
      <c r="CJ4430">
        <v>0</v>
      </c>
      <c r="CK4430">
        <v>2</v>
      </c>
      <c r="CL4430">
        <v>0</v>
      </c>
      <c r="CM4430">
        <v>2</v>
      </c>
      <c r="CN4430">
        <v>0</v>
      </c>
      <c r="CO4430">
        <v>7</v>
      </c>
      <c r="CP4430" t="s">
        <v>119</v>
      </c>
      <c r="CQ4430">
        <v>8</v>
      </c>
      <c r="CR4430">
        <v>3</v>
      </c>
      <c r="CW4430">
        <v>9154698</v>
      </c>
      <c r="CY4430">
        <v>1</v>
      </c>
      <c r="CZ4430">
        <v>0</v>
      </c>
      <c r="DA4430">
        <v>1</v>
      </c>
      <c r="DB4430">
        <v>0</v>
      </c>
      <c r="DC4430">
        <v>0</v>
      </c>
      <c r="DD4430">
        <v>1</v>
      </c>
      <c r="DE4430">
        <v>0</v>
      </c>
      <c r="DF4430">
        <v>0</v>
      </c>
      <c r="DG4430">
        <v>0</v>
      </c>
      <c r="DH4430">
        <v>0</v>
      </c>
      <c r="DI4430">
        <v>0</v>
      </c>
    </row>
    <row r="4431" spans="1:113" x14ac:dyDescent="0.3">
      <c r="A4431" t="str">
        <f t="shared" si="2037"/>
        <v>05/12/2020 14:49:03.612</v>
      </c>
      <c r="C4431" t="str">
        <f t="shared" si="2014"/>
        <v>FFDFD3C0</v>
      </c>
      <c r="D4431" t="s">
        <v>138</v>
      </c>
      <c r="E4431">
        <v>2</v>
      </c>
      <c r="H4431">
        <v>8</v>
      </c>
      <c r="I4431" t="s">
        <v>139</v>
      </c>
      <c r="J4431" t="s">
        <v>136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 t="shared" si="2038"/>
        <v>14:49:21.445</v>
      </c>
      <c r="T4431" t="str">
        <f t="shared" si="2039"/>
        <v>14:49:21.145</v>
      </c>
      <c r="U4431" t="str">
        <f t="shared" si="2036"/>
        <v>A9808D</v>
      </c>
      <c r="V4431">
        <v>0</v>
      </c>
      <c r="W4431">
        <v>0</v>
      </c>
      <c r="X4431">
        <v>1</v>
      </c>
      <c r="Z4431">
        <v>0</v>
      </c>
      <c r="AA4431">
        <v>9</v>
      </c>
      <c r="AB4431">
        <v>3</v>
      </c>
      <c r="AC4431">
        <v>0</v>
      </c>
      <c r="AD4431">
        <v>10</v>
      </c>
      <c r="AE4431">
        <v>0</v>
      </c>
      <c r="AF4431">
        <v>3</v>
      </c>
      <c r="AG4431">
        <v>2</v>
      </c>
      <c r="AH4431">
        <v>0</v>
      </c>
      <c r="AI4431" t="s">
        <v>678</v>
      </c>
      <c r="AJ4431">
        <v>28.248681999999999</v>
      </c>
      <c r="AK4431" t="s">
        <v>1001</v>
      </c>
      <c r="AL4431">
        <v>-82.323518000000007</v>
      </c>
      <c r="AM4431">
        <v>100</v>
      </c>
      <c r="AN4431">
        <v>2200</v>
      </c>
      <c r="AO4431" t="s">
        <v>118</v>
      </c>
      <c r="AP4431">
        <v>-137</v>
      </c>
      <c r="AQ4431">
        <v>-58</v>
      </c>
      <c r="AR4431">
        <v>-128</v>
      </c>
      <c r="AZ4431">
        <v>1200</v>
      </c>
      <c r="BA4431">
        <v>1</v>
      </c>
      <c r="BB4431" t="str">
        <f t="shared" si="2015"/>
        <v xml:space="preserve">N711JA  </v>
      </c>
      <c r="BC4431">
        <v>1</v>
      </c>
      <c r="BE4431">
        <v>0</v>
      </c>
      <c r="BF4431">
        <v>0</v>
      </c>
      <c r="BG4431">
        <v>0</v>
      </c>
      <c r="BH4431">
        <v>2200</v>
      </c>
      <c r="BI4431">
        <v>1</v>
      </c>
      <c r="BJ4431">
        <v>1</v>
      </c>
      <c r="BK4431">
        <v>0</v>
      </c>
      <c r="BL4431">
        <v>0</v>
      </c>
      <c r="BO4431">
        <v>0</v>
      </c>
      <c r="BP4431">
        <v>0</v>
      </c>
      <c r="BW4431" t="str">
        <f t="shared" si="2040"/>
        <v>14:49:21.451</v>
      </c>
      <c r="CJ4431">
        <v>0</v>
      </c>
      <c r="CK4431">
        <v>2</v>
      </c>
      <c r="CL4431">
        <v>0</v>
      </c>
      <c r="CM4431">
        <v>2</v>
      </c>
      <c r="CN4431">
        <v>0</v>
      </c>
      <c r="CO4431">
        <v>7</v>
      </c>
      <c r="CP4431" t="s">
        <v>119</v>
      </c>
      <c r="CQ4431">
        <v>8</v>
      </c>
      <c r="CR4431">
        <v>3</v>
      </c>
      <c r="CW4431">
        <v>9154698</v>
      </c>
      <c r="CY4431">
        <v>1</v>
      </c>
      <c r="CZ4431">
        <v>0</v>
      </c>
      <c r="DA4431">
        <v>1</v>
      </c>
      <c r="DB4431">
        <v>0</v>
      </c>
      <c r="DC4431">
        <v>0</v>
      </c>
      <c r="DD4431">
        <v>1</v>
      </c>
      <c r="DE4431">
        <v>0</v>
      </c>
      <c r="DF4431">
        <v>0</v>
      </c>
      <c r="DG4431">
        <v>0</v>
      </c>
      <c r="DH4431">
        <v>0</v>
      </c>
      <c r="DI4431">
        <v>0</v>
      </c>
    </row>
    <row r="4432" spans="1:113" x14ac:dyDescent="0.3">
      <c r="A4432" t="str">
        <f t="shared" si="2037"/>
        <v>05/12/2020 14:49:03.612</v>
      </c>
      <c r="C4432" t="str">
        <f t="shared" si="2014"/>
        <v>FFDFD3C0</v>
      </c>
      <c r="D4432" t="s">
        <v>126</v>
      </c>
      <c r="E4432">
        <v>7</v>
      </c>
      <c r="F4432">
        <v>1007</v>
      </c>
      <c r="G4432" t="s">
        <v>127</v>
      </c>
      <c r="J4432" t="s">
        <v>128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 t="shared" si="2038"/>
        <v>14:49:21.445</v>
      </c>
      <c r="T4432" t="str">
        <f t="shared" si="2039"/>
        <v>14:49:21.145</v>
      </c>
      <c r="U4432" t="str">
        <f t="shared" si="2036"/>
        <v>A9808D</v>
      </c>
      <c r="V4432">
        <v>0</v>
      </c>
      <c r="W4432">
        <v>0</v>
      </c>
      <c r="X4432">
        <v>1</v>
      </c>
      <c r="Z4432">
        <v>0</v>
      </c>
      <c r="AA4432">
        <v>9</v>
      </c>
      <c r="AB4432">
        <v>3</v>
      </c>
      <c r="AC4432">
        <v>0</v>
      </c>
      <c r="AD4432">
        <v>10</v>
      </c>
      <c r="AE4432">
        <v>0</v>
      </c>
      <c r="AF4432">
        <v>3</v>
      </c>
      <c r="AG4432">
        <v>2</v>
      </c>
      <c r="AH4432">
        <v>0</v>
      </c>
      <c r="AI4432" t="s">
        <v>678</v>
      </c>
      <c r="AJ4432">
        <v>28.248681999999999</v>
      </c>
      <c r="AK4432" t="s">
        <v>1001</v>
      </c>
      <c r="AL4432">
        <v>-82.323518000000007</v>
      </c>
      <c r="AM4432">
        <v>100</v>
      </c>
      <c r="AN4432">
        <v>2200</v>
      </c>
      <c r="AO4432" t="s">
        <v>118</v>
      </c>
      <c r="AP4432">
        <v>-137</v>
      </c>
      <c r="AQ4432">
        <v>-58</v>
      </c>
      <c r="AR4432">
        <v>-128</v>
      </c>
      <c r="AZ4432">
        <v>1200</v>
      </c>
      <c r="BA4432">
        <v>1</v>
      </c>
      <c r="BB4432" t="str">
        <f t="shared" si="2015"/>
        <v xml:space="preserve">N711JA  </v>
      </c>
      <c r="BC4432">
        <v>1</v>
      </c>
      <c r="BE4432">
        <v>0</v>
      </c>
      <c r="BF4432">
        <v>0</v>
      </c>
      <c r="BG4432">
        <v>0</v>
      </c>
      <c r="BH4432">
        <v>2200</v>
      </c>
      <c r="BI4432">
        <v>1</v>
      </c>
      <c r="BJ4432">
        <v>1</v>
      </c>
      <c r="BK4432">
        <v>0</v>
      </c>
      <c r="BL4432">
        <v>0</v>
      </c>
      <c r="BO4432">
        <v>0</v>
      </c>
      <c r="BP4432">
        <v>0</v>
      </c>
      <c r="BW4432" t="str">
        <f t="shared" si="2040"/>
        <v>14:49:21.451</v>
      </c>
      <c r="CJ4432">
        <v>0</v>
      </c>
      <c r="CK4432">
        <v>2</v>
      </c>
      <c r="CL4432">
        <v>0</v>
      </c>
      <c r="CM4432">
        <v>2</v>
      </c>
      <c r="CN4432">
        <v>0</v>
      </c>
      <c r="CO4432">
        <v>7</v>
      </c>
      <c r="CP4432" t="s">
        <v>119</v>
      </c>
      <c r="CQ4432">
        <v>8</v>
      </c>
      <c r="CR4432">
        <v>3</v>
      </c>
      <c r="CW4432">
        <v>9154698</v>
      </c>
      <c r="CY4432">
        <v>1</v>
      </c>
      <c r="CZ4432">
        <v>0</v>
      </c>
      <c r="DA4432">
        <v>1</v>
      </c>
      <c r="DB4432">
        <v>0</v>
      </c>
      <c r="DC4432">
        <v>0</v>
      </c>
      <c r="DD4432">
        <v>1</v>
      </c>
      <c r="DE4432">
        <v>0</v>
      </c>
      <c r="DF4432">
        <v>0</v>
      </c>
      <c r="DG4432">
        <v>0</v>
      </c>
      <c r="DH4432">
        <v>0</v>
      </c>
      <c r="DI4432">
        <v>0</v>
      </c>
    </row>
    <row r="4433" spans="1:113" x14ac:dyDescent="0.3">
      <c r="A4433" t="str">
        <f t="shared" si="2037"/>
        <v>05/12/2020 14:49:03.612</v>
      </c>
      <c r="C4433" t="str">
        <f t="shared" si="2014"/>
        <v>FFDFD3C0</v>
      </c>
      <c r="D4433" t="s">
        <v>131</v>
      </c>
      <c r="E4433">
        <v>10</v>
      </c>
      <c r="F4433">
        <v>2010</v>
      </c>
      <c r="G4433" t="s">
        <v>132</v>
      </c>
      <c r="J4433" t="s">
        <v>133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 t="shared" si="2038"/>
        <v>14:49:21.445</v>
      </c>
      <c r="T4433" t="str">
        <f t="shared" si="2039"/>
        <v>14:49:21.145</v>
      </c>
      <c r="U4433" t="str">
        <f t="shared" si="2036"/>
        <v>A9808D</v>
      </c>
      <c r="V4433">
        <v>0</v>
      </c>
      <c r="W4433">
        <v>0</v>
      </c>
      <c r="X4433">
        <v>1</v>
      </c>
      <c r="Z4433">
        <v>0</v>
      </c>
      <c r="AA4433">
        <v>9</v>
      </c>
      <c r="AB4433">
        <v>3</v>
      </c>
      <c r="AC4433">
        <v>0</v>
      </c>
      <c r="AD4433">
        <v>10</v>
      </c>
      <c r="AE4433">
        <v>0</v>
      </c>
      <c r="AF4433">
        <v>3</v>
      </c>
      <c r="AG4433">
        <v>2</v>
      </c>
      <c r="AH4433">
        <v>0</v>
      </c>
      <c r="AI4433" t="s">
        <v>678</v>
      </c>
      <c r="AJ4433">
        <v>28.248681999999999</v>
      </c>
      <c r="AK4433" t="s">
        <v>1001</v>
      </c>
      <c r="AL4433">
        <v>-82.323518000000007</v>
      </c>
      <c r="AM4433">
        <v>100</v>
      </c>
      <c r="AN4433">
        <v>2200</v>
      </c>
      <c r="AO4433" t="s">
        <v>118</v>
      </c>
      <c r="AP4433">
        <v>-137</v>
      </c>
      <c r="AQ4433">
        <v>-58</v>
      </c>
      <c r="AR4433">
        <v>-128</v>
      </c>
      <c r="AZ4433">
        <v>1200</v>
      </c>
      <c r="BA4433">
        <v>1</v>
      </c>
      <c r="BB4433" t="str">
        <f t="shared" si="2015"/>
        <v xml:space="preserve">N711JA  </v>
      </c>
      <c r="BC4433">
        <v>1</v>
      </c>
      <c r="BE4433">
        <v>0</v>
      </c>
      <c r="BF4433">
        <v>0</v>
      </c>
      <c r="BG4433">
        <v>0</v>
      </c>
      <c r="BH4433">
        <v>2200</v>
      </c>
      <c r="BI4433">
        <v>1</v>
      </c>
      <c r="BJ4433">
        <v>1</v>
      </c>
      <c r="BK4433">
        <v>0</v>
      </c>
      <c r="BL4433">
        <v>0</v>
      </c>
      <c r="BO4433">
        <v>0</v>
      </c>
      <c r="BP4433">
        <v>0</v>
      </c>
      <c r="BW4433" t="str">
        <f t="shared" si="2040"/>
        <v>14:49:21.451</v>
      </c>
      <c r="CJ4433">
        <v>0</v>
      </c>
      <c r="CK4433">
        <v>2</v>
      </c>
      <c r="CL4433">
        <v>0</v>
      </c>
      <c r="CM4433">
        <v>2</v>
      </c>
      <c r="CN4433">
        <v>0</v>
      </c>
      <c r="CO4433">
        <v>7</v>
      </c>
      <c r="CP4433" t="s">
        <v>119</v>
      </c>
      <c r="CQ4433">
        <v>8</v>
      </c>
      <c r="CR4433">
        <v>3</v>
      </c>
      <c r="CW4433">
        <v>9154698</v>
      </c>
      <c r="CY4433">
        <v>1</v>
      </c>
      <c r="CZ4433">
        <v>0</v>
      </c>
      <c r="DA4433">
        <v>1</v>
      </c>
      <c r="DB4433">
        <v>0</v>
      </c>
      <c r="DC4433">
        <v>0</v>
      </c>
      <c r="DD4433">
        <v>1</v>
      </c>
      <c r="DE4433">
        <v>0</v>
      </c>
      <c r="DF4433">
        <v>0</v>
      </c>
      <c r="DG4433">
        <v>0</v>
      </c>
      <c r="DH4433">
        <v>0</v>
      </c>
      <c r="DI4433">
        <v>0</v>
      </c>
    </row>
    <row r="4434" spans="1:113" x14ac:dyDescent="0.3">
      <c r="A4434" t="str">
        <f t="shared" si="2037"/>
        <v>05/12/2020 14:49:03.612</v>
      </c>
      <c r="C4434" t="str">
        <f t="shared" si="2014"/>
        <v>FFDFD3C0</v>
      </c>
      <c r="D4434" t="s">
        <v>131</v>
      </c>
      <c r="E4434">
        <v>12</v>
      </c>
      <c r="F4434">
        <v>2012</v>
      </c>
      <c r="G4434" t="s">
        <v>137</v>
      </c>
      <c r="J4434" t="s">
        <v>133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 t="shared" si="2038"/>
        <v>14:49:21.445</v>
      </c>
      <c r="T4434" t="str">
        <f t="shared" si="2039"/>
        <v>14:49:21.145</v>
      </c>
      <c r="U4434" t="str">
        <f t="shared" si="2036"/>
        <v>A9808D</v>
      </c>
      <c r="V4434">
        <v>0</v>
      </c>
      <c r="W4434">
        <v>0</v>
      </c>
      <c r="X4434">
        <v>1</v>
      </c>
      <c r="Z4434">
        <v>0</v>
      </c>
      <c r="AA4434">
        <v>9</v>
      </c>
      <c r="AB4434">
        <v>3</v>
      </c>
      <c r="AC4434">
        <v>0</v>
      </c>
      <c r="AD4434">
        <v>10</v>
      </c>
      <c r="AE4434">
        <v>0</v>
      </c>
      <c r="AF4434">
        <v>3</v>
      </c>
      <c r="AG4434">
        <v>2</v>
      </c>
      <c r="AH4434">
        <v>0</v>
      </c>
      <c r="AI4434" t="s">
        <v>678</v>
      </c>
      <c r="AJ4434">
        <v>28.248681999999999</v>
      </c>
      <c r="AK4434" t="s">
        <v>1001</v>
      </c>
      <c r="AL4434">
        <v>-82.323518000000007</v>
      </c>
      <c r="AM4434">
        <v>100</v>
      </c>
      <c r="AN4434">
        <v>2200</v>
      </c>
      <c r="AO4434" t="s">
        <v>118</v>
      </c>
      <c r="AP4434">
        <v>-137</v>
      </c>
      <c r="AQ4434">
        <v>-58</v>
      </c>
      <c r="AR4434">
        <v>-128</v>
      </c>
      <c r="AZ4434">
        <v>1200</v>
      </c>
      <c r="BA4434">
        <v>1</v>
      </c>
      <c r="BB4434" t="str">
        <f t="shared" si="2015"/>
        <v xml:space="preserve">N711JA  </v>
      </c>
      <c r="BC4434">
        <v>1</v>
      </c>
      <c r="BE4434">
        <v>0</v>
      </c>
      <c r="BF4434">
        <v>0</v>
      </c>
      <c r="BG4434">
        <v>0</v>
      </c>
      <c r="BH4434">
        <v>2200</v>
      </c>
      <c r="BI4434">
        <v>1</v>
      </c>
      <c r="BJ4434">
        <v>1</v>
      </c>
      <c r="BK4434">
        <v>0</v>
      </c>
      <c r="BL4434">
        <v>0</v>
      </c>
      <c r="BO4434">
        <v>0</v>
      </c>
      <c r="BP4434">
        <v>0</v>
      </c>
      <c r="BW4434" t="str">
        <f t="shared" si="2040"/>
        <v>14:49:21.451</v>
      </c>
      <c r="CJ4434">
        <v>0</v>
      </c>
      <c r="CK4434">
        <v>2</v>
      </c>
      <c r="CL4434">
        <v>0</v>
      </c>
      <c r="CM4434">
        <v>2</v>
      </c>
      <c r="CN4434">
        <v>0</v>
      </c>
      <c r="CO4434">
        <v>7</v>
      </c>
      <c r="CP4434" t="s">
        <v>119</v>
      </c>
      <c r="CQ4434">
        <v>8</v>
      </c>
      <c r="CR4434">
        <v>3</v>
      </c>
      <c r="CW4434">
        <v>9154698</v>
      </c>
      <c r="CY4434">
        <v>1</v>
      </c>
      <c r="CZ4434">
        <v>0</v>
      </c>
      <c r="DA4434">
        <v>1</v>
      </c>
      <c r="DB4434">
        <v>0</v>
      </c>
      <c r="DC4434">
        <v>0</v>
      </c>
      <c r="DD4434">
        <v>1</v>
      </c>
      <c r="DE4434">
        <v>0</v>
      </c>
      <c r="DF4434">
        <v>0</v>
      </c>
      <c r="DG4434">
        <v>0</v>
      </c>
      <c r="DH4434">
        <v>0</v>
      </c>
      <c r="DI4434">
        <v>0</v>
      </c>
    </row>
    <row r="4435" spans="1:113" x14ac:dyDescent="0.3">
      <c r="A4435" t="str">
        <f t="shared" ref="A4435:A4443" si="2041">"05/12/2020 14:49:04.456"</f>
        <v>05/12/2020 14:49:04.456</v>
      </c>
      <c r="C4435" t="str">
        <f t="shared" si="2014"/>
        <v>FFDFD3C0</v>
      </c>
      <c r="D4435" t="s">
        <v>131</v>
      </c>
      <c r="E4435">
        <v>12</v>
      </c>
      <c r="F4435">
        <v>2012</v>
      </c>
      <c r="G4435" t="s">
        <v>137</v>
      </c>
      <c r="J4435" t="s">
        <v>133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 t="shared" ref="S4435:S4443" si="2042">"14:49:22.289"</f>
        <v>14:49:22.289</v>
      </c>
      <c r="T4435" t="str">
        <f t="shared" ref="T4435:T4443" si="2043">"14:49:22.189"</f>
        <v>14:49:22.189</v>
      </c>
      <c r="U4435" t="str">
        <f t="shared" si="2036"/>
        <v>A9808D</v>
      </c>
      <c r="V4435">
        <v>0</v>
      </c>
      <c r="W4435">
        <v>0</v>
      </c>
      <c r="X4435">
        <v>1</v>
      </c>
      <c r="Z4435">
        <v>0</v>
      </c>
      <c r="AA4435">
        <v>9</v>
      </c>
      <c r="AB4435">
        <v>3</v>
      </c>
      <c r="AC4435">
        <v>0</v>
      </c>
      <c r="AD4435">
        <v>10</v>
      </c>
      <c r="AE4435">
        <v>0</v>
      </c>
      <c r="AF4435">
        <v>3</v>
      </c>
      <c r="AG4435">
        <v>2</v>
      </c>
      <c r="AH4435">
        <v>0</v>
      </c>
      <c r="AI4435" t="s">
        <v>1002</v>
      </c>
      <c r="AJ4435">
        <v>28.248446000000001</v>
      </c>
      <c r="AK4435" t="s">
        <v>625</v>
      </c>
      <c r="AL4435">
        <v>-82.324162000000001</v>
      </c>
      <c r="AM4435">
        <v>100</v>
      </c>
      <c r="AN4435">
        <v>2200</v>
      </c>
      <c r="AO4435" t="s">
        <v>118</v>
      </c>
      <c r="AP4435">
        <v>-138</v>
      </c>
      <c r="AQ4435">
        <v>-57</v>
      </c>
      <c r="AR4435">
        <v>-64</v>
      </c>
      <c r="AZ4435">
        <v>1200</v>
      </c>
      <c r="BA4435">
        <v>1</v>
      </c>
      <c r="BB4435" t="str">
        <f t="shared" si="2015"/>
        <v xml:space="preserve">N711JA  </v>
      </c>
      <c r="BC4435">
        <v>1</v>
      </c>
      <c r="BE4435">
        <v>0</v>
      </c>
      <c r="BF4435">
        <v>0</v>
      </c>
      <c r="BG4435">
        <v>0</v>
      </c>
      <c r="BH4435">
        <v>2200</v>
      </c>
      <c r="BI4435">
        <v>1</v>
      </c>
      <c r="BJ4435">
        <v>1</v>
      </c>
      <c r="BK4435">
        <v>0</v>
      </c>
      <c r="BL4435">
        <v>0</v>
      </c>
      <c r="BO4435">
        <v>0</v>
      </c>
      <c r="BP4435">
        <v>0</v>
      </c>
      <c r="BW4435" t="str">
        <f t="shared" ref="BW4435:BW4443" si="2044">"14:49:22.293"</f>
        <v>14:49:22.293</v>
      </c>
      <c r="CJ4435">
        <v>0</v>
      </c>
      <c r="CK4435">
        <v>2</v>
      </c>
      <c r="CL4435">
        <v>0</v>
      </c>
      <c r="CM4435">
        <v>2</v>
      </c>
      <c r="CN4435">
        <v>0</v>
      </c>
      <c r="CO4435">
        <v>7</v>
      </c>
      <c r="CP4435" t="s">
        <v>119</v>
      </c>
      <c r="CQ4435">
        <v>8</v>
      </c>
      <c r="CR4435">
        <v>3</v>
      </c>
      <c r="CW4435">
        <v>9155663</v>
      </c>
      <c r="CY4435">
        <v>1</v>
      </c>
      <c r="CZ4435">
        <v>0</v>
      </c>
      <c r="DA4435">
        <v>0</v>
      </c>
      <c r="DB4435">
        <v>0</v>
      </c>
      <c r="DC4435">
        <v>0</v>
      </c>
      <c r="DD4435">
        <v>1</v>
      </c>
      <c r="DE4435">
        <v>0</v>
      </c>
      <c r="DF4435">
        <v>0</v>
      </c>
      <c r="DG4435">
        <v>0</v>
      </c>
      <c r="DH4435">
        <v>0</v>
      </c>
      <c r="DI4435">
        <v>0</v>
      </c>
    </row>
    <row r="4436" spans="1:113" x14ac:dyDescent="0.3">
      <c r="A4436" t="str">
        <f t="shared" si="2041"/>
        <v>05/12/2020 14:49:04.456</v>
      </c>
      <c r="C4436" t="str">
        <f t="shared" si="2014"/>
        <v>FFDFD3C0</v>
      </c>
      <c r="D4436" t="s">
        <v>113</v>
      </c>
      <c r="E4436">
        <v>3</v>
      </c>
      <c r="H4436">
        <v>164</v>
      </c>
      <c r="I4436" t="s">
        <v>114</v>
      </c>
      <c r="J4436" t="s">
        <v>115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 t="shared" si="2042"/>
        <v>14:49:22.289</v>
      </c>
      <c r="T4436" t="str">
        <f t="shared" si="2043"/>
        <v>14:49:22.189</v>
      </c>
      <c r="U4436" t="str">
        <f t="shared" si="2036"/>
        <v>A9808D</v>
      </c>
      <c r="V4436">
        <v>0</v>
      </c>
      <c r="W4436">
        <v>0</v>
      </c>
      <c r="X4436">
        <v>1</v>
      </c>
      <c r="Z4436">
        <v>0</v>
      </c>
      <c r="AA4436">
        <v>9</v>
      </c>
      <c r="AB4436">
        <v>3</v>
      </c>
      <c r="AC4436">
        <v>0</v>
      </c>
      <c r="AD4436">
        <v>10</v>
      </c>
      <c r="AE4436">
        <v>0</v>
      </c>
      <c r="AF4436">
        <v>3</v>
      </c>
      <c r="AG4436">
        <v>2</v>
      </c>
      <c r="AH4436">
        <v>0</v>
      </c>
      <c r="AI4436" t="s">
        <v>1002</v>
      </c>
      <c r="AJ4436">
        <v>28.248446000000001</v>
      </c>
      <c r="AK4436" t="s">
        <v>625</v>
      </c>
      <c r="AL4436">
        <v>-82.324162000000001</v>
      </c>
      <c r="AM4436">
        <v>100</v>
      </c>
      <c r="AN4436">
        <v>2200</v>
      </c>
      <c r="AO4436" t="s">
        <v>118</v>
      </c>
      <c r="AP4436">
        <v>-138</v>
      </c>
      <c r="AQ4436">
        <v>-57</v>
      </c>
      <c r="AR4436">
        <v>-64</v>
      </c>
      <c r="AZ4436">
        <v>1200</v>
      </c>
      <c r="BA4436">
        <v>1</v>
      </c>
      <c r="BB4436" t="str">
        <f t="shared" si="2015"/>
        <v xml:space="preserve">N711JA  </v>
      </c>
      <c r="BC4436">
        <v>1</v>
      </c>
      <c r="BE4436">
        <v>0</v>
      </c>
      <c r="BF4436">
        <v>0</v>
      </c>
      <c r="BG4436">
        <v>0</v>
      </c>
      <c r="BH4436">
        <v>2200</v>
      </c>
      <c r="BI4436">
        <v>1</v>
      </c>
      <c r="BJ4436">
        <v>1</v>
      </c>
      <c r="BK4436">
        <v>0</v>
      </c>
      <c r="BL4436">
        <v>0</v>
      </c>
      <c r="BO4436">
        <v>0</v>
      </c>
      <c r="BP4436">
        <v>0</v>
      </c>
      <c r="BW4436" t="str">
        <f t="shared" si="2044"/>
        <v>14:49:22.293</v>
      </c>
      <c r="CJ4436">
        <v>0</v>
      </c>
      <c r="CK4436">
        <v>2</v>
      </c>
      <c r="CL4436">
        <v>0</v>
      </c>
      <c r="CM4436">
        <v>2</v>
      </c>
      <c r="CN4436">
        <v>0</v>
      </c>
      <c r="CO4436">
        <v>7</v>
      </c>
      <c r="CP4436" t="s">
        <v>119</v>
      </c>
      <c r="CQ4436">
        <v>8</v>
      </c>
      <c r="CR4436">
        <v>3</v>
      </c>
      <c r="CW4436">
        <v>9155663</v>
      </c>
      <c r="CY4436">
        <v>1</v>
      </c>
      <c r="CZ4436">
        <v>0</v>
      </c>
      <c r="DA4436">
        <v>1</v>
      </c>
      <c r="DB4436">
        <v>0</v>
      </c>
      <c r="DC4436">
        <v>0</v>
      </c>
      <c r="DD4436">
        <v>1</v>
      </c>
      <c r="DE4436">
        <v>0</v>
      </c>
      <c r="DF4436">
        <v>0</v>
      </c>
      <c r="DG4436">
        <v>0</v>
      </c>
      <c r="DH4436">
        <v>0</v>
      </c>
      <c r="DI4436">
        <v>0</v>
      </c>
    </row>
    <row r="4437" spans="1:113" x14ac:dyDescent="0.3">
      <c r="A4437" t="str">
        <f t="shared" si="2041"/>
        <v>05/12/2020 14:49:04.456</v>
      </c>
      <c r="C4437" t="str">
        <f t="shared" si="2014"/>
        <v>FFDFD3C0</v>
      </c>
      <c r="D4437" t="s">
        <v>138</v>
      </c>
      <c r="E4437">
        <v>3</v>
      </c>
      <c r="H4437">
        <v>9</v>
      </c>
      <c r="I4437" t="s">
        <v>140</v>
      </c>
      <c r="J4437" t="s">
        <v>136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 t="shared" si="2042"/>
        <v>14:49:22.289</v>
      </c>
      <c r="T4437" t="str">
        <f t="shared" si="2043"/>
        <v>14:49:22.189</v>
      </c>
      <c r="U4437" t="str">
        <f t="shared" si="2036"/>
        <v>A9808D</v>
      </c>
      <c r="V4437">
        <v>0</v>
      </c>
      <c r="W4437">
        <v>0</v>
      </c>
      <c r="X4437">
        <v>1</v>
      </c>
      <c r="Z4437">
        <v>0</v>
      </c>
      <c r="AA4437">
        <v>9</v>
      </c>
      <c r="AB4437">
        <v>3</v>
      </c>
      <c r="AC4437">
        <v>0</v>
      </c>
      <c r="AD4437">
        <v>10</v>
      </c>
      <c r="AE4437">
        <v>0</v>
      </c>
      <c r="AF4437">
        <v>3</v>
      </c>
      <c r="AG4437">
        <v>2</v>
      </c>
      <c r="AH4437">
        <v>0</v>
      </c>
      <c r="AI4437" t="s">
        <v>1002</v>
      </c>
      <c r="AJ4437">
        <v>28.248446000000001</v>
      </c>
      <c r="AK4437" t="s">
        <v>625</v>
      </c>
      <c r="AL4437">
        <v>-82.324162000000001</v>
      </c>
      <c r="AM4437">
        <v>100</v>
      </c>
      <c r="AN4437">
        <v>2200</v>
      </c>
      <c r="AO4437" t="s">
        <v>118</v>
      </c>
      <c r="AP4437">
        <v>-138</v>
      </c>
      <c r="AQ4437">
        <v>-57</v>
      </c>
      <c r="AR4437">
        <v>-64</v>
      </c>
      <c r="AZ4437">
        <v>1200</v>
      </c>
      <c r="BA4437">
        <v>1</v>
      </c>
      <c r="BB4437" t="str">
        <f t="shared" si="2015"/>
        <v xml:space="preserve">N711JA  </v>
      </c>
      <c r="BC4437">
        <v>1</v>
      </c>
      <c r="BE4437">
        <v>0</v>
      </c>
      <c r="BF4437">
        <v>0</v>
      </c>
      <c r="BG4437">
        <v>0</v>
      </c>
      <c r="BH4437">
        <v>2200</v>
      </c>
      <c r="BI4437">
        <v>1</v>
      </c>
      <c r="BJ4437">
        <v>1</v>
      </c>
      <c r="BK4437">
        <v>0</v>
      </c>
      <c r="BL4437">
        <v>0</v>
      </c>
      <c r="BO4437">
        <v>0</v>
      </c>
      <c r="BP4437">
        <v>0</v>
      </c>
      <c r="BW4437" t="str">
        <f t="shared" si="2044"/>
        <v>14:49:22.293</v>
      </c>
      <c r="CJ4437">
        <v>0</v>
      </c>
      <c r="CK4437">
        <v>2</v>
      </c>
      <c r="CL4437">
        <v>0</v>
      </c>
      <c r="CM4437">
        <v>2</v>
      </c>
      <c r="CN4437">
        <v>0</v>
      </c>
      <c r="CO4437">
        <v>7</v>
      </c>
      <c r="CP4437" t="s">
        <v>119</v>
      </c>
      <c r="CQ4437">
        <v>8</v>
      </c>
      <c r="CR4437">
        <v>3</v>
      </c>
      <c r="CW4437">
        <v>9155663</v>
      </c>
      <c r="CY4437">
        <v>1</v>
      </c>
      <c r="CZ4437">
        <v>0</v>
      </c>
      <c r="DA4437">
        <v>1</v>
      </c>
      <c r="DB4437">
        <v>0</v>
      </c>
      <c r="DC4437">
        <v>0</v>
      </c>
      <c r="DD4437">
        <v>1</v>
      </c>
      <c r="DE4437">
        <v>0</v>
      </c>
      <c r="DF4437">
        <v>0</v>
      </c>
      <c r="DG4437">
        <v>0</v>
      </c>
      <c r="DH4437">
        <v>0</v>
      </c>
      <c r="DI4437">
        <v>0</v>
      </c>
    </row>
    <row r="4438" spans="1:113" x14ac:dyDescent="0.3">
      <c r="A4438" t="str">
        <f t="shared" si="2041"/>
        <v>05/12/2020 14:49:04.456</v>
      </c>
      <c r="C4438" t="str">
        <f t="shared" ref="C4438:C4501" si="2045">"FFDFD3C0"</f>
        <v>FFDFD3C0</v>
      </c>
      <c r="D4438" t="s">
        <v>138</v>
      </c>
      <c r="E4438">
        <v>2</v>
      </c>
      <c r="H4438">
        <v>8</v>
      </c>
      <c r="I4438" t="s">
        <v>139</v>
      </c>
      <c r="J4438" t="s">
        <v>136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 t="shared" si="2042"/>
        <v>14:49:22.289</v>
      </c>
      <c r="T4438" t="str">
        <f t="shared" si="2043"/>
        <v>14:49:22.189</v>
      </c>
      <c r="U4438" t="str">
        <f t="shared" si="2036"/>
        <v>A9808D</v>
      </c>
      <c r="V4438">
        <v>0</v>
      </c>
      <c r="W4438">
        <v>0</v>
      </c>
      <c r="X4438">
        <v>1</v>
      </c>
      <c r="Z4438">
        <v>0</v>
      </c>
      <c r="AA4438">
        <v>9</v>
      </c>
      <c r="AB4438">
        <v>3</v>
      </c>
      <c r="AC4438">
        <v>0</v>
      </c>
      <c r="AD4438">
        <v>10</v>
      </c>
      <c r="AE4438">
        <v>0</v>
      </c>
      <c r="AF4438">
        <v>3</v>
      </c>
      <c r="AG4438">
        <v>2</v>
      </c>
      <c r="AH4438">
        <v>0</v>
      </c>
      <c r="AI4438" t="s">
        <v>1002</v>
      </c>
      <c r="AJ4438">
        <v>28.248446000000001</v>
      </c>
      <c r="AK4438" t="s">
        <v>625</v>
      </c>
      <c r="AL4438">
        <v>-82.324162000000001</v>
      </c>
      <c r="AM4438">
        <v>100</v>
      </c>
      <c r="AN4438">
        <v>2200</v>
      </c>
      <c r="AO4438" t="s">
        <v>118</v>
      </c>
      <c r="AP4438">
        <v>-138</v>
      </c>
      <c r="AQ4438">
        <v>-57</v>
      </c>
      <c r="AR4438">
        <v>-64</v>
      </c>
      <c r="AZ4438">
        <v>1200</v>
      </c>
      <c r="BA4438">
        <v>1</v>
      </c>
      <c r="BB4438" t="str">
        <f t="shared" ref="BB4438:BB4501" si="2046">"N711JA  "</f>
        <v xml:space="preserve">N711JA  </v>
      </c>
      <c r="BC4438">
        <v>1</v>
      </c>
      <c r="BE4438">
        <v>0</v>
      </c>
      <c r="BF4438">
        <v>0</v>
      </c>
      <c r="BG4438">
        <v>0</v>
      </c>
      <c r="BH4438">
        <v>2200</v>
      </c>
      <c r="BI4438">
        <v>1</v>
      </c>
      <c r="BJ4438">
        <v>1</v>
      </c>
      <c r="BK4438">
        <v>0</v>
      </c>
      <c r="BL4438">
        <v>0</v>
      </c>
      <c r="BO4438">
        <v>0</v>
      </c>
      <c r="BP4438">
        <v>0</v>
      </c>
      <c r="BW4438" t="str">
        <f t="shared" si="2044"/>
        <v>14:49:22.293</v>
      </c>
      <c r="CJ4438">
        <v>0</v>
      </c>
      <c r="CK4438">
        <v>2</v>
      </c>
      <c r="CL4438">
        <v>0</v>
      </c>
      <c r="CM4438">
        <v>2</v>
      </c>
      <c r="CN4438">
        <v>0</v>
      </c>
      <c r="CO4438">
        <v>7</v>
      </c>
      <c r="CP4438" t="s">
        <v>119</v>
      </c>
      <c r="CQ4438">
        <v>8</v>
      </c>
      <c r="CR4438">
        <v>3</v>
      </c>
      <c r="CW4438">
        <v>9155663</v>
      </c>
      <c r="CY4438">
        <v>1</v>
      </c>
      <c r="CZ4438">
        <v>0</v>
      </c>
      <c r="DA4438">
        <v>1</v>
      </c>
      <c r="DB4438">
        <v>0</v>
      </c>
      <c r="DC4438">
        <v>0</v>
      </c>
      <c r="DD4438">
        <v>1</v>
      </c>
      <c r="DE4438">
        <v>0</v>
      </c>
      <c r="DF4438">
        <v>0</v>
      </c>
      <c r="DG4438">
        <v>0</v>
      </c>
      <c r="DH4438">
        <v>0</v>
      </c>
      <c r="DI4438">
        <v>0</v>
      </c>
    </row>
    <row r="4439" spans="1:113" x14ac:dyDescent="0.3">
      <c r="A4439" t="str">
        <f t="shared" si="2041"/>
        <v>05/12/2020 14:49:04.456</v>
      </c>
      <c r="C4439" t="str">
        <f t="shared" si="2045"/>
        <v>FFDFD3C0</v>
      </c>
      <c r="D4439" t="s">
        <v>131</v>
      </c>
      <c r="E4439">
        <v>18</v>
      </c>
      <c r="F4439">
        <v>2018</v>
      </c>
      <c r="G4439" t="s">
        <v>161</v>
      </c>
      <c r="J4439" t="s">
        <v>133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 t="shared" si="2042"/>
        <v>14:49:22.289</v>
      </c>
      <c r="T4439" t="str">
        <f t="shared" si="2043"/>
        <v>14:49:22.189</v>
      </c>
      <c r="U4439" t="str">
        <f t="shared" si="2036"/>
        <v>A9808D</v>
      </c>
      <c r="V4439">
        <v>0</v>
      </c>
      <c r="W4439">
        <v>0</v>
      </c>
      <c r="X4439">
        <v>1</v>
      </c>
      <c r="Z4439">
        <v>0</v>
      </c>
      <c r="AA4439">
        <v>9</v>
      </c>
      <c r="AB4439">
        <v>3</v>
      </c>
      <c r="AC4439">
        <v>0</v>
      </c>
      <c r="AD4439">
        <v>10</v>
      </c>
      <c r="AE4439">
        <v>0</v>
      </c>
      <c r="AF4439">
        <v>3</v>
      </c>
      <c r="AG4439">
        <v>2</v>
      </c>
      <c r="AH4439">
        <v>0</v>
      </c>
      <c r="AI4439" t="s">
        <v>1002</v>
      </c>
      <c r="AJ4439">
        <v>28.248446000000001</v>
      </c>
      <c r="AK4439" t="s">
        <v>625</v>
      </c>
      <c r="AL4439">
        <v>-82.324162000000001</v>
      </c>
      <c r="AM4439">
        <v>100</v>
      </c>
      <c r="AN4439">
        <v>2200</v>
      </c>
      <c r="AO4439" t="s">
        <v>118</v>
      </c>
      <c r="AP4439">
        <v>-138</v>
      </c>
      <c r="AQ4439">
        <v>-57</v>
      </c>
      <c r="AR4439">
        <v>-64</v>
      </c>
      <c r="AZ4439">
        <v>1200</v>
      </c>
      <c r="BA4439">
        <v>1</v>
      </c>
      <c r="BB4439" t="str">
        <f t="shared" si="2046"/>
        <v xml:space="preserve">N711JA  </v>
      </c>
      <c r="BC4439">
        <v>1</v>
      </c>
      <c r="BE4439">
        <v>0</v>
      </c>
      <c r="BF4439">
        <v>0</v>
      </c>
      <c r="BG4439">
        <v>0</v>
      </c>
      <c r="BH4439">
        <v>2200</v>
      </c>
      <c r="BI4439">
        <v>1</v>
      </c>
      <c r="BJ4439">
        <v>1</v>
      </c>
      <c r="BK4439">
        <v>0</v>
      </c>
      <c r="BL4439">
        <v>0</v>
      </c>
      <c r="BO4439">
        <v>0</v>
      </c>
      <c r="BP4439">
        <v>0</v>
      </c>
      <c r="BW4439" t="str">
        <f t="shared" si="2044"/>
        <v>14:49:22.293</v>
      </c>
      <c r="CJ4439">
        <v>0</v>
      </c>
      <c r="CK4439">
        <v>2</v>
      </c>
      <c r="CL4439">
        <v>0</v>
      </c>
      <c r="CM4439">
        <v>2</v>
      </c>
      <c r="CN4439">
        <v>0</v>
      </c>
      <c r="CO4439">
        <v>6</v>
      </c>
      <c r="CP4439" t="s">
        <v>119</v>
      </c>
      <c r="CQ4439">
        <v>56</v>
      </c>
      <c r="CR4439">
        <v>2</v>
      </c>
      <c r="CW4439">
        <v>5155764</v>
      </c>
      <c r="CY4439">
        <v>1</v>
      </c>
      <c r="CZ4439">
        <v>0</v>
      </c>
      <c r="DA4439">
        <v>1</v>
      </c>
      <c r="DB4439">
        <v>0</v>
      </c>
      <c r="DC4439">
        <v>0</v>
      </c>
      <c r="DD4439">
        <v>1</v>
      </c>
      <c r="DE4439">
        <v>0</v>
      </c>
      <c r="DF4439">
        <v>0</v>
      </c>
      <c r="DG4439">
        <v>0</v>
      </c>
      <c r="DH4439">
        <v>0</v>
      </c>
      <c r="DI4439">
        <v>0</v>
      </c>
    </row>
    <row r="4440" spans="1:113" x14ac:dyDescent="0.3">
      <c r="A4440" t="str">
        <f t="shared" si="2041"/>
        <v>05/12/2020 14:49:04.456</v>
      </c>
      <c r="C4440" t="str">
        <f t="shared" si="2045"/>
        <v>FFDFD3C0</v>
      </c>
      <c r="D4440" t="s">
        <v>126</v>
      </c>
      <c r="E4440">
        <v>6</v>
      </c>
      <c r="F4440">
        <v>1006</v>
      </c>
      <c r="G4440" t="s">
        <v>114</v>
      </c>
      <c r="J4440" t="s">
        <v>128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 t="shared" si="2042"/>
        <v>14:49:22.289</v>
      </c>
      <c r="T4440" t="str">
        <f t="shared" si="2043"/>
        <v>14:49:22.189</v>
      </c>
      <c r="U4440" t="str">
        <f t="shared" si="2036"/>
        <v>A9808D</v>
      </c>
      <c r="V4440">
        <v>0</v>
      </c>
      <c r="W4440">
        <v>0</v>
      </c>
      <c r="X4440">
        <v>1</v>
      </c>
      <c r="Z4440">
        <v>0</v>
      </c>
      <c r="AA4440">
        <v>9</v>
      </c>
      <c r="AB4440">
        <v>3</v>
      </c>
      <c r="AC4440">
        <v>0</v>
      </c>
      <c r="AD4440">
        <v>10</v>
      </c>
      <c r="AE4440">
        <v>0</v>
      </c>
      <c r="AF4440">
        <v>3</v>
      </c>
      <c r="AG4440">
        <v>2</v>
      </c>
      <c r="AH4440">
        <v>0</v>
      </c>
      <c r="AI4440" t="s">
        <v>1002</v>
      </c>
      <c r="AJ4440">
        <v>28.248446000000001</v>
      </c>
      <c r="AK4440" t="s">
        <v>625</v>
      </c>
      <c r="AL4440">
        <v>-82.324162000000001</v>
      </c>
      <c r="AM4440">
        <v>100</v>
      </c>
      <c r="AN4440">
        <v>2200</v>
      </c>
      <c r="AO4440" t="s">
        <v>118</v>
      </c>
      <c r="AP4440">
        <v>-138</v>
      </c>
      <c r="AQ4440">
        <v>-57</v>
      </c>
      <c r="AR4440">
        <v>-64</v>
      </c>
      <c r="AZ4440">
        <v>1200</v>
      </c>
      <c r="BA4440">
        <v>1</v>
      </c>
      <c r="BB4440" t="str">
        <f t="shared" si="2046"/>
        <v xml:space="preserve">N711JA  </v>
      </c>
      <c r="BC4440">
        <v>1</v>
      </c>
      <c r="BE4440">
        <v>0</v>
      </c>
      <c r="BF4440">
        <v>0</v>
      </c>
      <c r="BG4440">
        <v>0</v>
      </c>
      <c r="BH4440">
        <v>2200</v>
      </c>
      <c r="BI4440">
        <v>1</v>
      </c>
      <c r="BJ4440">
        <v>1</v>
      </c>
      <c r="BK4440">
        <v>0</v>
      </c>
      <c r="BL4440">
        <v>0</v>
      </c>
      <c r="BO4440">
        <v>0</v>
      </c>
      <c r="BP4440">
        <v>0</v>
      </c>
      <c r="BW4440" t="str">
        <f t="shared" si="2044"/>
        <v>14:49:22.293</v>
      </c>
      <c r="CJ4440">
        <v>0</v>
      </c>
      <c r="CK4440">
        <v>2</v>
      </c>
      <c r="CL4440">
        <v>0</v>
      </c>
      <c r="CM4440">
        <v>2</v>
      </c>
      <c r="CN4440">
        <v>0</v>
      </c>
      <c r="CO4440">
        <v>7</v>
      </c>
      <c r="CP4440" t="s">
        <v>119</v>
      </c>
      <c r="CQ4440">
        <v>8</v>
      </c>
      <c r="CR4440">
        <v>3</v>
      </c>
      <c r="CW4440">
        <v>9155663</v>
      </c>
      <c r="CY4440">
        <v>1</v>
      </c>
      <c r="CZ4440">
        <v>0</v>
      </c>
      <c r="DA4440">
        <v>1</v>
      </c>
      <c r="DB4440">
        <v>0</v>
      </c>
      <c r="DC4440">
        <v>0</v>
      </c>
      <c r="DD4440">
        <v>1</v>
      </c>
      <c r="DE4440">
        <v>0</v>
      </c>
      <c r="DF4440">
        <v>0</v>
      </c>
      <c r="DG4440">
        <v>0</v>
      </c>
      <c r="DH4440">
        <v>0</v>
      </c>
      <c r="DI4440">
        <v>0</v>
      </c>
    </row>
    <row r="4441" spans="1:113" x14ac:dyDescent="0.3">
      <c r="A4441" t="str">
        <f t="shared" si="2041"/>
        <v>05/12/2020 14:49:04.456</v>
      </c>
      <c r="C4441" t="str">
        <f t="shared" si="2045"/>
        <v>FFDFD3C0</v>
      </c>
      <c r="D4441" t="s">
        <v>134</v>
      </c>
      <c r="E4441">
        <v>12</v>
      </c>
      <c r="H4441">
        <v>64</v>
      </c>
      <c r="I4441" t="s">
        <v>135</v>
      </c>
      <c r="J4441" t="s">
        <v>136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 t="shared" si="2042"/>
        <v>14:49:22.289</v>
      </c>
      <c r="T4441" t="str">
        <f t="shared" si="2043"/>
        <v>14:49:22.189</v>
      </c>
      <c r="U4441" t="str">
        <f t="shared" si="2036"/>
        <v>A9808D</v>
      </c>
      <c r="V4441">
        <v>0</v>
      </c>
      <c r="W4441">
        <v>0</v>
      </c>
      <c r="X4441">
        <v>1</v>
      </c>
      <c r="Z4441">
        <v>0</v>
      </c>
      <c r="AA4441">
        <v>9</v>
      </c>
      <c r="AB4441">
        <v>3</v>
      </c>
      <c r="AC4441">
        <v>0</v>
      </c>
      <c r="AD4441">
        <v>10</v>
      </c>
      <c r="AE4441">
        <v>0</v>
      </c>
      <c r="AF4441">
        <v>3</v>
      </c>
      <c r="AG4441">
        <v>2</v>
      </c>
      <c r="AH4441">
        <v>0</v>
      </c>
      <c r="AI4441" t="s">
        <v>1002</v>
      </c>
      <c r="AJ4441">
        <v>28.248446000000001</v>
      </c>
      <c r="AK4441" t="s">
        <v>625</v>
      </c>
      <c r="AL4441">
        <v>-82.324162000000001</v>
      </c>
      <c r="AM4441">
        <v>100</v>
      </c>
      <c r="AN4441">
        <v>2200</v>
      </c>
      <c r="AO4441" t="s">
        <v>118</v>
      </c>
      <c r="AP4441">
        <v>-138</v>
      </c>
      <c r="AQ4441">
        <v>-57</v>
      </c>
      <c r="AR4441">
        <v>-64</v>
      </c>
      <c r="AZ4441">
        <v>1200</v>
      </c>
      <c r="BA4441">
        <v>1</v>
      </c>
      <c r="BB4441" t="str">
        <f t="shared" si="2046"/>
        <v xml:space="preserve">N711JA  </v>
      </c>
      <c r="BC4441">
        <v>1</v>
      </c>
      <c r="BE4441">
        <v>0</v>
      </c>
      <c r="BF4441">
        <v>0</v>
      </c>
      <c r="BG4441">
        <v>0</v>
      </c>
      <c r="BH4441">
        <v>2200</v>
      </c>
      <c r="BI4441">
        <v>1</v>
      </c>
      <c r="BJ4441">
        <v>1</v>
      </c>
      <c r="BK4441">
        <v>0</v>
      </c>
      <c r="BL4441">
        <v>0</v>
      </c>
      <c r="BO4441">
        <v>0</v>
      </c>
      <c r="BP4441">
        <v>0</v>
      </c>
      <c r="BW4441" t="str">
        <f t="shared" si="2044"/>
        <v>14:49:22.293</v>
      </c>
      <c r="CJ4441">
        <v>0</v>
      </c>
      <c r="CK4441">
        <v>2</v>
      </c>
      <c r="CL4441">
        <v>0</v>
      </c>
      <c r="CM4441">
        <v>2</v>
      </c>
      <c r="CN4441">
        <v>0</v>
      </c>
      <c r="CO4441">
        <v>7</v>
      </c>
      <c r="CP4441" t="s">
        <v>119</v>
      </c>
      <c r="CQ4441">
        <v>8</v>
      </c>
      <c r="CR4441">
        <v>3</v>
      </c>
      <c r="CW4441">
        <v>9155663</v>
      </c>
      <c r="CY4441">
        <v>1</v>
      </c>
      <c r="CZ4441">
        <v>0</v>
      </c>
      <c r="DA4441">
        <v>1</v>
      </c>
      <c r="DB4441">
        <v>0</v>
      </c>
      <c r="DC4441">
        <v>0</v>
      </c>
      <c r="DD4441">
        <v>1</v>
      </c>
      <c r="DE4441">
        <v>0</v>
      </c>
      <c r="DF4441">
        <v>0</v>
      </c>
      <c r="DG4441">
        <v>0</v>
      </c>
      <c r="DH4441">
        <v>0</v>
      </c>
      <c r="DI4441">
        <v>0</v>
      </c>
    </row>
    <row r="4442" spans="1:113" x14ac:dyDescent="0.3">
      <c r="A4442" t="str">
        <f t="shared" si="2041"/>
        <v>05/12/2020 14:49:04.456</v>
      </c>
      <c r="C4442" t="str">
        <f t="shared" si="2045"/>
        <v>FFDFD3C0</v>
      </c>
      <c r="D4442" t="s">
        <v>131</v>
      </c>
      <c r="E4442">
        <v>10</v>
      </c>
      <c r="F4442">
        <v>2010</v>
      </c>
      <c r="G4442" t="s">
        <v>132</v>
      </c>
      <c r="J4442" t="s">
        <v>133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 t="shared" si="2042"/>
        <v>14:49:22.289</v>
      </c>
      <c r="T4442" t="str">
        <f t="shared" si="2043"/>
        <v>14:49:22.189</v>
      </c>
      <c r="U4442" t="str">
        <f t="shared" si="2036"/>
        <v>A9808D</v>
      </c>
      <c r="V4442">
        <v>0</v>
      </c>
      <c r="W4442">
        <v>0</v>
      </c>
      <c r="X4442">
        <v>1</v>
      </c>
      <c r="Z4442">
        <v>0</v>
      </c>
      <c r="AA4442">
        <v>9</v>
      </c>
      <c r="AB4442">
        <v>3</v>
      </c>
      <c r="AC4442">
        <v>0</v>
      </c>
      <c r="AD4442">
        <v>10</v>
      </c>
      <c r="AE4442">
        <v>0</v>
      </c>
      <c r="AF4442">
        <v>3</v>
      </c>
      <c r="AG4442">
        <v>2</v>
      </c>
      <c r="AH4442">
        <v>0</v>
      </c>
      <c r="AI4442" t="s">
        <v>1002</v>
      </c>
      <c r="AJ4442">
        <v>28.248446000000001</v>
      </c>
      <c r="AK4442" t="s">
        <v>625</v>
      </c>
      <c r="AL4442">
        <v>-82.324162000000001</v>
      </c>
      <c r="AM4442">
        <v>100</v>
      </c>
      <c r="AN4442">
        <v>2200</v>
      </c>
      <c r="AO4442" t="s">
        <v>118</v>
      </c>
      <c r="AP4442">
        <v>-138</v>
      </c>
      <c r="AQ4442">
        <v>-57</v>
      </c>
      <c r="AR4442">
        <v>-64</v>
      </c>
      <c r="AZ4442">
        <v>1200</v>
      </c>
      <c r="BA4442">
        <v>1</v>
      </c>
      <c r="BB4442" t="str">
        <f t="shared" si="2046"/>
        <v xml:space="preserve">N711JA  </v>
      </c>
      <c r="BC4442">
        <v>1</v>
      </c>
      <c r="BE4442">
        <v>0</v>
      </c>
      <c r="BF4442">
        <v>0</v>
      </c>
      <c r="BG4442">
        <v>0</v>
      </c>
      <c r="BH4442">
        <v>2200</v>
      </c>
      <c r="BI4442">
        <v>1</v>
      </c>
      <c r="BJ4442">
        <v>1</v>
      </c>
      <c r="BK4442">
        <v>0</v>
      </c>
      <c r="BL4442">
        <v>0</v>
      </c>
      <c r="BO4442">
        <v>0</v>
      </c>
      <c r="BP4442">
        <v>0</v>
      </c>
      <c r="BW4442" t="str">
        <f t="shared" si="2044"/>
        <v>14:49:22.293</v>
      </c>
      <c r="CJ4442">
        <v>0</v>
      </c>
      <c r="CK4442">
        <v>2</v>
      </c>
      <c r="CL4442">
        <v>0</v>
      </c>
      <c r="CM4442">
        <v>2</v>
      </c>
      <c r="CN4442">
        <v>0</v>
      </c>
      <c r="CO4442">
        <v>7</v>
      </c>
      <c r="CP4442" t="s">
        <v>119</v>
      </c>
      <c r="CQ4442">
        <v>8</v>
      </c>
      <c r="CR4442">
        <v>3</v>
      </c>
      <c r="CW4442">
        <v>9155663</v>
      </c>
      <c r="CY4442">
        <v>1</v>
      </c>
      <c r="CZ4442">
        <v>0</v>
      </c>
      <c r="DA4442">
        <v>1</v>
      </c>
      <c r="DB4442">
        <v>0</v>
      </c>
      <c r="DC4442">
        <v>0</v>
      </c>
      <c r="DD4442">
        <v>1</v>
      </c>
      <c r="DE4442">
        <v>0</v>
      </c>
      <c r="DF4442">
        <v>0</v>
      </c>
      <c r="DG4442">
        <v>0</v>
      </c>
      <c r="DH4442">
        <v>0</v>
      </c>
      <c r="DI4442">
        <v>0</v>
      </c>
    </row>
    <row r="4443" spans="1:113" x14ac:dyDescent="0.3">
      <c r="A4443" t="str">
        <f t="shared" si="2041"/>
        <v>05/12/2020 14:49:04.456</v>
      </c>
      <c r="C4443" t="str">
        <f t="shared" si="2045"/>
        <v>FFDFD3C0</v>
      </c>
      <c r="D4443" t="s">
        <v>126</v>
      </c>
      <c r="E4443">
        <v>7</v>
      </c>
      <c r="F4443">
        <v>1007</v>
      </c>
      <c r="G4443" t="s">
        <v>127</v>
      </c>
      <c r="J4443" t="s">
        <v>128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 t="shared" si="2042"/>
        <v>14:49:22.289</v>
      </c>
      <c r="T4443" t="str">
        <f t="shared" si="2043"/>
        <v>14:49:22.189</v>
      </c>
      <c r="U4443" t="str">
        <f t="shared" si="2036"/>
        <v>A9808D</v>
      </c>
      <c r="V4443">
        <v>0</v>
      </c>
      <c r="W4443">
        <v>0</v>
      </c>
      <c r="X4443">
        <v>1</v>
      </c>
      <c r="Z4443">
        <v>0</v>
      </c>
      <c r="AA4443">
        <v>9</v>
      </c>
      <c r="AB4443">
        <v>3</v>
      </c>
      <c r="AC4443">
        <v>0</v>
      </c>
      <c r="AD4443">
        <v>10</v>
      </c>
      <c r="AE4443">
        <v>0</v>
      </c>
      <c r="AF4443">
        <v>3</v>
      </c>
      <c r="AG4443">
        <v>2</v>
      </c>
      <c r="AH4443">
        <v>0</v>
      </c>
      <c r="AI4443" t="s">
        <v>1002</v>
      </c>
      <c r="AJ4443">
        <v>28.248446000000001</v>
      </c>
      <c r="AK4443" t="s">
        <v>625</v>
      </c>
      <c r="AL4443">
        <v>-82.324162000000001</v>
      </c>
      <c r="AM4443">
        <v>100</v>
      </c>
      <c r="AN4443">
        <v>2200</v>
      </c>
      <c r="AO4443" t="s">
        <v>118</v>
      </c>
      <c r="AP4443">
        <v>-138</v>
      </c>
      <c r="AQ4443">
        <v>-57</v>
      </c>
      <c r="AR4443">
        <v>-64</v>
      </c>
      <c r="AZ4443">
        <v>1200</v>
      </c>
      <c r="BA4443">
        <v>1</v>
      </c>
      <c r="BB4443" t="str">
        <f t="shared" si="2046"/>
        <v xml:space="preserve">N711JA  </v>
      </c>
      <c r="BC4443">
        <v>1</v>
      </c>
      <c r="BE4443">
        <v>0</v>
      </c>
      <c r="BF4443">
        <v>0</v>
      </c>
      <c r="BG4443">
        <v>0</v>
      </c>
      <c r="BH4443">
        <v>2200</v>
      </c>
      <c r="BI4443">
        <v>1</v>
      </c>
      <c r="BJ4443">
        <v>1</v>
      </c>
      <c r="BK4443">
        <v>0</v>
      </c>
      <c r="BL4443">
        <v>0</v>
      </c>
      <c r="BO4443">
        <v>0</v>
      </c>
      <c r="BP4443">
        <v>0</v>
      </c>
      <c r="BW4443" t="str">
        <f t="shared" si="2044"/>
        <v>14:49:22.293</v>
      </c>
      <c r="CJ4443">
        <v>0</v>
      </c>
      <c r="CK4443">
        <v>2</v>
      </c>
      <c r="CL4443">
        <v>0</v>
      </c>
      <c r="CM4443">
        <v>2</v>
      </c>
      <c r="CN4443">
        <v>0</v>
      </c>
      <c r="CO4443">
        <v>7</v>
      </c>
      <c r="CP4443" t="s">
        <v>119</v>
      </c>
      <c r="CQ4443">
        <v>8</v>
      </c>
      <c r="CR4443">
        <v>3</v>
      </c>
      <c r="CW4443">
        <v>9155663</v>
      </c>
      <c r="CY4443">
        <v>1</v>
      </c>
      <c r="CZ4443">
        <v>0</v>
      </c>
      <c r="DA4443">
        <v>1</v>
      </c>
      <c r="DB4443">
        <v>0</v>
      </c>
      <c r="DC4443">
        <v>0</v>
      </c>
      <c r="DD4443">
        <v>1</v>
      </c>
      <c r="DE4443">
        <v>0</v>
      </c>
      <c r="DF4443">
        <v>0</v>
      </c>
      <c r="DG4443">
        <v>0</v>
      </c>
      <c r="DH4443">
        <v>0</v>
      </c>
      <c r="DI4443">
        <v>0</v>
      </c>
    </row>
    <row r="4444" spans="1:113" x14ac:dyDescent="0.3">
      <c r="A4444" t="str">
        <f t="shared" ref="A4444:A4452" si="2047">"05/12/2020 14:49:05.609"</f>
        <v>05/12/2020 14:49:05.609</v>
      </c>
      <c r="C4444" t="str">
        <f t="shared" si="2045"/>
        <v>FFDFD3C0</v>
      </c>
      <c r="D4444" t="s">
        <v>134</v>
      </c>
      <c r="E4444">
        <v>12</v>
      </c>
      <c r="H4444">
        <v>64</v>
      </c>
      <c r="I4444" t="s">
        <v>135</v>
      </c>
      <c r="J4444" t="s">
        <v>136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 t="shared" ref="S4444:S4452" si="2048">"14:49:23.430"</f>
        <v>14:49:23.430</v>
      </c>
      <c r="T4444" t="str">
        <f t="shared" ref="T4444:T4452" si="2049">"14:49:23.130"</f>
        <v>14:49:23.130</v>
      </c>
      <c r="U4444" t="str">
        <f t="shared" si="2036"/>
        <v>A9808D</v>
      </c>
      <c r="V4444">
        <v>0</v>
      </c>
      <c r="W4444">
        <v>0</v>
      </c>
      <c r="X4444">
        <v>1</v>
      </c>
      <c r="Z4444">
        <v>0</v>
      </c>
      <c r="AA4444">
        <v>9</v>
      </c>
      <c r="AB4444">
        <v>3</v>
      </c>
      <c r="AC4444">
        <v>0</v>
      </c>
      <c r="AD4444">
        <v>10</v>
      </c>
      <c r="AE4444">
        <v>0</v>
      </c>
      <c r="AF4444">
        <v>3</v>
      </c>
      <c r="AG4444">
        <v>2</v>
      </c>
      <c r="AH4444">
        <v>0</v>
      </c>
      <c r="AI4444" t="s">
        <v>690</v>
      </c>
      <c r="AJ4444">
        <v>28.248187999999999</v>
      </c>
      <c r="AK4444" t="s">
        <v>1003</v>
      </c>
      <c r="AL4444">
        <v>-82.324933999999999</v>
      </c>
      <c r="AM4444">
        <v>100</v>
      </c>
      <c r="AN4444">
        <v>2200</v>
      </c>
      <c r="AO4444" t="s">
        <v>118</v>
      </c>
      <c r="AP4444">
        <v>-138</v>
      </c>
      <c r="AQ4444">
        <v>-56</v>
      </c>
      <c r="AR4444">
        <v>0</v>
      </c>
      <c r="AZ4444">
        <v>1200</v>
      </c>
      <c r="BA4444">
        <v>1</v>
      </c>
      <c r="BB4444" t="str">
        <f t="shared" si="2046"/>
        <v xml:space="preserve">N711JA  </v>
      </c>
      <c r="BC4444">
        <v>1</v>
      </c>
      <c r="BE4444">
        <v>0</v>
      </c>
      <c r="BF4444">
        <v>0</v>
      </c>
      <c r="BG4444">
        <v>0</v>
      </c>
      <c r="BH4444">
        <v>2200</v>
      </c>
      <c r="BI4444">
        <v>1</v>
      </c>
      <c r="BJ4444">
        <v>1</v>
      </c>
      <c r="BK4444">
        <v>0</v>
      </c>
      <c r="BL4444">
        <v>0</v>
      </c>
      <c r="BO4444">
        <v>0</v>
      </c>
      <c r="BP4444">
        <v>0</v>
      </c>
      <c r="BW4444" t="str">
        <f t="shared" ref="BW4444:BW4452" si="2050">"14:49:23.435"</f>
        <v>14:49:23.435</v>
      </c>
      <c r="CJ4444">
        <v>0</v>
      </c>
      <c r="CK4444">
        <v>2</v>
      </c>
      <c r="CL4444">
        <v>0</v>
      </c>
      <c r="CM4444">
        <v>2</v>
      </c>
      <c r="CN4444">
        <v>0</v>
      </c>
      <c r="CO4444">
        <v>7</v>
      </c>
      <c r="CP4444" t="s">
        <v>119</v>
      </c>
      <c r="CQ4444">
        <v>8</v>
      </c>
      <c r="CR4444">
        <v>3</v>
      </c>
      <c r="CW4444">
        <v>9156819</v>
      </c>
      <c r="CY4444">
        <v>1</v>
      </c>
      <c r="CZ4444">
        <v>0</v>
      </c>
      <c r="DA4444">
        <v>0</v>
      </c>
      <c r="DB4444">
        <v>0</v>
      </c>
      <c r="DC4444">
        <v>0</v>
      </c>
      <c r="DD4444">
        <v>1</v>
      </c>
      <c r="DE4444">
        <v>0</v>
      </c>
      <c r="DF4444">
        <v>0</v>
      </c>
      <c r="DG4444">
        <v>0</v>
      </c>
      <c r="DH4444">
        <v>0</v>
      </c>
      <c r="DI4444">
        <v>0</v>
      </c>
    </row>
    <row r="4445" spans="1:113" x14ac:dyDescent="0.3">
      <c r="A4445" t="str">
        <f t="shared" si="2047"/>
        <v>05/12/2020 14:49:05.609</v>
      </c>
      <c r="C4445" t="str">
        <f t="shared" si="2045"/>
        <v>FFDFD3C0</v>
      </c>
      <c r="D4445" t="s">
        <v>131</v>
      </c>
      <c r="E4445">
        <v>10</v>
      </c>
      <c r="F4445">
        <v>2010</v>
      </c>
      <c r="G4445" t="s">
        <v>132</v>
      </c>
      <c r="J4445" t="s">
        <v>133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 t="shared" si="2048"/>
        <v>14:49:23.430</v>
      </c>
      <c r="T4445" t="str">
        <f t="shared" si="2049"/>
        <v>14:49:23.130</v>
      </c>
      <c r="U4445" t="str">
        <f t="shared" si="2036"/>
        <v>A9808D</v>
      </c>
      <c r="V4445">
        <v>0</v>
      </c>
      <c r="W4445">
        <v>0</v>
      </c>
      <c r="X4445">
        <v>1</v>
      </c>
      <c r="Z4445">
        <v>0</v>
      </c>
      <c r="AA4445">
        <v>9</v>
      </c>
      <c r="AB4445">
        <v>3</v>
      </c>
      <c r="AC4445">
        <v>0</v>
      </c>
      <c r="AD4445">
        <v>10</v>
      </c>
      <c r="AE4445">
        <v>0</v>
      </c>
      <c r="AF4445">
        <v>3</v>
      </c>
      <c r="AG4445">
        <v>2</v>
      </c>
      <c r="AH4445">
        <v>0</v>
      </c>
      <c r="AI4445" t="s">
        <v>690</v>
      </c>
      <c r="AJ4445">
        <v>28.248187999999999</v>
      </c>
      <c r="AK4445" t="s">
        <v>1003</v>
      </c>
      <c r="AL4445">
        <v>-82.324933999999999</v>
      </c>
      <c r="AM4445">
        <v>100</v>
      </c>
      <c r="AN4445">
        <v>2200</v>
      </c>
      <c r="AO4445" t="s">
        <v>118</v>
      </c>
      <c r="AP4445">
        <v>-138</v>
      </c>
      <c r="AQ4445">
        <v>-56</v>
      </c>
      <c r="AR4445">
        <v>0</v>
      </c>
      <c r="AZ4445">
        <v>1200</v>
      </c>
      <c r="BA4445">
        <v>1</v>
      </c>
      <c r="BB4445" t="str">
        <f t="shared" si="2046"/>
        <v xml:space="preserve">N711JA  </v>
      </c>
      <c r="BC4445">
        <v>1</v>
      </c>
      <c r="BE4445">
        <v>0</v>
      </c>
      <c r="BF4445">
        <v>0</v>
      </c>
      <c r="BG4445">
        <v>0</v>
      </c>
      <c r="BH4445">
        <v>2200</v>
      </c>
      <c r="BI4445">
        <v>1</v>
      </c>
      <c r="BJ4445">
        <v>1</v>
      </c>
      <c r="BK4445">
        <v>0</v>
      </c>
      <c r="BL4445">
        <v>0</v>
      </c>
      <c r="BO4445">
        <v>0</v>
      </c>
      <c r="BP4445">
        <v>0</v>
      </c>
      <c r="BW4445" t="str">
        <f t="shared" si="2050"/>
        <v>14:49:23.435</v>
      </c>
      <c r="CJ4445">
        <v>0</v>
      </c>
      <c r="CK4445">
        <v>2</v>
      </c>
      <c r="CL4445">
        <v>0</v>
      </c>
      <c r="CM4445">
        <v>2</v>
      </c>
      <c r="CN4445">
        <v>0</v>
      </c>
      <c r="CO4445">
        <v>7</v>
      </c>
      <c r="CP4445" t="s">
        <v>119</v>
      </c>
      <c r="CQ4445">
        <v>8</v>
      </c>
      <c r="CR4445">
        <v>3</v>
      </c>
      <c r="CW4445">
        <v>9156819</v>
      </c>
      <c r="CY4445">
        <v>1</v>
      </c>
      <c r="CZ4445">
        <v>0</v>
      </c>
      <c r="DA4445">
        <v>1</v>
      </c>
      <c r="DB4445">
        <v>0</v>
      </c>
      <c r="DC4445">
        <v>0</v>
      </c>
      <c r="DD4445">
        <v>1</v>
      </c>
      <c r="DE4445">
        <v>0</v>
      </c>
      <c r="DF4445">
        <v>0</v>
      </c>
      <c r="DG4445">
        <v>0</v>
      </c>
      <c r="DH4445">
        <v>0</v>
      </c>
      <c r="DI4445">
        <v>0</v>
      </c>
    </row>
    <row r="4446" spans="1:113" x14ac:dyDescent="0.3">
      <c r="A4446" t="str">
        <f t="shared" si="2047"/>
        <v>05/12/2020 14:49:05.609</v>
      </c>
      <c r="C4446" t="str">
        <f t="shared" si="2045"/>
        <v>FFDFD3C0</v>
      </c>
      <c r="D4446" t="s">
        <v>126</v>
      </c>
      <c r="E4446">
        <v>7</v>
      </c>
      <c r="F4446">
        <v>1007</v>
      </c>
      <c r="G4446" t="s">
        <v>127</v>
      </c>
      <c r="J4446" t="s">
        <v>128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 t="shared" si="2048"/>
        <v>14:49:23.430</v>
      </c>
      <c r="T4446" t="str">
        <f t="shared" si="2049"/>
        <v>14:49:23.130</v>
      </c>
      <c r="U4446" t="str">
        <f t="shared" si="2036"/>
        <v>A9808D</v>
      </c>
      <c r="V4446">
        <v>0</v>
      </c>
      <c r="W4446">
        <v>0</v>
      </c>
      <c r="X4446">
        <v>1</v>
      </c>
      <c r="Z4446">
        <v>0</v>
      </c>
      <c r="AA4446">
        <v>9</v>
      </c>
      <c r="AB4446">
        <v>3</v>
      </c>
      <c r="AC4446">
        <v>0</v>
      </c>
      <c r="AD4446">
        <v>10</v>
      </c>
      <c r="AE4446">
        <v>0</v>
      </c>
      <c r="AF4446">
        <v>3</v>
      </c>
      <c r="AG4446">
        <v>2</v>
      </c>
      <c r="AH4446">
        <v>0</v>
      </c>
      <c r="AI4446" t="s">
        <v>690</v>
      </c>
      <c r="AJ4446">
        <v>28.248187999999999</v>
      </c>
      <c r="AK4446" t="s">
        <v>1003</v>
      </c>
      <c r="AL4446">
        <v>-82.324933999999999</v>
      </c>
      <c r="AM4446">
        <v>100</v>
      </c>
      <c r="AN4446">
        <v>2200</v>
      </c>
      <c r="AO4446" t="s">
        <v>118</v>
      </c>
      <c r="AP4446">
        <v>-138</v>
      </c>
      <c r="AQ4446">
        <v>-56</v>
      </c>
      <c r="AR4446">
        <v>0</v>
      </c>
      <c r="AZ4446">
        <v>1200</v>
      </c>
      <c r="BA4446">
        <v>1</v>
      </c>
      <c r="BB4446" t="str">
        <f t="shared" si="2046"/>
        <v xml:space="preserve">N711JA  </v>
      </c>
      <c r="BC4446">
        <v>1</v>
      </c>
      <c r="BE4446">
        <v>0</v>
      </c>
      <c r="BF4446">
        <v>0</v>
      </c>
      <c r="BG4446">
        <v>0</v>
      </c>
      <c r="BH4446">
        <v>2200</v>
      </c>
      <c r="BI4446">
        <v>1</v>
      </c>
      <c r="BJ4446">
        <v>1</v>
      </c>
      <c r="BK4446">
        <v>0</v>
      </c>
      <c r="BL4446">
        <v>0</v>
      </c>
      <c r="BO4446">
        <v>0</v>
      </c>
      <c r="BP4446">
        <v>0</v>
      </c>
      <c r="BW4446" t="str">
        <f t="shared" si="2050"/>
        <v>14:49:23.435</v>
      </c>
      <c r="CJ4446">
        <v>0</v>
      </c>
      <c r="CK4446">
        <v>2</v>
      </c>
      <c r="CL4446">
        <v>0</v>
      </c>
      <c r="CM4446">
        <v>2</v>
      </c>
      <c r="CN4446">
        <v>0</v>
      </c>
      <c r="CO4446">
        <v>7</v>
      </c>
      <c r="CP4446" t="s">
        <v>119</v>
      </c>
      <c r="CQ4446">
        <v>8</v>
      </c>
      <c r="CR4446">
        <v>3</v>
      </c>
      <c r="CW4446">
        <v>9156819</v>
      </c>
      <c r="CY4446">
        <v>1</v>
      </c>
      <c r="CZ4446">
        <v>0</v>
      </c>
      <c r="DA4446">
        <v>1</v>
      </c>
      <c r="DB4446">
        <v>0</v>
      </c>
      <c r="DC4446">
        <v>0</v>
      </c>
      <c r="DD4446">
        <v>1</v>
      </c>
      <c r="DE4446">
        <v>0</v>
      </c>
      <c r="DF4446">
        <v>0</v>
      </c>
      <c r="DG4446">
        <v>0</v>
      </c>
      <c r="DH4446">
        <v>0</v>
      </c>
      <c r="DI4446">
        <v>0</v>
      </c>
    </row>
    <row r="4447" spans="1:113" x14ac:dyDescent="0.3">
      <c r="A4447" t="str">
        <f t="shared" si="2047"/>
        <v>05/12/2020 14:49:05.609</v>
      </c>
      <c r="C4447" t="str">
        <f t="shared" si="2045"/>
        <v>FFDFD3C0</v>
      </c>
      <c r="D4447" t="s">
        <v>131</v>
      </c>
      <c r="E4447">
        <v>12</v>
      </c>
      <c r="F4447">
        <v>2012</v>
      </c>
      <c r="G4447" t="s">
        <v>137</v>
      </c>
      <c r="J4447" t="s">
        <v>133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 t="shared" si="2048"/>
        <v>14:49:23.430</v>
      </c>
      <c r="T4447" t="str">
        <f t="shared" si="2049"/>
        <v>14:49:23.130</v>
      </c>
      <c r="U4447" t="str">
        <f t="shared" si="2036"/>
        <v>A9808D</v>
      </c>
      <c r="V4447">
        <v>0</v>
      </c>
      <c r="W4447">
        <v>0</v>
      </c>
      <c r="X4447">
        <v>1</v>
      </c>
      <c r="Z4447">
        <v>0</v>
      </c>
      <c r="AA4447">
        <v>9</v>
      </c>
      <c r="AB4447">
        <v>3</v>
      </c>
      <c r="AC4447">
        <v>0</v>
      </c>
      <c r="AD4447">
        <v>10</v>
      </c>
      <c r="AE4447">
        <v>0</v>
      </c>
      <c r="AF4447">
        <v>3</v>
      </c>
      <c r="AG4447">
        <v>2</v>
      </c>
      <c r="AH4447">
        <v>0</v>
      </c>
      <c r="AI4447" t="s">
        <v>690</v>
      </c>
      <c r="AJ4447">
        <v>28.248187999999999</v>
      </c>
      <c r="AK4447" t="s">
        <v>1003</v>
      </c>
      <c r="AL4447">
        <v>-82.324933999999999</v>
      </c>
      <c r="AM4447">
        <v>100</v>
      </c>
      <c r="AN4447">
        <v>2200</v>
      </c>
      <c r="AO4447" t="s">
        <v>118</v>
      </c>
      <c r="AP4447">
        <v>-138</v>
      </c>
      <c r="AQ4447">
        <v>-56</v>
      </c>
      <c r="AR4447">
        <v>0</v>
      </c>
      <c r="AZ4447">
        <v>1200</v>
      </c>
      <c r="BA4447">
        <v>1</v>
      </c>
      <c r="BB4447" t="str">
        <f t="shared" si="2046"/>
        <v xml:space="preserve">N711JA  </v>
      </c>
      <c r="BC4447">
        <v>1</v>
      </c>
      <c r="BE4447">
        <v>0</v>
      </c>
      <c r="BF4447">
        <v>0</v>
      </c>
      <c r="BG4447">
        <v>0</v>
      </c>
      <c r="BH4447">
        <v>2200</v>
      </c>
      <c r="BI4447">
        <v>1</v>
      </c>
      <c r="BJ4447">
        <v>1</v>
      </c>
      <c r="BK4447">
        <v>0</v>
      </c>
      <c r="BL4447">
        <v>0</v>
      </c>
      <c r="BO4447">
        <v>0</v>
      </c>
      <c r="BP4447">
        <v>0</v>
      </c>
      <c r="BW4447" t="str">
        <f t="shared" si="2050"/>
        <v>14:49:23.435</v>
      </c>
      <c r="CJ4447">
        <v>0</v>
      </c>
      <c r="CK4447">
        <v>2</v>
      </c>
      <c r="CL4447">
        <v>0</v>
      </c>
      <c r="CM4447">
        <v>2</v>
      </c>
      <c r="CN4447">
        <v>0</v>
      </c>
      <c r="CO4447">
        <v>7</v>
      </c>
      <c r="CP4447" t="s">
        <v>119</v>
      </c>
      <c r="CQ4447">
        <v>8</v>
      </c>
      <c r="CR4447">
        <v>3</v>
      </c>
      <c r="CW4447">
        <v>9156819</v>
      </c>
      <c r="CY4447">
        <v>1</v>
      </c>
      <c r="CZ4447">
        <v>0</v>
      </c>
      <c r="DA4447">
        <v>1</v>
      </c>
      <c r="DB4447">
        <v>0</v>
      </c>
      <c r="DC4447">
        <v>0</v>
      </c>
      <c r="DD4447">
        <v>1</v>
      </c>
      <c r="DE4447">
        <v>0</v>
      </c>
      <c r="DF4447">
        <v>0</v>
      </c>
      <c r="DG4447">
        <v>0</v>
      </c>
      <c r="DH4447">
        <v>0</v>
      </c>
      <c r="DI4447">
        <v>0</v>
      </c>
    </row>
    <row r="4448" spans="1:113" x14ac:dyDescent="0.3">
      <c r="A4448" t="str">
        <f t="shared" si="2047"/>
        <v>05/12/2020 14:49:05.609</v>
      </c>
      <c r="C4448" t="str">
        <f t="shared" si="2045"/>
        <v>FFDFD3C0</v>
      </c>
      <c r="D4448" t="s">
        <v>131</v>
      </c>
      <c r="E4448">
        <v>18</v>
      </c>
      <c r="F4448">
        <v>2018</v>
      </c>
      <c r="G4448" t="s">
        <v>161</v>
      </c>
      <c r="J4448" t="s">
        <v>133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 t="shared" si="2048"/>
        <v>14:49:23.430</v>
      </c>
      <c r="T4448" t="str">
        <f t="shared" si="2049"/>
        <v>14:49:23.130</v>
      </c>
      <c r="U4448" t="str">
        <f t="shared" si="2036"/>
        <v>A9808D</v>
      </c>
      <c r="V4448">
        <v>0</v>
      </c>
      <c r="W4448">
        <v>0</v>
      </c>
      <c r="X4448">
        <v>1</v>
      </c>
      <c r="Z4448">
        <v>0</v>
      </c>
      <c r="AA4448">
        <v>9</v>
      </c>
      <c r="AB4448">
        <v>3</v>
      </c>
      <c r="AC4448">
        <v>0</v>
      </c>
      <c r="AD4448">
        <v>10</v>
      </c>
      <c r="AE4448">
        <v>0</v>
      </c>
      <c r="AF4448">
        <v>3</v>
      </c>
      <c r="AG4448">
        <v>2</v>
      </c>
      <c r="AH4448">
        <v>0</v>
      </c>
      <c r="AI4448" t="s">
        <v>690</v>
      </c>
      <c r="AJ4448">
        <v>28.248187999999999</v>
      </c>
      <c r="AK4448" t="s">
        <v>1003</v>
      </c>
      <c r="AL4448">
        <v>-82.324933999999999</v>
      </c>
      <c r="AM4448">
        <v>100</v>
      </c>
      <c r="AN4448">
        <v>2200</v>
      </c>
      <c r="AO4448" t="s">
        <v>118</v>
      </c>
      <c r="AP4448">
        <v>-138</v>
      </c>
      <c r="AQ4448">
        <v>-56</v>
      </c>
      <c r="AR4448">
        <v>0</v>
      </c>
      <c r="AZ4448">
        <v>1200</v>
      </c>
      <c r="BA4448">
        <v>1</v>
      </c>
      <c r="BB4448" t="str">
        <f t="shared" si="2046"/>
        <v xml:space="preserve">N711JA  </v>
      </c>
      <c r="BC4448">
        <v>1</v>
      </c>
      <c r="BE4448">
        <v>0</v>
      </c>
      <c r="BF4448">
        <v>0</v>
      </c>
      <c r="BG4448">
        <v>0</v>
      </c>
      <c r="BH4448">
        <v>2200</v>
      </c>
      <c r="BI4448">
        <v>1</v>
      </c>
      <c r="BJ4448">
        <v>1</v>
      </c>
      <c r="BK4448">
        <v>0</v>
      </c>
      <c r="BL4448">
        <v>0</v>
      </c>
      <c r="BO4448">
        <v>0</v>
      </c>
      <c r="BP4448">
        <v>0</v>
      </c>
      <c r="BW4448" t="str">
        <f t="shared" si="2050"/>
        <v>14:49:23.435</v>
      </c>
      <c r="CJ4448">
        <v>0</v>
      </c>
      <c r="CK4448">
        <v>2</v>
      </c>
      <c r="CL4448">
        <v>0</v>
      </c>
      <c r="CM4448">
        <v>2</v>
      </c>
      <c r="CN4448">
        <v>0</v>
      </c>
      <c r="CO4448">
        <v>3</v>
      </c>
      <c r="CP4448" t="s">
        <v>119</v>
      </c>
      <c r="CQ4448">
        <v>62</v>
      </c>
      <c r="CR4448">
        <v>1</v>
      </c>
      <c r="CW4448">
        <v>13050724</v>
      </c>
      <c r="CY4448">
        <v>1</v>
      </c>
      <c r="CZ4448">
        <v>0</v>
      </c>
      <c r="DA4448">
        <v>1</v>
      </c>
      <c r="DB4448">
        <v>0</v>
      </c>
      <c r="DC4448">
        <v>0</v>
      </c>
      <c r="DD4448">
        <v>1</v>
      </c>
      <c r="DE4448">
        <v>0</v>
      </c>
      <c r="DF4448">
        <v>0</v>
      </c>
      <c r="DG4448">
        <v>0</v>
      </c>
      <c r="DH4448">
        <v>0</v>
      </c>
      <c r="DI4448">
        <v>0</v>
      </c>
    </row>
    <row r="4449" spans="1:113" x14ac:dyDescent="0.3">
      <c r="A4449" t="str">
        <f t="shared" si="2047"/>
        <v>05/12/2020 14:49:05.609</v>
      </c>
      <c r="C4449" t="str">
        <f t="shared" si="2045"/>
        <v>FFDFD3C0</v>
      </c>
      <c r="D4449" t="s">
        <v>113</v>
      </c>
      <c r="E4449">
        <v>3</v>
      </c>
      <c r="H4449">
        <v>164</v>
      </c>
      <c r="I4449" t="s">
        <v>114</v>
      </c>
      <c r="J4449" t="s">
        <v>115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 t="shared" si="2048"/>
        <v>14:49:23.430</v>
      </c>
      <c r="T4449" t="str">
        <f t="shared" si="2049"/>
        <v>14:49:23.130</v>
      </c>
      <c r="U4449" t="str">
        <f t="shared" si="2036"/>
        <v>A9808D</v>
      </c>
      <c r="V4449">
        <v>0</v>
      </c>
      <c r="W4449">
        <v>0</v>
      </c>
      <c r="X4449">
        <v>1</v>
      </c>
      <c r="Z4449">
        <v>0</v>
      </c>
      <c r="AA4449">
        <v>9</v>
      </c>
      <c r="AB4449">
        <v>3</v>
      </c>
      <c r="AC4449">
        <v>0</v>
      </c>
      <c r="AD4449">
        <v>10</v>
      </c>
      <c r="AE4449">
        <v>0</v>
      </c>
      <c r="AF4449">
        <v>3</v>
      </c>
      <c r="AG4449">
        <v>2</v>
      </c>
      <c r="AH4449">
        <v>0</v>
      </c>
      <c r="AI4449" t="s">
        <v>690</v>
      </c>
      <c r="AJ4449">
        <v>28.248187999999999</v>
      </c>
      <c r="AK4449" t="s">
        <v>1003</v>
      </c>
      <c r="AL4449">
        <v>-82.324933999999999</v>
      </c>
      <c r="AM4449">
        <v>100</v>
      </c>
      <c r="AN4449">
        <v>2200</v>
      </c>
      <c r="AO4449" t="s">
        <v>118</v>
      </c>
      <c r="AP4449">
        <v>-138</v>
      </c>
      <c r="AQ4449">
        <v>-56</v>
      </c>
      <c r="AR4449">
        <v>0</v>
      </c>
      <c r="AZ4449">
        <v>1200</v>
      </c>
      <c r="BA4449">
        <v>1</v>
      </c>
      <c r="BB4449" t="str">
        <f t="shared" si="2046"/>
        <v xml:space="preserve">N711JA  </v>
      </c>
      <c r="BC4449">
        <v>1</v>
      </c>
      <c r="BE4449">
        <v>0</v>
      </c>
      <c r="BF4449">
        <v>0</v>
      </c>
      <c r="BG4449">
        <v>0</v>
      </c>
      <c r="BH4449">
        <v>2200</v>
      </c>
      <c r="BI4449">
        <v>1</v>
      </c>
      <c r="BJ4449">
        <v>1</v>
      </c>
      <c r="BK4449">
        <v>0</v>
      </c>
      <c r="BL4449">
        <v>0</v>
      </c>
      <c r="BO4449">
        <v>0</v>
      </c>
      <c r="BP4449">
        <v>0</v>
      </c>
      <c r="BW4449" t="str">
        <f t="shared" si="2050"/>
        <v>14:49:23.435</v>
      </c>
      <c r="CJ4449">
        <v>0</v>
      </c>
      <c r="CK4449">
        <v>2</v>
      </c>
      <c r="CL4449">
        <v>0</v>
      </c>
      <c r="CM4449">
        <v>2</v>
      </c>
      <c r="CN4449">
        <v>0</v>
      </c>
      <c r="CO4449">
        <v>7</v>
      </c>
      <c r="CP4449" t="s">
        <v>119</v>
      </c>
      <c r="CQ4449">
        <v>8</v>
      </c>
      <c r="CR4449">
        <v>3</v>
      </c>
      <c r="CW4449">
        <v>9156819</v>
      </c>
      <c r="CY4449">
        <v>1</v>
      </c>
      <c r="CZ4449">
        <v>0</v>
      </c>
      <c r="DA4449">
        <v>1</v>
      </c>
      <c r="DB4449">
        <v>0</v>
      </c>
      <c r="DC4449">
        <v>0</v>
      </c>
      <c r="DD4449">
        <v>1</v>
      </c>
      <c r="DE4449">
        <v>0</v>
      </c>
      <c r="DF4449">
        <v>0</v>
      </c>
      <c r="DG4449">
        <v>0</v>
      </c>
      <c r="DH4449">
        <v>0</v>
      </c>
      <c r="DI4449">
        <v>0</v>
      </c>
    </row>
    <row r="4450" spans="1:113" x14ac:dyDescent="0.3">
      <c r="A4450" t="str">
        <f t="shared" si="2047"/>
        <v>05/12/2020 14:49:05.609</v>
      </c>
      <c r="C4450" t="str">
        <f t="shared" si="2045"/>
        <v>FFDFD3C0</v>
      </c>
      <c r="D4450" t="s">
        <v>126</v>
      </c>
      <c r="E4450">
        <v>6</v>
      </c>
      <c r="F4450">
        <v>1006</v>
      </c>
      <c r="G4450" t="s">
        <v>114</v>
      </c>
      <c r="J4450" t="s">
        <v>128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 t="shared" si="2048"/>
        <v>14:49:23.430</v>
      </c>
      <c r="T4450" t="str">
        <f t="shared" si="2049"/>
        <v>14:49:23.130</v>
      </c>
      <c r="U4450" t="str">
        <f t="shared" si="2036"/>
        <v>A9808D</v>
      </c>
      <c r="V4450">
        <v>0</v>
      </c>
      <c r="W4450">
        <v>0</v>
      </c>
      <c r="X4450">
        <v>1</v>
      </c>
      <c r="Z4450">
        <v>0</v>
      </c>
      <c r="AA4450">
        <v>9</v>
      </c>
      <c r="AB4450">
        <v>3</v>
      </c>
      <c r="AC4450">
        <v>0</v>
      </c>
      <c r="AD4450">
        <v>10</v>
      </c>
      <c r="AE4450">
        <v>0</v>
      </c>
      <c r="AF4450">
        <v>3</v>
      </c>
      <c r="AG4450">
        <v>2</v>
      </c>
      <c r="AH4450">
        <v>0</v>
      </c>
      <c r="AI4450" t="s">
        <v>690</v>
      </c>
      <c r="AJ4450">
        <v>28.248187999999999</v>
      </c>
      <c r="AK4450" t="s">
        <v>1003</v>
      </c>
      <c r="AL4450">
        <v>-82.324933999999999</v>
      </c>
      <c r="AM4450">
        <v>100</v>
      </c>
      <c r="AN4450">
        <v>2200</v>
      </c>
      <c r="AO4450" t="s">
        <v>118</v>
      </c>
      <c r="AP4450">
        <v>-138</v>
      </c>
      <c r="AQ4450">
        <v>-56</v>
      </c>
      <c r="AR4450">
        <v>0</v>
      </c>
      <c r="AZ4450">
        <v>1200</v>
      </c>
      <c r="BA4450">
        <v>1</v>
      </c>
      <c r="BB4450" t="str">
        <f t="shared" si="2046"/>
        <v xml:space="preserve">N711JA  </v>
      </c>
      <c r="BC4450">
        <v>1</v>
      </c>
      <c r="BE4450">
        <v>0</v>
      </c>
      <c r="BF4450">
        <v>0</v>
      </c>
      <c r="BG4450">
        <v>0</v>
      </c>
      <c r="BH4450">
        <v>2200</v>
      </c>
      <c r="BI4450">
        <v>1</v>
      </c>
      <c r="BJ4450">
        <v>1</v>
      </c>
      <c r="BK4450">
        <v>0</v>
      </c>
      <c r="BL4450">
        <v>0</v>
      </c>
      <c r="BO4450">
        <v>0</v>
      </c>
      <c r="BP4450">
        <v>0</v>
      </c>
      <c r="BW4450" t="str">
        <f t="shared" si="2050"/>
        <v>14:49:23.435</v>
      </c>
      <c r="CJ4450">
        <v>0</v>
      </c>
      <c r="CK4450">
        <v>2</v>
      </c>
      <c r="CL4450">
        <v>0</v>
      </c>
      <c r="CM4450">
        <v>2</v>
      </c>
      <c r="CN4450">
        <v>0</v>
      </c>
      <c r="CO4450">
        <v>7</v>
      </c>
      <c r="CP4450" t="s">
        <v>119</v>
      </c>
      <c r="CQ4450">
        <v>8</v>
      </c>
      <c r="CR4450">
        <v>3</v>
      </c>
      <c r="CW4450">
        <v>9156819</v>
      </c>
      <c r="CY4450">
        <v>1</v>
      </c>
      <c r="CZ4450">
        <v>0</v>
      </c>
      <c r="DA4450">
        <v>1</v>
      </c>
      <c r="DB4450">
        <v>0</v>
      </c>
      <c r="DC4450">
        <v>0</v>
      </c>
      <c r="DD4450">
        <v>1</v>
      </c>
      <c r="DE4450">
        <v>0</v>
      </c>
      <c r="DF4450">
        <v>0</v>
      </c>
      <c r="DG4450">
        <v>0</v>
      </c>
      <c r="DH4450">
        <v>0</v>
      </c>
      <c r="DI4450">
        <v>0</v>
      </c>
    </row>
    <row r="4451" spans="1:113" x14ac:dyDescent="0.3">
      <c r="A4451" t="str">
        <f t="shared" si="2047"/>
        <v>05/12/2020 14:49:05.609</v>
      </c>
      <c r="C4451" t="str">
        <f t="shared" si="2045"/>
        <v>FFDFD3C0</v>
      </c>
      <c r="D4451" t="s">
        <v>138</v>
      </c>
      <c r="E4451">
        <v>2</v>
      </c>
      <c r="H4451">
        <v>8</v>
      </c>
      <c r="I4451" t="s">
        <v>139</v>
      </c>
      <c r="J4451" t="s">
        <v>136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 t="shared" si="2048"/>
        <v>14:49:23.430</v>
      </c>
      <c r="T4451" t="str">
        <f t="shared" si="2049"/>
        <v>14:49:23.130</v>
      </c>
      <c r="U4451" t="str">
        <f t="shared" si="2036"/>
        <v>A9808D</v>
      </c>
      <c r="V4451">
        <v>0</v>
      </c>
      <c r="W4451">
        <v>0</v>
      </c>
      <c r="X4451">
        <v>1</v>
      </c>
      <c r="Z4451">
        <v>0</v>
      </c>
      <c r="AA4451">
        <v>9</v>
      </c>
      <c r="AB4451">
        <v>3</v>
      </c>
      <c r="AC4451">
        <v>0</v>
      </c>
      <c r="AD4451">
        <v>10</v>
      </c>
      <c r="AE4451">
        <v>0</v>
      </c>
      <c r="AF4451">
        <v>3</v>
      </c>
      <c r="AG4451">
        <v>2</v>
      </c>
      <c r="AH4451">
        <v>0</v>
      </c>
      <c r="AI4451" t="s">
        <v>690</v>
      </c>
      <c r="AJ4451">
        <v>28.248187999999999</v>
      </c>
      <c r="AK4451" t="s">
        <v>1003</v>
      </c>
      <c r="AL4451">
        <v>-82.324933999999999</v>
      </c>
      <c r="AM4451">
        <v>100</v>
      </c>
      <c r="AN4451">
        <v>2200</v>
      </c>
      <c r="AO4451" t="s">
        <v>118</v>
      </c>
      <c r="AP4451">
        <v>-138</v>
      </c>
      <c r="AQ4451">
        <v>-56</v>
      </c>
      <c r="AR4451">
        <v>0</v>
      </c>
      <c r="AZ4451">
        <v>1200</v>
      </c>
      <c r="BA4451">
        <v>1</v>
      </c>
      <c r="BB4451" t="str">
        <f t="shared" si="2046"/>
        <v xml:space="preserve">N711JA  </v>
      </c>
      <c r="BC4451">
        <v>1</v>
      </c>
      <c r="BE4451">
        <v>0</v>
      </c>
      <c r="BF4451">
        <v>0</v>
      </c>
      <c r="BG4451">
        <v>0</v>
      </c>
      <c r="BH4451">
        <v>2200</v>
      </c>
      <c r="BI4451">
        <v>1</v>
      </c>
      <c r="BJ4451">
        <v>1</v>
      </c>
      <c r="BK4451">
        <v>0</v>
      </c>
      <c r="BL4451">
        <v>0</v>
      </c>
      <c r="BO4451">
        <v>0</v>
      </c>
      <c r="BP4451">
        <v>0</v>
      </c>
      <c r="BW4451" t="str">
        <f t="shared" si="2050"/>
        <v>14:49:23.435</v>
      </c>
      <c r="CJ4451">
        <v>0</v>
      </c>
      <c r="CK4451">
        <v>2</v>
      </c>
      <c r="CL4451">
        <v>0</v>
      </c>
      <c r="CM4451">
        <v>2</v>
      </c>
      <c r="CN4451">
        <v>0</v>
      </c>
      <c r="CO4451">
        <v>7</v>
      </c>
      <c r="CP4451" t="s">
        <v>119</v>
      </c>
      <c r="CQ4451">
        <v>8</v>
      </c>
      <c r="CR4451">
        <v>3</v>
      </c>
      <c r="CW4451">
        <v>9156819</v>
      </c>
      <c r="CY4451">
        <v>1</v>
      </c>
      <c r="CZ4451">
        <v>0</v>
      </c>
      <c r="DA4451">
        <v>1</v>
      </c>
      <c r="DB4451">
        <v>0</v>
      </c>
      <c r="DC4451">
        <v>0</v>
      </c>
      <c r="DD4451">
        <v>1</v>
      </c>
      <c r="DE4451">
        <v>0</v>
      </c>
      <c r="DF4451">
        <v>0</v>
      </c>
      <c r="DG4451">
        <v>0</v>
      </c>
      <c r="DH4451">
        <v>0</v>
      </c>
      <c r="DI4451">
        <v>0</v>
      </c>
    </row>
    <row r="4452" spans="1:113" x14ac:dyDescent="0.3">
      <c r="A4452" t="str">
        <f t="shared" si="2047"/>
        <v>05/12/2020 14:49:05.609</v>
      </c>
      <c r="C4452" t="str">
        <f t="shared" si="2045"/>
        <v>FFDFD3C0</v>
      </c>
      <c r="D4452" t="s">
        <v>138</v>
      </c>
      <c r="E4452">
        <v>3</v>
      </c>
      <c r="H4452">
        <v>9</v>
      </c>
      <c r="I4452" t="s">
        <v>140</v>
      </c>
      <c r="J4452" t="s">
        <v>136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 t="shared" si="2048"/>
        <v>14:49:23.430</v>
      </c>
      <c r="T4452" t="str">
        <f t="shared" si="2049"/>
        <v>14:49:23.130</v>
      </c>
      <c r="U4452" t="str">
        <f t="shared" si="2036"/>
        <v>A9808D</v>
      </c>
      <c r="V4452">
        <v>0</v>
      </c>
      <c r="W4452">
        <v>0</v>
      </c>
      <c r="X4452">
        <v>1</v>
      </c>
      <c r="Z4452">
        <v>0</v>
      </c>
      <c r="AA4452">
        <v>9</v>
      </c>
      <c r="AB4452">
        <v>3</v>
      </c>
      <c r="AC4452">
        <v>0</v>
      </c>
      <c r="AD4452">
        <v>10</v>
      </c>
      <c r="AE4452">
        <v>0</v>
      </c>
      <c r="AF4452">
        <v>3</v>
      </c>
      <c r="AG4452">
        <v>2</v>
      </c>
      <c r="AH4452">
        <v>0</v>
      </c>
      <c r="AI4452" t="s">
        <v>690</v>
      </c>
      <c r="AJ4452">
        <v>28.248187999999999</v>
      </c>
      <c r="AK4452" t="s">
        <v>1003</v>
      </c>
      <c r="AL4452">
        <v>-82.324933999999999</v>
      </c>
      <c r="AM4452">
        <v>100</v>
      </c>
      <c r="AN4452">
        <v>2200</v>
      </c>
      <c r="AO4452" t="s">
        <v>118</v>
      </c>
      <c r="AP4452">
        <v>-138</v>
      </c>
      <c r="AQ4452">
        <v>-56</v>
      </c>
      <c r="AR4452">
        <v>0</v>
      </c>
      <c r="AZ4452">
        <v>1200</v>
      </c>
      <c r="BA4452">
        <v>1</v>
      </c>
      <c r="BB4452" t="str">
        <f t="shared" si="2046"/>
        <v xml:space="preserve">N711JA  </v>
      </c>
      <c r="BC4452">
        <v>1</v>
      </c>
      <c r="BE4452">
        <v>0</v>
      </c>
      <c r="BF4452">
        <v>0</v>
      </c>
      <c r="BG4452">
        <v>0</v>
      </c>
      <c r="BH4452">
        <v>2200</v>
      </c>
      <c r="BI4452">
        <v>1</v>
      </c>
      <c r="BJ4452">
        <v>1</v>
      </c>
      <c r="BK4452">
        <v>0</v>
      </c>
      <c r="BL4452">
        <v>0</v>
      </c>
      <c r="BO4452">
        <v>0</v>
      </c>
      <c r="BP4452">
        <v>0</v>
      </c>
      <c r="BW4452" t="str">
        <f t="shared" si="2050"/>
        <v>14:49:23.435</v>
      </c>
      <c r="CJ4452">
        <v>0</v>
      </c>
      <c r="CK4452">
        <v>2</v>
      </c>
      <c r="CL4452">
        <v>0</v>
      </c>
      <c r="CM4452">
        <v>2</v>
      </c>
      <c r="CN4452">
        <v>0</v>
      </c>
      <c r="CO4452">
        <v>7</v>
      </c>
      <c r="CP4452" t="s">
        <v>119</v>
      </c>
      <c r="CQ4452">
        <v>8</v>
      </c>
      <c r="CR4452">
        <v>3</v>
      </c>
      <c r="CW4452">
        <v>9156819</v>
      </c>
      <c r="CY4452">
        <v>1</v>
      </c>
      <c r="CZ4452">
        <v>0</v>
      </c>
      <c r="DA4452">
        <v>1</v>
      </c>
      <c r="DB4452">
        <v>0</v>
      </c>
      <c r="DC4452">
        <v>0</v>
      </c>
      <c r="DD4452">
        <v>1</v>
      </c>
      <c r="DE4452">
        <v>0</v>
      </c>
      <c r="DF4452">
        <v>0</v>
      </c>
      <c r="DG4452">
        <v>0</v>
      </c>
      <c r="DH4452">
        <v>0</v>
      </c>
      <c r="DI4452">
        <v>0</v>
      </c>
    </row>
    <row r="4453" spans="1:113" x14ac:dyDescent="0.3">
      <c r="A4453" t="str">
        <f t="shared" ref="A4453:A4461" si="2051">"05/12/2020 14:49:06.631"</f>
        <v>05/12/2020 14:49:06.631</v>
      </c>
      <c r="C4453" t="str">
        <f t="shared" si="2045"/>
        <v>FFDFD3C0</v>
      </c>
      <c r="D4453" t="s">
        <v>113</v>
      </c>
      <c r="E4453">
        <v>3</v>
      </c>
      <c r="H4453">
        <v>164</v>
      </c>
      <c r="I4453" t="s">
        <v>114</v>
      </c>
      <c r="J4453" t="s">
        <v>115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 t="shared" ref="S4453:S4461" si="2052">"14:49:24.461"</f>
        <v>14:49:24.461</v>
      </c>
      <c r="T4453" t="str">
        <f t="shared" ref="T4453:T4461" si="2053">"14:49:24.061"</f>
        <v>14:49:24.061</v>
      </c>
      <c r="U4453" t="str">
        <f t="shared" si="2036"/>
        <v>A9808D</v>
      </c>
      <c r="V4453">
        <v>0</v>
      </c>
      <c r="W4453">
        <v>0</v>
      </c>
      <c r="X4453">
        <v>1</v>
      </c>
      <c r="Z4453">
        <v>0</v>
      </c>
      <c r="AA4453">
        <v>9</v>
      </c>
      <c r="AB4453">
        <v>3</v>
      </c>
      <c r="AC4453">
        <v>0</v>
      </c>
      <c r="AD4453">
        <v>10</v>
      </c>
      <c r="AE4453">
        <v>0</v>
      </c>
      <c r="AF4453">
        <v>3</v>
      </c>
      <c r="AG4453">
        <v>2</v>
      </c>
      <c r="AH4453">
        <v>0</v>
      </c>
      <c r="AI4453" t="s">
        <v>1004</v>
      </c>
      <c r="AJ4453">
        <v>28.247910000000001</v>
      </c>
      <c r="AK4453" t="s">
        <v>1005</v>
      </c>
      <c r="AL4453">
        <v>-82.325727999999998</v>
      </c>
      <c r="AM4453">
        <v>100</v>
      </c>
      <c r="AN4453">
        <v>2200</v>
      </c>
      <c r="AO4453" t="s">
        <v>118</v>
      </c>
      <c r="AP4453">
        <v>-138</v>
      </c>
      <c r="AQ4453">
        <v>-55</v>
      </c>
      <c r="AR4453">
        <v>64</v>
      </c>
      <c r="AZ4453">
        <v>1200</v>
      </c>
      <c r="BA4453">
        <v>1</v>
      </c>
      <c r="BB4453" t="str">
        <f t="shared" si="2046"/>
        <v xml:space="preserve">N711JA  </v>
      </c>
      <c r="BC4453">
        <v>1</v>
      </c>
      <c r="BE4453">
        <v>0</v>
      </c>
      <c r="BF4453">
        <v>0</v>
      </c>
      <c r="BG4453">
        <v>0</v>
      </c>
      <c r="BH4453">
        <v>2200</v>
      </c>
      <c r="BI4453">
        <v>1</v>
      </c>
      <c r="BJ4453">
        <v>1</v>
      </c>
      <c r="BK4453">
        <v>0</v>
      </c>
      <c r="BL4453">
        <v>0</v>
      </c>
      <c r="BO4453">
        <v>0</v>
      </c>
      <c r="BP4453">
        <v>0</v>
      </c>
      <c r="BW4453" t="str">
        <f t="shared" ref="BW4453:BW4459" si="2054">"14:49:24.468"</f>
        <v>14:49:24.468</v>
      </c>
      <c r="CJ4453">
        <v>0</v>
      </c>
      <c r="CK4453">
        <v>2</v>
      </c>
      <c r="CL4453">
        <v>0</v>
      </c>
      <c r="CM4453">
        <v>2</v>
      </c>
      <c r="CN4453">
        <v>0</v>
      </c>
      <c r="CO4453">
        <v>7</v>
      </c>
      <c r="CP4453" t="s">
        <v>119</v>
      </c>
      <c r="CQ4453">
        <v>8</v>
      </c>
      <c r="CR4453">
        <v>3</v>
      </c>
      <c r="CW4453">
        <v>9157903</v>
      </c>
      <c r="CY4453">
        <v>1</v>
      </c>
      <c r="CZ4453">
        <v>0</v>
      </c>
      <c r="DA4453">
        <v>0</v>
      </c>
      <c r="DB4453">
        <v>0</v>
      </c>
      <c r="DC4453">
        <v>0</v>
      </c>
      <c r="DD4453">
        <v>1</v>
      </c>
      <c r="DE4453">
        <v>0</v>
      </c>
      <c r="DF4453">
        <v>0</v>
      </c>
      <c r="DG4453">
        <v>0</v>
      </c>
      <c r="DH4453">
        <v>0</v>
      </c>
      <c r="DI4453">
        <v>0</v>
      </c>
    </row>
    <row r="4454" spans="1:113" x14ac:dyDescent="0.3">
      <c r="A4454" t="str">
        <f t="shared" si="2051"/>
        <v>05/12/2020 14:49:06.631</v>
      </c>
      <c r="C4454" t="str">
        <f t="shared" si="2045"/>
        <v>FFDFD3C0</v>
      </c>
      <c r="D4454" t="s">
        <v>138</v>
      </c>
      <c r="E4454">
        <v>3</v>
      </c>
      <c r="H4454">
        <v>9</v>
      </c>
      <c r="I4454" t="s">
        <v>140</v>
      </c>
      <c r="J4454" t="s">
        <v>136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 t="shared" si="2052"/>
        <v>14:49:24.461</v>
      </c>
      <c r="T4454" t="str">
        <f t="shared" si="2053"/>
        <v>14:49:24.061</v>
      </c>
      <c r="U4454" t="str">
        <f t="shared" si="2036"/>
        <v>A9808D</v>
      </c>
      <c r="V4454">
        <v>0</v>
      </c>
      <c r="W4454">
        <v>0</v>
      </c>
      <c r="X4454">
        <v>1</v>
      </c>
      <c r="Z4454">
        <v>0</v>
      </c>
      <c r="AA4454">
        <v>9</v>
      </c>
      <c r="AB4454">
        <v>3</v>
      </c>
      <c r="AC4454">
        <v>0</v>
      </c>
      <c r="AD4454">
        <v>10</v>
      </c>
      <c r="AE4454">
        <v>0</v>
      </c>
      <c r="AF4454">
        <v>3</v>
      </c>
      <c r="AG4454">
        <v>2</v>
      </c>
      <c r="AH4454">
        <v>0</v>
      </c>
      <c r="AI4454" t="s">
        <v>1004</v>
      </c>
      <c r="AJ4454">
        <v>28.247910000000001</v>
      </c>
      <c r="AK4454" t="s">
        <v>1005</v>
      </c>
      <c r="AL4454">
        <v>-82.325727999999998</v>
      </c>
      <c r="AM4454">
        <v>100</v>
      </c>
      <c r="AN4454">
        <v>2200</v>
      </c>
      <c r="AO4454" t="s">
        <v>118</v>
      </c>
      <c r="AP4454">
        <v>-138</v>
      </c>
      <c r="AQ4454">
        <v>-55</v>
      </c>
      <c r="AR4454">
        <v>64</v>
      </c>
      <c r="AZ4454">
        <v>1200</v>
      </c>
      <c r="BA4454">
        <v>1</v>
      </c>
      <c r="BB4454" t="str">
        <f t="shared" si="2046"/>
        <v xml:space="preserve">N711JA  </v>
      </c>
      <c r="BC4454">
        <v>1</v>
      </c>
      <c r="BE4454">
        <v>0</v>
      </c>
      <c r="BF4454">
        <v>0</v>
      </c>
      <c r="BG4454">
        <v>0</v>
      </c>
      <c r="BH4454">
        <v>2200</v>
      </c>
      <c r="BI4454">
        <v>1</v>
      </c>
      <c r="BJ4454">
        <v>1</v>
      </c>
      <c r="BK4454">
        <v>0</v>
      </c>
      <c r="BL4454">
        <v>0</v>
      </c>
      <c r="BO4454">
        <v>0</v>
      </c>
      <c r="BP4454">
        <v>0</v>
      </c>
      <c r="BW4454" t="str">
        <f t="shared" si="2054"/>
        <v>14:49:24.468</v>
      </c>
      <c r="CJ4454">
        <v>0</v>
      </c>
      <c r="CK4454">
        <v>2</v>
      </c>
      <c r="CL4454">
        <v>0</v>
      </c>
      <c r="CM4454">
        <v>2</v>
      </c>
      <c r="CN4454">
        <v>0</v>
      </c>
      <c r="CO4454">
        <v>7</v>
      </c>
      <c r="CP4454" t="s">
        <v>119</v>
      </c>
      <c r="CQ4454">
        <v>8</v>
      </c>
      <c r="CR4454">
        <v>3</v>
      </c>
      <c r="CW4454">
        <v>9157903</v>
      </c>
      <c r="CY4454">
        <v>1</v>
      </c>
      <c r="CZ4454">
        <v>0</v>
      </c>
      <c r="DA4454">
        <v>1</v>
      </c>
      <c r="DB4454">
        <v>0</v>
      </c>
      <c r="DC4454">
        <v>0</v>
      </c>
      <c r="DD4454">
        <v>1</v>
      </c>
      <c r="DE4454">
        <v>0</v>
      </c>
      <c r="DF4454">
        <v>0</v>
      </c>
      <c r="DG4454">
        <v>0</v>
      </c>
      <c r="DH4454">
        <v>0</v>
      </c>
      <c r="DI4454">
        <v>0</v>
      </c>
    </row>
    <row r="4455" spans="1:113" x14ac:dyDescent="0.3">
      <c r="A4455" t="str">
        <f t="shared" si="2051"/>
        <v>05/12/2020 14:49:06.631</v>
      </c>
      <c r="C4455" t="str">
        <f t="shared" si="2045"/>
        <v>FFDFD3C0</v>
      </c>
      <c r="D4455" t="s">
        <v>138</v>
      </c>
      <c r="E4455">
        <v>2</v>
      </c>
      <c r="H4455">
        <v>8</v>
      </c>
      <c r="I4455" t="s">
        <v>139</v>
      </c>
      <c r="J4455" t="s">
        <v>136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 t="shared" si="2052"/>
        <v>14:49:24.461</v>
      </c>
      <c r="T4455" t="str">
        <f t="shared" si="2053"/>
        <v>14:49:24.061</v>
      </c>
      <c r="U4455" t="str">
        <f t="shared" si="2036"/>
        <v>A9808D</v>
      </c>
      <c r="V4455">
        <v>0</v>
      </c>
      <c r="W4455">
        <v>0</v>
      </c>
      <c r="X4455">
        <v>1</v>
      </c>
      <c r="Z4455">
        <v>0</v>
      </c>
      <c r="AA4455">
        <v>9</v>
      </c>
      <c r="AB4455">
        <v>3</v>
      </c>
      <c r="AC4455">
        <v>0</v>
      </c>
      <c r="AD4455">
        <v>10</v>
      </c>
      <c r="AE4455">
        <v>0</v>
      </c>
      <c r="AF4455">
        <v>3</v>
      </c>
      <c r="AG4455">
        <v>2</v>
      </c>
      <c r="AH4455">
        <v>0</v>
      </c>
      <c r="AI4455" t="s">
        <v>1004</v>
      </c>
      <c r="AJ4455">
        <v>28.247910000000001</v>
      </c>
      <c r="AK4455" t="s">
        <v>1005</v>
      </c>
      <c r="AL4455">
        <v>-82.325727999999998</v>
      </c>
      <c r="AM4455">
        <v>100</v>
      </c>
      <c r="AN4455">
        <v>2200</v>
      </c>
      <c r="AO4455" t="s">
        <v>118</v>
      </c>
      <c r="AP4455">
        <v>-138</v>
      </c>
      <c r="AQ4455">
        <v>-55</v>
      </c>
      <c r="AR4455">
        <v>64</v>
      </c>
      <c r="AZ4455">
        <v>1200</v>
      </c>
      <c r="BA4455">
        <v>1</v>
      </c>
      <c r="BB4455" t="str">
        <f t="shared" si="2046"/>
        <v xml:space="preserve">N711JA  </v>
      </c>
      <c r="BC4455">
        <v>1</v>
      </c>
      <c r="BE4455">
        <v>0</v>
      </c>
      <c r="BF4455">
        <v>0</v>
      </c>
      <c r="BG4455">
        <v>0</v>
      </c>
      <c r="BH4455">
        <v>2200</v>
      </c>
      <c r="BI4455">
        <v>1</v>
      </c>
      <c r="BJ4455">
        <v>1</v>
      </c>
      <c r="BK4455">
        <v>0</v>
      </c>
      <c r="BL4455">
        <v>0</v>
      </c>
      <c r="BO4455">
        <v>0</v>
      </c>
      <c r="BP4455">
        <v>0</v>
      </c>
      <c r="BW4455" t="str">
        <f t="shared" si="2054"/>
        <v>14:49:24.468</v>
      </c>
      <c r="CJ4455">
        <v>0</v>
      </c>
      <c r="CK4455">
        <v>2</v>
      </c>
      <c r="CL4455">
        <v>0</v>
      </c>
      <c r="CM4455">
        <v>2</v>
      </c>
      <c r="CN4455">
        <v>0</v>
      </c>
      <c r="CO4455">
        <v>7</v>
      </c>
      <c r="CP4455" t="s">
        <v>119</v>
      </c>
      <c r="CQ4455">
        <v>8</v>
      </c>
      <c r="CR4455">
        <v>3</v>
      </c>
      <c r="CW4455">
        <v>9157903</v>
      </c>
      <c r="CY4455">
        <v>1</v>
      </c>
      <c r="CZ4455">
        <v>0</v>
      </c>
      <c r="DA4455">
        <v>1</v>
      </c>
      <c r="DB4455">
        <v>0</v>
      </c>
      <c r="DC4455">
        <v>0</v>
      </c>
      <c r="DD4455">
        <v>1</v>
      </c>
      <c r="DE4455">
        <v>0</v>
      </c>
      <c r="DF4455">
        <v>0</v>
      </c>
      <c r="DG4455">
        <v>0</v>
      </c>
      <c r="DH4455">
        <v>0</v>
      </c>
      <c r="DI4455">
        <v>0</v>
      </c>
    </row>
    <row r="4456" spans="1:113" x14ac:dyDescent="0.3">
      <c r="A4456" t="str">
        <f t="shared" si="2051"/>
        <v>05/12/2020 14:49:06.631</v>
      </c>
      <c r="C4456" t="str">
        <f t="shared" si="2045"/>
        <v>FFDFD3C0</v>
      </c>
      <c r="D4456" t="s">
        <v>131</v>
      </c>
      <c r="E4456">
        <v>10</v>
      </c>
      <c r="F4456">
        <v>2010</v>
      </c>
      <c r="G4456" t="s">
        <v>132</v>
      </c>
      <c r="J4456" t="s">
        <v>133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 t="shared" si="2052"/>
        <v>14:49:24.461</v>
      </c>
      <c r="T4456" t="str">
        <f t="shared" si="2053"/>
        <v>14:49:24.061</v>
      </c>
      <c r="U4456" t="str">
        <f t="shared" si="2036"/>
        <v>A9808D</v>
      </c>
      <c r="V4456">
        <v>0</v>
      </c>
      <c r="W4456">
        <v>0</v>
      </c>
      <c r="X4456">
        <v>1</v>
      </c>
      <c r="Z4456">
        <v>0</v>
      </c>
      <c r="AA4456">
        <v>9</v>
      </c>
      <c r="AB4456">
        <v>3</v>
      </c>
      <c r="AC4456">
        <v>0</v>
      </c>
      <c r="AD4456">
        <v>10</v>
      </c>
      <c r="AE4456">
        <v>0</v>
      </c>
      <c r="AF4456">
        <v>3</v>
      </c>
      <c r="AG4456">
        <v>2</v>
      </c>
      <c r="AH4456">
        <v>0</v>
      </c>
      <c r="AI4456" t="s">
        <v>1004</v>
      </c>
      <c r="AJ4456">
        <v>28.247910000000001</v>
      </c>
      <c r="AK4456" t="s">
        <v>1005</v>
      </c>
      <c r="AL4456">
        <v>-82.325727999999998</v>
      </c>
      <c r="AM4456">
        <v>100</v>
      </c>
      <c r="AN4456">
        <v>2200</v>
      </c>
      <c r="AO4456" t="s">
        <v>118</v>
      </c>
      <c r="AP4456">
        <v>-138</v>
      </c>
      <c r="AQ4456">
        <v>-55</v>
      </c>
      <c r="AR4456">
        <v>64</v>
      </c>
      <c r="AZ4456">
        <v>1200</v>
      </c>
      <c r="BA4456">
        <v>1</v>
      </c>
      <c r="BB4456" t="str">
        <f t="shared" si="2046"/>
        <v xml:space="preserve">N711JA  </v>
      </c>
      <c r="BC4456">
        <v>1</v>
      </c>
      <c r="BE4456">
        <v>0</v>
      </c>
      <c r="BF4456">
        <v>0</v>
      </c>
      <c r="BG4456">
        <v>0</v>
      </c>
      <c r="BH4456">
        <v>2200</v>
      </c>
      <c r="BI4456">
        <v>1</v>
      </c>
      <c r="BJ4456">
        <v>1</v>
      </c>
      <c r="BK4456">
        <v>0</v>
      </c>
      <c r="BL4456">
        <v>0</v>
      </c>
      <c r="BO4456">
        <v>0</v>
      </c>
      <c r="BP4456">
        <v>0</v>
      </c>
      <c r="BW4456" t="str">
        <f t="shared" si="2054"/>
        <v>14:49:24.468</v>
      </c>
      <c r="CJ4456">
        <v>0</v>
      </c>
      <c r="CK4456">
        <v>2</v>
      </c>
      <c r="CL4456">
        <v>0</v>
      </c>
      <c r="CM4456">
        <v>2</v>
      </c>
      <c r="CN4456">
        <v>0</v>
      </c>
      <c r="CO4456">
        <v>7</v>
      </c>
      <c r="CP4456" t="s">
        <v>119</v>
      </c>
      <c r="CQ4456">
        <v>8</v>
      </c>
      <c r="CR4456">
        <v>3</v>
      </c>
      <c r="CW4456">
        <v>9157903</v>
      </c>
      <c r="CY4456">
        <v>1</v>
      </c>
      <c r="CZ4456">
        <v>0</v>
      </c>
      <c r="DA4456">
        <v>1</v>
      </c>
      <c r="DB4456">
        <v>0</v>
      </c>
      <c r="DC4456">
        <v>0</v>
      </c>
      <c r="DD4456">
        <v>1</v>
      </c>
      <c r="DE4456">
        <v>0</v>
      </c>
      <c r="DF4456">
        <v>0</v>
      </c>
      <c r="DG4456">
        <v>0</v>
      </c>
      <c r="DH4456">
        <v>0</v>
      </c>
      <c r="DI4456">
        <v>0</v>
      </c>
    </row>
    <row r="4457" spans="1:113" x14ac:dyDescent="0.3">
      <c r="A4457" t="str">
        <f t="shared" si="2051"/>
        <v>05/12/2020 14:49:06.631</v>
      </c>
      <c r="C4457" t="str">
        <f t="shared" si="2045"/>
        <v>FFDFD3C0</v>
      </c>
      <c r="D4457" t="s">
        <v>126</v>
      </c>
      <c r="E4457">
        <v>7</v>
      </c>
      <c r="F4457">
        <v>1007</v>
      </c>
      <c r="G4457" t="s">
        <v>127</v>
      </c>
      <c r="J4457" t="s">
        <v>128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 t="shared" si="2052"/>
        <v>14:49:24.461</v>
      </c>
      <c r="T4457" t="str">
        <f t="shared" si="2053"/>
        <v>14:49:24.061</v>
      </c>
      <c r="U4457" t="str">
        <f t="shared" si="2036"/>
        <v>A9808D</v>
      </c>
      <c r="V4457">
        <v>0</v>
      </c>
      <c r="W4457">
        <v>0</v>
      </c>
      <c r="X4457">
        <v>1</v>
      </c>
      <c r="Z4457">
        <v>0</v>
      </c>
      <c r="AA4457">
        <v>9</v>
      </c>
      <c r="AB4457">
        <v>3</v>
      </c>
      <c r="AC4457">
        <v>0</v>
      </c>
      <c r="AD4457">
        <v>10</v>
      </c>
      <c r="AE4457">
        <v>0</v>
      </c>
      <c r="AF4457">
        <v>3</v>
      </c>
      <c r="AG4457">
        <v>2</v>
      </c>
      <c r="AH4457">
        <v>0</v>
      </c>
      <c r="AI4457" t="s">
        <v>1004</v>
      </c>
      <c r="AJ4457">
        <v>28.247910000000001</v>
      </c>
      <c r="AK4457" t="s">
        <v>1005</v>
      </c>
      <c r="AL4457">
        <v>-82.325727999999998</v>
      </c>
      <c r="AM4457">
        <v>100</v>
      </c>
      <c r="AN4457">
        <v>2200</v>
      </c>
      <c r="AO4457" t="s">
        <v>118</v>
      </c>
      <c r="AP4457">
        <v>-138</v>
      </c>
      <c r="AQ4457">
        <v>-55</v>
      </c>
      <c r="AR4457">
        <v>64</v>
      </c>
      <c r="AZ4457">
        <v>1200</v>
      </c>
      <c r="BA4457">
        <v>1</v>
      </c>
      <c r="BB4457" t="str">
        <f t="shared" si="2046"/>
        <v xml:space="preserve">N711JA  </v>
      </c>
      <c r="BC4457">
        <v>1</v>
      </c>
      <c r="BE4457">
        <v>0</v>
      </c>
      <c r="BF4457">
        <v>0</v>
      </c>
      <c r="BG4457">
        <v>0</v>
      </c>
      <c r="BH4457">
        <v>2200</v>
      </c>
      <c r="BI4457">
        <v>1</v>
      </c>
      <c r="BJ4457">
        <v>1</v>
      </c>
      <c r="BK4457">
        <v>0</v>
      </c>
      <c r="BL4457">
        <v>0</v>
      </c>
      <c r="BO4457">
        <v>0</v>
      </c>
      <c r="BP4457">
        <v>0</v>
      </c>
      <c r="BW4457" t="str">
        <f t="shared" si="2054"/>
        <v>14:49:24.468</v>
      </c>
      <c r="CJ4457">
        <v>0</v>
      </c>
      <c r="CK4457">
        <v>2</v>
      </c>
      <c r="CL4457">
        <v>0</v>
      </c>
      <c r="CM4457">
        <v>2</v>
      </c>
      <c r="CN4457">
        <v>0</v>
      </c>
      <c r="CO4457">
        <v>7</v>
      </c>
      <c r="CP4457" t="s">
        <v>119</v>
      </c>
      <c r="CQ4457">
        <v>8</v>
      </c>
      <c r="CR4457">
        <v>3</v>
      </c>
      <c r="CW4457">
        <v>9157903</v>
      </c>
      <c r="CY4457">
        <v>1</v>
      </c>
      <c r="CZ4457">
        <v>0</v>
      </c>
      <c r="DA4457">
        <v>1</v>
      </c>
      <c r="DB4457">
        <v>0</v>
      </c>
      <c r="DC4457">
        <v>0</v>
      </c>
      <c r="DD4457">
        <v>1</v>
      </c>
      <c r="DE4457">
        <v>0</v>
      </c>
      <c r="DF4457">
        <v>0</v>
      </c>
      <c r="DG4457">
        <v>0</v>
      </c>
      <c r="DH4457">
        <v>0</v>
      </c>
      <c r="DI4457">
        <v>0</v>
      </c>
    </row>
    <row r="4458" spans="1:113" x14ac:dyDescent="0.3">
      <c r="A4458" t="str">
        <f t="shared" si="2051"/>
        <v>05/12/2020 14:49:06.631</v>
      </c>
      <c r="C4458" t="str">
        <f t="shared" si="2045"/>
        <v>FFDFD3C0</v>
      </c>
      <c r="D4458" t="s">
        <v>131</v>
      </c>
      <c r="E4458">
        <v>12</v>
      </c>
      <c r="F4458">
        <v>2012</v>
      </c>
      <c r="G4458" t="s">
        <v>137</v>
      </c>
      <c r="J4458" t="s">
        <v>133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 t="shared" si="2052"/>
        <v>14:49:24.461</v>
      </c>
      <c r="T4458" t="str">
        <f t="shared" si="2053"/>
        <v>14:49:24.061</v>
      </c>
      <c r="U4458" t="str">
        <f t="shared" si="2036"/>
        <v>A9808D</v>
      </c>
      <c r="V4458">
        <v>0</v>
      </c>
      <c r="W4458">
        <v>0</v>
      </c>
      <c r="X4458">
        <v>1</v>
      </c>
      <c r="Z4458">
        <v>0</v>
      </c>
      <c r="AA4458">
        <v>9</v>
      </c>
      <c r="AB4458">
        <v>3</v>
      </c>
      <c r="AC4458">
        <v>0</v>
      </c>
      <c r="AD4458">
        <v>10</v>
      </c>
      <c r="AE4458">
        <v>0</v>
      </c>
      <c r="AF4458">
        <v>3</v>
      </c>
      <c r="AG4458">
        <v>2</v>
      </c>
      <c r="AH4458">
        <v>0</v>
      </c>
      <c r="AI4458" t="s">
        <v>1004</v>
      </c>
      <c r="AJ4458">
        <v>28.247910000000001</v>
      </c>
      <c r="AK4458" t="s">
        <v>1005</v>
      </c>
      <c r="AL4458">
        <v>-82.325727999999998</v>
      </c>
      <c r="AM4458">
        <v>100</v>
      </c>
      <c r="AN4458">
        <v>2200</v>
      </c>
      <c r="AO4458" t="s">
        <v>118</v>
      </c>
      <c r="AP4458">
        <v>-138</v>
      </c>
      <c r="AQ4458">
        <v>-55</v>
      </c>
      <c r="AR4458">
        <v>64</v>
      </c>
      <c r="AZ4458">
        <v>1200</v>
      </c>
      <c r="BA4458">
        <v>1</v>
      </c>
      <c r="BB4458" t="str">
        <f t="shared" si="2046"/>
        <v xml:space="preserve">N711JA  </v>
      </c>
      <c r="BC4458">
        <v>1</v>
      </c>
      <c r="BE4458">
        <v>0</v>
      </c>
      <c r="BF4458">
        <v>0</v>
      </c>
      <c r="BG4458">
        <v>0</v>
      </c>
      <c r="BH4458">
        <v>2200</v>
      </c>
      <c r="BI4458">
        <v>1</v>
      </c>
      <c r="BJ4458">
        <v>1</v>
      </c>
      <c r="BK4458">
        <v>0</v>
      </c>
      <c r="BL4458">
        <v>0</v>
      </c>
      <c r="BO4458">
        <v>0</v>
      </c>
      <c r="BP4458">
        <v>0</v>
      </c>
      <c r="BW4458" t="str">
        <f t="shared" si="2054"/>
        <v>14:49:24.468</v>
      </c>
      <c r="CJ4458">
        <v>0</v>
      </c>
      <c r="CK4458">
        <v>2</v>
      </c>
      <c r="CL4458">
        <v>0</v>
      </c>
      <c r="CM4458">
        <v>2</v>
      </c>
      <c r="CN4458">
        <v>0</v>
      </c>
      <c r="CO4458">
        <v>7</v>
      </c>
      <c r="CP4458" t="s">
        <v>119</v>
      </c>
      <c r="CQ4458">
        <v>8</v>
      </c>
      <c r="CR4458">
        <v>3</v>
      </c>
      <c r="CW4458">
        <v>9157903</v>
      </c>
      <c r="CY4458">
        <v>1</v>
      </c>
      <c r="CZ4458">
        <v>0</v>
      </c>
      <c r="DA4458">
        <v>1</v>
      </c>
      <c r="DB4458">
        <v>0</v>
      </c>
      <c r="DC4458">
        <v>0</v>
      </c>
      <c r="DD4458">
        <v>1</v>
      </c>
      <c r="DE4458">
        <v>0</v>
      </c>
      <c r="DF4458">
        <v>0</v>
      </c>
      <c r="DG4458">
        <v>0</v>
      </c>
      <c r="DH4458">
        <v>0</v>
      </c>
      <c r="DI4458">
        <v>0</v>
      </c>
    </row>
    <row r="4459" spans="1:113" x14ac:dyDescent="0.3">
      <c r="A4459" t="str">
        <f t="shared" si="2051"/>
        <v>05/12/2020 14:49:06.631</v>
      </c>
      <c r="C4459" t="str">
        <f t="shared" si="2045"/>
        <v>FFDFD3C0</v>
      </c>
      <c r="D4459" t="s">
        <v>134</v>
      </c>
      <c r="E4459">
        <v>12</v>
      </c>
      <c r="H4459">
        <v>64</v>
      </c>
      <c r="I4459" t="s">
        <v>135</v>
      </c>
      <c r="J4459" t="s">
        <v>136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 t="shared" si="2052"/>
        <v>14:49:24.461</v>
      </c>
      <c r="T4459" t="str">
        <f t="shared" si="2053"/>
        <v>14:49:24.061</v>
      </c>
      <c r="U4459" t="str">
        <f t="shared" si="2036"/>
        <v>A9808D</v>
      </c>
      <c r="V4459">
        <v>0</v>
      </c>
      <c r="W4459">
        <v>0</v>
      </c>
      <c r="X4459">
        <v>1</v>
      </c>
      <c r="Z4459">
        <v>0</v>
      </c>
      <c r="AA4459">
        <v>9</v>
      </c>
      <c r="AB4459">
        <v>3</v>
      </c>
      <c r="AC4459">
        <v>0</v>
      </c>
      <c r="AD4459">
        <v>10</v>
      </c>
      <c r="AE4459">
        <v>0</v>
      </c>
      <c r="AF4459">
        <v>3</v>
      </c>
      <c r="AG4459">
        <v>2</v>
      </c>
      <c r="AH4459">
        <v>0</v>
      </c>
      <c r="AI4459" t="s">
        <v>1004</v>
      </c>
      <c r="AJ4459">
        <v>28.247910000000001</v>
      </c>
      <c r="AK4459" t="s">
        <v>1005</v>
      </c>
      <c r="AL4459">
        <v>-82.325727999999998</v>
      </c>
      <c r="AM4459">
        <v>100</v>
      </c>
      <c r="AN4459">
        <v>2200</v>
      </c>
      <c r="AO4459" t="s">
        <v>118</v>
      </c>
      <c r="AP4459">
        <v>-138</v>
      </c>
      <c r="AQ4459">
        <v>-55</v>
      </c>
      <c r="AR4459">
        <v>64</v>
      </c>
      <c r="AZ4459">
        <v>1200</v>
      </c>
      <c r="BA4459">
        <v>1</v>
      </c>
      <c r="BB4459" t="str">
        <f t="shared" si="2046"/>
        <v xml:space="preserve">N711JA  </v>
      </c>
      <c r="BC4459">
        <v>1</v>
      </c>
      <c r="BE4459">
        <v>0</v>
      </c>
      <c r="BF4459">
        <v>0</v>
      </c>
      <c r="BG4459">
        <v>0</v>
      </c>
      <c r="BH4459">
        <v>2200</v>
      </c>
      <c r="BI4459">
        <v>1</v>
      </c>
      <c r="BJ4459">
        <v>1</v>
      </c>
      <c r="BK4459">
        <v>0</v>
      </c>
      <c r="BL4459">
        <v>0</v>
      </c>
      <c r="BO4459">
        <v>0</v>
      </c>
      <c r="BP4459">
        <v>0</v>
      </c>
      <c r="BW4459" t="str">
        <f t="shared" si="2054"/>
        <v>14:49:24.468</v>
      </c>
      <c r="CJ4459">
        <v>0</v>
      </c>
      <c r="CK4459">
        <v>2</v>
      </c>
      <c r="CL4459">
        <v>0</v>
      </c>
      <c r="CM4459">
        <v>2</v>
      </c>
      <c r="CN4459">
        <v>0</v>
      </c>
      <c r="CO4459">
        <v>7</v>
      </c>
      <c r="CP4459" t="s">
        <v>119</v>
      </c>
      <c r="CQ4459">
        <v>8</v>
      </c>
      <c r="CR4459">
        <v>3</v>
      </c>
      <c r="CW4459">
        <v>9157903</v>
      </c>
      <c r="CY4459">
        <v>1</v>
      </c>
      <c r="CZ4459">
        <v>0</v>
      </c>
      <c r="DA4459">
        <v>1</v>
      </c>
      <c r="DB4459">
        <v>0</v>
      </c>
      <c r="DC4459">
        <v>0</v>
      </c>
      <c r="DD4459">
        <v>1</v>
      </c>
      <c r="DE4459">
        <v>0</v>
      </c>
      <c r="DF4459">
        <v>0</v>
      </c>
      <c r="DG4459">
        <v>0</v>
      </c>
      <c r="DH4459">
        <v>0</v>
      </c>
      <c r="DI4459">
        <v>0</v>
      </c>
    </row>
    <row r="4460" spans="1:113" x14ac:dyDescent="0.3">
      <c r="A4460" t="str">
        <f t="shared" si="2051"/>
        <v>05/12/2020 14:49:06.631</v>
      </c>
      <c r="C4460" t="str">
        <f t="shared" si="2045"/>
        <v>FFDFD3C0</v>
      </c>
      <c r="D4460" t="s">
        <v>131</v>
      </c>
      <c r="E4460">
        <v>18</v>
      </c>
      <c r="F4460">
        <v>2018</v>
      </c>
      <c r="G4460" t="s">
        <v>161</v>
      </c>
      <c r="J4460" t="s">
        <v>133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 t="shared" si="2052"/>
        <v>14:49:24.461</v>
      </c>
      <c r="T4460" t="str">
        <f t="shared" si="2053"/>
        <v>14:49:24.061</v>
      </c>
      <c r="U4460" t="str">
        <f t="shared" si="2036"/>
        <v>A9808D</v>
      </c>
      <c r="V4460">
        <v>0</v>
      </c>
      <c r="W4460">
        <v>0</v>
      </c>
      <c r="X4460">
        <v>1</v>
      </c>
      <c r="Z4460">
        <v>0</v>
      </c>
      <c r="AA4460">
        <v>9</v>
      </c>
      <c r="AB4460">
        <v>3</v>
      </c>
      <c r="AC4460">
        <v>0</v>
      </c>
      <c r="AD4460">
        <v>10</v>
      </c>
      <c r="AE4460">
        <v>0</v>
      </c>
      <c r="AF4460">
        <v>3</v>
      </c>
      <c r="AG4460">
        <v>2</v>
      </c>
      <c r="AH4460">
        <v>0</v>
      </c>
      <c r="AI4460" t="s">
        <v>1004</v>
      </c>
      <c r="AJ4460">
        <v>28.247910000000001</v>
      </c>
      <c r="AK4460" t="s">
        <v>1005</v>
      </c>
      <c r="AL4460">
        <v>-82.325727999999998</v>
      </c>
      <c r="AM4460">
        <v>100</v>
      </c>
      <c r="AN4460">
        <v>2200</v>
      </c>
      <c r="AO4460" t="s">
        <v>118</v>
      </c>
      <c r="AP4460">
        <v>-138</v>
      </c>
      <c r="AQ4460">
        <v>-55</v>
      </c>
      <c r="AR4460">
        <v>64</v>
      </c>
      <c r="AZ4460">
        <v>1200</v>
      </c>
      <c r="BA4460">
        <v>1</v>
      </c>
      <c r="BB4460" t="str">
        <f t="shared" si="2046"/>
        <v xml:space="preserve">N711JA  </v>
      </c>
      <c r="BC4460">
        <v>1</v>
      </c>
      <c r="BE4460">
        <v>0</v>
      </c>
      <c r="BF4460">
        <v>0</v>
      </c>
      <c r="BG4460">
        <v>0</v>
      </c>
      <c r="BH4460">
        <v>2200</v>
      </c>
      <c r="BI4460">
        <v>1</v>
      </c>
      <c r="BJ4460">
        <v>1</v>
      </c>
      <c r="BK4460">
        <v>0</v>
      </c>
      <c r="BL4460">
        <v>0</v>
      </c>
      <c r="BO4460">
        <v>0</v>
      </c>
      <c r="BP4460">
        <v>0</v>
      </c>
      <c r="BW4460" t="str">
        <f>"14:49:24.469"</f>
        <v>14:49:24.469</v>
      </c>
      <c r="CJ4460">
        <v>0</v>
      </c>
      <c r="CK4460">
        <v>2</v>
      </c>
      <c r="CL4460">
        <v>0</v>
      </c>
      <c r="CM4460">
        <v>2</v>
      </c>
      <c r="CN4460">
        <v>0</v>
      </c>
      <c r="CO4460">
        <v>3</v>
      </c>
      <c r="CP4460" t="s">
        <v>119</v>
      </c>
      <c r="CQ4460">
        <v>62</v>
      </c>
      <c r="CR4460">
        <v>1</v>
      </c>
      <c r="CW4460">
        <v>13051861</v>
      </c>
      <c r="CY4460">
        <v>1</v>
      </c>
      <c r="CZ4460">
        <v>0</v>
      </c>
      <c r="DA4460">
        <v>1</v>
      </c>
      <c r="DB4460">
        <v>0</v>
      </c>
      <c r="DC4460">
        <v>0</v>
      </c>
      <c r="DD4460">
        <v>1</v>
      </c>
      <c r="DE4460">
        <v>0</v>
      </c>
      <c r="DF4460">
        <v>0</v>
      </c>
      <c r="DG4460">
        <v>0</v>
      </c>
      <c r="DH4460">
        <v>0</v>
      </c>
      <c r="DI4460">
        <v>0</v>
      </c>
    </row>
    <row r="4461" spans="1:113" x14ac:dyDescent="0.3">
      <c r="A4461" t="str">
        <f t="shared" si="2051"/>
        <v>05/12/2020 14:49:06.631</v>
      </c>
      <c r="C4461" t="str">
        <f t="shared" si="2045"/>
        <v>FFDFD3C0</v>
      </c>
      <c r="D4461" t="s">
        <v>126</v>
      </c>
      <c r="E4461">
        <v>6</v>
      </c>
      <c r="F4461">
        <v>1006</v>
      </c>
      <c r="G4461" t="s">
        <v>114</v>
      </c>
      <c r="J4461" t="s">
        <v>128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 t="shared" si="2052"/>
        <v>14:49:24.461</v>
      </c>
      <c r="T4461" t="str">
        <f t="shared" si="2053"/>
        <v>14:49:24.061</v>
      </c>
      <c r="U4461" t="str">
        <f t="shared" si="2036"/>
        <v>A9808D</v>
      </c>
      <c r="V4461">
        <v>0</v>
      </c>
      <c r="W4461">
        <v>0</v>
      </c>
      <c r="X4461">
        <v>1</v>
      </c>
      <c r="Z4461">
        <v>0</v>
      </c>
      <c r="AA4461">
        <v>9</v>
      </c>
      <c r="AB4461">
        <v>3</v>
      </c>
      <c r="AC4461">
        <v>0</v>
      </c>
      <c r="AD4461">
        <v>10</v>
      </c>
      <c r="AE4461">
        <v>0</v>
      </c>
      <c r="AF4461">
        <v>3</v>
      </c>
      <c r="AG4461">
        <v>2</v>
      </c>
      <c r="AH4461">
        <v>0</v>
      </c>
      <c r="AI4461" t="s">
        <v>1004</v>
      </c>
      <c r="AJ4461">
        <v>28.247910000000001</v>
      </c>
      <c r="AK4461" t="s">
        <v>1005</v>
      </c>
      <c r="AL4461">
        <v>-82.325727999999998</v>
      </c>
      <c r="AM4461">
        <v>100</v>
      </c>
      <c r="AN4461">
        <v>2200</v>
      </c>
      <c r="AO4461" t="s">
        <v>118</v>
      </c>
      <c r="AP4461">
        <v>-138</v>
      </c>
      <c r="AQ4461">
        <v>-55</v>
      </c>
      <c r="AR4461">
        <v>64</v>
      </c>
      <c r="AZ4461">
        <v>1200</v>
      </c>
      <c r="BA4461">
        <v>1</v>
      </c>
      <c r="BB4461" t="str">
        <f t="shared" si="2046"/>
        <v xml:space="preserve">N711JA  </v>
      </c>
      <c r="BC4461">
        <v>1</v>
      </c>
      <c r="BE4461">
        <v>0</v>
      </c>
      <c r="BF4461">
        <v>0</v>
      </c>
      <c r="BG4461">
        <v>0</v>
      </c>
      <c r="BH4461">
        <v>2200</v>
      </c>
      <c r="BI4461">
        <v>1</v>
      </c>
      <c r="BJ4461">
        <v>1</v>
      </c>
      <c r="BK4461">
        <v>0</v>
      </c>
      <c r="BL4461">
        <v>0</v>
      </c>
      <c r="BO4461">
        <v>0</v>
      </c>
      <c r="BP4461">
        <v>0</v>
      </c>
      <c r="BW4461" t="str">
        <f>"14:49:24.468"</f>
        <v>14:49:24.468</v>
      </c>
      <c r="CJ4461">
        <v>0</v>
      </c>
      <c r="CK4461">
        <v>2</v>
      </c>
      <c r="CL4461">
        <v>0</v>
      </c>
      <c r="CM4461">
        <v>2</v>
      </c>
      <c r="CN4461">
        <v>0</v>
      </c>
      <c r="CO4461">
        <v>7</v>
      </c>
      <c r="CP4461" t="s">
        <v>119</v>
      </c>
      <c r="CQ4461">
        <v>8</v>
      </c>
      <c r="CR4461">
        <v>3</v>
      </c>
      <c r="CW4461">
        <v>9157903</v>
      </c>
      <c r="CY4461">
        <v>1</v>
      </c>
      <c r="CZ4461">
        <v>0</v>
      </c>
      <c r="DA4461">
        <v>1</v>
      </c>
      <c r="DB4461">
        <v>0</v>
      </c>
      <c r="DC4461">
        <v>0</v>
      </c>
      <c r="DD4461">
        <v>1</v>
      </c>
      <c r="DE4461">
        <v>0</v>
      </c>
      <c r="DF4461">
        <v>0</v>
      </c>
      <c r="DG4461">
        <v>0</v>
      </c>
      <c r="DH4461">
        <v>0</v>
      </c>
      <c r="DI4461">
        <v>0</v>
      </c>
    </row>
    <row r="4462" spans="1:113" x14ac:dyDescent="0.3">
      <c r="A4462" t="str">
        <f t="shared" ref="A4462:A4470" si="2055">"05/12/2020 14:49:07.773"</f>
        <v>05/12/2020 14:49:07.773</v>
      </c>
      <c r="C4462" t="str">
        <f t="shared" si="2045"/>
        <v>FFDFD3C0</v>
      </c>
      <c r="D4462" t="s">
        <v>131</v>
      </c>
      <c r="E4462">
        <v>10</v>
      </c>
      <c r="F4462">
        <v>2010</v>
      </c>
      <c r="G4462" t="s">
        <v>132</v>
      </c>
      <c r="J4462" t="s">
        <v>133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 t="shared" ref="S4462:S4470" si="2056">"14:49:25.602"</f>
        <v>14:49:25.602</v>
      </c>
      <c r="T4462" t="str">
        <f t="shared" ref="T4462:T4470" si="2057">"14:49:25.402"</f>
        <v>14:49:25.402</v>
      </c>
      <c r="U4462" t="str">
        <f t="shared" si="2036"/>
        <v>A9808D</v>
      </c>
      <c r="V4462">
        <v>0</v>
      </c>
      <c r="W4462">
        <v>0</v>
      </c>
      <c r="X4462">
        <v>1</v>
      </c>
      <c r="Z4462">
        <v>0</v>
      </c>
      <c r="AA4462">
        <v>9</v>
      </c>
      <c r="AB4462">
        <v>3</v>
      </c>
      <c r="AC4462">
        <v>0</v>
      </c>
      <c r="AD4462">
        <v>10</v>
      </c>
      <c r="AE4462">
        <v>0</v>
      </c>
      <c r="AF4462">
        <v>3</v>
      </c>
      <c r="AG4462">
        <v>2</v>
      </c>
      <c r="AH4462">
        <v>0</v>
      </c>
      <c r="AI4462" t="s">
        <v>1006</v>
      </c>
      <c r="AJ4462">
        <v>28.247630999999998</v>
      </c>
      <c r="AK4462" t="s">
        <v>1007</v>
      </c>
      <c r="AL4462">
        <v>-82.326521999999997</v>
      </c>
      <c r="AM4462">
        <v>100</v>
      </c>
      <c r="AN4462">
        <v>2200</v>
      </c>
      <c r="AO4462" t="s">
        <v>118</v>
      </c>
      <c r="AP4462">
        <v>-138</v>
      </c>
      <c r="AQ4462">
        <v>-54</v>
      </c>
      <c r="AR4462">
        <v>128</v>
      </c>
      <c r="AZ4462">
        <v>1200</v>
      </c>
      <c r="BA4462">
        <v>1</v>
      </c>
      <c r="BB4462" t="str">
        <f t="shared" si="2046"/>
        <v xml:space="preserve">N711JA  </v>
      </c>
      <c r="BC4462">
        <v>1</v>
      </c>
      <c r="BE4462">
        <v>0</v>
      </c>
      <c r="BF4462">
        <v>0</v>
      </c>
      <c r="BG4462">
        <v>0</v>
      </c>
      <c r="BH4462">
        <v>2200</v>
      </c>
      <c r="BI4462">
        <v>1</v>
      </c>
      <c r="BJ4462">
        <v>1</v>
      </c>
      <c r="BK4462">
        <v>0</v>
      </c>
      <c r="BL4462">
        <v>0</v>
      </c>
      <c r="BO4462">
        <v>0</v>
      </c>
      <c r="BP4462">
        <v>0</v>
      </c>
      <c r="BW4462" t="str">
        <f t="shared" ref="BW4462:BW4470" si="2058">"14:49:25.608"</f>
        <v>14:49:25.608</v>
      </c>
      <c r="CJ4462">
        <v>0</v>
      </c>
      <c r="CK4462">
        <v>2</v>
      </c>
      <c r="CL4462">
        <v>0</v>
      </c>
      <c r="CM4462">
        <v>2</v>
      </c>
      <c r="CN4462">
        <v>0</v>
      </c>
      <c r="CO4462">
        <v>7</v>
      </c>
      <c r="CP4462" t="s">
        <v>119</v>
      </c>
      <c r="CQ4462">
        <v>8</v>
      </c>
      <c r="CR4462">
        <v>3</v>
      </c>
      <c r="CW4462">
        <v>9159118</v>
      </c>
      <c r="CY4462">
        <v>1</v>
      </c>
      <c r="CZ4462">
        <v>0</v>
      </c>
      <c r="DA4462">
        <v>0</v>
      </c>
      <c r="DB4462">
        <v>0</v>
      </c>
      <c r="DC4462">
        <v>0</v>
      </c>
      <c r="DD4462">
        <v>1</v>
      </c>
      <c r="DE4462">
        <v>0</v>
      </c>
      <c r="DF4462">
        <v>0</v>
      </c>
      <c r="DG4462">
        <v>0</v>
      </c>
      <c r="DH4462">
        <v>0</v>
      </c>
      <c r="DI4462">
        <v>0</v>
      </c>
    </row>
    <row r="4463" spans="1:113" x14ac:dyDescent="0.3">
      <c r="A4463" t="str">
        <f t="shared" si="2055"/>
        <v>05/12/2020 14:49:07.773</v>
      </c>
      <c r="C4463" t="str">
        <f t="shared" si="2045"/>
        <v>FFDFD3C0</v>
      </c>
      <c r="D4463" t="s">
        <v>126</v>
      </c>
      <c r="E4463">
        <v>7</v>
      </c>
      <c r="F4463">
        <v>1007</v>
      </c>
      <c r="G4463" t="s">
        <v>127</v>
      </c>
      <c r="J4463" t="s">
        <v>128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 t="shared" si="2056"/>
        <v>14:49:25.602</v>
      </c>
      <c r="T4463" t="str">
        <f t="shared" si="2057"/>
        <v>14:49:25.402</v>
      </c>
      <c r="U4463" t="str">
        <f t="shared" si="2036"/>
        <v>A9808D</v>
      </c>
      <c r="V4463">
        <v>0</v>
      </c>
      <c r="W4463">
        <v>0</v>
      </c>
      <c r="X4463">
        <v>1</v>
      </c>
      <c r="Z4463">
        <v>0</v>
      </c>
      <c r="AA4463">
        <v>9</v>
      </c>
      <c r="AB4463">
        <v>3</v>
      </c>
      <c r="AC4463">
        <v>0</v>
      </c>
      <c r="AD4463">
        <v>10</v>
      </c>
      <c r="AE4463">
        <v>0</v>
      </c>
      <c r="AF4463">
        <v>3</v>
      </c>
      <c r="AG4463">
        <v>2</v>
      </c>
      <c r="AH4463">
        <v>0</v>
      </c>
      <c r="AI4463" t="s">
        <v>1006</v>
      </c>
      <c r="AJ4463">
        <v>28.247630999999998</v>
      </c>
      <c r="AK4463" t="s">
        <v>1007</v>
      </c>
      <c r="AL4463">
        <v>-82.326521999999997</v>
      </c>
      <c r="AM4463">
        <v>100</v>
      </c>
      <c r="AN4463">
        <v>2200</v>
      </c>
      <c r="AO4463" t="s">
        <v>118</v>
      </c>
      <c r="AP4463">
        <v>-138</v>
      </c>
      <c r="AQ4463">
        <v>-54</v>
      </c>
      <c r="AR4463">
        <v>128</v>
      </c>
      <c r="AZ4463">
        <v>1200</v>
      </c>
      <c r="BA4463">
        <v>1</v>
      </c>
      <c r="BB4463" t="str">
        <f t="shared" si="2046"/>
        <v xml:space="preserve">N711JA  </v>
      </c>
      <c r="BC4463">
        <v>1</v>
      </c>
      <c r="BE4463">
        <v>0</v>
      </c>
      <c r="BF4463">
        <v>0</v>
      </c>
      <c r="BG4463">
        <v>0</v>
      </c>
      <c r="BH4463">
        <v>2200</v>
      </c>
      <c r="BI4463">
        <v>1</v>
      </c>
      <c r="BJ4463">
        <v>1</v>
      </c>
      <c r="BK4463">
        <v>0</v>
      </c>
      <c r="BL4463">
        <v>0</v>
      </c>
      <c r="BO4463">
        <v>0</v>
      </c>
      <c r="BP4463">
        <v>0</v>
      </c>
      <c r="BW4463" t="str">
        <f t="shared" si="2058"/>
        <v>14:49:25.608</v>
      </c>
      <c r="CJ4463">
        <v>0</v>
      </c>
      <c r="CK4463">
        <v>2</v>
      </c>
      <c r="CL4463">
        <v>0</v>
      </c>
      <c r="CM4463">
        <v>2</v>
      </c>
      <c r="CN4463">
        <v>0</v>
      </c>
      <c r="CO4463">
        <v>7</v>
      </c>
      <c r="CP4463" t="s">
        <v>119</v>
      </c>
      <c r="CQ4463">
        <v>8</v>
      </c>
      <c r="CR4463">
        <v>3</v>
      </c>
      <c r="CW4463">
        <v>9159118</v>
      </c>
      <c r="CY4463">
        <v>1</v>
      </c>
      <c r="CZ4463">
        <v>0</v>
      </c>
      <c r="DA4463">
        <v>1</v>
      </c>
      <c r="DB4463">
        <v>0</v>
      </c>
      <c r="DC4463">
        <v>0</v>
      </c>
      <c r="DD4463">
        <v>1</v>
      </c>
      <c r="DE4463">
        <v>0</v>
      </c>
      <c r="DF4463">
        <v>0</v>
      </c>
      <c r="DG4463">
        <v>0</v>
      </c>
      <c r="DH4463">
        <v>0</v>
      </c>
      <c r="DI4463">
        <v>0</v>
      </c>
    </row>
    <row r="4464" spans="1:113" x14ac:dyDescent="0.3">
      <c r="A4464" t="str">
        <f t="shared" si="2055"/>
        <v>05/12/2020 14:49:07.773</v>
      </c>
      <c r="C4464" t="str">
        <f t="shared" si="2045"/>
        <v>FFDFD3C0</v>
      </c>
      <c r="D4464" t="s">
        <v>131</v>
      </c>
      <c r="E4464">
        <v>12</v>
      </c>
      <c r="F4464">
        <v>2012</v>
      </c>
      <c r="G4464" t="s">
        <v>137</v>
      </c>
      <c r="J4464" t="s">
        <v>133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 t="shared" si="2056"/>
        <v>14:49:25.602</v>
      </c>
      <c r="T4464" t="str">
        <f t="shared" si="2057"/>
        <v>14:49:25.402</v>
      </c>
      <c r="U4464" t="str">
        <f t="shared" si="2036"/>
        <v>A9808D</v>
      </c>
      <c r="V4464">
        <v>0</v>
      </c>
      <c r="W4464">
        <v>0</v>
      </c>
      <c r="X4464">
        <v>1</v>
      </c>
      <c r="Z4464">
        <v>0</v>
      </c>
      <c r="AA4464">
        <v>9</v>
      </c>
      <c r="AB4464">
        <v>3</v>
      </c>
      <c r="AC4464">
        <v>0</v>
      </c>
      <c r="AD4464">
        <v>10</v>
      </c>
      <c r="AE4464">
        <v>0</v>
      </c>
      <c r="AF4464">
        <v>3</v>
      </c>
      <c r="AG4464">
        <v>2</v>
      </c>
      <c r="AH4464">
        <v>0</v>
      </c>
      <c r="AI4464" t="s">
        <v>1006</v>
      </c>
      <c r="AJ4464">
        <v>28.247630999999998</v>
      </c>
      <c r="AK4464" t="s">
        <v>1007</v>
      </c>
      <c r="AL4464">
        <v>-82.326521999999997</v>
      </c>
      <c r="AM4464">
        <v>100</v>
      </c>
      <c r="AN4464">
        <v>2200</v>
      </c>
      <c r="AO4464" t="s">
        <v>118</v>
      </c>
      <c r="AP4464">
        <v>-138</v>
      </c>
      <c r="AQ4464">
        <v>-54</v>
      </c>
      <c r="AR4464">
        <v>128</v>
      </c>
      <c r="AZ4464">
        <v>1200</v>
      </c>
      <c r="BA4464">
        <v>1</v>
      </c>
      <c r="BB4464" t="str">
        <f t="shared" si="2046"/>
        <v xml:space="preserve">N711JA  </v>
      </c>
      <c r="BC4464">
        <v>1</v>
      </c>
      <c r="BE4464">
        <v>0</v>
      </c>
      <c r="BF4464">
        <v>0</v>
      </c>
      <c r="BG4464">
        <v>0</v>
      </c>
      <c r="BH4464">
        <v>2200</v>
      </c>
      <c r="BI4464">
        <v>1</v>
      </c>
      <c r="BJ4464">
        <v>1</v>
      </c>
      <c r="BK4464">
        <v>0</v>
      </c>
      <c r="BL4464">
        <v>0</v>
      </c>
      <c r="BO4464">
        <v>0</v>
      </c>
      <c r="BP4464">
        <v>0</v>
      </c>
      <c r="BW4464" t="str">
        <f t="shared" si="2058"/>
        <v>14:49:25.608</v>
      </c>
      <c r="CJ4464">
        <v>0</v>
      </c>
      <c r="CK4464">
        <v>2</v>
      </c>
      <c r="CL4464">
        <v>0</v>
      </c>
      <c r="CM4464">
        <v>2</v>
      </c>
      <c r="CN4464">
        <v>0</v>
      </c>
      <c r="CO4464">
        <v>7</v>
      </c>
      <c r="CP4464" t="s">
        <v>119</v>
      </c>
      <c r="CQ4464">
        <v>8</v>
      </c>
      <c r="CR4464">
        <v>3</v>
      </c>
      <c r="CW4464">
        <v>9159118</v>
      </c>
      <c r="CY4464">
        <v>1</v>
      </c>
      <c r="CZ4464">
        <v>0</v>
      </c>
      <c r="DA4464">
        <v>1</v>
      </c>
      <c r="DB4464">
        <v>0</v>
      </c>
      <c r="DC4464">
        <v>0</v>
      </c>
      <c r="DD4464">
        <v>1</v>
      </c>
      <c r="DE4464">
        <v>0</v>
      </c>
      <c r="DF4464">
        <v>0</v>
      </c>
      <c r="DG4464">
        <v>0</v>
      </c>
      <c r="DH4464">
        <v>0</v>
      </c>
      <c r="DI4464">
        <v>0</v>
      </c>
    </row>
    <row r="4465" spans="1:113" x14ac:dyDescent="0.3">
      <c r="A4465" t="str">
        <f t="shared" si="2055"/>
        <v>05/12/2020 14:49:07.773</v>
      </c>
      <c r="C4465" t="str">
        <f t="shared" si="2045"/>
        <v>FFDFD3C0</v>
      </c>
      <c r="D4465" t="s">
        <v>131</v>
      </c>
      <c r="E4465">
        <v>18</v>
      </c>
      <c r="F4465">
        <v>2018</v>
      </c>
      <c r="G4465" t="s">
        <v>161</v>
      </c>
      <c r="J4465" t="s">
        <v>133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 t="shared" si="2056"/>
        <v>14:49:25.602</v>
      </c>
      <c r="T4465" t="str">
        <f t="shared" si="2057"/>
        <v>14:49:25.402</v>
      </c>
      <c r="U4465" t="str">
        <f t="shared" si="2036"/>
        <v>A9808D</v>
      </c>
      <c r="V4465">
        <v>0</v>
      </c>
      <c r="W4465">
        <v>0</v>
      </c>
      <c r="X4465">
        <v>1</v>
      </c>
      <c r="Z4465">
        <v>0</v>
      </c>
      <c r="AA4465">
        <v>9</v>
      </c>
      <c r="AB4465">
        <v>3</v>
      </c>
      <c r="AC4465">
        <v>0</v>
      </c>
      <c r="AD4465">
        <v>10</v>
      </c>
      <c r="AE4465">
        <v>0</v>
      </c>
      <c r="AF4465">
        <v>3</v>
      </c>
      <c r="AG4465">
        <v>2</v>
      </c>
      <c r="AH4465">
        <v>0</v>
      </c>
      <c r="AI4465" t="s">
        <v>1006</v>
      </c>
      <c r="AJ4465">
        <v>28.247630999999998</v>
      </c>
      <c r="AK4465" t="s">
        <v>1007</v>
      </c>
      <c r="AL4465">
        <v>-82.326521999999997</v>
      </c>
      <c r="AM4465">
        <v>100</v>
      </c>
      <c r="AN4465">
        <v>2200</v>
      </c>
      <c r="AO4465" t="s">
        <v>118</v>
      </c>
      <c r="AP4465">
        <v>-138</v>
      </c>
      <c r="AQ4465">
        <v>-54</v>
      </c>
      <c r="AR4465">
        <v>128</v>
      </c>
      <c r="AZ4465">
        <v>1200</v>
      </c>
      <c r="BA4465">
        <v>1</v>
      </c>
      <c r="BB4465" t="str">
        <f t="shared" si="2046"/>
        <v xml:space="preserve">N711JA  </v>
      </c>
      <c r="BC4465">
        <v>1</v>
      </c>
      <c r="BE4465">
        <v>0</v>
      </c>
      <c r="BF4465">
        <v>0</v>
      </c>
      <c r="BG4465">
        <v>0</v>
      </c>
      <c r="BH4465">
        <v>2200</v>
      </c>
      <c r="BI4465">
        <v>1</v>
      </c>
      <c r="BJ4465">
        <v>1</v>
      </c>
      <c r="BK4465">
        <v>0</v>
      </c>
      <c r="BL4465">
        <v>0</v>
      </c>
      <c r="BO4465">
        <v>0</v>
      </c>
      <c r="BP4465">
        <v>0</v>
      </c>
      <c r="BW4465" t="str">
        <f t="shared" si="2058"/>
        <v>14:49:25.608</v>
      </c>
      <c r="CJ4465">
        <v>0</v>
      </c>
      <c r="CK4465">
        <v>2</v>
      </c>
      <c r="CL4465">
        <v>0</v>
      </c>
      <c r="CM4465">
        <v>2</v>
      </c>
      <c r="CN4465">
        <v>0</v>
      </c>
      <c r="CO4465">
        <v>3</v>
      </c>
      <c r="CP4465" t="s">
        <v>119</v>
      </c>
      <c r="CQ4465">
        <v>62</v>
      </c>
      <c r="CR4465">
        <v>1</v>
      </c>
      <c r="CW4465">
        <v>13053120</v>
      </c>
      <c r="CY4465">
        <v>1</v>
      </c>
      <c r="CZ4465">
        <v>0</v>
      </c>
      <c r="DA4465">
        <v>1</v>
      </c>
      <c r="DB4465">
        <v>0</v>
      </c>
      <c r="DC4465">
        <v>0</v>
      </c>
      <c r="DD4465">
        <v>1</v>
      </c>
      <c r="DE4465">
        <v>0</v>
      </c>
      <c r="DF4465">
        <v>0</v>
      </c>
      <c r="DG4465">
        <v>0</v>
      </c>
      <c r="DH4465">
        <v>0</v>
      </c>
      <c r="DI4465">
        <v>0</v>
      </c>
    </row>
    <row r="4466" spans="1:113" x14ac:dyDescent="0.3">
      <c r="A4466" t="str">
        <f t="shared" si="2055"/>
        <v>05/12/2020 14:49:07.773</v>
      </c>
      <c r="C4466" t="str">
        <f t="shared" si="2045"/>
        <v>FFDFD3C0</v>
      </c>
      <c r="D4466" t="s">
        <v>126</v>
      </c>
      <c r="E4466">
        <v>6</v>
      </c>
      <c r="F4466">
        <v>1006</v>
      </c>
      <c r="G4466" t="s">
        <v>114</v>
      </c>
      <c r="J4466" t="s">
        <v>128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 t="shared" si="2056"/>
        <v>14:49:25.602</v>
      </c>
      <c r="T4466" t="str">
        <f t="shared" si="2057"/>
        <v>14:49:25.402</v>
      </c>
      <c r="U4466" t="str">
        <f t="shared" si="2036"/>
        <v>A9808D</v>
      </c>
      <c r="V4466">
        <v>0</v>
      </c>
      <c r="W4466">
        <v>0</v>
      </c>
      <c r="X4466">
        <v>1</v>
      </c>
      <c r="Z4466">
        <v>0</v>
      </c>
      <c r="AA4466">
        <v>9</v>
      </c>
      <c r="AB4466">
        <v>3</v>
      </c>
      <c r="AC4466">
        <v>0</v>
      </c>
      <c r="AD4466">
        <v>10</v>
      </c>
      <c r="AE4466">
        <v>0</v>
      </c>
      <c r="AF4466">
        <v>3</v>
      </c>
      <c r="AG4466">
        <v>2</v>
      </c>
      <c r="AH4466">
        <v>0</v>
      </c>
      <c r="AI4466" t="s">
        <v>1006</v>
      </c>
      <c r="AJ4466">
        <v>28.247630999999998</v>
      </c>
      <c r="AK4466" t="s">
        <v>1007</v>
      </c>
      <c r="AL4466">
        <v>-82.326521999999997</v>
      </c>
      <c r="AM4466">
        <v>100</v>
      </c>
      <c r="AN4466">
        <v>2200</v>
      </c>
      <c r="AO4466" t="s">
        <v>118</v>
      </c>
      <c r="AP4466">
        <v>-138</v>
      </c>
      <c r="AQ4466">
        <v>-54</v>
      </c>
      <c r="AR4466">
        <v>128</v>
      </c>
      <c r="AZ4466">
        <v>1200</v>
      </c>
      <c r="BA4466">
        <v>1</v>
      </c>
      <c r="BB4466" t="str">
        <f t="shared" si="2046"/>
        <v xml:space="preserve">N711JA  </v>
      </c>
      <c r="BC4466">
        <v>1</v>
      </c>
      <c r="BE4466">
        <v>0</v>
      </c>
      <c r="BF4466">
        <v>0</v>
      </c>
      <c r="BG4466">
        <v>0</v>
      </c>
      <c r="BH4466">
        <v>2200</v>
      </c>
      <c r="BI4466">
        <v>1</v>
      </c>
      <c r="BJ4466">
        <v>1</v>
      </c>
      <c r="BK4466">
        <v>0</v>
      </c>
      <c r="BL4466">
        <v>0</v>
      </c>
      <c r="BO4466">
        <v>0</v>
      </c>
      <c r="BP4466">
        <v>0</v>
      </c>
      <c r="BW4466" t="str">
        <f t="shared" si="2058"/>
        <v>14:49:25.608</v>
      </c>
      <c r="CJ4466">
        <v>0</v>
      </c>
      <c r="CK4466">
        <v>2</v>
      </c>
      <c r="CL4466">
        <v>0</v>
      </c>
      <c r="CM4466">
        <v>2</v>
      </c>
      <c r="CN4466">
        <v>0</v>
      </c>
      <c r="CO4466">
        <v>7</v>
      </c>
      <c r="CP4466" t="s">
        <v>119</v>
      </c>
      <c r="CQ4466">
        <v>8</v>
      </c>
      <c r="CR4466">
        <v>3</v>
      </c>
      <c r="CW4466">
        <v>9159118</v>
      </c>
      <c r="CY4466">
        <v>1</v>
      </c>
      <c r="CZ4466">
        <v>0</v>
      </c>
      <c r="DA4466">
        <v>1</v>
      </c>
      <c r="DB4466">
        <v>0</v>
      </c>
      <c r="DC4466">
        <v>0</v>
      </c>
      <c r="DD4466">
        <v>1</v>
      </c>
      <c r="DE4466">
        <v>0</v>
      </c>
      <c r="DF4466">
        <v>0</v>
      </c>
      <c r="DG4466">
        <v>0</v>
      </c>
      <c r="DH4466">
        <v>0</v>
      </c>
      <c r="DI4466">
        <v>0</v>
      </c>
    </row>
    <row r="4467" spans="1:113" x14ac:dyDescent="0.3">
      <c r="A4467" t="str">
        <f t="shared" si="2055"/>
        <v>05/12/2020 14:49:07.773</v>
      </c>
      <c r="C4467" t="str">
        <f t="shared" si="2045"/>
        <v>FFDFD3C0</v>
      </c>
      <c r="D4467" t="s">
        <v>134</v>
      </c>
      <c r="E4467">
        <v>12</v>
      </c>
      <c r="H4467">
        <v>64</v>
      </c>
      <c r="I4467" t="s">
        <v>135</v>
      </c>
      <c r="J4467" t="s">
        <v>136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 t="shared" si="2056"/>
        <v>14:49:25.602</v>
      </c>
      <c r="T4467" t="str">
        <f t="shared" si="2057"/>
        <v>14:49:25.402</v>
      </c>
      <c r="U4467" t="str">
        <f t="shared" si="2036"/>
        <v>A9808D</v>
      </c>
      <c r="V4467">
        <v>0</v>
      </c>
      <c r="W4467">
        <v>0</v>
      </c>
      <c r="X4467">
        <v>1</v>
      </c>
      <c r="Z4467">
        <v>0</v>
      </c>
      <c r="AA4467">
        <v>9</v>
      </c>
      <c r="AB4467">
        <v>3</v>
      </c>
      <c r="AC4467">
        <v>0</v>
      </c>
      <c r="AD4467">
        <v>10</v>
      </c>
      <c r="AE4467">
        <v>0</v>
      </c>
      <c r="AF4467">
        <v>3</v>
      </c>
      <c r="AG4467">
        <v>2</v>
      </c>
      <c r="AH4467">
        <v>0</v>
      </c>
      <c r="AI4467" t="s">
        <v>1006</v>
      </c>
      <c r="AJ4467">
        <v>28.247630999999998</v>
      </c>
      <c r="AK4467" t="s">
        <v>1007</v>
      </c>
      <c r="AL4467">
        <v>-82.326521999999997</v>
      </c>
      <c r="AM4467">
        <v>100</v>
      </c>
      <c r="AN4467">
        <v>2200</v>
      </c>
      <c r="AO4467" t="s">
        <v>118</v>
      </c>
      <c r="AP4467">
        <v>-138</v>
      </c>
      <c r="AQ4467">
        <v>-54</v>
      </c>
      <c r="AR4467">
        <v>128</v>
      </c>
      <c r="AZ4467">
        <v>1200</v>
      </c>
      <c r="BA4467">
        <v>1</v>
      </c>
      <c r="BB4467" t="str">
        <f t="shared" si="2046"/>
        <v xml:space="preserve">N711JA  </v>
      </c>
      <c r="BC4467">
        <v>1</v>
      </c>
      <c r="BE4467">
        <v>0</v>
      </c>
      <c r="BF4467">
        <v>0</v>
      </c>
      <c r="BG4467">
        <v>0</v>
      </c>
      <c r="BH4467">
        <v>2200</v>
      </c>
      <c r="BI4467">
        <v>1</v>
      </c>
      <c r="BJ4467">
        <v>1</v>
      </c>
      <c r="BK4467">
        <v>0</v>
      </c>
      <c r="BL4467">
        <v>0</v>
      </c>
      <c r="BO4467">
        <v>0</v>
      </c>
      <c r="BP4467">
        <v>0</v>
      </c>
      <c r="BW4467" t="str">
        <f t="shared" si="2058"/>
        <v>14:49:25.608</v>
      </c>
      <c r="CJ4467">
        <v>0</v>
      </c>
      <c r="CK4467">
        <v>2</v>
      </c>
      <c r="CL4467">
        <v>0</v>
      </c>
      <c r="CM4467">
        <v>2</v>
      </c>
      <c r="CN4467">
        <v>0</v>
      </c>
      <c r="CO4467">
        <v>7</v>
      </c>
      <c r="CP4467" t="s">
        <v>119</v>
      </c>
      <c r="CQ4467">
        <v>8</v>
      </c>
      <c r="CR4467">
        <v>3</v>
      </c>
      <c r="CW4467">
        <v>9159118</v>
      </c>
      <c r="CY4467">
        <v>1</v>
      </c>
      <c r="CZ4467">
        <v>0</v>
      </c>
      <c r="DA4467">
        <v>1</v>
      </c>
      <c r="DB4467">
        <v>0</v>
      </c>
      <c r="DC4467">
        <v>0</v>
      </c>
      <c r="DD4467">
        <v>1</v>
      </c>
      <c r="DE4467">
        <v>0</v>
      </c>
      <c r="DF4467">
        <v>0</v>
      </c>
      <c r="DG4467">
        <v>0</v>
      </c>
      <c r="DH4467">
        <v>0</v>
      </c>
      <c r="DI4467">
        <v>0</v>
      </c>
    </row>
    <row r="4468" spans="1:113" x14ac:dyDescent="0.3">
      <c r="A4468" t="str">
        <f t="shared" si="2055"/>
        <v>05/12/2020 14:49:07.773</v>
      </c>
      <c r="C4468" t="str">
        <f t="shared" si="2045"/>
        <v>FFDFD3C0</v>
      </c>
      <c r="D4468" t="s">
        <v>113</v>
      </c>
      <c r="E4468">
        <v>3</v>
      </c>
      <c r="H4468">
        <v>164</v>
      </c>
      <c r="I4468" t="s">
        <v>114</v>
      </c>
      <c r="J4468" t="s">
        <v>115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 t="shared" si="2056"/>
        <v>14:49:25.602</v>
      </c>
      <c r="T4468" t="str">
        <f t="shared" si="2057"/>
        <v>14:49:25.402</v>
      </c>
      <c r="U4468" t="str">
        <f t="shared" si="2036"/>
        <v>A9808D</v>
      </c>
      <c r="V4468">
        <v>0</v>
      </c>
      <c r="W4468">
        <v>0</v>
      </c>
      <c r="X4468">
        <v>1</v>
      </c>
      <c r="Z4468">
        <v>0</v>
      </c>
      <c r="AA4468">
        <v>9</v>
      </c>
      <c r="AB4468">
        <v>3</v>
      </c>
      <c r="AC4468">
        <v>0</v>
      </c>
      <c r="AD4468">
        <v>10</v>
      </c>
      <c r="AE4468">
        <v>0</v>
      </c>
      <c r="AF4468">
        <v>3</v>
      </c>
      <c r="AG4468">
        <v>2</v>
      </c>
      <c r="AH4468">
        <v>0</v>
      </c>
      <c r="AI4468" t="s">
        <v>1006</v>
      </c>
      <c r="AJ4468">
        <v>28.247630999999998</v>
      </c>
      <c r="AK4468" t="s">
        <v>1007</v>
      </c>
      <c r="AL4468">
        <v>-82.326521999999997</v>
      </c>
      <c r="AM4468">
        <v>100</v>
      </c>
      <c r="AN4468">
        <v>2200</v>
      </c>
      <c r="AO4468" t="s">
        <v>118</v>
      </c>
      <c r="AP4468">
        <v>-138</v>
      </c>
      <c r="AQ4468">
        <v>-54</v>
      </c>
      <c r="AR4468">
        <v>128</v>
      </c>
      <c r="AZ4468">
        <v>1200</v>
      </c>
      <c r="BA4468">
        <v>1</v>
      </c>
      <c r="BB4468" t="str">
        <f t="shared" si="2046"/>
        <v xml:space="preserve">N711JA  </v>
      </c>
      <c r="BC4468">
        <v>1</v>
      </c>
      <c r="BE4468">
        <v>0</v>
      </c>
      <c r="BF4468">
        <v>0</v>
      </c>
      <c r="BG4468">
        <v>0</v>
      </c>
      <c r="BH4468">
        <v>2200</v>
      </c>
      <c r="BI4468">
        <v>1</v>
      </c>
      <c r="BJ4468">
        <v>1</v>
      </c>
      <c r="BK4468">
        <v>0</v>
      </c>
      <c r="BL4468">
        <v>0</v>
      </c>
      <c r="BO4468">
        <v>0</v>
      </c>
      <c r="BP4468">
        <v>0</v>
      </c>
      <c r="BW4468" t="str">
        <f t="shared" si="2058"/>
        <v>14:49:25.608</v>
      </c>
      <c r="CJ4468">
        <v>0</v>
      </c>
      <c r="CK4468">
        <v>2</v>
      </c>
      <c r="CL4468">
        <v>0</v>
      </c>
      <c r="CM4468">
        <v>2</v>
      </c>
      <c r="CN4468">
        <v>0</v>
      </c>
      <c r="CO4468">
        <v>7</v>
      </c>
      <c r="CP4468" t="s">
        <v>119</v>
      </c>
      <c r="CQ4468">
        <v>8</v>
      </c>
      <c r="CR4468">
        <v>3</v>
      </c>
      <c r="CW4468">
        <v>9159118</v>
      </c>
      <c r="CY4468">
        <v>1</v>
      </c>
      <c r="CZ4468">
        <v>0</v>
      </c>
      <c r="DA4468">
        <v>1</v>
      </c>
      <c r="DB4468">
        <v>0</v>
      </c>
      <c r="DC4468">
        <v>0</v>
      </c>
      <c r="DD4468">
        <v>1</v>
      </c>
      <c r="DE4468">
        <v>0</v>
      </c>
      <c r="DF4468">
        <v>0</v>
      </c>
      <c r="DG4468">
        <v>0</v>
      </c>
      <c r="DH4468">
        <v>0</v>
      </c>
      <c r="DI4468">
        <v>0</v>
      </c>
    </row>
    <row r="4469" spans="1:113" x14ac:dyDescent="0.3">
      <c r="A4469" t="str">
        <f t="shared" si="2055"/>
        <v>05/12/2020 14:49:07.773</v>
      </c>
      <c r="C4469" t="str">
        <f t="shared" si="2045"/>
        <v>FFDFD3C0</v>
      </c>
      <c r="D4469" t="s">
        <v>138</v>
      </c>
      <c r="E4469">
        <v>2</v>
      </c>
      <c r="H4469">
        <v>8</v>
      </c>
      <c r="I4469" t="s">
        <v>139</v>
      </c>
      <c r="J4469" t="s">
        <v>136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 t="shared" si="2056"/>
        <v>14:49:25.602</v>
      </c>
      <c r="T4469" t="str">
        <f t="shared" si="2057"/>
        <v>14:49:25.402</v>
      </c>
      <c r="U4469" t="str">
        <f t="shared" si="2036"/>
        <v>A9808D</v>
      </c>
      <c r="V4469">
        <v>0</v>
      </c>
      <c r="W4469">
        <v>0</v>
      </c>
      <c r="X4469">
        <v>1</v>
      </c>
      <c r="Z4469">
        <v>0</v>
      </c>
      <c r="AA4469">
        <v>9</v>
      </c>
      <c r="AB4469">
        <v>3</v>
      </c>
      <c r="AC4469">
        <v>0</v>
      </c>
      <c r="AD4469">
        <v>10</v>
      </c>
      <c r="AE4469">
        <v>0</v>
      </c>
      <c r="AF4469">
        <v>3</v>
      </c>
      <c r="AG4469">
        <v>2</v>
      </c>
      <c r="AH4469">
        <v>0</v>
      </c>
      <c r="AI4469" t="s">
        <v>1006</v>
      </c>
      <c r="AJ4469">
        <v>28.247630999999998</v>
      </c>
      <c r="AK4469" t="s">
        <v>1007</v>
      </c>
      <c r="AL4469">
        <v>-82.326521999999997</v>
      </c>
      <c r="AM4469">
        <v>100</v>
      </c>
      <c r="AN4469">
        <v>2200</v>
      </c>
      <c r="AO4469" t="s">
        <v>118</v>
      </c>
      <c r="AP4469">
        <v>-138</v>
      </c>
      <c r="AQ4469">
        <v>-54</v>
      </c>
      <c r="AR4469">
        <v>128</v>
      </c>
      <c r="AZ4469">
        <v>1200</v>
      </c>
      <c r="BA4469">
        <v>1</v>
      </c>
      <c r="BB4469" t="str">
        <f t="shared" si="2046"/>
        <v xml:space="preserve">N711JA  </v>
      </c>
      <c r="BC4469">
        <v>1</v>
      </c>
      <c r="BE4469">
        <v>0</v>
      </c>
      <c r="BF4469">
        <v>0</v>
      </c>
      <c r="BG4469">
        <v>0</v>
      </c>
      <c r="BH4469">
        <v>2200</v>
      </c>
      <c r="BI4469">
        <v>1</v>
      </c>
      <c r="BJ4469">
        <v>1</v>
      </c>
      <c r="BK4469">
        <v>0</v>
      </c>
      <c r="BL4469">
        <v>0</v>
      </c>
      <c r="BO4469">
        <v>0</v>
      </c>
      <c r="BP4469">
        <v>0</v>
      </c>
      <c r="BW4469" t="str">
        <f t="shared" si="2058"/>
        <v>14:49:25.608</v>
      </c>
      <c r="CJ4469">
        <v>0</v>
      </c>
      <c r="CK4469">
        <v>2</v>
      </c>
      <c r="CL4469">
        <v>0</v>
      </c>
      <c r="CM4469">
        <v>2</v>
      </c>
      <c r="CN4469">
        <v>0</v>
      </c>
      <c r="CO4469">
        <v>7</v>
      </c>
      <c r="CP4469" t="s">
        <v>119</v>
      </c>
      <c r="CQ4469">
        <v>8</v>
      </c>
      <c r="CR4469">
        <v>3</v>
      </c>
      <c r="CW4469">
        <v>9159118</v>
      </c>
      <c r="CY4469">
        <v>1</v>
      </c>
      <c r="CZ4469">
        <v>0</v>
      </c>
      <c r="DA4469">
        <v>1</v>
      </c>
      <c r="DB4469">
        <v>0</v>
      </c>
      <c r="DC4469">
        <v>0</v>
      </c>
      <c r="DD4469">
        <v>1</v>
      </c>
      <c r="DE4469">
        <v>0</v>
      </c>
      <c r="DF4469">
        <v>0</v>
      </c>
      <c r="DG4469">
        <v>0</v>
      </c>
      <c r="DH4469">
        <v>0</v>
      </c>
      <c r="DI4469">
        <v>0</v>
      </c>
    </row>
    <row r="4470" spans="1:113" x14ac:dyDescent="0.3">
      <c r="A4470" t="str">
        <f t="shared" si="2055"/>
        <v>05/12/2020 14:49:07.773</v>
      </c>
      <c r="C4470" t="str">
        <f t="shared" si="2045"/>
        <v>FFDFD3C0</v>
      </c>
      <c r="D4470" t="s">
        <v>138</v>
      </c>
      <c r="E4470">
        <v>3</v>
      </c>
      <c r="H4470">
        <v>9</v>
      </c>
      <c r="I4470" t="s">
        <v>140</v>
      </c>
      <c r="J4470" t="s">
        <v>136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 t="shared" si="2056"/>
        <v>14:49:25.602</v>
      </c>
      <c r="T4470" t="str">
        <f t="shared" si="2057"/>
        <v>14:49:25.402</v>
      </c>
      <c r="U4470" t="str">
        <f t="shared" si="2036"/>
        <v>A9808D</v>
      </c>
      <c r="V4470">
        <v>0</v>
      </c>
      <c r="W4470">
        <v>0</v>
      </c>
      <c r="X4470">
        <v>1</v>
      </c>
      <c r="Z4470">
        <v>0</v>
      </c>
      <c r="AA4470">
        <v>9</v>
      </c>
      <c r="AB4470">
        <v>3</v>
      </c>
      <c r="AC4470">
        <v>0</v>
      </c>
      <c r="AD4470">
        <v>10</v>
      </c>
      <c r="AE4470">
        <v>0</v>
      </c>
      <c r="AF4470">
        <v>3</v>
      </c>
      <c r="AG4470">
        <v>2</v>
      </c>
      <c r="AH4470">
        <v>0</v>
      </c>
      <c r="AI4470" t="s">
        <v>1006</v>
      </c>
      <c r="AJ4470">
        <v>28.247630999999998</v>
      </c>
      <c r="AK4470" t="s">
        <v>1007</v>
      </c>
      <c r="AL4470">
        <v>-82.326521999999997</v>
      </c>
      <c r="AM4470">
        <v>100</v>
      </c>
      <c r="AN4470">
        <v>2200</v>
      </c>
      <c r="AO4470" t="s">
        <v>118</v>
      </c>
      <c r="AP4470">
        <v>-138</v>
      </c>
      <c r="AQ4470">
        <v>-54</v>
      </c>
      <c r="AR4470">
        <v>128</v>
      </c>
      <c r="AZ4470">
        <v>1200</v>
      </c>
      <c r="BA4470">
        <v>1</v>
      </c>
      <c r="BB4470" t="str">
        <f t="shared" si="2046"/>
        <v xml:space="preserve">N711JA  </v>
      </c>
      <c r="BC4470">
        <v>1</v>
      </c>
      <c r="BE4470">
        <v>0</v>
      </c>
      <c r="BF4470">
        <v>0</v>
      </c>
      <c r="BG4470">
        <v>0</v>
      </c>
      <c r="BH4470">
        <v>2200</v>
      </c>
      <c r="BI4470">
        <v>1</v>
      </c>
      <c r="BJ4470">
        <v>1</v>
      </c>
      <c r="BK4470">
        <v>0</v>
      </c>
      <c r="BL4470">
        <v>0</v>
      </c>
      <c r="BO4470">
        <v>0</v>
      </c>
      <c r="BP4470">
        <v>0</v>
      </c>
      <c r="BW4470" t="str">
        <f t="shared" si="2058"/>
        <v>14:49:25.608</v>
      </c>
      <c r="CJ4470">
        <v>0</v>
      </c>
      <c r="CK4470">
        <v>2</v>
      </c>
      <c r="CL4470">
        <v>0</v>
      </c>
      <c r="CM4470">
        <v>2</v>
      </c>
      <c r="CN4470">
        <v>0</v>
      </c>
      <c r="CO4470">
        <v>7</v>
      </c>
      <c r="CP4470" t="s">
        <v>119</v>
      </c>
      <c r="CQ4470">
        <v>8</v>
      </c>
      <c r="CR4470">
        <v>3</v>
      </c>
      <c r="CW4470">
        <v>9159118</v>
      </c>
      <c r="CY4470">
        <v>1</v>
      </c>
      <c r="CZ4470">
        <v>0</v>
      </c>
      <c r="DA4470">
        <v>1</v>
      </c>
      <c r="DB4470">
        <v>0</v>
      </c>
      <c r="DC4470">
        <v>0</v>
      </c>
      <c r="DD4470">
        <v>1</v>
      </c>
      <c r="DE4470">
        <v>0</v>
      </c>
      <c r="DF4470">
        <v>0</v>
      </c>
      <c r="DG4470">
        <v>0</v>
      </c>
      <c r="DH4470">
        <v>0</v>
      </c>
      <c r="DI4470">
        <v>0</v>
      </c>
    </row>
    <row r="4471" spans="1:113" x14ac:dyDescent="0.3">
      <c r="A4471" t="str">
        <f t="shared" ref="A4471:A4479" si="2059">"05/12/2020 14:49:08.656"</f>
        <v>05/12/2020 14:49:08.656</v>
      </c>
      <c r="C4471" t="str">
        <f t="shared" si="2045"/>
        <v>FFDFD3C0</v>
      </c>
      <c r="D4471" t="s">
        <v>113</v>
      </c>
      <c r="E4471">
        <v>3</v>
      </c>
      <c r="H4471">
        <v>164</v>
      </c>
      <c r="I4471" t="s">
        <v>114</v>
      </c>
      <c r="J4471" t="s">
        <v>115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 t="shared" ref="S4471:S4479" si="2060">"14:49:26.477"</f>
        <v>14:49:26.477</v>
      </c>
      <c r="T4471" t="str">
        <f t="shared" ref="T4471:T4476" si="2061">"14:49:26.377"</f>
        <v>14:49:26.377</v>
      </c>
      <c r="U4471" t="str">
        <f t="shared" si="2036"/>
        <v>A9808D</v>
      </c>
      <c r="V4471">
        <v>0</v>
      </c>
      <c r="W4471">
        <v>0</v>
      </c>
      <c r="X4471">
        <v>1</v>
      </c>
      <c r="Z4471">
        <v>0</v>
      </c>
      <c r="AA4471">
        <v>9</v>
      </c>
      <c r="AB4471">
        <v>3</v>
      </c>
      <c r="AC4471">
        <v>0</v>
      </c>
      <c r="AD4471">
        <v>10</v>
      </c>
      <c r="AE4471">
        <v>0</v>
      </c>
      <c r="AF4471">
        <v>3</v>
      </c>
      <c r="AG4471">
        <v>2</v>
      </c>
      <c r="AH4471">
        <v>0</v>
      </c>
      <c r="AI4471" t="s">
        <v>720</v>
      </c>
      <c r="AJ4471">
        <v>28.247395000000001</v>
      </c>
      <c r="AK4471" t="s">
        <v>615</v>
      </c>
      <c r="AL4471">
        <v>-82.327186999999995</v>
      </c>
      <c r="AM4471">
        <v>100</v>
      </c>
      <c r="AN4471">
        <v>2200</v>
      </c>
      <c r="AO4471" t="s">
        <v>118</v>
      </c>
      <c r="AP4471">
        <v>-138</v>
      </c>
      <c r="AQ4471">
        <v>-53</v>
      </c>
      <c r="AR4471">
        <v>128</v>
      </c>
      <c r="AZ4471">
        <v>1200</v>
      </c>
      <c r="BA4471">
        <v>1</v>
      </c>
      <c r="BB4471" t="str">
        <f t="shared" si="2046"/>
        <v xml:space="preserve">N711JA  </v>
      </c>
      <c r="BC4471">
        <v>1</v>
      </c>
      <c r="BE4471">
        <v>0</v>
      </c>
      <c r="BF4471">
        <v>0</v>
      </c>
      <c r="BG4471">
        <v>0</v>
      </c>
      <c r="BH4471">
        <v>2200</v>
      </c>
      <c r="BI4471">
        <v>1</v>
      </c>
      <c r="BJ4471">
        <v>1</v>
      </c>
      <c r="BK4471">
        <v>0</v>
      </c>
      <c r="BL4471">
        <v>0</v>
      </c>
      <c r="BO4471">
        <v>0</v>
      </c>
      <c r="BP4471">
        <v>0</v>
      </c>
      <c r="BW4471" t="str">
        <f t="shared" ref="BW4471:BW4479" si="2062">"14:49:26.478"</f>
        <v>14:49:26.478</v>
      </c>
      <c r="CJ4471">
        <v>0</v>
      </c>
      <c r="CK4471">
        <v>2</v>
      </c>
      <c r="CL4471">
        <v>0</v>
      </c>
      <c r="CM4471">
        <v>2</v>
      </c>
      <c r="CN4471">
        <v>0</v>
      </c>
      <c r="CO4471">
        <v>7</v>
      </c>
      <c r="CP4471" t="s">
        <v>119</v>
      </c>
      <c r="CQ4471">
        <v>8</v>
      </c>
      <c r="CR4471">
        <v>3</v>
      </c>
      <c r="CW4471">
        <v>9160047</v>
      </c>
      <c r="CY4471">
        <v>1</v>
      </c>
      <c r="CZ4471">
        <v>0</v>
      </c>
      <c r="DA4471">
        <v>0</v>
      </c>
      <c r="DB4471">
        <v>0</v>
      </c>
      <c r="DC4471">
        <v>0</v>
      </c>
      <c r="DD4471">
        <v>1</v>
      </c>
      <c r="DE4471">
        <v>0</v>
      </c>
      <c r="DF4471">
        <v>0</v>
      </c>
      <c r="DG4471">
        <v>0</v>
      </c>
      <c r="DH4471">
        <v>0</v>
      </c>
      <c r="DI4471">
        <v>0</v>
      </c>
    </row>
    <row r="4472" spans="1:113" x14ac:dyDescent="0.3">
      <c r="A4472" t="str">
        <f t="shared" si="2059"/>
        <v>05/12/2020 14:49:08.656</v>
      </c>
      <c r="C4472" t="str">
        <f t="shared" si="2045"/>
        <v>FFDFD3C0</v>
      </c>
      <c r="D4472" t="s">
        <v>138</v>
      </c>
      <c r="E4472">
        <v>2</v>
      </c>
      <c r="H4472">
        <v>8</v>
      </c>
      <c r="I4472" t="s">
        <v>139</v>
      </c>
      <c r="J4472" t="s">
        <v>136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 t="shared" si="2060"/>
        <v>14:49:26.477</v>
      </c>
      <c r="T4472" t="str">
        <f t="shared" si="2061"/>
        <v>14:49:26.377</v>
      </c>
      <c r="U4472" t="str">
        <f t="shared" si="2036"/>
        <v>A9808D</v>
      </c>
      <c r="V4472">
        <v>0</v>
      </c>
      <c r="W4472">
        <v>0</v>
      </c>
      <c r="X4472">
        <v>1</v>
      </c>
      <c r="Z4472">
        <v>0</v>
      </c>
      <c r="AA4472">
        <v>9</v>
      </c>
      <c r="AB4472">
        <v>3</v>
      </c>
      <c r="AC4472">
        <v>0</v>
      </c>
      <c r="AD4472">
        <v>10</v>
      </c>
      <c r="AE4472">
        <v>0</v>
      </c>
      <c r="AF4472">
        <v>3</v>
      </c>
      <c r="AG4472">
        <v>2</v>
      </c>
      <c r="AH4472">
        <v>0</v>
      </c>
      <c r="AI4472" t="s">
        <v>720</v>
      </c>
      <c r="AJ4472">
        <v>28.247395000000001</v>
      </c>
      <c r="AK4472" t="s">
        <v>615</v>
      </c>
      <c r="AL4472">
        <v>-82.327186999999995</v>
      </c>
      <c r="AM4472">
        <v>100</v>
      </c>
      <c r="AN4472">
        <v>2200</v>
      </c>
      <c r="AO4472" t="s">
        <v>118</v>
      </c>
      <c r="AP4472">
        <v>-138</v>
      </c>
      <c r="AQ4472">
        <v>-53</v>
      </c>
      <c r="AR4472">
        <v>128</v>
      </c>
      <c r="AZ4472">
        <v>1200</v>
      </c>
      <c r="BA4472">
        <v>1</v>
      </c>
      <c r="BB4472" t="str">
        <f t="shared" si="2046"/>
        <v xml:space="preserve">N711JA  </v>
      </c>
      <c r="BC4472">
        <v>1</v>
      </c>
      <c r="BE4472">
        <v>0</v>
      </c>
      <c r="BF4472">
        <v>0</v>
      </c>
      <c r="BG4472">
        <v>0</v>
      </c>
      <c r="BH4472">
        <v>2200</v>
      </c>
      <c r="BI4472">
        <v>1</v>
      </c>
      <c r="BJ4472">
        <v>1</v>
      </c>
      <c r="BK4472">
        <v>0</v>
      </c>
      <c r="BL4472">
        <v>0</v>
      </c>
      <c r="BO4472">
        <v>0</v>
      </c>
      <c r="BP4472">
        <v>0</v>
      </c>
      <c r="BW4472" t="str">
        <f t="shared" si="2062"/>
        <v>14:49:26.478</v>
      </c>
      <c r="CJ4472">
        <v>0</v>
      </c>
      <c r="CK4472">
        <v>2</v>
      </c>
      <c r="CL4472">
        <v>0</v>
      </c>
      <c r="CM4472">
        <v>2</v>
      </c>
      <c r="CN4472">
        <v>0</v>
      </c>
      <c r="CO4472">
        <v>7</v>
      </c>
      <c r="CP4472" t="s">
        <v>119</v>
      </c>
      <c r="CQ4472">
        <v>8</v>
      </c>
      <c r="CR4472">
        <v>3</v>
      </c>
      <c r="CW4472">
        <v>9160047</v>
      </c>
      <c r="CY4472">
        <v>1</v>
      </c>
      <c r="CZ4472">
        <v>0</v>
      </c>
      <c r="DA4472">
        <v>1</v>
      </c>
      <c r="DB4472">
        <v>0</v>
      </c>
      <c r="DC4472">
        <v>0</v>
      </c>
      <c r="DD4472">
        <v>1</v>
      </c>
      <c r="DE4472">
        <v>0</v>
      </c>
      <c r="DF4472">
        <v>0</v>
      </c>
      <c r="DG4472">
        <v>0</v>
      </c>
      <c r="DH4472">
        <v>0</v>
      </c>
      <c r="DI4472">
        <v>0</v>
      </c>
    </row>
    <row r="4473" spans="1:113" x14ac:dyDescent="0.3">
      <c r="A4473" t="str">
        <f t="shared" si="2059"/>
        <v>05/12/2020 14:49:08.656</v>
      </c>
      <c r="C4473" t="str">
        <f t="shared" si="2045"/>
        <v>FFDFD3C0</v>
      </c>
      <c r="D4473" t="s">
        <v>138</v>
      </c>
      <c r="E4473">
        <v>3</v>
      </c>
      <c r="H4473">
        <v>9</v>
      </c>
      <c r="I4473" t="s">
        <v>140</v>
      </c>
      <c r="J4473" t="s">
        <v>136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 t="shared" si="2060"/>
        <v>14:49:26.477</v>
      </c>
      <c r="T4473" t="str">
        <f t="shared" si="2061"/>
        <v>14:49:26.377</v>
      </c>
      <c r="U4473" t="str">
        <f t="shared" si="2036"/>
        <v>A9808D</v>
      </c>
      <c r="V4473">
        <v>0</v>
      </c>
      <c r="W4473">
        <v>0</v>
      </c>
      <c r="X4473">
        <v>1</v>
      </c>
      <c r="Z4473">
        <v>0</v>
      </c>
      <c r="AA4473">
        <v>9</v>
      </c>
      <c r="AB4473">
        <v>3</v>
      </c>
      <c r="AC4473">
        <v>0</v>
      </c>
      <c r="AD4473">
        <v>10</v>
      </c>
      <c r="AE4473">
        <v>0</v>
      </c>
      <c r="AF4473">
        <v>3</v>
      </c>
      <c r="AG4473">
        <v>2</v>
      </c>
      <c r="AH4473">
        <v>0</v>
      </c>
      <c r="AI4473" t="s">
        <v>720</v>
      </c>
      <c r="AJ4473">
        <v>28.247395000000001</v>
      </c>
      <c r="AK4473" t="s">
        <v>615</v>
      </c>
      <c r="AL4473">
        <v>-82.327186999999995</v>
      </c>
      <c r="AM4473">
        <v>100</v>
      </c>
      <c r="AN4473">
        <v>2200</v>
      </c>
      <c r="AO4473" t="s">
        <v>118</v>
      </c>
      <c r="AP4473">
        <v>-138</v>
      </c>
      <c r="AQ4473">
        <v>-53</v>
      </c>
      <c r="AR4473">
        <v>128</v>
      </c>
      <c r="AZ4473">
        <v>1200</v>
      </c>
      <c r="BA4473">
        <v>1</v>
      </c>
      <c r="BB4473" t="str">
        <f t="shared" si="2046"/>
        <v xml:space="preserve">N711JA  </v>
      </c>
      <c r="BC4473">
        <v>1</v>
      </c>
      <c r="BE4473">
        <v>0</v>
      </c>
      <c r="BF4473">
        <v>0</v>
      </c>
      <c r="BG4473">
        <v>0</v>
      </c>
      <c r="BH4473">
        <v>2200</v>
      </c>
      <c r="BI4473">
        <v>1</v>
      </c>
      <c r="BJ4473">
        <v>1</v>
      </c>
      <c r="BK4473">
        <v>0</v>
      </c>
      <c r="BL4473">
        <v>0</v>
      </c>
      <c r="BO4473">
        <v>0</v>
      </c>
      <c r="BP4473">
        <v>0</v>
      </c>
      <c r="BW4473" t="str">
        <f t="shared" si="2062"/>
        <v>14:49:26.478</v>
      </c>
      <c r="CJ4473">
        <v>0</v>
      </c>
      <c r="CK4473">
        <v>2</v>
      </c>
      <c r="CL4473">
        <v>0</v>
      </c>
      <c r="CM4473">
        <v>2</v>
      </c>
      <c r="CN4473">
        <v>0</v>
      </c>
      <c r="CO4473">
        <v>7</v>
      </c>
      <c r="CP4473" t="s">
        <v>119</v>
      </c>
      <c r="CQ4473">
        <v>8</v>
      </c>
      <c r="CR4473">
        <v>3</v>
      </c>
      <c r="CW4473">
        <v>9160047</v>
      </c>
      <c r="CY4473">
        <v>1</v>
      </c>
      <c r="CZ4473">
        <v>0</v>
      </c>
      <c r="DA4473">
        <v>1</v>
      </c>
      <c r="DB4473">
        <v>0</v>
      </c>
      <c r="DC4473">
        <v>0</v>
      </c>
      <c r="DD4473">
        <v>1</v>
      </c>
      <c r="DE4473">
        <v>0</v>
      </c>
      <c r="DF4473">
        <v>0</v>
      </c>
      <c r="DG4473">
        <v>0</v>
      </c>
      <c r="DH4473">
        <v>0</v>
      </c>
      <c r="DI4473">
        <v>0</v>
      </c>
    </row>
    <row r="4474" spans="1:113" x14ac:dyDescent="0.3">
      <c r="A4474" t="str">
        <f t="shared" si="2059"/>
        <v>05/12/2020 14:49:08.656</v>
      </c>
      <c r="C4474" t="str">
        <f t="shared" si="2045"/>
        <v>FFDFD3C0</v>
      </c>
      <c r="D4474" t="s">
        <v>131</v>
      </c>
      <c r="E4474">
        <v>10</v>
      </c>
      <c r="F4474">
        <v>2010</v>
      </c>
      <c r="G4474" t="s">
        <v>132</v>
      </c>
      <c r="J4474" t="s">
        <v>133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 t="shared" si="2060"/>
        <v>14:49:26.477</v>
      </c>
      <c r="T4474" t="str">
        <f t="shared" si="2061"/>
        <v>14:49:26.377</v>
      </c>
      <c r="U4474" t="str">
        <f t="shared" si="2036"/>
        <v>A9808D</v>
      </c>
      <c r="V4474">
        <v>0</v>
      </c>
      <c r="W4474">
        <v>0</v>
      </c>
      <c r="X4474">
        <v>1</v>
      </c>
      <c r="Z4474">
        <v>0</v>
      </c>
      <c r="AA4474">
        <v>9</v>
      </c>
      <c r="AB4474">
        <v>3</v>
      </c>
      <c r="AC4474">
        <v>0</v>
      </c>
      <c r="AD4474">
        <v>10</v>
      </c>
      <c r="AE4474">
        <v>0</v>
      </c>
      <c r="AF4474">
        <v>3</v>
      </c>
      <c r="AG4474">
        <v>2</v>
      </c>
      <c r="AH4474">
        <v>0</v>
      </c>
      <c r="AI4474" t="s">
        <v>720</v>
      </c>
      <c r="AJ4474">
        <v>28.247395000000001</v>
      </c>
      <c r="AK4474" t="s">
        <v>615</v>
      </c>
      <c r="AL4474">
        <v>-82.327186999999995</v>
      </c>
      <c r="AM4474">
        <v>100</v>
      </c>
      <c r="AN4474">
        <v>2200</v>
      </c>
      <c r="AO4474" t="s">
        <v>118</v>
      </c>
      <c r="AP4474">
        <v>-138</v>
      </c>
      <c r="AQ4474">
        <v>-53</v>
      </c>
      <c r="AR4474">
        <v>128</v>
      </c>
      <c r="AZ4474">
        <v>1200</v>
      </c>
      <c r="BA4474">
        <v>1</v>
      </c>
      <c r="BB4474" t="str">
        <f t="shared" si="2046"/>
        <v xml:space="preserve">N711JA  </v>
      </c>
      <c r="BC4474">
        <v>1</v>
      </c>
      <c r="BE4474">
        <v>0</v>
      </c>
      <c r="BF4474">
        <v>0</v>
      </c>
      <c r="BG4474">
        <v>0</v>
      </c>
      <c r="BH4474">
        <v>2200</v>
      </c>
      <c r="BI4474">
        <v>1</v>
      </c>
      <c r="BJ4474">
        <v>1</v>
      </c>
      <c r="BK4474">
        <v>0</v>
      </c>
      <c r="BL4474">
        <v>0</v>
      </c>
      <c r="BO4474">
        <v>0</v>
      </c>
      <c r="BP4474">
        <v>0</v>
      </c>
      <c r="BW4474" t="str">
        <f t="shared" si="2062"/>
        <v>14:49:26.478</v>
      </c>
      <c r="CJ4474">
        <v>0</v>
      </c>
      <c r="CK4474">
        <v>2</v>
      </c>
      <c r="CL4474">
        <v>0</v>
      </c>
      <c r="CM4474">
        <v>2</v>
      </c>
      <c r="CN4474">
        <v>0</v>
      </c>
      <c r="CO4474">
        <v>7</v>
      </c>
      <c r="CP4474" t="s">
        <v>119</v>
      </c>
      <c r="CQ4474">
        <v>8</v>
      </c>
      <c r="CR4474">
        <v>3</v>
      </c>
      <c r="CW4474">
        <v>9160047</v>
      </c>
      <c r="CY4474">
        <v>1</v>
      </c>
      <c r="CZ4474">
        <v>0</v>
      </c>
      <c r="DA4474">
        <v>1</v>
      </c>
      <c r="DB4474">
        <v>0</v>
      </c>
      <c r="DC4474">
        <v>0</v>
      </c>
      <c r="DD4474">
        <v>1</v>
      </c>
      <c r="DE4474">
        <v>0</v>
      </c>
      <c r="DF4474">
        <v>0</v>
      </c>
      <c r="DG4474">
        <v>0</v>
      </c>
      <c r="DH4474">
        <v>0</v>
      </c>
      <c r="DI4474">
        <v>0</v>
      </c>
    </row>
    <row r="4475" spans="1:113" x14ac:dyDescent="0.3">
      <c r="A4475" t="str">
        <f t="shared" si="2059"/>
        <v>05/12/2020 14:49:08.656</v>
      </c>
      <c r="C4475" t="str">
        <f t="shared" si="2045"/>
        <v>FFDFD3C0</v>
      </c>
      <c r="D4475" t="s">
        <v>131</v>
      </c>
      <c r="E4475">
        <v>12</v>
      </c>
      <c r="F4475">
        <v>2012</v>
      </c>
      <c r="G4475" t="s">
        <v>137</v>
      </c>
      <c r="J4475" t="s">
        <v>133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 t="shared" si="2060"/>
        <v>14:49:26.477</v>
      </c>
      <c r="T4475" t="str">
        <f t="shared" si="2061"/>
        <v>14:49:26.377</v>
      </c>
      <c r="U4475" t="str">
        <f t="shared" si="2036"/>
        <v>A9808D</v>
      </c>
      <c r="V4475">
        <v>0</v>
      </c>
      <c r="W4475">
        <v>0</v>
      </c>
      <c r="X4475">
        <v>1</v>
      </c>
      <c r="Z4475">
        <v>0</v>
      </c>
      <c r="AA4475">
        <v>9</v>
      </c>
      <c r="AB4475">
        <v>3</v>
      </c>
      <c r="AC4475">
        <v>0</v>
      </c>
      <c r="AD4475">
        <v>10</v>
      </c>
      <c r="AE4475">
        <v>0</v>
      </c>
      <c r="AF4475">
        <v>3</v>
      </c>
      <c r="AG4475">
        <v>2</v>
      </c>
      <c r="AH4475">
        <v>0</v>
      </c>
      <c r="AI4475" t="s">
        <v>720</v>
      </c>
      <c r="AJ4475">
        <v>28.247395000000001</v>
      </c>
      <c r="AK4475" t="s">
        <v>615</v>
      </c>
      <c r="AL4475">
        <v>-82.327186999999995</v>
      </c>
      <c r="AM4475">
        <v>100</v>
      </c>
      <c r="AN4475">
        <v>2200</v>
      </c>
      <c r="AO4475" t="s">
        <v>118</v>
      </c>
      <c r="AP4475">
        <v>-138</v>
      </c>
      <c r="AQ4475">
        <v>-53</v>
      </c>
      <c r="AR4475">
        <v>128</v>
      </c>
      <c r="AZ4475">
        <v>1200</v>
      </c>
      <c r="BA4475">
        <v>1</v>
      </c>
      <c r="BB4475" t="str">
        <f t="shared" si="2046"/>
        <v xml:space="preserve">N711JA  </v>
      </c>
      <c r="BC4475">
        <v>1</v>
      </c>
      <c r="BE4475">
        <v>0</v>
      </c>
      <c r="BF4475">
        <v>0</v>
      </c>
      <c r="BG4475">
        <v>0</v>
      </c>
      <c r="BH4475">
        <v>2200</v>
      </c>
      <c r="BI4475">
        <v>1</v>
      </c>
      <c r="BJ4475">
        <v>1</v>
      </c>
      <c r="BK4475">
        <v>0</v>
      </c>
      <c r="BL4475">
        <v>0</v>
      </c>
      <c r="BO4475">
        <v>0</v>
      </c>
      <c r="BP4475">
        <v>0</v>
      </c>
      <c r="BW4475" t="str">
        <f t="shared" si="2062"/>
        <v>14:49:26.478</v>
      </c>
      <c r="CJ4475">
        <v>0</v>
      </c>
      <c r="CK4475">
        <v>2</v>
      </c>
      <c r="CL4475">
        <v>0</v>
      </c>
      <c r="CM4475">
        <v>2</v>
      </c>
      <c r="CN4475">
        <v>0</v>
      </c>
      <c r="CO4475">
        <v>7</v>
      </c>
      <c r="CP4475" t="s">
        <v>119</v>
      </c>
      <c r="CQ4475">
        <v>8</v>
      </c>
      <c r="CR4475">
        <v>3</v>
      </c>
      <c r="CW4475">
        <v>9160047</v>
      </c>
      <c r="CY4475">
        <v>1</v>
      </c>
      <c r="CZ4475">
        <v>0</v>
      </c>
      <c r="DA4475">
        <v>1</v>
      </c>
      <c r="DB4475">
        <v>0</v>
      </c>
      <c r="DC4475">
        <v>0</v>
      </c>
      <c r="DD4475">
        <v>1</v>
      </c>
      <c r="DE4475">
        <v>0</v>
      </c>
      <c r="DF4475">
        <v>0</v>
      </c>
      <c r="DG4475">
        <v>0</v>
      </c>
      <c r="DH4475">
        <v>0</v>
      </c>
      <c r="DI4475">
        <v>0</v>
      </c>
    </row>
    <row r="4476" spans="1:113" x14ac:dyDescent="0.3">
      <c r="A4476" t="str">
        <f t="shared" si="2059"/>
        <v>05/12/2020 14:49:08.656</v>
      </c>
      <c r="C4476" t="str">
        <f t="shared" si="2045"/>
        <v>FFDFD3C0</v>
      </c>
      <c r="D4476" t="s">
        <v>126</v>
      </c>
      <c r="E4476">
        <v>7</v>
      </c>
      <c r="F4476">
        <v>1007</v>
      </c>
      <c r="G4476" t="s">
        <v>127</v>
      </c>
      <c r="J4476" t="s">
        <v>128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 t="shared" si="2060"/>
        <v>14:49:26.477</v>
      </c>
      <c r="T4476" t="str">
        <f t="shared" si="2061"/>
        <v>14:49:26.377</v>
      </c>
      <c r="U4476" t="str">
        <f t="shared" si="2036"/>
        <v>A9808D</v>
      </c>
      <c r="V4476">
        <v>0</v>
      </c>
      <c r="W4476">
        <v>0</v>
      </c>
      <c r="X4476">
        <v>1</v>
      </c>
      <c r="Z4476">
        <v>0</v>
      </c>
      <c r="AA4476">
        <v>9</v>
      </c>
      <c r="AB4476">
        <v>3</v>
      </c>
      <c r="AC4476">
        <v>0</v>
      </c>
      <c r="AD4476">
        <v>10</v>
      </c>
      <c r="AE4476">
        <v>0</v>
      </c>
      <c r="AF4476">
        <v>3</v>
      </c>
      <c r="AG4476">
        <v>2</v>
      </c>
      <c r="AH4476">
        <v>0</v>
      </c>
      <c r="AI4476" t="s">
        <v>720</v>
      </c>
      <c r="AJ4476">
        <v>28.247395000000001</v>
      </c>
      <c r="AK4476" t="s">
        <v>615</v>
      </c>
      <c r="AL4476">
        <v>-82.327186999999995</v>
      </c>
      <c r="AM4476">
        <v>100</v>
      </c>
      <c r="AN4476">
        <v>2200</v>
      </c>
      <c r="AO4476" t="s">
        <v>118</v>
      </c>
      <c r="AP4476">
        <v>-138</v>
      </c>
      <c r="AQ4476">
        <v>-53</v>
      </c>
      <c r="AR4476">
        <v>128</v>
      </c>
      <c r="AZ4476">
        <v>1200</v>
      </c>
      <c r="BA4476">
        <v>1</v>
      </c>
      <c r="BB4476" t="str">
        <f t="shared" si="2046"/>
        <v xml:space="preserve">N711JA  </v>
      </c>
      <c r="BC4476">
        <v>1</v>
      </c>
      <c r="BE4476">
        <v>0</v>
      </c>
      <c r="BF4476">
        <v>0</v>
      </c>
      <c r="BG4476">
        <v>0</v>
      </c>
      <c r="BH4476">
        <v>2200</v>
      </c>
      <c r="BI4476">
        <v>1</v>
      </c>
      <c r="BJ4476">
        <v>1</v>
      </c>
      <c r="BK4476">
        <v>0</v>
      </c>
      <c r="BL4476">
        <v>0</v>
      </c>
      <c r="BO4476">
        <v>0</v>
      </c>
      <c r="BP4476">
        <v>0</v>
      </c>
      <c r="BW4476" t="str">
        <f t="shared" si="2062"/>
        <v>14:49:26.478</v>
      </c>
      <c r="CJ4476">
        <v>0</v>
      </c>
      <c r="CK4476">
        <v>2</v>
      </c>
      <c r="CL4476">
        <v>0</v>
      </c>
      <c r="CM4476">
        <v>2</v>
      </c>
      <c r="CN4476">
        <v>0</v>
      </c>
      <c r="CO4476">
        <v>7</v>
      </c>
      <c r="CP4476" t="s">
        <v>119</v>
      </c>
      <c r="CQ4476">
        <v>8</v>
      </c>
      <c r="CR4476">
        <v>3</v>
      </c>
      <c r="CW4476">
        <v>9160047</v>
      </c>
      <c r="CY4476">
        <v>1</v>
      </c>
      <c r="CZ4476">
        <v>0</v>
      </c>
      <c r="DA4476">
        <v>1</v>
      </c>
      <c r="DB4476">
        <v>0</v>
      </c>
      <c r="DC4476">
        <v>0</v>
      </c>
      <c r="DD4476">
        <v>1</v>
      </c>
      <c r="DE4476">
        <v>0</v>
      </c>
      <c r="DF4476">
        <v>0</v>
      </c>
      <c r="DG4476">
        <v>0</v>
      </c>
      <c r="DH4476">
        <v>0</v>
      </c>
      <c r="DI4476">
        <v>0</v>
      </c>
    </row>
    <row r="4477" spans="1:113" x14ac:dyDescent="0.3">
      <c r="A4477" t="str">
        <f t="shared" si="2059"/>
        <v>05/12/2020 14:49:08.656</v>
      </c>
      <c r="C4477" t="str">
        <f t="shared" si="2045"/>
        <v>FFDFD3C0</v>
      </c>
      <c r="D4477" t="s">
        <v>131</v>
      </c>
      <c r="E4477">
        <v>18</v>
      </c>
      <c r="F4477">
        <v>2018</v>
      </c>
      <c r="G4477" t="s">
        <v>161</v>
      </c>
      <c r="J4477" t="s">
        <v>133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 t="shared" si="2060"/>
        <v>14:49:26.477</v>
      </c>
      <c r="T4477" t="str">
        <f>"14:49:25.377"</f>
        <v>14:49:25.377</v>
      </c>
      <c r="U4477" t="str">
        <f t="shared" si="2036"/>
        <v>A9808D</v>
      </c>
      <c r="V4477">
        <v>0</v>
      </c>
      <c r="W4477">
        <v>0</v>
      </c>
      <c r="X4477">
        <v>1</v>
      </c>
      <c r="Z4477">
        <v>0</v>
      </c>
      <c r="AA4477">
        <v>9</v>
      </c>
      <c r="AB4477">
        <v>3</v>
      </c>
      <c r="AC4477">
        <v>0</v>
      </c>
      <c r="AD4477">
        <v>10</v>
      </c>
      <c r="AE4477">
        <v>0</v>
      </c>
      <c r="AF4477">
        <v>3</v>
      </c>
      <c r="AG4477">
        <v>2</v>
      </c>
      <c r="AH4477">
        <v>0</v>
      </c>
      <c r="AI4477" t="s">
        <v>720</v>
      </c>
      <c r="AJ4477">
        <v>28.247395000000001</v>
      </c>
      <c r="AK4477" t="s">
        <v>615</v>
      </c>
      <c r="AL4477">
        <v>-82.327186999999995</v>
      </c>
      <c r="AM4477">
        <v>100</v>
      </c>
      <c r="AN4477">
        <v>2200</v>
      </c>
      <c r="AO4477" t="s">
        <v>118</v>
      </c>
      <c r="AP4477">
        <v>-138</v>
      </c>
      <c r="AQ4477">
        <v>-54</v>
      </c>
      <c r="AR4477">
        <v>128</v>
      </c>
      <c r="AZ4477">
        <v>1200</v>
      </c>
      <c r="BA4477">
        <v>1</v>
      </c>
      <c r="BB4477" t="str">
        <f t="shared" si="2046"/>
        <v xml:space="preserve">N711JA  </v>
      </c>
      <c r="BC4477">
        <v>1</v>
      </c>
      <c r="BE4477">
        <v>0</v>
      </c>
      <c r="BF4477">
        <v>0</v>
      </c>
      <c r="BG4477">
        <v>0</v>
      </c>
      <c r="BH4477">
        <v>2200</v>
      </c>
      <c r="BI4477">
        <v>1</v>
      </c>
      <c r="BJ4477">
        <v>1</v>
      </c>
      <c r="BK4477">
        <v>0</v>
      </c>
      <c r="BL4477">
        <v>0</v>
      </c>
      <c r="BO4477">
        <v>0</v>
      </c>
      <c r="BP4477">
        <v>0</v>
      </c>
      <c r="BW4477" t="str">
        <f t="shared" si="2062"/>
        <v>14:49:26.478</v>
      </c>
      <c r="CJ4477">
        <v>0</v>
      </c>
      <c r="CK4477">
        <v>2</v>
      </c>
      <c r="CL4477">
        <v>0</v>
      </c>
      <c r="CM4477">
        <v>2</v>
      </c>
      <c r="CN4477">
        <v>0</v>
      </c>
      <c r="CO4477">
        <v>3</v>
      </c>
      <c r="CP4477" t="s">
        <v>119</v>
      </c>
      <c r="CQ4477">
        <v>62</v>
      </c>
      <c r="CR4477">
        <v>1</v>
      </c>
      <c r="CW4477">
        <v>13054099</v>
      </c>
      <c r="CY4477">
        <v>1</v>
      </c>
      <c r="CZ4477">
        <v>0</v>
      </c>
      <c r="DA4477">
        <v>1</v>
      </c>
      <c r="DB4477">
        <v>0</v>
      </c>
      <c r="DC4477">
        <v>0</v>
      </c>
      <c r="DD4477">
        <v>1</v>
      </c>
      <c r="DE4477">
        <v>0</v>
      </c>
      <c r="DF4477">
        <v>0</v>
      </c>
      <c r="DG4477">
        <v>0</v>
      </c>
      <c r="DH4477">
        <v>0</v>
      </c>
      <c r="DI4477">
        <v>0</v>
      </c>
    </row>
    <row r="4478" spans="1:113" x14ac:dyDescent="0.3">
      <c r="A4478" t="str">
        <f t="shared" si="2059"/>
        <v>05/12/2020 14:49:08.656</v>
      </c>
      <c r="C4478" t="str">
        <f t="shared" si="2045"/>
        <v>FFDFD3C0</v>
      </c>
      <c r="D4478" t="s">
        <v>126</v>
      </c>
      <c r="E4478">
        <v>6</v>
      </c>
      <c r="F4478">
        <v>1006</v>
      </c>
      <c r="G4478" t="s">
        <v>114</v>
      </c>
      <c r="J4478" t="s">
        <v>128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 t="shared" si="2060"/>
        <v>14:49:26.477</v>
      </c>
      <c r="T4478" t="str">
        <f>"14:49:26.377"</f>
        <v>14:49:26.377</v>
      </c>
      <c r="U4478" t="str">
        <f t="shared" si="2036"/>
        <v>A9808D</v>
      </c>
      <c r="V4478">
        <v>0</v>
      </c>
      <c r="W4478">
        <v>0</v>
      </c>
      <c r="X4478">
        <v>1</v>
      </c>
      <c r="Z4478">
        <v>0</v>
      </c>
      <c r="AA4478">
        <v>9</v>
      </c>
      <c r="AB4478">
        <v>3</v>
      </c>
      <c r="AC4478">
        <v>0</v>
      </c>
      <c r="AD4478">
        <v>10</v>
      </c>
      <c r="AE4478">
        <v>0</v>
      </c>
      <c r="AF4478">
        <v>3</v>
      </c>
      <c r="AG4478">
        <v>2</v>
      </c>
      <c r="AH4478">
        <v>0</v>
      </c>
      <c r="AI4478" t="s">
        <v>720</v>
      </c>
      <c r="AJ4478">
        <v>28.247395000000001</v>
      </c>
      <c r="AK4478" t="s">
        <v>615</v>
      </c>
      <c r="AL4478">
        <v>-82.327186999999995</v>
      </c>
      <c r="AM4478">
        <v>100</v>
      </c>
      <c r="AN4478">
        <v>2200</v>
      </c>
      <c r="AO4478" t="s">
        <v>118</v>
      </c>
      <c r="AP4478">
        <v>-138</v>
      </c>
      <c r="AQ4478">
        <v>-53</v>
      </c>
      <c r="AR4478">
        <v>128</v>
      </c>
      <c r="AZ4478">
        <v>1200</v>
      </c>
      <c r="BA4478">
        <v>1</v>
      </c>
      <c r="BB4478" t="str">
        <f t="shared" si="2046"/>
        <v xml:space="preserve">N711JA  </v>
      </c>
      <c r="BC4478">
        <v>1</v>
      </c>
      <c r="BE4478">
        <v>0</v>
      </c>
      <c r="BF4478">
        <v>0</v>
      </c>
      <c r="BG4478">
        <v>0</v>
      </c>
      <c r="BH4478">
        <v>2200</v>
      </c>
      <c r="BI4478">
        <v>1</v>
      </c>
      <c r="BJ4478">
        <v>1</v>
      </c>
      <c r="BK4478">
        <v>0</v>
      </c>
      <c r="BL4478">
        <v>0</v>
      </c>
      <c r="BO4478">
        <v>0</v>
      </c>
      <c r="BP4478">
        <v>0</v>
      </c>
      <c r="BW4478" t="str">
        <f t="shared" si="2062"/>
        <v>14:49:26.478</v>
      </c>
      <c r="CJ4478">
        <v>0</v>
      </c>
      <c r="CK4478">
        <v>2</v>
      </c>
      <c r="CL4478">
        <v>0</v>
      </c>
      <c r="CM4478">
        <v>2</v>
      </c>
      <c r="CN4478">
        <v>0</v>
      </c>
      <c r="CO4478">
        <v>7</v>
      </c>
      <c r="CP4478" t="s">
        <v>119</v>
      </c>
      <c r="CQ4478">
        <v>8</v>
      </c>
      <c r="CR4478">
        <v>3</v>
      </c>
      <c r="CW4478">
        <v>9160047</v>
      </c>
      <c r="CY4478">
        <v>1</v>
      </c>
      <c r="CZ4478">
        <v>0</v>
      </c>
      <c r="DA4478">
        <v>1</v>
      </c>
      <c r="DB4478">
        <v>0</v>
      </c>
      <c r="DC4478">
        <v>0</v>
      </c>
      <c r="DD4478">
        <v>1</v>
      </c>
      <c r="DE4478">
        <v>0</v>
      </c>
      <c r="DF4478">
        <v>0</v>
      </c>
      <c r="DG4478">
        <v>0</v>
      </c>
      <c r="DH4478">
        <v>0</v>
      </c>
      <c r="DI4478">
        <v>0</v>
      </c>
    </row>
    <row r="4479" spans="1:113" x14ac:dyDescent="0.3">
      <c r="A4479" t="str">
        <f t="shared" si="2059"/>
        <v>05/12/2020 14:49:08.656</v>
      </c>
      <c r="C4479" t="str">
        <f t="shared" si="2045"/>
        <v>FFDFD3C0</v>
      </c>
      <c r="D4479" t="s">
        <v>134</v>
      </c>
      <c r="E4479">
        <v>12</v>
      </c>
      <c r="H4479">
        <v>64</v>
      </c>
      <c r="I4479" t="s">
        <v>135</v>
      </c>
      <c r="J4479" t="s">
        <v>136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 t="shared" si="2060"/>
        <v>14:49:26.477</v>
      </c>
      <c r="T4479" t="str">
        <f>"14:49:26.377"</f>
        <v>14:49:26.377</v>
      </c>
      <c r="U4479" t="str">
        <f t="shared" si="2036"/>
        <v>A9808D</v>
      </c>
      <c r="V4479">
        <v>0</v>
      </c>
      <c r="W4479">
        <v>0</v>
      </c>
      <c r="X4479">
        <v>1</v>
      </c>
      <c r="Z4479">
        <v>0</v>
      </c>
      <c r="AA4479">
        <v>9</v>
      </c>
      <c r="AB4479">
        <v>3</v>
      </c>
      <c r="AC4479">
        <v>0</v>
      </c>
      <c r="AD4479">
        <v>10</v>
      </c>
      <c r="AE4479">
        <v>0</v>
      </c>
      <c r="AF4479">
        <v>3</v>
      </c>
      <c r="AG4479">
        <v>2</v>
      </c>
      <c r="AH4479">
        <v>0</v>
      </c>
      <c r="AI4479" t="s">
        <v>720</v>
      </c>
      <c r="AJ4479">
        <v>28.247395000000001</v>
      </c>
      <c r="AK4479" t="s">
        <v>615</v>
      </c>
      <c r="AL4479">
        <v>-82.327186999999995</v>
      </c>
      <c r="AM4479">
        <v>100</v>
      </c>
      <c r="AN4479">
        <v>2200</v>
      </c>
      <c r="AO4479" t="s">
        <v>118</v>
      </c>
      <c r="AP4479">
        <v>-138</v>
      </c>
      <c r="AQ4479">
        <v>-53</v>
      </c>
      <c r="AR4479">
        <v>128</v>
      </c>
      <c r="AZ4479">
        <v>1200</v>
      </c>
      <c r="BA4479">
        <v>1</v>
      </c>
      <c r="BB4479" t="str">
        <f t="shared" si="2046"/>
        <v xml:space="preserve">N711JA  </v>
      </c>
      <c r="BC4479">
        <v>1</v>
      </c>
      <c r="BE4479">
        <v>0</v>
      </c>
      <c r="BF4479">
        <v>0</v>
      </c>
      <c r="BG4479">
        <v>0</v>
      </c>
      <c r="BH4479">
        <v>2200</v>
      </c>
      <c r="BI4479">
        <v>1</v>
      </c>
      <c r="BJ4479">
        <v>1</v>
      </c>
      <c r="BK4479">
        <v>0</v>
      </c>
      <c r="BL4479">
        <v>0</v>
      </c>
      <c r="BO4479">
        <v>0</v>
      </c>
      <c r="BP4479">
        <v>0</v>
      </c>
      <c r="BW4479" t="str">
        <f t="shared" si="2062"/>
        <v>14:49:26.478</v>
      </c>
      <c r="CJ4479">
        <v>0</v>
      </c>
      <c r="CK4479">
        <v>2</v>
      </c>
      <c r="CL4479">
        <v>0</v>
      </c>
      <c r="CM4479">
        <v>2</v>
      </c>
      <c r="CN4479">
        <v>0</v>
      </c>
      <c r="CO4479">
        <v>7</v>
      </c>
      <c r="CP4479" t="s">
        <v>119</v>
      </c>
      <c r="CQ4479">
        <v>8</v>
      </c>
      <c r="CR4479">
        <v>3</v>
      </c>
      <c r="CW4479">
        <v>9160047</v>
      </c>
      <c r="CY4479">
        <v>1</v>
      </c>
      <c r="CZ4479">
        <v>0</v>
      </c>
      <c r="DA4479">
        <v>1</v>
      </c>
      <c r="DB4479">
        <v>0</v>
      </c>
      <c r="DC4479">
        <v>0</v>
      </c>
      <c r="DD4479">
        <v>1</v>
      </c>
      <c r="DE4479">
        <v>0</v>
      </c>
      <c r="DF4479">
        <v>0</v>
      </c>
      <c r="DG4479">
        <v>0</v>
      </c>
      <c r="DH4479">
        <v>0</v>
      </c>
      <c r="DI4479">
        <v>0</v>
      </c>
    </row>
    <row r="4480" spans="1:113" x14ac:dyDescent="0.3">
      <c r="A4480" t="str">
        <f t="shared" ref="A4480:A4487" si="2063">"05/12/2020 14:49:09.584"</f>
        <v>05/12/2020 14:49:09.584</v>
      </c>
      <c r="C4480" t="str">
        <f t="shared" si="2045"/>
        <v>FFDFD3C0</v>
      </c>
      <c r="D4480" t="s">
        <v>126</v>
      </c>
      <c r="E4480">
        <v>7</v>
      </c>
      <c r="F4480">
        <v>1007</v>
      </c>
      <c r="G4480" t="s">
        <v>127</v>
      </c>
      <c r="J4480" t="s">
        <v>128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 t="shared" ref="S4480:S4487" si="2064">"14:49:27.422"</f>
        <v>14:49:27.422</v>
      </c>
      <c r="T4480" t="str">
        <f t="shared" ref="T4480:T4487" si="2065">"14:49:27.222"</f>
        <v>14:49:27.222</v>
      </c>
      <c r="U4480" t="str">
        <f t="shared" si="2036"/>
        <v>A9808D</v>
      </c>
      <c r="V4480">
        <v>0</v>
      </c>
      <c r="W4480">
        <v>0</v>
      </c>
      <c r="X4480">
        <v>1</v>
      </c>
      <c r="Z4480">
        <v>0</v>
      </c>
      <c r="AA4480">
        <v>9</v>
      </c>
      <c r="AB4480">
        <v>3</v>
      </c>
      <c r="AC4480">
        <v>0</v>
      </c>
      <c r="AD4480">
        <v>10</v>
      </c>
      <c r="AE4480">
        <v>0</v>
      </c>
      <c r="AF4480">
        <v>3</v>
      </c>
      <c r="AG4480">
        <v>2</v>
      </c>
      <c r="AH4480">
        <v>0</v>
      </c>
      <c r="AI4480" t="s">
        <v>1008</v>
      </c>
      <c r="AJ4480">
        <v>28.24718</v>
      </c>
      <c r="AK4480" t="s">
        <v>1009</v>
      </c>
      <c r="AL4480">
        <v>-82.327851999999993</v>
      </c>
      <c r="AM4480">
        <v>100</v>
      </c>
      <c r="AN4480">
        <v>2200</v>
      </c>
      <c r="AO4480" t="s">
        <v>118</v>
      </c>
      <c r="AP4480">
        <v>-138</v>
      </c>
      <c r="AQ4480">
        <v>-52</v>
      </c>
      <c r="AR4480">
        <v>128</v>
      </c>
      <c r="AZ4480">
        <v>1200</v>
      </c>
      <c r="BA4480">
        <v>1</v>
      </c>
      <c r="BB4480" t="str">
        <f t="shared" si="2046"/>
        <v xml:space="preserve">N711JA  </v>
      </c>
      <c r="BC4480">
        <v>1</v>
      </c>
      <c r="BE4480">
        <v>0</v>
      </c>
      <c r="BF4480">
        <v>0</v>
      </c>
      <c r="BG4480">
        <v>0</v>
      </c>
      <c r="BH4480">
        <v>2200</v>
      </c>
      <c r="BI4480">
        <v>1</v>
      </c>
      <c r="BJ4480">
        <v>1</v>
      </c>
      <c r="BK4480">
        <v>0</v>
      </c>
      <c r="BL4480">
        <v>0</v>
      </c>
      <c r="BO4480">
        <v>0</v>
      </c>
      <c r="BP4480">
        <v>0</v>
      </c>
      <c r="BW4480" t="str">
        <f t="shared" ref="BW4480:BW4487" si="2066">"14:49:27.424"</f>
        <v>14:49:27.424</v>
      </c>
      <c r="CJ4480">
        <v>0</v>
      </c>
      <c r="CK4480">
        <v>2</v>
      </c>
      <c r="CL4480">
        <v>0</v>
      </c>
      <c r="CM4480">
        <v>2</v>
      </c>
      <c r="CN4480">
        <v>0</v>
      </c>
      <c r="CO4480">
        <v>7</v>
      </c>
      <c r="CP4480" t="s">
        <v>119</v>
      </c>
      <c r="CQ4480">
        <v>8</v>
      </c>
      <c r="CR4480">
        <v>3</v>
      </c>
      <c r="CW4480">
        <v>9161037</v>
      </c>
      <c r="CY4480">
        <v>1</v>
      </c>
      <c r="CZ4480">
        <v>0</v>
      </c>
      <c r="DA4480">
        <v>0</v>
      </c>
      <c r="DB4480">
        <v>0</v>
      </c>
      <c r="DC4480">
        <v>0</v>
      </c>
      <c r="DD4480">
        <v>1</v>
      </c>
      <c r="DE4480">
        <v>0</v>
      </c>
      <c r="DF4480">
        <v>0</v>
      </c>
      <c r="DG4480">
        <v>0</v>
      </c>
      <c r="DH4480">
        <v>0</v>
      </c>
      <c r="DI4480">
        <v>0</v>
      </c>
    </row>
    <row r="4481" spans="1:113" x14ac:dyDescent="0.3">
      <c r="A4481" t="str">
        <f t="shared" si="2063"/>
        <v>05/12/2020 14:49:09.584</v>
      </c>
      <c r="C4481" t="str">
        <f t="shared" si="2045"/>
        <v>FFDFD3C0</v>
      </c>
      <c r="D4481" t="s">
        <v>131</v>
      </c>
      <c r="E4481">
        <v>10</v>
      </c>
      <c r="F4481">
        <v>2010</v>
      </c>
      <c r="G4481" t="s">
        <v>132</v>
      </c>
      <c r="J4481" t="s">
        <v>133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 t="shared" si="2064"/>
        <v>14:49:27.422</v>
      </c>
      <c r="T4481" t="str">
        <f t="shared" si="2065"/>
        <v>14:49:27.222</v>
      </c>
      <c r="U4481" t="str">
        <f t="shared" si="2036"/>
        <v>A9808D</v>
      </c>
      <c r="V4481">
        <v>0</v>
      </c>
      <c r="W4481">
        <v>0</v>
      </c>
      <c r="X4481">
        <v>1</v>
      </c>
      <c r="Z4481">
        <v>0</v>
      </c>
      <c r="AA4481">
        <v>9</v>
      </c>
      <c r="AB4481">
        <v>3</v>
      </c>
      <c r="AC4481">
        <v>0</v>
      </c>
      <c r="AD4481">
        <v>10</v>
      </c>
      <c r="AE4481">
        <v>0</v>
      </c>
      <c r="AF4481">
        <v>3</v>
      </c>
      <c r="AG4481">
        <v>2</v>
      </c>
      <c r="AH4481">
        <v>0</v>
      </c>
      <c r="AI4481" t="s">
        <v>1008</v>
      </c>
      <c r="AJ4481">
        <v>28.24718</v>
      </c>
      <c r="AK4481" t="s">
        <v>1009</v>
      </c>
      <c r="AL4481">
        <v>-82.327851999999993</v>
      </c>
      <c r="AM4481">
        <v>100</v>
      </c>
      <c r="AN4481">
        <v>2200</v>
      </c>
      <c r="AO4481" t="s">
        <v>118</v>
      </c>
      <c r="AP4481">
        <v>-138</v>
      </c>
      <c r="AQ4481">
        <v>-52</v>
      </c>
      <c r="AR4481">
        <v>128</v>
      </c>
      <c r="AZ4481">
        <v>1200</v>
      </c>
      <c r="BA4481">
        <v>1</v>
      </c>
      <c r="BB4481" t="str">
        <f t="shared" si="2046"/>
        <v xml:space="preserve">N711JA  </v>
      </c>
      <c r="BC4481">
        <v>1</v>
      </c>
      <c r="BE4481">
        <v>0</v>
      </c>
      <c r="BF4481">
        <v>0</v>
      </c>
      <c r="BG4481">
        <v>0</v>
      </c>
      <c r="BH4481">
        <v>2200</v>
      </c>
      <c r="BI4481">
        <v>1</v>
      </c>
      <c r="BJ4481">
        <v>1</v>
      </c>
      <c r="BK4481">
        <v>0</v>
      </c>
      <c r="BL4481">
        <v>0</v>
      </c>
      <c r="BO4481">
        <v>0</v>
      </c>
      <c r="BP4481">
        <v>0</v>
      </c>
      <c r="BW4481" t="str">
        <f t="shared" si="2066"/>
        <v>14:49:27.424</v>
      </c>
      <c r="CJ4481">
        <v>0</v>
      </c>
      <c r="CK4481">
        <v>2</v>
      </c>
      <c r="CL4481">
        <v>0</v>
      </c>
      <c r="CM4481">
        <v>2</v>
      </c>
      <c r="CN4481">
        <v>0</v>
      </c>
      <c r="CO4481">
        <v>7</v>
      </c>
      <c r="CP4481" t="s">
        <v>119</v>
      </c>
      <c r="CQ4481">
        <v>8</v>
      </c>
      <c r="CR4481">
        <v>3</v>
      </c>
      <c r="CW4481">
        <v>9161037</v>
      </c>
      <c r="CY4481">
        <v>1</v>
      </c>
      <c r="CZ4481">
        <v>0</v>
      </c>
      <c r="DA4481">
        <v>1</v>
      </c>
      <c r="DB4481">
        <v>0</v>
      </c>
      <c r="DC4481">
        <v>0</v>
      </c>
      <c r="DD4481">
        <v>1</v>
      </c>
      <c r="DE4481">
        <v>0</v>
      </c>
      <c r="DF4481">
        <v>0</v>
      </c>
      <c r="DG4481">
        <v>0</v>
      </c>
      <c r="DH4481">
        <v>0</v>
      </c>
      <c r="DI4481">
        <v>0</v>
      </c>
    </row>
    <row r="4482" spans="1:113" x14ac:dyDescent="0.3">
      <c r="A4482" t="str">
        <f t="shared" si="2063"/>
        <v>05/12/2020 14:49:09.584</v>
      </c>
      <c r="C4482" t="str">
        <f t="shared" si="2045"/>
        <v>FFDFD3C0</v>
      </c>
      <c r="D4482" t="s">
        <v>131</v>
      </c>
      <c r="E4482">
        <v>12</v>
      </c>
      <c r="F4482">
        <v>2012</v>
      </c>
      <c r="G4482" t="s">
        <v>137</v>
      </c>
      <c r="J4482" t="s">
        <v>133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 t="shared" si="2064"/>
        <v>14:49:27.422</v>
      </c>
      <c r="T4482" t="str">
        <f t="shared" si="2065"/>
        <v>14:49:27.222</v>
      </c>
      <c r="U4482" t="str">
        <f t="shared" ref="U4482:U4545" si="2067">"A9808D"</f>
        <v>A9808D</v>
      </c>
      <c r="V4482">
        <v>0</v>
      </c>
      <c r="W4482">
        <v>0</v>
      </c>
      <c r="X4482">
        <v>1</v>
      </c>
      <c r="Z4482">
        <v>0</v>
      </c>
      <c r="AA4482">
        <v>9</v>
      </c>
      <c r="AB4482">
        <v>3</v>
      </c>
      <c r="AC4482">
        <v>0</v>
      </c>
      <c r="AD4482">
        <v>10</v>
      </c>
      <c r="AE4482">
        <v>0</v>
      </c>
      <c r="AF4482">
        <v>3</v>
      </c>
      <c r="AG4482">
        <v>2</v>
      </c>
      <c r="AH4482">
        <v>0</v>
      </c>
      <c r="AI4482" t="s">
        <v>1008</v>
      </c>
      <c r="AJ4482">
        <v>28.24718</v>
      </c>
      <c r="AK4482" t="s">
        <v>1009</v>
      </c>
      <c r="AL4482">
        <v>-82.327851999999993</v>
      </c>
      <c r="AM4482">
        <v>100</v>
      </c>
      <c r="AN4482">
        <v>2200</v>
      </c>
      <c r="AO4482" t="s">
        <v>118</v>
      </c>
      <c r="AP4482">
        <v>-138</v>
      </c>
      <c r="AQ4482">
        <v>-52</v>
      </c>
      <c r="AR4482">
        <v>128</v>
      </c>
      <c r="AZ4482">
        <v>1200</v>
      </c>
      <c r="BA4482">
        <v>1</v>
      </c>
      <c r="BB4482" t="str">
        <f t="shared" si="2046"/>
        <v xml:space="preserve">N711JA  </v>
      </c>
      <c r="BC4482">
        <v>1</v>
      </c>
      <c r="BE4482">
        <v>0</v>
      </c>
      <c r="BF4482">
        <v>0</v>
      </c>
      <c r="BG4482">
        <v>0</v>
      </c>
      <c r="BH4482">
        <v>2200</v>
      </c>
      <c r="BI4482">
        <v>1</v>
      </c>
      <c r="BJ4482">
        <v>1</v>
      </c>
      <c r="BK4482">
        <v>0</v>
      </c>
      <c r="BL4482">
        <v>0</v>
      </c>
      <c r="BO4482">
        <v>0</v>
      </c>
      <c r="BP4482">
        <v>0</v>
      </c>
      <c r="BW4482" t="str">
        <f t="shared" si="2066"/>
        <v>14:49:27.424</v>
      </c>
      <c r="CJ4482">
        <v>0</v>
      </c>
      <c r="CK4482">
        <v>2</v>
      </c>
      <c r="CL4482">
        <v>0</v>
      </c>
      <c r="CM4482">
        <v>2</v>
      </c>
      <c r="CN4482">
        <v>0</v>
      </c>
      <c r="CO4482">
        <v>7</v>
      </c>
      <c r="CP4482" t="s">
        <v>119</v>
      </c>
      <c r="CQ4482">
        <v>8</v>
      </c>
      <c r="CR4482">
        <v>3</v>
      </c>
      <c r="CW4482">
        <v>9161037</v>
      </c>
      <c r="CY4482">
        <v>1</v>
      </c>
      <c r="CZ4482">
        <v>0</v>
      </c>
      <c r="DA4482">
        <v>1</v>
      </c>
      <c r="DB4482">
        <v>0</v>
      </c>
      <c r="DC4482">
        <v>0</v>
      </c>
      <c r="DD4482">
        <v>1</v>
      </c>
      <c r="DE4482">
        <v>0</v>
      </c>
      <c r="DF4482">
        <v>0</v>
      </c>
      <c r="DG4482">
        <v>0</v>
      </c>
      <c r="DH4482">
        <v>0</v>
      </c>
      <c r="DI4482">
        <v>0</v>
      </c>
    </row>
    <row r="4483" spans="1:113" x14ac:dyDescent="0.3">
      <c r="A4483" t="str">
        <f t="shared" si="2063"/>
        <v>05/12/2020 14:49:09.584</v>
      </c>
      <c r="C4483" t="str">
        <f t="shared" si="2045"/>
        <v>FFDFD3C0</v>
      </c>
      <c r="D4483" t="s">
        <v>126</v>
      </c>
      <c r="E4483">
        <v>6</v>
      </c>
      <c r="F4483">
        <v>1006</v>
      </c>
      <c r="G4483" t="s">
        <v>114</v>
      </c>
      <c r="J4483" t="s">
        <v>128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 t="shared" si="2064"/>
        <v>14:49:27.422</v>
      </c>
      <c r="T4483" t="str">
        <f t="shared" si="2065"/>
        <v>14:49:27.222</v>
      </c>
      <c r="U4483" t="str">
        <f t="shared" si="2067"/>
        <v>A9808D</v>
      </c>
      <c r="V4483">
        <v>0</v>
      </c>
      <c r="W4483">
        <v>0</v>
      </c>
      <c r="X4483">
        <v>1</v>
      </c>
      <c r="Z4483">
        <v>0</v>
      </c>
      <c r="AA4483">
        <v>9</v>
      </c>
      <c r="AB4483">
        <v>3</v>
      </c>
      <c r="AC4483">
        <v>0</v>
      </c>
      <c r="AD4483">
        <v>10</v>
      </c>
      <c r="AE4483">
        <v>0</v>
      </c>
      <c r="AF4483">
        <v>3</v>
      </c>
      <c r="AG4483">
        <v>2</v>
      </c>
      <c r="AH4483">
        <v>0</v>
      </c>
      <c r="AI4483" t="s">
        <v>1008</v>
      </c>
      <c r="AJ4483">
        <v>28.24718</v>
      </c>
      <c r="AK4483" t="s">
        <v>1009</v>
      </c>
      <c r="AL4483">
        <v>-82.327851999999993</v>
      </c>
      <c r="AM4483">
        <v>100</v>
      </c>
      <c r="AN4483">
        <v>2200</v>
      </c>
      <c r="AO4483" t="s">
        <v>118</v>
      </c>
      <c r="AP4483">
        <v>-138</v>
      </c>
      <c r="AQ4483">
        <v>-52</v>
      </c>
      <c r="AR4483">
        <v>128</v>
      </c>
      <c r="AZ4483">
        <v>1200</v>
      </c>
      <c r="BA4483">
        <v>1</v>
      </c>
      <c r="BB4483" t="str">
        <f t="shared" si="2046"/>
        <v xml:space="preserve">N711JA  </v>
      </c>
      <c r="BC4483">
        <v>1</v>
      </c>
      <c r="BE4483">
        <v>0</v>
      </c>
      <c r="BF4483">
        <v>0</v>
      </c>
      <c r="BG4483">
        <v>0</v>
      </c>
      <c r="BH4483">
        <v>2200</v>
      </c>
      <c r="BI4483">
        <v>1</v>
      </c>
      <c r="BJ4483">
        <v>1</v>
      </c>
      <c r="BK4483">
        <v>0</v>
      </c>
      <c r="BL4483">
        <v>0</v>
      </c>
      <c r="BO4483">
        <v>0</v>
      </c>
      <c r="BP4483">
        <v>0</v>
      </c>
      <c r="BW4483" t="str">
        <f t="shared" si="2066"/>
        <v>14:49:27.424</v>
      </c>
      <c r="CJ4483">
        <v>0</v>
      </c>
      <c r="CK4483">
        <v>2</v>
      </c>
      <c r="CL4483">
        <v>0</v>
      </c>
      <c r="CM4483">
        <v>2</v>
      </c>
      <c r="CN4483">
        <v>0</v>
      </c>
      <c r="CO4483">
        <v>7</v>
      </c>
      <c r="CP4483" t="s">
        <v>119</v>
      </c>
      <c r="CQ4483">
        <v>8</v>
      </c>
      <c r="CR4483">
        <v>3</v>
      </c>
      <c r="CW4483">
        <v>9161037</v>
      </c>
      <c r="CY4483">
        <v>1</v>
      </c>
      <c r="CZ4483">
        <v>0</v>
      </c>
      <c r="DA4483">
        <v>1</v>
      </c>
      <c r="DB4483">
        <v>0</v>
      </c>
      <c r="DC4483">
        <v>0</v>
      </c>
      <c r="DD4483">
        <v>1</v>
      </c>
      <c r="DE4483">
        <v>0</v>
      </c>
      <c r="DF4483">
        <v>0</v>
      </c>
      <c r="DG4483">
        <v>0</v>
      </c>
      <c r="DH4483">
        <v>0</v>
      </c>
      <c r="DI4483">
        <v>0</v>
      </c>
    </row>
    <row r="4484" spans="1:113" x14ac:dyDescent="0.3">
      <c r="A4484" t="str">
        <f t="shared" si="2063"/>
        <v>05/12/2020 14:49:09.584</v>
      </c>
      <c r="C4484" t="str">
        <f t="shared" si="2045"/>
        <v>FFDFD3C0</v>
      </c>
      <c r="D4484" t="s">
        <v>134</v>
      </c>
      <c r="E4484">
        <v>12</v>
      </c>
      <c r="H4484">
        <v>64</v>
      </c>
      <c r="I4484" t="s">
        <v>135</v>
      </c>
      <c r="J4484" t="s">
        <v>136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 t="shared" si="2064"/>
        <v>14:49:27.422</v>
      </c>
      <c r="T4484" t="str">
        <f t="shared" si="2065"/>
        <v>14:49:27.222</v>
      </c>
      <c r="U4484" t="str">
        <f t="shared" si="2067"/>
        <v>A9808D</v>
      </c>
      <c r="V4484">
        <v>0</v>
      </c>
      <c r="W4484">
        <v>0</v>
      </c>
      <c r="X4484">
        <v>1</v>
      </c>
      <c r="Z4484">
        <v>0</v>
      </c>
      <c r="AA4484">
        <v>9</v>
      </c>
      <c r="AB4484">
        <v>3</v>
      </c>
      <c r="AC4484">
        <v>0</v>
      </c>
      <c r="AD4484">
        <v>10</v>
      </c>
      <c r="AE4484">
        <v>0</v>
      </c>
      <c r="AF4484">
        <v>3</v>
      </c>
      <c r="AG4484">
        <v>2</v>
      </c>
      <c r="AH4484">
        <v>0</v>
      </c>
      <c r="AI4484" t="s">
        <v>1008</v>
      </c>
      <c r="AJ4484">
        <v>28.24718</v>
      </c>
      <c r="AK4484" t="s">
        <v>1009</v>
      </c>
      <c r="AL4484">
        <v>-82.327851999999993</v>
      </c>
      <c r="AM4484">
        <v>100</v>
      </c>
      <c r="AN4484">
        <v>2200</v>
      </c>
      <c r="AO4484" t="s">
        <v>118</v>
      </c>
      <c r="AP4484">
        <v>-138</v>
      </c>
      <c r="AQ4484">
        <v>-52</v>
      </c>
      <c r="AR4484">
        <v>128</v>
      </c>
      <c r="AZ4484">
        <v>1200</v>
      </c>
      <c r="BA4484">
        <v>1</v>
      </c>
      <c r="BB4484" t="str">
        <f t="shared" si="2046"/>
        <v xml:space="preserve">N711JA  </v>
      </c>
      <c r="BC4484">
        <v>1</v>
      </c>
      <c r="BE4484">
        <v>0</v>
      </c>
      <c r="BF4484">
        <v>0</v>
      </c>
      <c r="BG4484">
        <v>0</v>
      </c>
      <c r="BH4484">
        <v>2200</v>
      </c>
      <c r="BI4484">
        <v>1</v>
      </c>
      <c r="BJ4484">
        <v>1</v>
      </c>
      <c r="BK4484">
        <v>0</v>
      </c>
      <c r="BL4484">
        <v>0</v>
      </c>
      <c r="BO4484">
        <v>0</v>
      </c>
      <c r="BP4484">
        <v>0</v>
      </c>
      <c r="BW4484" t="str">
        <f t="shared" si="2066"/>
        <v>14:49:27.424</v>
      </c>
      <c r="CJ4484">
        <v>0</v>
      </c>
      <c r="CK4484">
        <v>2</v>
      </c>
      <c r="CL4484">
        <v>0</v>
      </c>
      <c r="CM4484">
        <v>2</v>
      </c>
      <c r="CN4484">
        <v>0</v>
      </c>
      <c r="CO4484">
        <v>7</v>
      </c>
      <c r="CP4484" t="s">
        <v>119</v>
      </c>
      <c r="CQ4484">
        <v>8</v>
      </c>
      <c r="CR4484">
        <v>3</v>
      </c>
      <c r="CW4484">
        <v>9161037</v>
      </c>
      <c r="CY4484">
        <v>1</v>
      </c>
      <c r="CZ4484">
        <v>0</v>
      </c>
      <c r="DA4484">
        <v>1</v>
      </c>
      <c r="DB4484">
        <v>0</v>
      </c>
      <c r="DC4484">
        <v>0</v>
      </c>
      <c r="DD4484">
        <v>1</v>
      </c>
      <c r="DE4484">
        <v>0</v>
      </c>
      <c r="DF4484">
        <v>0</v>
      </c>
      <c r="DG4484">
        <v>0</v>
      </c>
      <c r="DH4484">
        <v>0</v>
      </c>
      <c r="DI4484">
        <v>0</v>
      </c>
    </row>
    <row r="4485" spans="1:113" x14ac:dyDescent="0.3">
      <c r="A4485" t="str">
        <f t="shared" si="2063"/>
        <v>05/12/2020 14:49:09.584</v>
      </c>
      <c r="C4485" t="str">
        <f t="shared" si="2045"/>
        <v>FFDFD3C0</v>
      </c>
      <c r="D4485" t="s">
        <v>113</v>
      </c>
      <c r="E4485">
        <v>3</v>
      </c>
      <c r="H4485">
        <v>164</v>
      </c>
      <c r="I4485" t="s">
        <v>114</v>
      </c>
      <c r="J4485" t="s">
        <v>115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 t="shared" si="2064"/>
        <v>14:49:27.422</v>
      </c>
      <c r="T4485" t="str">
        <f t="shared" si="2065"/>
        <v>14:49:27.222</v>
      </c>
      <c r="U4485" t="str">
        <f t="shared" si="2067"/>
        <v>A9808D</v>
      </c>
      <c r="V4485">
        <v>0</v>
      </c>
      <c r="W4485">
        <v>0</v>
      </c>
      <c r="X4485">
        <v>1</v>
      </c>
      <c r="Z4485">
        <v>0</v>
      </c>
      <c r="AA4485">
        <v>9</v>
      </c>
      <c r="AB4485">
        <v>3</v>
      </c>
      <c r="AC4485">
        <v>0</v>
      </c>
      <c r="AD4485">
        <v>10</v>
      </c>
      <c r="AE4485">
        <v>0</v>
      </c>
      <c r="AF4485">
        <v>3</v>
      </c>
      <c r="AG4485">
        <v>2</v>
      </c>
      <c r="AH4485">
        <v>0</v>
      </c>
      <c r="AI4485" t="s">
        <v>1008</v>
      </c>
      <c r="AJ4485">
        <v>28.24718</v>
      </c>
      <c r="AK4485" t="s">
        <v>1009</v>
      </c>
      <c r="AL4485">
        <v>-82.327851999999993</v>
      </c>
      <c r="AM4485">
        <v>100</v>
      </c>
      <c r="AN4485">
        <v>2200</v>
      </c>
      <c r="AO4485" t="s">
        <v>118</v>
      </c>
      <c r="AP4485">
        <v>-138</v>
      </c>
      <c r="AQ4485">
        <v>-52</v>
      </c>
      <c r="AR4485">
        <v>128</v>
      </c>
      <c r="AZ4485">
        <v>1200</v>
      </c>
      <c r="BA4485">
        <v>1</v>
      </c>
      <c r="BB4485" t="str">
        <f t="shared" si="2046"/>
        <v xml:space="preserve">N711JA  </v>
      </c>
      <c r="BC4485">
        <v>1</v>
      </c>
      <c r="BE4485">
        <v>0</v>
      </c>
      <c r="BF4485">
        <v>0</v>
      </c>
      <c r="BG4485">
        <v>0</v>
      </c>
      <c r="BH4485">
        <v>2200</v>
      </c>
      <c r="BI4485">
        <v>1</v>
      </c>
      <c r="BJ4485">
        <v>1</v>
      </c>
      <c r="BK4485">
        <v>0</v>
      </c>
      <c r="BL4485">
        <v>0</v>
      </c>
      <c r="BO4485">
        <v>0</v>
      </c>
      <c r="BP4485">
        <v>0</v>
      </c>
      <c r="BW4485" t="str">
        <f t="shared" si="2066"/>
        <v>14:49:27.424</v>
      </c>
      <c r="CJ4485">
        <v>0</v>
      </c>
      <c r="CK4485">
        <v>2</v>
      </c>
      <c r="CL4485">
        <v>0</v>
      </c>
      <c r="CM4485">
        <v>2</v>
      </c>
      <c r="CN4485">
        <v>0</v>
      </c>
      <c r="CO4485">
        <v>7</v>
      </c>
      <c r="CP4485" t="s">
        <v>119</v>
      </c>
      <c r="CQ4485">
        <v>8</v>
      </c>
      <c r="CR4485">
        <v>3</v>
      </c>
      <c r="CW4485">
        <v>9161037</v>
      </c>
      <c r="CY4485">
        <v>1</v>
      </c>
      <c r="CZ4485">
        <v>0</v>
      </c>
      <c r="DA4485">
        <v>1</v>
      </c>
      <c r="DB4485">
        <v>0</v>
      </c>
      <c r="DC4485">
        <v>0</v>
      </c>
      <c r="DD4485">
        <v>1</v>
      </c>
      <c r="DE4485">
        <v>0</v>
      </c>
      <c r="DF4485">
        <v>0</v>
      </c>
      <c r="DG4485">
        <v>0</v>
      </c>
      <c r="DH4485">
        <v>0</v>
      </c>
      <c r="DI4485">
        <v>0</v>
      </c>
    </row>
    <row r="4486" spans="1:113" x14ac:dyDescent="0.3">
      <c r="A4486" t="str">
        <f t="shared" si="2063"/>
        <v>05/12/2020 14:49:09.584</v>
      </c>
      <c r="C4486" t="str">
        <f t="shared" si="2045"/>
        <v>FFDFD3C0</v>
      </c>
      <c r="D4486" t="s">
        <v>138</v>
      </c>
      <c r="E4486">
        <v>2</v>
      </c>
      <c r="H4486">
        <v>8</v>
      </c>
      <c r="I4486" t="s">
        <v>139</v>
      </c>
      <c r="J4486" t="s">
        <v>136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 t="shared" si="2064"/>
        <v>14:49:27.422</v>
      </c>
      <c r="T4486" t="str">
        <f t="shared" si="2065"/>
        <v>14:49:27.222</v>
      </c>
      <c r="U4486" t="str">
        <f t="shared" si="2067"/>
        <v>A9808D</v>
      </c>
      <c r="V4486">
        <v>0</v>
      </c>
      <c r="W4486">
        <v>0</v>
      </c>
      <c r="X4486">
        <v>1</v>
      </c>
      <c r="Z4486">
        <v>0</v>
      </c>
      <c r="AA4486">
        <v>9</v>
      </c>
      <c r="AB4486">
        <v>3</v>
      </c>
      <c r="AC4486">
        <v>0</v>
      </c>
      <c r="AD4486">
        <v>10</v>
      </c>
      <c r="AE4486">
        <v>0</v>
      </c>
      <c r="AF4486">
        <v>3</v>
      </c>
      <c r="AG4486">
        <v>2</v>
      </c>
      <c r="AH4486">
        <v>0</v>
      </c>
      <c r="AI4486" t="s">
        <v>1008</v>
      </c>
      <c r="AJ4486">
        <v>28.24718</v>
      </c>
      <c r="AK4486" t="s">
        <v>1009</v>
      </c>
      <c r="AL4486">
        <v>-82.327851999999993</v>
      </c>
      <c r="AM4486">
        <v>100</v>
      </c>
      <c r="AN4486">
        <v>2200</v>
      </c>
      <c r="AO4486" t="s">
        <v>118</v>
      </c>
      <c r="AP4486">
        <v>-138</v>
      </c>
      <c r="AQ4486">
        <v>-52</v>
      </c>
      <c r="AR4486">
        <v>128</v>
      </c>
      <c r="AZ4486">
        <v>1200</v>
      </c>
      <c r="BA4486">
        <v>1</v>
      </c>
      <c r="BB4486" t="str">
        <f t="shared" si="2046"/>
        <v xml:space="preserve">N711JA  </v>
      </c>
      <c r="BC4486">
        <v>1</v>
      </c>
      <c r="BE4486">
        <v>0</v>
      </c>
      <c r="BF4486">
        <v>0</v>
      </c>
      <c r="BG4486">
        <v>0</v>
      </c>
      <c r="BH4486">
        <v>2200</v>
      </c>
      <c r="BI4486">
        <v>1</v>
      </c>
      <c r="BJ4486">
        <v>1</v>
      </c>
      <c r="BK4486">
        <v>0</v>
      </c>
      <c r="BL4486">
        <v>0</v>
      </c>
      <c r="BO4486">
        <v>0</v>
      </c>
      <c r="BP4486">
        <v>0</v>
      </c>
      <c r="BW4486" t="str">
        <f t="shared" si="2066"/>
        <v>14:49:27.424</v>
      </c>
      <c r="CJ4486">
        <v>0</v>
      </c>
      <c r="CK4486">
        <v>2</v>
      </c>
      <c r="CL4486">
        <v>0</v>
      </c>
      <c r="CM4486">
        <v>2</v>
      </c>
      <c r="CN4486">
        <v>0</v>
      </c>
      <c r="CO4486">
        <v>7</v>
      </c>
      <c r="CP4486" t="s">
        <v>119</v>
      </c>
      <c r="CQ4486">
        <v>8</v>
      </c>
      <c r="CR4486">
        <v>3</v>
      </c>
      <c r="CW4486">
        <v>9161037</v>
      </c>
      <c r="CY4486">
        <v>1</v>
      </c>
      <c r="CZ4486">
        <v>0</v>
      </c>
      <c r="DA4486">
        <v>1</v>
      </c>
      <c r="DB4486">
        <v>0</v>
      </c>
      <c r="DC4486">
        <v>0</v>
      </c>
      <c r="DD4486">
        <v>1</v>
      </c>
      <c r="DE4486">
        <v>0</v>
      </c>
      <c r="DF4486">
        <v>0</v>
      </c>
      <c r="DG4486">
        <v>0</v>
      </c>
      <c r="DH4486">
        <v>0</v>
      </c>
      <c r="DI4486">
        <v>0</v>
      </c>
    </row>
    <row r="4487" spans="1:113" x14ac:dyDescent="0.3">
      <c r="A4487" t="str">
        <f t="shared" si="2063"/>
        <v>05/12/2020 14:49:09.584</v>
      </c>
      <c r="C4487" t="str">
        <f t="shared" si="2045"/>
        <v>FFDFD3C0</v>
      </c>
      <c r="D4487" t="s">
        <v>138</v>
      </c>
      <c r="E4487">
        <v>3</v>
      </c>
      <c r="H4487">
        <v>9</v>
      </c>
      <c r="I4487" t="s">
        <v>140</v>
      </c>
      <c r="J4487" t="s">
        <v>136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 t="shared" si="2064"/>
        <v>14:49:27.422</v>
      </c>
      <c r="T4487" t="str">
        <f t="shared" si="2065"/>
        <v>14:49:27.222</v>
      </c>
      <c r="U4487" t="str">
        <f t="shared" si="2067"/>
        <v>A9808D</v>
      </c>
      <c r="V4487">
        <v>0</v>
      </c>
      <c r="W4487">
        <v>0</v>
      </c>
      <c r="X4487">
        <v>1</v>
      </c>
      <c r="Z4487">
        <v>0</v>
      </c>
      <c r="AA4487">
        <v>9</v>
      </c>
      <c r="AB4487">
        <v>3</v>
      </c>
      <c r="AC4487">
        <v>0</v>
      </c>
      <c r="AD4487">
        <v>10</v>
      </c>
      <c r="AE4487">
        <v>0</v>
      </c>
      <c r="AF4487">
        <v>3</v>
      </c>
      <c r="AG4487">
        <v>2</v>
      </c>
      <c r="AH4487">
        <v>0</v>
      </c>
      <c r="AI4487" t="s">
        <v>1008</v>
      </c>
      <c r="AJ4487">
        <v>28.24718</v>
      </c>
      <c r="AK4487" t="s">
        <v>1009</v>
      </c>
      <c r="AL4487">
        <v>-82.327851999999993</v>
      </c>
      <c r="AM4487">
        <v>100</v>
      </c>
      <c r="AN4487">
        <v>2200</v>
      </c>
      <c r="AO4487" t="s">
        <v>118</v>
      </c>
      <c r="AP4487">
        <v>-138</v>
      </c>
      <c r="AQ4487">
        <v>-52</v>
      </c>
      <c r="AR4487">
        <v>128</v>
      </c>
      <c r="AZ4487">
        <v>1200</v>
      </c>
      <c r="BA4487">
        <v>1</v>
      </c>
      <c r="BB4487" t="str">
        <f t="shared" si="2046"/>
        <v xml:space="preserve">N711JA  </v>
      </c>
      <c r="BC4487">
        <v>1</v>
      </c>
      <c r="BE4487">
        <v>0</v>
      </c>
      <c r="BF4487">
        <v>0</v>
      </c>
      <c r="BG4487">
        <v>0</v>
      </c>
      <c r="BH4487">
        <v>2200</v>
      </c>
      <c r="BI4487">
        <v>1</v>
      </c>
      <c r="BJ4487">
        <v>1</v>
      </c>
      <c r="BK4487">
        <v>0</v>
      </c>
      <c r="BL4487">
        <v>0</v>
      </c>
      <c r="BO4487">
        <v>0</v>
      </c>
      <c r="BP4487">
        <v>0</v>
      </c>
      <c r="BW4487" t="str">
        <f t="shared" si="2066"/>
        <v>14:49:27.424</v>
      </c>
      <c r="CJ4487">
        <v>0</v>
      </c>
      <c r="CK4487">
        <v>2</v>
      </c>
      <c r="CL4487">
        <v>0</v>
      </c>
      <c r="CM4487">
        <v>2</v>
      </c>
      <c r="CN4487">
        <v>0</v>
      </c>
      <c r="CO4487">
        <v>7</v>
      </c>
      <c r="CP4487" t="s">
        <v>119</v>
      </c>
      <c r="CQ4487">
        <v>8</v>
      </c>
      <c r="CR4487">
        <v>3</v>
      </c>
      <c r="CW4487">
        <v>9161037</v>
      </c>
      <c r="CY4487">
        <v>1</v>
      </c>
      <c r="CZ4487">
        <v>0</v>
      </c>
      <c r="DA4487">
        <v>1</v>
      </c>
      <c r="DB4487">
        <v>0</v>
      </c>
      <c r="DC4487">
        <v>0</v>
      </c>
      <c r="DD4487">
        <v>1</v>
      </c>
      <c r="DE4487">
        <v>0</v>
      </c>
      <c r="DF4487">
        <v>0</v>
      </c>
      <c r="DG4487">
        <v>0</v>
      </c>
      <c r="DH4487">
        <v>0</v>
      </c>
      <c r="DI4487">
        <v>0</v>
      </c>
    </row>
    <row r="4488" spans="1:113" x14ac:dyDescent="0.3">
      <c r="A4488" t="str">
        <f t="shared" ref="A4488:A4496" si="2068">"05/12/2020 14:49:10.673"</f>
        <v>05/12/2020 14:49:10.673</v>
      </c>
      <c r="C4488" t="str">
        <f t="shared" si="2045"/>
        <v>FFDFD3C0</v>
      </c>
      <c r="D4488" t="s">
        <v>134</v>
      </c>
      <c r="E4488">
        <v>12</v>
      </c>
      <c r="H4488">
        <v>64</v>
      </c>
      <c r="I4488" t="s">
        <v>135</v>
      </c>
      <c r="J4488" t="s">
        <v>136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 t="shared" ref="S4488:S4496" si="2069">"14:49:28.500"</f>
        <v>14:49:28.500</v>
      </c>
      <c r="T4488" t="str">
        <f t="shared" ref="T4488:T4496" si="2070">"14:49:28.200"</f>
        <v>14:49:28.200</v>
      </c>
      <c r="U4488" t="str">
        <f t="shared" si="2067"/>
        <v>A9808D</v>
      </c>
      <c r="V4488">
        <v>0</v>
      </c>
      <c r="W4488">
        <v>0</v>
      </c>
      <c r="X4488">
        <v>1</v>
      </c>
      <c r="Z4488">
        <v>0</v>
      </c>
      <c r="AA4488">
        <v>9</v>
      </c>
      <c r="AB4488">
        <v>3</v>
      </c>
      <c r="AC4488">
        <v>0</v>
      </c>
      <c r="AD4488">
        <v>10</v>
      </c>
      <c r="AE4488">
        <v>0</v>
      </c>
      <c r="AF4488">
        <v>3</v>
      </c>
      <c r="AG4488">
        <v>2</v>
      </c>
      <c r="AH4488">
        <v>0</v>
      </c>
      <c r="AI4488" t="s">
        <v>743</v>
      </c>
      <c r="AJ4488">
        <v>28.246922000000001</v>
      </c>
      <c r="AK4488" t="s">
        <v>1010</v>
      </c>
      <c r="AL4488">
        <v>-82.328625000000002</v>
      </c>
      <c r="AM4488">
        <v>100</v>
      </c>
      <c r="AN4488">
        <v>2200</v>
      </c>
      <c r="AO4488" t="s">
        <v>118</v>
      </c>
      <c r="AP4488">
        <v>-138</v>
      </c>
      <c r="AQ4488">
        <v>-51</v>
      </c>
      <c r="AR4488">
        <v>128</v>
      </c>
      <c r="AZ4488">
        <v>1200</v>
      </c>
      <c r="BA4488">
        <v>1</v>
      </c>
      <c r="BB4488" t="str">
        <f t="shared" si="2046"/>
        <v xml:space="preserve">N711JA  </v>
      </c>
      <c r="BC4488">
        <v>1</v>
      </c>
      <c r="BE4488">
        <v>0</v>
      </c>
      <c r="BF4488">
        <v>0</v>
      </c>
      <c r="BG4488">
        <v>0</v>
      </c>
      <c r="BH4488">
        <v>2200</v>
      </c>
      <c r="BI4488">
        <v>1</v>
      </c>
      <c r="BJ4488">
        <v>1</v>
      </c>
      <c r="BK4488">
        <v>0</v>
      </c>
      <c r="BL4488">
        <v>0</v>
      </c>
      <c r="BO4488">
        <v>0</v>
      </c>
      <c r="BP4488">
        <v>0</v>
      </c>
      <c r="BW4488" t="str">
        <f t="shared" ref="BW4488:BW4494" si="2071">"14:49:28.501"</f>
        <v>14:49:28.501</v>
      </c>
      <c r="CJ4488">
        <v>0</v>
      </c>
      <c r="CK4488">
        <v>2</v>
      </c>
      <c r="CL4488">
        <v>0</v>
      </c>
      <c r="CM4488">
        <v>2</v>
      </c>
      <c r="CN4488">
        <v>0</v>
      </c>
      <c r="CO4488">
        <v>7</v>
      </c>
      <c r="CP4488" t="s">
        <v>119</v>
      </c>
      <c r="CQ4488">
        <v>8</v>
      </c>
      <c r="CR4488">
        <v>3</v>
      </c>
      <c r="CW4488">
        <v>9162155</v>
      </c>
      <c r="CY4488">
        <v>1</v>
      </c>
      <c r="CZ4488">
        <v>0</v>
      </c>
      <c r="DA4488">
        <v>0</v>
      </c>
      <c r="DB4488">
        <v>0</v>
      </c>
      <c r="DC4488">
        <v>0</v>
      </c>
      <c r="DD4488">
        <v>1</v>
      </c>
      <c r="DE4488">
        <v>0</v>
      </c>
      <c r="DF4488">
        <v>0</v>
      </c>
      <c r="DG4488">
        <v>0</v>
      </c>
      <c r="DH4488">
        <v>0</v>
      </c>
      <c r="DI4488">
        <v>0</v>
      </c>
    </row>
    <row r="4489" spans="1:113" x14ac:dyDescent="0.3">
      <c r="A4489" t="str">
        <f t="shared" si="2068"/>
        <v>05/12/2020 14:49:10.673</v>
      </c>
      <c r="C4489" t="str">
        <f t="shared" si="2045"/>
        <v>FFDFD3C0</v>
      </c>
      <c r="D4489" t="s">
        <v>113</v>
      </c>
      <c r="E4489">
        <v>3</v>
      </c>
      <c r="H4489">
        <v>164</v>
      </c>
      <c r="I4489" t="s">
        <v>114</v>
      </c>
      <c r="J4489" t="s">
        <v>115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 t="shared" si="2069"/>
        <v>14:49:28.500</v>
      </c>
      <c r="T4489" t="str">
        <f t="shared" si="2070"/>
        <v>14:49:28.200</v>
      </c>
      <c r="U4489" t="str">
        <f t="shared" si="2067"/>
        <v>A9808D</v>
      </c>
      <c r="V4489">
        <v>0</v>
      </c>
      <c r="W4489">
        <v>0</v>
      </c>
      <c r="X4489">
        <v>1</v>
      </c>
      <c r="Z4489">
        <v>0</v>
      </c>
      <c r="AA4489">
        <v>9</v>
      </c>
      <c r="AB4489">
        <v>3</v>
      </c>
      <c r="AC4489">
        <v>0</v>
      </c>
      <c r="AD4489">
        <v>10</v>
      </c>
      <c r="AE4489">
        <v>0</v>
      </c>
      <c r="AF4489">
        <v>3</v>
      </c>
      <c r="AG4489">
        <v>2</v>
      </c>
      <c r="AH4489">
        <v>0</v>
      </c>
      <c r="AI4489" t="s">
        <v>743</v>
      </c>
      <c r="AJ4489">
        <v>28.246922000000001</v>
      </c>
      <c r="AK4489" t="s">
        <v>1010</v>
      </c>
      <c r="AL4489">
        <v>-82.328625000000002</v>
      </c>
      <c r="AM4489">
        <v>100</v>
      </c>
      <c r="AN4489">
        <v>2200</v>
      </c>
      <c r="AO4489" t="s">
        <v>118</v>
      </c>
      <c r="AP4489">
        <v>-138</v>
      </c>
      <c r="AQ4489">
        <v>-51</v>
      </c>
      <c r="AR4489">
        <v>128</v>
      </c>
      <c r="AZ4489">
        <v>1200</v>
      </c>
      <c r="BA4489">
        <v>1</v>
      </c>
      <c r="BB4489" t="str">
        <f t="shared" si="2046"/>
        <v xml:space="preserve">N711JA  </v>
      </c>
      <c r="BC4489">
        <v>1</v>
      </c>
      <c r="BE4489">
        <v>0</v>
      </c>
      <c r="BF4489">
        <v>0</v>
      </c>
      <c r="BG4489">
        <v>0</v>
      </c>
      <c r="BH4489">
        <v>2200</v>
      </c>
      <c r="BI4489">
        <v>1</v>
      </c>
      <c r="BJ4489">
        <v>1</v>
      </c>
      <c r="BK4489">
        <v>0</v>
      </c>
      <c r="BL4489">
        <v>0</v>
      </c>
      <c r="BO4489">
        <v>0</v>
      </c>
      <c r="BP4489">
        <v>0</v>
      </c>
      <c r="BW4489" t="str">
        <f t="shared" si="2071"/>
        <v>14:49:28.501</v>
      </c>
      <c r="CJ4489">
        <v>0</v>
      </c>
      <c r="CK4489">
        <v>2</v>
      </c>
      <c r="CL4489">
        <v>0</v>
      </c>
      <c r="CM4489">
        <v>2</v>
      </c>
      <c r="CN4489">
        <v>0</v>
      </c>
      <c r="CO4489">
        <v>7</v>
      </c>
      <c r="CP4489" t="s">
        <v>119</v>
      </c>
      <c r="CQ4489">
        <v>8</v>
      </c>
      <c r="CR4489">
        <v>3</v>
      </c>
      <c r="CW4489">
        <v>9162155</v>
      </c>
      <c r="CY4489">
        <v>1</v>
      </c>
      <c r="CZ4489">
        <v>0</v>
      </c>
      <c r="DA4489">
        <v>1</v>
      </c>
      <c r="DB4489">
        <v>0</v>
      </c>
      <c r="DC4489">
        <v>0</v>
      </c>
      <c r="DD4489">
        <v>1</v>
      </c>
      <c r="DE4489">
        <v>0</v>
      </c>
      <c r="DF4489">
        <v>0</v>
      </c>
      <c r="DG4489">
        <v>0</v>
      </c>
      <c r="DH4489">
        <v>0</v>
      </c>
      <c r="DI4489">
        <v>0</v>
      </c>
    </row>
    <row r="4490" spans="1:113" x14ac:dyDescent="0.3">
      <c r="A4490" t="str">
        <f t="shared" si="2068"/>
        <v>05/12/2020 14:49:10.673</v>
      </c>
      <c r="C4490" t="str">
        <f t="shared" si="2045"/>
        <v>FFDFD3C0</v>
      </c>
      <c r="D4490" t="s">
        <v>138</v>
      </c>
      <c r="E4490">
        <v>2</v>
      </c>
      <c r="H4490">
        <v>8</v>
      </c>
      <c r="I4490" t="s">
        <v>139</v>
      </c>
      <c r="J4490" t="s">
        <v>136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 t="shared" si="2069"/>
        <v>14:49:28.500</v>
      </c>
      <c r="T4490" t="str">
        <f t="shared" si="2070"/>
        <v>14:49:28.200</v>
      </c>
      <c r="U4490" t="str">
        <f t="shared" si="2067"/>
        <v>A9808D</v>
      </c>
      <c r="V4490">
        <v>0</v>
      </c>
      <c r="W4490">
        <v>0</v>
      </c>
      <c r="X4490">
        <v>1</v>
      </c>
      <c r="Z4490">
        <v>0</v>
      </c>
      <c r="AA4490">
        <v>9</v>
      </c>
      <c r="AB4490">
        <v>3</v>
      </c>
      <c r="AC4490">
        <v>0</v>
      </c>
      <c r="AD4490">
        <v>10</v>
      </c>
      <c r="AE4490">
        <v>0</v>
      </c>
      <c r="AF4490">
        <v>3</v>
      </c>
      <c r="AG4490">
        <v>2</v>
      </c>
      <c r="AH4490">
        <v>0</v>
      </c>
      <c r="AI4490" t="s">
        <v>743</v>
      </c>
      <c r="AJ4490">
        <v>28.246922000000001</v>
      </c>
      <c r="AK4490" t="s">
        <v>1010</v>
      </c>
      <c r="AL4490">
        <v>-82.328625000000002</v>
      </c>
      <c r="AM4490">
        <v>100</v>
      </c>
      <c r="AN4490">
        <v>2200</v>
      </c>
      <c r="AO4490" t="s">
        <v>118</v>
      </c>
      <c r="AP4490">
        <v>-138</v>
      </c>
      <c r="AQ4490">
        <v>-51</v>
      </c>
      <c r="AR4490">
        <v>128</v>
      </c>
      <c r="AZ4490">
        <v>1200</v>
      </c>
      <c r="BA4490">
        <v>1</v>
      </c>
      <c r="BB4490" t="str">
        <f t="shared" si="2046"/>
        <v xml:space="preserve">N711JA  </v>
      </c>
      <c r="BC4490">
        <v>1</v>
      </c>
      <c r="BE4490">
        <v>0</v>
      </c>
      <c r="BF4490">
        <v>0</v>
      </c>
      <c r="BG4490">
        <v>0</v>
      </c>
      <c r="BH4490">
        <v>2200</v>
      </c>
      <c r="BI4490">
        <v>1</v>
      </c>
      <c r="BJ4490">
        <v>1</v>
      </c>
      <c r="BK4490">
        <v>0</v>
      </c>
      <c r="BL4490">
        <v>0</v>
      </c>
      <c r="BO4490">
        <v>0</v>
      </c>
      <c r="BP4490">
        <v>0</v>
      </c>
      <c r="BW4490" t="str">
        <f t="shared" si="2071"/>
        <v>14:49:28.501</v>
      </c>
      <c r="CJ4490">
        <v>0</v>
      </c>
      <c r="CK4490">
        <v>2</v>
      </c>
      <c r="CL4490">
        <v>0</v>
      </c>
      <c r="CM4490">
        <v>2</v>
      </c>
      <c r="CN4490">
        <v>0</v>
      </c>
      <c r="CO4490">
        <v>7</v>
      </c>
      <c r="CP4490" t="s">
        <v>119</v>
      </c>
      <c r="CQ4490">
        <v>8</v>
      </c>
      <c r="CR4490">
        <v>3</v>
      </c>
      <c r="CW4490">
        <v>9162155</v>
      </c>
      <c r="CY4490">
        <v>1</v>
      </c>
      <c r="CZ4490">
        <v>0</v>
      </c>
      <c r="DA4490">
        <v>1</v>
      </c>
      <c r="DB4490">
        <v>0</v>
      </c>
      <c r="DC4490">
        <v>0</v>
      </c>
      <c r="DD4490">
        <v>1</v>
      </c>
      <c r="DE4490">
        <v>0</v>
      </c>
      <c r="DF4490">
        <v>0</v>
      </c>
      <c r="DG4490">
        <v>0</v>
      </c>
      <c r="DH4490">
        <v>0</v>
      </c>
      <c r="DI4490">
        <v>0</v>
      </c>
    </row>
    <row r="4491" spans="1:113" x14ac:dyDescent="0.3">
      <c r="A4491" t="str">
        <f t="shared" si="2068"/>
        <v>05/12/2020 14:49:10.673</v>
      </c>
      <c r="C4491" t="str">
        <f t="shared" si="2045"/>
        <v>FFDFD3C0</v>
      </c>
      <c r="D4491" t="s">
        <v>138</v>
      </c>
      <c r="E4491">
        <v>3</v>
      </c>
      <c r="H4491">
        <v>9</v>
      </c>
      <c r="I4491" t="s">
        <v>140</v>
      </c>
      <c r="J4491" t="s">
        <v>136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 t="shared" si="2069"/>
        <v>14:49:28.500</v>
      </c>
      <c r="T4491" t="str">
        <f t="shared" si="2070"/>
        <v>14:49:28.200</v>
      </c>
      <c r="U4491" t="str">
        <f t="shared" si="2067"/>
        <v>A9808D</v>
      </c>
      <c r="V4491">
        <v>0</v>
      </c>
      <c r="W4491">
        <v>0</v>
      </c>
      <c r="X4491">
        <v>1</v>
      </c>
      <c r="Z4491">
        <v>0</v>
      </c>
      <c r="AA4491">
        <v>9</v>
      </c>
      <c r="AB4491">
        <v>3</v>
      </c>
      <c r="AC4491">
        <v>0</v>
      </c>
      <c r="AD4491">
        <v>10</v>
      </c>
      <c r="AE4491">
        <v>0</v>
      </c>
      <c r="AF4491">
        <v>3</v>
      </c>
      <c r="AG4491">
        <v>2</v>
      </c>
      <c r="AH4491">
        <v>0</v>
      </c>
      <c r="AI4491" t="s">
        <v>743</v>
      </c>
      <c r="AJ4491">
        <v>28.246922000000001</v>
      </c>
      <c r="AK4491" t="s">
        <v>1010</v>
      </c>
      <c r="AL4491">
        <v>-82.328625000000002</v>
      </c>
      <c r="AM4491">
        <v>100</v>
      </c>
      <c r="AN4491">
        <v>2200</v>
      </c>
      <c r="AO4491" t="s">
        <v>118</v>
      </c>
      <c r="AP4491">
        <v>-138</v>
      </c>
      <c r="AQ4491">
        <v>-51</v>
      </c>
      <c r="AR4491">
        <v>128</v>
      </c>
      <c r="AZ4491">
        <v>1200</v>
      </c>
      <c r="BA4491">
        <v>1</v>
      </c>
      <c r="BB4491" t="str">
        <f t="shared" si="2046"/>
        <v xml:space="preserve">N711JA  </v>
      </c>
      <c r="BC4491">
        <v>1</v>
      </c>
      <c r="BE4491">
        <v>0</v>
      </c>
      <c r="BF4491">
        <v>0</v>
      </c>
      <c r="BG4491">
        <v>0</v>
      </c>
      <c r="BH4491">
        <v>2200</v>
      </c>
      <c r="BI4491">
        <v>1</v>
      </c>
      <c r="BJ4491">
        <v>1</v>
      </c>
      <c r="BK4491">
        <v>0</v>
      </c>
      <c r="BL4491">
        <v>0</v>
      </c>
      <c r="BO4491">
        <v>0</v>
      </c>
      <c r="BP4491">
        <v>0</v>
      </c>
      <c r="BW4491" t="str">
        <f t="shared" si="2071"/>
        <v>14:49:28.501</v>
      </c>
      <c r="CJ4491">
        <v>0</v>
      </c>
      <c r="CK4491">
        <v>2</v>
      </c>
      <c r="CL4491">
        <v>0</v>
      </c>
      <c r="CM4491">
        <v>2</v>
      </c>
      <c r="CN4491">
        <v>0</v>
      </c>
      <c r="CO4491">
        <v>7</v>
      </c>
      <c r="CP4491" t="s">
        <v>119</v>
      </c>
      <c r="CQ4491">
        <v>8</v>
      </c>
      <c r="CR4491">
        <v>3</v>
      </c>
      <c r="CW4491">
        <v>9162155</v>
      </c>
      <c r="CY4491">
        <v>1</v>
      </c>
      <c r="CZ4491">
        <v>0</v>
      </c>
      <c r="DA4491">
        <v>1</v>
      </c>
      <c r="DB4491">
        <v>0</v>
      </c>
      <c r="DC4491">
        <v>0</v>
      </c>
      <c r="DD4491">
        <v>1</v>
      </c>
      <c r="DE4491">
        <v>0</v>
      </c>
      <c r="DF4491">
        <v>0</v>
      </c>
      <c r="DG4491">
        <v>0</v>
      </c>
      <c r="DH4491">
        <v>0</v>
      </c>
      <c r="DI4491">
        <v>0</v>
      </c>
    </row>
    <row r="4492" spans="1:113" x14ac:dyDescent="0.3">
      <c r="A4492" t="str">
        <f t="shared" si="2068"/>
        <v>05/12/2020 14:49:10.673</v>
      </c>
      <c r="C4492" t="str">
        <f t="shared" si="2045"/>
        <v>FFDFD3C0</v>
      </c>
      <c r="D4492" t="s">
        <v>126</v>
      </c>
      <c r="E4492">
        <v>7</v>
      </c>
      <c r="F4492">
        <v>1007</v>
      </c>
      <c r="G4492" t="s">
        <v>127</v>
      </c>
      <c r="J4492" t="s">
        <v>128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 t="shared" si="2069"/>
        <v>14:49:28.500</v>
      </c>
      <c r="T4492" t="str">
        <f t="shared" si="2070"/>
        <v>14:49:28.200</v>
      </c>
      <c r="U4492" t="str">
        <f t="shared" si="2067"/>
        <v>A9808D</v>
      </c>
      <c r="V4492">
        <v>0</v>
      </c>
      <c r="W4492">
        <v>0</v>
      </c>
      <c r="X4492">
        <v>1</v>
      </c>
      <c r="Z4492">
        <v>0</v>
      </c>
      <c r="AA4492">
        <v>9</v>
      </c>
      <c r="AB4492">
        <v>3</v>
      </c>
      <c r="AC4492">
        <v>0</v>
      </c>
      <c r="AD4492">
        <v>10</v>
      </c>
      <c r="AE4492">
        <v>0</v>
      </c>
      <c r="AF4492">
        <v>3</v>
      </c>
      <c r="AG4492">
        <v>2</v>
      </c>
      <c r="AH4492">
        <v>0</v>
      </c>
      <c r="AI4492" t="s">
        <v>743</v>
      </c>
      <c r="AJ4492">
        <v>28.246922000000001</v>
      </c>
      <c r="AK4492" t="s">
        <v>1010</v>
      </c>
      <c r="AL4492">
        <v>-82.328625000000002</v>
      </c>
      <c r="AM4492">
        <v>100</v>
      </c>
      <c r="AN4492">
        <v>2200</v>
      </c>
      <c r="AO4492" t="s">
        <v>118</v>
      </c>
      <c r="AP4492">
        <v>-138</v>
      </c>
      <c r="AQ4492">
        <v>-51</v>
      </c>
      <c r="AR4492">
        <v>128</v>
      </c>
      <c r="AZ4492">
        <v>1200</v>
      </c>
      <c r="BA4492">
        <v>1</v>
      </c>
      <c r="BB4492" t="str">
        <f t="shared" si="2046"/>
        <v xml:space="preserve">N711JA  </v>
      </c>
      <c r="BC4492">
        <v>1</v>
      </c>
      <c r="BE4492">
        <v>0</v>
      </c>
      <c r="BF4492">
        <v>0</v>
      </c>
      <c r="BG4492">
        <v>0</v>
      </c>
      <c r="BH4492">
        <v>2200</v>
      </c>
      <c r="BI4492">
        <v>1</v>
      </c>
      <c r="BJ4492">
        <v>1</v>
      </c>
      <c r="BK4492">
        <v>0</v>
      </c>
      <c r="BL4492">
        <v>0</v>
      </c>
      <c r="BO4492">
        <v>0</v>
      </c>
      <c r="BP4492">
        <v>0</v>
      </c>
      <c r="BW4492" t="str">
        <f t="shared" si="2071"/>
        <v>14:49:28.501</v>
      </c>
      <c r="CJ4492">
        <v>0</v>
      </c>
      <c r="CK4492">
        <v>2</v>
      </c>
      <c r="CL4492">
        <v>0</v>
      </c>
      <c r="CM4492">
        <v>2</v>
      </c>
      <c r="CN4492">
        <v>0</v>
      </c>
      <c r="CO4492">
        <v>7</v>
      </c>
      <c r="CP4492" t="s">
        <v>119</v>
      </c>
      <c r="CQ4492">
        <v>8</v>
      </c>
      <c r="CR4492">
        <v>3</v>
      </c>
      <c r="CW4492">
        <v>9162155</v>
      </c>
      <c r="CY4492">
        <v>1</v>
      </c>
      <c r="CZ4492">
        <v>0</v>
      </c>
      <c r="DA4492">
        <v>1</v>
      </c>
      <c r="DB4492">
        <v>0</v>
      </c>
      <c r="DC4492">
        <v>0</v>
      </c>
      <c r="DD4492">
        <v>1</v>
      </c>
      <c r="DE4492">
        <v>0</v>
      </c>
      <c r="DF4492">
        <v>0</v>
      </c>
      <c r="DG4492">
        <v>0</v>
      </c>
      <c r="DH4492">
        <v>0</v>
      </c>
      <c r="DI4492">
        <v>0</v>
      </c>
    </row>
    <row r="4493" spans="1:113" x14ac:dyDescent="0.3">
      <c r="A4493" t="str">
        <f t="shared" si="2068"/>
        <v>05/12/2020 14:49:10.673</v>
      </c>
      <c r="C4493" t="str">
        <f t="shared" si="2045"/>
        <v>FFDFD3C0</v>
      </c>
      <c r="D4493" t="s">
        <v>131</v>
      </c>
      <c r="E4493">
        <v>10</v>
      </c>
      <c r="F4493">
        <v>2010</v>
      </c>
      <c r="G4493" t="s">
        <v>132</v>
      </c>
      <c r="J4493" t="s">
        <v>133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 t="shared" si="2069"/>
        <v>14:49:28.500</v>
      </c>
      <c r="T4493" t="str">
        <f t="shared" si="2070"/>
        <v>14:49:28.200</v>
      </c>
      <c r="U4493" t="str">
        <f t="shared" si="2067"/>
        <v>A9808D</v>
      </c>
      <c r="V4493">
        <v>0</v>
      </c>
      <c r="W4493">
        <v>0</v>
      </c>
      <c r="X4493">
        <v>1</v>
      </c>
      <c r="Z4493">
        <v>0</v>
      </c>
      <c r="AA4493">
        <v>9</v>
      </c>
      <c r="AB4493">
        <v>3</v>
      </c>
      <c r="AC4493">
        <v>0</v>
      </c>
      <c r="AD4493">
        <v>10</v>
      </c>
      <c r="AE4493">
        <v>0</v>
      </c>
      <c r="AF4493">
        <v>3</v>
      </c>
      <c r="AG4493">
        <v>2</v>
      </c>
      <c r="AH4493">
        <v>0</v>
      </c>
      <c r="AI4493" t="s">
        <v>743</v>
      </c>
      <c r="AJ4493">
        <v>28.246922000000001</v>
      </c>
      <c r="AK4493" t="s">
        <v>1010</v>
      </c>
      <c r="AL4493">
        <v>-82.328625000000002</v>
      </c>
      <c r="AM4493">
        <v>100</v>
      </c>
      <c r="AN4493">
        <v>2200</v>
      </c>
      <c r="AO4493" t="s">
        <v>118</v>
      </c>
      <c r="AP4493">
        <v>-138</v>
      </c>
      <c r="AQ4493">
        <v>-51</v>
      </c>
      <c r="AR4493">
        <v>128</v>
      </c>
      <c r="AZ4493">
        <v>1200</v>
      </c>
      <c r="BA4493">
        <v>1</v>
      </c>
      <c r="BB4493" t="str">
        <f t="shared" si="2046"/>
        <v xml:space="preserve">N711JA  </v>
      </c>
      <c r="BC4493">
        <v>1</v>
      </c>
      <c r="BE4493">
        <v>0</v>
      </c>
      <c r="BF4493">
        <v>0</v>
      </c>
      <c r="BG4493">
        <v>0</v>
      </c>
      <c r="BH4493">
        <v>2200</v>
      </c>
      <c r="BI4493">
        <v>1</v>
      </c>
      <c r="BJ4493">
        <v>1</v>
      </c>
      <c r="BK4493">
        <v>0</v>
      </c>
      <c r="BL4493">
        <v>0</v>
      </c>
      <c r="BO4493">
        <v>0</v>
      </c>
      <c r="BP4493">
        <v>0</v>
      </c>
      <c r="BW4493" t="str">
        <f t="shared" si="2071"/>
        <v>14:49:28.501</v>
      </c>
      <c r="CJ4493">
        <v>0</v>
      </c>
      <c r="CK4493">
        <v>2</v>
      </c>
      <c r="CL4493">
        <v>0</v>
      </c>
      <c r="CM4493">
        <v>2</v>
      </c>
      <c r="CN4493">
        <v>0</v>
      </c>
      <c r="CO4493">
        <v>7</v>
      </c>
      <c r="CP4493" t="s">
        <v>119</v>
      </c>
      <c r="CQ4493">
        <v>8</v>
      </c>
      <c r="CR4493">
        <v>3</v>
      </c>
      <c r="CW4493">
        <v>9162155</v>
      </c>
      <c r="CY4493">
        <v>1</v>
      </c>
      <c r="CZ4493">
        <v>0</v>
      </c>
      <c r="DA4493">
        <v>1</v>
      </c>
      <c r="DB4493">
        <v>0</v>
      </c>
      <c r="DC4493">
        <v>0</v>
      </c>
      <c r="DD4493">
        <v>1</v>
      </c>
      <c r="DE4493">
        <v>0</v>
      </c>
      <c r="DF4493">
        <v>0</v>
      </c>
      <c r="DG4493">
        <v>0</v>
      </c>
      <c r="DH4493">
        <v>0</v>
      </c>
      <c r="DI4493">
        <v>0</v>
      </c>
    </row>
    <row r="4494" spans="1:113" x14ac:dyDescent="0.3">
      <c r="A4494" t="str">
        <f t="shared" si="2068"/>
        <v>05/12/2020 14:49:10.673</v>
      </c>
      <c r="C4494" t="str">
        <f t="shared" si="2045"/>
        <v>FFDFD3C0</v>
      </c>
      <c r="D4494" t="s">
        <v>131</v>
      </c>
      <c r="E4494">
        <v>12</v>
      </c>
      <c r="F4494">
        <v>2012</v>
      </c>
      <c r="G4494" t="s">
        <v>137</v>
      </c>
      <c r="J4494" t="s">
        <v>133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 t="shared" si="2069"/>
        <v>14:49:28.500</v>
      </c>
      <c r="T4494" t="str">
        <f t="shared" si="2070"/>
        <v>14:49:28.200</v>
      </c>
      <c r="U4494" t="str">
        <f t="shared" si="2067"/>
        <v>A9808D</v>
      </c>
      <c r="V4494">
        <v>0</v>
      </c>
      <c r="W4494">
        <v>0</v>
      </c>
      <c r="X4494">
        <v>1</v>
      </c>
      <c r="Z4494">
        <v>0</v>
      </c>
      <c r="AA4494">
        <v>9</v>
      </c>
      <c r="AB4494">
        <v>3</v>
      </c>
      <c r="AC4494">
        <v>0</v>
      </c>
      <c r="AD4494">
        <v>10</v>
      </c>
      <c r="AE4494">
        <v>0</v>
      </c>
      <c r="AF4494">
        <v>3</v>
      </c>
      <c r="AG4494">
        <v>2</v>
      </c>
      <c r="AH4494">
        <v>0</v>
      </c>
      <c r="AI4494" t="s">
        <v>743</v>
      </c>
      <c r="AJ4494">
        <v>28.246922000000001</v>
      </c>
      <c r="AK4494" t="s">
        <v>1010</v>
      </c>
      <c r="AL4494">
        <v>-82.328625000000002</v>
      </c>
      <c r="AM4494">
        <v>100</v>
      </c>
      <c r="AN4494">
        <v>2200</v>
      </c>
      <c r="AO4494" t="s">
        <v>118</v>
      </c>
      <c r="AP4494">
        <v>-138</v>
      </c>
      <c r="AQ4494">
        <v>-51</v>
      </c>
      <c r="AR4494">
        <v>128</v>
      </c>
      <c r="AZ4494">
        <v>1200</v>
      </c>
      <c r="BA4494">
        <v>1</v>
      </c>
      <c r="BB4494" t="str">
        <f t="shared" si="2046"/>
        <v xml:space="preserve">N711JA  </v>
      </c>
      <c r="BC4494">
        <v>1</v>
      </c>
      <c r="BE4494">
        <v>0</v>
      </c>
      <c r="BF4494">
        <v>0</v>
      </c>
      <c r="BG4494">
        <v>0</v>
      </c>
      <c r="BH4494">
        <v>2200</v>
      </c>
      <c r="BI4494">
        <v>1</v>
      </c>
      <c r="BJ4494">
        <v>1</v>
      </c>
      <c r="BK4494">
        <v>0</v>
      </c>
      <c r="BL4494">
        <v>0</v>
      </c>
      <c r="BO4494">
        <v>0</v>
      </c>
      <c r="BP4494">
        <v>0</v>
      </c>
      <c r="BW4494" t="str">
        <f t="shared" si="2071"/>
        <v>14:49:28.501</v>
      </c>
      <c r="CJ4494">
        <v>0</v>
      </c>
      <c r="CK4494">
        <v>2</v>
      </c>
      <c r="CL4494">
        <v>0</v>
      </c>
      <c r="CM4494">
        <v>2</v>
      </c>
      <c r="CN4494">
        <v>0</v>
      </c>
      <c r="CO4494">
        <v>7</v>
      </c>
      <c r="CP4494" t="s">
        <v>119</v>
      </c>
      <c r="CQ4494">
        <v>8</v>
      </c>
      <c r="CR4494">
        <v>3</v>
      </c>
      <c r="CW4494">
        <v>9162155</v>
      </c>
      <c r="CY4494">
        <v>1</v>
      </c>
      <c r="CZ4494">
        <v>0</v>
      </c>
      <c r="DA4494">
        <v>1</v>
      </c>
      <c r="DB4494">
        <v>0</v>
      </c>
      <c r="DC4494">
        <v>0</v>
      </c>
      <c r="DD4494">
        <v>1</v>
      </c>
      <c r="DE4494">
        <v>0</v>
      </c>
      <c r="DF4494">
        <v>0</v>
      </c>
      <c r="DG4494">
        <v>0</v>
      </c>
      <c r="DH4494">
        <v>0</v>
      </c>
      <c r="DI4494">
        <v>0</v>
      </c>
    </row>
    <row r="4495" spans="1:113" x14ac:dyDescent="0.3">
      <c r="A4495" t="str">
        <f t="shared" si="2068"/>
        <v>05/12/2020 14:49:10.673</v>
      </c>
      <c r="C4495" t="str">
        <f t="shared" si="2045"/>
        <v>FFDFD3C0</v>
      </c>
      <c r="D4495" t="s">
        <v>131</v>
      </c>
      <c r="E4495">
        <v>18</v>
      </c>
      <c r="F4495">
        <v>2018</v>
      </c>
      <c r="G4495" t="s">
        <v>161</v>
      </c>
      <c r="J4495" t="s">
        <v>133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 t="shared" si="2069"/>
        <v>14:49:28.500</v>
      </c>
      <c r="T4495" t="str">
        <f t="shared" si="2070"/>
        <v>14:49:28.200</v>
      </c>
      <c r="U4495" t="str">
        <f t="shared" si="2067"/>
        <v>A9808D</v>
      </c>
      <c r="V4495">
        <v>0</v>
      </c>
      <c r="W4495">
        <v>0</v>
      </c>
      <c r="X4495">
        <v>1</v>
      </c>
      <c r="Z4495">
        <v>0</v>
      </c>
      <c r="AA4495">
        <v>9</v>
      </c>
      <c r="AB4495">
        <v>3</v>
      </c>
      <c r="AC4495">
        <v>0</v>
      </c>
      <c r="AD4495">
        <v>10</v>
      </c>
      <c r="AE4495">
        <v>0</v>
      </c>
      <c r="AF4495">
        <v>3</v>
      </c>
      <c r="AG4495">
        <v>2</v>
      </c>
      <c r="AH4495">
        <v>0</v>
      </c>
      <c r="AI4495" t="s">
        <v>743</v>
      </c>
      <c r="AJ4495">
        <v>28.246922000000001</v>
      </c>
      <c r="AK4495" t="s">
        <v>1010</v>
      </c>
      <c r="AL4495">
        <v>-82.328625000000002</v>
      </c>
      <c r="AM4495">
        <v>100</v>
      </c>
      <c r="AN4495">
        <v>2200</v>
      </c>
      <c r="AO4495" t="s">
        <v>118</v>
      </c>
      <c r="AP4495">
        <v>-138</v>
      </c>
      <c r="AQ4495">
        <v>-51</v>
      </c>
      <c r="AR4495">
        <v>128</v>
      </c>
      <c r="AZ4495">
        <v>1200</v>
      </c>
      <c r="BA4495">
        <v>1</v>
      </c>
      <c r="BB4495" t="str">
        <f t="shared" si="2046"/>
        <v xml:space="preserve">N711JA  </v>
      </c>
      <c r="BC4495">
        <v>1</v>
      </c>
      <c r="BE4495">
        <v>0</v>
      </c>
      <c r="BF4495">
        <v>0</v>
      </c>
      <c r="BG4495">
        <v>0</v>
      </c>
      <c r="BH4495">
        <v>2200</v>
      </c>
      <c r="BI4495">
        <v>1</v>
      </c>
      <c r="BJ4495">
        <v>1</v>
      </c>
      <c r="BK4495">
        <v>0</v>
      </c>
      <c r="BL4495">
        <v>0</v>
      </c>
      <c r="BO4495">
        <v>0</v>
      </c>
      <c r="BP4495">
        <v>0</v>
      </c>
      <c r="BW4495" t="str">
        <f>"14:49:28.502"</f>
        <v>14:49:28.502</v>
      </c>
      <c r="CJ4495">
        <v>0</v>
      </c>
      <c r="CK4495">
        <v>2</v>
      </c>
      <c r="CL4495">
        <v>0</v>
      </c>
      <c r="CM4495">
        <v>2</v>
      </c>
      <c r="CN4495">
        <v>0</v>
      </c>
      <c r="CO4495">
        <v>3</v>
      </c>
      <c r="CP4495" t="s">
        <v>119</v>
      </c>
      <c r="CQ4495">
        <v>62</v>
      </c>
      <c r="CR4495">
        <v>1</v>
      </c>
      <c r="CW4495">
        <v>13056353</v>
      </c>
      <c r="CY4495">
        <v>1</v>
      </c>
      <c r="CZ4495">
        <v>0</v>
      </c>
      <c r="DA4495">
        <v>1</v>
      </c>
      <c r="DB4495">
        <v>0</v>
      </c>
      <c r="DC4495">
        <v>0</v>
      </c>
      <c r="DD4495">
        <v>1</v>
      </c>
      <c r="DE4495">
        <v>0</v>
      </c>
      <c r="DF4495">
        <v>0</v>
      </c>
      <c r="DG4495">
        <v>0</v>
      </c>
      <c r="DH4495">
        <v>0</v>
      </c>
      <c r="DI4495">
        <v>0</v>
      </c>
    </row>
    <row r="4496" spans="1:113" x14ac:dyDescent="0.3">
      <c r="A4496" t="str">
        <f t="shared" si="2068"/>
        <v>05/12/2020 14:49:10.673</v>
      </c>
      <c r="C4496" t="str">
        <f t="shared" si="2045"/>
        <v>FFDFD3C0</v>
      </c>
      <c r="D4496" t="s">
        <v>126</v>
      </c>
      <c r="E4496">
        <v>6</v>
      </c>
      <c r="F4496">
        <v>1006</v>
      </c>
      <c r="G4496" t="s">
        <v>114</v>
      </c>
      <c r="J4496" t="s">
        <v>128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 t="shared" si="2069"/>
        <v>14:49:28.500</v>
      </c>
      <c r="T4496" t="str">
        <f t="shared" si="2070"/>
        <v>14:49:28.200</v>
      </c>
      <c r="U4496" t="str">
        <f t="shared" si="2067"/>
        <v>A9808D</v>
      </c>
      <c r="V4496">
        <v>0</v>
      </c>
      <c r="W4496">
        <v>0</v>
      </c>
      <c r="X4496">
        <v>1</v>
      </c>
      <c r="Z4496">
        <v>0</v>
      </c>
      <c r="AA4496">
        <v>9</v>
      </c>
      <c r="AB4496">
        <v>3</v>
      </c>
      <c r="AC4496">
        <v>0</v>
      </c>
      <c r="AD4496">
        <v>10</v>
      </c>
      <c r="AE4496">
        <v>0</v>
      </c>
      <c r="AF4496">
        <v>3</v>
      </c>
      <c r="AG4496">
        <v>2</v>
      </c>
      <c r="AH4496">
        <v>0</v>
      </c>
      <c r="AI4496" t="s">
        <v>743</v>
      </c>
      <c r="AJ4496">
        <v>28.246922000000001</v>
      </c>
      <c r="AK4496" t="s">
        <v>1010</v>
      </c>
      <c r="AL4496">
        <v>-82.328625000000002</v>
      </c>
      <c r="AM4496">
        <v>100</v>
      </c>
      <c r="AN4496">
        <v>2200</v>
      </c>
      <c r="AO4496" t="s">
        <v>118</v>
      </c>
      <c r="AP4496">
        <v>-138</v>
      </c>
      <c r="AQ4496">
        <v>-51</v>
      </c>
      <c r="AR4496">
        <v>128</v>
      </c>
      <c r="AZ4496">
        <v>1200</v>
      </c>
      <c r="BA4496">
        <v>1</v>
      </c>
      <c r="BB4496" t="str">
        <f t="shared" si="2046"/>
        <v xml:space="preserve">N711JA  </v>
      </c>
      <c r="BC4496">
        <v>1</v>
      </c>
      <c r="BE4496">
        <v>0</v>
      </c>
      <c r="BF4496">
        <v>0</v>
      </c>
      <c r="BG4496">
        <v>0</v>
      </c>
      <c r="BH4496">
        <v>2200</v>
      </c>
      <c r="BI4496">
        <v>1</v>
      </c>
      <c r="BJ4496">
        <v>1</v>
      </c>
      <c r="BK4496">
        <v>0</v>
      </c>
      <c r="BL4496">
        <v>0</v>
      </c>
      <c r="BO4496">
        <v>0</v>
      </c>
      <c r="BP4496">
        <v>0</v>
      </c>
      <c r="BW4496" t="str">
        <f>"14:49:28.501"</f>
        <v>14:49:28.501</v>
      </c>
      <c r="CJ4496">
        <v>0</v>
      </c>
      <c r="CK4496">
        <v>2</v>
      </c>
      <c r="CL4496">
        <v>0</v>
      </c>
      <c r="CM4496">
        <v>2</v>
      </c>
      <c r="CN4496">
        <v>0</v>
      </c>
      <c r="CO4496">
        <v>7</v>
      </c>
      <c r="CP4496" t="s">
        <v>119</v>
      </c>
      <c r="CQ4496">
        <v>8</v>
      </c>
      <c r="CR4496">
        <v>3</v>
      </c>
      <c r="CW4496">
        <v>9162155</v>
      </c>
      <c r="CY4496">
        <v>1</v>
      </c>
      <c r="CZ4496">
        <v>0</v>
      </c>
      <c r="DA4496">
        <v>1</v>
      </c>
      <c r="DB4496">
        <v>0</v>
      </c>
      <c r="DC4496">
        <v>0</v>
      </c>
      <c r="DD4496">
        <v>1</v>
      </c>
      <c r="DE4496">
        <v>0</v>
      </c>
      <c r="DF4496">
        <v>0</v>
      </c>
      <c r="DG4496">
        <v>0</v>
      </c>
      <c r="DH4496">
        <v>0</v>
      </c>
      <c r="DI4496">
        <v>0</v>
      </c>
    </row>
    <row r="4497" spans="1:113" x14ac:dyDescent="0.3">
      <c r="A4497" t="str">
        <f t="shared" ref="A4497:A4505" si="2072">"05/12/2020 14:49:11.846"</f>
        <v>05/12/2020 14:49:11.846</v>
      </c>
      <c r="C4497" t="str">
        <f t="shared" si="2045"/>
        <v>FFDFD3C0</v>
      </c>
      <c r="D4497" t="s">
        <v>126</v>
      </c>
      <c r="E4497">
        <v>7</v>
      </c>
      <c r="F4497">
        <v>1007</v>
      </c>
      <c r="G4497" t="s">
        <v>127</v>
      </c>
      <c r="J4497" t="s">
        <v>128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 t="shared" ref="S4497:T4505" si="2073">"14:49:29.664"</f>
        <v>14:49:29.664</v>
      </c>
      <c r="T4497" t="str">
        <f t="shared" si="2073"/>
        <v>14:49:29.664</v>
      </c>
      <c r="U4497" t="str">
        <f t="shared" si="2067"/>
        <v>A9808D</v>
      </c>
      <c r="V4497">
        <v>0</v>
      </c>
      <c r="W4497">
        <v>0</v>
      </c>
      <c r="X4497">
        <v>1</v>
      </c>
      <c r="Z4497">
        <v>0</v>
      </c>
      <c r="AA4497">
        <v>9</v>
      </c>
      <c r="AB4497">
        <v>3</v>
      </c>
      <c r="AC4497">
        <v>0</v>
      </c>
      <c r="AD4497">
        <v>10</v>
      </c>
      <c r="AE4497">
        <v>0</v>
      </c>
      <c r="AF4497">
        <v>3</v>
      </c>
      <c r="AG4497">
        <v>2</v>
      </c>
      <c r="AH4497">
        <v>0</v>
      </c>
      <c r="AI4497" t="s">
        <v>773</v>
      </c>
      <c r="AJ4497">
        <v>28.246665</v>
      </c>
      <c r="AK4497" t="s">
        <v>1011</v>
      </c>
      <c r="AL4497">
        <v>-82.329526000000001</v>
      </c>
      <c r="AM4497">
        <v>100</v>
      </c>
      <c r="AN4497">
        <v>2200</v>
      </c>
      <c r="AO4497" t="s">
        <v>118</v>
      </c>
      <c r="AP4497">
        <v>-138</v>
      </c>
      <c r="AQ4497">
        <v>-50</v>
      </c>
      <c r="AR4497">
        <v>128</v>
      </c>
      <c r="AZ4497">
        <v>1200</v>
      </c>
      <c r="BA4497">
        <v>1</v>
      </c>
      <c r="BB4497" t="str">
        <f t="shared" si="2046"/>
        <v xml:space="preserve">N711JA  </v>
      </c>
      <c r="BC4497">
        <v>1</v>
      </c>
      <c r="BE4497">
        <v>0</v>
      </c>
      <c r="BF4497">
        <v>0</v>
      </c>
      <c r="BG4497">
        <v>0</v>
      </c>
      <c r="BH4497">
        <v>2200</v>
      </c>
      <c r="BI4497">
        <v>1</v>
      </c>
      <c r="BJ4497">
        <v>1</v>
      </c>
      <c r="BK4497">
        <v>0</v>
      </c>
      <c r="BL4497">
        <v>0</v>
      </c>
      <c r="BO4497">
        <v>0</v>
      </c>
      <c r="BP4497">
        <v>0</v>
      </c>
      <c r="BW4497" t="str">
        <f t="shared" ref="BW4497:BW4505" si="2074">"14:49:29.671"</f>
        <v>14:49:29.671</v>
      </c>
      <c r="CJ4497">
        <v>0</v>
      </c>
      <c r="CK4497">
        <v>2</v>
      </c>
      <c r="CL4497">
        <v>0</v>
      </c>
      <c r="CM4497">
        <v>2</v>
      </c>
      <c r="CN4497">
        <v>0</v>
      </c>
      <c r="CO4497">
        <v>7</v>
      </c>
      <c r="CP4497" t="s">
        <v>119</v>
      </c>
      <c r="CQ4497">
        <v>8</v>
      </c>
      <c r="CR4497">
        <v>3</v>
      </c>
      <c r="CW4497">
        <v>9163421</v>
      </c>
      <c r="CY4497">
        <v>1</v>
      </c>
      <c r="CZ4497">
        <v>0</v>
      </c>
      <c r="DA4497">
        <v>0</v>
      </c>
      <c r="DB4497">
        <v>0</v>
      </c>
      <c r="DC4497">
        <v>0</v>
      </c>
      <c r="DD4497">
        <v>1</v>
      </c>
      <c r="DE4497">
        <v>0</v>
      </c>
      <c r="DF4497">
        <v>0</v>
      </c>
      <c r="DG4497">
        <v>0</v>
      </c>
      <c r="DH4497">
        <v>0</v>
      </c>
      <c r="DI4497">
        <v>0</v>
      </c>
    </row>
    <row r="4498" spans="1:113" x14ac:dyDescent="0.3">
      <c r="A4498" t="str">
        <f t="shared" si="2072"/>
        <v>05/12/2020 14:49:11.846</v>
      </c>
      <c r="C4498" t="str">
        <f t="shared" si="2045"/>
        <v>FFDFD3C0</v>
      </c>
      <c r="D4498" t="s">
        <v>131</v>
      </c>
      <c r="E4498">
        <v>10</v>
      </c>
      <c r="F4498">
        <v>2010</v>
      </c>
      <c r="G4498" t="s">
        <v>132</v>
      </c>
      <c r="J4498" t="s">
        <v>133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 t="shared" si="2073"/>
        <v>14:49:29.664</v>
      </c>
      <c r="T4498" t="str">
        <f t="shared" si="2073"/>
        <v>14:49:29.664</v>
      </c>
      <c r="U4498" t="str">
        <f t="shared" si="2067"/>
        <v>A9808D</v>
      </c>
      <c r="V4498">
        <v>0</v>
      </c>
      <c r="W4498">
        <v>0</v>
      </c>
      <c r="X4498">
        <v>1</v>
      </c>
      <c r="Z4498">
        <v>0</v>
      </c>
      <c r="AA4498">
        <v>9</v>
      </c>
      <c r="AB4498">
        <v>3</v>
      </c>
      <c r="AC4498">
        <v>0</v>
      </c>
      <c r="AD4498">
        <v>10</v>
      </c>
      <c r="AE4498">
        <v>0</v>
      </c>
      <c r="AF4498">
        <v>3</v>
      </c>
      <c r="AG4498">
        <v>2</v>
      </c>
      <c r="AH4498">
        <v>0</v>
      </c>
      <c r="AI4498" t="s">
        <v>773</v>
      </c>
      <c r="AJ4498">
        <v>28.246665</v>
      </c>
      <c r="AK4498" t="s">
        <v>1011</v>
      </c>
      <c r="AL4498">
        <v>-82.329526000000001</v>
      </c>
      <c r="AM4498">
        <v>100</v>
      </c>
      <c r="AN4498">
        <v>2200</v>
      </c>
      <c r="AO4498" t="s">
        <v>118</v>
      </c>
      <c r="AP4498">
        <v>-138</v>
      </c>
      <c r="AQ4498">
        <v>-50</v>
      </c>
      <c r="AR4498">
        <v>128</v>
      </c>
      <c r="AZ4498">
        <v>1200</v>
      </c>
      <c r="BA4498">
        <v>1</v>
      </c>
      <c r="BB4498" t="str">
        <f t="shared" si="2046"/>
        <v xml:space="preserve">N711JA  </v>
      </c>
      <c r="BC4498">
        <v>1</v>
      </c>
      <c r="BE4498">
        <v>0</v>
      </c>
      <c r="BF4498">
        <v>0</v>
      </c>
      <c r="BG4498">
        <v>0</v>
      </c>
      <c r="BH4498">
        <v>2200</v>
      </c>
      <c r="BI4498">
        <v>1</v>
      </c>
      <c r="BJ4498">
        <v>1</v>
      </c>
      <c r="BK4498">
        <v>0</v>
      </c>
      <c r="BL4498">
        <v>0</v>
      </c>
      <c r="BO4498">
        <v>0</v>
      </c>
      <c r="BP4498">
        <v>0</v>
      </c>
      <c r="BW4498" t="str">
        <f t="shared" si="2074"/>
        <v>14:49:29.671</v>
      </c>
      <c r="CJ4498">
        <v>0</v>
      </c>
      <c r="CK4498">
        <v>2</v>
      </c>
      <c r="CL4498">
        <v>0</v>
      </c>
      <c r="CM4498">
        <v>2</v>
      </c>
      <c r="CN4498">
        <v>0</v>
      </c>
      <c r="CO4498">
        <v>7</v>
      </c>
      <c r="CP4498" t="s">
        <v>119</v>
      </c>
      <c r="CQ4498">
        <v>8</v>
      </c>
      <c r="CR4498">
        <v>3</v>
      </c>
      <c r="CW4498">
        <v>9163421</v>
      </c>
      <c r="CY4498">
        <v>1</v>
      </c>
      <c r="CZ4498">
        <v>0</v>
      </c>
      <c r="DA4498">
        <v>1</v>
      </c>
      <c r="DB4498">
        <v>0</v>
      </c>
      <c r="DC4498">
        <v>0</v>
      </c>
      <c r="DD4498">
        <v>1</v>
      </c>
      <c r="DE4498">
        <v>0</v>
      </c>
      <c r="DF4498">
        <v>0</v>
      </c>
      <c r="DG4498">
        <v>0</v>
      </c>
      <c r="DH4498">
        <v>0</v>
      </c>
      <c r="DI4498">
        <v>0</v>
      </c>
    </row>
    <row r="4499" spans="1:113" x14ac:dyDescent="0.3">
      <c r="A4499" t="str">
        <f t="shared" si="2072"/>
        <v>05/12/2020 14:49:11.846</v>
      </c>
      <c r="C4499" t="str">
        <f t="shared" si="2045"/>
        <v>FFDFD3C0</v>
      </c>
      <c r="D4499" t="s">
        <v>138</v>
      </c>
      <c r="E4499">
        <v>3</v>
      </c>
      <c r="H4499">
        <v>9</v>
      </c>
      <c r="I4499" t="s">
        <v>140</v>
      </c>
      <c r="J4499" t="s">
        <v>136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 t="shared" si="2073"/>
        <v>14:49:29.664</v>
      </c>
      <c r="T4499" t="str">
        <f t="shared" si="2073"/>
        <v>14:49:29.664</v>
      </c>
      <c r="U4499" t="str">
        <f t="shared" si="2067"/>
        <v>A9808D</v>
      </c>
      <c r="V4499">
        <v>0</v>
      </c>
      <c r="W4499">
        <v>0</v>
      </c>
      <c r="X4499">
        <v>1</v>
      </c>
      <c r="Z4499">
        <v>0</v>
      </c>
      <c r="AA4499">
        <v>9</v>
      </c>
      <c r="AB4499">
        <v>3</v>
      </c>
      <c r="AC4499">
        <v>0</v>
      </c>
      <c r="AD4499">
        <v>10</v>
      </c>
      <c r="AE4499">
        <v>0</v>
      </c>
      <c r="AF4499">
        <v>3</v>
      </c>
      <c r="AG4499">
        <v>2</v>
      </c>
      <c r="AH4499">
        <v>0</v>
      </c>
      <c r="AI4499" t="s">
        <v>773</v>
      </c>
      <c r="AJ4499">
        <v>28.246665</v>
      </c>
      <c r="AK4499" t="s">
        <v>1011</v>
      </c>
      <c r="AL4499">
        <v>-82.329526000000001</v>
      </c>
      <c r="AM4499">
        <v>100</v>
      </c>
      <c r="AN4499">
        <v>2200</v>
      </c>
      <c r="AO4499" t="s">
        <v>118</v>
      </c>
      <c r="AP4499">
        <v>-138</v>
      </c>
      <c r="AQ4499">
        <v>-50</v>
      </c>
      <c r="AR4499">
        <v>128</v>
      </c>
      <c r="AZ4499">
        <v>1200</v>
      </c>
      <c r="BA4499">
        <v>1</v>
      </c>
      <c r="BB4499" t="str">
        <f t="shared" si="2046"/>
        <v xml:space="preserve">N711JA  </v>
      </c>
      <c r="BC4499">
        <v>1</v>
      </c>
      <c r="BE4499">
        <v>0</v>
      </c>
      <c r="BF4499">
        <v>0</v>
      </c>
      <c r="BG4499">
        <v>0</v>
      </c>
      <c r="BH4499">
        <v>2200</v>
      </c>
      <c r="BI4499">
        <v>1</v>
      </c>
      <c r="BJ4499">
        <v>1</v>
      </c>
      <c r="BK4499">
        <v>0</v>
      </c>
      <c r="BL4499">
        <v>0</v>
      </c>
      <c r="BO4499">
        <v>0</v>
      </c>
      <c r="BP4499">
        <v>0</v>
      </c>
      <c r="BW4499" t="str">
        <f t="shared" si="2074"/>
        <v>14:49:29.671</v>
      </c>
      <c r="CJ4499">
        <v>0</v>
      </c>
      <c r="CK4499">
        <v>2</v>
      </c>
      <c r="CL4499">
        <v>0</v>
      </c>
      <c r="CM4499">
        <v>2</v>
      </c>
      <c r="CN4499">
        <v>0</v>
      </c>
      <c r="CO4499">
        <v>7</v>
      </c>
      <c r="CP4499" t="s">
        <v>119</v>
      </c>
      <c r="CQ4499">
        <v>8</v>
      </c>
      <c r="CR4499">
        <v>3</v>
      </c>
      <c r="CW4499">
        <v>9163421</v>
      </c>
      <c r="CY4499">
        <v>1</v>
      </c>
      <c r="CZ4499">
        <v>0</v>
      </c>
      <c r="DA4499">
        <v>1</v>
      </c>
      <c r="DB4499">
        <v>0</v>
      </c>
      <c r="DC4499">
        <v>0</v>
      </c>
      <c r="DD4499">
        <v>1</v>
      </c>
      <c r="DE4499">
        <v>0</v>
      </c>
      <c r="DF4499">
        <v>0</v>
      </c>
      <c r="DG4499">
        <v>0</v>
      </c>
      <c r="DH4499">
        <v>0</v>
      </c>
      <c r="DI4499">
        <v>0</v>
      </c>
    </row>
    <row r="4500" spans="1:113" x14ac:dyDescent="0.3">
      <c r="A4500" t="str">
        <f t="shared" si="2072"/>
        <v>05/12/2020 14:49:11.846</v>
      </c>
      <c r="C4500" t="str">
        <f t="shared" si="2045"/>
        <v>FFDFD3C0</v>
      </c>
      <c r="D4500" t="s">
        <v>138</v>
      </c>
      <c r="E4500">
        <v>2</v>
      </c>
      <c r="H4500">
        <v>8</v>
      </c>
      <c r="I4500" t="s">
        <v>139</v>
      </c>
      <c r="J4500" t="s">
        <v>136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 t="shared" si="2073"/>
        <v>14:49:29.664</v>
      </c>
      <c r="T4500" t="str">
        <f t="shared" si="2073"/>
        <v>14:49:29.664</v>
      </c>
      <c r="U4500" t="str">
        <f t="shared" si="2067"/>
        <v>A9808D</v>
      </c>
      <c r="V4500">
        <v>0</v>
      </c>
      <c r="W4500">
        <v>0</v>
      </c>
      <c r="X4500">
        <v>1</v>
      </c>
      <c r="Z4500">
        <v>0</v>
      </c>
      <c r="AA4500">
        <v>9</v>
      </c>
      <c r="AB4500">
        <v>3</v>
      </c>
      <c r="AC4500">
        <v>0</v>
      </c>
      <c r="AD4500">
        <v>10</v>
      </c>
      <c r="AE4500">
        <v>0</v>
      </c>
      <c r="AF4500">
        <v>3</v>
      </c>
      <c r="AG4500">
        <v>2</v>
      </c>
      <c r="AH4500">
        <v>0</v>
      </c>
      <c r="AI4500" t="s">
        <v>773</v>
      </c>
      <c r="AJ4500">
        <v>28.246665</v>
      </c>
      <c r="AK4500" t="s">
        <v>1011</v>
      </c>
      <c r="AL4500">
        <v>-82.329526000000001</v>
      </c>
      <c r="AM4500">
        <v>100</v>
      </c>
      <c r="AN4500">
        <v>2200</v>
      </c>
      <c r="AO4500" t="s">
        <v>118</v>
      </c>
      <c r="AP4500">
        <v>-138</v>
      </c>
      <c r="AQ4500">
        <v>-50</v>
      </c>
      <c r="AR4500">
        <v>128</v>
      </c>
      <c r="AZ4500">
        <v>1200</v>
      </c>
      <c r="BA4500">
        <v>1</v>
      </c>
      <c r="BB4500" t="str">
        <f t="shared" si="2046"/>
        <v xml:space="preserve">N711JA  </v>
      </c>
      <c r="BC4500">
        <v>1</v>
      </c>
      <c r="BE4500">
        <v>0</v>
      </c>
      <c r="BF4500">
        <v>0</v>
      </c>
      <c r="BG4500">
        <v>0</v>
      </c>
      <c r="BH4500">
        <v>2200</v>
      </c>
      <c r="BI4500">
        <v>1</v>
      </c>
      <c r="BJ4500">
        <v>1</v>
      </c>
      <c r="BK4500">
        <v>0</v>
      </c>
      <c r="BL4500">
        <v>0</v>
      </c>
      <c r="BO4500">
        <v>0</v>
      </c>
      <c r="BP4500">
        <v>0</v>
      </c>
      <c r="BW4500" t="str">
        <f t="shared" si="2074"/>
        <v>14:49:29.671</v>
      </c>
      <c r="CJ4500">
        <v>0</v>
      </c>
      <c r="CK4500">
        <v>2</v>
      </c>
      <c r="CL4500">
        <v>0</v>
      </c>
      <c r="CM4500">
        <v>2</v>
      </c>
      <c r="CN4500">
        <v>0</v>
      </c>
      <c r="CO4500">
        <v>7</v>
      </c>
      <c r="CP4500" t="s">
        <v>119</v>
      </c>
      <c r="CQ4500">
        <v>8</v>
      </c>
      <c r="CR4500">
        <v>3</v>
      </c>
      <c r="CW4500">
        <v>9163421</v>
      </c>
      <c r="CY4500">
        <v>1</v>
      </c>
      <c r="CZ4500">
        <v>0</v>
      </c>
      <c r="DA4500">
        <v>1</v>
      </c>
      <c r="DB4500">
        <v>0</v>
      </c>
      <c r="DC4500">
        <v>0</v>
      </c>
      <c r="DD4500">
        <v>1</v>
      </c>
      <c r="DE4500">
        <v>0</v>
      </c>
      <c r="DF4500">
        <v>0</v>
      </c>
      <c r="DG4500">
        <v>0</v>
      </c>
      <c r="DH4500">
        <v>0</v>
      </c>
      <c r="DI4500">
        <v>0</v>
      </c>
    </row>
    <row r="4501" spans="1:113" x14ac:dyDescent="0.3">
      <c r="A4501" t="str">
        <f t="shared" si="2072"/>
        <v>05/12/2020 14:49:11.846</v>
      </c>
      <c r="C4501" t="str">
        <f t="shared" si="2045"/>
        <v>FFDFD3C0</v>
      </c>
      <c r="D4501" t="s">
        <v>131</v>
      </c>
      <c r="E4501">
        <v>12</v>
      </c>
      <c r="F4501">
        <v>2012</v>
      </c>
      <c r="G4501" t="s">
        <v>137</v>
      </c>
      <c r="J4501" t="s">
        <v>133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 t="shared" si="2073"/>
        <v>14:49:29.664</v>
      </c>
      <c r="T4501" t="str">
        <f t="shared" si="2073"/>
        <v>14:49:29.664</v>
      </c>
      <c r="U4501" t="str">
        <f t="shared" si="2067"/>
        <v>A9808D</v>
      </c>
      <c r="V4501">
        <v>0</v>
      </c>
      <c r="W4501">
        <v>0</v>
      </c>
      <c r="X4501">
        <v>1</v>
      </c>
      <c r="Z4501">
        <v>0</v>
      </c>
      <c r="AA4501">
        <v>9</v>
      </c>
      <c r="AB4501">
        <v>3</v>
      </c>
      <c r="AC4501">
        <v>0</v>
      </c>
      <c r="AD4501">
        <v>10</v>
      </c>
      <c r="AE4501">
        <v>0</v>
      </c>
      <c r="AF4501">
        <v>3</v>
      </c>
      <c r="AG4501">
        <v>2</v>
      </c>
      <c r="AH4501">
        <v>0</v>
      </c>
      <c r="AI4501" t="s">
        <v>773</v>
      </c>
      <c r="AJ4501">
        <v>28.246665</v>
      </c>
      <c r="AK4501" t="s">
        <v>1011</v>
      </c>
      <c r="AL4501">
        <v>-82.329526000000001</v>
      </c>
      <c r="AM4501">
        <v>100</v>
      </c>
      <c r="AN4501">
        <v>2200</v>
      </c>
      <c r="AO4501" t="s">
        <v>118</v>
      </c>
      <c r="AP4501">
        <v>-138</v>
      </c>
      <c r="AQ4501">
        <v>-50</v>
      </c>
      <c r="AR4501">
        <v>128</v>
      </c>
      <c r="AZ4501">
        <v>1200</v>
      </c>
      <c r="BA4501">
        <v>1</v>
      </c>
      <c r="BB4501" t="str">
        <f t="shared" si="2046"/>
        <v xml:space="preserve">N711JA  </v>
      </c>
      <c r="BC4501">
        <v>1</v>
      </c>
      <c r="BE4501">
        <v>0</v>
      </c>
      <c r="BF4501">
        <v>0</v>
      </c>
      <c r="BG4501">
        <v>0</v>
      </c>
      <c r="BH4501">
        <v>2200</v>
      </c>
      <c r="BI4501">
        <v>1</v>
      </c>
      <c r="BJ4501">
        <v>1</v>
      </c>
      <c r="BK4501">
        <v>0</v>
      </c>
      <c r="BL4501">
        <v>0</v>
      </c>
      <c r="BO4501">
        <v>0</v>
      </c>
      <c r="BP4501">
        <v>0</v>
      </c>
      <c r="BW4501" t="str">
        <f t="shared" si="2074"/>
        <v>14:49:29.671</v>
      </c>
      <c r="CJ4501">
        <v>0</v>
      </c>
      <c r="CK4501">
        <v>2</v>
      </c>
      <c r="CL4501">
        <v>0</v>
      </c>
      <c r="CM4501">
        <v>2</v>
      </c>
      <c r="CN4501">
        <v>0</v>
      </c>
      <c r="CO4501">
        <v>7</v>
      </c>
      <c r="CP4501" t="s">
        <v>119</v>
      </c>
      <c r="CQ4501">
        <v>8</v>
      </c>
      <c r="CR4501">
        <v>3</v>
      </c>
      <c r="CW4501">
        <v>9163421</v>
      </c>
      <c r="CY4501">
        <v>1</v>
      </c>
      <c r="CZ4501">
        <v>0</v>
      </c>
      <c r="DA4501">
        <v>1</v>
      </c>
      <c r="DB4501">
        <v>0</v>
      </c>
      <c r="DC4501">
        <v>0</v>
      </c>
      <c r="DD4501">
        <v>1</v>
      </c>
      <c r="DE4501">
        <v>0</v>
      </c>
      <c r="DF4501">
        <v>0</v>
      </c>
      <c r="DG4501">
        <v>0</v>
      </c>
      <c r="DH4501">
        <v>0</v>
      </c>
      <c r="DI4501">
        <v>0</v>
      </c>
    </row>
    <row r="4502" spans="1:113" x14ac:dyDescent="0.3">
      <c r="A4502" t="str">
        <f t="shared" si="2072"/>
        <v>05/12/2020 14:49:11.846</v>
      </c>
      <c r="C4502" t="str">
        <f t="shared" ref="C4502:C4565" si="2075">"FFDFD3C0"</f>
        <v>FFDFD3C0</v>
      </c>
      <c r="D4502" t="s">
        <v>113</v>
      </c>
      <c r="E4502">
        <v>3</v>
      </c>
      <c r="H4502">
        <v>164</v>
      </c>
      <c r="I4502" t="s">
        <v>114</v>
      </c>
      <c r="J4502" t="s">
        <v>115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 t="shared" si="2073"/>
        <v>14:49:29.664</v>
      </c>
      <c r="T4502" t="str">
        <f t="shared" si="2073"/>
        <v>14:49:29.664</v>
      </c>
      <c r="U4502" t="str">
        <f t="shared" si="2067"/>
        <v>A9808D</v>
      </c>
      <c r="V4502">
        <v>0</v>
      </c>
      <c r="W4502">
        <v>0</v>
      </c>
      <c r="X4502">
        <v>1</v>
      </c>
      <c r="Z4502">
        <v>0</v>
      </c>
      <c r="AA4502">
        <v>9</v>
      </c>
      <c r="AB4502">
        <v>3</v>
      </c>
      <c r="AC4502">
        <v>0</v>
      </c>
      <c r="AD4502">
        <v>10</v>
      </c>
      <c r="AE4502">
        <v>0</v>
      </c>
      <c r="AF4502">
        <v>3</v>
      </c>
      <c r="AG4502">
        <v>2</v>
      </c>
      <c r="AH4502">
        <v>0</v>
      </c>
      <c r="AI4502" t="s">
        <v>773</v>
      </c>
      <c r="AJ4502">
        <v>28.246665</v>
      </c>
      <c r="AK4502" t="s">
        <v>1011</v>
      </c>
      <c r="AL4502">
        <v>-82.329526000000001</v>
      </c>
      <c r="AM4502">
        <v>100</v>
      </c>
      <c r="AN4502">
        <v>2200</v>
      </c>
      <c r="AO4502" t="s">
        <v>118</v>
      </c>
      <c r="AP4502">
        <v>-138</v>
      </c>
      <c r="AQ4502">
        <v>-50</v>
      </c>
      <c r="AR4502">
        <v>128</v>
      </c>
      <c r="AZ4502">
        <v>1200</v>
      </c>
      <c r="BA4502">
        <v>1</v>
      </c>
      <c r="BB4502" t="str">
        <f t="shared" ref="BB4502:BB4565" si="2076">"N711JA  "</f>
        <v xml:space="preserve">N711JA  </v>
      </c>
      <c r="BC4502">
        <v>1</v>
      </c>
      <c r="BE4502">
        <v>0</v>
      </c>
      <c r="BF4502">
        <v>0</v>
      </c>
      <c r="BG4502">
        <v>0</v>
      </c>
      <c r="BH4502">
        <v>2200</v>
      </c>
      <c r="BI4502">
        <v>1</v>
      </c>
      <c r="BJ4502">
        <v>1</v>
      </c>
      <c r="BK4502">
        <v>0</v>
      </c>
      <c r="BL4502">
        <v>0</v>
      </c>
      <c r="BO4502">
        <v>0</v>
      </c>
      <c r="BP4502">
        <v>0</v>
      </c>
      <c r="BW4502" t="str">
        <f t="shared" si="2074"/>
        <v>14:49:29.671</v>
      </c>
      <c r="CJ4502">
        <v>0</v>
      </c>
      <c r="CK4502">
        <v>2</v>
      </c>
      <c r="CL4502">
        <v>0</v>
      </c>
      <c r="CM4502">
        <v>2</v>
      </c>
      <c r="CN4502">
        <v>0</v>
      </c>
      <c r="CO4502">
        <v>7</v>
      </c>
      <c r="CP4502" t="s">
        <v>119</v>
      </c>
      <c r="CQ4502">
        <v>8</v>
      </c>
      <c r="CR4502">
        <v>3</v>
      </c>
      <c r="CW4502">
        <v>9163421</v>
      </c>
      <c r="CY4502">
        <v>1</v>
      </c>
      <c r="CZ4502">
        <v>0</v>
      </c>
      <c r="DA4502">
        <v>1</v>
      </c>
      <c r="DB4502">
        <v>0</v>
      </c>
      <c r="DC4502">
        <v>0</v>
      </c>
      <c r="DD4502">
        <v>1</v>
      </c>
      <c r="DE4502">
        <v>0</v>
      </c>
      <c r="DF4502">
        <v>0</v>
      </c>
      <c r="DG4502">
        <v>0</v>
      </c>
      <c r="DH4502">
        <v>0</v>
      </c>
      <c r="DI4502">
        <v>0</v>
      </c>
    </row>
    <row r="4503" spans="1:113" x14ac:dyDescent="0.3">
      <c r="A4503" t="str">
        <f t="shared" si="2072"/>
        <v>05/12/2020 14:49:11.846</v>
      </c>
      <c r="C4503" t="str">
        <f t="shared" si="2075"/>
        <v>FFDFD3C0</v>
      </c>
      <c r="D4503" t="s">
        <v>131</v>
      </c>
      <c r="E4503">
        <v>18</v>
      </c>
      <c r="F4503">
        <v>2018</v>
      </c>
      <c r="G4503" t="s">
        <v>161</v>
      </c>
      <c r="J4503" t="s">
        <v>133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 t="shared" si="2073"/>
        <v>14:49:29.664</v>
      </c>
      <c r="T4503" t="str">
        <f t="shared" si="2073"/>
        <v>14:49:29.664</v>
      </c>
      <c r="U4503" t="str">
        <f t="shared" si="2067"/>
        <v>A9808D</v>
      </c>
      <c r="V4503">
        <v>0</v>
      </c>
      <c r="W4503">
        <v>0</v>
      </c>
      <c r="X4503">
        <v>1</v>
      </c>
      <c r="Z4503">
        <v>0</v>
      </c>
      <c r="AA4503">
        <v>9</v>
      </c>
      <c r="AB4503">
        <v>3</v>
      </c>
      <c r="AC4503">
        <v>0</v>
      </c>
      <c r="AD4503">
        <v>10</v>
      </c>
      <c r="AE4503">
        <v>0</v>
      </c>
      <c r="AF4503">
        <v>3</v>
      </c>
      <c r="AG4503">
        <v>2</v>
      </c>
      <c r="AH4503">
        <v>0</v>
      </c>
      <c r="AI4503" t="s">
        <v>773</v>
      </c>
      <c r="AJ4503">
        <v>28.246665</v>
      </c>
      <c r="AK4503" t="s">
        <v>1011</v>
      </c>
      <c r="AL4503">
        <v>-82.329526000000001</v>
      </c>
      <c r="AM4503">
        <v>100</v>
      </c>
      <c r="AN4503">
        <v>2200</v>
      </c>
      <c r="AO4503" t="s">
        <v>118</v>
      </c>
      <c r="AP4503">
        <v>-138</v>
      </c>
      <c r="AQ4503">
        <v>-50</v>
      </c>
      <c r="AR4503">
        <v>128</v>
      </c>
      <c r="AZ4503">
        <v>1200</v>
      </c>
      <c r="BA4503">
        <v>1</v>
      </c>
      <c r="BB4503" t="str">
        <f t="shared" si="2076"/>
        <v xml:space="preserve">N711JA  </v>
      </c>
      <c r="BC4503">
        <v>1</v>
      </c>
      <c r="BE4503">
        <v>0</v>
      </c>
      <c r="BF4503">
        <v>0</v>
      </c>
      <c r="BG4503">
        <v>0</v>
      </c>
      <c r="BH4503">
        <v>2200</v>
      </c>
      <c r="BI4503">
        <v>1</v>
      </c>
      <c r="BJ4503">
        <v>1</v>
      </c>
      <c r="BK4503">
        <v>0</v>
      </c>
      <c r="BL4503">
        <v>0</v>
      </c>
      <c r="BO4503">
        <v>0</v>
      </c>
      <c r="BP4503">
        <v>0</v>
      </c>
      <c r="BW4503" t="str">
        <f t="shared" si="2074"/>
        <v>14:49:29.671</v>
      </c>
      <c r="CJ4503">
        <v>0</v>
      </c>
      <c r="CK4503">
        <v>2</v>
      </c>
      <c r="CL4503">
        <v>0</v>
      </c>
      <c r="CM4503">
        <v>2</v>
      </c>
      <c r="CN4503">
        <v>0</v>
      </c>
      <c r="CO4503">
        <v>3</v>
      </c>
      <c r="CP4503" t="s">
        <v>119</v>
      </c>
      <c r="CQ4503">
        <v>62</v>
      </c>
      <c r="CR4503">
        <v>1</v>
      </c>
      <c r="CW4503">
        <v>13057614</v>
      </c>
      <c r="CY4503">
        <v>1</v>
      </c>
      <c r="CZ4503">
        <v>0</v>
      </c>
      <c r="DA4503">
        <v>1</v>
      </c>
      <c r="DB4503">
        <v>0</v>
      </c>
      <c r="DC4503">
        <v>0</v>
      </c>
      <c r="DD4503">
        <v>1</v>
      </c>
      <c r="DE4503">
        <v>0</v>
      </c>
      <c r="DF4503">
        <v>0</v>
      </c>
      <c r="DG4503">
        <v>0</v>
      </c>
      <c r="DH4503">
        <v>0</v>
      </c>
      <c r="DI4503">
        <v>0</v>
      </c>
    </row>
    <row r="4504" spans="1:113" x14ac:dyDescent="0.3">
      <c r="A4504" t="str">
        <f t="shared" si="2072"/>
        <v>05/12/2020 14:49:11.846</v>
      </c>
      <c r="C4504" t="str">
        <f t="shared" si="2075"/>
        <v>FFDFD3C0</v>
      </c>
      <c r="D4504" t="s">
        <v>126</v>
      </c>
      <c r="E4504">
        <v>6</v>
      </c>
      <c r="F4504">
        <v>1006</v>
      </c>
      <c r="G4504" t="s">
        <v>114</v>
      </c>
      <c r="J4504" t="s">
        <v>128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 t="shared" si="2073"/>
        <v>14:49:29.664</v>
      </c>
      <c r="T4504" t="str">
        <f t="shared" si="2073"/>
        <v>14:49:29.664</v>
      </c>
      <c r="U4504" t="str">
        <f t="shared" si="2067"/>
        <v>A9808D</v>
      </c>
      <c r="V4504">
        <v>0</v>
      </c>
      <c r="W4504">
        <v>0</v>
      </c>
      <c r="X4504">
        <v>1</v>
      </c>
      <c r="Z4504">
        <v>0</v>
      </c>
      <c r="AA4504">
        <v>9</v>
      </c>
      <c r="AB4504">
        <v>3</v>
      </c>
      <c r="AC4504">
        <v>0</v>
      </c>
      <c r="AD4504">
        <v>10</v>
      </c>
      <c r="AE4504">
        <v>0</v>
      </c>
      <c r="AF4504">
        <v>3</v>
      </c>
      <c r="AG4504">
        <v>2</v>
      </c>
      <c r="AH4504">
        <v>0</v>
      </c>
      <c r="AI4504" t="s">
        <v>773</v>
      </c>
      <c r="AJ4504">
        <v>28.246665</v>
      </c>
      <c r="AK4504" t="s">
        <v>1011</v>
      </c>
      <c r="AL4504">
        <v>-82.329526000000001</v>
      </c>
      <c r="AM4504">
        <v>100</v>
      </c>
      <c r="AN4504">
        <v>2200</v>
      </c>
      <c r="AO4504" t="s">
        <v>118</v>
      </c>
      <c r="AP4504">
        <v>-138</v>
      </c>
      <c r="AQ4504">
        <v>-50</v>
      </c>
      <c r="AR4504">
        <v>128</v>
      </c>
      <c r="AZ4504">
        <v>1200</v>
      </c>
      <c r="BA4504">
        <v>1</v>
      </c>
      <c r="BB4504" t="str">
        <f t="shared" si="2076"/>
        <v xml:space="preserve">N711JA  </v>
      </c>
      <c r="BC4504">
        <v>1</v>
      </c>
      <c r="BE4504">
        <v>0</v>
      </c>
      <c r="BF4504">
        <v>0</v>
      </c>
      <c r="BG4504">
        <v>0</v>
      </c>
      <c r="BH4504">
        <v>2200</v>
      </c>
      <c r="BI4504">
        <v>1</v>
      </c>
      <c r="BJ4504">
        <v>1</v>
      </c>
      <c r="BK4504">
        <v>0</v>
      </c>
      <c r="BL4504">
        <v>0</v>
      </c>
      <c r="BO4504">
        <v>0</v>
      </c>
      <c r="BP4504">
        <v>0</v>
      </c>
      <c r="BW4504" t="str">
        <f t="shared" si="2074"/>
        <v>14:49:29.671</v>
      </c>
      <c r="CJ4504">
        <v>0</v>
      </c>
      <c r="CK4504">
        <v>2</v>
      </c>
      <c r="CL4504">
        <v>0</v>
      </c>
      <c r="CM4504">
        <v>2</v>
      </c>
      <c r="CN4504">
        <v>0</v>
      </c>
      <c r="CO4504">
        <v>7</v>
      </c>
      <c r="CP4504" t="s">
        <v>119</v>
      </c>
      <c r="CQ4504">
        <v>8</v>
      </c>
      <c r="CR4504">
        <v>3</v>
      </c>
      <c r="CW4504">
        <v>9163421</v>
      </c>
      <c r="CY4504">
        <v>1</v>
      </c>
      <c r="CZ4504">
        <v>0</v>
      </c>
      <c r="DA4504">
        <v>1</v>
      </c>
      <c r="DB4504">
        <v>0</v>
      </c>
      <c r="DC4504">
        <v>0</v>
      </c>
      <c r="DD4504">
        <v>1</v>
      </c>
      <c r="DE4504">
        <v>0</v>
      </c>
      <c r="DF4504">
        <v>0</v>
      </c>
      <c r="DG4504">
        <v>0</v>
      </c>
      <c r="DH4504">
        <v>0</v>
      </c>
      <c r="DI4504">
        <v>0</v>
      </c>
    </row>
    <row r="4505" spans="1:113" x14ac:dyDescent="0.3">
      <c r="A4505" t="str">
        <f t="shared" si="2072"/>
        <v>05/12/2020 14:49:11.846</v>
      </c>
      <c r="C4505" t="str">
        <f t="shared" si="2075"/>
        <v>FFDFD3C0</v>
      </c>
      <c r="D4505" t="s">
        <v>134</v>
      </c>
      <c r="E4505">
        <v>12</v>
      </c>
      <c r="H4505">
        <v>64</v>
      </c>
      <c r="I4505" t="s">
        <v>135</v>
      </c>
      <c r="J4505" t="s">
        <v>136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 t="shared" si="2073"/>
        <v>14:49:29.664</v>
      </c>
      <c r="T4505" t="str">
        <f t="shared" si="2073"/>
        <v>14:49:29.664</v>
      </c>
      <c r="U4505" t="str">
        <f t="shared" si="2067"/>
        <v>A9808D</v>
      </c>
      <c r="V4505">
        <v>0</v>
      </c>
      <c r="W4505">
        <v>0</v>
      </c>
      <c r="X4505">
        <v>1</v>
      </c>
      <c r="Z4505">
        <v>0</v>
      </c>
      <c r="AA4505">
        <v>9</v>
      </c>
      <c r="AB4505">
        <v>3</v>
      </c>
      <c r="AC4505">
        <v>0</v>
      </c>
      <c r="AD4505">
        <v>10</v>
      </c>
      <c r="AE4505">
        <v>0</v>
      </c>
      <c r="AF4505">
        <v>3</v>
      </c>
      <c r="AG4505">
        <v>2</v>
      </c>
      <c r="AH4505">
        <v>0</v>
      </c>
      <c r="AI4505" t="s">
        <v>773</v>
      </c>
      <c r="AJ4505">
        <v>28.246665</v>
      </c>
      <c r="AK4505" t="s">
        <v>1011</v>
      </c>
      <c r="AL4505">
        <v>-82.329526000000001</v>
      </c>
      <c r="AM4505">
        <v>100</v>
      </c>
      <c r="AN4505">
        <v>2200</v>
      </c>
      <c r="AO4505" t="s">
        <v>118</v>
      </c>
      <c r="AP4505">
        <v>-138</v>
      </c>
      <c r="AQ4505">
        <v>-50</v>
      </c>
      <c r="AR4505">
        <v>128</v>
      </c>
      <c r="AZ4505">
        <v>1200</v>
      </c>
      <c r="BA4505">
        <v>1</v>
      </c>
      <c r="BB4505" t="str">
        <f t="shared" si="2076"/>
        <v xml:space="preserve">N711JA  </v>
      </c>
      <c r="BC4505">
        <v>1</v>
      </c>
      <c r="BE4505">
        <v>0</v>
      </c>
      <c r="BF4505">
        <v>0</v>
      </c>
      <c r="BG4505">
        <v>0</v>
      </c>
      <c r="BH4505">
        <v>2200</v>
      </c>
      <c r="BI4505">
        <v>1</v>
      </c>
      <c r="BJ4505">
        <v>1</v>
      </c>
      <c r="BK4505">
        <v>0</v>
      </c>
      <c r="BL4505">
        <v>0</v>
      </c>
      <c r="BO4505">
        <v>0</v>
      </c>
      <c r="BP4505">
        <v>0</v>
      </c>
      <c r="BW4505" t="str">
        <f t="shared" si="2074"/>
        <v>14:49:29.671</v>
      </c>
      <c r="CJ4505">
        <v>0</v>
      </c>
      <c r="CK4505">
        <v>2</v>
      </c>
      <c r="CL4505">
        <v>0</v>
      </c>
      <c r="CM4505">
        <v>2</v>
      </c>
      <c r="CN4505">
        <v>0</v>
      </c>
      <c r="CO4505">
        <v>7</v>
      </c>
      <c r="CP4505" t="s">
        <v>119</v>
      </c>
      <c r="CQ4505">
        <v>8</v>
      </c>
      <c r="CR4505">
        <v>3</v>
      </c>
      <c r="CW4505">
        <v>9163421</v>
      </c>
      <c r="CY4505">
        <v>1</v>
      </c>
      <c r="CZ4505">
        <v>0</v>
      </c>
      <c r="DA4505">
        <v>1</v>
      </c>
      <c r="DB4505">
        <v>0</v>
      </c>
      <c r="DC4505">
        <v>0</v>
      </c>
      <c r="DD4505">
        <v>1</v>
      </c>
      <c r="DE4505">
        <v>0</v>
      </c>
      <c r="DF4505">
        <v>0</v>
      </c>
      <c r="DG4505">
        <v>0</v>
      </c>
      <c r="DH4505">
        <v>0</v>
      </c>
      <c r="DI4505">
        <v>0</v>
      </c>
    </row>
    <row r="4506" spans="1:113" x14ac:dyDescent="0.3">
      <c r="A4506" t="str">
        <f t="shared" ref="A4506:A4514" si="2077">"05/12/2020 14:49:12.850"</f>
        <v>05/12/2020 14:49:12.850</v>
      </c>
      <c r="C4506" t="str">
        <f t="shared" si="2075"/>
        <v>FFDFD3C0</v>
      </c>
      <c r="D4506" t="s">
        <v>134</v>
      </c>
      <c r="E4506">
        <v>12</v>
      </c>
      <c r="H4506">
        <v>64</v>
      </c>
      <c r="I4506" t="s">
        <v>135</v>
      </c>
      <c r="J4506" t="s">
        <v>136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 t="shared" ref="S4506:T4514" si="2078">"14:49:30.648"</f>
        <v>14:49:30.648</v>
      </c>
      <c r="T4506" t="str">
        <f t="shared" si="2078"/>
        <v>14:49:30.648</v>
      </c>
      <c r="U4506" t="str">
        <f t="shared" si="2067"/>
        <v>A9808D</v>
      </c>
      <c r="V4506">
        <v>0</v>
      </c>
      <c r="W4506">
        <v>0</v>
      </c>
      <c r="X4506">
        <v>1</v>
      </c>
      <c r="Z4506">
        <v>0</v>
      </c>
      <c r="AA4506">
        <v>9</v>
      </c>
      <c r="AB4506">
        <v>3</v>
      </c>
      <c r="AC4506">
        <v>0</v>
      </c>
      <c r="AD4506">
        <v>10</v>
      </c>
      <c r="AE4506">
        <v>0</v>
      </c>
      <c r="AF4506">
        <v>3</v>
      </c>
      <c r="AG4506">
        <v>2</v>
      </c>
      <c r="AH4506">
        <v>0</v>
      </c>
      <c r="AI4506" t="s">
        <v>1012</v>
      </c>
      <c r="AJ4506">
        <v>28.246449999999999</v>
      </c>
      <c r="AK4506" t="s">
        <v>1013</v>
      </c>
      <c r="AL4506">
        <v>-82.330213000000001</v>
      </c>
      <c r="AM4506">
        <v>100</v>
      </c>
      <c r="AN4506">
        <v>2200</v>
      </c>
      <c r="AO4506" t="s">
        <v>118</v>
      </c>
      <c r="AP4506">
        <v>-138</v>
      </c>
      <c r="AQ4506">
        <v>-49</v>
      </c>
      <c r="AR4506">
        <v>128</v>
      </c>
      <c r="AZ4506">
        <v>1200</v>
      </c>
      <c r="BA4506">
        <v>1</v>
      </c>
      <c r="BB4506" t="str">
        <f t="shared" si="2076"/>
        <v xml:space="preserve">N711JA  </v>
      </c>
      <c r="BC4506">
        <v>1</v>
      </c>
      <c r="BE4506">
        <v>0</v>
      </c>
      <c r="BF4506">
        <v>0</v>
      </c>
      <c r="BG4506">
        <v>0</v>
      </c>
      <c r="BH4506">
        <v>2200</v>
      </c>
      <c r="BI4506">
        <v>1</v>
      </c>
      <c r="BJ4506">
        <v>1</v>
      </c>
      <c r="BK4506">
        <v>0</v>
      </c>
      <c r="BL4506">
        <v>0</v>
      </c>
      <c r="BO4506">
        <v>0</v>
      </c>
      <c r="BP4506">
        <v>0</v>
      </c>
      <c r="BW4506" t="str">
        <f t="shared" ref="BW4506:BW4514" si="2079">"14:49:30.655"</f>
        <v>14:49:30.655</v>
      </c>
      <c r="CJ4506">
        <v>0</v>
      </c>
      <c r="CK4506">
        <v>2</v>
      </c>
      <c r="CL4506">
        <v>0</v>
      </c>
      <c r="CM4506">
        <v>2</v>
      </c>
      <c r="CN4506">
        <v>0</v>
      </c>
      <c r="CO4506">
        <v>7</v>
      </c>
      <c r="CP4506" t="s">
        <v>119</v>
      </c>
      <c r="CQ4506">
        <v>8</v>
      </c>
      <c r="CR4506">
        <v>3</v>
      </c>
      <c r="CW4506">
        <v>9164495</v>
      </c>
      <c r="CY4506">
        <v>1</v>
      </c>
      <c r="CZ4506">
        <v>0</v>
      </c>
      <c r="DA4506">
        <v>0</v>
      </c>
      <c r="DB4506">
        <v>0</v>
      </c>
      <c r="DC4506">
        <v>0</v>
      </c>
      <c r="DD4506">
        <v>1</v>
      </c>
      <c r="DE4506">
        <v>0</v>
      </c>
      <c r="DF4506">
        <v>0</v>
      </c>
      <c r="DG4506">
        <v>0</v>
      </c>
      <c r="DH4506">
        <v>0</v>
      </c>
      <c r="DI4506">
        <v>0</v>
      </c>
    </row>
    <row r="4507" spans="1:113" x14ac:dyDescent="0.3">
      <c r="A4507" t="str">
        <f t="shared" si="2077"/>
        <v>05/12/2020 14:49:12.850</v>
      </c>
      <c r="C4507" t="str">
        <f t="shared" si="2075"/>
        <v>FFDFD3C0</v>
      </c>
      <c r="D4507" t="s">
        <v>126</v>
      </c>
      <c r="E4507">
        <v>7</v>
      </c>
      <c r="F4507">
        <v>1007</v>
      </c>
      <c r="G4507" t="s">
        <v>127</v>
      </c>
      <c r="J4507" t="s">
        <v>128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 t="shared" si="2078"/>
        <v>14:49:30.648</v>
      </c>
      <c r="T4507" t="str">
        <f t="shared" si="2078"/>
        <v>14:49:30.648</v>
      </c>
      <c r="U4507" t="str">
        <f t="shared" si="2067"/>
        <v>A9808D</v>
      </c>
      <c r="V4507">
        <v>0</v>
      </c>
      <c r="W4507">
        <v>0</v>
      </c>
      <c r="X4507">
        <v>1</v>
      </c>
      <c r="Z4507">
        <v>0</v>
      </c>
      <c r="AA4507">
        <v>9</v>
      </c>
      <c r="AB4507">
        <v>3</v>
      </c>
      <c r="AC4507">
        <v>0</v>
      </c>
      <c r="AD4507">
        <v>10</v>
      </c>
      <c r="AE4507">
        <v>0</v>
      </c>
      <c r="AF4507">
        <v>3</v>
      </c>
      <c r="AG4507">
        <v>2</v>
      </c>
      <c r="AH4507">
        <v>0</v>
      </c>
      <c r="AI4507" t="s">
        <v>1012</v>
      </c>
      <c r="AJ4507">
        <v>28.246449999999999</v>
      </c>
      <c r="AK4507" t="s">
        <v>1013</v>
      </c>
      <c r="AL4507">
        <v>-82.330213000000001</v>
      </c>
      <c r="AM4507">
        <v>100</v>
      </c>
      <c r="AN4507">
        <v>2200</v>
      </c>
      <c r="AO4507" t="s">
        <v>118</v>
      </c>
      <c r="AP4507">
        <v>-138</v>
      </c>
      <c r="AQ4507">
        <v>-49</v>
      </c>
      <c r="AR4507">
        <v>128</v>
      </c>
      <c r="AZ4507">
        <v>1200</v>
      </c>
      <c r="BA4507">
        <v>1</v>
      </c>
      <c r="BB4507" t="str">
        <f t="shared" si="2076"/>
        <v xml:space="preserve">N711JA  </v>
      </c>
      <c r="BC4507">
        <v>1</v>
      </c>
      <c r="BE4507">
        <v>0</v>
      </c>
      <c r="BF4507">
        <v>0</v>
      </c>
      <c r="BG4507">
        <v>0</v>
      </c>
      <c r="BH4507">
        <v>2200</v>
      </c>
      <c r="BI4507">
        <v>1</v>
      </c>
      <c r="BJ4507">
        <v>1</v>
      </c>
      <c r="BK4507">
        <v>0</v>
      </c>
      <c r="BL4507">
        <v>0</v>
      </c>
      <c r="BO4507">
        <v>0</v>
      </c>
      <c r="BP4507">
        <v>0</v>
      </c>
      <c r="BW4507" t="str">
        <f t="shared" si="2079"/>
        <v>14:49:30.655</v>
      </c>
      <c r="CJ4507">
        <v>0</v>
      </c>
      <c r="CK4507">
        <v>2</v>
      </c>
      <c r="CL4507">
        <v>0</v>
      </c>
      <c r="CM4507">
        <v>2</v>
      </c>
      <c r="CN4507">
        <v>0</v>
      </c>
      <c r="CO4507">
        <v>7</v>
      </c>
      <c r="CP4507" t="s">
        <v>119</v>
      </c>
      <c r="CQ4507">
        <v>8</v>
      </c>
      <c r="CR4507">
        <v>3</v>
      </c>
      <c r="CW4507">
        <v>9164495</v>
      </c>
      <c r="CY4507">
        <v>1</v>
      </c>
      <c r="CZ4507">
        <v>0</v>
      </c>
      <c r="DA4507">
        <v>1</v>
      </c>
      <c r="DB4507">
        <v>0</v>
      </c>
      <c r="DC4507">
        <v>0</v>
      </c>
      <c r="DD4507">
        <v>1</v>
      </c>
      <c r="DE4507">
        <v>0</v>
      </c>
      <c r="DF4507">
        <v>0</v>
      </c>
      <c r="DG4507">
        <v>0</v>
      </c>
      <c r="DH4507">
        <v>0</v>
      </c>
      <c r="DI4507">
        <v>0</v>
      </c>
    </row>
    <row r="4508" spans="1:113" x14ac:dyDescent="0.3">
      <c r="A4508" t="str">
        <f t="shared" si="2077"/>
        <v>05/12/2020 14:49:12.850</v>
      </c>
      <c r="C4508" t="str">
        <f t="shared" si="2075"/>
        <v>FFDFD3C0</v>
      </c>
      <c r="D4508" t="s">
        <v>131</v>
      </c>
      <c r="E4508">
        <v>10</v>
      </c>
      <c r="F4508">
        <v>2010</v>
      </c>
      <c r="G4508" t="s">
        <v>132</v>
      </c>
      <c r="J4508" t="s">
        <v>133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 t="shared" si="2078"/>
        <v>14:49:30.648</v>
      </c>
      <c r="T4508" t="str">
        <f t="shared" si="2078"/>
        <v>14:49:30.648</v>
      </c>
      <c r="U4508" t="str">
        <f t="shared" si="2067"/>
        <v>A9808D</v>
      </c>
      <c r="V4508">
        <v>0</v>
      </c>
      <c r="W4508">
        <v>0</v>
      </c>
      <c r="X4508">
        <v>1</v>
      </c>
      <c r="Z4508">
        <v>0</v>
      </c>
      <c r="AA4508">
        <v>9</v>
      </c>
      <c r="AB4508">
        <v>3</v>
      </c>
      <c r="AC4508">
        <v>0</v>
      </c>
      <c r="AD4508">
        <v>10</v>
      </c>
      <c r="AE4508">
        <v>0</v>
      </c>
      <c r="AF4508">
        <v>3</v>
      </c>
      <c r="AG4508">
        <v>2</v>
      </c>
      <c r="AH4508">
        <v>0</v>
      </c>
      <c r="AI4508" t="s">
        <v>1012</v>
      </c>
      <c r="AJ4508">
        <v>28.246449999999999</v>
      </c>
      <c r="AK4508" t="s">
        <v>1013</v>
      </c>
      <c r="AL4508">
        <v>-82.330213000000001</v>
      </c>
      <c r="AM4508">
        <v>100</v>
      </c>
      <c r="AN4508">
        <v>2200</v>
      </c>
      <c r="AO4508" t="s">
        <v>118</v>
      </c>
      <c r="AP4508">
        <v>-138</v>
      </c>
      <c r="AQ4508">
        <v>-49</v>
      </c>
      <c r="AR4508">
        <v>128</v>
      </c>
      <c r="AZ4508">
        <v>1200</v>
      </c>
      <c r="BA4508">
        <v>1</v>
      </c>
      <c r="BB4508" t="str">
        <f t="shared" si="2076"/>
        <v xml:space="preserve">N711JA  </v>
      </c>
      <c r="BC4508">
        <v>1</v>
      </c>
      <c r="BE4508">
        <v>0</v>
      </c>
      <c r="BF4508">
        <v>0</v>
      </c>
      <c r="BG4508">
        <v>0</v>
      </c>
      <c r="BH4508">
        <v>2200</v>
      </c>
      <c r="BI4508">
        <v>1</v>
      </c>
      <c r="BJ4508">
        <v>1</v>
      </c>
      <c r="BK4508">
        <v>0</v>
      </c>
      <c r="BL4508">
        <v>0</v>
      </c>
      <c r="BO4508">
        <v>0</v>
      </c>
      <c r="BP4508">
        <v>0</v>
      </c>
      <c r="BW4508" t="str">
        <f t="shared" si="2079"/>
        <v>14:49:30.655</v>
      </c>
      <c r="CJ4508">
        <v>0</v>
      </c>
      <c r="CK4508">
        <v>2</v>
      </c>
      <c r="CL4508">
        <v>0</v>
      </c>
      <c r="CM4508">
        <v>2</v>
      </c>
      <c r="CN4508">
        <v>0</v>
      </c>
      <c r="CO4508">
        <v>7</v>
      </c>
      <c r="CP4508" t="s">
        <v>119</v>
      </c>
      <c r="CQ4508">
        <v>8</v>
      </c>
      <c r="CR4508">
        <v>3</v>
      </c>
      <c r="CW4508">
        <v>9164495</v>
      </c>
      <c r="CY4508">
        <v>1</v>
      </c>
      <c r="CZ4508">
        <v>0</v>
      </c>
      <c r="DA4508">
        <v>1</v>
      </c>
      <c r="DB4508">
        <v>0</v>
      </c>
      <c r="DC4508">
        <v>0</v>
      </c>
      <c r="DD4508">
        <v>1</v>
      </c>
      <c r="DE4508">
        <v>0</v>
      </c>
      <c r="DF4508">
        <v>0</v>
      </c>
      <c r="DG4508">
        <v>0</v>
      </c>
      <c r="DH4508">
        <v>0</v>
      </c>
      <c r="DI4508">
        <v>0</v>
      </c>
    </row>
    <row r="4509" spans="1:113" x14ac:dyDescent="0.3">
      <c r="A4509" t="str">
        <f t="shared" si="2077"/>
        <v>05/12/2020 14:49:12.850</v>
      </c>
      <c r="C4509" t="str">
        <f t="shared" si="2075"/>
        <v>FFDFD3C0</v>
      </c>
      <c r="D4509" t="s">
        <v>131</v>
      </c>
      <c r="E4509">
        <v>12</v>
      </c>
      <c r="F4509">
        <v>2012</v>
      </c>
      <c r="G4509" t="s">
        <v>137</v>
      </c>
      <c r="J4509" t="s">
        <v>133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 t="shared" si="2078"/>
        <v>14:49:30.648</v>
      </c>
      <c r="T4509" t="str">
        <f t="shared" si="2078"/>
        <v>14:49:30.648</v>
      </c>
      <c r="U4509" t="str">
        <f t="shared" si="2067"/>
        <v>A9808D</v>
      </c>
      <c r="V4509">
        <v>0</v>
      </c>
      <c r="W4509">
        <v>0</v>
      </c>
      <c r="X4509">
        <v>1</v>
      </c>
      <c r="Z4509">
        <v>0</v>
      </c>
      <c r="AA4509">
        <v>9</v>
      </c>
      <c r="AB4509">
        <v>3</v>
      </c>
      <c r="AC4509">
        <v>0</v>
      </c>
      <c r="AD4509">
        <v>10</v>
      </c>
      <c r="AE4509">
        <v>0</v>
      </c>
      <c r="AF4509">
        <v>3</v>
      </c>
      <c r="AG4509">
        <v>2</v>
      </c>
      <c r="AH4509">
        <v>0</v>
      </c>
      <c r="AI4509" t="s">
        <v>1012</v>
      </c>
      <c r="AJ4509">
        <v>28.246449999999999</v>
      </c>
      <c r="AK4509" t="s">
        <v>1013</v>
      </c>
      <c r="AL4509">
        <v>-82.330213000000001</v>
      </c>
      <c r="AM4509">
        <v>100</v>
      </c>
      <c r="AN4509">
        <v>2200</v>
      </c>
      <c r="AO4509" t="s">
        <v>118</v>
      </c>
      <c r="AP4509">
        <v>-138</v>
      </c>
      <c r="AQ4509">
        <v>-49</v>
      </c>
      <c r="AR4509">
        <v>128</v>
      </c>
      <c r="AZ4509">
        <v>1200</v>
      </c>
      <c r="BA4509">
        <v>1</v>
      </c>
      <c r="BB4509" t="str">
        <f t="shared" si="2076"/>
        <v xml:space="preserve">N711JA  </v>
      </c>
      <c r="BC4509">
        <v>1</v>
      </c>
      <c r="BE4509">
        <v>0</v>
      </c>
      <c r="BF4509">
        <v>0</v>
      </c>
      <c r="BG4509">
        <v>0</v>
      </c>
      <c r="BH4509">
        <v>2200</v>
      </c>
      <c r="BI4509">
        <v>1</v>
      </c>
      <c r="BJ4509">
        <v>1</v>
      </c>
      <c r="BK4509">
        <v>0</v>
      </c>
      <c r="BL4509">
        <v>0</v>
      </c>
      <c r="BO4509">
        <v>0</v>
      </c>
      <c r="BP4509">
        <v>0</v>
      </c>
      <c r="BW4509" t="str">
        <f t="shared" si="2079"/>
        <v>14:49:30.655</v>
      </c>
      <c r="CJ4509">
        <v>0</v>
      </c>
      <c r="CK4509">
        <v>2</v>
      </c>
      <c r="CL4509">
        <v>0</v>
      </c>
      <c r="CM4509">
        <v>2</v>
      </c>
      <c r="CN4509">
        <v>0</v>
      </c>
      <c r="CO4509">
        <v>7</v>
      </c>
      <c r="CP4509" t="s">
        <v>119</v>
      </c>
      <c r="CQ4509">
        <v>8</v>
      </c>
      <c r="CR4509">
        <v>3</v>
      </c>
      <c r="CW4509">
        <v>9164495</v>
      </c>
      <c r="CY4509">
        <v>1</v>
      </c>
      <c r="CZ4509">
        <v>0</v>
      </c>
      <c r="DA4509">
        <v>1</v>
      </c>
      <c r="DB4509">
        <v>0</v>
      </c>
      <c r="DC4509">
        <v>0</v>
      </c>
      <c r="DD4509">
        <v>1</v>
      </c>
      <c r="DE4509">
        <v>0</v>
      </c>
      <c r="DF4509">
        <v>0</v>
      </c>
      <c r="DG4509">
        <v>0</v>
      </c>
      <c r="DH4509">
        <v>0</v>
      </c>
      <c r="DI4509">
        <v>0</v>
      </c>
    </row>
    <row r="4510" spans="1:113" x14ac:dyDescent="0.3">
      <c r="A4510" t="str">
        <f t="shared" si="2077"/>
        <v>05/12/2020 14:49:12.850</v>
      </c>
      <c r="C4510" t="str">
        <f t="shared" si="2075"/>
        <v>FFDFD3C0</v>
      </c>
      <c r="D4510" t="s">
        <v>131</v>
      </c>
      <c r="E4510">
        <v>18</v>
      </c>
      <c r="F4510">
        <v>2018</v>
      </c>
      <c r="G4510" t="s">
        <v>161</v>
      </c>
      <c r="J4510" t="s">
        <v>133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 t="shared" si="2078"/>
        <v>14:49:30.648</v>
      </c>
      <c r="T4510" t="str">
        <f t="shared" si="2078"/>
        <v>14:49:30.648</v>
      </c>
      <c r="U4510" t="str">
        <f t="shared" si="2067"/>
        <v>A9808D</v>
      </c>
      <c r="V4510">
        <v>0</v>
      </c>
      <c r="W4510">
        <v>0</v>
      </c>
      <c r="X4510">
        <v>1</v>
      </c>
      <c r="Z4510">
        <v>0</v>
      </c>
      <c r="AA4510">
        <v>9</v>
      </c>
      <c r="AB4510">
        <v>3</v>
      </c>
      <c r="AC4510">
        <v>0</v>
      </c>
      <c r="AD4510">
        <v>10</v>
      </c>
      <c r="AE4510">
        <v>0</v>
      </c>
      <c r="AF4510">
        <v>3</v>
      </c>
      <c r="AG4510">
        <v>2</v>
      </c>
      <c r="AH4510">
        <v>0</v>
      </c>
      <c r="AI4510" t="s">
        <v>1012</v>
      </c>
      <c r="AJ4510">
        <v>28.246449999999999</v>
      </c>
      <c r="AK4510" t="s">
        <v>1013</v>
      </c>
      <c r="AL4510">
        <v>-82.330213000000001</v>
      </c>
      <c r="AM4510">
        <v>100</v>
      </c>
      <c r="AN4510">
        <v>2200</v>
      </c>
      <c r="AO4510" t="s">
        <v>118</v>
      </c>
      <c r="AP4510">
        <v>-138</v>
      </c>
      <c r="AQ4510">
        <v>-49</v>
      </c>
      <c r="AR4510">
        <v>128</v>
      </c>
      <c r="AZ4510">
        <v>1200</v>
      </c>
      <c r="BA4510">
        <v>1</v>
      </c>
      <c r="BB4510" t="str">
        <f t="shared" si="2076"/>
        <v xml:space="preserve">N711JA  </v>
      </c>
      <c r="BC4510">
        <v>1</v>
      </c>
      <c r="BE4510">
        <v>0</v>
      </c>
      <c r="BF4510">
        <v>0</v>
      </c>
      <c r="BG4510">
        <v>0</v>
      </c>
      <c r="BH4510">
        <v>2200</v>
      </c>
      <c r="BI4510">
        <v>1</v>
      </c>
      <c r="BJ4510">
        <v>1</v>
      </c>
      <c r="BK4510">
        <v>0</v>
      </c>
      <c r="BL4510">
        <v>0</v>
      </c>
      <c r="BO4510">
        <v>0</v>
      </c>
      <c r="BP4510">
        <v>0</v>
      </c>
      <c r="BW4510" t="str">
        <f t="shared" si="2079"/>
        <v>14:49:30.655</v>
      </c>
      <c r="CJ4510">
        <v>0</v>
      </c>
      <c r="CK4510">
        <v>2</v>
      </c>
      <c r="CL4510">
        <v>0</v>
      </c>
      <c r="CM4510">
        <v>2</v>
      </c>
      <c r="CN4510">
        <v>0</v>
      </c>
      <c r="CO4510">
        <v>3</v>
      </c>
      <c r="CP4510" t="s">
        <v>119</v>
      </c>
      <c r="CQ4510">
        <v>62</v>
      </c>
      <c r="CR4510">
        <v>1</v>
      </c>
      <c r="CW4510">
        <v>13058686</v>
      </c>
      <c r="CY4510">
        <v>1</v>
      </c>
      <c r="CZ4510">
        <v>0</v>
      </c>
      <c r="DA4510">
        <v>1</v>
      </c>
      <c r="DB4510">
        <v>0</v>
      </c>
      <c r="DC4510">
        <v>0</v>
      </c>
      <c r="DD4510">
        <v>1</v>
      </c>
      <c r="DE4510">
        <v>0</v>
      </c>
      <c r="DF4510">
        <v>0</v>
      </c>
      <c r="DG4510">
        <v>0</v>
      </c>
      <c r="DH4510">
        <v>0</v>
      </c>
      <c r="DI4510">
        <v>0</v>
      </c>
    </row>
    <row r="4511" spans="1:113" x14ac:dyDescent="0.3">
      <c r="A4511" t="str">
        <f t="shared" si="2077"/>
        <v>05/12/2020 14:49:12.850</v>
      </c>
      <c r="C4511" t="str">
        <f t="shared" si="2075"/>
        <v>FFDFD3C0</v>
      </c>
      <c r="D4511" t="s">
        <v>138</v>
      </c>
      <c r="E4511">
        <v>3</v>
      </c>
      <c r="H4511">
        <v>9</v>
      </c>
      <c r="I4511" t="s">
        <v>140</v>
      </c>
      <c r="J4511" t="s">
        <v>136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 t="shared" si="2078"/>
        <v>14:49:30.648</v>
      </c>
      <c r="T4511" t="str">
        <f t="shared" si="2078"/>
        <v>14:49:30.648</v>
      </c>
      <c r="U4511" t="str">
        <f t="shared" si="2067"/>
        <v>A9808D</v>
      </c>
      <c r="V4511">
        <v>0</v>
      </c>
      <c r="W4511">
        <v>0</v>
      </c>
      <c r="X4511">
        <v>1</v>
      </c>
      <c r="Z4511">
        <v>0</v>
      </c>
      <c r="AA4511">
        <v>9</v>
      </c>
      <c r="AB4511">
        <v>3</v>
      </c>
      <c r="AC4511">
        <v>0</v>
      </c>
      <c r="AD4511">
        <v>10</v>
      </c>
      <c r="AE4511">
        <v>0</v>
      </c>
      <c r="AF4511">
        <v>3</v>
      </c>
      <c r="AG4511">
        <v>2</v>
      </c>
      <c r="AH4511">
        <v>0</v>
      </c>
      <c r="AI4511" t="s">
        <v>1012</v>
      </c>
      <c r="AJ4511">
        <v>28.246449999999999</v>
      </c>
      <c r="AK4511" t="s">
        <v>1013</v>
      </c>
      <c r="AL4511">
        <v>-82.330213000000001</v>
      </c>
      <c r="AM4511">
        <v>100</v>
      </c>
      <c r="AN4511">
        <v>2200</v>
      </c>
      <c r="AO4511" t="s">
        <v>118</v>
      </c>
      <c r="AP4511">
        <v>-138</v>
      </c>
      <c r="AQ4511">
        <v>-49</v>
      </c>
      <c r="AR4511">
        <v>128</v>
      </c>
      <c r="AZ4511">
        <v>1200</v>
      </c>
      <c r="BA4511">
        <v>1</v>
      </c>
      <c r="BB4511" t="str">
        <f t="shared" si="2076"/>
        <v xml:space="preserve">N711JA  </v>
      </c>
      <c r="BC4511">
        <v>1</v>
      </c>
      <c r="BE4511">
        <v>0</v>
      </c>
      <c r="BF4511">
        <v>0</v>
      </c>
      <c r="BG4511">
        <v>0</v>
      </c>
      <c r="BH4511">
        <v>2200</v>
      </c>
      <c r="BI4511">
        <v>1</v>
      </c>
      <c r="BJ4511">
        <v>1</v>
      </c>
      <c r="BK4511">
        <v>0</v>
      </c>
      <c r="BL4511">
        <v>0</v>
      </c>
      <c r="BO4511">
        <v>0</v>
      </c>
      <c r="BP4511">
        <v>0</v>
      </c>
      <c r="BW4511" t="str">
        <f t="shared" si="2079"/>
        <v>14:49:30.655</v>
      </c>
      <c r="CJ4511">
        <v>0</v>
      </c>
      <c r="CK4511">
        <v>2</v>
      </c>
      <c r="CL4511">
        <v>0</v>
      </c>
      <c r="CM4511">
        <v>2</v>
      </c>
      <c r="CN4511">
        <v>0</v>
      </c>
      <c r="CO4511">
        <v>7</v>
      </c>
      <c r="CP4511" t="s">
        <v>119</v>
      </c>
      <c r="CQ4511">
        <v>8</v>
      </c>
      <c r="CR4511">
        <v>3</v>
      </c>
      <c r="CW4511">
        <v>9164495</v>
      </c>
      <c r="CY4511">
        <v>1</v>
      </c>
      <c r="CZ4511">
        <v>0</v>
      </c>
      <c r="DA4511">
        <v>1</v>
      </c>
      <c r="DB4511">
        <v>0</v>
      </c>
      <c r="DC4511">
        <v>0</v>
      </c>
      <c r="DD4511">
        <v>1</v>
      </c>
      <c r="DE4511">
        <v>0</v>
      </c>
      <c r="DF4511">
        <v>0</v>
      </c>
      <c r="DG4511">
        <v>0</v>
      </c>
      <c r="DH4511">
        <v>0</v>
      </c>
      <c r="DI4511">
        <v>0</v>
      </c>
    </row>
    <row r="4512" spans="1:113" x14ac:dyDescent="0.3">
      <c r="A4512" t="str">
        <f t="shared" si="2077"/>
        <v>05/12/2020 14:49:12.850</v>
      </c>
      <c r="C4512" t="str">
        <f t="shared" si="2075"/>
        <v>FFDFD3C0</v>
      </c>
      <c r="D4512" t="s">
        <v>138</v>
      </c>
      <c r="E4512">
        <v>2</v>
      </c>
      <c r="H4512">
        <v>8</v>
      </c>
      <c r="I4512" t="s">
        <v>139</v>
      </c>
      <c r="J4512" t="s">
        <v>136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 t="shared" si="2078"/>
        <v>14:49:30.648</v>
      </c>
      <c r="T4512" t="str">
        <f t="shared" si="2078"/>
        <v>14:49:30.648</v>
      </c>
      <c r="U4512" t="str">
        <f t="shared" si="2067"/>
        <v>A9808D</v>
      </c>
      <c r="V4512">
        <v>0</v>
      </c>
      <c r="W4512">
        <v>0</v>
      </c>
      <c r="X4512">
        <v>1</v>
      </c>
      <c r="Z4512">
        <v>0</v>
      </c>
      <c r="AA4512">
        <v>9</v>
      </c>
      <c r="AB4512">
        <v>3</v>
      </c>
      <c r="AC4512">
        <v>0</v>
      </c>
      <c r="AD4512">
        <v>10</v>
      </c>
      <c r="AE4512">
        <v>0</v>
      </c>
      <c r="AF4512">
        <v>3</v>
      </c>
      <c r="AG4512">
        <v>2</v>
      </c>
      <c r="AH4512">
        <v>0</v>
      </c>
      <c r="AI4512" t="s">
        <v>1012</v>
      </c>
      <c r="AJ4512">
        <v>28.246449999999999</v>
      </c>
      <c r="AK4512" t="s">
        <v>1013</v>
      </c>
      <c r="AL4512">
        <v>-82.330213000000001</v>
      </c>
      <c r="AM4512">
        <v>100</v>
      </c>
      <c r="AN4512">
        <v>2200</v>
      </c>
      <c r="AO4512" t="s">
        <v>118</v>
      </c>
      <c r="AP4512">
        <v>-138</v>
      </c>
      <c r="AQ4512">
        <v>-49</v>
      </c>
      <c r="AR4512">
        <v>128</v>
      </c>
      <c r="AZ4512">
        <v>1200</v>
      </c>
      <c r="BA4512">
        <v>1</v>
      </c>
      <c r="BB4512" t="str">
        <f t="shared" si="2076"/>
        <v xml:space="preserve">N711JA  </v>
      </c>
      <c r="BC4512">
        <v>1</v>
      </c>
      <c r="BE4512">
        <v>0</v>
      </c>
      <c r="BF4512">
        <v>0</v>
      </c>
      <c r="BG4512">
        <v>0</v>
      </c>
      <c r="BH4512">
        <v>2200</v>
      </c>
      <c r="BI4512">
        <v>1</v>
      </c>
      <c r="BJ4512">
        <v>1</v>
      </c>
      <c r="BK4512">
        <v>0</v>
      </c>
      <c r="BL4512">
        <v>0</v>
      </c>
      <c r="BO4512">
        <v>0</v>
      </c>
      <c r="BP4512">
        <v>0</v>
      </c>
      <c r="BW4512" t="str">
        <f t="shared" si="2079"/>
        <v>14:49:30.655</v>
      </c>
      <c r="CJ4512">
        <v>0</v>
      </c>
      <c r="CK4512">
        <v>2</v>
      </c>
      <c r="CL4512">
        <v>0</v>
      </c>
      <c r="CM4512">
        <v>2</v>
      </c>
      <c r="CN4512">
        <v>0</v>
      </c>
      <c r="CO4512">
        <v>7</v>
      </c>
      <c r="CP4512" t="s">
        <v>119</v>
      </c>
      <c r="CQ4512">
        <v>8</v>
      </c>
      <c r="CR4512">
        <v>3</v>
      </c>
      <c r="CW4512">
        <v>9164495</v>
      </c>
      <c r="CY4512">
        <v>1</v>
      </c>
      <c r="CZ4512">
        <v>0</v>
      </c>
      <c r="DA4512">
        <v>1</v>
      </c>
      <c r="DB4512">
        <v>0</v>
      </c>
      <c r="DC4512">
        <v>0</v>
      </c>
      <c r="DD4512">
        <v>1</v>
      </c>
      <c r="DE4512">
        <v>0</v>
      </c>
      <c r="DF4512">
        <v>0</v>
      </c>
      <c r="DG4512">
        <v>0</v>
      </c>
      <c r="DH4512">
        <v>0</v>
      </c>
      <c r="DI4512">
        <v>0</v>
      </c>
    </row>
    <row r="4513" spans="1:113" x14ac:dyDescent="0.3">
      <c r="A4513" t="str">
        <f t="shared" si="2077"/>
        <v>05/12/2020 14:49:12.850</v>
      </c>
      <c r="C4513" t="str">
        <f t="shared" si="2075"/>
        <v>FFDFD3C0</v>
      </c>
      <c r="D4513" t="s">
        <v>113</v>
      </c>
      <c r="E4513">
        <v>3</v>
      </c>
      <c r="H4513">
        <v>164</v>
      </c>
      <c r="I4513" t="s">
        <v>114</v>
      </c>
      <c r="J4513" t="s">
        <v>115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 t="shared" si="2078"/>
        <v>14:49:30.648</v>
      </c>
      <c r="T4513" t="str">
        <f t="shared" si="2078"/>
        <v>14:49:30.648</v>
      </c>
      <c r="U4513" t="str">
        <f t="shared" si="2067"/>
        <v>A9808D</v>
      </c>
      <c r="V4513">
        <v>0</v>
      </c>
      <c r="W4513">
        <v>0</v>
      </c>
      <c r="X4513">
        <v>1</v>
      </c>
      <c r="Z4513">
        <v>0</v>
      </c>
      <c r="AA4513">
        <v>9</v>
      </c>
      <c r="AB4513">
        <v>3</v>
      </c>
      <c r="AC4513">
        <v>0</v>
      </c>
      <c r="AD4513">
        <v>10</v>
      </c>
      <c r="AE4513">
        <v>0</v>
      </c>
      <c r="AF4513">
        <v>3</v>
      </c>
      <c r="AG4513">
        <v>2</v>
      </c>
      <c r="AH4513">
        <v>0</v>
      </c>
      <c r="AI4513" t="s">
        <v>1012</v>
      </c>
      <c r="AJ4513">
        <v>28.246449999999999</v>
      </c>
      <c r="AK4513" t="s">
        <v>1013</v>
      </c>
      <c r="AL4513">
        <v>-82.330213000000001</v>
      </c>
      <c r="AM4513">
        <v>100</v>
      </c>
      <c r="AN4513">
        <v>2200</v>
      </c>
      <c r="AO4513" t="s">
        <v>118</v>
      </c>
      <c r="AP4513">
        <v>-138</v>
      </c>
      <c r="AQ4513">
        <v>-49</v>
      </c>
      <c r="AR4513">
        <v>128</v>
      </c>
      <c r="AZ4513">
        <v>1200</v>
      </c>
      <c r="BA4513">
        <v>1</v>
      </c>
      <c r="BB4513" t="str">
        <f t="shared" si="2076"/>
        <v xml:space="preserve">N711JA  </v>
      </c>
      <c r="BC4513">
        <v>1</v>
      </c>
      <c r="BE4513">
        <v>0</v>
      </c>
      <c r="BF4513">
        <v>0</v>
      </c>
      <c r="BG4513">
        <v>0</v>
      </c>
      <c r="BH4513">
        <v>2200</v>
      </c>
      <c r="BI4513">
        <v>1</v>
      </c>
      <c r="BJ4513">
        <v>1</v>
      </c>
      <c r="BK4513">
        <v>0</v>
      </c>
      <c r="BL4513">
        <v>0</v>
      </c>
      <c r="BO4513">
        <v>0</v>
      </c>
      <c r="BP4513">
        <v>0</v>
      </c>
      <c r="BW4513" t="str">
        <f t="shared" si="2079"/>
        <v>14:49:30.655</v>
      </c>
      <c r="CJ4513">
        <v>0</v>
      </c>
      <c r="CK4513">
        <v>2</v>
      </c>
      <c r="CL4513">
        <v>0</v>
      </c>
      <c r="CM4513">
        <v>2</v>
      </c>
      <c r="CN4513">
        <v>0</v>
      </c>
      <c r="CO4513">
        <v>7</v>
      </c>
      <c r="CP4513" t="s">
        <v>119</v>
      </c>
      <c r="CQ4513">
        <v>8</v>
      </c>
      <c r="CR4513">
        <v>3</v>
      </c>
      <c r="CW4513">
        <v>9164495</v>
      </c>
      <c r="CY4513">
        <v>1</v>
      </c>
      <c r="CZ4513">
        <v>0</v>
      </c>
      <c r="DA4513">
        <v>1</v>
      </c>
      <c r="DB4513">
        <v>0</v>
      </c>
      <c r="DC4513">
        <v>0</v>
      </c>
      <c r="DD4513">
        <v>1</v>
      </c>
      <c r="DE4513">
        <v>0</v>
      </c>
      <c r="DF4513">
        <v>0</v>
      </c>
      <c r="DG4513">
        <v>0</v>
      </c>
      <c r="DH4513">
        <v>0</v>
      </c>
      <c r="DI4513">
        <v>0</v>
      </c>
    </row>
    <row r="4514" spans="1:113" x14ac:dyDescent="0.3">
      <c r="A4514" t="str">
        <f t="shared" si="2077"/>
        <v>05/12/2020 14:49:12.850</v>
      </c>
      <c r="C4514" t="str">
        <f t="shared" si="2075"/>
        <v>FFDFD3C0</v>
      </c>
      <c r="D4514" t="s">
        <v>126</v>
      </c>
      <c r="E4514">
        <v>6</v>
      </c>
      <c r="F4514">
        <v>1006</v>
      </c>
      <c r="G4514" t="s">
        <v>114</v>
      </c>
      <c r="J4514" t="s">
        <v>128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 t="shared" si="2078"/>
        <v>14:49:30.648</v>
      </c>
      <c r="T4514" t="str">
        <f t="shared" si="2078"/>
        <v>14:49:30.648</v>
      </c>
      <c r="U4514" t="str">
        <f t="shared" si="2067"/>
        <v>A9808D</v>
      </c>
      <c r="V4514">
        <v>0</v>
      </c>
      <c r="W4514">
        <v>0</v>
      </c>
      <c r="X4514">
        <v>1</v>
      </c>
      <c r="Z4514">
        <v>0</v>
      </c>
      <c r="AA4514">
        <v>9</v>
      </c>
      <c r="AB4514">
        <v>3</v>
      </c>
      <c r="AC4514">
        <v>0</v>
      </c>
      <c r="AD4514">
        <v>10</v>
      </c>
      <c r="AE4514">
        <v>0</v>
      </c>
      <c r="AF4514">
        <v>3</v>
      </c>
      <c r="AG4514">
        <v>2</v>
      </c>
      <c r="AH4514">
        <v>0</v>
      </c>
      <c r="AI4514" t="s">
        <v>1012</v>
      </c>
      <c r="AJ4514">
        <v>28.246449999999999</v>
      </c>
      <c r="AK4514" t="s">
        <v>1013</v>
      </c>
      <c r="AL4514">
        <v>-82.330213000000001</v>
      </c>
      <c r="AM4514">
        <v>100</v>
      </c>
      <c r="AN4514">
        <v>2200</v>
      </c>
      <c r="AO4514" t="s">
        <v>118</v>
      </c>
      <c r="AP4514">
        <v>-138</v>
      </c>
      <c r="AQ4514">
        <v>-49</v>
      </c>
      <c r="AR4514">
        <v>128</v>
      </c>
      <c r="AZ4514">
        <v>1200</v>
      </c>
      <c r="BA4514">
        <v>1</v>
      </c>
      <c r="BB4514" t="str">
        <f t="shared" si="2076"/>
        <v xml:space="preserve">N711JA  </v>
      </c>
      <c r="BC4514">
        <v>1</v>
      </c>
      <c r="BE4514">
        <v>0</v>
      </c>
      <c r="BF4514">
        <v>0</v>
      </c>
      <c r="BG4514">
        <v>0</v>
      </c>
      <c r="BH4514">
        <v>2200</v>
      </c>
      <c r="BI4514">
        <v>1</v>
      </c>
      <c r="BJ4514">
        <v>1</v>
      </c>
      <c r="BK4514">
        <v>0</v>
      </c>
      <c r="BL4514">
        <v>0</v>
      </c>
      <c r="BO4514">
        <v>0</v>
      </c>
      <c r="BP4514">
        <v>0</v>
      </c>
      <c r="BW4514" t="str">
        <f t="shared" si="2079"/>
        <v>14:49:30.655</v>
      </c>
      <c r="CJ4514">
        <v>0</v>
      </c>
      <c r="CK4514">
        <v>2</v>
      </c>
      <c r="CL4514">
        <v>0</v>
      </c>
      <c r="CM4514">
        <v>2</v>
      </c>
      <c r="CN4514">
        <v>0</v>
      </c>
      <c r="CO4514">
        <v>7</v>
      </c>
      <c r="CP4514" t="s">
        <v>119</v>
      </c>
      <c r="CQ4514">
        <v>8</v>
      </c>
      <c r="CR4514">
        <v>3</v>
      </c>
      <c r="CW4514">
        <v>9164495</v>
      </c>
      <c r="CY4514">
        <v>1</v>
      </c>
      <c r="CZ4514">
        <v>0</v>
      </c>
      <c r="DA4514">
        <v>1</v>
      </c>
      <c r="DB4514">
        <v>0</v>
      </c>
      <c r="DC4514">
        <v>0</v>
      </c>
      <c r="DD4514">
        <v>1</v>
      </c>
      <c r="DE4514">
        <v>0</v>
      </c>
      <c r="DF4514">
        <v>0</v>
      </c>
      <c r="DG4514">
        <v>0</v>
      </c>
      <c r="DH4514">
        <v>0</v>
      </c>
      <c r="DI4514">
        <v>0</v>
      </c>
    </row>
    <row r="4515" spans="1:113" x14ac:dyDescent="0.3">
      <c r="A4515" t="str">
        <f t="shared" ref="A4515:A4523" si="2080">"05/12/2020 14:49:13.959"</f>
        <v>05/12/2020 14:49:13.959</v>
      </c>
      <c r="C4515" t="str">
        <f t="shared" si="2075"/>
        <v>FFDFD3C0</v>
      </c>
      <c r="D4515" t="s">
        <v>126</v>
      </c>
      <c r="E4515">
        <v>7</v>
      </c>
      <c r="F4515">
        <v>1007</v>
      </c>
      <c r="G4515" t="s">
        <v>127</v>
      </c>
      <c r="J4515" t="s">
        <v>128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 t="shared" ref="S4515:S4523" si="2081">"14:49:31.805"</f>
        <v>14:49:31.805</v>
      </c>
      <c r="T4515" t="str">
        <f>"14:49:31.605"</f>
        <v>14:49:31.605</v>
      </c>
      <c r="U4515" t="str">
        <f t="shared" si="2067"/>
        <v>A9808D</v>
      </c>
      <c r="V4515">
        <v>0</v>
      </c>
      <c r="W4515">
        <v>0</v>
      </c>
      <c r="X4515">
        <v>1</v>
      </c>
      <c r="Z4515">
        <v>0</v>
      </c>
      <c r="AA4515">
        <v>9</v>
      </c>
      <c r="AB4515">
        <v>3</v>
      </c>
      <c r="AC4515">
        <v>0</v>
      </c>
      <c r="AD4515">
        <v>10</v>
      </c>
      <c r="AE4515">
        <v>0</v>
      </c>
      <c r="AF4515">
        <v>3</v>
      </c>
      <c r="AG4515">
        <v>2</v>
      </c>
      <c r="AH4515">
        <v>0</v>
      </c>
      <c r="AI4515" t="s">
        <v>1014</v>
      </c>
      <c r="AJ4515">
        <v>28.246171</v>
      </c>
      <c r="AK4515" t="s">
        <v>1015</v>
      </c>
      <c r="AL4515">
        <v>-82.331007</v>
      </c>
      <c r="AM4515">
        <v>100</v>
      </c>
      <c r="AN4515">
        <v>2200</v>
      </c>
      <c r="AO4515" t="s">
        <v>118</v>
      </c>
      <c r="AP4515">
        <v>-138</v>
      </c>
      <c r="AQ4515">
        <v>-48</v>
      </c>
      <c r="AR4515">
        <v>64</v>
      </c>
      <c r="AZ4515">
        <v>1200</v>
      </c>
      <c r="BA4515">
        <v>1</v>
      </c>
      <c r="BB4515" t="str">
        <f t="shared" si="2076"/>
        <v xml:space="preserve">N711JA  </v>
      </c>
      <c r="BC4515">
        <v>1</v>
      </c>
      <c r="BE4515">
        <v>0</v>
      </c>
      <c r="BF4515">
        <v>0</v>
      </c>
      <c r="BG4515">
        <v>0</v>
      </c>
      <c r="BH4515">
        <v>2225</v>
      </c>
      <c r="BI4515">
        <v>1</v>
      </c>
      <c r="BJ4515">
        <v>1</v>
      </c>
      <c r="BK4515">
        <v>0</v>
      </c>
      <c r="BL4515">
        <v>0</v>
      </c>
      <c r="BO4515">
        <v>0</v>
      </c>
      <c r="BP4515">
        <v>0</v>
      </c>
      <c r="BW4515" t="str">
        <f t="shared" ref="BW4515:BW4523" si="2082">"14:49:31.811"</f>
        <v>14:49:31.811</v>
      </c>
      <c r="CJ4515">
        <v>0</v>
      </c>
      <c r="CK4515">
        <v>2</v>
      </c>
      <c r="CL4515">
        <v>0</v>
      </c>
      <c r="CM4515">
        <v>2</v>
      </c>
      <c r="CN4515">
        <v>0</v>
      </c>
      <c r="CO4515">
        <v>7</v>
      </c>
      <c r="CP4515" t="s">
        <v>119</v>
      </c>
      <c r="CQ4515">
        <v>8</v>
      </c>
      <c r="CR4515">
        <v>3</v>
      </c>
      <c r="CW4515">
        <v>9165684</v>
      </c>
      <c r="CY4515">
        <v>1</v>
      </c>
      <c r="CZ4515">
        <v>0</v>
      </c>
      <c r="DA4515">
        <v>0</v>
      </c>
      <c r="DB4515">
        <v>0</v>
      </c>
      <c r="DC4515">
        <v>0</v>
      </c>
      <c r="DD4515">
        <v>1</v>
      </c>
      <c r="DE4515">
        <v>0</v>
      </c>
      <c r="DF4515">
        <v>0</v>
      </c>
      <c r="DG4515">
        <v>0</v>
      </c>
      <c r="DH4515">
        <v>0</v>
      </c>
      <c r="DI4515">
        <v>0</v>
      </c>
    </row>
    <row r="4516" spans="1:113" x14ac:dyDescent="0.3">
      <c r="A4516" t="str">
        <f t="shared" si="2080"/>
        <v>05/12/2020 14:49:13.959</v>
      </c>
      <c r="C4516" t="str">
        <f t="shared" si="2075"/>
        <v>FFDFD3C0</v>
      </c>
      <c r="D4516" t="s">
        <v>131</v>
      </c>
      <c r="E4516">
        <v>10</v>
      </c>
      <c r="F4516">
        <v>2010</v>
      </c>
      <c r="G4516" t="s">
        <v>132</v>
      </c>
      <c r="J4516" t="s">
        <v>133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 t="shared" si="2081"/>
        <v>14:49:31.805</v>
      </c>
      <c r="T4516" t="str">
        <f>"14:49:31.605"</f>
        <v>14:49:31.605</v>
      </c>
      <c r="U4516" t="str">
        <f t="shared" si="2067"/>
        <v>A9808D</v>
      </c>
      <c r="V4516">
        <v>0</v>
      </c>
      <c r="W4516">
        <v>0</v>
      </c>
      <c r="X4516">
        <v>1</v>
      </c>
      <c r="Z4516">
        <v>0</v>
      </c>
      <c r="AA4516">
        <v>9</v>
      </c>
      <c r="AB4516">
        <v>3</v>
      </c>
      <c r="AC4516">
        <v>0</v>
      </c>
      <c r="AD4516">
        <v>10</v>
      </c>
      <c r="AE4516">
        <v>0</v>
      </c>
      <c r="AF4516">
        <v>3</v>
      </c>
      <c r="AG4516">
        <v>2</v>
      </c>
      <c r="AH4516">
        <v>0</v>
      </c>
      <c r="AI4516" t="s">
        <v>1014</v>
      </c>
      <c r="AJ4516">
        <v>28.246171</v>
      </c>
      <c r="AK4516" t="s">
        <v>1015</v>
      </c>
      <c r="AL4516">
        <v>-82.331007</v>
      </c>
      <c r="AM4516">
        <v>100</v>
      </c>
      <c r="AN4516">
        <v>2200</v>
      </c>
      <c r="AO4516" t="s">
        <v>118</v>
      </c>
      <c r="AP4516">
        <v>-138</v>
      </c>
      <c r="AQ4516">
        <v>-48</v>
      </c>
      <c r="AR4516">
        <v>64</v>
      </c>
      <c r="AZ4516">
        <v>1200</v>
      </c>
      <c r="BA4516">
        <v>1</v>
      </c>
      <c r="BB4516" t="str">
        <f t="shared" si="2076"/>
        <v xml:space="preserve">N711JA  </v>
      </c>
      <c r="BC4516">
        <v>1</v>
      </c>
      <c r="BE4516">
        <v>0</v>
      </c>
      <c r="BF4516">
        <v>0</v>
      </c>
      <c r="BG4516">
        <v>0</v>
      </c>
      <c r="BH4516">
        <v>2225</v>
      </c>
      <c r="BI4516">
        <v>1</v>
      </c>
      <c r="BJ4516">
        <v>1</v>
      </c>
      <c r="BK4516">
        <v>0</v>
      </c>
      <c r="BL4516">
        <v>0</v>
      </c>
      <c r="BO4516">
        <v>0</v>
      </c>
      <c r="BP4516">
        <v>0</v>
      </c>
      <c r="BW4516" t="str">
        <f t="shared" si="2082"/>
        <v>14:49:31.811</v>
      </c>
      <c r="CJ4516">
        <v>0</v>
      </c>
      <c r="CK4516">
        <v>2</v>
      </c>
      <c r="CL4516">
        <v>0</v>
      </c>
      <c r="CM4516">
        <v>2</v>
      </c>
      <c r="CN4516">
        <v>0</v>
      </c>
      <c r="CO4516">
        <v>7</v>
      </c>
      <c r="CP4516" t="s">
        <v>119</v>
      </c>
      <c r="CQ4516">
        <v>8</v>
      </c>
      <c r="CR4516">
        <v>3</v>
      </c>
      <c r="CW4516">
        <v>9165684</v>
      </c>
      <c r="CY4516">
        <v>1</v>
      </c>
      <c r="CZ4516">
        <v>0</v>
      </c>
      <c r="DA4516">
        <v>1</v>
      </c>
      <c r="DB4516">
        <v>0</v>
      </c>
      <c r="DC4516">
        <v>0</v>
      </c>
      <c r="DD4516">
        <v>1</v>
      </c>
      <c r="DE4516">
        <v>0</v>
      </c>
      <c r="DF4516">
        <v>0</v>
      </c>
      <c r="DG4516">
        <v>0</v>
      </c>
      <c r="DH4516">
        <v>0</v>
      </c>
      <c r="DI4516">
        <v>0</v>
      </c>
    </row>
    <row r="4517" spans="1:113" x14ac:dyDescent="0.3">
      <c r="A4517" t="str">
        <f t="shared" si="2080"/>
        <v>05/12/2020 14:49:13.959</v>
      </c>
      <c r="C4517" t="str">
        <f t="shared" si="2075"/>
        <v>FFDFD3C0</v>
      </c>
      <c r="D4517" t="s">
        <v>131</v>
      </c>
      <c r="E4517">
        <v>12</v>
      </c>
      <c r="F4517">
        <v>2012</v>
      </c>
      <c r="G4517" t="s">
        <v>137</v>
      </c>
      <c r="J4517" t="s">
        <v>133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 t="shared" si="2081"/>
        <v>14:49:31.805</v>
      </c>
      <c r="T4517" t="str">
        <f>"14:49:31.605"</f>
        <v>14:49:31.605</v>
      </c>
      <c r="U4517" t="str">
        <f t="shared" si="2067"/>
        <v>A9808D</v>
      </c>
      <c r="V4517">
        <v>0</v>
      </c>
      <c r="W4517">
        <v>0</v>
      </c>
      <c r="X4517">
        <v>1</v>
      </c>
      <c r="Z4517">
        <v>0</v>
      </c>
      <c r="AA4517">
        <v>9</v>
      </c>
      <c r="AB4517">
        <v>3</v>
      </c>
      <c r="AC4517">
        <v>0</v>
      </c>
      <c r="AD4517">
        <v>10</v>
      </c>
      <c r="AE4517">
        <v>0</v>
      </c>
      <c r="AF4517">
        <v>3</v>
      </c>
      <c r="AG4517">
        <v>2</v>
      </c>
      <c r="AH4517">
        <v>0</v>
      </c>
      <c r="AI4517" t="s">
        <v>1014</v>
      </c>
      <c r="AJ4517">
        <v>28.246171</v>
      </c>
      <c r="AK4517" t="s">
        <v>1015</v>
      </c>
      <c r="AL4517">
        <v>-82.331007</v>
      </c>
      <c r="AM4517">
        <v>100</v>
      </c>
      <c r="AN4517">
        <v>2200</v>
      </c>
      <c r="AO4517" t="s">
        <v>118</v>
      </c>
      <c r="AP4517">
        <v>-138</v>
      </c>
      <c r="AQ4517">
        <v>-48</v>
      </c>
      <c r="AR4517">
        <v>64</v>
      </c>
      <c r="AZ4517">
        <v>1200</v>
      </c>
      <c r="BA4517">
        <v>1</v>
      </c>
      <c r="BB4517" t="str">
        <f t="shared" si="2076"/>
        <v xml:space="preserve">N711JA  </v>
      </c>
      <c r="BC4517">
        <v>1</v>
      </c>
      <c r="BE4517">
        <v>0</v>
      </c>
      <c r="BF4517">
        <v>0</v>
      </c>
      <c r="BG4517">
        <v>0</v>
      </c>
      <c r="BH4517">
        <v>2225</v>
      </c>
      <c r="BI4517">
        <v>1</v>
      </c>
      <c r="BJ4517">
        <v>1</v>
      </c>
      <c r="BK4517">
        <v>0</v>
      </c>
      <c r="BL4517">
        <v>0</v>
      </c>
      <c r="BO4517">
        <v>0</v>
      </c>
      <c r="BP4517">
        <v>0</v>
      </c>
      <c r="BW4517" t="str">
        <f t="shared" si="2082"/>
        <v>14:49:31.811</v>
      </c>
      <c r="CJ4517">
        <v>0</v>
      </c>
      <c r="CK4517">
        <v>2</v>
      </c>
      <c r="CL4517">
        <v>0</v>
      </c>
      <c r="CM4517">
        <v>2</v>
      </c>
      <c r="CN4517">
        <v>0</v>
      </c>
      <c r="CO4517">
        <v>7</v>
      </c>
      <c r="CP4517" t="s">
        <v>119</v>
      </c>
      <c r="CQ4517">
        <v>8</v>
      </c>
      <c r="CR4517">
        <v>3</v>
      </c>
      <c r="CW4517">
        <v>9165684</v>
      </c>
      <c r="CY4517">
        <v>1</v>
      </c>
      <c r="CZ4517">
        <v>0</v>
      </c>
      <c r="DA4517">
        <v>1</v>
      </c>
      <c r="DB4517">
        <v>0</v>
      </c>
      <c r="DC4517">
        <v>0</v>
      </c>
      <c r="DD4517">
        <v>1</v>
      </c>
      <c r="DE4517">
        <v>0</v>
      </c>
      <c r="DF4517">
        <v>0</v>
      </c>
      <c r="DG4517">
        <v>0</v>
      </c>
      <c r="DH4517">
        <v>0</v>
      </c>
      <c r="DI4517">
        <v>0</v>
      </c>
    </row>
    <row r="4518" spans="1:113" x14ac:dyDescent="0.3">
      <c r="A4518" t="str">
        <f t="shared" si="2080"/>
        <v>05/12/2020 14:49:13.959</v>
      </c>
      <c r="C4518" t="str">
        <f t="shared" si="2075"/>
        <v>FFDFD3C0</v>
      </c>
      <c r="D4518" t="s">
        <v>134</v>
      </c>
      <c r="E4518">
        <v>12</v>
      </c>
      <c r="H4518">
        <v>64</v>
      </c>
      <c r="I4518" t="s">
        <v>135</v>
      </c>
      <c r="J4518" t="s">
        <v>136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 t="shared" si="2081"/>
        <v>14:49:31.805</v>
      </c>
      <c r="T4518" t="str">
        <f>"14:49:31.605"</f>
        <v>14:49:31.605</v>
      </c>
      <c r="U4518" t="str">
        <f t="shared" si="2067"/>
        <v>A9808D</v>
      </c>
      <c r="V4518">
        <v>0</v>
      </c>
      <c r="W4518">
        <v>0</v>
      </c>
      <c r="X4518">
        <v>1</v>
      </c>
      <c r="Z4518">
        <v>0</v>
      </c>
      <c r="AA4518">
        <v>9</v>
      </c>
      <c r="AB4518">
        <v>3</v>
      </c>
      <c r="AC4518">
        <v>0</v>
      </c>
      <c r="AD4518">
        <v>10</v>
      </c>
      <c r="AE4518">
        <v>0</v>
      </c>
      <c r="AF4518">
        <v>3</v>
      </c>
      <c r="AG4518">
        <v>2</v>
      </c>
      <c r="AH4518">
        <v>0</v>
      </c>
      <c r="AI4518" t="s">
        <v>1014</v>
      </c>
      <c r="AJ4518">
        <v>28.246171</v>
      </c>
      <c r="AK4518" t="s">
        <v>1015</v>
      </c>
      <c r="AL4518">
        <v>-82.331007</v>
      </c>
      <c r="AM4518">
        <v>100</v>
      </c>
      <c r="AN4518">
        <v>2200</v>
      </c>
      <c r="AO4518" t="s">
        <v>118</v>
      </c>
      <c r="AP4518">
        <v>-138</v>
      </c>
      <c r="AQ4518">
        <v>-48</v>
      </c>
      <c r="AR4518">
        <v>64</v>
      </c>
      <c r="AZ4518">
        <v>1200</v>
      </c>
      <c r="BA4518">
        <v>1</v>
      </c>
      <c r="BB4518" t="str">
        <f t="shared" si="2076"/>
        <v xml:space="preserve">N711JA  </v>
      </c>
      <c r="BC4518">
        <v>1</v>
      </c>
      <c r="BE4518">
        <v>0</v>
      </c>
      <c r="BF4518">
        <v>0</v>
      </c>
      <c r="BG4518">
        <v>0</v>
      </c>
      <c r="BH4518">
        <v>2225</v>
      </c>
      <c r="BI4518">
        <v>1</v>
      </c>
      <c r="BJ4518">
        <v>1</v>
      </c>
      <c r="BK4518">
        <v>0</v>
      </c>
      <c r="BL4518">
        <v>0</v>
      </c>
      <c r="BO4518">
        <v>0</v>
      </c>
      <c r="BP4518">
        <v>0</v>
      </c>
      <c r="BW4518" t="str">
        <f t="shared" si="2082"/>
        <v>14:49:31.811</v>
      </c>
      <c r="CJ4518">
        <v>0</v>
      </c>
      <c r="CK4518">
        <v>2</v>
      </c>
      <c r="CL4518">
        <v>0</v>
      </c>
      <c r="CM4518">
        <v>2</v>
      </c>
      <c r="CN4518">
        <v>0</v>
      </c>
      <c r="CO4518">
        <v>7</v>
      </c>
      <c r="CP4518" t="s">
        <v>119</v>
      </c>
      <c r="CQ4518">
        <v>8</v>
      </c>
      <c r="CR4518">
        <v>3</v>
      </c>
      <c r="CW4518">
        <v>9165684</v>
      </c>
      <c r="CY4518">
        <v>1</v>
      </c>
      <c r="CZ4518">
        <v>0</v>
      </c>
      <c r="DA4518">
        <v>1</v>
      </c>
      <c r="DB4518">
        <v>0</v>
      </c>
      <c r="DC4518">
        <v>0</v>
      </c>
      <c r="DD4518">
        <v>1</v>
      </c>
      <c r="DE4518">
        <v>0</v>
      </c>
      <c r="DF4518">
        <v>0</v>
      </c>
      <c r="DG4518">
        <v>0</v>
      </c>
      <c r="DH4518">
        <v>0</v>
      </c>
      <c r="DI4518">
        <v>0</v>
      </c>
    </row>
    <row r="4519" spans="1:113" x14ac:dyDescent="0.3">
      <c r="A4519" t="str">
        <f t="shared" si="2080"/>
        <v>05/12/2020 14:49:13.959</v>
      </c>
      <c r="C4519" t="str">
        <f t="shared" si="2075"/>
        <v>FFDFD3C0</v>
      </c>
      <c r="D4519" t="s">
        <v>131</v>
      </c>
      <c r="E4519">
        <v>18</v>
      </c>
      <c r="F4519">
        <v>2018</v>
      </c>
      <c r="G4519" t="s">
        <v>161</v>
      </c>
      <c r="J4519" t="s">
        <v>133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 t="shared" si="2081"/>
        <v>14:49:31.805</v>
      </c>
      <c r="T4519" t="str">
        <f>"14:49:31.105"</f>
        <v>14:49:31.105</v>
      </c>
      <c r="U4519" t="str">
        <f t="shared" si="2067"/>
        <v>A9808D</v>
      </c>
      <c r="V4519">
        <v>0</v>
      </c>
      <c r="W4519">
        <v>0</v>
      </c>
      <c r="X4519">
        <v>1</v>
      </c>
      <c r="Z4519">
        <v>0</v>
      </c>
      <c r="AA4519">
        <v>9</v>
      </c>
      <c r="AB4519">
        <v>3</v>
      </c>
      <c r="AC4519">
        <v>0</v>
      </c>
      <c r="AD4519">
        <v>10</v>
      </c>
      <c r="AE4519">
        <v>0</v>
      </c>
      <c r="AF4519">
        <v>3</v>
      </c>
      <c r="AG4519">
        <v>2</v>
      </c>
      <c r="AH4519">
        <v>0</v>
      </c>
      <c r="AI4519" t="s">
        <v>1014</v>
      </c>
      <c r="AJ4519">
        <v>28.246171</v>
      </c>
      <c r="AK4519" t="s">
        <v>1015</v>
      </c>
      <c r="AL4519">
        <v>-82.331007</v>
      </c>
      <c r="AM4519">
        <v>100</v>
      </c>
      <c r="AN4519">
        <v>2200</v>
      </c>
      <c r="AO4519" t="s">
        <v>118</v>
      </c>
      <c r="AP4519">
        <v>-138</v>
      </c>
      <c r="AQ4519">
        <v>-49</v>
      </c>
      <c r="AR4519">
        <v>128</v>
      </c>
      <c r="AZ4519">
        <v>1200</v>
      </c>
      <c r="BA4519">
        <v>1</v>
      </c>
      <c r="BB4519" t="str">
        <f t="shared" si="2076"/>
        <v xml:space="preserve">N711JA  </v>
      </c>
      <c r="BC4519">
        <v>1</v>
      </c>
      <c r="BE4519">
        <v>0</v>
      </c>
      <c r="BF4519">
        <v>0</v>
      </c>
      <c r="BG4519">
        <v>0</v>
      </c>
      <c r="BH4519">
        <v>2225</v>
      </c>
      <c r="BI4519">
        <v>1</v>
      </c>
      <c r="BJ4519">
        <v>1</v>
      </c>
      <c r="BK4519">
        <v>0</v>
      </c>
      <c r="BL4519">
        <v>0</v>
      </c>
      <c r="BO4519">
        <v>0</v>
      </c>
      <c r="BP4519">
        <v>0</v>
      </c>
      <c r="BW4519" t="str">
        <f t="shared" si="2082"/>
        <v>14:49:31.811</v>
      </c>
      <c r="CJ4519">
        <v>0</v>
      </c>
      <c r="CK4519">
        <v>2</v>
      </c>
      <c r="CL4519">
        <v>0</v>
      </c>
      <c r="CM4519">
        <v>2</v>
      </c>
      <c r="CN4519">
        <v>0</v>
      </c>
      <c r="CO4519">
        <v>6</v>
      </c>
      <c r="CP4519" t="s">
        <v>119</v>
      </c>
      <c r="CQ4519">
        <v>56</v>
      </c>
      <c r="CR4519">
        <v>2</v>
      </c>
      <c r="CW4519">
        <v>5167618</v>
      </c>
      <c r="CY4519">
        <v>1</v>
      </c>
      <c r="CZ4519">
        <v>0</v>
      </c>
      <c r="DA4519">
        <v>1</v>
      </c>
      <c r="DB4519">
        <v>0</v>
      </c>
      <c r="DC4519">
        <v>0</v>
      </c>
      <c r="DD4519">
        <v>1</v>
      </c>
      <c r="DE4519">
        <v>0</v>
      </c>
      <c r="DF4519">
        <v>0</v>
      </c>
      <c r="DG4519">
        <v>0</v>
      </c>
      <c r="DH4519">
        <v>0</v>
      </c>
      <c r="DI4519">
        <v>0</v>
      </c>
    </row>
    <row r="4520" spans="1:113" x14ac:dyDescent="0.3">
      <c r="A4520" t="str">
        <f t="shared" si="2080"/>
        <v>05/12/2020 14:49:13.959</v>
      </c>
      <c r="C4520" t="str">
        <f t="shared" si="2075"/>
        <v>FFDFD3C0</v>
      </c>
      <c r="D4520" t="s">
        <v>138</v>
      </c>
      <c r="E4520">
        <v>3</v>
      </c>
      <c r="H4520">
        <v>9</v>
      </c>
      <c r="I4520" t="s">
        <v>140</v>
      </c>
      <c r="J4520" t="s">
        <v>136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 t="shared" si="2081"/>
        <v>14:49:31.805</v>
      </c>
      <c r="T4520" t="str">
        <f>"14:49:31.605"</f>
        <v>14:49:31.605</v>
      </c>
      <c r="U4520" t="str">
        <f t="shared" si="2067"/>
        <v>A9808D</v>
      </c>
      <c r="V4520">
        <v>0</v>
      </c>
      <c r="W4520">
        <v>0</v>
      </c>
      <c r="X4520">
        <v>1</v>
      </c>
      <c r="Z4520">
        <v>0</v>
      </c>
      <c r="AA4520">
        <v>9</v>
      </c>
      <c r="AB4520">
        <v>3</v>
      </c>
      <c r="AC4520">
        <v>0</v>
      </c>
      <c r="AD4520">
        <v>10</v>
      </c>
      <c r="AE4520">
        <v>0</v>
      </c>
      <c r="AF4520">
        <v>3</v>
      </c>
      <c r="AG4520">
        <v>2</v>
      </c>
      <c r="AH4520">
        <v>0</v>
      </c>
      <c r="AI4520" t="s">
        <v>1014</v>
      </c>
      <c r="AJ4520">
        <v>28.246171</v>
      </c>
      <c r="AK4520" t="s">
        <v>1015</v>
      </c>
      <c r="AL4520">
        <v>-82.331007</v>
      </c>
      <c r="AM4520">
        <v>100</v>
      </c>
      <c r="AN4520">
        <v>2200</v>
      </c>
      <c r="AO4520" t="s">
        <v>118</v>
      </c>
      <c r="AP4520">
        <v>-138</v>
      </c>
      <c r="AQ4520">
        <v>-48</v>
      </c>
      <c r="AR4520">
        <v>64</v>
      </c>
      <c r="AZ4520">
        <v>1200</v>
      </c>
      <c r="BA4520">
        <v>1</v>
      </c>
      <c r="BB4520" t="str">
        <f t="shared" si="2076"/>
        <v xml:space="preserve">N711JA  </v>
      </c>
      <c r="BC4520">
        <v>1</v>
      </c>
      <c r="BE4520">
        <v>0</v>
      </c>
      <c r="BF4520">
        <v>0</v>
      </c>
      <c r="BG4520">
        <v>0</v>
      </c>
      <c r="BH4520">
        <v>2225</v>
      </c>
      <c r="BI4520">
        <v>1</v>
      </c>
      <c r="BJ4520">
        <v>1</v>
      </c>
      <c r="BK4520">
        <v>0</v>
      </c>
      <c r="BL4520">
        <v>0</v>
      </c>
      <c r="BO4520">
        <v>0</v>
      </c>
      <c r="BP4520">
        <v>0</v>
      </c>
      <c r="BW4520" t="str">
        <f t="shared" si="2082"/>
        <v>14:49:31.811</v>
      </c>
      <c r="CJ4520">
        <v>0</v>
      </c>
      <c r="CK4520">
        <v>2</v>
      </c>
      <c r="CL4520">
        <v>0</v>
      </c>
      <c r="CM4520">
        <v>2</v>
      </c>
      <c r="CN4520">
        <v>0</v>
      </c>
      <c r="CO4520">
        <v>7</v>
      </c>
      <c r="CP4520" t="s">
        <v>119</v>
      </c>
      <c r="CQ4520">
        <v>8</v>
      </c>
      <c r="CR4520">
        <v>3</v>
      </c>
      <c r="CW4520">
        <v>9165684</v>
      </c>
      <c r="CY4520">
        <v>1</v>
      </c>
      <c r="CZ4520">
        <v>0</v>
      </c>
      <c r="DA4520">
        <v>1</v>
      </c>
      <c r="DB4520">
        <v>0</v>
      </c>
      <c r="DC4520">
        <v>0</v>
      </c>
      <c r="DD4520">
        <v>1</v>
      </c>
      <c r="DE4520">
        <v>0</v>
      </c>
      <c r="DF4520">
        <v>0</v>
      </c>
      <c r="DG4520">
        <v>0</v>
      </c>
      <c r="DH4520">
        <v>0</v>
      </c>
      <c r="DI4520">
        <v>0</v>
      </c>
    </row>
    <row r="4521" spans="1:113" x14ac:dyDescent="0.3">
      <c r="A4521" t="str">
        <f t="shared" si="2080"/>
        <v>05/12/2020 14:49:13.959</v>
      </c>
      <c r="C4521" t="str">
        <f t="shared" si="2075"/>
        <v>FFDFD3C0</v>
      </c>
      <c r="D4521" t="s">
        <v>138</v>
      </c>
      <c r="E4521">
        <v>2</v>
      </c>
      <c r="H4521">
        <v>8</v>
      </c>
      <c r="I4521" t="s">
        <v>139</v>
      </c>
      <c r="J4521" t="s">
        <v>136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 t="shared" si="2081"/>
        <v>14:49:31.805</v>
      </c>
      <c r="T4521" t="str">
        <f>"14:49:31.605"</f>
        <v>14:49:31.605</v>
      </c>
      <c r="U4521" t="str">
        <f t="shared" si="2067"/>
        <v>A9808D</v>
      </c>
      <c r="V4521">
        <v>0</v>
      </c>
      <c r="W4521">
        <v>0</v>
      </c>
      <c r="X4521">
        <v>1</v>
      </c>
      <c r="Z4521">
        <v>0</v>
      </c>
      <c r="AA4521">
        <v>9</v>
      </c>
      <c r="AB4521">
        <v>3</v>
      </c>
      <c r="AC4521">
        <v>0</v>
      </c>
      <c r="AD4521">
        <v>10</v>
      </c>
      <c r="AE4521">
        <v>0</v>
      </c>
      <c r="AF4521">
        <v>3</v>
      </c>
      <c r="AG4521">
        <v>2</v>
      </c>
      <c r="AH4521">
        <v>0</v>
      </c>
      <c r="AI4521" t="s">
        <v>1014</v>
      </c>
      <c r="AJ4521">
        <v>28.246171</v>
      </c>
      <c r="AK4521" t="s">
        <v>1015</v>
      </c>
      <c r="AL4521">
        <v>-82.331007</v>
      </c>
      <c r="AM4521">
        <v>100</v>
      </c>
      <c r="AN4521">
        <v>2200</v>
      </c>
      <c r="AO4521" t="s">
        <v>118</v>
      </c>
      <c r="AP4521">
        <v>-138</v>
      </c>
      <c r="AQ4521">
        <v>-48</v>
      </c>
      <c r="AR4521">
        <v>64</v>
      </c>
      <c r="AZ4521">
        <v>1200</v>
      </c>
      <c r="BA4521">
        <v>1</v>
      </c>
      <c r="BB4521" t="str">
        <f t="shared" si="2076"/>
        <v xml:space="preserve">N711JA  </v>
      </c>
      <c r="BC4521">
        <v>1</v>
      </c>
      <c r="BE4521">
        <v>0</v>
      </c>
      <c r="BF4521">
        <v>0</v>
      </c>
      <c r="BG4521">
        <v>0</v>
      </c>
      <c r="BH4521">
        <v>2225</v>
      </c>
      <c r="BI4521">
        <v>1</v>
      </c>
      <c r="BJ4521">
        <v>1</v>
      </c>
      <c r="BK4521">
        <v>0</v>
      </c>
      <c r="BL4521">
        <v>0</v>
      </c>
      <c r="BO4521">
        <v>0</v>
      </c>
      <c r="BP4521">
        <v>0</v>
      </c>
      <c r="BW4521" t="str">
        <f t="shared" si="2082"/>
        <v>14:49:31.811</v>
      </c>
      <c r="CJ4521">
        <v>0</v>
      </c>
      <c r="CK4521">
        <v>2</v>
      </c>
      <c r="CL4521">
        <v>0</v>
      </c>
      <c r="CM4521">
        <v>2</v>
      </c>
      <c r="CN4521">
        <v>0</v>
      </c>
      <c r="CO4521">
        <v>7</v>
      </c>
      <c r="CP4521" t="s">
        <v>119</v>
      </c>
      <c r="CQ4521">
        <v>8</v>
      </c>
      <c r="CR4521">
        <v>3</v>
      </c>
      <c r="CW4521">
        <v>9165684</v>
      </c>
      <c r="CY4521">
        <v>1</v>
      </c>
      <c r="CZ4521">
        <v>0</v>
      </c>
      <c r="DA4521">
        <v>1</v>
      </c>
      <c r="DB4521">
        <v>0</v>
      </c>
      <c r="DC4521">
        <v>0</v>
      </c>
      <c r="DD4521">
        <v>1</v>
      </c>
      <c r="DE4521">
        <v>0</v>
      </c>
      <c r="DF4521">
        <v>0</v>
      </c>
      <c r="DG4521">
        <v>0</v>
      </c>
      <c r="DH4521">
        <v>0</v>
      </c>
      <c r="DI4521">
        <v>0</v>
      </c>
    </row>
    <row r="4522" spans="1:113" x14ac:dyDescent="0.3">
      <c r="A4522" t="str">
        <f t="shared" si="2080"/>
        <v>05/12/2020 14:49:13.959</v>
      </c>
      <c r="C4522" t="str">
        <f t="shared" si="2075"/>
        <v>FFDFD3C0</v>
      </c>
      <c r="D4522" t="s">
        <v>126</v>
      </c>
      <c r="E4522">
        <v>6</v>
      </c>
      <c r="F4522">
        <v>1006</v>
      </c>
      <c r="G4522" t="s">
        <v>114</v>
      </c>
      <c r="J4522" t="s">
        <v>128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 t="shared" si="2081"/>
        <v>14:49:31.805</v>
      </c>
      <c r="T4522" t="str">
        <f>"14:49:31.605"</f>
        <v>14:49:31.605</v>
      </c>
      <c r="U4522" t="str">
        <f t="shared" si="2067"/>
        <v>A9808D</v>
      </c>
      <c r="V4522">
        <v>0</v>
      </c>
      <c r="W4522">
        <v>0</v>
      </c>
      <c r="X4522">
        <v>1</v>
      </c>
      <c r="Z4522">
        <v>0</v>
      </c>
      <c r="AA4522">
        <v>9</v>
      </c>
      <c r="AB4522">
        <v>3</v>
      </c>
      <c r="AC4522">
        <v>0</v>
      </c>
      <c r="AD4522">
        <v>10</v>
      </c>
      <c r="AE4522">
        <v>0</v>
      </c>
      <c r="AF4522">
        <v>3</v>
      </c>
      <c r="AG4522">
        <v>2</v>
      </c>
      <c r="AH4522">
        <v>0</v>
      </c>
      <c r="AI4522" t="s">
        <v>1014</v>
      </c>
      <c r="AJ4522">
        <v>28.246171</v>
      </c>
      <c r="AK4522" t="s">
        <v>1015</v>
      </c>
      <c r="AL4522">
        <v>-82.331007</v>
      </c>
      <c r="AM4522">
        <v>100</v>
      </c>
      <c r="AN4522">
        <v>2200</v>
      </c>
      <c r="AO4522" t="s">
        <v>118</v>
      </c>
      <c r="AP4522">
        <v>-138</v>
      </c>
      <c r="AQ4522">
        <v>-48</v>
      </c>
      <c r="AR4522">
        <v>64</v>
      </c>
      <c r="AZ4522">
        <v>1200</v>
      </c>
      <c r="BA4522">
        <v>1</v>
      </c>
      <c r="BB4522" t="str">
        <f t="shared" si="2076"/>
        <v xml:space="preserve">N711JA  </v>
      </c>
      <c r="BC4522">
        <v>1</v>
      </c>
      <c r="BE4522">
        <v>0</v>
      </c>
      <c r="BF4522">
        <v>0</v>
      </c>
      <c r="BG4522">
        <v>0</v>
      </c>
      <c r="BH4522">
        <v>2225</v>
      </c>
      <c r="BI4522">
        <v>1</v>
      </c>
      <c r="BJ4522">
        <v>1</v>
      </c>
      <c r="BK4522">
        <v>0</v>
      </c>
      <c r="BL4522">
        <v>0</v>
      </c>
      <c r="BO4522">
        <v>0</v>
      </c>
      <c r="BP4522">
        <v>0</v>
      </c>
      <c r="BW4522" t="str">
        <f t="shared" si="2082"/>
        <v>14:49:31.811</v>
      </c>
      <c r="CJ4522">
        <v>0</v>
      </c>
      <c r="CK4522">
        <v>2</v>
      </c>
      <c r="CL4522">
        <v>0</v>
      </c>
      <c r="CM4522">
        <v>2</v>
      </c>
      <c r="CN4522">
        <v>0</v>
      </c>
      <c r="CO4522">
        <v>7</v>
      </c>
      <c r="CP4522" t="s">
        <v>119</v>
      </c>
      <c r="CQ4522">
        <v>8</v>
      </c>
      <c r="CR4522">
        <v>3</v>
      </c>
      <c r="CW4522">
        <v>9165684</v>
      </c>
      <c r="CY4522">
        <v>1</v>
      </c>
      <c r="CZ4522">
        <v>0</v>
      </c>
      <c r="DA4522">
        <v>1</v>
      </c>
      <c r="DB4522">
        <v>0</v>
      </c>
      <c r="DC4522">
        <v>0</v>
      </c>
      <c r="DD4522">
        <v>1</v>
      </c>
      <c r="DE4522">
        <v>0</v>
      </c>
      <c r="DF4522">
        <v>0</v>
      </c>
      <c r="DG4522">
        <v>0</v>
      </c>
      <c r="DH4522">
        <v>0</v>
      </c>
      <c r="DI4522">
        <v>0</v>
      </c>
    </row>
    <row r="4523" spans="1:113" x14ac:dyDescent="0.3">
      <c r="A4523" t="str">
        <f t="shared" si="2080"/>
        <v>05/12/2020 14:49:13.959</v>
      </c>
      <c r="C4523" t="str">
        <f t="shared" si="2075"/>
        <v>FFDFD3C0</v>
      </c>
      <c r="D4523" t="s">
        <v>113</v>
      </c>
      <c r="E4523">
        <v>3</v>
      </c>
      <c r="H4523">
        <v>164</v>
      </c>
      <c r="I4523" t="s">
        <v>114</v>
      </c>
      <c r="J4523" t="s">
        <v>115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 t="shared" si="2081"/>
        <v>14:49:31.805</v>
      </c>
      <c r="T4523" t="str">
        <f>"14:49:31.605"</f>
        <v>14:49:31.605</v>
      </c>
      <c r="U4523" t="str">
        <f t="shared" si="2067"/>
        <v>A9808D</v>
      </c>
      <c r="V4523">
        <v>0</v>
      </c>
      <c r="W4523">
        <v>0</v>
      </c>
      <c r="X4523">
        <v>1</v>
      </c>
      <c r="Z4523">
        <v>0</v>
      </c>
      <c r="AA4523">
        <v>9</v>
      </c>
      <c r="AB4523">
        <v>3</v>
      </c>
      <c r="AC4523">
        <v>0</v>
      </c>
      <c r="AD4523">
        <v>10</v>
      </c>
      <c r="AE4523">
        <v>0</v>
      </c>
      <c r="AF4523">
        <v>3</v>
      </c>
      <c r="AG4523">
        <v>2</v>
      </c>
      <c r="AH4523">
        <v>0</v>
      </c>
      <c r="AI4523" t="s">
        <v>1014</v>
      </c>
      <c r="AJ4523">
        <v>28.246171</v>
      </c>
      <c r="AK4523" t="s">
        <v>1015</v>
      </c>
      <c r="AL4523">
        <v>-82.331007</v>
      </c>
      <c r="AM4523">
        <v>100</v>
      </c>
      <c r="AN4523">
        <v>2200</v>
      </c>
      <c r="AO4523" t="s">
        <v>118</v>
      </c>
      <c r="AP4523">
        <v>-138</v>
      </c>
      <c r="AQ4523">
        <v>-48</v>
      </c>
      <c r="AR4523">
        <v>64</v>
      </c>
      <c r="AZ4523">
        <v>1200</v>
      </c>
      <c r="BA4523">
        <v>1</v>
      </c>
      <c r="BB4523" t="str">
        <f t="shared" si="2076"/>
        <v xml:space="preserve">N711JA  </v>
      </c>
      <c r="BC4523">
        <v>1</v>
      </c>
      <c r="BE4523">
        <v>0</v>
      </c>
      <c r="BF4523">
        <v>0</v>
      </c>
      <c r="BG4523">
        <v>0</v>
      </c>
      <c r="BH4523">
        <v>2225</v>
      </c>
      <c r="BI4523">
        <v>1</v>
      </c>
      <c r="BJ4523">
        <v>1</v>
      </c>
      <c r="BK4523">
        <v>0</v>
      </c>
      <c r="BL4523">
        <v>0</v>
      </c>
      <c r="BO4523">
        <v>0</v>
      </c>
      <c r="BP4523">
        <v>0</v>
      </c>
      <c r="BW4523" t="str">
        <f t="shared" si="2082"/>
        <v>14:49:31.811</v>
      </c>
      <c r="CJ4523">
        <v>0</v>
      </c>
      <c r="CK4523">
        <v>2</v>
      </c>
      <c r="CL4523">
        <v>0</v>
      </c>
      <c r="CM4523">
        <v>2</v>
      </c>
      <c r="CN4523">
        <v>0</v>
      </c>
      <c r="CO4523">
        <v>7</v>
      </c>
      <c r="CP4523" t="s">
        <v>119</v>
      </c>
      <c r="CQ4523">
        <v>8</v>
      </c>
      <c r="CR4523">
        <v>3</v>
      </c>
      <c r="CW4523">
        <v>9165684</v>
      </c>
      <c r="CY4523">
        <v>1</v>
      </c>
      <c r="CZ4523">
        <v>0</v>
      </c>
      <c r="DA4523">
        <v>1</v>
      </c>
      <c r="DB4523">
        <v>0</v>
      </c>
      <c r="DC4523">
        <v>0</v>
      </c>
      <c r="DD4523">
        <v>1</v>
      </c>
      <c r="DE4523">
        <v>0</v>
      </c>
      <c r="DF4523">
        <v>0</v>
      </c>
      <c r="DG4523">
        <v>0</v>
      </c>
      <c r="DH4523">
        <v>0</v>
      </c>
      <c r="DI4523">
        <v>0</v>
      </c>
    </row>
    <row r="4524" spans="1:113" x14ac:dyDescent="0.3">
      <c r="A4524" t="str">
        <f t="shared" ref="A4524:A4532" si="2083">"05/12/2020 14:49:14.993"</f>
        <v>05/12/2020 14:49:14.993</v>
      </c>
      <c r="C4524" t="str">
        <f t="shared" si="2075"/>
        <v>FFDFD3C0</v>
      </c>
      <c r="D4524" t="s">
        <v>113</v>
      </c>
      <c r="E4524">
        <v>3</v>
      </c>
      <c r="H4524">
        <v>164</v>
      </c>
      <c r="I4524" t="s">
        <v>114</v>
      </c>
      <c r="J4524" t="s">
        <v>115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 t="shared" ref="S4524:T4532" si="2084">"14:49:32.813"</f>
        <v>14:49:32.813</v>
      </c>
      <c r="T4524" t="str">
        <f t="shared" si="2084"/>
        <v>14:49:32.813</v>
      </c>
      <c r="U4524" t="str">
        <f t="shared" si="2067"/>
        <v>A9808D</v>
      </c>
      <c r="V4524">
        <v>0</v>
      </c>
      <c r="W4524">
        <v>0</v>
      </c>
      <c r="X4524">
        <v>1</v>
      </c>
      <c r="Z4524">
        <v>0</v>
      </c>
      <c r="AA4524">
        <v>9</v>
      </c>
      <c r="AB4524">
        <v>3</v>
      </c>
      <c r="AC4524">
        <v>0</v>
      </c>
      <c r="AD4524">
        <v>10</v>
      </c>
      <c r="AE4524">
        <v>0</v>
      </c>
      <c r="AF4524">
        <v>3</v>
      </c>
      <c r="AG4524">
        <v>2</v>
      </c>
      <c r="AH4524">
        <v>0</v>
      </c>
      <c r="AI4524" t="s">
        <v>1016</v>
      </c>
      <c r="AJ4524">
        <v>28.245934999999999</v>
      </c>
      <c r="AK4524" t="s">
        <v>1017</v>
      </c>
      <c r="AL4524">
        <v>-82.331757999999994</v>
      </c>
      <c r="AM4524">
        <v>100</v>
      </c>
      <c r="AN4524">
        <v>2200</v>
      </c>
      <c r="AO4524" t="s">
        <v>118</v>
      </c>
      <c r="AP4524">
        <v>-139</v>
      </c>
      <c r="AQ4524">
        <v>-47</v>
      </c>
      <c r="AR4524">
        <v>0</v>
      </c>
      <c r="AZ4524">
        <v>1200</v>
      </c>
      <c r="BA4524">
        <v>1</v>
      </c>
      <c r="BB4524" t="str">
        <f t="shared" si="2076"/>
        <v xml:space="preserve">N711JA  </v>
      </c>
      <c r="BC4524">
        <v>1</v>
      </c>
      <c r="BE4524">
        <v>0</v>
      </c>
      <c r="BF4524">
        <v>0</v>
      </c>
      <c r="BG4524">
        <v>0</v>
      </c>
      <c r="BH4524">
        <v>2225</v>
      </c>
      <c r="BI4524">
        <v>1</v>
      </c>
      <c r="BJ4524">
        <v>1</v>
      </c>
      <c r="BK4524">
        <v>0</v>
      </c>
      <c r="BL4524">
        <v>0</v>
      </c>
      <c r="BO4524">
        <v>0</v>
      </c>
      <c r="BP4524">
        <v>0</v>
      </c>
      <c r="BW4524" t="str">
        <f>"14:49:32.816"</f>
        <v>14:49:32.816</v>
      </c>
      <c r="CJ4524">
        <v>0</v>
      </c>
      <c r="CK4524">
        <v>2</v>
      </c>
      <c r="CL4524">
        <v>0</v>
      </c>
      <c r="CM4524">
        <v>2</v>
      </c>
      <c r="CN4524">
        <v>0</v>
      </c>
      <c r="CO4524">
        <v>7</v>
      </c>
      <c r="CP4524" t="s">
        <v>119</v>
      </c>
      <c r="CQ4524">
        <v>8</v>
      </c>
      <c r="CR4524">
        <v>3</v>
      </c>
      <c r="CW4524">
        <v>9166678</v>
      </c>
      <c r="CY4524">
        <v>1</v>
      </c>
      <c r="CZ4524">
        <v>0</v>
      </c>
      <c r="DA4524">
        <v>0</v>
      </c>
      <c r="DB4524">
        <v>0</v>
      </c>
      <c r="DC4524">
        <v>0</v>
      </c>
      <c r="DD4524">
        <v>1</v>
      </c>
      <c r="DE4524">
        <v>0</v>
      </c>
      <c r="DF4524">
        <v>0</v>
      </c>
      <c r="DG4524">
        <v>0</v>
      </c>
      <c r="DH4524">
        <v>0</v>
      </c>
      <c r="DI4524">
        <v>0</v>
      </c>
    </row>
    <row r="4525" spans="1:113" x14ac:dyDescent="0.3">
      <c r="A4525" t="str">
        <f t="shared" si="2083"/>
        <v>05/12/2020 14:49:14.993</v>
      </c>
      <c r="C4525" t="str">
        <f t="shared" si="2075"/>
        <v>FFDFD3C0</v>
      </c>
      <c r="D4525" t="s">
        <v>126</v>
      </c>
      <c r="E4525">
        <v>7</v>
      </c>
      <c r="F4525">
        <v>1007</v>
      </c>
      <c r="G4525" t="s">
        <v>127</v>
      </c>
      <c r="J4525" t="s">
        <v>128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 t="shared" si="2084"/>
        <v>14:49:32.813</v>
      </c>
      <c r="T4525" t="str">
        <f t="shared" si="2084"/>
        <v>14:49:32.813</v>
      </c>
      <c r="U4525" t="str">
        <f t="shared" si="2067"/>
        <v>A9808D</v>
      </c>
      <c r="V4525">
        <v>0</v>
      </c>
      <c r="W4525">
        <v>0</v>
      </c>
      <c r="X4525">
        <v>1</v>
      </c>
      <c r="Z4525">
        <v>0</v>
      </c>
      <c r="AA4525">
        <v>9</v>
      </c>
      <c r="AB4525">
        <v>3</v>
      </c>
      <c r="AC4525">
        <v>0</v>
      </c>
      <c r="AD4525">
        <v>10</v>
      </c>
      <c r="AE4525">
        <v>0</v>
      </c>
      <c r="AF4525">
        <v>3</v>
      </c>
      <c r="AG4525">
        <v>2</v>
      </c>
      <c r="AH4525">
        <v>0</v>
      </c>
      <c r="AI4525" t="s">
        <v>1016</v>
      </c>
      <c r="AJ4525">
        <v>28.245934999999999</v>
      </c>
      <c r="AK4525" t="s">
        <v>1017</v>
      </c>
      <c r="AL4525">
        <v>-82.331757999999994</v>
      </c>
      <c r="AM4525">
        <v>100</v>
      </c>
      <c r="AN4525">
        <v>2200</v>
      </c>
      <c r="AO4525" t="s">
        <v>118</v>
      </c>
      <c r="AP4525">
        <v>-139</v>
      </c>
      <c r="AQ4525">
        <v>-47</v>
      </c>
      <c r="AR4525">
        <v>0</v>
      </c>
      <c r="AZ4525">
        <v>1200</v>
      </c>
      <c r="BA4525">
        <v>1</v>
      </c>
      <c r="BB4525" t="str">
        <f t="shared" si="2076"/>
        <v xml:space="preserve">N711JA  </v>
      </c>
      <c r="BC4525">
        <v>1</v>
      </c>
      <c r="BE4525">
        <v>0</v>
      </c>
      <c r="BF4525">
        <v>0</v>
      </c>
      <c r="BG4525">
        <v>0</v>
      </c>
      <c r="BH4525">
        <v>2225</v>
      </c>
      <c r="BI4525">
        <v>1</v>
      </c>
      <c r="BJ4525">
        <v>1</v>
      </c>
      <c r="BK4525">
        <v>0</v>
      </c>
      <c r="BL4525">
        <v>0</v>
      </c>
      <c r="BO4525">
        <v>0</v>
      </c>
      <c r="BP4525">
        <v>0</v>
      </c>
      <c r="BW4525" t="str">
        <f>"14:49:32.816"</f>
        <v>14:49:32.816</v>
      </c>
      <c r="CJ4525">
        <v>0</v>
      </c>
      <c r="CK4525">
        <v>2</v>
      </c>
      <c r="CL4525">
        <v>0</v>
      </c>
      <c r="CM4525">
        <v>2</v>
      </c>
      <c r="CN4525">
        <v>0</v>
      </c>
      <c r="CO4525">
        <v>7</v>
      </c>
      <c r="CP4525" t="s">
        <v>119</v>
      </c>
      <c r="CQ4525">
        <v>8</v>
      </c>
      <c r="CR4525">
        <v>3</v>
      </c>
      <c r="CW4525">
        <v>9166678</v>
      </c>
      <c r="CY4525">
        <v>1</v>
      </c>
      <c r="CZ4525">
        <v>0</v>
      </c>
      <c r="DA4525">
        <v>1</v>
      </c>
      <c r="DB4525">
        <v>0</v>
      </c>
      <c r="DC4525">
        <v>0</v>
      </c>
      <c r="DD4525">
        <v>1</v>
      </c>
      <c r="DE4525">
        <v>0</v>
      </c>
      <c r="DF4525">
        <v>0</v>
      </c>
      <c r="DG4525">
        <v>0</v>
      </c>
      <c r="DH4525">
        <v>0</v>
      </c>
      <c r="DI4525">
        <v>0</v>
      </c>
    </row>
    <row r="4526" spans="1:113" x14ac:dyDescent="0.3">
      <c r="A4526" t="str">
        <f t="shared" si="2083"/>
        <v>05/12/2020 14:49:14.993</v>
      </c>
      <c r="C4526" t="str">
        <f t="shared" si="2075"/>
        <v>FFDFD3C0</v>
      </c>
      <c r="D4526" t="s">
        <v>131</v>
      </c>
      <c r="E4526">
        <v>10</v>
      </c>
      <c r="F4526">
        <v>2010</v>
      </c>
      <c r="G4526" t="s">
        <v>132</v>
      </c>
      <c r="J4526" t="s">
        <v>133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 t="shared" si="2084"/>
        <v>14:49:32.813</v>
      </c>
      <c r="T4526" t="str">
        <f t="shared" si="2084"/>
        <v>14:49:32.813</v>
      </c>
      <c r="U4526" t="str">
        <f t="shared" si="2067"/>
        <v>A9808D</v>
      </c>
      <c r="V4526">
        <v>0</v>
      </c>
      <c r="W4526">
        <v>0</v>
      </c>
      <c r="X4526">
        <v>1</v>
      </c>
      <c r="Z4526">
        <v>0</v>
      </c>
      <c r="AA4526">
        <v>9</v>
      </c>
      <c r="AB4526">
        <v>3</v>
      </c>
      <c r="AC4526">
        <v>0</v>
      </c>
      <c r="AD4526">
        <v>10</v>
      </c>
      <c r="AE4526">
        <v>0</v>
      </c>
      <c r="AF4526">
        <v>3</v>
      </c>
      <c r="AG4526">
        <v>2</v>
      </c>
      <c r="AH4526">
        <v>0</v>
      </c>
      <c r="AI4526" t="s">
        <v>1016</v>
      </c>
      <c r="AJ4526">
        <v>28.245934999999999</v>
      </c>
      <c r="AK4526" t="s">
        <v>1017</v>
      </c>
      <c r="AL4526">
        <v>-82.331757999999994</v>
      </c>
      <c r="AM4526">
        <v>100</v>
      </c>
      <c r="AN4526">
        <v>2200</v>
      </c>
      <c r="AO4526" t="s">
        <v>118</v>
      </c>
      <c r="AP4526">
        <v>-139</v>
      </c>
      <c r="AQ4526">
        <v>-47</v>
      </c>
      <c r="AR4526">
        <v>0</v>
      </c>
      <c r="AZ4526">
        <v>1200</v>
      </c>
      <c r="BA4526">
        <v>1</v>
      </c>
      <c r="BB4526" t="str">
        <f t="shared" si="2076"/>
        <v xml:space="preserve">N711JA  </v>
      </c>
      <c r="BC4526">
        <v>1</v>
      </c>
      <c r="BE4526">
        <v>0</v>
      </c>
      <c r="BF4526">
        <v>0</v>
      </c>
      <c r="BG4526">
        <v>0</v>
      </c>
      <c r="BH4526">
        <v>2225</v>
      </c>
      <c r="BI4526">
        <v>1</v>
      </c>
      <c r="BJ4526">
        <v>1</v>
      </c>
      <c r="BK4526">
        <v>0</v>
      </c>
      <c r="BL4526">
        <v>0</v>
      </c>
      <c r="BO4526">
        <v>0</v>
      </c>
      <c r="BP4526">
        <v>0</v>
      </c>
      <c r="BW4526" t="str">
        <f>"14:49:32.816"</f>
        <v>14:49:32.816</v>
      </c>
      <c r="CJ4526">
        <v>0</v>
      </c>
      <c r="CK4526">
        <v>2</v>
      </c>
      <c r="CL4526">
        <v>0</v>
      </c>
      <c r="CM4526">
        <v>2</v>
      </c>
      <c r="CN4526">
        <v>0</v>
      </c>
      <c r="CO4526">
        <v>7</v>
      </c>
      <c r="CP4526" t="s">
        <v>119</v>
      </c>
      <c r="CQ4526">
        <v>8</v>
      </c>
      <c r="CR4526">
        <v>3</v>
      </c>
      <c r="CW4526">
        <v>9166678</v>
      </c>
      <c r="CY4526">
        <v>1</v>
      </c>
      <c r="CZ4526">
        <v>0</v>
      </c>
      <c r="DA4526">
        <v>1</v>
      </c>
      <c r="DB4526">
        <v>0</v>
      </c>
      <c r="DC4526">
        <v>0</v>
      </c>
      <c r="DD4526">
        <v>1</v>
      </c>
      <c r="DE4526">
        <v>0</v>
      </c>
      <c r="DF4526">
        <v>0</v>
      </c>
      <c r="DG4526">
        <v>0</v>
      </c>
      <c r="DH4526">
        <v>0</v>
      </c>
      <c r="DI4526">
        <v>0</v>
      </c>
    </row>
    <row r="4527" spans="1:113" x14ac:dyDescent="0.3">
      <c r="A4527" t="str">
        <f t="shared" si="2083"/>
        <v>05/12/2020 14:49:14.993</v>
      </c>
      <c r="C4527" t="str">
        <f t="shared" si="2075"/>
        <v>FFDFD3C0</v>
      </c>
      <c r="D4527" t="s">
        <v>131</v>
      </c>
      <c r="E4527">
        <v>12</v>
      </c>
      <c r="F4527">
        <v>2012</v>
      </c>
      <c r="G4527" t="s">
        <v>137</v>
      </c>
      <c r="J4527" t="s">
        <v>133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 t="shared" si="2084"/>
        <v>14:49:32.813</v>
      </c>
      <c r="T4527" t="str">
        <f t="shared" si="2084"/>
        <v>14:49:32.813</v>
      </c>
      <c r="U4527" t="str">
        <f t="shared" si="2067"/>
        <v>A9808D</v>
      </c>
      <c r="V4527">
        <v>0</v>
      </c>
      <c r="W4527">
        <v>0</v>
      </c>
      <c r="X4527">
        <v>1</v>
      </c>
      <c r="Z4527">
        <v>0</v>
      </c>
      <c r="AA4527">
        <v>9</v>
      </c>
      <c r="AB4527">
        <v>3</v>
      </c>
      <c r="AC4527">
        <v>0</v>
      </c>
      <c r="AD4527">
        <v>10</v>
      </c>
      <c r="AE4527">
        <v>0</v>
      </c>
      <c r="AF4527">
        <v>3</v>
      </c>
      <c r="AG4527">
        <v>2</v>
      </c>
      <c r="AH4527">
        <v>0</v>
      </c>
      <c r="AI4527" t="s">
        <v>1016</v>
      </c>
      <c r="AJ4527">
        <v>28.245934999999999</v>
      </c>
      <c r="AK4527" t="s">
        <v>1017</v>
      </c>
      <c r="AL4527">
        <v>-82.331757999999994</v>
      </c>
      <c r="AM4527">
        <v>100</v>
      </c>
      <c r="AN4527">
        <v>2200</v>
      </c>
      <c r="AO4527" t="s">
        <v>118</v>
      </c>
      <c r="AP4527">
        <v>-139</v>
      </c>
      <c r="AQ4527">
        <v>-47</v>
      </c>
      <c r="AR4527">
        <v>0</v>
      </c>
      <c r="AZ4527">
        <v>1200</v>
      </c>
      <c r="BA4527">
        <v>1</v>
      </c>
      <c r="BB4527" t="str">
        <f t="shared" si="2076"/>
        <v xml:space="preserve">N711JA  </v>
      </c>
      <c r="BC4527">
        <v>1</v>
      </c>
      <c r="BE4527">
        <v>0</v>
      </c>
      <c r="BF4527">
        <v>0</v>
      </c>
      <c r="BG4527">
        <v>0</v>
      </c>
      <c r="BH4527">
        <v>2225</v>
      </c>
      <c r="BI4527">
        <v>1</v>
      </c>
      <c r="BJ4527">
        <v>1</v>
      </c>
      <c r="BK4527">
        <v>0</v>
      </c>
      <c r="BL4527">
        <v>0</v>
      </c>
      <c r="BO4527">
        <v>0</v>
      </c>
      <c r="BP4527">
        <v>0</v>
      </c>
      <c r="BW4527" t="str">
        <f>"14:49:32.816"</f>
        <v>14:49:32.816</v>
      </c>
      <c r="CJ4527">
        <v>0</v>
      </c>
      <c r="CK4527">
        <v>2</v>
      </c>
      <c r="CL4527">
        <v>0</v>
      </c>
      <c r="CM4527">
        <v>2</v>
      </c>
      <c r="CN4527">
        <v>0</v>
      </c>
      <c r="CO4527">
        <v>7</v>
      </c>
      <c r="CP4527" t="s">
        <v>119</v>
      </c>
      <c r="CQ4527">
        <v>8</v>
      </c>
      <c r="CR4527">
        <v>3</v>
      </c>
      <c r="CW4527">
        <v>9166678</v>
      </c>
      <c r="CY4527">
        <v>1</v>
      </c>
      <c r="CZ4527">
        <v>0</v>
      </c>
      <c r="DA4527">
        <v>1</v>
      </c>
      <c r="DB4527">
        <v>0</v>
      </c>
      <c r="DC4527">
        <v>0</v>
      </c>
      <c r="DD4527">
        <v>1</v>
      </c>
      <c r="DE4527">
        <v>0</v>
      </c>
      <c r="DF4527">
        <v>0</v>
      </c>
      <c r="DG4527">
        <v>0</v>
      </c>
      <c r="DH4527">
        <v>0</v>
      </c>
      <c r="DI4527">
        <v>0</v>
      </c>
    </row>
    <row r="4528" spans="1:113" x14ac:dyDescent="0.3">
      <c r="A4528" t="str">
        <f t="shared" si="2083"/>
        <v>05/12/2020 14:49:14.993</v>
      </c>
      <c r="C4528" t="str">
        <f t="shared" si="2075"/>
        <v>FFDFD3C0</v>
      </c>
      <c r="D4528" t="s">
        <v>131</v>
      </c>
      <c r="E4528">
        <v>18</v>
      </c>
      <c r="F4528">
        <v>2018</v>
      </c>
      <c r="G4528" t="s">
        <v>161</v>
      </c>
      <c r="J4528" t="s">
        <v>133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 t="shared" si="2084"/>
        <v>14:49:32.813</v>
      </c>
      <c r="T4528" t="str">
        <f t="shared" si="2084"/>
        <v>14:49:32.813</v>
      </c>
      <c r="U4528" t="str">
        <f t="shared" si="2067"/>
        <v>A9808D</v>
      </c>
      <c r="V4528">
        <v>0</v>
      </c>
      <c r="W4528">
        <v>0</v>
      </c>
      <c r="X4528">
        <v>1</v>
      </c>
      <c r="Z4528">
        <v>0</v>
      </c>
      <c r="AA4528">
        <v>9</v>
      </c>
      <c r="AB4528">
        <v>3</v>
      </c>
      <c r="AC4528">
        <v>0</v>
      </c>
      <c r="AD4528">
        <v>10</v>
      </c>
      <c r="AE4528">
        <v>0</v>
      </c>
      <c r="AF4528">
        <v>3</v>
      </c>
      <c r="AG4528">
        <v>2</v>
      </c>
      <c r="AH4528">
        <v>0</v>
      </c>
      <c r="AI4528" t="s">
        <v>1016</v>
      </c>
      <c r="AJ4528">
        <v>28.245934999999999</v>
      </c>
      <c r="AK4528" t="s">
        <v>1017</v>
      </c>
      <c r="AL4528">
        <v>-82.331757999999994</v>
      </c>
      <c r="AM4528">
        <v>100</v>
      </c>
      <c r="AN4528">
        <v>2200</v>
      </c>
      <c r="AO4528" t="s">
        <v>118</v>
      </c>
      <c r="AP4528">
        <v>-139</v>
      </c>
      <c r="AQ4528">
        <v>-47</v>
      </c>
      <c r="AR4528">
        <v>0</v>
      </c>
      <c r="AZ4528">
        <v>1200</v>
      </c>
      <c r="BA4528">
        <v>1</v>
      </c>
      <c r="BB4528" t="str">
        <f t="shared" si="2076"/>
        <v xml:space="preserve">N711JA  </v>
      </c>
      <c r="BC4528">
        <v>1</v>
      </c>
      <c r="BE4528">
        <v>0</v>
      </c>
      <c r="BF4528">
        <v>0</v>
      </c>
      <c r="BG4528">
        <v>0</v>
      </c>
      <c r="BH4528">
        <v>2225</v>
      </c>
      <c r="BI4528">
        <v>1</v>
      </c>
      <c r="BJ4528">
        <v>1</v>
      </c>
      <c r="BK4528">
        <v>0</v>
      </c>
      <c r="BL4528">
        <v>0</v>
      </c>
      <c r="BO4528">
        <v>0</v>
      </c>
      <c r="BP4528">
        <v>0</v>
      </c>
      <c r="BW4528" t="str">
        <f>"14:49:32.817"</f>
        <v>14:49:32.817</v>
      </c>
      <c r="CJ4528">
        <v>0</v>
      </c>
      <c r="CK4528">
        <v>2</v>
      </c>
      <c r="CL4528">
        <v>0</v>
      </c>
      <c r="CM4528">
        <v>2</v>
      </c>
      <c r="CN4528">
        <v>0</v>
      </c>
      <c r="CO4528">
        <v>6</v>
      </c>
      <c r="CP4528" t="s">
        <v>119</v>
      </c>
      <c r="CQ4528">
        <v>56</v>
      </c>
      <c r="CR4528">
        <v>2</v>
      </c>
      <c r="CW4528">
        <v>5168844</v>
      </c>
      <c r="CY4528">
        <v>1</v>
      </c>
      <c r="CZ4528">
        <v>0</v>
      </c>
      <c r="DA4528">
        <v>1</v>
      </c>
      <c r="DB4528">
        <v>0</v>
      </c>
      <c r="DC4528">
        <v>0</v>
      </c>
      <c r="DD4528">
        <v>1</v>
      </c>
      <c r="DE4528">
        <v>0</v>
      </c>
      <c r="DF4528">
        <v>0</v>
      </c>
      <c r="DG4528">
        <v>0</v>
      </c>
      <c r="DH4528">
        <v>0</v>
      </c>
      <c r="DI4528">
        <v>0</v>
      </c>
    </row>
    <row r="4529" spans="1:113" x14ac:dyDescent="0.3">
      <c r="A4529" t="str">
        <f t="shared" si="2083"/>
        <v>05/12/2020 14:49:14.993</v>
      </c>
      <c r="C4529" t="str">
        <f t="shared" si="2075"/>
        <v>FFDFD3C0</v>
      </c>
      <c r="D4529" t="s">
        <v>134</v>
      </c>
      <c r="E4529">
        <v>12</v>
      </c>
      <c r="H4529">
        <v>64</v>
      </c>
      <c r="I4529" t="s">
        <v>135</v>
      </c>
      <c r="J4529" t="s">
        <v>136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 t="shared" si="2084"/>
        <v>14:49:32.813</v>
      </c>
      <c r="T4529" t="str">
        <f t="shared" si="2084"/>
        <v>14:49:32.813</v>
      </c>
      <c r="U4529" t="str">
        <f t="shared" si="2067"/>
        <v>A9808D</v>
      </c>
      <c r="V4529">
        <v>0</v>
      </c>
      <c r="W4529">
        <v>0</v>
      </c>
      <c r="X4529">
        <v>1</v>
      </c>
      <c r="Z4529">
        <v>0</v>
      </c>
      <c r="AA4529">
        <v>9</v>
      </c>
      <c r="AB4529">
        <v>3</v>
      </c>
      <c r="AC4529">
        <v>0</v>
      </c>
      <c r="AD4529">
        <v>10</v>
      </c>
      <c r="AE4529">
        <v>0</v>
      </c>
      <c r="AF4529">
        <v>3</v>
      </c>
      <c r="AG4529">
        <v>2</v>
      </c>
      <c r="AH4529">
        <v>0</v>
      </c>
      <c r="AI4529" t="s">
        <v>1016</v>
      </c>
      <c r="AJ4529">
        <v>28.245934999999999</v>
      </c>
      <c r="AK4529" t="s">
        <v>1017</v>
      </c>
      <c r="AL4529">
        <v>-82.331757999999994</v>
      </c>
      <c r="AM4529">
        <v>100</v>
      </c>
      <c r="AN4529">
        <v>2200</v>
      </c>
      <c r="AO4529" t="s">
        <v>118</v>
      </c>
      <c r="AP4529">
        <v>-139</v>
      </c>
      <c r="AQ4529">
        <v>-47</v>
      </c>
      <c r="AR4529">
        <v>0</v>
      </c>
      <c r="AZ4529">
        <v>1200</v>
      </c>
      <c r="BA4529">
        <v>1</v>
      </c>
      <c r="BB4529" t="str">
        <f t="shared" si="2076"/>
        <v xml:space="preserve">N711JA  </v>
      </c>
      <c r="BC4529">
        <v>1</v>
      </c>
      <c r="BE4529">
        <v>0</v>
      </c>
      <c r="BF4529">
        <v>0</v>
      </c>
      <c r="BG4529">
        <v>0</v>
      </c>
      <c r="BH4529">
        <v>2225</v>
      </c>
      <c r="BI4529">
        <v>1</v>
      </c>
      <c r="BJ4529">
        <v>1</v>
      </c>
      <c r="BK4529">
        <v>0</v>
      </c>
      <c r="BL4529">
        <v>0</v>
      </c>
      <c r="BO4529">
        <v>0</v>
      </c>
      <c r="BP4529">
        <v>0</v>
      </c>
      <c r="BW4529" t="str">
        <f>"14:49:32.816"</f>
        <v>14:49:32.816</v>
      </c>
      <c r="CJ4529">
        <v>0</v>
      </c>
      <c r="CK4529">
        <v>2</v>
      </c>
      <c r="CL4529">
        <v>0</v>
      </c>
      <c r="CM4529">
        <v>2</v>
      </c>
      <c r="CN4529">
        <v>0</v>
      </c>
      <c r="CO4529">
        <v>7</v>
      </c>
      <c r="CP4529" t="s">
        <v>119</v>
      </c>
      <c r="CQ4529">
        <v>8</v>
      </c>
      <c r="CR4529">
        <v>3</v>
      </c>
      <c r="CW4529">
        <v>9166678</v>
      </c>
      <c r="CY4529">
        <v>1</v>
      </c>
      <c r="CZ4529">
        <v>0</v>
      </c>
      <c r="DA4529">
        <v>1</v>
      </c>
      <c r="DB4529">
        <v>0</v>
      </c>
      <c r="DC4529">
        <v>0</v>
      </c>
      <c r="DD4529">
        <v>1</v>
      </c>
      <c r="DE4529">
        <v>0</v>
      </c>
      <c r="DF4529">
        <v>0</v>
      </c>
      <c r="DG4529">
        <v>0</v>
      </c>
      <c r="DH4529">
        <v>0</v>
      </c>
      <c r="DI4529">
        <v>0</v>
      </c>
    </row>
    <row r="4530" spans="1:113" x14ac:dyDescent="0.3">
      <c r="A4530" t="str">
        <f t="shared" si="2083"/>
        <v>05/12/2020 14:49:14.993</v>
      </c>
      <c r="C4530" t="str">
        <f t="shared" si="2075"/>
        <v>FFDFD3C0</v>
      </c>
      <c r="D4530" t="s">
        <v>126</v>
      </c>
      <c r="E4530">
        <v>6</v>
      </c>
      <c r="F4530">
        <v>1006</v>
      </c>
      <c r="G4530" t="s">
        <v>114</v>
      </c>
      <c r="J4530" t="s">
        <v>128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 t="shared" si="2084"/>
        <v>14:49:32.813</v>
      </c>
      <c r="T4530" t="str">
        <f t="shared" si="2084"/>
        <v>14:49:32.813</v>
      </c>
      <c r="U4530" t="str">
        <f t="shared" si="2067"/>
        <v>A9808D</v>
      </c>
      <c r="V4530">
        <v>0</v>
      </c>
      <c r="W4530">
        <v>0</v>
      </c>
      <c r="X4530">
        <v>1</v>
      </c>
      <c r="Z4530">
        <v>0</v>
      </c>
      <c r="AA4530">
        <v>9</v>
      </c>
      <c r="AB4530">
        <v>3</v>
      </c>
      <c r="AC4530">
        <v>0</v>
      </c>
      <c r="AD4530">
        <v>10</v>
      </c>
      <c r="AE4530">
        <v>0</v>
      </c>
      <c r="AF4530">
        <v>3</v>
      </c>
      <c r="AG4530">
        <v>2</v>
      </c>
      <c r="AH4530">
        <v>0</v>
      </c>
      <c r="AI4530" t="s">
        <v>1016</v>
      </c>
      <c r="AJ4530">
        <v>28.245934999999999</v>
      </c>
      <c r="AK4530" t="s">
        <v>1017</v>
      </c>
      <c r="AL4530">
        <v>-82.331757999999994</v>
      </c>
      <c r="AM4530">
        <v>100</v>
      </c>
      <c r="AN4530">
        <v>2200</v>
      </c>
      <c r="AO4530" t="s">
        <v>118</v>
      </c>
      <c r="AP4530">
        <v>-139</v>
      </c>
      <c r="AQ4530">
        <v>-47</v>
      </c>
      <c r="AR4530">
        <v>0</v>
      </c>
      <c r="AZ4530">
        <v>1200</v>
      </c>
      <c r="BA4530">
        <v>1</v>
      </c>
      <c r="BB4530" t="str">
        <f t="shared" si="2076"/>
        <v xml:space="preserve">N711JA  </v>
      </c>
      <c r="BC4530">
        <v>1</v>
      </c>
      <c r="BE4530">
        <v>0</v>
      </c>
      <c r="BF4530">
        <v>0</v>
      </c>
      <c r="BG4530">
        <v>0</v>
      </c>
      <c r="BH4530">
        <v>2225</v>
      </c>
      <c r="BI4530">
        <v>1</v>
      </c>
      <c r="BJ4530">
        <v>1</v>
      </c>
      <c r="BK4530">
        <v>0</v>
      </c>
      <c r="BL4530">
        <v>0</v>
      </c>
      <c r="BO4530">
        <v>0</v>
      </c>
      <c r="BP4530">
        <v>0</v>
      </c>
      <c r="BW4530" t="str">
        <f>"14:49:32.816"</f>
        <v>14:49:32.816</v>
      </c>
      <c r="CJ4530">
        <v>0</v>
      </c>
      <c r="CK4530">
        <v>2</v>
      </c>
      <c r="CL4530">
        <v>0</v>
      </c>
      <c r="CM4530">
        <v>2</v>
      </c>
      <c r="CN4530">
        <v>0</v>
      </c>
      <c r="CO4530">
        <v>7</v>
      </c>
      <c r="CP4530" t="s">
        <v>119</v>
      </c>
      <c r="CQ4530">
        <v>8</v>
      </c>
      <c r="CR4530">
        <v>3</v>
      </c>
      <c r="CW4530">
        <v>9166678</v>
      </c>
      <c r="CY4530">
        <v>1</v>
      </c>
      <c r="CZ4530">
        <v>0</v>
      </c>
      <c r="DA4530">
        <v>1</v>
      </c>
      <c r="DB4530">
        <v>0</v>
      </c>
      <c r="DC4530">
        <v>0</v>
      </c>
      <c r="DD4530">
        <v>1</v>
      </c>
      <c r="DE4530">
        <v>0</v>
      </c>
      <c r="DF4530">
        <v>0</v>
      </c>
      <c r="DG4530">
        <v>0</v>
      </c>
      <c r="DH4530">
        <v>0</v>
      </c>
      <c r="DI4530">
        <v>0</v>
      </c>
    </row>
    <row r="4531" spans="1:113" x14ac:dyDescent="0.3">
      <c r="A4531" t="str">
        <f t="shared" si="2083"/>
        <v>05/12/2020 14:49:14.993</v>
      </c>
      <c r="C4531" t="str">
        <f t="shared" si="2075"/>
        <v>FFDFD3C0</v>
      </c>
      <c r="D4531" t="s">
        <v>138</v>
      </c>
      <c r="E4531">
        <v>2</v>
      </c>
      <c r="H4531">
        <v>8</v>
      </c>
      <c r="I4531" t="s">
        <v>139</v>
      </c>
      <c r="J4531" t="s">
        <v>136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 t="shared" si="2084"/>
        <v>14:49:32.813</v>
      </c>
      <c r="T4531" t="str">
        <f t="shared" si="2084"/>
        <v>14:49:32.813</v>
      </c>
      <c r="U4531" t="str">
        <f t="shared" si="2067"/>
        <v>A9808D</v>
      </c>
      <c r="V4531">
        <v>0</v>
      </c>
      <c r="W4531">
        <v>0</v>
      </c>
      <c r="X4531">
        <v>1</v>
      </c>
      <c r="Z4531">
        <v>0</v>
      </c>
      <c r="AA4531">
        <v>9</v>
      </c>
      <c r="AB4531">
        <v>3</v>
      </c>
      <c r="AC4531">
        <v>0</v>
      </c>
      <c r="AD4531">
        <v>10</v>
      </c>
      <c r="AE4531">
        <v>0</v>
      </c>
      <c r="AF4531">
        <v>3</v>
      </c>
      <c r="AG4531">
        <v>2</v>
      </c>
      <c r="AH4531">
        <v>0</v>
      </c>
      <c r="AI4531" t="s">
        <v>1016</v>
      </c>
      <c r="AJ4531">
        <v>28.245934999999999</v>
      </c>
      <c r="AK4531" t="s">
        <v>1017</v>
      </c>
      <c r="AL4531">
        <v>-82.331757999999994</v>
      </c>
      <c r="AM4531">
        <v>100</v>
      </c>
      <c r="AN4531">
        <v>2200</v>
      </c>
      <c r="AO4531" t="s">
        <v>118</v>
      </c>
      <c r="AP4531">
        <v>-139</v>
      </c>
      <c r="AQ4531">
        <v>-47</v>
      </c>
      <c r="AR4531">
        <v>0</v>
      </c>
      <c r="AZ4531">
        <v>1200</v>
      </c>
      <c r="BA4531">
        <v>1</v>
      </c>
      <c r="BB4531" t="str">
        <f t="shared" si="2076"/>
        <v xml:space="preserve">N711JA  </v>
      </c>
      <c r="BC4531">
        <v>1</v>
      </c>
      <c r="BE4531">
        <v>0</v>
      </c>
      <c r="BF4531">
        <v>0</v>
      </c>
      <c r="BG4531">
        <v>0</v>
      </c>
      <c r="BH4531">
        <v>2225</v>
      </c>
      <c r="BI4531">
        <v>1</v>
      </c>
      <c r="BJ4531">
        <v>1</v>
      </c>
      <c r="BK4531">
        <v>0</v>
      </c>
      <c r="BL4531">
        <v>0</v>
      </c>
      <c r="BO4531">
        <v>0</v>
      </c>
      <c r="BP4531">
        <v>0</v>
      </c>
      <c r="BW4531" t="str">
        <f>"14:49:32.816"</f>
        <v>14:49:32.816</v>
      </c>
      <c r="CJ4531">
        <v>0</v>
      </c>
      <c r="CK4531">
        <v>2</v>
      </c>
      <c r="CL4531">
        <v>0</v>
      </c>
      <c r="CM4531">
        <v>2</v>
      </c>
      <c r="CN4531">
        <v>0</v>
      </c>
      <c r="CO4531">
        <v>7</v>
      </c>
      <c r="CP4531" t="s">
        <v>119</v>
      </c>
      <c r="CQ4531">
        <v>8</v>
      </c>
      <c r="CR4531">
        <v>3</v>
      </c>
      <c r="CW4531">
        <v>9166678</v>
      </c>
      <c r="CY4531">
        <v>1</v>
      </c>
      <c r="CZ4531">
        <v>0</v>
      </c>
      <c r="DA4531">
        <v>1</v>
      </c>
      <c r="DB4531">
        <v>0</v>
      </c>
      <c r="DC4531">
        <v>0</v>
      </c>
      <c r="DD4531">
        <v>1</v>
      </c>
      <c r="DE4531">
        <v>0</v>
      </c>
      <c r="DF4531">
        <v>0</v>
      </c>
      <c r="DG4531">
        <v>0</v>
      </c>
      <c r="DH4531">
        <v>0</v>
      </c>
      <c r="DI4531">
        <v>0</v>
      </c>
    </row>
    <row r="4532" spans="1:113" x14ac:dyDescent="0.3">
      <c r="A4532" t="str">
        <f t="shared" si="2083"/>
        <v>05/12/2020 14:49:14.993</v>
      </c>
      <c r="C4532" t="str">
        <f t="shared" si="2075"/>
        <v>FFDFD3C0</v>
      </c>
      <c r="D4532" t="s">
        <v>138</v>
      </c>
      <c r="E4532">
        <v>3</v>
      </c>
      <c r="H4532">
        <v>9</v>
      </c>
      <c r="I4532" t="s">
        <v>140</v>
      </c>
      <c r="J4532" t="s">
        <v>136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 t="shared" si="2084"/>
        <v>14:49:32.813</v>
      </c>
      <c r="T4532" t="str">
        <f t="shared" si="2084"/>
        <v>14:49:32.813</v>
      </c>
      <c r="U4532" t="str">
        <f t="shared" si="2067"/>
        <v>A9808D</v>
      </c>
      <c r="V4532">
        <v>0</v>
      </c>
      <c r="W4532">
        <v>0</v>
      </c>
      <c r="X4532">
        <v>1</v>
      </c>
      <c r="Z4532">
        <v>0</v>
      </c>
      <c r="AA4532">
        <v>9</v>
      </c>
      <c r="AB4532">
        <v>3</v>
      </c>
      <c r="AC4532">
        <v>0</v>
      </c>
      <c r="AD4532">
        <v>10</v>
      </c>
      <c r="AE4532">
        <v>0</v>
      </c>
      <c r="AF4532">
        <v>3</v>
      </c>
      <c r="AG4532">
        <v>2</v>
      </c>
      <c r="AH4532">
        <v>0</v>
      </c>
      <c r="AI4532" t="s">
        <v>1016</v>
      </c>
      <c r="AJ4532">
        <v>28.245934999999999</v>
      </c>
      <c r="AK4532" t="s">
        <v>1017</v>
      </c>
      <c r="AL4532">
        <v>-82.331757999999994</v>
      </c>
      <c r="AM4532">
        <v>100</v>
      </c>
      <c r="AN4532">
        <v>2200</v>
      </c>
      <c r="AO4532" t="s">
        <v>118</v>
      </c>
      <c r="AP4532">
        <v>-139</v>
      </c>
      <c r="AQ4532">
        <v>-47</v>
      </c>
      <c r="AR4532">
        <v>0</v>
      </c>
      <c r="AZ4532">
        <v>1200</v>
      </c>
      <c r="BA4532">
        <v>1</v>
      </c>
      <c r="BB4532" t="str">
        <f t="shared" si="2076"/>
        <v xml:space="preserve">N711JA  </v>
      </c>
      <c r="BC4532">
        <v>1</v>
      </c>
      <c r="BE4532">
        <v>0</v>
      </c>
      <c r="BF4532">
        <v>0</v>
      </c>
      <c r="BG4532">
        <v>0</v>
      </c>
      <c r="BH4532">
        <v>2225</v>
      </c>
      <c r="BI4532">
        <v>1</v>
      </c>
      <c r="BJ4532">
        <v>1</v>
      </c>
      <c r="BK4532">
        <v>0</v>
      </c>
      <c r="BL4532">
        <v>0</v>
      </c>
      <c r="BO4532">
        <v>0</v>
      </c>
      <c r="BP4532">
        <v>0</v>
      </c>
      <c r="BW4532" t="str">
        <f>"14:49:32.816"</f>
        <v>14:49:32.816</v>
      </c>
      <c r="CJ4532">
        <v>0</v>
      </c>
      <c r="CK4532">
        <v>2</v>
      </c>
      <c r="CL4532">
        <v>0</v>
      </c>
      <c r="CM4532">
        <v>2</v>
      </c>
      <c r="CN4532">
        <v>0</v>
      </c>
      <c r="CO4532">
        <v>7</v>
      </c>
      <c r="CP4532" t="s">
        <v>119</v>
      </c>
      <c r="CQ4532">
        <v>8</v>
      </c>
      <c r="CR4532">
        <v>3</v>
      </c>
      <c r="CW4532">
        <v>9166678</v>
      </c>
      <c r="CY4532">
        <v>1</v>
      </c>
      <c r="CZ4532">
        <v>0</v>
      </c>
      <c r="DA4532">
        <v>1</v>
      </c>
      <c r="DB4532">
        <v>0</v>
      </c>
      <c r="DC4532">
        <v>0</v>
      </c>
      <c r="DD4532">
        <v>1</v>
      </c>
      <c r="DE4532">
        <v>0</v>
      </c>
      <c r="DF4532">
        <v>0</v>
      </c>
      <c r="DG4532">
        <v>0</v>
      </c>
      <c r="DH4532">
        <v>0</v>
      </c>
      <c r="DI4532">
        <v>0</v>
      </c>
    </row>
    <row r="4533" spans="1:113" x14ac:dyDescent="0.3">
      <c r="A4533" t="str">
        <f t="shared" ref="A4533:A4541" si="2085">"05/12/2020 14:49:15.924"</f>
        <v>05/12/2020 14:49:15.924</v>
      </c>
      <c r="C4533" t="str">
        <f t="shared" si="2075"/>
        <v>FFDFD3C0</v>
      </c>
      <c r="D4533" t="s">
        <v>131</v>
      </c>
      <c r="E4533">
        <v>10</v>
      </c>
      <c r="F4533">
        <v>2010</v>
      </c>
      <c r="G4533" t="s">
        <v>132</v>
      </c>
      <c r="J4533" t="s">
        <v>133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 t="shared" ref="S4533:S4541" si="2086">"14:49:33.766"</f>
        <v>14:49:33.766</v>
      </c>
      <c r="T4533" t="str">
        <f t="shared" ref="T4533:T4541" si="2087">"14:49:33.566"</f>
        <v>14:49:33.566</v>
      </c>
      <c r="U4533" t="str">
        <f t="shared" si="2067"/>
        <v>A9808D</v>
      </c>
      <c r="V4533">
        <v>0</v>
      </c>
      <c r="W4533">
        <v>0</v>
      </c>
      <c r="X4533">
        <v>1</v>
      </c>
      <c r="Z4533">
        <v>0</v>
      </c>
      <c r="AA4533">
        <v>9</v>
      </c>
      <c r="AB4533">
        <v>3</v>
      </c>
      <c r="AC4533">
        <v>0</v>
      </c>
      <c r="AD4533">
        <v>10</v>
      </c>
      <c r="AE4533">
        <v>0</v>
      </c>
      <c r="AF4533">
        <v>3</v>
      </c>
      <c r="AG4533">
        <v>2</v>
      </c>
      <c r="AH4533">
        <v>0</v>
      </c>
      <c r="AI4533" t="s">
        <v>1018</v>
      </c>
      <c r="AJ4533">
        <v>28.245764000000001</v>
      </c>
      <c r="AK4533" t="s">
        <v>1019</v>
      </c>
      <c r="AL4533">
        <v>-82.332509000000002</v>
      </c>
      <c r="AM4533">
        <v>100</v>
      </c>
      <c r="AN4533">
        <v>2200</v>
      </c>
      <c r="AO4533" t="s">
        <v>118</v>
      </c>
      <c r="AP4533">
        <v>-139</v>
      </c>
      <c r="AQ4533">
        <v>-46</v>
      </c>
      <c r="AR4533">
        <v>-64</v>
      </c>
      <c r="AZ4533">
        <v>1200</v>
      </c>
      <c r="BA4533">
        <v>1</v>
      </c>
      <c r="BB4533" t="str">
        <f t="shared" si="2076"/>
        <v xml:space="preserve">N711JA  </v>
      </c>
      <c r="BC4533">
        <v>1</v>
      </c>
      <c r="BE4533">
        <v>0</v>
      </c>
      <c r="BF4533">
        <v>0</v>
      </c>
      <c r="BG4533">
        <v>0</v>
      </c>
      <c r="BH4533">
        <v>2225</v>
      </c>
      <c r="BI4533">
        <v>1</v>
      </c>
      <c r="BJ4533">
        <v>1</v>
      </c>
      <c r="BK4533">
        <v>0</v>
      </c>
      <c r="BL4533">
        <v>0</v>
      </c>
      <c r="BO4533">
        <v>0</v>
      </c>
      <c r="BP4533">
        <v>0</v>
      </c>
      <c r="BW4533" t="str">
        <f t="shared" ref="BW4533:BW4541" si="2088">"14:49:33.766"</f>
        <v>14:49:33.766</v>
      </c>
      <c r="CJ4533">
        <v>0</v>
      </c>
      <c r="CK4533">
        <v>2</v>
      </c>
      <c r="CL4533">
        <v>0</v>
      </c>
      <c r="CM4533">
        <v>2</v>
      </c>
      <c r="CN4533">
        <v>0</v>
      </c>
      <c r="CO4533">
        <v>7</v>
      </c>
      <c r="CP4533" t="s">
        <v>119</v>
      </c>
      <c r="CQ4533">
        <v>8</v>
      </c>
      <c r="CR4533">
        <v>3</v>
      </c>
      <c r="CW4533">
        <v>9167694</v>
      </c>
      <c r="CY4533">
        <v>1</v>
      </c>
      <c r="CZ4533">
        <v>0</v>
      </c>
      <c r="DA4533">
        <v>0</v>
      </c>
      <c r="DB4533">
        <v>0</v>
      </c>
      <c r="DC4533">
        <v>0</v>
      </c>
      <c r="DD4533">
        <v>1</v>
      </c>
      <c r="DE4533">
        <v>0</v>
      </c>
      <c r="DF4533">
        <v>0</v>
      </c>
      <c r="DG4533">
        <v>0</v>
      </c>
      <c r="DH4533">
        <v>0</v>
      </c>
      <c r="DI4533">
        <v>0</v>
      </c>
    </row>
    <row r="4534" spans="1:113" x14ac:dyDescent="0.3">
      <c r="A4534" t="str">
        <f t="shared" si="2085"/>
        <v>05/12/2020 14:49:15.924</v>
      </c>
      <c r="C4534" t="str">
        <f t="shared" si="2075"/>
        <v>FFDFD3C0</v>
      </c>
      <c r="D4534" t="s">
        <v>131</v>
      </c>
      <c r="E4534">
        <v>12</v>
      </c>
      <c r="F4534">
        <v>2012</v>
      </c>
      <c r="G4534" t="s">
        <v>137</v>
      </c>
      <c r="J4534" t="s">
        <v>133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 t="shared" si="2086"/>
        <v>14:49:33.766</v>
      </c>
      <c r="T4534" t="str">
        <f t="shared" si="2087"/>
        <v>14:49:33.566</v>
      </c>
      <c r="U4534" t="str">
        <f t="shared" si="2067"/>
        <v>A9808D</v>
      </c>
      <c r="V4534">
        <v>0</v>
      </c>
      <c r="W4534">
        <v>0</v>
      </c>
      <c r="X4534">
        <v>1</v>
      </c>
      <c r="Z4534">
        <v>0</v>
      </c>
      <c r="AA4534">
        <v>9</v>
      </c>
      <c r="AB4534">
        <v>3</v>
      </c>
      <c r="AC4534">
        <v>0</v>
      </c>
      <c r="AD4534">
        <v>10</v>
      </c>
      <c r="AE4534">
        <v>0</v>
      </c>
      <c r="AF4534">
        <v>3</v>
      </c>
      <c r="AG4534">
        <v>2</v>
      </c>
      <c r="AH4534">
        <v>0</v>
      </c>
      <c r="AI4534" t="s">
        <v>1018</v>
      </c>
      <c r="AJ4534">
        <v>28.245764000000001</v>
      </c>
      <c r="AK4534" t="s">
        <v>1019</v>
      </c>
      <c r="AL4534">
        <v>-82.332509000000002</v>
      </c>
      <c r="AM4534">
        <v>100</v>
      </c>
      <c r="AN4534">
        <v>2200</v>
      </c>
      <c r="AO4534" t="s">
        <v>118</v>
      </c>
      <c r="AP4534">
        <v>-139</v>
      </c>
      <c r="AQ4534">
        <v>-46</v>
      </c>
      <c r="AR4534">
        <v>-64</v>
      </c>
      <c r="AZ4534">
        <v>1200</v>
      </c>
      <c r="BA4534">
        <v>1</v>
      </c>
      <c r="BB4534" t="str">
        <f t="shared" si="2076"/>
        <v xml:space="preserve">N711JA  </v>
      </c>
      <c r="BC4534">
        <v>1</v>
      </c>
      <c r="BE4534">
        <v>0</v>
      </c>
      <c r="BF4534">
        <v>0</v>
      </c>
      <c r="BG4534">
        <v>0</v>
      </c>
      <c r="BH4534">
        <v>2225</v>
      </c>
      <c r="BI4534">
        <v>1</v>
      </c>
      <c r="BJ4534">
        <v>1</v>
      </c>
      <c r="BK4534">
        <v>0</v>
      </c>
      <c r="BL4534">
        <v>0</v>
      </c>
      <c r="BO4534">
        <v>0</v>
      </c>
      <c r="BP4534">
        <v>0</v>
      </c>
      <c r="BW4534" t="str">
        <f t="shared" si="2088"/>
        <v>14:49:33.766</v>
      </c>
      <c r="CJ4534">
        <v>0</v>
      </c>
      <c r="CK4534">
        <v>2</v>
      </c>
      <c r="CL4534">
        <v>0</v>
      </c>
      <c r="CM4534">
        <v>2</v>
      </c>
      <c r="CN4534">
        <v>0</v>
      </c>
      <c r="CO4534">
        <v>7</v>
      </c>
      <c r="CP4534" t="s">
        <v>119</v>
      </c>
      <c r="CQ4534">
        <v>8</v>
      </c>
      <c r="CR4534">
        <v>3</v>
      </c>
      <c r="CW4534">
        <v>9167694</v>
      </c>
      <c r="CY4534">
        <v>1</v>
      </c>
      <c r="CZ4534">
        <v>0</v>
      </c>
      <c r="DA4534">
        <v>1</v>
      </c>
      <c r="DB4534">
        <v>0</v>
      </c>
      <c r="DC4534">
        <v>0</v>
      </c>
      <c r="DD4534">
        <v>1</v>
      </c>
      <c r="DE4534">
        <v>0</v>
      </c>
      <c r="DF4534">
        <v>0</v>
      </c>
      <c r="DG4534">
        <v>0</v>
      </c>
      <c r="DH4534">
        <v>0</v>
      </c>
      <c r="DI4534">
        <v>0</v>
      </c>
    </row>
    <row r="4535" spans="1:113" x14ac:dyDescent="0.3">
      <c r="A4535" t="str">
        <f t="shared" si="2085"/>
        <v>05/12/2020 14:49:15.924</v>
      </c>
      <c r="C4535" t="str">
        <f t="shared" si="2075"/>
        <v>FFDFD3C0</v>
      </c>
      <c r="D4535" t="s">
        <v>131</v>
      </c>
      <c r="E4535">
        <v>18</v>
      </c>
      <c r="F4535">
        <v>2018</v>
      </c>
      <c r="G4535" t="s">
        <v>161</v>
      </c>
      <c r="J4535" t="s">
        <v>133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 t="shared" si="2086"/>
        <v>14:49:33.766</v>
      </c>
      <c r="T4535" t="str">
        <f t="shared" si="2087"/>
        <v>14:49:33.566</v>
      </c>
      <c r="U4535" t="str">
        <f t="shared" si="2067"/>
        <v>A9808D</v>
      </c>
      <c r="V4535">
        <v>0</v>
      </c>
      <c r="W4535">
        <v>0</v>
      </c>
      <c r="X4535">
        <v>1</v>
      </c>
      <c r="Z4535">
        <v>0</v>
      </c>
      <c r="AA4535">
        <v>9</v>
      </c>
      <c r="AB4535">
        <v>3</v>
      </c>
      <c r="AC4535">
        <v>0</v>
      </c>
      <c r="AD4535">
        <v>10</v>
      </c>
      <c r="AE4535">
        <v>0</v>
      </c>
      <c r="AF4535">
        <v>3</v>
      </c>
      <c r="AG4535">
        <v>2</v>
      </c>
      <c r="AH4535">
        <v>0</v>
      </c>
      <c r="AI4535" t="s">
        <v>1018</v>
      </c>
      <c r="AJ4535">
        <v>28.245764000000001</v>
      </c>
      <c r="AK4535" t="s">
        <v>1019</v>
      </c>
      <c r="AL4535">
        <v>-82.332509000000002</v>
      </c>
      <c r="AM4535">
        <v>100</v>
      </c>
      <c r="AN4535">
        <v>2200</v>
      </c>
      <c r="AO4535" t="s">
        <v>118</v>
      </c>
      <c r="AP4535">
        <v>-139</v>
      </c>
      <c r="AQ4535">
        <v>-46</v>
      </c>
      <c r="AR4535">
        <v>-64</v>
      </c>
      <c r="AZ4535">
        <v>1200</v>
      </c>
      <c r="BA4535">
        <v>1</v>
      </c>
      <c r="BB4535" t="str">
        <f t="shared" si="2076"/>
        <v xml:space="preserve">N711JA  </v>
      </c>
      <c r="BC4535">
        <v>1</v>
      </c>
      <c r="BE4535">
        <v>0</v>
      </c>
      <c r="BF4535">
        <v>0</v>
      </c>
      <c r="BG4535">
        <v>0</v>
      </c>
      <c r="BH4535">
        <v>2225</v>
      </c>
      <c r="BI4535">
        <v>1</v>
      </c>
      <c r="BJ4535">
        <v>1</v>
      </c>
      <c r="BK4535">
        <v>0</v>
      </c>
      <c r="BL4535">
        <v>0</v>
      </c>
      <c r="BO4535">
        <v>0</v>
      </c>
      <c r="BP4535">
        <v>0</v>
      </c>
      <c r="BW4535" t="str">
        <f t="shared" si="2088"/>
        <v>14:49:33.766</v>
      </c>
      <c r="CJ4535">
        <v>0</v>
      </c>
      <c r="CK4535">
        <v>2</v>
      </c>
      <c r="CL4535">
        <v>0</v>
      </c>
      <c r="CM4535">
        <v>2</v>
      </c>
      <c r="CN4535">
        <v>0</v>
      </c>
      <c r="CO4535">
        <v>3</v>
      </c>
      <c r="CP4535" t="s">
        <v>119</v>
      </c>
      <c r="CQ4535">
        <v>62</v>
      </c>
      <c r="CR4535">
        <v>1</v>
      </c>
      <c r="CW4535">
        <v>13062105</v>
      </c>
      <c r="CY4535">
        <v>1</v>
      </c>
      <c r="CZ4535">
        <v>0</v>
      </c>
      <c r="DA4535">
        <v>1</v>
      </c>
      <c r="DB4535">
        <v>0</v>
      </c>
      <c r="DC4535">
        <v>0</v>
      </c>
      <c r="DD4535">
        <v>1</v>
      </c>
      <c r="DE4535">
        <v>0</v>
      </c>
      <c r="DF4535">
        <v>0</v>
      </c>
      <c r="DG4535">
        <v>0</v>
      </c>
      <c r="DH4535">
        <v>0</v>
      </c>
      <c r="DI4535">
        <v>0</v>
      </c>
    </row>
    <row r="4536" spans="1:113" x14ac:dyDescent="0.3">
      <c r="A4536" t="str">
        <f t="shared" si="2085"/>
        <v>05/12/2020 14:49:15.924</v>
      </c>
      <c r="C4536" t="str">
        <f t="shared" si="2075"/>
        <v>FFDFD3C0</v>
      </c>
      <c r="D4536" t="s">
        <v>134</v>
      </c>
      <c r="E4536">
        <v>12</v>
      </c>
      <c r="H4536">
        <v>64</v>
      </c>
      <c r="I4536" t="s">
        <v>135</v>
      </c>
      <c r="J4536" t="s">
        <v>136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 t="shared" si="2086"/>
        <v>14:49:33.766</v>
      </c>
      <c r="T4536" t="str">
        <f t="shared" si="2087"/>
        <v>14:49:33.566</v>
      </c>
      <c r="U4536" t="str">
        <f t="shared" si="2067"/>
        <v>A9808D</v>
      </c>
      <c r="V4536">
        <v>0</v>
      </c>
      <c r="W4536">
        <v>0</v>
      </c>
      <c r="X4536">
        <v>1</v>
      </c>
      <c r="Z4536">
        <v>0</v>
      </c>
      <c r="AA4536">
        <v>9</v>
      </c>
      <c r="AB4536">
        <v>3</v>
      </c>
      <c r="AC4536">
        <v>0</v>
      </c>
      <c r="AD4536">
        <v>10</v>
      </c>
      <c r="AE4536">
        <v>0</v>
      </c>
      <c r="AF4536">
        <v>3</v>
      </c>
      <c r="AG4536">
        <v>2</v>
      </c>
      <c r="AH4536">
        <v>0</v>
      </c>
      <c r="AI4536" t="s">
        <v>1018</v>
      </c>
      <c r="AJ4536">
        <v>28.245764000000001</v>
      </c>
      <c r="AK4536" t="s">
        <v>1019</v>
      </c>
      <c r="AL4536">
        <v>-82.332509000000002</v>
      </c>
      <c r="AM4536">
        <v>100</v>
      </c>
      <c r="AN4536">
        <v>2200</v>
      </c>
      <c r="AO4536" t="s">
        <v>118</v>
      </c>
      <c r="AP4536">
        <v>-139</v>
      </c>
      <c r="AQ4536">
        <v>-46</v>
      </c>
      <c r="AR4536">
        <v>-64</v>
      </c>
      <c r="AZ4536">
        <v>1200</v>
      </c>
      <c r="BA4536">
        <v>1</v>
      </c>
      <c r="BB4536" t="str">
        <f t="shared" si="2076"/>
        <v xml:space="preserve">N711JA  </v>
      </c>
      <c r="BC4536">
        <v>1</v>
      </c>
      <c r="BE4536">
        <v>0</v>
      </c>
      <c r="BF4536">
        <v>0</v>
      </c>
      <c r="BG4536">
        <v>0</v>
      </c>
      <c r="BH4536">
        <v>2225</v>
      </c>
      <c r="BI4536">
        <v>1</v>
      </c>
      <c r="BJ4536">
        <v>1</v>
      </c>
      <c r="BK4536">
        <v>0</v>
      </c>
      <c r="BL4536">
        <v>0</v>
      </c>
      <c r="BO4536">
        <v>0</v>
      </c>
      <c r="BP4536">
        <v>0</v>
      </c>
      <c r="BW4536" t="str">
        <f t="shared" si="2088"/>
        <v>14:49:33.766</v>
      </c>
      <c r="CJ4536">
        <v>0</v>
      </c>
      <c r="CK4536">
        <v>2</v>
      </c>
      <c r="CL4536">
        <v>0</v>
      </c>
      <c r="CM4536">
        <v>2</v>
      </c>
      <c r="CN4536">
        <v>0</v>
      </c>
      <c r="CO4536">
        <v>7</v>
      </c>
      <c r="CP4536" t="s">
        <v>119</v>
      </c>
      <c r="CQ4536">
        <v>8</v>
      </c>
      <c r="CR4536">
        <v>3</v>
      </c>
      <c r="CW4536">
        <v>9167694</v>
      </c>
      <c r="CY4536">
        <v>1</v>
      </c>
      <c r="CZ4536">
        <v>0</v>
      </c>
      <c r="DA4536">
        <v>1</v>
      </c>
      <c r="DB4536">
        <v>0</v>
      </c>
      <c r="DC4536">
        <v>0</v>
      </c>
      <c r="DD4536">
        <v>1</v>
      </c>
      <c r="DE4536">
        <v>0</v>
      </c>
      <c r="DF4536">
        <v>0</v>
      </c>
      <c r="DG4536">
        <v>0</v>
      </c>
      <c r="DH4536">
        <v>0</v>
      </c>
      <c r="DI4536">
        <v>0</v>
      </c>
    </row>
    <row r="4537" spans="1:113" x14ac:dyDescent="0.3">
      <c r="A4537" t="str">
        <f t="shared" si="2085"/>
        <v>05/12/2020 14:49:15.924</v>
      </c>
      <c r="C4537" t="str">
        <f t="shared" si="2075"/>
        <v>FFDFD3C0</v>
      </c>
      <c r="D4537" t="s">
        <v>126</v>
      </c>
      <c r="E4537">
        <v>6</v>
      </c>
      <c r="F4537">
        <v>1006</v>
      </c>
      <c r="G4537" t="s">
        <v>114</v>
      </c>
      <c r="J4537" t="s">
        <v>128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 t="shared" si="2086"/>
        <v>14:49:33.766</v>
      </c>
      <c r="T4537" t="str">
        <f t="shared" si="2087"/>
        <v>14:49:33.566</v>
      </c>
      <c r="U4537" t="str">
        <f t="shared" si="2067"/>
        <v>A9808D</v>
      </c>
      <c r="V4537">
        <v>0</v>
      </c>
      <c r="W4537">
        <v>0</v>
      </c>
      <c r="X4537">
        <v>1</v>
      </c>
      <c r="Z4537">
        <v>0</v>
      </c>
      <c r="AA4537">
        <v>9</v>
      </c>
      <c r="AB4537">
        <v>3</v>
      </c>
      <c r="AC4537">
        <v>0</v>
      </c>
      <c r="AD4537">
        <v>10</v>
      </c>
      <c r="AE4537">
        <v>0</v>
      </c>
      <c r="AF4537">
        <v>3</v>
      </c>
      <c r="AG4537">
        <v>2</v>
      </c>
      <c r="AH4537">
        <v>0</v>
      </c>
      <c r="AI4537" t="s">
        <v>1018</v>
      </c>
      <c r="AJ4537">
        <v>28.245764000000001</v>
      </c>
      <c r="AK4537" t="s">
        <v>1019</v>
      </c>
      <c r="AL4537">
        <v>-82.332509000000002</v>
      </c>
      <c r="AM4537">
        <v>100</v>
      </c>
      <c r="AN4537">
        <v>2200</v>
      </c>
      <c r="AO4537" t="s">
        <v>118</v>
      </c>
      <c r="AP4537">
        <v>-139</v>
      </c>
      <c r="AQ4537">
        <v>-46</v>
      </c>
      <c r="AR4537">
        <v>-64</v>
      </c>
      <c r="AZ4537">
        <v>1200</v>
      </c>
      <c r="BA4537">
        <v>1</v>
      </c>
      <c r="BB4537" t="str">
        <f t="shared" si="2076"/>
        <v xml:space="preserve">N711JA  </v>
      </c>
      <c r="BC4537">
        <v>1</v>
      </c>
      <c r="BE4537">
        <v>0</v>
      </c>
      <c r="BF4537">
        <v>0</v>
      </c>
      <c r="BG4537">
        <v>0</v>
      </c>
      <c r="BH4537">
        <v>2225</v>
      </c>
      <c r="BI4537">
        <v>1</v>
      </c>
      <c r="BJ4537">
        <v>1</v>
      </c>
      <c r="BK4537">
        <v>0</v>
      </c>
      <c r="BL4537">
        <v>0</v>
      </c>
      <c r="BO4537">
        <v>0</v>
      </c>
      <c r="BP4537">
        <v>0</v>
      </c>
      <c r="BW4537" t="str">
        <f t="shared" si="2088"/>
        <v>14:49:33.766</v>
      </c>
      <c r="CJ4537">
        <v>0</v>
      </c>
      <c r="CK4537">
        <v>2</v>
      </c>
      <c r="CL4537">
        <v>0</v>
      </c>
      <c r="CM4537">
        <v>2</v>
      </c>
      <c r="CN4537">
        <v>0</v>
      </c>
      <c r="CO4537">
        <v>7</v>
      </c>
      <c r="CP4537" t="s">
        <v>119</v>
      </c>
      <c r="CQ4537">
        <v>8</v>
      </c>
      <c r="CR4537">
        <v>3</v>
      </c>
      <c r="CW4537">
        <v>9167694</v>
      </c>
      <c r="CY4537">
        <v>1</v>
      </c>
      <c r="CZ4537">
        <v>0</v>
      </c>
      <c r="DA4537">
        <v>1</v>
      </c>
      <c r="DB4537">
        <v>0</v>
      </c>
      <c r="DC4537">
        <v>0</v>
      </c>
      <c r="DD4537">
        <v>1</v>
      </c>
      <c r="DE4537">
        <v>0</v>
      </c>
      <c r="DF4537">
        <v>0</v>
      </c>
      <c r="DG4537">
        <v>0</v>
      </c>
      <c r="DH4537">
        <v>0</v>
      </c>
      <c r="DI4537">
        <v>0</v>
      </c>
    </row>
    <row r="4538" spans="1:113" x14ac:dyDescent="0.3">
      <c r="A4538" t="str">
        <f t="shared" si="2085"/>
        <v>05/12/2020 14:49:15.924</v>
      </c>
      <c r="C4538" t="str">
        <f t="shared" si="2075"/>
        <v>FFDFD3C0</v>
      </c>
      <c r="D4538" t="s">
        <v>138</v>
      </c>
      <c r="E4538">
        <v>3</v>
      </c>
      <c r="H4538">
        <v>9</v>
      </c>
      <c r="I4538" t="s">
        <v>140</v>
      </c>
      <c r="J4538" t="s">
        <v>136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 t="shared" si="2086"/>
        <v>14:49:33.766</v>
      </c>
      <c r="T4538" t="str">
        <f t="shared" si="2087"/>
        <v>14:49:33.566</v>
      </c>
      <c r="U4538" t="str">
        <f t="shared" si="2067"/>
        <v>A9808D</v>
      </c>
      <c r="V4538">
        <v>0</v>
      </c>
      <c r="W4538">
        <v>0</v>
      </c>
      <c r="X4538">
        <v>1</v>
      </c>
      <c r="Z4538">
        <v>0</v>
      </c>
      <c r="AA4538">
        <v>9</v>
      </c>
      <c r="AB4538">
        <v>3</v>
      </c>
      <c r="AC4538">
        <v>0</v>
      </c>
      <c r="AD4538">
        <v>10</v>
      </c>
      <c r="AE4538">
        <v>0</v>
      </c>
      <c r="AF4538">
        <v>3</v>
      </c>
      <c r="AG4538">
        <v>2</v>
      </c>
      <c r="AH4538">
        <v>0</v>
      </c>
      <c r="AI4538" t="s">
        <v>1018</v>
      </c>
      <c r="AJ4538">
        <v>28.245764000000001</v>
      </c>
      <c r="AK4538" t="s">
        <v>1019</v>
      </c>
      <c r="AL4538">
        <v>-82.332509000000002</v>
      </c>
      <c r="AM4538">
        <v>100</v>
      </c>
      <c r="AN4538">
        <v>2200</v>
      </c>
      <c r="AO4538" t="s">
        <v>118</v>
      </c>
      <c r="AP4538">
        <v>-139</v>
      </c>
      <c r="AQ4538">
        <v>-46</v>
      </c>
      <c r="AR4538">
        <v>-64</v>
      </c>
      <c r="AZ4538">
        <v>1200</v>
      </c>
      <c r="BA4538">
        <v>1</v>
      </c>
      <c r="BB4538" t="str">
        <f t="shared" si="2076"/>
        <v xml:space="preserve">N711JA  </v>
      </c>
      <c r="BC4538">
        <v>1</v>
      </c>
      <c r="BE4538">
        <v>0</v>
      </c>
      <c r="BF4538">
        <v>0</v>
      </c>
      <c r="BG4538">
        <v>0</v>
      </c>
      <c r="BH4538">
        <v>2225</v>
      </c>
      <c r="BI4538">
        <v>1</v>
      </c>
      <c r="BJ4538">
        <v>1</v>
      </c>
      <c r="BK4538">
        <v>0</v>
      </c>
      <c r="BL4538">
        <v>0</v>
      </c>
      <c r="BO4538">
        <v>0</v>
      </c>
      <c r="BP4538">
        <v>0</v>
      </c>
      <c r="BW4538" t="str">
        <f t="shared" si="2088"/>
        <v>14:49:33.766</v>
      </c>
      <c r="CJ4538">
        <v>0</v>
      </c>
      <c r="CK4538">
        <v>2</v>
      </c>
      <c r="CL4538">
        <v>0</v>
      </c>
      <c r="CM4538">
        <v>2</v>
      </c>
      <c r="CN4538">
        <v>0</v>
      </c>
      <c r="CO4538">
        <v>7</v>
      </c>
      <c r="CP4538" t="s">
        <v>119</v>
      </c>
      <c r="CQ4538">
        <v>8</v>
      </c>
      <c r="CR4538">
        <v>3</v>
      </c>
      <c r="CW4538">
        <v>9167694</v>
      </c>
      <c r="CY4538">
        <v>1</v>
      </c>
      <c r="CZ4538">
        <v>0</v>
      </c>
      <c r="DA4538">
        <v>1</v>
      </c>
      <c r="DB4538">
        <v>0</v>
      </c>
      <c r="DC4538">
        <v>0</v>
      </c>
      <c r="DD4538">
        <v>1</v>
      </c>
      <c r="DE4538">
        <v>0</v>
      </c>
      <c r="DF4538">
        <v>0</v>
      </c>
      <c r="DG4538">
        <v>0</v>
      </c>
      <c r="DH4538">
        <v>0</v>
      </c>
      <c r="DI4538">
        <v>0</v>
      </c>
    </row>
    <row r="4539" spans="1:113" x14ac:dyDescent="0.3">
      <c r="A4539" t="str">
        <f t="shared" si="2085"/>
        <v>05/12/2020 14:49:15.924</v>
      </c>
      <c r="C4539" t="str">
        <f t="shared" si="2075"/>
        <v>FFDFD3C0</v>
      </c>
      <c r="D4539" t="s">
        <v>138</v>
      </c>
      <c r="E4539">
        <v>2</v>
      </c>
      <c r="H4539">
        <v>8</v>
      </c>
      <c r="I4539" t="s">
        <v>139</v>
      </c>
      <c r="J4539" t="s">
        <v>136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 t="shared" si="2086"/>
        <v>14:49:33.766</v>
      </c>
      <c r="T4539" t="str">
        <f t="shared" si="2087"/>
        <v>14:49:33.566</v>
      </c>
      <c r="U4539" t="str">
        <f t="shared" si="2067"/>
        <v>A9808D</v>
      </c>
      <c r="V4539">
        <v>0</v>
      </c>
      <c r="W4539">
        <v>0</v>
      </c>
      <c r="X4539">
        <v>1</v>
      </c>
      <c r="Z4539">
        <v>0</v>
      </c>
      <c r="AA4539">
        <v>9</v>
      </c>
      <c r="AB4539">
        <v>3</v>
      </c>
      <c r="AC4539">
        <v>0</v>
      </c>
      <c r="AD4539">
        <v>10</v>
      </c>
      <c r="AE4539">
        <v>0</v>
      </c>
      <c r="AF4539">
        <v>3</v>
      </c>
      <c r="AG4539">
        <v>2</v>
      </c>
      <c r="AH4539">
        <v>0</v>
      </c>
      <c r="AI4539" t="s">
        <v>1018</v>
      </c>
      <c r="AJ4539">
        <v>28.245764000000001</v>
      </c>
      <c r="AK4539" t="s">
        <v>1019</v>
      </c>
      <c r="AL4539">
        <v>-82.332509000000002</v>
      </c>
      <c r="AM4539">
        <v>100</v>
      </c>
      <c r="AN4539">
        <v>2200</v>
      </c>
      <c r="AO4539" t="s">
        <v>118</v>
      </c>
      <c r="AP4539">
        <v>-139</v>
      </c>
      <c r="AQ4539">
        <v>-46</v>
      </c>
      <c r="AR4539">
        <v>-64</v>
      </c>
      <c r="AZ4539">
        <v>1200</v>
      </c>
      <c r="BA4539">
        <v>1</v>
      </c>
      <c r="BB4539" t="str">
        <f t="shared" si="2076"/>
        <v xml:space="preserve">N711JA  </v>
      </c>
      <c r="BC4539">
        <v>1</v>
      </c>
      <c r="BE4539">
        <v>0</v>
      </c>
      <c r="BF4539">
        <v>0</v>
      </c>
      <c r="BG4539">
        <v>0</v>
      </c>
      <c r="BH4539">
        <v>2225</v>
      </c>
      <c r="BI4539">
        <v>1</v>
      </c>
      <c r="BJ4539">
        <v>1</v>
      </c>
      <c r="BK4539">
        <v>0</v>
      </c>
      <c r="BL4539">
        <v>0</v>
      </c>
      <c r="BO4539">
        <v>0</v>
      </c>
      <c r="BP4539">
        <v>0</v>
      </c>
      <c r="BW4539" t="str">
        <f t="shared" si="2088"/>
        <v>14:49:33.766</v>
      </c>
      <c r="CJ4539">
        <v>0</v>
      </c>
      <c r="CK4539">
        <v>2</v>
      </c>
      <c r="CL4539">
        <v>0</v>
      </c>
      <c r="CM4539">
        <v>2</v>
      </c>
      <c r="CN4539">
        <v>0</v>
      </c>
      <c r="CO4539">
        <v>7</v>
      </c>
      <c r="CP4539" t="s">
        <v>119</v>
      </c>
      <c r="CQ4539">
        <v>8</v>
      </c>
      <c r="CR4539">
        <v>3</v>
      </c>
      <c r="CW4539">
        <v>9167694</v>
      </c>
      <c r="CY4539">
        <v>1</v>
      </c>
      <c r="CZ4539">
        <v>0</v>
      </c>
      <c r="DA4539">
        <v>1</v>
      </c>
      <c r="DB4539">
        <v>0</v>
      </c>
      <c r="DC4539">
        <v>0</v>
      </c>
      <c r="DD4539">
        <v>1</v>
      </c>
      <c r="DE4539">
        <v>0</v>
      </c>
      <c r="DF4539">
        <v>0</v>
      </c>
      <c r="DG4539">
        <v>0</v>
      </c>
      <c r="DH4539">
        <v>0</v>
      </c>
      <c r="DI4539">
        <v>0</v>
      </c>
    </row>
    <row r="4540" spans="1:113" x14ac:dyDescent="0.3">
      <c r="A4540" t="str">
        <f t="shared" si="2085"/>
        <v>05/12/2020 14:49:15.924</v>
      </c>
      <c r="C4540" t="str">
        <f t="shared" si="2075"/>
        <v>FFDFD3C0</v>
      </c>
      <c r="D4540" t="s">
        <v>113</v>
      </c>
      <c r="E4540">
        <v>3</v>
      </c>
      <c r="H4540">
        <v>164</v>
      </c>
      <c r="I4540" t="s">
        <v>114</v>
      </c>
      <c r="J4540" t="s">
        <v>115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 t="shared" si="2086"/>
        <v>14:49:33.766</v>
      </c>
      <c r="T4540" t="str">
        <f t="shared" si="2087"/>
        <v>14:49:33.566</v>
      </c>
      <c r="U4540" t="str">
        <f t="shared" si="2067"/>
        <v>A9808D</v>
      </c>
      <c r="V4540">
        <v>0</v>
      </c>
      <c r="W4540">
        <v>0</v>
      </c>
      <c r="X4540">
        <v>1</v>
      </c>
      <c r="Z4540">
        <v>0</v>
      </c>
      <c r="AA4540">
        <v>9</v>
      </c>
      <c r="AB4540">
        <v>3</v>
      </c>
      <c r="AC4540">
        <v>0</v>
      </c>
      <c r="AD4540">
        <v>10</v>
      </c>
      <c r="AE4540">
        <v>0</v>
      </c>
      <c r="AF4540">
        <v>3</v>
      </c>
      <c r="AG4540">
        <v>2</v>
      </c>
      <c r="AH4540">
        <v>0</v>
      </c>
      <c r="AI4540" t="s">
        <v>1018</v>
      </c>
      <c r="AJ4540">
        <v>28.245764000000001</v>
      </c>
      <c r="AK4540" t="s">
        <v>1019</v>
      </c>
      <c r="AL4540">
        <v>-82.332509000000002</v>
      </c>
      <c r="AM4540">
        <v>100</v>
      </c>
      <c r="AN4540">
        <v>2200</v>
      </c>
      <c r="AO4540" t="s">
        <v>118</v>
      </c>
      <c r="AP4540">
        <v>-139</v>
      </c>
      <c r="AQ4540">
        <v>-46</v>
      </c>
      <c r="AR4540">
        <v>-64</v>
      </c>
      <c r="AZ4540">
        <v>1200</v>
      </c>
      <c r="BA4540">
        <v>1</v>
      </c>
      <c r="BB4540" t="str">
        <f t="shared" si="2076"/>
        <v xml:space="preserve">N711JA  </v>
      </c>
      <c r="BC4540">
        <v>1</v>
      </c>
      <c r="BE4540">
        <v>0</v>
      </c>
      <c r="BF4540">
        <v>0</v>
      </c>
      <c r="BG4540">
        <v>0</v>
      </c>
      <c r="BH4540">
        <v>2225</v>
      </c>
      <c r="BI4540">
        <v>1</v>
      </c>
      <c r="BJ4540">
        <v>1</v>
      </c>
      <c r="BK4540">
        <v>0</v>
      </c>
      <c r="BL4540">
        <v>0</v>
      </c>
      <c r="BO4540">
        <v>0</v>
      </c>
      <c r="BP4540">
        <v>0</v>
      </c>
      <c r="BW4540" t="str">
        <f t="shared" si="2088"/>
        <v>14:49:33.766</v>
      </c>
      <c r="CJ4540">
        <v>0</v>
      </c>
      <c r="CK4540">
        <v>2</v>
      </c>
      <c r="CL4540">
        <v>0</v>
      </c>
      <c r="CM4540">
        <v>2</v>
      </c>
      <c r="CN4540">
        <v>0</v>
      </c>
      <c r="CO4540">
        <v>7</v>
      </c>
      <c r="CP4540" t="s">
        <v>119</v>
      </c>
      <c r="CQ4540">
        <v>8</v>
      </c>
      <c r="CR4540">
        <v>3</v>
      </c>
      <c r="CW4540">
        <v>9167694</v>
      </c>
      <c r="CY4540">
        <v>1</v>
      </c>
      <c r="CZ4540">
        <v>0</v>
      </c>
      <c r="DA4540">
        <v>1</v>
      </c>
      <c r="DB4540">
        <v>0</v>
      </c>
      <c r="DC4540">
        <v>0</v>
      </c>
      <c r="DD4540">
        <v>1</v>
      </c>
      <c r="DE4540">
        <v>0</v>
      </c>
      <c r="DF4540">
        <v>0</v>
      </c>
      <c r="DG4540">
        <v>0</v>
      </c>
      <c r="DH4540">
        <v>0</v>
      </c>
      <c r="DI4540">
        <v>0</v>
      </c>
    </row>
    <row r="4541" spans="1:113" x14ac:dyDescent="0.3">
      <c r="A4541" t="str">
        <f t="shared" si="2085"/>
        <v>05/12/2020 14:49:15.924</v>
      </c>
      <c r="C4541" t="str">
        <f t="shared" si="2075"/>
        <v>FFDFD3C0</v>
      </c>
      <c r="D4541" t="s">
        <v>126</v>
      </c>
      <c r="E4541">
        <v>7</v>
      </c>
      <c r="F4541">
        <v>1007</v>
      </c>
      <c r="G4541" t="s">
        <v>127</v>
      </c>
      <c r="J4541" t="s">
        <v>128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 t="shared" si="2086"/>
        <v>14:49:33.766</v>
      </c>
      <c r="T4541" t="str">
        <f t="shared" si="2087"/>
        <v>14:49:33.566</v>
      </c>
      <c r="U4541" t="str">
        <f t="shared" si="2067"/>
        <v>A9808D</v>
      </c>
      <c r="V4541">
        <v>0</v>
      </c>
      <c r="W4541">
        <v>0</v>
      </c>
      <c r="X4541">
        <v>1</v>
      </c>
      <c r="Z4541">
        <v>0</v>
      </c>
      <c r="AA4541">
        <v>9</v>
      </c>
      <c r="AB4541">
        <v>3</v>
      </c>
      <c r="AC4541">
        <v>0</v>
      </c>
      <c r="AD4541">
        <v>10</v>
      </c>
      <c r="AE4541">
        <v>0</v>
      </c>
      <c r="AF4541">
        <v>3</v>
      </c>
      <c r="AG4541">
        <v>2</v>
      </c>
      <c r="AH4541">
        <v>0</v>
      </c>
      <c r="AI4541" t="s">
        <v>1018</v>
      </c>
      <c r="AJ4541">
        <v>28.245764000000001</v>
      </c>
      <c r="AK4541" t="s">
        <v>1019</v>
      </c>
      <c r="AL4541">
        <v>-82.332509000000002</v>
      </c>
      <c r="AM4541">
        <v>100</v>
      </c>
      <c r="AN4541">
        <v>2200</v>
      </c>
      <c r="AO4541" t="s">
        <v>118</v>
      </c>
      <c r="AP4541">
        <v>-139</v>
      </c>
      <c r="AQ4541">
        <v>-46</v>
      </c>
      <c r="AR4541">
        <v>-64</v>
      </c>
      <c r="AZ4541">
        <v>1200</v>
      </c>
      <c r="BA4541">
        <v>1</v>
      </c>
      <c r="BB4541" t="str">
        <f t="shared" si="2076"/>
        <v xml:space="preserve">N711JA  </v>
      </c>
      <c r="BC4541">
        <v>1</v>
      </c>
      <c r="BE4541">
        <v>0</v>
      </c>
      <c r="BF4541">
        <v>0</v>
      </c>
      <c r="BG4541">
        <v>0</v>
      </c>
      <c r="BH4541">
        <v>2225</v>
      </c>
      <c r="BI4541">
        <v>1</v>
      </c>
      <c r="BJ4541">
        <v>1</v>
      </c>
      <c r="BK4541">
        <v>0</v>
      </c>
      <c r="BL4541">
        <v>0</v>
      </c>
      <c r="BO4541">
        <v>0</v>
      </c>
      <c r="BP4541">
        <v>0</v>
      </c>
      <c r="BW4541" t="str">
        <f t="shared" si="2088"/>
        <v>14:49:33.766</v>
      </c>
      <c r="CJ4541">
        <v>0</v>
      </c>
      <c r="CK4541">
        <v>2</v>
      </c>
      <c r="CL4541">
        <v>0</v>
      </c>
      <c r="CM4541">
        <v>2</v>
      </c>
      <c r="CN4541">
        <v>0</v>
      </c>
      <c r="CO4541">
        <v>7</v>
      </c>
      <c r="CP4541" t="s">
        <v>119</v>
      </c>
      <c r="CQ4541">
        <v>8</v>
      </c>
      <c r="CR4541">
        <v>3</v>
      </c>
      <c r="CW4541">
        <v>9167694</v>
      </c>
      <c r="CY4541">
        <v>1</v>
      </c>
      <c r="CZ4541">
        <v>0</v>
      </c>
      <c r="DA4541">
        <v>1</v>
      </c>
      <c r="DB4541">
        <v>0</v>
      </c>
      <c r="DC4541">
        <v>0</v>
      </c>
      <c r="DD4541">
        <v>1</v>
      </c>
      <c r="DE4541">
        <v>0</v>
      </c>
      <c r="DF4541">
        <v>0</v>
      </c>
      <c r="DG4541">
        <v>0</v>
      </c>
      <c r="DH4541">
        <v>0</v>
      </c>
      <c r="DI4541">
        <v>0</v>
      </c>
    </row>
    <row r="4542" spans="1:113" x14ac:dyDescent="0.3">
      <c r="A4542" t="str">
        <f t="shared" ref="A4542:A4550" si="2089">"05/12/2020 14:49:16.927"</f>
        <v>05/12/2020 14:49:16.927</v>
      </c>
      <c r="C4542" t="str">
        <f t="shared" si="2075"/>
        <v>FFDFD3C0</v>
      </c>
      <c r="D4542" t="s">
        <v>126</v>
      </c>
      <c r="E4542">
        <v>7</v>
      </c>
      <c r="F4542">
        <v>1007</v>
      </c>
      <c r="G4542" t="s">
        <v>127</v>
      </c>
      <c r="J4542" t="s">
        <v>128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 t="shared" ref="S4542:S4550" si="2090">"14:49:34.758"</f>
        <v>14:49:34.758</v>
      </c>
      <c r="T4542" t="str">
        <f t="shared" ref="T4542:T4550" si="2091">"14:49:34.658"</f>
        <v>14:49:34.658</v>
      </c>
      <c r="U4542" t="str">
        <f t="shared" si="2067"/>
        <v>A9808D</v>
      </c>
      <c r="V4542">
        <v>0</v>
      </c>
      <c r="W4542">
        <v>0</v>
      </c>
      <c r="X4542">
        <v>1</v>
      </c>
      <c r="Z4542">
        <v>0</v>
      </c>
      <c r="AA4542">
        <v>9</v>
      </c>
      <c r="AB4542">
        <v>3</v>
      </c>
      <c r="AC4542">
        <v>0</v>
      </c>
      <c r="AD4542">
        <v>10</v>
      </c>
      <c r="AE4542">
        <v>0</v>
      </c>
      <c r="AF4542">
        <v>3</v>
      </c>
      <c r="AG4542">
        <v>2</v>
      </c>
      <c r="AH4542">
        <v>0</v>
      </c>
      <c r="AI4542" t="s">
        <v>222</v>
      </c>
      <c r="AJ4542">
        <v>28.245528</v>
      </c>
      <c r="AK4542" t="s">
        <v>1020</v>
      </c>
      <c r="AL4542">
        <v>-82.333217000000005</v>
      </c>
      <c r="AM4542">
        <v>100</v>
      </c>
      <c r="AN4542">
        <v>2200</v>
      </c>
      <c r="AO4542" t="s">
        <v>118</v>
      </c>
      <c r="AP4542">
        <v>-140</v>
      </c>
      <c r="AQ4542">
        <v>-45</v>
      </c>
      <c r="AR4542">
        <v>-128</v>
      </c>
      <c r="AZ4542">
        <v>1200</v>
      </c>
      <c r="BA4542">
        <v>1</v>
      </c>
      <c r="BB4542" t="str">
        <f t="shared" si="2076"/>
        <v xml:space="preserve">N711JA  </v>
      </c>
      <c r="BC4542">
        <v>1</v>
      </c>
      <c r="BE4542">
        <v>0</v>
      </c>
      <c r="BF4542">
        <v>0</v>
      </c>
      <c r="BG4542">
        <v>0</v>
      </c>
      <c r="BH4542">
        <v>2200</v>
      </c>
      <c r="BI4542">
        <v>1</v>
      </c>
      <c r="BJ4542">
        <v>1</v>
      </c>
      <c r="BK4542">
        <v>0</v>
      </c>
      <c r="BL4542">
        <v>0</v>
      </c>
      <c r="BO4542">
        <v>0</v>
      </c>
      <c r="BP4542">
        <v>0</v>
      </c>
      <c r="BW4542" t="str">
        <f t="shared" ref="BW4542:BW4550" si="2092">"14:49:34.760"</f>
        <v>14:49:34.760</v>
      </c>
      <c r="CJ4542">
        <v>0</v>
      </c>
      <c r="CK4542">
        <v>2</v>
      </c>
      <c r="CL4542">
        <v>0</v>
      </c>
      <c r="CM4542">
        <v>2</v>
      </c>
      <c r="CN4542">
        <v>0</v>
      </c>
      <c r="CO4542">
        <v>7</v>
      </c>
      <c r="CP4542" t="s">
        <v>119</v>
      </c>
      <c r="CQ4542">
        <v>8</v>
      </c>
      <c r="CR4542">
        <v>3</v>
      </c>
      <c r="CW4542">
        <v>9168757</v>
      </c>
      <c r="CY4542">
        <v>1</v>
      </c>
      <c r="CZ4542">
        <v>0</v>
      </c>
      <c r="DA4542">
        <v>0</v>
      </c>
      <c r="DB4542">
        <v>0</v>
      </c>
      <c r="DC4542">
        <v>0</v>
      </c>
      <c r="DD4542">
        <v>1</v>
      </c>
      <c r="DE4542">
        <v>0</v>
      </c>
      <c r="DF4542">
        <v>0</v>
      </c>
      <c r="DG4542">
        <v>0</v>
      </c>
      <c r="DH4542">
        <v>0</v>
      </c>
      <c r="DI4542">
        <v>0</v>
      </c>
    </row>
    <row r="4543" spans="1:113" x14ac:dyDescent="0.3">
      <c r="A4543" t="str">
        <f t="shared" si="2089"/>
        <v>05/12/2020 14:49:16.927</v>
      </c>
      <c r="C4543" t="str">
        <f t="shared" si="2075"/>
        <v>FFDFD3C0</v>
      </c>
      <c r="D4543" t="s">
        <v>131</v>
      </c>
      <c r="E4543">
        <v>10</v>
      </c>
      <c r="F4543">
        <v>2010</v>
      </c>
      <c r="G4543" t="s">
        <v>132</v>
      </c>
      <c r="J4543" t="s">
        <v>133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 t="shared" si="2090"/>
        <v>14:49:34.758</v>
      </c>
      <c r="T4543" t="str">
        <f t="shared" si="2091"/>
        <v>14:49:34.658</v>
      </c>
      <c r="U4543" t="str">
        <f t="shared" si="2067"/>
        <v>A9808D</v>
      </c>
      <c r="V4543">
        <v>0</v>
      </c>
      <c r="W4543">
        <v>0</v>
      </c>
      <c r="X4543">
        <v>1</v>
      </c>
      <c r="Z4543">
        <v>0</v>
      </c>
      <c r="AA4543">
        <v>9</v>
      </c>
      <c r="AB4543">
        <v>3</v>
      </c>
      <c r="AC4543">
        <v>0</v>
      </c>
      <c r="AD4543">
        <v>10</v>
      </c>
      <c r="AE4543">
        <v>0</v>
      </c>
      <c r="AF4543">
        <v>3</v>
      </c>
      <c r="AG4543">
        <v>2</v>
      </c>
      <c r="AH4543">
        <v>0</v>
      </c>
      <c r="AI4543" t="s">
        <v>222</v>
      </c>
      <c r="AJ4543">
        <v>28.245528</v>
      </c>
      <c r="AK4543" t="s">
        <v>1020</v>
      </c>
      <c r="AL4543">
        <v>-82.333217000000005</v>
      </c>
      <c r="AM4543">
        <v>100</v>
      </c>
      <c r="AN4543">
        <v>2200</v>
      </c>
      <c r="AO4543" t="s">
        <v>118</v>
      </c>
      <c r="AP4543">
        <v>-140</v>
      </c>
      <c r="AQ4543">
        <v>-45</v>
      </c>
      <c r="AR4543">
        <v>-128</v>
      </c>
      <c r="AZ4543">
        <v>1200</v>
      </c>
      <c r="BA4543">
        <v>1</v>
      </c>
      <c r="BB4543" t="str">
        <f t="shared" si="2076"/>
        <v xml:space="preserve">N711JA  </v>
      </c>
      <c r="BC4543">
        <v>1</v>
      </c>
      <c r="BE4543">
        <v>0</v>
      </c>
      <c r="BF4543">
        <v>0</v>
      </c>
      <c r="BG4543">
        <v>0</v>
      </c>
      <c r="BH4543">
        <v>2200</v>
      </c>
      <c r="BI4543">
        <v>1</v>
      </c>
      <c r="BJ4543">
        <v>1</v>
      </c>
      <c r="BK4543">
        <v>0</v>
      </c>
      <c r="BL4543">
        <v>0</v>
      </c>
      <c r="BO4543">
        <v>0</v>
      </c>
      <c r="BP4543">
        <v>0</v>
      </c>
      <c r="BW4543" t="str">
        <f t="shared" si="2092"/>
        <v>14:49:34.760</v>
      </c>
      <c r="CJ4543">
        <v>0</v>
      </c>
      <c r="CK4543">
        <v>2</v>
      </c>
      <c r="CL4543">
        <v>0</v>
      </c>
      <c r="CM4543">
        <v>2</v>
      </c>
      <c r="CN4543">
        <v>0</v>
      </c>
      <c r="CO4543">
        <v>7</v>
      </c>
      <c r="CP4543" t="s">
        <v>119</v>
      </c>
      <c r="CQ4543">
        <v>8</v>
      </c>
      <c r="CR4543">
        <v>3</v>
      </c>
      <c r="CW4543">
        <v>9168757</v>
      </c>
      <c r="CY4543">
        <v>1</v>
      </c>
      <c r="CZ4543">
        <v>0</v>
      </c>
      <c r="DA4543">
        <v>1</v>
      </c>
      <c r="DB4543">
        <v>0</v>
      </c>
      <c r="DC4543">
        <v>0</v>
      </c>
      <c r="DD4543">
        <v>1</v>
      </c>
      <c r="DE4543">
        <v>0</v>
      </c>
      <c r="DF4543">
        <v>0</v>
      </c>
      <c r="DG4543">
        <v>0</v>
      </c>
      <c r="DH4543">
        <v>0</v>
      </c>
      <c r="DI4543">
        <v>0</v>
      </c>
    </row>
    <row r="4544" spans="1:113" x14ac:dyDescent="0.3">
      <c r="A4544" t="str">
        <f t="shared" si="2089"/>
        <v>05/12/2020 14:49:16.927</v>
      </c>
      <c r="C4544" t="str">
        <f t="shared" si="2075"/>
        <v>FFDFD3C0</v>
      </c>
      <c r="D4544" t="s">
        <v>131</v>
      </c>
      <c r="E4544">
        <v>12</v>
      </c>
      <c r="F4544">
        <v>2012</v>
      </c>
      <c r="G4544" t="s">
        <v>137</v>
      </c>
      <c r="J4544" t="s">
        <v>133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 t="shared" si="2090"/>
        <v>14:49:34.758</v>
      </c>
      <c r="T4544" t="str">
        <f t="shared" si="2091"/>
        <v>14:49:34.658</v>
      </c>
      <c r="U4544" t="str">
        <f t="shared" si="2067"/>
        <v>A9808D</v>
      </c>
      <c r="V4544">
        <v>0</v>
      </c>
      <c r="W4544">
        <v>0</v>
      </c>
      <c r="X4544">
        <v>1</v>
      </c>
      <c r="Z4544">
        <v>0</v>
      </c>
      <c r="AA4544">
        <v>9</v>
      </c>
      <c r="AB4544">
        <v>3</v>
      </c>
      <c r="AC4544">
        <v>0</v>
      </c>
      <c r="AD4544">
        <v>10</v>
      </c>
      <c r="AE4544">
        <v>0</v>
      </c>
      <c r="AF4544">
        <v>3</v>
      </c>
      <c r="AG4544">
        <v>2</v>
      </c>
      <c r="AH4544">
        <v>0</v>
      </c>
      <c r="AI4544" t="s">
        <v>222</v>
      </c>
      <c r="AJ4544">
        <v>28.245528</v>
      </c>
      <c r="AK4544" t="s">
        <v>1020</v>
      </c>
      <c r="AL4544">
        <v>-82.333217000000005</v>
      </c>
      <c r="AM4544">
        <v>100</v>
      </c>
      <c r="AN4544">
        <v>2200</v>
      </c>
      <c r="AO4544" t="s">
        <v>118</v>
      </c>
      <c r="AP4544">
        <v>-140</v>
      </c>
      <c r="AQ4544">
        <v>-45</v>
      </c>
      <c r="AR4544">
        <v>-128</v>
      </c>
      <c r="AZ4544">
        <v>1200</v>
      </c>
      <c r="BA4544">
        <v>1</v>
      </c>
      <c r="BB4544" t="str">
        <f t="shared" si="2076"/>
        <v xml:space="preserve">N711JA  </v>
      </c>
      <c r="BC4544">
        <v>1</v>
      </c>
      <c r="BE4544">
        <v>0</v>
      </c>
      <c r="BF4544">
        <v>0</v>
      </c>
      <c r="BG4544">
        <v>0</v>
      </c>
      <c r="BH4544">
        <v>2200</v>
      </c>
      <c r="BI4544">
        <v>1</v>
      </c>
      <c r="BJ4544">
        <v>1</v>
      </c>
      <c r="BK4544">
        <v>0</v>
      </c>
      <c r="BL4544">
        <v>0</v>
      </c>
      <c r="BO4544">
        <v>0</v>
      </c>
      <c r="BP4544">
        <v>0</v>
      </c>
      <c r="BW4544" t="str">
        <f t="shared" si="2092"/>
        <v>14:49:34.760</v>
      </c>
      <c r="CJ4544">
        <v>0</v>
      </c>
      <c r="CK4544">
        <v>2</v>
      </c>
      <c r="CL4544">
        <v>0</v>
      </c>
      <c r="CM4544">
        <v>2</v>
      </c>
      <c r="CN4544">
        <v>0</v>
      </c>
      <c r="CO4544">
        <v>7</v>
      </c>
      <c r="CP4544" t="s">
        <v>119</v>
      </c>
      <c r="CQ4544">
        <v>8</v>
      </c>
      <c r="CR4544">
        <v>3</v>
      </c>
      <c r="CW4544">
        <v>9168757</v>
      </c>
      <c r="CY4544">
        <v>1</v>
      </c>
      <c r="CZ4544">
        <v>0</v>
      </c>
      <c r="DA4544">
        <v>1</v>
      </c>
      <c r="DB4544">
        <v>0</v>
      </c>
      <c r="DC4544">
        <v>0</v>
      </c>
      <c r="DD4544">
        <v>1</v>
      </c>
      <c r="DE4544">
        <v>0</v>
      </c>
      <c r="DF4544">
        <v>0</v>
      </c>
      <c r="DG4544">
        <v>0</v>
      </c>
      <c r="DH4544">
        <v>0</v>
      </c>
      <c r="DI4544">
        <v>0</v>
      </c>
    </row>
    <row r="4545" spans="1:113" x14ac:dyDescent="0.3">
      <c r="A4545" t="str">
        <f t="shared" si="2089"/>
        <v>05/12/2020 14:49:16.927</v>
      </c>
      <c r="C4545" t="str">
        <f t="shared" si="2075"/>
        <v>FFDFD3C0</v>
      </c>
      <c r="D4545" t="s">
        <v>131</v>
      </c>
      <c r="E4545">
        <v>18</v>
      </c>
      <c r="F4545">
        <v>2018</v>
      </c>
      <c r="G4545" t="s">
        <v>161</v>
      </c>
      <c r="J4545" t="s">
        <v>133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 t="shared" si="2090"/>
        <v>14:49:34.758</v>
      </c>
      <c r="T4545" t="str">
        <f t="shared" si="2091"/>
        <v>14:49:34.658</v>
      </c>
      <c r="U4545" t="str">
        <f t="shared" si="2067"/>
        <v>A9808D</v>
      </c>
      <c r="V4545">
        <v>0</v>
      </c>
      <c r="W4545">
        <v>0</v>
      </c>
      <c r="X4545">
        <v>1</v>
      </c>
      <c r="Z4545">
        <v>0</v>
      </c>
      <c r="AA4545">
        <v>9</v>
      </c>
      <c r="AB4545">
        <v>3</v>
      </c>
      <c r="AC4545">
        <v>0</v>
      </c>
      <c r="AD4545">
        <v>10</v>
      </c>
      <c r="AE4545">
        <v>0</v>
      </c>
      <c r="AF4545">
        <v>3</v>
      </c>
      <c r="AG4545">
        <v>2</v>
      </c>
      <c r="AH4545">
        <v>0</v>
      </c>
      <c r="AI4545" t="s">
        <v>222</v>
      </c>
      <c r="AJ4545">
        <v>28.245528</v>
      </c>
      <c r="AK4545" t="s">
        <v>1020</v>
      </c>
      <c r="AL4545">
        <v>-82.333217000000005</v>
      </c>
      <c r="AM4545">
        <v>100</v>
      </c>
      <c r="AN4545">
        <v>2200</v>
      </c>
      <c r="AO4545" t="s">
        <v>118</v>
      </c>
      <c r="AP4545">
        <v>-140</v>
      </c>
      <c r="AQ4545">
        <v>-45</v>
      </c>
      <c r="AR4545">
        <v>-128</v>
      </c>
      <c r="AZ4545">
        <v>1200</v>
      </c>
      <c r="BA4545">
        <v>1</v>
      </c>
      <c r="BB4545" t="str">
        <f t="shared" si="2076"/>
        <v xml:space="preserve">N711JA  </v>
      </c>
      <c r="BC4545">
        <v>1</v>
      </c>
      <c r="BE4545">
        <v>0</v>
      </c>
      <c r="BF4545">
        <v>0</v>
      </c>
      <c r="BG4545">
        <v>0</v>
      </c>
      <c r="BH4545">
        <v>2200</v>
      </c>
      <c r="BI4545">
        <v>1</v>
      </c>
      <c r="BJ4545">
        <v>1</v>
      </c>
      <c r="BK4545">
        <v>0</v>
      </c>
      <c r="BL4545">
        <v>0</v>
      </c>
      <c r="BO4545">
        <v>0</v>
      </c>
      <c r="BP4545">
        <v>0</v>
      </c>
      <c r="BW4545" t="str">
        <f t="shared" si="2092"/>
        <v>14:49:34.760</v>
      </c>
      <c r="CJ4545">
        <v>0</v>
      </c>
      <c r="CK4545">
        <v>2</v>
      </c>
      <c r="CL4545">
        <v>0</v>
      </c>
      <c r="CM4545">
        <v>2</v>
      </c>
      <c r="CN4545">
        <v>0</v>
      </c>
      <c r="CO4545">
        <v>2</v>
      </c>
      <c r="CP4545" t="s">
        <v>119</v>
      </c>
      <c r="CQ4545">
        <v>62</v>
      </c>
      <c r="CR4545">
        <v>1</v>
      </c>
      <c r="CW4545">
        <v>13063210</v>
      </c>
      <c r="CY4545">
        <v>1</v>
      </c>
      <c r="CZ4545">
        <v>0</v>
      </c>
      <c r="DA4545">
        <v>1</v>
      </c>
      <c r="DB4545">
        <v>0</v>
      </c>
      <c r="DC4545">
        <v>0</v>
      </c>
      <c r="DD4545">
        <v>1</v>
      </c>
      <c r="DE4545">
        <v>0</v>
      </c>
      <c r="DF4545">
        <v>0</v>
      </c>
      <c r="DG4545">
        <v>0</v>
      </c>
      <c r="DH4545">
        <v>0</v>
      </c>
      <c r="DI4545">
        <v>0</v>
      </c>
    </row>
    <row r="4546" spans="1:113" x14ac:dyDescent="0.3">
      <c r="A4546" t="str">
        <f t="shared" si="2089"/>
        <v>05/12/2020 14:49:16.927</v>
      </c>
      <c r="C4546" t="str">
        <f t="shared" si="2075"/>
        <v>FFDFD3C0</v>
      </c>
      <c r="D4546" t="s">
        <v>126</v>
      </c>
      <c r="E4546">
        <v>6</v>
      </c>
      <c r="F4546">
        <v>1006</v>
      </c>
      <c r="G4546" t="s">
        <v>114</v>
      </c>
      <c r="J4546" t="s">
        <v>128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 t="shared" si="2090"/>
        <v>14:49:34.758</v>
      </c>
      <c r="T4546" t="str">
        <f t="shared" si="2091"/>
        <v>14:49:34.658</v>
      </c>
      <c r="U4546" t="str">
        <f t="shared" ref="U4546:U4609" si="2093">"A9808D"</f>
        <v>A9808D</v>
      </c>
      <c r="V4546">
        <v>0</v>
      </c>
      <c r="W4546">
        <v>0</v>
      </c>
      <c r="X4546">
        <v>1</v>
      </c>
      <c r="Z4546">
        <v>0</v>
      </c>
      <c r="AA4546">
        <v>9</v>
      </c>
      <c r="AB4546">
        <v>3</v>
      </c>
      <c r="AC4546">
        <v>0</v>
      </c>
      <c r="AD4546">
        <v>10</v>
      </c>
      <c r="AE4546">
        <v>0</v>
      </c>
      <c r="AF4546">
        <v>3</v>
      </c>
      <c r="AG4546">
        <v>2</v>
      </c>
      <c r="AH4546">
        <v>0</v>
      </c>
      <c r="AI4546" t="s">
        <v>222</v>
      </c>
      <c r="AJ4546">
        <v>28.245528</v>
      </c>
      <c r="AK4546" t="s">
        <v>1020</v>
      </c>
      <c r="AL4546">
        <v>-82.333217000000005</v>
      </c>
      <c r="AM4546">
        <v>100</v>
      </c>
      <c r="AN4546">
        <v>2200</v>
      </c>
      <c r="AO4546" t="s">
        <v>118</v>
      </c>
      <c r="AP4546">
        <v>-140</v>
      </c>
      <c r="AQ4546">
        <v>-45</v>
      </c>
      <c r="AR4546">
        <v>-128</v>
      </c>
      <c r="AZ4546">
        <v>1200</v>
      </c>
      <c r="BA4546">
        <v>1</v>
      </c>
      <c r="BB4546" t="str">
        <f t="shared" si="2076"/>
        <v xml:space="preserve">N711JA  </v>
      </c>
      <c r="BC4546">
        <v>1</v>
      </c>
      <c r="BE4546">
        <v>0</v>
      </c>
      <c r="BF4546">
        <v>0</v>
      </c>
      <c r="BG4546">
        <v>0</v>
      </c>
      <c r="BH4546">
        <v>2200</v>
      </c>
      <c r="BI4546">
        <v>1</v>
      </c>
      <c r="BJ4546">
        <v>1</v>
      </c>
      <c r="BK4546">
        <v>0</v>
      </c>
      <c r="BL4546">
        <v>0</v>
      </c>
      <c r="BO4546">
        <v>0</v>
      </c>
      <c r="BP4546">
        <v>0</v>
      </c>
      <c r="BW4546" t="str">
        <f t="shared" si="2092"/>
        <v>14:49:34.760</v>
      </c>
      <c r="CJ4546">
        <v>0</v>
      </c>
      <c r="CK4546">
        <v>2</v>
      </c>
      <c r="CL4546">
        <v>0</v>
      </c>
      <c r="CM4546">
        <v>2</v>
      </c>
      <c r="CN4546">
        <v>0</v>
      </c>
      <c r="CO4546">
        <v>7</v>
      </c>
      <c r="CP4546" t="s">
        <v>119</v>
      </c>
      <c r="CQ4546">
        <v>8</v>
      </c>
      <c r="CR4546">
        <v>3</v>
      </c>
      <c r="CW4546">
        <v>9168757</v>
      </c>
      <c r="CY4546">
        <v>1</v>
      </c>
      <c r="CZ4546">
        <v>0</v>
      </c>
      <c r="DA4546">
        <v>1</v>
      </c>
      <c r="DB4546">
        <v>0</v>
      </c>
      <c r="DC4546">
        <v>0</v>
      </c>
      <c r="DD4546">
        <v>1</v>
      </c>
      <c r="DE4546">
        <v>0</v>
      </c>
      <c r="DF4546">
        <v>0</v>
      </c>
      <c r="DG4546">
        <v>0</v>
      </c>
      <c r="DH4546">
        <v>0</v>
      </c>
      <c r="DI4546">
        <v>0</v>
      </c>
    </row>
    <row r="4547" spans="1:113" x14ac:dyDescent="0.3">
      <c r="A4547" t="str">
        <f t="shared" si="2089"/>
        <v>05/12/2020 14:49:16.927</v>
      </c>
      <c r="C4547" t="str">
        <f t="shared" si="2075"/>
        <v>FFDFD3C0</v>
      </c>
      <c r="D4547" t="s">
        <v>134</v>
      </c>
      <c r="E4547">
        <v>12</v>
      </c>
      <c r="H4547">
        <v>64</v>
      </c>
      <c r="I4547" t="s">
        <v>135</v>
      </c>
      <c r="J4547" t="s">
        <v>136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 t="shared" si="2090"/>
        <v>14:49:34.758</v>
      </c>
      <c r="T4547" t="str">
        <f t="shared" si="2091"/>
        <v>14:49:34.658</v>
      </c>
      <c r="U4547" t="str">
        <f t="shared" si="2093"/>
        <v>A9808D</v>
      </c>
      <c r="V4547">
        <v>0</v>
      </c>
      <c r="W4547">
        <v>0</v>
      </c>
      <c r="X4547">
        <v>1</v>
      </c>
      <c r="Z4547">
        <v>0</v>
      </c>
      <c r="AA4547">
        <v>9</v>
      </c>
      <c r="AB4547">
        <v>3</v>
      </c>
      <c r="AC4547">
        <v>0</v>
      </c>
      <c r="AD4547">
        <v>10</v>
      </c>
      <c r="AE4547">
        <v>0</v>
      </c>
      <c r="AF4547">
        <v>3</v>
      </c>
      <c r="AG4547">
        <v>2</v>
      </c>
      <c r="AH4547">
        <v>0</v>
      </c>
      <c r="AI4547" t="s">
        <v>222</v>
      </c>
      <c r="AJ4547">
        <v>28.245528</v>
      </c>
      <c r="AK4547" t="s">
        <v>1020</v>
      </c>
      <c r="AL4547">
        <v>-82.333217000000005</v>
      </c>
      <c r="AM4547">
        <v>100</v>
      </c>
      <c r="AN4547">
        <v>2200</v>
      </c>
      <c r="AO4547" t="s">
        <v>118</v>
      </c>
      <c r="AP4547">
        <v>-140</v>
      </c>
      <c r="AQ4547">
        <v>-45</v>
      </c>
      <c r="AR4547">
        <v>-128</v>
      </c>
      <c r="AZ4547">
        <v>1200</v>
      </c>
      <c r="BA4547">
        <v>1</v>
      </c>
      <c r="BB4547" t="str">
        <f t="shared" si="2076"/>
        <v xml:space="preserve">N711JA  </v>
      </c>
      <c r="BC4547">
        <v>1</v>
      </c>
      <c r="BE4547">
        <v>0</v>
      </c>
      <c r="BF4547">
        <v>0</v>
      </c>
      <c r="BG4547">
        <v>0</v>
      </c>
      <c r="BH4547">
        <v>2200</v>
      </c>
      <c r="BI4547">
        <v>1</v>
      </c>
      <c r="BJ4547">
        <v>1</v>
      </c>
      <c r="BK4547">
        <v>0</v>
      </c>
      <c r="BL4547">
        <v>0</v>
      </c>
      <c r="BO4547">
        <v>0</v>
      </c>
      <c r="BP4547">
        <v>0</v>
      </c>
      <c r="BW4547" t="str">
        <f t="shared" si="2092"/>
        <v>14:49:34.760</v>
      </c>
      <c r="CJ4547">
        <v>0</v>
      </c>
      <c r="CK4547">
        <v>2</v>
      </c>
      <c r="CL4547">
        <v>0</v>
      </c>
      <c r="CM4547">
        <v>2</v>
      </c>
      <c r="CN4547">
        <v>0</v>
      </c>
      <c r="CO4547">
        <v>7</v>
      </c>
      <c r="CP4547" t="s">
        <v>119</v>
      </c>
      <c r="CQ4547">
        <v>8</v>
      </c>
      <c r="CR4547">
        <v>3</v>
      </c>
      <c r="CW4547">
        <v>9168757</v>
      </c>
      <c r="CY4547">
        <v>1</v>
      </c>
      <c r="CZ4547">
        <v>0</v>
      </c>
      <c r="DA4547">
        <v>1</v>
      </c>
      <c r="DB4547">
        <v>0</v>
      </c>
      <c r="DC4547">
        <v>0</v>
      </c>
      <c r="DD4547">
        <v>1</v>
      </c>
      <c r="DE4547">
        <v>0</v>
      </c>
      <c r="DF4547">
        <v>0</v>
      </c>
      <c r="DG4547">
        <v>0</v>
      </c>
      <c r="DH4547">
        <v>0</v>
      </c>
      <c r="DI4547">
        <v>0</v>
      </c>
    </row>
    <row r="4548" spans="1:113" x14ac:dyDescent="0.3">
      <c r="A4548" t="str">
        <f t="shared" si="2089"/>
        <v>05/12/2020 14:49:16.927</v>
      </c>
      <c r="C4548" t="str">
        <f t="shared" si="2075"/>
        <v>FFDFD3C0</v>
      </c>
      <c r="D4548" t="s">
        <v>138</v>
      </c>
      <c r="E4548">
        <v>2</v>
      </c>
      <c r="H4548">
        <v>8</v>
      </c>
      <c r="I4548" t="s">
        <v>139</v>
      </c>
      <c r="J4548" t="s">
        <v>136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 t="shared" si="2090"/>
        <v>14:49:34.758</v>
      </c>
      <c r="T4548" t="str">
        <f t="shared" si="2091"/>
        <v>14:49:34.658</v>
      </c>
      <c r="U4548" t="str">
        <f t="shared" si="2093"/>
        <v>A9808D</v>
      </c>
      <c r="V4548">
        <v>0</v>
      </c>
      <c r="W4548">
        <v>0</v>
      </c>
      <c r="X4548">
        <v>1</v>
      </c>
      <c r="Z4548">
        <v>0</v>
      </c>
      <c r="AA4548">
        <v>9</v>
      </c>
      <c r="AB4548">
        <v>3</v>
      </c>
      <c r="AC4548">
        <v>0</v>
      </c>
      <c r="AD4548">
        <v>10</v>
      </c>
      <c r="AE4548">
        <v>0</v>
      </c>
      <c r="AF4548">
        <v>3</v>
      </c>
      <c r="AG4548">
        <v>2</v>
      </c>
      <c r="AH4548">
        <v>0</v>
      </c>
      <c r="AI4548" t="s">
        <v>222</v>
      </c>
      <c r="AJ4548">
        <v>28.245528</v>
      </c>
      <c r="AK4548" t="s">
        <v>1020</v>
      </c>
      <c r="AL4548">
        <v>-82.333217000000005</v>
      </c>
      <c r="AM4548">
        <v>100</v>
      </c>
      <c r="AN4548">
        <v>2200</v>
      </c>
      <c r="AO4548" t="s">
        <v>118</v>
      </c>
      <c r="AP4548">
        <v>-140</v>
      </c>
      <c r="AQ4548">
        <v>-45</v>
      </c>
      <c r="AR4548">
        <v>-128</v>
      </c>
      <c r="AZ4548">
        <v>1200</v>
      </c>
      <c r="BA4548">
        <v>1</v>
      </c>
      <c r="BB4548" t="str">
        <f t="shared" si="2076"/>
        <v xml:space="preserve">N711JA  </v>
      </c>
      <c r="BC4548">
        <v>1</v>
      </c>
      <c r="BE4548">
        <v>0</v>
      </c>
      <c r="BF4548">
        <v>0</v>
      </c>
      <c r="BG4548">
        <v>0</v>
      </c>
      <c r="BH4548">
        <v>2200</v>
      </c>
      <c r="BI4548">
        <v>1</v>
      </c>
      <c r="BJ4548">
        <v>1</v>
      </c>
      <c r="BK4548">
        <v>0</v>
      </c>
      <c r="BL4548">
        <v>0</v>
      </c>
      <c r="BO4548">
        <v>0</v>
      </c>
      <c r="BP4548">
        <v>0</v>
      </c>
      <c r="BW4548" t="str">
        <f t="shared" si="2092"/>
        <v>14:49:34.760</v>
      </c>
      <c r="CJ4548">
        <v>0</v>
      </c>
      <c r="CK4548">
        <v>2</v>
      </c>
      <c r="CL4548">
        <v>0</v>
      </c>
      <c r="CM4548">
        <v>2</v>
      </c>
      <c r="CN4548">
        <v>0</v>
      </c>
      <c r="CO4548">
        <v>7</v>
      </c>
      <c r="CP4548" t="s">
        <v>119</v>
      </c>
      <c r="CQ4548">
        <v>8</v>
      </c>
      <c r="CR4548">
        <v>3</v>
      </c>
      <c r="CW4548">
        <v>9168757</v>
      </c>
      <c r="CY4548">
        <v>1</v>
      </c>
      <c r="CZ4548">
        <v>0</v>
      </c>
      <c r="DA4548">
        <v>1</v>
      </c>
      <c r="DB4548">
        <v>0</v>
      </c>
      <c r="DC4548">
        <v>0</v>
      </c>
      <c r="DD4548">
        <v>1</v>
      </c>
      <c r="DE4548">
        <v>0</v>
      </c>
      <c r="DF4548">
        <v>0</v>
      </c>
      <c r="DG4548">
        <v>0</v>
      </c>
      <c r="DH4548">
        <v>0</v>
      </c>
      <c r="DI4548">
        <v>0</v>
      </c>
    </row>
    <row r="4549" spans="1:113" x14ac:dyDescent="0.3">
      <c r="A4549" t="str">
        <f t="shared" si="2089"/>
        <v>05/12/2020 14:49:16.927</v>
      </c>
      <c r="C4549" t="str">
        <f t="shared" si="2075"/>
        <v>FFDFD3C0</v>
      </c>
      <c r="D4549" t="s">
        <v>138</v>
      </c>
      <c r="E4549">
        <v>3</v>
      </c>
      <c r="H4549">
        <v>9</v>
      </c>
      <c r="I4549" t="s">
        <v>140</v>
      </c>
      <c r="J4549" t="s">
        <v>136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 t="shared" si="2090"/>
        <v>14:49:34.758</v>
      </c>
      <c r="T4549" t="str">
        <f t="shared" si="2091"/>
        <v>14:49:34.658</v>
      </c>
      <c r="U4549" t="str">
        <f t="shared" si="2093"/>
        <v>A9808D</v>
      </c>
      <c r="V4549">
        <v>0</v>
      </c>
      <c r="W4549">
        <v>0</v>
      </c>
      <c r="X4549">
        <v>1</v>
      </c>
      <c r="Z4549">
        <v>0</v>
      </c>
      <c r="AA4549">
        <v>9</v>
      </c>
      <c r="AB4549">
        <v>3</v>
      </c>
      <c r="AC4549">
        <v>0</v>
      </c>
      <c r="AD4549">
        <v>10</v>
      </c>
      <c r="AE4549">
        <v>0</v>
      </c>
      <c r="AF4549">
        <v>3</v>
      </c>
      <c r="AG4549">
        <v>2</v>
      </c>
      <c r="AH4549">
        <v>0</v>
      </c>
      <c r="AI4549" t="s">
        <v>222</v>
      </c>
      <c r="AJ4549">
        <v>28.245528</v>
      </c>
      <c r="AK4549" t="s">
        <v>1020</v>
      </c>
      <c r="AL4549">
        <v>-82.333217000000005</v>
      </c>
      <c r="AM4549">
        <v>100</v>
      </c>
      <c r="AN4549">
        <v>2200</v>
      </c>
      <c r="AO4549" t="s">
        <v>118</v>
      </c>
      <c r="AP4549">
        <v>-140</v>
      </c>
      <c r="AQ4549">
        <v>-45</v>
      </c>
      <c r="AR4549">
        <v>-128</v>
      </c>
      <c r="AZ4549">
        <v>1200</v>
      </c>
      <c r="BA4549">
        <v>1</v>
      </c>
      <c r="BB4549" t="str">
        <f t="shared" si="2076"/>
        <v xml:space="preserve">N711JA  </v>
      </c>
      <c r="BC4549">
        <v>1</v>
      </c>
      <c r="BE4549">
        <v>0</v>
      </c>
      <c r="BF4549">
        <v>0</v>
      </c>
      <c r="BG4549">
        <v>0</v>
      </c>
      <c r="BH4549">
        <v>2200</v>
      </c>
      <c r="BI4549">
        <v>1</v>
      </c>
      <c r="BJ4549">
        <v>1</v>
      </c>
      <c r="BK4549">
        <v>0</v>
      </c>
      <c r="BL4549">
        <v>0</v>
      </c>
      <c r="BO4549">
        <v>0</v>
      </c>
      <c r="BP4549">
        <v>0</v>
      </c>
      <c r="BW4549" t="str">
        <f t="shared" si="2092"/>
        <v>14:49:34.760</v>
      </c>
      <c r="CJ4549">
        <v>0</v>
      </c>
      <c r="CK4549">
        <v>2</v>
      </c>
      <c r="CL4549">
        <v>0</v>
      </c>
      <c r="CM4549">
        <v>2</v>
      </c>
      <c r="CN4549">
        <v>0</v>
      </c>
      <c r="CO4549">
        <v>7</v>
      </c>
      <c r="CP4549" t="s">
        <v>119</v>
      </c>
      <c r="CQ4549">
        <v>8</v>
      </c>
      <c r="CR4549">
        <v>3</v>
      </c>
      <c r="CW4549">
        <v>9168757</v>
      </c>
      <c r="CY4549">
        <v>1</v>
      </c>
      <c r="CZ4549">
        <v>0</v>
      </c>
      <c r="DA4549">
        <v>1</v>
      </c>
      <c r="DB4549">
        <v>0</v>
      </c>
      <c r="DC4549">
        <v>0</v>
      </c>
      <c r="DD4549">
        <v>1</v>
      </c>
      <c r="DE4549">
        <v>0</v>
      </c>
      <c r="DF4549">
        <v>0</v>
      </c>
      <c r="DG4549">
        <v>0</v>
      </c>
      <c r="DH4549">
        <v>0</v>
      </c>
      <c r="DI4549">
        <v>0</v>
      </c>
    </row>
    <row r="4550" spans="1:113" x14ac:dyDescent="0.3">
      <c r="A4550" t="str">
        <f t="shared" si="2089"/>
        <v>05/12/2020 14:49:16.927</v>
      </c>
      <c r="C4550" t="str">
        <f t="shared" si="2075"/>
        <v>FFDFD3C0</v>
      </c>
      <c r="D4550" t="s">
        <v>113</v>
      </c>
      <c r="E4550">
        <v>3</v>
      </c>
      <c r="H4550">
        <v>164</v>
      </c>
      <c r="I4550" t="s">
        <v>114</v>
      </c>
      <c r="J4550" t="s">
        <v>115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 t="shared" si="2090"/>
        <v>14:49:34.758</v>
      </c>
      <c r="T4550" t="str">
        <f t="shared" si="2091"/>
        <v>14:49:34.658</v>
      </c>
      <c r="U4550" t="str">
        <f t="shared" si="2093"/>
        <v>A9808D</v>
      </c>
      <c r="V4550">
        <v>0</v>
      </c>
      <c r="W4550">
        <v>0</v>
      </c>
      <c r="X4550">
        <v>1</v>
      </c>
      <c r="Z4550">
        <v>0</v>
      </c>
      <c r="AA4550">
        <v>9</v>
      </c>
      <c r="AB4550">
        <v>3</v>
      </c>
      <c r="AC4550">
        <v>0</v>
      </c>
      <c r="AD4550">
        <v>10</v>
      </c>
      <c r="AE4550">
        <v>0</v>
      </c>
      <c r="AF4550">
        <v>3</v>
      </c>
      <c r="AG4550">
        <v>2</v>
      </c>
      <c r="AH4550">
        <v>0</v>
      </c>
      <c r="AI4550" t="s">
        <v>222</v>
      </c>
      <c r="AJ4550">
        <v>28.245528</v>
      </c>
      <c r="AK4550" t="s">
        <v>1020</v>
      </c>
      <c r="AL4550">
        <v>-82.333217000000005</v>
      </c>
      <c r="AM4550">
        <v>100</v>
      </c>
      <c r="AN4550">
        <v>2200</v>
      </c>
      <c r="AO4550" t="s">
        <v>118</v>
      </c>
      <c r="AP4550">
        <v>-140</v>
      </c>
      <c r="AQ4550">
        <v>-45</v>
      </c>
      <c r="AR4550">
        <v>-128</v>
      </c>
      <c r="AZ4550">
        <v>1200</v>
      </c>
      <c r="BA4550">
        <v>1</v>
      </c>
      <c r="BB4550" t="str">
        <f t="shared" si="2076"/>
        <v xml:space="preserve">N711JA  </v>
      </c>
      <c r="BC4550">
        <v>1</v>
      </c>
      <c r="BE4550">
        <v>0</v>
      </c>
      <c r="BF4550">
        <v>0</v>
      </c>
      <c r="BG4550">
        <v>0</v>
      </c>
      <c r="BH4550">
        <v>2200</v>
      </c>
      <c r="BI4550">
        <v>1</v>
      </c>
      <c r="BJ4550">
        <v>1</v>
      </c>
      <c r="BK4550">
        <v>0</v>
      </c>
      <c r="BL4550">
        <v>0</v>
      </c>
      <c r="BO4550">
        <v>0</v>
      </c>
      <c r="BP4550">
        <v>0</v>
      </c>
      <c r="BW4550" t="str">
        <f t="shared" si="2092"/>
        <v>14:49:34.760</v>
      </c>
      <c r="CJ4550">
        <v>0</v>
      </c>
      <c r="CK4550">
        <v>2</v>
      </c>
      <c r="CL4550">
        <v>0</v>
      </c>
      <c r="CM4550">
        <v>2</v>
      </c>
      <c r="CN4550">
        <v>0</v>
      </c>
      <c r="CO4550">
        <v>7</v>
      </c>
      <c r="CP4550" t="s">
        <v>119</v>
      </c>
      <c r="CQ4550">
        <v>8</v>
      </c>
      <c r="CR4550">
        <v>3</v>
      </c>
      <c r="CW4550">
        <v>9168757</v>
      </c>
      <c r="CY4550">
        <v>1</v>
      </c>
      <c r="CZ4550">
        <v>0</v>
      </c>
      <c r="DA4550">
        <v>1</v>
      </c>
      <c r="DB4550">
        <v>0</v>
      </c>
      <c r="DC4550">
        <v>0</v>
      </c>
      <c r="DD4550">
        <v>1</v>
      </c>
      <c r="DE4550">
        <v>0</v>
      </c>
      <c r="DF4550">
        <v>0</v>
      </c>
      <c r="DG4550">
        <v>0</v>
      </c>
      <c r="DH4550">
        <v>0</v>
      </c>
      <c r="DI4550">
        <v>0</v>
      </c>
    </row>
    <row r="4551" spans="1:113" x14ac:dyDescent="0.3">
      <c r="A4551" t="str">
        <f t="shared" ref="A4551:A4559" si="2094">"05/12/2020 14:49:17.929"</f>
        <v>05/12/2020 14:49:17.929</v>
      </c>
      <c r="C4551" t="str">
        <f t="shared" si="2075"/>
        <v>FFDFD3C0</v>
      </c>
      <c r="D4551" t="s">
        <v>113</v>
      </c>
      <c r="E4551">
        <v>3</v>
      </c>
      <c r="H4551">
        <v>164</v>
      </c>
      <c r="I4551" t="s">
        <v>114</v>
      </c>
      <c r="J4551" t="s">
        <v>115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 t="shared" ref="S4551:S4559" si="2095">"14:49:35.766"</f>
        <v>14:49:35.766</v>
      </c>
      <c r="T4551" t="str">
        <f t="shared" ref="T4551:T4559" si="2096">"14:49:35.566"</f>
        <v>14:49:35.566</v>
      </c>
      <c r="U4551" t="str">
        <f t="shared" si="2093"/>
        <v>A9808D</v>
      </c>
      <c r="V4551">
        <v>0</v>
      </c>
      <c r="W4551">
        <v>0</v>
      </c>
      <c r="X4551">
        <v>1</v>
      </c>
      <c r="Z4551">
        <v>0</v>
      </c>
      <c r="AA4551">
        <v>9</v>
      </c>
      <c r="AB4551">
        <v>3</v>
      </c>
      <c r="AC4551">
        <v>0</v>
      </c>
      <c r="AD4551">
        <v>10</v>
      </c>
      <c r="AE4551">
        <v>0</v>
      </c>
      <c r="AF4551">
        <v>3</v>
      </c>
      <c r="AG4551">
        <v>2</v>
      </c>
      <c r="AH4551">
        <v>0</v>
      </c>
      <c r="AI4551" t="s">
        <v>1021</v>
      </c>
      <c r="AJ4551">
        <v>28.245356000000001</v>
      </c>
      <c r="AK4551" t="s">
        <v>1022</v>
      </c>
      <c r="AL4551">
        <v>-82.333967999999999</v>
      </c>
      <c r="AM4551">
        <v>100</v>
      </c>
      <c r="AN4551">
        <v>2200</v>
      </c>
      <c r="AO4551" t="s">
        <v>118</v>
      </c>
      <c r="AP4551">
        <v>-140</v>
      </c>
      <c r="AQ4551">
        <v>-43</v>
      </c>
      <c r="AR4551">
        <v>-192</v>
      </c>
      <c r="AZ4551">
        <v>1200</v>
      </c>
      <c r="BA4551">
        <v>1</v>
      </c>
      <c r="BB4551" t="str">
        <f t="shared" si="2076"/>
        <v xml:space="preserve">N711JA  </v>
      </c>
      <c r="BC4551">
        <v>1</v>
      </c>
      <c r="BE4551">
        <v>0</v>
      </c>
      <c r="BF4551">
        <v>0</v>
      </c>
      <c r="BG4551">
        <v>0</v>
      </c>
      <c r="BH4551">
        <v>2200</v>
      </c>
      <c r="BI4551">
        <v>1</v>
      </c>
      <c r="BJ4551">
        <v>1</v>
      </c>
      <c r="BK4551">
        <v>0</v>
      </c>
      <c r="BL4551">
        <v>0</v>
      </c>
      <c r="BO4551">
        <v>0</v>
      </c>
      <c r="BP4551">
        <v>0</v>
      </c>
      <c r="BW4551" t="str">
        <f t="shared" ref="BW4551:BW4559" si="2097">"14:49:35.772"</f>
        <v>14:49:35.772</v>
      </c>
      <c r="CJ4551">
        <v>0</v>
      </c>
      <c r="CK4551">
        <v>2</v>
      </c>
      <c r="CL4551">
        <v>0</v>
      </c>
      <c r="CM4551">
        <v>2</v>
      </c>
      <c r="CN4551">
        <v>0</v>
      </c>
      <c r="CO4551">
        <v>7</v>
      </c>
      <c r="CP4551" t="s">
        <v>119</v>
      </c>
      <c r="CQ4551">
        <v>8</v>
      </c>
      <c r="CR4551">
        <v>3</v>
      </c>
      <c r="CW4551">
        <v>9169870</v>
      </c>
      <c r="CY4551">
        <v>1</v>
      </c>
      <c r="CZ4551">
        <v>0</v>
      </c>
      <c r="DA4551">
        <v>0</v>
      </c>
      <c r="DB4551">
        <v>0</v>
      </c>
      <c r="DC4551">
        <v>0</v>
      </c>
      <c r="DD4551">
        <v>1</v>
      </c>
      <c r="DE4551">
        <v>0</v>
      </c>
      <c r="DF4551">
        <v>0</v>
      </c>
      <c r="DG4551">
        <v>0</v>
      </c>
      <c r="DH4551">
        <v>0</v>
      </c>
      <c r="DI4551">
        <v>0</v>
      </c>
    </row>
    <row r="4552" spans="1:113" x14ac:dyDescent="0.3">
      <c r="A4552" t="str">
        <f t="shared" si="2094"/>
        <v>05/12/2020 14:49:17.929</v>
      </c>
      <c r="C4552" t="str">
        <f t="shared" si="2075"/>
        <v>FFDFD3C0</v>
      </c>
      <c r="D4552" t="s">
        <v>126</v>
      </c>
      <c r="E4552">
        <v>7</v>
      </c>
      <c r="F4552">
        <v>1007</v>
      </c>
      <c r="G4552" t="s">
        <v>127</v>
      </c>
      <c r="J4552" t="s">
        <v>128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 t="shared" si="2095"/>
        <v>14:49:35.766</v>
      </c>
      <c r="T4552" t="str">
        <f t="shared" si="2096"/>
        <v>14:49:35.566</v>
      </c>
      <c r="U4552" t="str">
        <f t="shared" si="2093"/>
        <v>A9808D</v>
      </c>
      <c r="V4552">
        <v>0</v>
      </c>
      <c r="W4552">
        <v>0</v>
      </c>
      <c r="X4552">
        <v>1</v>
      </c>
      <c r="Z4552">
        <v>0</v>
      </c>
      <c r="AA4552">
        <v>9</v>
      </c>
      <c r="AB4552">
        <v>3</v>
      </c>
      <c r="AC4552">
        <v>0</v>
      </c>
      <c r="AD4552">
        <v>10</v>
      </c>
      <c r="AE4552">
        <v>0</v>
      </c>
      <c r="AF4552">
        <v>3</v>
      </c>
      <c r="AG4552">
        <v>2</v>
      </c>
      <c r="AH4552">
        <v>0</v>
      </c>
      <c r="AI4552" t="s">
        <v>1021</v>
      </c>
      <c r="AJ4552">
        <v>28.245356000000001</v>
      </c>
      <c r="AK4552" t="s">
        <v>1022</v>
      </c>
      <c r="AL4552">
        <v>-82.333967999999999</v>
      </c>
      <c r="AM4552">
        <v>100</v>
      </c>
      <c r="AN4552">
        <v>2200</v>
      </c>
      <c r="AO4552" t="s">
        <v>118</v>
      </c>
      <c r="AP4552">
        <v>-140</v>
      </c>
      <c r="AQ4552">
        <v>-43</v>
      </c>
      <c r="AR4552">
        <v>-192</v>
      </c>
      <c r="AZ4552">
        <v>1200</v>
      </c>
      <c r="BA4552">
        <v>1</v>
      </c>
      <c r="BB4552" t="str">
        <f t="shared" si="2076"/>
        <v xml:space="preserve">N711JA  </v>
      </c>
      <c r="BC4552">
        <v>1</v>
      </c>
      <c r="BE4552">
        <v>0</v>
      </c>
      <c r="BF4552">
        <v>0</v>
      </c>
      <c r="BG4552">
        <v>0</v>
      </c>
      <c r="BH4552">
        <v>2200</v>
      </c>
      <c r="BI4552">
        <v>1</v>
      </c>
      <c r="BJ4552">
        <v>1</v>
      </c>
      <c r="BK4552">
        <v>0</v>
      </c>
      <c r="BL4552">
        <v>0</v>
      </c>
      <c r="BO4552">
        <v>0</v>
      </c>
      <c r="BP4552">
        <v>0</v>
      </c>
      <c r="BW4552" t="str">
        <f t="shared" si="2097"/>
        <v>14:49:35.772</v>
      </c>
      <c r="CJ4552">
        <v>0</v>
      </c>
      <c r="CK4552">
        <v>2</v>
      </c>
      <c r="CL4552">
        <v>0</v>
      </c>
      <c r="CM4552">
        <v>2</v>
      </c>
      <c r="CN4552">
        <v>0</v>
      </c>
      <c r="CO4552">
        <v>7</v>
      </c>
      <c r="CP4552" t="s">
        <v>119</v>
      </c>
      <c r="CQ4552">
        <v>8</v>
      </c>
      <c r="CR4552">
        <v>3</v>
      </c>
      <c r="CW4552">
        <v>9169870</v>
      </c>
      <c r="CY4552">
        <v>1</v>
      </c>
      <c r="CZ4552">
        <v>0</v>
      </c>
      <c r="DA4552">
        <v>1</v>
      </c>
      <c r="DB4552">
        <v>0</v>
      </c>
      <c r="DC4552">
        <v>0</v>
      </c>
      <c r="DD4552">
        <v>1</v>
      </c>
      <c r="DE4552">
        <v>0</v>
      </c>
      <c r="DF4552">
        <v>0</v>
      </c>
      <c r="DG4552">
        <v>0</v>
      </c>
      <c r="DH4552">
        <v>0</v>
      </c>
      <c r="DI4552">
        <v>0</v>
      </c>
    </row>
    <row r="4553" spans="1:113" x14ac:dyDescent="0.3">
      <c r="A4553" t="str">
        <f t="shared" si="2094"/>
        <v>05/12/2020 14:49:17.929</v>
      </c>
      <c r="C4553" t="str">
        <f t="shared" si="2075"/>
        <v>FFDFD3C0</v>
      </c>
      <c r="D4553" t="s">
        <v>131</v>
      </c>
      <c r="E4553">
        <v>10</v>
      </c>
      <c r="F4553">
        <v>2010</v>
      </c>
      <c r="G4553" t="s">
        <v>132</v>
      </c>
      <c r="J4553" t="s">
        <v>133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 t="shared" si="2095"/>
        <v>14:49:35.766</v>
      </c>
      <c r="T4553" t="str">
        <f t="shared" si="2096"/>
        <v>14:49:35.566</v>
      </c>
      <c r="U4553" t="str">
        <f t="shared" si="2093"/>
        <v>A9808D</v>
      </c>
      <c r="V4553">
        <v>0</v>
      </c>
      <c r="W4553">
        <v>0</v>
      </c>
      <c r="X4553">
        <v>1</v>
      </c>
      <c r="Z4553">
        <v>0</v>
      </c>
      <c r="AA4553">
        <v>9</v>
      </c>
      <c r="AB4553">
        <v>3</v>
      </c>
      <c r="AC4553">
        <v>0</v>
      </c>
      <c r="AD4553">
        <v>10</v>
      </c>
      <c r="AE4553">
        <v>0</v>
      </c>
      <c r="AF4553">
        <v>3</v>
      </c>
      <c r="AG4553">
        <v>2</v>
      </c>
      <c r="AH4553">
        <v>0</v>
      </c>
      <c r="AI4553" t="s">
        <v>1021</v>
      </c>
      <c r="AJ4553">
        <v>28.245356000000001</v>
      </c>
      <c r="AK4553" t="s">
        <v>1022</v>
      </c>
      <c r="AL4553">
        <v>-82.333967999999999</v>
      </c>
      <c r="AM4553">
        <v>100</v>
      </c>
      <c r="AN4553">
        <v>2200</v>
      </c>
      <c r="AO4553" t="s">
        <v>118</v>
      </c>
      <c r="AP4553">
        <v>-140</v>
      </c>
      <c r="AQ4553">
        <v>-43</v>
      </c>
      <c r="AR4553">
        <v>-192</v>
      </c>
      <c r="AZ4553">
        <v>1200</v>
      </c>
      <c r="BA4553">
        <v>1</v>
      </c>
      <c r="BB4553" t="str">
        <f t="shared" si="2076"/>
        <v xml:space="preserve">N711JA  </v>
      </c>
      <c r="BC4553">
        <v>1</v>
      </c>
      <c r="BE4553">
        <v>0</v>
      </c>
      <c r="BF4553">
        <v>0</v>
      </c>
      <c r="BG4553">
        <v>0</v>
      </c>
      <c r="BH4553">
        <v>2200</v>
      </c>
      <c r="BI4553">
        <v>1</v>
      </c>
      <c r="BJ4553">
        <v>1</v>
      </c>
      <c r="BK4553">
        <v>0</v>
      </c>
      <c r="BL4553">
        <v>0</v>
      </c>
      <c r="BO4553">
        <v>0</v>
      </c>
      <c r="BP4553">
        <v>0</v>
      </c>
      <c r="BW4553" t="str">
        <f t="shared" si="2097"/>
        <v>14:49:35.772</v>
      </c>
      <c r="CJ4553">
        <v>0</v>
      </c>
      <c r="CK4553">
        <v>2</v>
      </c>
      <c r="CL4553">
        <v>0</v>
      </c>
      <c r="CM4553">
        <v>2</v>
      </c>
      <c r="CN4553">
        <v>0</v>
      </c>
      <c r="CO4553">
        <v>7</v>
      </c>
      <c r="CP4553" t="s">
        <v>119</v>
      </c>
      <c r="CQ4553">
        <v>8</v>
      </c>
      <c r="CR4553">
        <v>3</v>
      </c>
      <c r="CW4553">
        <v>9169870</v>
      </c>
      <c r="CY4553">
        <v>1</v>
      </c>
      <c r="CZ4553">
        <v>0</v>
      </c>
      <c r="DA4553">
        <v>1</v>
      </c>
      <c r="DB4553">
        <v>0</v>
      </c>
      <c r="DC4553">
        <v>0</v>
      </c>
      <c r="DD4553">
        <v>1</v>
      </c>
      <c r="DE4553">
        <v>0</v>
      </c>
      <c r="DF4553">
        <v>0</v>
      </c>
      <c r="DG4553">
        <v>0</v>
      </c>
      <c r="DH4553">
        <v>0</v>
      </c>
      <c r="DI4553">
        <v>0</v>
      </c>
    </row>
    <row r="4554" spans="1:113" x14ac:dyDescent="0.3">
      <c r="A4554" t="str">
        <f t="shared" si="2094"/>
        <v>05/12/2020 14:49:17.929</v>
      </c>
      <c r="C4554" t="str">
        <f t="shared" si="2075"/>
        <v>FFDFD3C0</v>
      </c>
      <c r="D4554" t="s">
        <v>131</v>
      </c>
      <c r="E4554">
        <v>12</v>
      </c>
      <c r="F4554">
        <v>2012</v>
      </c>
      <c r="G4554" t="s">
        <v>137</v>
      </c>
      <c r="J4554" t="s">
        <v>133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 t="shared" si="2095"/>
        <v>14:49:35.766</v>
      </c>
      <c r="T4554" t="str">
        <f t="shared" si="2096"/>
        <v>14:49:35.566</v>
      </c>
      <c r="U4554" t="str">
        <f t="shared" si="2093"/>
        <v>A9808D</v>
      </c>
      <c r="V4554">
        <v>0</v>
      </c>
      <c r="W4554">
        <v>0</v>
      </c>
      <c r="X4554">
        <v>1</v>
      </c>
      <c r="Z4554">
        <v>0</v>
      </c>
      <c r="AA4554">
        <v>9</v>
      </c>
      <c r="AB4554">
        <v>3</v>
      </c>
      <c r="AC4554">
        <v>0</v>
      </c>
      <c r="AD4554">
        <v>10</v>
      </c>
      <c r="AE4554">
        <v>0</v>
      </c>
      <c r="AF4554">
        <v>3</v>
      </c>
      <c r="AG4554">
        <v>2</v>
      </c>
      <c r="AH4554">
        <v>0</v>
      </c>
      <c r="AI4554" t="s">
        <v>1021</v>
      </c>
      <c r="AJ4554">
        <v>28.245356000000001</v>
      </c>
      <c r="AK4554" t="s">
        <v>1022</v>
      </c>
      <c r="AL4554">
        <v>-82.333967999999999</v>
      </c>
      <c r="AM4554">
        <v>100</v>
      </c>
      <c r="AN4554">
        <v>2200</v>
      </c>
      <c r="AO4554" t="s">
        <v>118</v>
      </c>
      <c r="AP4554">
        <v>-140</v>
      </c>
      <c r="AQ4554">
        <v>-43</v>
      </c>
      <c r="AR4554">
        <v>-192</v>
      </c>
      <c r="AZ4554">
        <v>1200</v>
      </c>
      <c r="BA4554">
        <v>1</v>
      </c>
      <c r="BB4554" t="str">
        <f t="shared" si="2076"/>
        <v xml:space="preserve">N711JA  </v>
      </c>
      <c r="BC4554">
        <v>1</v>
      </c>
      <c r="BE4554">
        <v>0</v>
      </c>
      <c r="BF4554">
        <v>0</v>
      </c>
      <c r="BG4554">
        <v>0</v>
      </c>
      <c r="BH4554">
        <v>2200</v>
      </c>
      <c r="BI4554">
        <v>1</v>
      </c>
      <c r="BJ4554">
        <v>1</v>
      </c>
      <c r="BK4554">
        <v>0</v>
      </c>
      <c r="BL4554">
        <v>0</v>
      </c>
      <c r="BO4554">
        <v>0</v>
      </c>
      <c r="BP4554">
        <v>0</v>
      </c>
      <c r="BW4554" t="str">
        <f t="shared" si="2097"/>
        <v>14:49:35.772</v>
      </c>
      <c r="CJ4554">
        <v>0</v>
      </c>
      <c r="CK4554">
        <v>2</v>
      </c>
      <c r="CL4554">
        <v>0</v>
      </c>
      <c r="CM4554">
        <v>2</v>
      </c>
      <c r="CN4554">
        <v>0</v>
      </c>
      <c r="CO4554">
        <v>7</v>
      </c>
      <c r="CP4554" t="s">
        <v>119</v>
      </c>
      <c r="CQ4554">
        <v>8</v>
      </c>
      <c r="CR4554">
        <v>3</v>
      </c>
      <c r="CW4554">
        <v>9169870</v>
      </c>
      <c r="CY4554">
        <v>1</v>
      </c>
      <c r="CZ4554">
        <v>0</v>
      </c>
      <c r="DA4554">
        <v>1</v>
      </c>
      <c r="DB4554">
        <v>0</v>
      </c>
      <c r="DC4554">
        <v>0</v>
      </c>
      <c r="DD4554">
        <v>1</v>
      </c>
      <c r="DE4554">
        <v>0</v>
      </c>
      <c r="DF4554">
        <v>0</v>
      </c>
      <c r="DG4554">
        <v>0</v>
      </c>
      <c r="DH4554">
        <v>0</v>
      </c>
      <c r="DI4554">
        <v>0</v>
      </c>
    </row>
    <row r="4555" spans="1:113" x14ac:dyDescent="0.3">
      <c r="A4555" t="str">
        <f t="shared" si="2094"/>
        <v>05/12/2020 14:49:17.929</v>
      </c>
      <c r="C4555" t="str">
        <f t="shared" si="2075"/>
        <v>FFDFD3C0</v>
      </c>
      <c r="D4555" t="s">
        <v>131</v>
      </c>
      <c r="E4555">
        <v>18</v>
      </c>
      <c r="F4555">
        <v>2018</v>
      </c>
      <c r="G4555" t="s">
        <v>161</v>
      </c>
      <c r="J4555" t="s">
        <v>133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 t="shared" si="2095"/>
        <v>14:49:35.766</v>
      </c>
      <c r="T4555" t="str">
        <f t="shared" si="2096"/>
        <v>14:49:35.566</v>
      </c>
      <c r="U4555" t="str">
        <f t="shared" si="2093"/>
        <v>A9808D</v>
      </c>
      <c r="V4555">
        <v>0</v>
      </c>
      <c r="W4555">
        <v>0</v>
      </c>
      <c r="X4555">
        <v>1</v>
      </c>
      <c r="Z4555">
        <v>0</v>
      </c>
      <c r="AA4555">
        <v>9</v>
      </c>
      <c r="AB4555">
        <v>3</v>
      </c>
      <c r="AC4555">
        <v>0</v>
      </c>
      <c r="AD4555">
        <v>10</v>
      </c>
      <c r="AE4555">
        <v>0</v>
      </c>
      <c r="AF4555">
        <v>3</v>
      </c>
      <c r="AG4555">
        <v>2</v>
      </c>
      <c r="AH4555">
        <v>0</v>
      </c>
      <c r="AI4555" t="s">
        <v>1021</v>
      </c>
      <c r="AJ4555">
        <v>28.245356000000001</v>
      </c>
      <c r="AK4555" t="s">
        <v>1022</v>
      </c>
      <c r="AL4555">
        <v>-82.333967999999999</v>
      </c>
      <c r="AM4555">
        <v>100</v>
      </c>
      <c r="AN4555">
        <v>2200</v>
      </c>
      <c r="AO4555" t="s">
        <v>118</v>
      </c>
      <c r="AP4555">
        <v>-140</v>
      </c>
      <c r="AQ4555">
        <v>-43</v>
      </c>
      <c r="AR4555">
        <v>-192</v>
      </c>
      <c r="AZ4555">
        <v>1200</v>
      </c>
      <c r="BA4555">
        <v>1</v>
      </c>
      <c r="BB4555" t="str">
        <f t="shared" si="2076"/>
        <v xml:space="preserve">N711JA  </v>
      </c>
      <c r="BC4555">
        <v>1</v>
      </c>
      <c r="BE4555">
        <v>0</v>
      </c>
      <c r="BF4555">
        <v>0</v>
      </c>
      <c r="BG4555">
        <v>0</v>
      </c>
      <c r="BH4555">
        <v>2200</v>
      </c>
      <c r="BI4555">
        <v>1</v>
      </c>
      <c r="BJ4555">
        <v>1</v>
      </c>
      <c r="BK4555">
        <v>0</v>
      </c>
      <c r="BL4555">
        <v>0</v>
      </c>
      <c r="BO4555">
        <v>0</v>
      </c>
      <c r="BP4555">
        <v>0</v>
      </c>
      <c r="BW4555" t="str">
        <f t="shared" si="2097"/>
        <v>14:49:35.772</v>
      </c>
      <c r="CJ4555">
        <v>0</v>
      </c>
      <c r="CK4555">
        <v>2</v>
      </c>
      <c r="CL4555">
        <v>0</v>
      </c>
      <c r="CM4555">
        <v>2</v>
      </c>
      <c r="CN4555">
        <v>0</v>
      </c>
      <c r="CO4555">
        <v>7</v>
      </c>
      <c r="CP4555" t="s">
        <v>119</v>
      </c>
      <c r="CQ4555">
        <v>343</v>
      </c>
      <c r="CR4555">
        <v>1</v>
      </c>
      <c r="CW4555">
        <v>11046341</v>
      </c>
      <c r="CY4555">
        <v>1</v>
      </c>
      <c r="CZ4555">
        <v>0</v>
      </c>
      <c r="DA4555">
        <v>1</v>
      </c>
      <c r="DB4555">
        <v>0</v>
      </c>
      <c r="DC4555">
        <v>0</v>
      </c>
      <c r="DD4555">
        <v>1</v>
      </c>
      <c r="DE4555">
        <v>0</v>
      </c>
      <c r="DF4555">
        <v>0</v>
      </c>
      <c r="DG4555">
        <v>0</v>
      </c>
      <c r="DH4555">
        <v>0</v>
      </c>
      <c r="DI4555">
        <v>0</v>
      </c>
    </row>
    <row r="4556" spans="1:113" x14ac:dyDescent="0.3">
      <c r="A4556" t="str">
        <f t="shared" si="2094"/>
        <v>05/12/2020 14:49:17.929</v>
      </c>
      <c r="C4556" t="str">
        <f t="shared" si="2075"/>
        <v>FFDFD3C0</v>
      </c>
      <c r="D4556" t="s">
        <v>126</v>
      </c>
      <c r="E4556">
        <v>6</v>
      </c>
      <c r="F4556">
        <v>1006</v>
      </c>
      <c r="G4556" t="s">
        <v>114</v>
      </c>
      <c r="J4556" t="s">
        <v>128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 t="shared" si="2095"/>
        <v>14:49:35.766</v>
      </c>
      <c r="T4556" t="str">
        <f t="shared" si="2096"/>
        <v>14:49:35.566</v>
      </c>
      <c r="U4556" t="str">
        <f t="shared" si="2093"/>
        <v>A9808D</v>
      </c>
      <c r="V4556">
        <v>0</v>
      </c>
      <c r="W4556">
        <v>0</v>
      </c>
      <c r="X4556">
        <v>1</v>
      </c>
      <c r="Z4556">
        <v>0</v>
      </c>
      <c r="AA4556">
        <v>9</v>
      </c>
      <c r="AB4556">
        <v>3</v>
      </c>
      <c r="AC4556">
        <v>0</v>
      </c>
      <c r="AD4556">
        <v>10</v>
      </c>
      <c r="AE4556">
        <v>0</v>
      </c>
      <c r="AF4556">
        <v>3</v>
      </c>
      <c r="AG4556">
        <v>2</v>
      </c>
      <c r="AH4556">
        <v>0</v>
      </c>
      <c r="AI4556" t="s">
        <v>1021</v>
      </c>
      <c r="AJ4556">
        <v>28.245356000000001</v>
      </c>
      <c r="AK4556" t="s">
        <v>1022</v>
      </c>
      <c r="AL4556">
        <v>-82.333967999999999</v>
      </c>
      <c r="AM4556">
        <v>100</v>
      </c>
      <c r="AN4556">
        <v>2200</v>
      </c>
      <c r="AO4556" t="s">
        <v>118</v>
      </c>
      <c r="AP4556">
        <v>-140</v>
      </c>
      <c r="AQ4556">
        <v>-43</v>
      </c>
      <c r="AR4556">
        <v>-192</v>
      </c>
      <c r="AZ4556">
        <v>1200</v>
      </c>
      <c r="BA4556">
        <v>1</v>
      </c>
      <c r="BB4556" t="str">
        <f t="shared" si="2076"/>
        <v xml:space="preserve">N711JA  </v>
      </c>
      <c r="BC4556">
        <v>1</v>
      </c>
      <c r="BE4556">
        <v>0</v>
      </c>
      <c r="BF4556">
        <v>0</v>
      </c>
      <c r="BG4556">
        <v>0</v>
      </c>
      <c r="BH4556">
        <v>2200</v>
      </c>
      <c r="BI4556">
        <v>1</v>
      </c>
      <c r="BJ4556">
        <v>1</v>
      </c>
      <c r="BK4556">
        <v>0</v>
      </c>
      <c r="BL4556">
        <v>0</v>
      </c>
      <c r="BO4556">
        <v>0</v>
      </c>
      <c r="BP4556">
        <v>0</v>
      </c>
      <c r="BW4556" t="str">
        <f t="shared" si="2097"/>
        <v>14:49:35.772</v>
      </c>
      <c r="CJ4556">
        <v>0</v>
      </c>
      <c r="CK4556">
        <v>2</v>
      </c>
      <c r="CL4556">
        <v>0</v>
      </c>
      <c r="CM4556">
        <v>2</v>
      </c>
      <c r="CN4556">
        <v>0</v>
      </c>
      <c r="CO4556">
        <v>7</v>
      </c>
      <c r="CP4556" t="s">
        <v>119</v>
      </c>
      <c r="CQ4556">
        <v>8</v>
      </c>
      <c r="CR4556">
        <v>3</v>
      </c>
      <c r="CW4556">
        <v>9169870</v>
      </c>
      <c r="CY4556">
        <v>1</v>
      </c>
      <c r="CZ4556">
        <v>0</v>
      </c>
      <c r="DA4556">
        <v>1</v>
      </c>
      <c r="DB4556">
        <v>0</v>
      </c>
      <c r="DC4556">
        <v>0</v>
      </c>
      <c r="DD4556">
        <v>1</v>
      </c>
      <c r="DE4556">
        <v>0</v>
      </c>
      <c r="DF4556">
        <v>0</v>
      </c>
      <c r="DG4556">
        <v>0</v>
      </c>
      <c r="DH4556">
        <v>0</v>
      </c>
      <c r="DI4556">
        <v>0</v>
      </c>
    </row>
    <row r="4557" spans="1:113" x14ac:dyDescent="0.3">
      <c r="A4557" t="str">
        <f t="shared" si="2094"/>
        <v>05/12/2020 14:49:17.929</v>
      </c>
      <c r="C4557" t="str">
        <f t="shared" si="2075"/>
        <v>FFDFD3C0</v>
      </c>
      <c r="D4557" t="s">
        <v>134</v>
      </c>
      <c r="E4557">
        <v>12</v>
      </c>
      <c r="H4557">
        <v>64</v>
      </c>
      <c r="I4557" t="s">
        <v>135</v>
      </c>
      <c r="J4557" t="s">
        <v>136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 t="shared" si="2095"/>
        <v>14:49:35.766</v>
      </c>
      <c r="T4557" t="str">
        <f t="shared" si="2096"/>
        <v>14:49:35.566</v>
      </c>
      <c r="U4557" t="str">
        <f t="shared" si="2093"/>
        <v>A9808D</v>
      </c>
      <c r="V4557">
        <v>0</v>
      </c>
      <c r="W4557">
        <v>0</v>
      </c>
      <c r="X4557">
        <v>1</v>
      </c>
      <c r="Z4557">
        <v>0</v>
      </c>
      <c r="AA4557">
        <v>9</v>
      </c>
      <c r="AB4557">
        <v>3</v>
      </c>
      <c r="AC4557">
        <v>0</v>
      </c>
      <c r="AD4557">
        <v>10</v>
      </c>
      <c r="AE4557">
        <v>0</v>
      </c>
      <c r="AF4557">
        <v>3</v>
      </c>
      <c r="AG4557">
        <v>2</v>
      </c>
      <c r="AH4557">
        <v>0</v>
      </c>
      <c r="AI4557" t="s">
        <v>1021</v>
      </c>
      <c r="AJ4557">
        <v>28.245356000000001</v>
      </c>
      <c r="AK4557" t="s">
        <v>1022</v>
      </c>
      <c r="AL4557">
        <v>-82.333967999999999</v>
      </c>
      <c r="AM4557">
        <v>100</v>
      </c>
      <c r="AN4557">
        <v>2200</v>
      </c>
      <c r="AO4557" t="s">
        <v>118</v>
      </c>
      <c r="AP4557">
        <v>-140</v>
      </c>
      <c r="AQ4557">
        <v>-43</v>
      </c>
      <c r="AR4557">
        <v>-192</v>
      </c>
      <c r="AZ4557">
        <v>1200</v>
      </c>
      <c r="BA4557">
        <v>1</v>
      </c>
      <c r="BB4557" t="str">
        <f t="shared" si="2076"/>
        <v xml:space="preserve">N711JA  </v>
      </c>
      <c r="BC4557">
        <v>1</v>
      </c>
      <c r="BE4557">
        <v>0</v>
      </c>
      <c r="BF4557">
        <v>0</v>
      </c>
      <c r="BG4557">
        <v>0</v>
      </c>
      <c r="BH4557">
        <v>2200</v>
      </c>
      <c r="BI4557">
        <v>1</v>
      </c>
      <c r="BJ4557">
        <v>1</v>
      </c>
      <c r="BK4557">
        <v>0</v>
      </c>
      <c r="BL4557">
        <v>0</v>
      </c>
      <c r="BO4557">
        <v>0</v>
      </c>
      <c r="BP4557">
        <v>0</v>
      </c>
      <c r="BW4557" t="str">
        <f t="shared" si="2097"/>
        <v>14:49:35.772</v>
      </c>
      <c r="CJ4557">
        <v>0</v>
      </c>
      <c r="CK4557">
        <v>2</v>
      </c>
      <c r="CL4557">
        <v>0</v>
      </c>
      <c r="CM4557">
        <v>2</v>
      </c>
      <c r="CN4557">
        <v>0</v>
      </c>
      <c r="CO4557">
        <v>7</v>
      </c>
      <c r="CP4557" t="s">
        <v>119</v>
      </c>
      <c r="CQ4557">
        <v>8</v>
      </c>
      <c r="CR4557">
        <v>3</v>
      </c>
      <c r="CW4557">
        <v>9169870</v>
      </c>
      <c r="CY4557">
        <v>1</v>
      </c>
      <c r="CZ4557">
        <v>0</v>
      </c>
      <c r="DA4557">
        <v>1</v>
      </c>
      <c r="DB4557">
        <v>0</v>
      </c>
      <c r="DC4557">
        <v>0</v>
      </c>
      <c r="DD4557">
        <v>1</v>
      </c>
      <c r="DE4557">
        <v>0</v>
      </c>
      <c r="DF4557">
        <v>0</v>
      </c>
      <c r="DG4557">
        <v>0</v>
      </c>
      <c r="DH4557">
        <v>0</v>
      </c>
      <c r="DI4557">
        <v>0</v>
      </c>
    </row>
    <row r="4558" spans="1:113" x14ac:dyDescent="0.3">
      <c r="A4558" t="str">
        <f t="shared" si="2094"/>
        <v>05/12/2020 14:49:17.929</v>
      </c>
      <c r="C4558" t="str">
        <f t="shared" si="2075"/>
        <v>FFDFD3C0</v>
      </c>
      <c r="D4558" t="s">
        <v>138</v>
      </c>
      <c r="E4558">
        <v>2</v>
      </c>
      <c r="H4558">
        <v>8</v>
      </c>
      <c r="I4558" t="s">
        <v>139</v>
      </c>
      <c r="J4558" t="s">
        <v>136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 t="shared" si="2095"/>
        <v>14:49:35.766</v>
      </c>
      <c r="T4558" t="str">
        <f t="shared" si="2096"/>
        <v>14:49:35.566</v>
      </c>
      <c r="U4558" t="str">
        <f t="shared" si="2093"/>
        <v>A9808D</v>
      </c>
      <c r="V4558">
        <v>0</v>
      </c>
      <c r="W4558">
        <v>0</v>
      </c>
      <c r="X4558">
        <v>1</v>
      </c>
      <c r="Z4558">
        <v>0</v>
      </c>
      <c r="AA4558">
        <v>9</v>
      </c>
      <c r="AB4558">
        <v>3</v>
      </c>
      <c r="AC4558">
        <v>0</v>
      </c>
      <c r="AD4558">
        <v>10</v>
      </c>
      <c r="AE4558">
        <v>0</v>
      </c>
      <c r="AF4558">
        <v>3</v>
      </c>
      <c r="AG4558">
        <v>2</v>
      </c>
      <c r="AH4558">
        <v>0</v>
      </c>
      <c r="AI4558" t="s">
        <v>1021</v>
      </c>
      <c r="AJ4558">
        <v>28.245356000000001</v>
      </c>
      <c r="AK4558" t="s">
        <v>1022</v>
      </c>
      <c r="AL4558">
        <v>-82.333967999999999</v>
      </c>
      <c r="AM4558">
        <v>100</v>
      </c>
      <c r="AN4558">
        <v>2200</v>
      </c>
      <c r="AO4558" t="s">
        <v>118</v>
      </c>
      <c r="AP4558">
        <v>-140</v>
      </c>
      <c r="AQ4558">
        <v>-43</v>
      </c>
      <c r="AR4558">
        <v>-192</v>
      </c>
      <c r="AZ4558">
        <v>1200</v>
      </c>
      <c r="BA4558">
        <v>1</v>
      </c>
      <c r="BB4558" t="str">
        <f t="shared" si="2076"/>
        <v xml:space="preserve">N711JA  </v>
      </c>
      <c r="BC4558">
        <v>1</v>
      </c>
      <c r="BE4558">
        <v>0</v>
      </c>
      <c r="BF4558">
        <v>0</v>
      </c>
      <c r="BG4558">
        <v>0</v>
      </c>
      <c r="BH4558">
        <v>2200</v>
      </c>
      <c r="BI4558">
        <v>1</v>
      </c>
      <c r="BJ4558">
        <v>1</v>
      </c>
      <c r="BK4558">
        <v>0</v>
      </c>
      <c r="BL4558">
        <v>0</v>
      </c>
      <c r="BO4558">
        <v>0</v>
      </c>
      <c r="BP4558">
        <v>0</v>
      </c>
      <c r="BW4558" t="str">
        <f t="shared" si="2097"/>
        <v>14:49:35.772</v>
      </c>
      <c r="CJ4558">
        <v>0</v>
      </c>
      <c r="CK4558">
        <v>2</v>
      </c>
      <c r="CL4558">
        <v>0</v>
      </c>
      <c r="CM4558">
        <v>2</v>
      </c>
      <c r="CN4558">
        <v>0</v>
      </c>
      <c r="CO4558">
        <v>7</v>
      </c>
      <c r="CP4558" t="s">
        <v>119</v>
      </c>
      <c r="CQ4558">
        <v>8</v>
      </c>
      <c r="CR4558">
        <v>3</v>
      </c>
      <c r="CW4558">
        <v>9169870</v>
      </c>
      <c r="CY4558">
        <v>1</v>
      </c>
      <c r="CZ4558">
        <v>0</v>
      </c>
      <c r="DA4558">
        <v>1</v>
      </c>
      <c r="DB4558">
        <v>0</v>
      </c>
      <c r="DC4558">
        <v>0</v>
      </c>
      <c r="DD4558">
        <v>1</v>
      </c>
      <c r="DE4558">
        <v>0</v>
      </c>
      <c r="DF4558">
        <v>0</v>
      </c>
      <c r="DG4558">
        <v>0</v>
      </c>
      <c r="DH4558">
        <v>0</v>
      </c>
      <c r="DI4558">
        <v>0</v>
      </c>
    </row>
    <row r="4559" spans="1:113" x14ac:dyDescent="0.3">
      <c r="A4559" t="str">
        <f t="shared" si="2094"/>
        <v>05/12/2020 14:49:17.929</v>
      </c>
      <c r="C4559" t="str">
        <f t="shared" si="2075"/>
        <v>FFDFD3C0</v>
      </c>
      <c r="D4559" t="s">
        <v>138</v>
      </c>
      <c r="E4559">
        <v>3</v>
      </c>
      <c r="H4559">
        <v>9</v>
      </c>
      <c r="I4559" t="s">
        <v>140</v>
      </c>
      <c r="J4559" t="s">
        <v>136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 t="shared" si="2095"/>
        <v>14:49:35.766</v>
      </c>
      <c r="T4559" t="str">
        <f t="shared" si="2096"/>
        <v>14:49:35.566</v>
      </c>
      <c r="U4559" t="str">
        <f t="shared" si="2093"/>
        <v>A9808D</v>
      </c>
      <c r="V4559">
        <v>0</v>
      </c>
      <c r="W4559">
        <v>0</v>
      </c>
      <c r="X4559">
        <v>1</v>
      </c>
      <c r="Z4559">
        <v>0</v>
      </c>
      <c r="AA4559">
        <v>9</v>
      </c>
      <c r="AB4559">
        <v>3</v>
      </c>
      <c r="AC4559">
        <v>0</v>
      </c>
      <c r="AD4559">
        <v>10</v>
      </c>
      <c r="AE4559">
        <v>0</v>
      </c>
      <c r="AF4559">
        <v>3</v>
      </c>
      <c r="AG4559">
        <v>2</v>
      </c>
      <c r="AH4559">
        <v>0</v>
      </c>
      <c r="AI4559" t="s">
        <v>1021</v>
      </c>
      <c r="AJ4559">
        <v>28.245356000000001</v>
      </c>
      <c r="AK4559" t="s">
        <v>1022</v>
      </c>
      <c r="AL4559">
        <v>-82.333967999999999</v>
      </c>
      <c r="AM4559">
        <v>100</v>
      </c>
      <c r="AN4559">
        <v>2200</v>
      </c>
      <c r="AO4559" t="s">
        <v>118</v>
      </c>
      <c r="AP4559">
        <v>-140</v>
      </c>
      <c r="AQ4559">
        <v>-43</v>
      </c>
      <c r="AR4559">
        <v>-192</v>
      </c>
      <c r="AZ4559">
        <v>1200</v>
      </c>
      <c r="BA4559">
        <v>1</v>
      </c>
      <c r="BB4559" t="str">
        <f t="shared" si="2076"/>
        <v xml:space="preserve">N711JA  </v>
      </c>
      <c r="BC4559">
        <v>1</v>
      </c>
      <c r="BE4559">
        <v>0</v>
      </c>
      <c r="BF4559">
        <v>0</v>
      </c>
      <c r="BG4559">
        <v>0</v>
      </c>
      <c r="BH4559">
        <v>2200</v>
      </c>
      <c r="BI4559">
        <v>1</v>
      </c>
      <c r="BJ4559">
        <v>1</v>
      </c>
      <c r="BK4559">
        <v>0</v>
      </c>
      <c r="BL4559">
        <v>0</v>
      </c>
      <c r="BO4559">
        <v>0</v>
      </c>
      <c r="BP4559">
        <v>0</v>
      </c>
      <c r="BW4559" t="str">
        <f t="shared" si="2097"/>
        <v>14:49:35.772</v>
      </c>
      <c r="CJ4559">
        <v>0</v>
      </c>
      <c r="CK4559">
        <v>2</v>
      </c>
      <c r="CL4559">
        <v>0</v>
      </c>
      <c r="CM4559">
        <v>2</v>
      </c>
      <c r="CN4559">
        <v>0</v>
      </c>
      <c r="CO4559">
        <v>7</v>
      </c>
      <c r="CP4559" t="s">
        <v>119</v>
      </c>
      <c r="CQ4559">
        <v>8</v>
      </c>
      <c r="CR4559">
        <v>3</v>
      </c>
      <c r="CW4559">
        <v>9169870</v>
      </c>
      <c r="CY4559">
        <v>1</v>
      </c>
      <c r="CZ4559">
        <v>0</v>
      </c>
      <c r="DA4559">
        <v>1</v>
      </c>
      <c r="DB4559">
        <v>0</v>
      </c>
      <c r="DC4559">
        <v>0</v>
      </c>
      <c r="DD4559">
        <v>1</v>
      </c>
      <c r="DE4559">
        <v>0</v>
      </c>
      <c r="DF4559">
        <v>0</v>
      </c>
      <c r="DG4559">
        <v>0</v>
      </c>
      <c r="DH4559">
        <v>0</v>
      </c>
      <c r="DI4559">
        <v>0</v>
      </c>
    </row>
    <row r="4560" spans="1:113" x14ac:dyDescent="0.3">
      <c r="A4560" t="str">
        <f t="shared" ref="A4560:A4568" si="2098">"05/12/2020 14:49:19.038"</f>
        <v>05/12/2020 14:49:19.038</v>
      </c>
      <c r="C4560" t="str">
        <f t="shared" si="2075"/>
        <v>FFDFD3C0</v>
      </c>
      <c r="D4560" t="s">
        <v>138</v>
      </c>
      <c r="E4560">
        <v>2</v>
      </c>
      <c r="H4560">
        <v>8</v>
      </c>
      <c r="I4560" t="s">
        <v>139</v>
      </c>
      <c r="J4560" t="s">
        <v>136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 t="shared" ref="S4560:S4568" si="2099">"14:49:36.867"</f>
        <v>14:49:36.867</v>
      </c>
      <c r="T4560" t="str">
        <f t="shared" ref="T4560:T4568" si="2100">"14:49:36.467"</f>
        <v>14:49:36.467</v>
      </c>
      <c r="U4560" t="str">
        <f t="shared" si="2093"/>
        <v>A9808D</v>
      </c>
      <c r="V4560">
        <v>0</v>
      </c>
      <c r="W4560">
        <v>0</v>
      </c>
      <c r="X4560">
        <v>1</v>
      </c>
      <c r="Z4560">
        <v>0</v>
      </c>
      <c r="AA4560">
        <v>9</v>
      </c>
      <c r="AB4560">
        <v>3</v>
      </c>
      <c r="AC4560">
        <v>0</v>
      </c>
      <c r="AD4560">
        <v>10</v>
      </c>
      <c r="AE4560">
        <v>0</v>
      </c>
      <c r="AF4560">
        <v>3</v>
      </c>
      <c r="AG4560">
        <v>2</v>
      </c>
      <c r="AH4560">
        <v>0</v>
      </c>
      <c r="AI4560" t="s">
        <v>220</v>
      </c>
      <c r="AJ4560">
        <v>28.24512</v>
      </c>
      <c r="AK4560" t="s">
        <v>1023</v>
      </c>
      <c r="AL4560">
        <v>-82.334761999999998</v>
      </c>
      <c r="AM4560">
        <v>100</v>
      </c>
      <c r="AN4560">
        <v>2200</v>
      </c>
      <c r="AO4560" t="s">
        <v>118</v>
      </c>
      <c r="AP4560">
        <v>-141</v>
      </c>
      <c r="AQ4560">
        <v>-42</v>
      </c>
      <c r="AR4560">
        <v>-192</v>
      </c>
      <c r="AZ4560">
        <v>1200</v>
      </c>
      <c r="BA4560">
        <v>1</v>
      </c>
      <c r="BB4560" t="str">
        <f t="shared" si="2076"/>
        <v xml:space="preserve">N711JA  </v>
      </c>
      <c r="BC4560">
        <v>1</v>
      </c>
      <c r="BE4560">
        <v>0</v>
      </c>
      <c r="BF4560">
        <v>0</v>
      </c>
      <c r="BG4560">
        <v>0</v>
      </c>
      <c r="BH4560">
        <v>2200</v>
      </c>
      <c r="BI4560">
        <v>1</v>
      </c>
      <c r="BJ4560">
        <v>1</v>
      </c>
      <c r="BK4560">
        <v>0</v>
      </c>
      <c r="BL4560">
        <v>0</v>
      </c>
      <c r="BO4560">
        <v>0</v>
      </c>
      <c r="BP4560">
        <v>0</v>
      </c>
      <c r="BW4560" t="str">
        <f t="shared" ref="BW4560:BW4565" si="2101">"14:49:36.869"</f>
        <v>14:49:36.869</v>
      </c>
      <c r="CJ4560">
        <v>0</v>
      </c>
      <c r="CK4560">
        <v>2</v>
      </c>
      <c r="CL4560">
        <v>0</v>
      </c>
      <c r="CM4560">
        <v>2</v>
      </c>
      <c r="CN4560">
        <v>0</v>
      </c>
      <c r="CO4560">
        <v>7</v>
      </c>
      <c r="CP4560" t="s">
        <v>119</v>
      </c>
      <c r="CQ4560">
        <v>8</v>
      </c>
      <c r="CR4560">
        <v>3</v>
      </c>
      <c r="CW4560">
        <v>9170977</v>
      </c>
      <c r="CY4560">
        <v>1</v>
      </c>
      <c r="CZ4560">
        <v>0</v>
      </c>
      <c r="DA4560">
        <v>0</v>
      </c>
      <c r="DB4560">
        <v>0</v>
      </c>
      <c r="DC4560">
        <v>0</v>
      </c>
      <c r="DD4560">
        <v>1</v>
      </c>
      <c r="DE4560">
        <v>0</v>
      </c>
      <c r="DF4560">
        <v>0</v>
      </c>
      <c r="DG4560">
        <v>0</v>
      </c>
      <c r="DH4560">
        <v>0</v>
      </c>
      <c r="DI4560">
        <v>0</v>
      </c>
    </row>
    <row r="4561" spans="1:113" x14ac:dyDescent="0.3">
      <c r="A4561" t="str">
        <f t="shared" si="2098"/>
        <v>05/12/2020 14:49:19.038</v>
      </c>
      <c r="C4561" t="str">
        <f t="shared" si="2075"/>
        <v>FFDFD3C0</v>
      </c>
      <c r="D4561" t="s">
        <v>138</v>
      </c>
      <c r="E4561">
        <v>3</v>
      </c>
      <c r="H4561">
        <v>9</v>
      </c>
      <c r="I4561" t="s">
        <v>140</v>
      </c>
      <c r="J4561" t="s">
        <v>136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 t="shared" si="2099"/>
        <v>14:49:36.867</v>
      </c>
      <c r="T4561" t="str">
        <f t="shared" si="2100"/>
        <v>14:49:36.467</v>
      </c>
      <c r="U4561" t="str">
        <f t="shared" si="2093"/>
        <v>A9808D</v>
      </c>
      <c r="V4561">
        <v>0</v>
      </c>
      <c r="W4561">
        <v>0</v>
      </c>
      <c r="X4561">
        <v>1</v>
      </c>
      <c r="Z4561">
        <v>0</v>
      </c>
      <c r="AA4561">
        <v>9</v>
      </c>
      <c r="AB4561">
        <v>3</v>
      </c>
      <c r="AC4561">
        <v>0</v>
      </c>
      <c r="AD4561">
        <v>10</v>
      </c>
      <c r="AE4561">
        <v>0</v>
      </c>
      <c r="AF4561">
        <v>3</v>
      </c>
      <c r="AG4561">
        <v>2</v>
      </c>
      <c r="AH4561">
        <v>0</v>
      </c>
      <c r="AI4561" t="s">
        <v>220</v>
      </c>
      <c r="AJ4561">
        <v>28.24512</v>
      </c>
      <c r="AK4561" t="s">
        <v>1023</v>
      </c>
      <c r="AL4561">
        <v>-82.334761999999998</v>
      </c>
      <c r="AM4561">
        <v>100</v>
      </c>
      <c r="AN4561">
        <v>2200</v>
      </c>
      <c r="AO4561" t="s">
        <v>118</v>
      </c>
      <c r="AP4561">
        <v>-141</v>
      </c>
      <c r="AQ4561">
        <v>-42</v>
      </c>
      <c r="AR4561">
        <v>-192</v>
      </c>
      <c r="AZ4561">
        <v>1200</v>
      </c>
      <c r="BA4561">
        <v>1</v>
      </c>
      <c r="BB4561" t="str">
        <f t="shared" si="2076"/>
        <v xml:space="preserve">N711JA  </v>
      </c>
      <c r="BC4561">
        <v>1</v>
      </c>
      <c r="BE4561">
        <v>0</v>
      </c>
      <c r="BF4561">
        <v>0</v>
      </c>
      <c r="BG4561">
        <v>0</v>
      </c>
      <c r="BH4561">
        <v>2200</v>
      </c>
      <c r="BI4561">
        <v>1</v>
      </c>
      <c r="BJ4561">
        <v>1</v>
      </c>
      <c r="BK4561">
        <v>0</v>
      </c>
      <c r="BL4561">
        <v>0</v>
      </c>
      <c r="BO4561">
        <v>0</v>
      </c>
      <c r="BP4561">
        <v>0</v>
      </c>
      <c r="BW4561" t="str">
        <f t="shared" si="2101"/>
        <v>14:49:36.869</v>
      </c>
      <c r="CJ4561">
        <v>0</v>
      </c>
      <c r="CK4561">
        <v>2</v>
      </c>
      <c r="CL4561">
        <v>0</v>
      </c>
      <c r="CM4561">
        <v>2</v>
      </c>
      <c r="CN4561">
        <v>0</v>
      </c>
      <c r="CO4561">
        <v>7</v>
      </c>
      <c r="CP4561" t="s">
        <v>119</v>
      </c>
      <c r="CQ4561">
        <v>8</v>
      </c>
      <c r="CR4561">
        <v>3</v>
      </c>
      <c r="CW4561">
        <v>9170977</v>
      </c>
      <c r="CY4561">
        <v>1</v>
      </c>
      <c r="CZ4561">
        <v>0</v>
      </c>
      <c r="DA4561">
        <v>1</v>
      </c>
      <c r="DB4561">
        <v>0</v>
      </c>
      <c r="DC4561">
        <v>0</v>
      </c>
      <c r="DD4561">
        <v>1</v>
      </c>
      <c r="DE4561">
        <v>0</v>
      </c>
      <c r="DF4561">
        <v>0</v>
      </c>
      <c r="DG4561">
        <v>0</v>
      </c>
      <c r="DH4561">
        <v>0</v>
      </c>
      <c r="DI4561">
        <v>0</v>
      </c>
    </row>
    <row r="4562" spans="1:113" x14ac:dyDescent="0.3">
      <c r="A4562" t="str">
        <f t="shared" si="2098"/>
        <v>05/12/2020 14:49:19.038</v>
      </c>
      <c r="C4562" t="str">
        <f t="shared" si="2075"/>
        <v>FFDFD3C0</v>
      </c>
      <c r="D4562" t="s">
        <v>126</v>
      </c>
      <c r="E4562">
        <v>7</v>
      </c>
      <c r="F4562">
        <v>1007</v>
      </c>
      <c r="G4562" t="s">
        <v>127</v>
      </c>
      <c r="J4562" t="s">
        <v>128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 t="shared" si="2099"/>
        <v>14:49:36.867</v>
      </c>
      <c r="T4562" t="str">
        <f t="shared" si="2100"/>
        <v>14:49:36.467</v>
      </c>
      <c r="U4562" t="str">
        <f t="shared" si="2093"/>
        <v>A9808D</v>
      </c>
      <c r="V4562">
        <v>0</v>
      </c>
      <c r="W4562">
        <v>0</v>
      </c>
      <c r="X4562">
        <v>1</v>
      </c>
      <c r="Z4562">
        <v>0</v>
      </c>
      <c r="AA4562">
        <v>9</v>
      </c>
      <c r="AB4562">
        <v>3</v>
      </c>
      <c r="AC4562">
        <v>0</v>
      </c>
      <c r="AD4562">
        <v>10</v>
      </c>
      <c r="AE4562">
        <v>0</v>
      </c>
      <c r="AF4562">
        <v>3</v>
      </c>
      <c r="AG4562">
        <v>2</v>
      </c>
      <c r="AH4562">
        <v>0</v>
      </c>
      <c r="AI4562" t="s">
        <v>220</v>
      </c>
      <c r="AJ4562">
        <v>28.24512</v>
      </c>
      <c r="AK4562" t="s">
        <v>1023</v>
      </c>
      <c r="AL4562">
        <v>-82.334761999999998</v>
      </c>
      <c r="AM4562">
        <v>100</v>
      </c>
      <c r="AN4562">
        <v>2200</v>
      </c>
      <c r="AO4562" t="s">
        <v>118</v>
      </c>
      <c r="AP4562">
        <v>-141</v>
      </c>
      <c r="AQ4562">
        <v>-42</v>
      </c>
      <c r="AR4562">
        <v>-192</v>
      </c>
      <c r="AZ4562">
        <v>1200</v>
      </c>
      <c r="BA4562">
        <v>1</v>
      </c>
      <c r="BB4562" t="str">
        <f t="shared" si="2076"/>
        <v xml:space="preserve">N711JA  </v>
      </c>
      <c r="BC4562">
        <v>1</v>
      </c>
      <c r="BE4562">
        <v>0</v>
      </c>
      <c r="BF4562">
        <v>0</v>
      </c>
      <c r="BG4562">
        <v>0</v>
      </c>
      <c r="BH4562">
        <v>2200</v>
      </c>
      <c r="BI4562">
        <v>1</v>
      </c>
      <c r="BJ4562">
        <v>1</v>
      </c>
      <c r="BK4562">
        <v>0</v>
      </c>
      <c r="BL4562">
        <v>0</v>
      </c>
      <c r="BO4562">
        <v>0</v>
      </c>
      <c r="BP4562">
        <v>0</v>
      </c>
      <c r="BW4562" t="str">
        <f t="shared" si="2101"/>
        <v>14:49:36.869</v>
      </c>
      <c r="CJ4562">
        <v>0</v>
      </c>
      <c r="CK4562">
        <v>2</v>
      </c>
      <c r="CL4562">
        <v>0</v>
      </c>
      <c r="CM4562">
        <v>2</v>
      </c>
      <c r="CN4562">
        <v>0</v>
      </c>
      <c r="CO4562">
        <v>7</v>
      </c>
      <c r="CP4562" t="s">
        <v>119</v>
      </c>
      <c r="CQ4562">
        <v>8</v>
      </c>
      <c r="CR4562">
        <v>3</v>
      </c>
      <c r="CW4562">
        <v>9170977</v>
      </c>
      <c r="CY4562">
        <v>1</v>
      </c>
      <c r="CZ4562">
        <v>0</v>
      </c>
      <c r="DA4562">
        <v>1</v>
      </c>
      <c r="DB4562">
        <v>0</v>
      </c>
      <c r="DC4562">
        <v>0</v>
      </c>
      <c r="DD4562">
        <v>1</v>
      </c>
      <c r="DE4562">
        <v>0</v>
      </c>
      <c r="DF4562">
        <v>0</v>
      </c>
      <c r="DG4562">
        <v>0</v>
      </c>
      <c r="DH4562">
        <v>0</v>
      </c>
      <c r="DI4562">
        <v>0</v>
      </c>
    </row>
    <row r="4563" spans="1:113" x14ac:dyDescent="0.3">
      <c r="A4563" t="str">
        <f t="shared" si="2098"/>
        <v>05/12/2020 14:49:19.038</v>
      </c>
      <c r="C4563" t="str">
        <f t="shared" si="2075"/>
        <v>FFDFD3C0</v>
      </c>
      <c r="D4563" t="s">
        <v>113</v>
      </c>
      <c r="E4563">
        <v>3</v>
      </c>
      <c r="H4563">
        <v>164</v>
      </c>
      <c r="I4563" t="s">
        <v>114</v>
      </c>
      <c r="J4563" t="s">
        <v>115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 t="shared" si="2099"/>
        <v>14:49:36.867</v>
      </c>
      <c r="T4563" t="str">
        <f t="shared" si="2100"/>
        <v>14:49:36.467</v>
      </c>
      <c r="U4563" t="str">
        <f t="shared" si="2093"/>
        <v>A9808D</v>
      </c>
      <c r="V4563">
        <v>0</v>
      </c>
      <c r="W4563">
        <v>0</v>
      </c>
      <c r="X4563">
        <v>1</v>
      </c>
      <c r="Z4563">
        <v>0</v>
      </c>
      <c r="AA4563">
        <v>9</v>
      </c>
      <c r="AB4563">
        <v>3</v>
      </c>
      <c r="AC4563">
        <v>0</v>
      </c>
      <c r="AD4563">
        <v>10</v>
      </c>
      <c r="AE4563">
        <v>0</v>
      </c>
      <c r="AF4563">
        <v>3</v>
      </c>
      <c r="AG4563">
        <v>2</v>
      </c>
      <c r="AH4563">
        <v>0</v>
      </c>
      <c r="AI4563" t="s">
        <v>220</v>
      </c>
      <c r="AJ4563">
        <v>28.24512</v>
      </c>
      <c r="AK4563" t="s">
        <v>1023</v>
      </c>
      <c r="AL4563">
        <v>-82.334761999999998</v>
      </c>
      <c r="AM4563">
        <v>100</v>
      </c>
      <c r="AN4563">
        <v>2200</v>
      </c>
      <c r="AO4563" t="s">
        <v>118</v>
      </c>
      <c r="AP4563">
        <v>-141</v>
      </c>
      <c r="AQ4563">
        <v>-42</v>
      </c>
      <c r="AR4563">
        <v>-192</v>
      </c>
      <c r="AZ4563">
        <v>1200</v>
      </c>
      <c r="BA4563">
        <v>1</v>
      </c>
      <c r="BB4563" t="str">
        <f t="shared" si="2076"/>
        <v xml:space="preserve">N711JA  </v>
      </c>
      <c r="BC4563">
        <v>1</v>
      </c>
      <c r="BE4563">
        <v>0</v>
      </c>
      <c r="BF4563">
        <v>0</v>
      </c>
      <c r="BG4563">
        <v>0</v>
      </c>
      <c r="BH4563">
        <v>2200</v>
      </c>
      <c r="BI4563">
        <v>1</v>
      </c>
      <c r="BJ4563">
        <v>1</v>
      </c>
      <c r="BK4563">
        <v>0</v>
      </c>
      <c r="BL4563">
        <v>0</v>
      </c>
      <c r="BO4563">
        <v>0</v>
      </c>
      <c r="BP4563">
        <v>0</v>
      </c>
      <c r="BW4563" t="str">
        <f t="shared" si="2101"/>
        <v>14:49:36.869</v>
      </c>
      <c r="CJ4563">
        <v>0</v>
      </c>
      <c r="CK4563">
        <v>2</v>
      </c>
      <c r="CL4563">
        <v>0</v>
      </c>
      <c r="CM4563">
        <v>2</v>
      </c>
      <c r="CN4563">
        <v>0</v>
      </c>
      <c r="CO4563">
        <v>7</v>
      </c>
      <c r="CP4563" t="s">
        <v>119</v>
      </c>
      <c r="CQ4563">
        <v>8</v>
      </c>
      <c r="CR4563">
        <v>3</v>
      </c>
      <c r="CW4563">
        <v>9170977</v>
      </c>
      <c r="CY4563">
        <v>1</v>
      </c>
      <c r="CZ4563">
        <v>0</v>
      </c>
      <c r="DA4563">
        <v>1</v>
      </c>
      <c r="DB4563">
        <v>0</v>
      </c>
      <c r="DC4563">
        <v>0</v>
      </c>
      <c r="DD4563">
        <v>1</v>
      </c>
      <c r="DE4563">
        <v>0</v>
      </c>
      <c r="DF4563">
        <v>0</v>
      </c>
      <c r="DG4563">
        <v>0</v>
      </c>
      <c r="DH4563">
        <v>0</v>
      </c>
      <c r="DI4563">
        <v>0</v>
      </c>
    </row>
    <row r="4564" spans="1:113" x14ac:dyDescent="0.3">
      <c r="A4564" t="str">
        <f t="shared" si="2098"/>
        <v>05/12/2020 14:49:19.038</v>
      </c>
      <c r="C4564" t="str">
        <f t="shared" si="2075"/>
        <v>FFDFD3C0</v>
      </c>
      <c r="D4564" t="s">
        <v>131</v>
      </c>
      <c r="E4564">
        <v>10</v>
      </c>
      <c r="F4564">
        <v>2010</v>
      </c>
      <c r="G4564" t="s">
        <v>132</v>
      </c>
      <c r="J4564" t="s">
        <v>133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 t="shared" si="2099"/>
        <v>14:49:36.867</v>
      </c>
      <c r="T4564" t="str">
        <f t="shared" si="2100"/>
        <v>14:49:36.467</v>
      </c>
      <c r="U4564" t="str">
        <f t="shared" si="2093"/>
        <v>A9808D</v>
      </c>
      <c r="V4564">
        <v>0</v>
      </c>
      <c r="W4564">
        <v>0</v>
      </c>
      <c r="X4564">
        <v>1</v>
      </c>
      <c r="Z4564">
        <v>0</v>
      </c>
      <c r="AA4564">
        <v>9</v>
      </c>
      <c r="AB4564">
        <v>3</v>
      </c>
      <c r="AC4564">
        <v>0</v>
      </c>
      <c r="AD4564">
        <v>10</v>
      </c>
      <c r="AE4564">
        <v>0</v>
      </c>
      <c r="AF4564">
        <v>3</v>
      </c>
      <c r="AG4564">
        <v>2</v>
      </c>
      <c r="AH4564">
        <v>0</v>
      </c>
      <c r="AI4564" t="s">
        <v>220</v>
      </c>
      <c r="AJ4564">
        <v>28.24512</v>
      </c>
      <c r="AK4564" t="s">
        <v>1023</v>
      </c>
      <c r="AL4564">
        <v>-82.334761999999998</v>
      </c>
      <c r="AM4564">
        <v>100</v>
      </c>
      <c r="AN4564">
        <v>2200</v>
      </c>
      <c r="AO4564" t="s">
        <v>118</v>
      </c>
      <c r="AP4564">
        <v>-141</v>
      </c>
      <c r="AQ4564">
        <v>-42</v>
      </c>
      <c r="AR4564">
        <v>-192</v>
      </c>
      <c r="AZ4564">
        <v>1200</v>
      </c>
      <c r="BA4564">
        <v>1</v>
      </c>
      <c r="BB4564" t="str">
        <f t="shared" si="2076"/>
        <v xml:space="preserve">N711JA  </v>
      </c>
      <c r="BC4564">
        <v>1</v>
      </c>
      <c r="BE4564">
        <v>0</v>
      </c>
      <c r="BF4564">
        <v>0</v>
      </c>
      <c r="BG4564">
        <v>0</v>
      </c>
      <c r="BH4564">
        <v>2200</v>
      </c>
      <c r="BI4564">
        <v>1</v>
      </c>
      <c r="BJ4564">
        <v>1</v>
      </c>
      <c r="BK4564">
        <v>0</v>
      </c>
      <c r="BL4564">
        <v>0</v>
      </c>
      <c r="BO4564">
        <v>0</v>
      </c>
      <c r="BP4564">
        <v>0</v>
      </c>
      <c r="BW4564" t="str">
        <f t="shared" si="2101"/>
        <v>14:49:36.869</v>
      </c>
      <c r="CJ4564">
        <v>0</v>
      </c>
      <c r="CK4564">
        <v>2</v>
      </c>
      <c r="CL4564">
        <v>0</v>
      </c>
      <c r="CM4564">
        <v>2</v>
      </c>
      <c r="CN4564">
        <v>0</v>
      </c>
      <c r="CO4564">
        <v>7</v>
      </c>
      <c r="CP4564" t="s">
        <v>119</v>
      </c>
      <c r="CQ4564">
        <v>8</v>
      </c>
      <c r="CR4564">
        <v>3</v>
      </c>
      <c r="CW4564">
        <v>9170977</v>
      </c>
      <c r="CY4564">
        <v>1</v>
      </c>
      <c r="CZ4564">
        <v>0</v>
      </c>
      <c r="DA4564">
        <v>1</v>
      </c>
      <c r="DB4564">
        <v>0</v>
      </c>
      <c r="DC4564">
        <v>0</v>
      </c>
      <c r="DD4564">
        <v>1</v>
      </c>
      <c r="DE4564">
        <v>0</v>
      </c>
      <c r="DF4564">
        <v>0</v>
      </c>
      <c r="DG4564">
        <v>0</v>
      </c>
      <c r="DH4564">
        <v>0</v>
      </c>
      <c r="DI4564">
        <v>0</v>
      </c>
    </row>
    <row r="4565" spans="1:113" x14ac:dyDescent="0.3">
      <c r="A4565" t="str">
        <f t="shared" si="2098"/>
        <v>05/12/2020 14:49:19.038</v>
      </c>
      <c r="C4565" t="str">
        <f t="shared" si="2075"/>
        <v>FFDFD3C0</v>
      </c>
      <c r="D4565" t="s">
        <v>131</v>
      </c>
      <c r="E4565">
        <v>12</v>
      </c>
      <c r="F4565">
        <v>2012</v>
      </c>
      <c r="G4565" t="s">
        <v>137</v>
      </c>
      <c r="J4565" t="s">
        <v>133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 t="shared" si="2099"/>
        <v>14:49:36.867</v>
      </c>
      <c r="T4565" t="str">
        <f t="shared" si="2100"/>
        <v>14:49:36.467</v>
      </c>
      <c r="U4565" t="str">
        <f t="shared" si="2093"/>
        <v>A9808D</v>
      </c>
      <c r="V4565">
        <v>0</v>
      </c>
      <c r="W4565">
        <v>0</v>
      </c>
      <c r="X4565">
        <v>1</v>
      </c>
      <c r="Z4565">
        <v>0</v>
      </c>
      <c r="AA4565">
        <v>9</v>
      </c>
      <c r="AB4565">
        <v>3</v>
      </c>
      <c r="AC4565">
        <v>0</v>
      </c>
      <c r="AD4565">
        <v>10</v>
      </c>
      <c r="AE4565">
        <v>0</v>
      </c>
      <c r="AF4565">
        <v>3</v>
      </c>
      <c r="AG4565">
        <v>2</v>
      </c>
      <c r="AH4565">
        <v>0</v>
      </c>
      <c r="AI4565" t="s">
        <v>220</v>
      </c>
      <c r="AJ4565">
        <v>28.24512</v>
      </c>
      <c r="AK4565" t="s">
        <v>1023</v>
      </c>
      <c r="AL4565">
        <v>-82.334761999999998</v>
      </c>
      <c r="AM4565">
        <v>100</v>
      </c>
      <c r="AN4565">
        <v>2200</v>
      </c>
      <c r="AO4565" t="s">
        <v>118</v>
      </c>
      <c r="AP4565">
        <v>-141</v>
      </c>
      <c r="AQ4565">
        <v>-42</v>
      </c>
      <c r="AR4565">
        <v>-192</v>
      </c>
      <c r="AZ4565">
        <v>1200</v>
      </c>
      <c r="BA4565">
        <v>1</v>
      </c>
      <c r="BB4565" t="str">
        <f t="shared" si="2076"/>
        <v xml:space="preserve">N711JA  </v>
      </c>
      <c r="BC4565">
        <v>1</v>
      </c>
      <c r="BE4565">
        <v>0</v>
      </c>
      <c r="BF4565">
        <v>0</v>
      </c>
      <c r="BG4565">
        <v>0</v>
      </c>
      <c r="BH4565">
        <v>2200</v>
      </c>
      <c r="BI4565">
        <v>1</v>
      </c>
      <c r="BJ4565">
        <v>1</v>
      </c>
      <c r="BK4565">
        <v>0</v>
      </c>
      <c r="BL4565">
        <v>0</v>
      </c>
      <c r="BO4565">
        <v>0</v>
      </c>
      <c r="BP4565">
        <v>0</v>
      </c>
      <c r="BW4565" t="str">
        <f t="shared" si="2101"/>
        <v>14:49:36.869</v>
      </c>
      <c r="CJ4565">
        <v>0</v>
      </c>
      <c r="CK4565">
        <v>2</v>
      </c>
      <c r="CL4565">
        <v>0</v>
      </c>
      <c r="CM4565">
        <v>2</v>
      </c>
      <c r="CN4565">
        <v>0</v>
      </c>
      <c r="CO4565">
        <v>7</v>
      </c>
      <c r="CP4565" t="s">
        <v>119</v>
      </c>
      <c r="CQ4565">
        <v>8</v>
      </c>
      <c r="CR4565">
        <v>3</v>
      </c>
      <c r="CW4565">
        <v>9170977</v>
      </c>
      <c r="CY4565">
        <v>1</v>
      </c>
      <c r="CZ4565">
        <v>0</v>
      </c>
      <c r="DA4565">
        <v>1</v>
      </c>
      <c r="DB4565">
        <v>0</v>
      </c>
      <c r="DC4565">
        <v>0</v>
      </c>
      <c r="DD4565">
        <v>1</v>
      </c>
      <c r="DE4565">
        <v>0</v>
      </c>
      <c r="DF4565">
        <v>0</v>
      </c>
      <c r="DG4565">
        <v>0</v>
      </c>
      <c r="DH4565">
        <v>0</v>
      </c>
      <c r="DI4565">
        <v>0</v>
      </c>
    </row>
    <row r="4566" spans="1:113" x14ac:dyDescent="0.3">
      <c r="A4566" t="str">
        <f t="shared" si="2098"/>
        <v>05/12/2020 14:49:19.038</v>
      </c>
      <c r="C4566" t="str">
        <f t="shared" ref="C4566:C4629" si="2102">"FFDFD3C0"</f>
        <v>FFDFD3C0</v>
      </c>
      <c r="D4566" t="s">
        <v>131</v>
      </c>
      <c r="E4566">
        <v>18</v>
      </c>
      <c r="F4566">
        <v>2018</v>
      </c>
      <c r="G4566" t="s">
        <v>161</v>
      </c>
      <c r="J4566" t="s">
        <v>133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 t="shared" si="2099"/>
        <v>14:49:36.867</v>
      </c>
      <c r="T4566" t="str">
        <f t="shared" si="2100"/>
        <v>14:49:36.467</v>
      </c>
      <c r="U4566" t="str">
        <f t="shared" si="2093"/>
        <v>A9808D</v>
      </c>
      <c r="V4566">
        <v>0</v>
      </c>
      <c r="W4566">
        <v>0</v>
      </c>
      <c r="X4566">
        <v>1</v>
      </c>
      <c r="Z4566">
        <v>0</v>
      </c>
      <c r="AA4566">
        <v>9</v>
      </c>
      <c r="AB4566">
        <v>3</v>
      </c>
      <c r="AC4566">
        <v>0</v>
      </c>
      <c r="AD4566">
        <v>10</v>
      </c>
      <c r="AE4566">
        <v>0</v>
      </c>
      <c r="AF4566">
        <v>3</v>
      </c>
      <c r="AG4566">
        <v>2</v>
      </c>
      <c r="AH4566">
        <v>0</v>
      </c>
      <c r="AI4566" t="s">
        <v>220</v>
      </c>
      <c r="AJ4566">
        <v>28.24512</v>
      </c>
      <c r="AK4566" t="s">
        <v>1023</v>
      </c>
      <c r="AL4566">
        <v>-82.334761999999998</v>
      </c>
      <c r="AM4566">
        <v>100</v>
      </c>
      <c r="AN4566">
        <v>2200</v>
      </c>
      <c r="AO4566" t="s">
        <v>118</v>
      </c>
      <c r="AP4566">
        <v>-141</v>
      </c>
      <c r="AQ4566">
        <v>-42</v>
      </c>
      <c r="AR4566">
        <v>-192</v>
      </c>
      <c r="AZ4566">
        <v>1200</v>
      </c>
      <c r="BA4566">
        <v>1</v>
      </c>
      <c r="BB4566" t="str">
        <f t="shared" ref="BB4566:BB4629" si="2103">"N711JA  "</f>
        <v xml:space="preserve">N711JA  </v>
      </c>
      <c r="BC4566">
        <v>1</v>
      </c>
      <c r="BE4566">
        <v>0</v>
      </c>
      <c r="BF4566">
        <v>0</v>
      </c>
      <c r="BG4566">
        <v>0</v>
      </c>
      <c r="BH4566">
        <v>2200</v>
      </c>
      <c r="BI4566">
        <v>1</v>
      </c>
      <c r="BJ4566">
        <v>1</v>
      </c>
      <c r="BK4566">
        <v>0</v>
      </c>
      <c r="BL4566">
        <v>0</v>
      </c>
      <c r="BO4566">
        <v>0</v>
      </c>
      <c r="BP4566">
        <v>0</v>
      </c>
      <c r="BW4566" t="str">
        <f>"14:49:36.870"</f>
        <v>14:49:36.870</v>
      </c>
      <c r="CJ4566">
        <v>0</v>
      </c>
      <c r="CK4566">
        <v>2</v>
      </c>
      <c r="CL4566">
        <v>0</v>
      </c>
      <c r="CM4566">
        <v>2</v>
      </c>
      <c r="CN4566">
        <v>0</v>
      </c>
      <c r="CO4566">
        <v>2</v>
      </c>
      <c r="CP4566" t="s">
        <v>119</v>
      </c>
      <c r="CQ4566">
        <v>62</v>
      </c>
      <c r="CR4566">
        <v>2</v>
      </c>
      <c r="CW4566">
        <v>13847841</v>
      </c>
      <c r="CY4566">
        <v>1</v>
      </c>
      <c r="CZ4566">
        <v>0</v>
      </c>
      <c r="DA4566">
        <v>1</v>
      </c>
      <c r="DB4566">
        <v>0</v>
      </c>
      <c r="DC4566">
        <v>0</v>
      </c>
      <c r="DD4566">
        <v>1</v>
      </c>
      <c r="DE4566">
        <v>0</v>
      </c>
      <c r="DF4566">
        <v>0</v>
      </c>
      <c r="DG4566">
        <v>0</v>
      </c>
      <c r="DH4566">
        <v>0</v>
      </c>
      <c r="DI4566">
        <v>0</v>
      </c>
    </row>
    <row r="4567" spans="1:113" x14ac:dyDescent="0.3">
      <c r="A4567" t="str">
        <f t="shared" si="2098"/>
        <v>05/12/2020 14:49:19.038</v>
      </c>
      <c r="C4567" t="str">
        <f t="shared" si="2102"/>
        <v>FFDFD3C0</v>
      </c>
      <c r="D4567" t="s">
        <v>126</v>
      </c>
      <c r="E4567">
        <v>6</v>
      </c>
      <c r="F4567">
        <v>1006</v>
      </c>
      <c r="G4567" t="s">
        <v>114</v>
      </c>
      <c r="J4567" t="s">
        <v>128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 t="shared" si="2099"/>
        <v>14:49:36.867</v>
      </c>
      <c r="T4567" t="str">
        <f t="shared" si="2100"/>
        <v>14:49:36.467</v>
      </c>
      <c r="U4567" t="str">
        <f t="shared" si="2093"/>
        <v>A9808D</v>
      </c>
      <c r="V4567">
        <v>0</v>
      </c>
      <c r="W4567">
        <v>0</v>
      </c>
      <c r="X4567">
        <v>1</v>
      </c>
      <c r="Z4567">
        <v>0</v>
      </c>
      <c r="AA4567">
        <v>9</v>
      </c>
      <c r="AB4567">
        <v>3</v>
      </c>
      <c r="AC4567">
        <v>0</v>
      </c>
      <c r="AD4567">
        <v>10</v>
      </c>
      <c r="AE4567">
        <v>0</v>
      </c>
      <c r="AF4567">
        <v>3</v>
      </c>
      <c r="AG4567">
        <v>2</v>
      </c>
      <c r="AH4567">
        <v>0</v>
      </c>
      <c r="AI4567" t="s">
        <v>220</v>
      </c>
      <c r="AJ4567">
        <v>28.24512</v>
      </c>
      <c r="AK4567" t="s">
        <v>1023</v>
      </c>
      <c r="AL4567">
        <v>-82.334761999999998</v>
      </c>
      <c r="AM4567">
        <v>100</v>
      </c>
      <c r="AN4567">
        <v>2200</v>
      </c>
      <c r="AO4567" t="s">
        <v>118</v>
      </c>
      <c r="AP4567">
        <v>-141</v>
      </c>
      <c r="AQ4567">
        <v>-42</v>
      </c>
      <c r="AR4567">
        <v>-192</v>
      </c>
      <c r="AZ4567">
        <v>1200</v>
      </c>
      <c r="BA4567">
        <v>1</v>
      </c>
      <c r="BB4567" t="str">
        <f t="shared" si="2103"/>
        <v xml:space="preserve">N711JA  </v>
      </c>
      <c r="BC4567">
        <v>1</v>
      </c>
      <c r="BE4567">
        <v>0</v>
      </c>
      <c r="BF4567">
        <v>0</v>
      </c>
      <c r="BG4567">
        <v>0</v>
      </c>
      <c r="BH4567">
        <v>2200</v>
      </c>
      <c r="BI4567">
        <v>1</v>
      </c>
      <c r="BJ4567">
        <v>1</v>
      </c>
      <c r="BK4567">
        <v>0</v>
      </c>
      <c r="BL4567">
        <v>0</v>
      </c>
      <c r="BO4567">
        <v>0</v>
      </c>
      <c r="BP4567">
        <v>0</v>
      </c>
      <c r="BW4567" t="str">
        <f>"14:49:36.869"</f>
        <v>14:49:36.869</v>
      </c>
      <c r="CJ4567">
        <v>0</v>
      </c>
      <c r="CK4567">
        <v>2</v>
      </c>
      <c r="CL4567">
        <v>0</v>
      </c>
      <c r="CM4567">
        <v>2</v>
      </c>
      <c r="CN4567">
        <v>0</v>
      </c>
      <c r="CO4567">
        <v>7</v>
      </c>
      <c r="CP4567" t="s">
        <v>119</v>
      </c>
      <c r="CQ4567">
        <v>8</v>
      </c>
      <c r="CR4567">
        <v>3</v>
      </c>
      <c r="CW4567">
        <v>9170977</v>
      </c>
      <c r="CY4567">
        <v>1</v>
      </c>
      <c r="CZ4567">
        <v>0</v>
      </c>
      <c r="DA4567">
        <v>1</v>
      </c>
      <c r="DB4567">
        <v>0</v>
      </c>
      <c r="DC4567">
        <v>0</v>
      </c>
      <c r="DD4567">
        <v>1</v>
      </c>
      <c r="DE4567">
        <v>0</v>
      </c>
      <c r="DF4567">
        <v>0</v>
      </c>
      <c r="DG4567">
        <v>0</v>
      </c>
      <c r="DH4567">
        <v>0</v>
      </c>
      <c r="DI4567">
        <v>0</v>
      </c>
    </row>
    <row r="4568" spans="1:113" x14ac:dyDescent="0.3">
      <c r="A4568" t="str">
        <f t="shared" si="2098"/>
        <v>05/12/2020 14:49:19.038</v>
      </c>
      <c r="C4568" t="str">
        <f t="shared" si="2102"/>
        <v>FFDFD3C0</v>
      </c>
      <c r="D4568" t="s">
        <v>134</v>
      </c>
      <c r="E4568">
        <v>12</v>
      </c>
      <c r="H4568">
        <v>64</v>
      </c>
      <c r="I4568" t="s">
        <v>135</v>
      </c>
      <c r="J4568" t="s">
        <v>136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 t="shared" si="2099"/>
        <v>14:49:36.867</v>
      </c>
      <c r="T4568" t="str">
        <f t="shared" si="2100"/>
        <v>14:49:36.467</v>
      </c>
      <c r="U4568" t="str">
        <f t="shared" si="2093"/>
        <v>A9808D</v>
      </c>
      <c r="V4568">
        <v>0</v>
      </c>
      <c r="W4568">
        <v>0</v>
      </c>
      <c r="X4568">
        <v>1</v>
      </c>
      <c r="Z4568">
        <v>0</v>
      </c>
      <c r="AA4568">
        <v>9</v>
      </c>
      <c r="AB4568">
        <v>3</v>
      </c>
      <c r="AC4568">
        <v>0</v>
      </c>
      <c r="AD4568">
        <v>10</v>
      </c>
      <c r="AE4568">
        <v>0</v>
      </c>
      <c r="AF4568">
        <v>3</v>
      </c>
      <c r="AG4568">
        <v>2</v>
      </c>
      <c r="AH4568">
        <v>0</v>
      </c>
      <c r="AI4568" t="s">
        <v>220</v>
      </c>
      <c r="AJ4568">
        <v>28.24512</v>
      </c>
      <c r="AK4568" t="s">
        <v>1023</v>
      </c>
      <c r="AL4568">
        <v>-82.334761999999998</v>
      </c>
      <c r="AM4568">
        <v>100</v>
      </c>
      <c r="AN4568">
        <v>2200</v>
      </c>
      <c r="AO4568" t="s">
        <v>118</v>
      </c>
      <c r="AP4568">
        <v>-141</v>
      </c>
      <c r="AQ4568">
        <v>-42</v>
      </c>
      <c r="AR4568">
        <v>-192</v>
      </c>
      <c r="AZ4568">
        <v>1200</v>
      </c>
      <c r="BA4568">
        <v>1</v>
      </c>
      <c r="BB4568" t="str">
        <f t="shared" si="2103"/>
        <v xml:space="preserve">N711JA  </v>
      </c>
      <c r="BC4568">
        <v>1</v>
      </c>
      <c r="BE4568">
        <v>0</v>
      </c>
      <c r="BF4568">
        <v>0</v>
      </c>
      <c r="BG4568">
        <v>0</v>
      </c>
      <c r="BH4568">
        <v>2200</v>
      </c>
      <c r="BI4568">
        <v>1</v>
      </c>
      <c r="BJ4568">
        <v>1</v>
      </c>
      <c r="BK4568">
        <v>0</v>
      </c>
      <c r="BL4568">
        <v>0</v>
      </c>
      <c r="BO4568">
        <v>0</v>
      </c>
      <c r="BP4568">
        <v>0</v>
      </c>
      <c r="BW4568" t="str">
        <f>"14:49:36.869"</f>
        <v>14:49:36.869</v>
      </c>
      <c r="CJ4568">
        <v>0</v>
      </c>
      <c r="CK4568">
        <v>2</v>
      </c>
      <c r="CL4568">
        <v>0</v>
      </c>
      <c r="CM4568">
        <v>2</v>
      </c>
      <c r="CN4568">
        <v>0</v>
      </c>
      <c r="CO4568">
        <v>7</v>
      </c>
      <c r="CP4568" t="s">
        <v>119</v>
      </c>
      <c r="CQ4568">
        <v>8</v>
      </c>
      <c r="CR4568">
        <v>3</v>
      </c>
      <c r="CW4568">
        <v>9170977</v>
      </c>
      <c r="CY4568">
        <v>1</v>
      </c>
      <c r="CZ4568">
        <v>0</v>
      </c>
      <c r="DA4568">
        <v>1</v>
      </c>
      <c r="DB4568">
        <v>0</v>
      </c>
      <c r="DC4568">
        <v>0</v>
      </c>
      <c r="DD4568">
        <v>1</v>
      </c>
      <c r="DE4568">
        <v>0</v>
      </c>
      <c r="DF4568">
        <v>0</v>
      </c>
      <c r="DG4568">
        <v>0</v>
      </c>
      <c r="DH4568">
        <v>0</v>
      </c>
      <c r="DI4568">
        <v>0</v>
      </c>
    </row>
    <row r="4569" spans="1:113" x14ac:dyDescent="0.3">
      <c r="A4569" t="str">
        <f t="shared" ref="A4569:A4577" si="2104">"05/12/2020 14:49:20.098"</f>
        <v>05/12/2020 14:49:20.098</v>
      </c>
      <c r="C4569" t="str">
        <f t="shared" si="2102"/>
        <v>FFDFD3C0</v>
      </c>
      <c r="D4569" t="s">
        <v>134</v>
      </c>
      <c r="E4569">
        <v>12</v>
      </c>
      <c r="H4569">
        <v>64</v>
      </c>
      <c r="I4569" t="s">
        <v>135</v>
      </c>
      <c r="J4569" t="s">
        <v>136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 t="shared" ref="S4569:S4577" si="2105">"14:49:37.930"</f>
        <v>14:49:37.930</v>
      </c>
      <c r="T4569" t="str">
        <f t="shared" ref="T4569:T4577" si="2106">"14:49:37.530"</f>
        <v>14:49:37.530</v>
      </c>
      <c r="U4569" t="str">
        <f t="shared" si="2093"/>
        <v>A9808D</v>
      </c>
      <c r="V4569">
        <v>0</v>
      </c>
      <c r="W4569">
        <v>0</v>
      </c>
      <c r="X4569">
        <v>1</v>
      </c>
      <c r="Z4569">
        <v>0</v>
      </c>
      <c r="AA4569">
        <v>9</v>
      </c>
      <c r="AB4569">
        <v>3</v>
      </c>
      <c r="AC4569">
        <v>0</v>
      </c>
      <c r="AD4569">
        <v>10</v>
      </c>
      <c r="AE4569">
        <v>0</v>
      </c>
      <c r="AF4569">
        <v>3</v>
      </c>
      <c r="AG4569">
        <v>2</v>
      </c>
      <c r="AH4569">
        <v>0</v>
      </c>
      <c r="AI4569" t="s">
        <v>1024</v>
      </c>
      <c r="AJ4569">
        <v>28.244927000000001</v>
      </c>
      <c r="AK4569" t="s">
        <v>1025</v>
      </c>
      <c r="AL4569">
        <v>-82.335533999999996</v>
      </c>
      <c r="AM4569">
        <v>100</v>
      </c>
      <c r="AN4569">
        <v>2200</v>
      </c>
      <c r="AO4569" t="s">
        <v>118</v>
      </c>
      <c r="AP4569">
        <v>-142</v>
      </c>
      <c r="AQ4569">
        <v>-40</v>
      </c>
      <c r="AR4569">
        <v>-128</v>
      </c>
      <c r="AZ4569">
        <v>1200</v>
      </c>
      <c r="BA4569">
        <v>1</v>
      </c>
      <c r="BB4569" t="str">
        <f t="shared" si="2103"/>
        <v xml:space="preserve">N711JA  </v>
      </c>
      <c r="BC4569">
        <v>1</v>
      </c>
      <c r="BE4569">
        <v>0</v>
      </c>
      <c r="BF4569">
        <v>0</v>
      </c>
      <c r="BG4569">
        <v>0</v>
      </c>
      <c r="BH4569">
        <v>2200</v>
      </c>
      <c r="BI4569">
        <v>1</v>
      </c>
      <c r="BJ4569">
        <v>1</v>
      </c>
      <c r="BK4569">
        <v>0</v>
      </c>
      <c r="BL4569">
        <v>0</v>
      </c>
      <c r="BO4569">
        <v>0</v>
      </c>
      <c r="BP4569">
        <v>0</v>
      </c>
      <c r="BW4569" t="str">
        <f t="shared" ref="BW4569:BW4577" si="2107">"14:49:37.937"</f>
        <v>14:49:37.937</v>
      </c>
      <c r="CJ4569">
        <v>0</v>
      </c>
      <c r="CK4569">
        <v>2</v>
      </c>
      <c r="CL4569">
        <v>0</v>
      </c>
      <c r="CM4569">
        <v>2</v>
      </c>
      <c r="CN4569">
        <v>0</v>
      </c>
      <c r="CO4569">
        <v>7</v>
      </c>
      <c r="CP4569" t="s">
        <v>119</v>
      </c>
      <c r="CQ4569">
        <v>8</v>
      </c>
      <c r="CR4569">
        <v>3</v>
      </c>
      <c r="CW4569">
        <v>9172066</v>
      </c>
      <c r="CY4569">
        <v>1</v>
      </c>
      <c r="CZ4569">
        <v>0</v>
      </c>
      <c r="DA4569">
        <v>0</v>
      </c>
      <c r="DB4569">
        <v>0</v>
      </c>
      <c r="DC4569">
        <v>0</v>
      </c>
      <c r="DD4569">
        <v>1</v>
      </c>
      <c r="DE4569">
        <v>0</v>
      </c>
      <c r="DF4569">
        <v>0</v>
      </c>
      <c r="DG4569">
        <v>0</v>
      </c>
      <c r="DH4569">
        <v>0</v>
      </c>
      <c r="DI4569">
        <v>0</v>
      </c>
    </row>
    <row r="4570" spans="1:113" x14ac:dyDescent="0.3">
      <c r="A4570" t="str">
        <f t="shared" si="2104"/>
        <v>05/12/2020 14:49:20.098</v>
      </c>
      <c r="C4570" t="str">
        <f t="shared" si="2102"/>
        <v>FFDFD3C0</v>
      </c>
      <c r="D4570" t="s">
        <v>126</v>
      </c>
      <c r="E4570">
        <v>7</v>
      </c>
      <c r="F4570">
        <v>1007</v>
      </c>
      <c r="G4570" t="s">
        <v>127</v>
      </c>
      <c r="J4570" t="s">
        <v>128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 t="shared" si="2105"/>
        <v>14:49:37.930</v>
      </c>
      <c r="T4570" t="str">
        <f t="shared" si="2106"/>
        <v>14:49:37.530</v>
      </c>
      <c r="U4570" t="str">
        <f t="shared" si="2093"/>
        <v>A9808D</v>
      </c>
      <c r="V4570">
        <v>0</v>
      </c>
      <c r="W4570">
        <v>0</v>
      </c>
      <c r="X4570">
        <v>1</v>
      </c>
      <c r="Z4570">
        <v>0</v>
      </c>
      <c r="AA4570">
        <v>9</v>
      </c>
      <c r="AB4570">
        <v>3</v>
      </c>
      <c r="AC4570">
        <v>0</v>
      </c>
      <c r="AD4570">
        <v>10</v>
      </c>
      <c r="AE4570">
        <v>0</v>
      </c>
      <c r="AF4570">
        <v>3</v>
      </c>
      <c r="AG4570">
        <v>2</v>
      </c>
      <c r="AH4570">
        <v>0</v>
      </c>
      <c r="AI4570" t="s">
        <v>1024</v>
      </c>
      <c r="AJ4570">
        <v>28.244927000000001</v>
      </c>
      <c r="AK4570" t="s">
        <v>1025</v>
      </c>
      <c r="AL4570">
        <v>-82.335533999999996</v>
      </c>
      <c r="AM4570">
        <v>100</v>
      </c>
      <c r="AN4570">
        <v>2200</v>
      </c>
      <c r="AO4570" t="s">
        <v>118</v>
      </c>
      <c r="AP4570">
        <v>-142</v>
      </c>
      <c r="AQ4570">
        <v>-40</v>
      </c>
      <c r="AR4570">
        <v>-128</v>
      </c>
      <c r="AZ4570">
        <v>1200</v>
      </c>
      <c r="BA4570">
        <v>1</v>
      </c>
      <c r="BB4570" t="str">
        <f t="shared" si="2103"/>
        <v xml:space="preserve">N711JA  </v>
      </c>
      <c r="BC4570">
        <v>1</v>
      </c>
      <c r="BE4570">
        <v>0</v>
      </c>
      <c r="BF4570">
        <v>0</v>
      </c>
      <c r="BG4570">
        <v>0</v>
      </c>
      <c r="BH4570">
        <v>2200</v>
      </c>
      <c r="BI4570">
        <v>1</v>
      </c>
      <c r="BJ4570">
        <v>1</v>
      </c>
      <c r="BK4570">
        <v>0</v>
      </c>
      <c r="BL4570">
        <v>0</v>
      </c>
      <c r="BO4570">
        <v>0</v>
      </c>
      <c r="BP4570">
        <v>0</v>
      </c>
      <c r="BW4570" t="str">
        <f t="shared" si="2107"/>
        <v>14:49:37.937</v>
      </c>
      <c r="CJ4570">
        <v>0</v>
      </c>
      <c r="CK4570">
        <v>2</v>
      </c>
      <c r="CL4570">
        <v>0</v>
      </c>
      <c r="CM4570">
        <v>2</v>
      </c>
      <c r="CN4570">
        <v>0</v>
      </c>
      <c r="CO4570">
        <v>7</v>
      </c>
      <c r="CP4570" t="s">
        <v>119</v>
      </c>
      <c r="CQ4570">
        <v>8</v>
      </c>
      <c r="CR4570">
        <v>3</v>
      </c>
      <c r="CW4570">
        <v>9172066</v>
      </c>
      <c r="CY4570">
        <v>1</v>
      </c>
      <c r="CZ4570">
        <v>0</v>
      </c>
      <c r="DA4570">
        <v>1</v>
      </c>
      <c r="DB4570">
        <v>0</v>
      </c>
      <c r="DC4570">
        <v>0</v>
      </c>
      <c r="DD4570">
        <v>1</v>
      </c>
      <c r="DE4570">
        <v>0</v>
      </c>
      <c r="DF4570">
        <v>0</v>
      </c>
      <c r="DG4570">
        <v>0</v>
      </c>
      <c r="DH4570">
        <v>0</v>
      </c>
      <c r="DI4570">
        <v>0</v>
      </c>
    </row>
    <row r="4571" spans="1:113" x14ac:dyDescent="0.3">
      <c r="A4571" t="str">
        <f t="shared" si="2104"/>
        <v>05/12/2020 14:49:20.098</v>
      </c>
      <c r="C4571" t="str">
        <f t="shared" si="2102"/>
        <v>FFDFD3C0</v>
      </c>
      <c r="D4571" t="s">
        <v>138</v>
      </c>
      <c r="E4571">
        <v>2</v>
      </c>
      <c r="H4571">
        <v>8</v>
      </c>
      <c r="I4571" t="s">
        <v>139</v>
      </c>
      <c r="J4571" t="s">
        <v>136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 t="shared" si="2105"/>
        <v>14:49:37.930</v>
      </c>
      <c r="T4571" t="str">
        <f t="shared" si="2106"/>
        <v>14:49:37.530</v>
      </c>
      <c r="U4571" t="str">
        <f t="shared" si="2093"/>
        <v>A9808D</v>
      </c>
      <c r="V4571">
        <v>0</v>
      </c>
      <c r="W4571">
        <v>0</v>
      </c>
      <c r="X4571">
        <v>1</v>
      </c>
      <c r="Z4571">
        <v>0</v>
      </c>
      <c r="AA4571">
        <v>9</v>
      </c>
      <c r="AB4571">
        <v>3</v>
      </c>
      <c r="AC4571">
        <v>0</v>
      </c>
      <c r="AD4571">
        <v>10</v>
      </c>
      <c r="AE4571">
        <v>0</v>
      </c>
      <c r="AF4571">
        <v>3</v>
      </c>
      <c r="AG4571">
        <v>2</v>
      </c>
      <c r="AH4571">
        <v>0</v>
      </c>
      <c r="AI4571" t="s">
        <v>1024</v>
      </c>
      <c r="AJ4571">
        <v>28.244927000000001</v>
      </c>
      <c r="AK4571" t="s">
        <v>1025</v>
      </c>
      <c r="AL4571">
        <v>-82.335533999999996</v>
      </c>
      <c r="AM4571">
        <v>100</v>
      </c>
      <c r="AN4571">
        <v>2200</v>
      </c>
      <c r="AO4571" t="s">
        <v>118</v>
      </c>
      <c r="AP4571">
        <v>-142</v>
      </c>
      <c r="AQ4571">
        <v>-40</v>
      </c>
      <c r="AR4571">
        <v>-128</v>
      </c>
      <c r="AZ4571">
        <v>1200</v>
      </c>
      <c r="BA4571">
        <v>1</v>
      </c>
      <c r="BB4571" t="str">
        <f t="shared" si="2103"/>
        <v xml:space="preserve">N711JA  </v>
      </c>
      <c r="BC4571">
        <v>1</v>
      </c>
      <c r="BE4571">
        <v>0</v>
      </c>
      <c r="BF4571">
        <v>0</v>
      </c>
      <c r="BG4571">
        <v>0</v>
      </c>
      <c r="BH4571">
        <v>2200</v>
      </c>
      <c r="BI4571">
        <v>1</v>
      </c>
      <c r="BJ4571">
        <v>1</v>
      </c>
      <c r="BK4571">
        <v>0</v>
      </c>
      <c r="BL4571">
        <v>0</v>
      </c>
      <c r="BO4571">
        <v>0</v>
      </c>
      <c r="BP4571">
        <v>0</v>
      </c>
      <c r="BW4571" t="str">
        <f t="shared" si="2107"/>
        <v>14:49:37.937</v>
      </c>
      <c r="CJ4571">
        <v>0</v>
      </c>
      <c r="CK4571">
        <v>2</v>
      </c>
      <c r="CL4571">
        <v>0</v>
      </c>
      <c r="CM4571">
        <v>2</v>
      </c>
      <c r="CN4571">
        <v>0</v>
      </c>
      <c r="CO4571">
        <v>7</v>
      </c>
      <c r="CP4571" t="s">
        <v>119</v>
      </c>
      <c r="CQ4571">
        <v>8</v>
      </c>
      <c r="CR4571">
        <v>3</v>
      </c>
      <c r="CW4571">
        <v>9172066</v>
      </c>
      <c r="CY4571">
        <v>1</v>
      </c>
      <c r="CZ4571">
        <v>0</v>
      </c>
      <c r="DA4571">
        <v>1</v>
      </c>
      <c r="DB4571">
        <v>0</v>
      </c>
      <c r="DC4571">
        <v>0</v>
      </c>
      <c r="DD4571">
        <v>1</v>
      </c>
      <c r="DE4571">
        <v>0</v>
      </c>
      <c r="DF4571">
        <v>0</v>
      </c>
      <c r="DG4571">
        <v>0</v>
      </c>
      <c r="DH4571">
        <v>0</v>
      </c>
      <c r="DI4571">
        <v>0</v>
      </c>
    </row>
    <row r="4572" spans="1:113" x14ac:dyDescent="0.3">
      <c r="A4572" t="str">
        <f t="shared" si="2104"/>
        <v>05/12/2020 14:49:20.098</v>
      </c>
      <c r="C4572" t="str">
        <f t="shared" si="2102"/>
        <v>FFDFD3C0</v>
      </c>
      <c r="D4572" t="s">
        <v>138</v>
      </c>
      <c r="E4572">
        <v>3</v>
      </c>
      <c r="H4572">
        <v>9</v>
      </c>
      <c r="I4572" t="s">
        <v>140</v>
      </c>
      <c r="J4572" t="s">
        <v>136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 t="shared" si="2105"/>
        <v>14:49:37.930</v>
      </c>
      <c r="T4572" t="str">
        <f t="shared" si="2106"/>
        <v>14:49:37.530</v>
      </c>
      <c r="U4572" t="str">
        <f t="shared" si="2093"/>
        <v>A9808D</v>
      </c>
      <c r="V4572">
        <v>0</v>
      </c>
      <c r="W4572">
        <v>0</v>
      </c>
      <c r="X4572">
        <v>1</v>
      </c>
      <c r="Z4572">
        <v>0</v>
      </c>
      <c r="AA4572">
        <v>9</v>
      </c>
      <c r="AB4572">
        <v>3</v>
      </c>
      <c r="AC4572">
        <v>0</v>
      </c>
      <c r="AD4572">
        <v>10</v>
      </c>
      <c r="AE4572">
        <v>0</v>
      </c>
      <c r="AF4572">
        <v>3</v>
      </c>
      <c r="AG4572">
        <v>2</v>
      </c>
      <c r="AH4572">
        <v>0</v>
      </c>
      <c r="AI4572" t="s">
        <v>1024</v>
      </c>
      <c r="AJ4572">
        <v>28.244927000000001</v>
      </c>
      <c r="AK4572" t="s">
        <v>1025</v>
      </c>
      <c r="AL4572">
        <v>-82.335533999999996</v>
      </c>
      <c r="AM4572">
        <v>100</v>
      </c>
      <c r="AN4572">
        <v>2200</v>
      </c>
      <c r="AO4572" t="s">
        <v>118</v>
      </c>
      <c r="AP4572">
        <v>-142</v>
      </c>
      <c r="AQ4572">
        <v>-40</v>
      </c>
      <c r="AR4572">
        <v>-128</v>
      </c>
      <c r="AZ4572">
        <v>1200</v>
      </c>
      <c r="BA4572">
        <v>1</v>
      </c>
      <c r="BB4572" t="str">
        <f t="shared" si="2103"/>
        <v xml:space="preserve">N711JA  </v>
      </c>
      <c r="BC4572">
        <v>1</v>
      </c>
      <c r="BE4572">
        <v>0</v>
      </c>
      <c r="BF4572">
        <v>0</v>
      </c>
      <c r="BG4572">
        <v>0</v>
      </c>
      <c r="BH4572">
        <v>2200</v>
      </c>
      <c r="BI4572">
        <v>1</v>
      </c>
      <c r="BJ4572">
        <v>1</v>
      </c>
      <c r="BK4572">
        <v>0</v>
      </c>
      <c r="BL4572">
        <v>0</v>
      </c>
      <c r="BO4572">
        <v>0</v>
      </c>
      <c r="BP4572">
        <v>0</v>
      </c>
      <c r="BW4572" t="str">
        <f t="shared" si="2107"/>
        <v>14:49:37.937</v>
      </c>
      <c r="CJ4572">
        <v>0</v>
      </c>
      <c r="CK4572">
        <v>2</v>
      </c>
      <c r="CL4572">
        <v>0</v>
      </c>
      <c r="CM4572">
        <v>2</v>
      </c>
      <c r="CN4572">
        <v>0</v>
      </c>
      <c r="CO4572">
        <v>7</v>
      </c>
      <c r="CP4572" t="s">
        <v>119</v>
      </c>
      <c r="CQ4572">
        <v>8</v>
      </c>
      <c r="CR4572">
        <v>3</v>
      </c>
      <c r="CW4572">
        <v>9172066</v>
      </c>
      <c r="CY4572">
        <v>1</v>
      </c>
      <c r="CZ4572">
        <v>0</v>
      </c>
      <c r="DA4572">
        <v>1</v>
      </c>
      <c r="DB4572">
        <v>0</v>
      </c>
      <c r="DC4572">
        <v>0</v>
      </c>
      <c r="DD4572">
        <v>1</v>
      </c>
      <c r="DE4572">
        <v>0</v>
      </c>
      <c r="DF4572">
        <v>0</v>
      </c>
      <c r="DG4572">
        <v>0</v>
      </c>
      <c r="DH4572">
        <v>0</v>
      </c>
      <c r="DI4572">
        <v>0</v>
      </c>
    </row>
    <row r="4573" spans="1:113" x14ac:dyDescent="0.3">
      <c r="A4573" t="str">
        <f t="shared" si="2104"/>
        <v>05/12/2020 14:49:20.098</v>
      </c>
      <c r="C4573" t="str">
        <f t="shared" si="2102"/>
        <v>FFDFD3C0</v>
      </c>
      <c r="D4573" t="s">
        <v>131</v>
      </c>
      <c r="E4573">
        <v>10</v>
      </c>
      <c r="F4573">
        <v>2010</v>
      </c>
      <c r="G4573" t="s">
        <v>132</v>
      </c>
      <c r="J4573" t="s">
        <v>133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 t="shared" si="2105"/>
        <v>14:49:37.930</v>
      </c>
      <c r="T4573" t="str">
        <f t="shared" si="2106"/>
        <v>14:49:37.530</v>
      </c>
      <c r="U4573" t="str">
        <f t="shared" si="2093"/>
        <v>A9808D</v>
      </c>
      <c r="V4573">
        <v>0</v>
      </c>
      <c r="W4573">
        <v>0</v>
      </c>
      <c r="X4573">
        <v>1</v>
      </c>
      <c r="Z4573">
        <v>0</v>
      </c>
      <c r="AA4573">
        <v>9</v>
      </c>
      <c r="AB4573">
        <v>3</v>
      </c>
      <c r="AC4573">
        <v>0</v>
      </c>
      <c r="AD4573">
        <v>10</v>
      </c>
      <c r="AE4573">
        <v>0</v>
      </c>
      <c r="AF4573">
        <v>3</v>
      </c>
      <c r="AG4573">
        <v>2</v>
      </c>
      <c r="AH4573">
        <v>0</v>
      </c>
      <c r="AI4573" t="s">
        <v>1024</v>
      </c>
      <c r="AJ4573">
        <v>28.244927000000001</v>
      </c>
      <c r="AK4573" t="s">
        <v>1025</v>
      </c>
      <c r="AL4573">
        <v>-82.335533999999996</v>
      </c>
      <c r="AM4573">
        <v>100</v>
      </c>
      <c r="AN4573">
        <v>2200</v>
      </c>
      <c r="AO4573" t="s">
        <v>118</v>
      </c>
      <c r="AP4573">
        <v>-142</v>
      </c>
      <c r="AQ4573">
        <v>-40</v>
      </c>
      <c r="AR4573">
        <v>-128</v>
      </c>
      <c r="AZ4573">
        <v>1200</v>
      </c>
      <c r="BA4573">
        <v>1</v>
      </c>
      <c r="BB4573" t="str">
        <f t="shared" si="2103"/>
        <v xml:space="preserve">N711JA  </v>
      </c>
      <c r="BC4573">
        <v>1</v>
      </c>
      <c r="BE4573">
        <v>0</v>
      </c>
      <c r="BF4573">
        <v>0</v>
      </c>
      <c r="BG4573">
        <v>0</v>
      </c>
      <c r="BH4573">
        <v>2200</v>
      </c>
      <c r="BI4573">
        <v>1</v>
      </c>
      <c r="BJ4573">
        <v>1</v>
      </c>
      <c r="BK4573">
        <v>0</v>
      </c>
      <c r="BL4573">
        <v>0</v>
      </c>
      <c r="BO4573">
        <v>0</v>
      </c>
      <c r="BP4573">
        <v>0</v>
      </c>
      <c r="BW4573" t="str">
        <f t="shared" si="2107"/>
        <v>14:49:37.937</v>
      </c>
      <c r="CJ4573">
        <v>0</v>
      </c>
      <c r="CK4573">
        <v>2</v>
      </c>
      <c r="CL4573">
        <v>0</v>
      </c>
      <c r="CM4573">
        <v>2</v>
      </c>
      <c r="CN4573">
        <v>0</v>
      </c>
      <c r="CO4573">
        <v>7</v>
      </c>
      <c r="CP4573" t="s">
        <v>119</v>
      </c>
      <c r="CQ4573">
        <v>8</v>
      </c>
      <c r="CR4573">
        <v>3</v>
      </c>
      <c r="CW4573">
        <v>9172066</v>
      </c>
      <c r="CY4573">
        <v>1</v>
      </c>
      <c r="CZ4573">
        <v>0</v>
      </c>
      <c r="DA4573">
        <v>1</v>
      </c>
      <c r="DB4573">
        <v>0</v>
      </c>
      <c r="DC4573">
        <v>0</v>
      </c>
      <c r="DD4573">
        <v>1</v>
      </c>
      <c r="DE4573">
        <v>0</v>
      </c>
      <c r="DF4573">
        <v>0</v>
      </c>
      <c r="DG4573">
        <v>0</v>
      </c>
      <c r="DH4573">
        <v>0</v>
      </c>
      <c r="DI4573">
        <v>0</v>
      </c>
    </row>
    <row r="4574" spans="1:113" x14ac:dyDescent="0.3">
      <c r="A4574" t="str">
        <f t="shared" si="2104"/>
        <v>05/12/2020 14:49:20.098</v>
      </c>
      <c r="C4574" t="str">
        <f t="shared" si="2102"/>
        <v>FFDFD3C0</v>
      </c>
      <c r="D4574" t="s">
        <v>131</v>
      </c>
      <c r="E4574">
        <v>12</v>
      </c>
      <c r="F4574">
        <v>2012</v>
      </c>
      <c r="G4574" t="s">
        <v>137</v>
      </c>
      <c r="J4574" t="s">
        <v>133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 t="shared" si="2105"/>
        <v>14:49:37.930</v>
      </c>
      <c r="T4574" t="str">
        <f t="shared" si="2106"/>
        <v>14:49:37.530</v>
      </c>
      <c r="U4574" t="str">
        <f t="shared" si="2093"/>
        <v>A9808D</v>
      </c>
      <c r="V4574">
        <v>0</v>
      </c>
      <c r="W4574">
        <v>0</v>
      </c>
      <c r="X4574">
        <v>1</v>
      </c>
      <c r="Z4574">
        <v>0</v>
      </c>
      <c r="AA4574">
        <v>9</v>
      </c>
      <c r="AB4574">
        <v>3</v>
      </c>
      <c r="AC4574">
        <v>0</v>
      </c>
      <c r="AD4574">
        <v>10</v>
      </c>
      <c r="AE4574">
        <v>0</v>
      </c>
      <c r="AF4574">
        <v>3</v>
      </c>
      <c r="AG4574">
        <v>2</v>
      </c>
      <c r="AH4574">
        <v>0</v>
      </c>
      <c r="AI4574" t="s">
        <v>1024</v>
      </c>
      <c r="AJ4574">
        <v>28.244927000000001</v>
      </c>
      <c r="AK4574" t="s">
        <v>1025</v>
      </c>
      <c r="AL4574">
        <v>-82.335533999999996</v>
      </c>
      <c r="AM4574">
        <v>100</v>
      </c>
      <c r="AN4574">
        <v>2200</v>
      </c>
      <c r="AO4574" t="s">
        <v>118</v>
      </c>
      <c r="AP4574">
        <v>-142</v>
      </c>
      <c r="AQ4574">
        <v>-40</v>
      </c>
      <c r="AR4574">
        <v>-128</v>
      </c>
      <c r="AZ4574">
        <v>1200</v>
      </c>
      <c r="BA4574">
        <v>1</v>
      </c>
      <c r="BB4574" t="str">
        <f t="shared" si="2103"/>
        <v xml:space="preserve">N711JA  </v>
      </c>
      <c r="BC4574">
        <v>1</v>
      </c>
      <c r="BE4574">
        <v>0</v>
      </c>
      <c r="BF4574">
        <v>0</v>
      </c>
      <c r="BG4574">
        <v>0</v>
      </c>
      <c r="BH4574">
        <v>2200</v>
      </c>
      <c r="BI4574">
        <v>1</v>
      </c>
      <c r="BJ4574">
        <v>1</v>
      </c>
      <c r="BK4574">
        <v>0</v>
      </c>
      <c r="BL4574">
        <v>0</v>
      </c>
      <c r="BO4574">
        <v>0</v>
      </c>
      <c r="BP4574">
        <v>0</v>
      </c>
      <c r="BW4574" t="str">
        <f t="shared" si="2107"/>
        <v>14:49:37.937</v>
      </c>
      <c r="CJ4574">
        <v>0</v>
      </c>
      <c r="CK4574">
        <v>2</v>
      </c>
      <c r="CL4574">
        <v>0</v>
      </c>
      <c r="CM4574">
        <v>2</v>
      </c>
      <c r="CN4574">
        <v>0</v>
      </c>
      <c r="CO4574">
        <v>7</v>
      </c>
      <c r="CP4574" t="s">
        <v>119</v>
      </c>
      <c r="CQ4574">
        <v>8</v>
      </c>
      <c r="CR4574">
        <v>3</v>
      </c>
      <c r="CW4574">
        <v>9172066</v>
      </c>
      <c r="CY4574">
        <v>1</v>
      </c>
      <c r="CZ4574">
        <v>0</v>
      </c>
      <c r="DA4574">
        <v>1</v>
      </c>
      <c r="DB4574">
        <v>0</v>
      </c>
      <c r="DC4574">
        <v>0</v>
      </c>
      <c r="DD4574">
        <v>1</v>
      </c>
      <c r="DE4574">
        <v>0</v>
      </c>
      <c r="DF4574">
        <v>0</v>
      </c>
      <c r="DG4574">
        <v>0</v>
      </c>
      <c r="DH4574">
        <v>0</v>
      </c>
      <c r="DI4574">
        <v>0</v>
      </c>
    </row>
    <row r="4575" spans="1:113" x14ac:dyDescent="0.3">
      <c r="A4575" t="str">
        <f t="shared" si="2104"/>
        <v>05/12/2020 14:49:20.098</v>
      </c>
      <c r="C4575" t="str">
        <f t="shared" si="2102"/>
        <v>FFDFD3C0</v>
      </c>
      <c r="D4575" t="s">
        <v>113</v>
      </c>
      <c r="E4575">
        <v>3</v>
      </c>
      <c r="H4575">
        <v>164</v>
      </c>
      <c r="I4575" t="s">
        <v>114</v>
      </c>
      <c r="J4575" t="s">
        <v>115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 t="shared" si="2105"/>
        <v>14:49:37.930</v>
      </c>
      <c r="T4575" t="str">
        <f t="shared" si="2106"/>
        <v>14:49:37.530</v>
      </c>
      <c r="U4575" t="str">
        <f t="shared" si="2093"/>
        <v>A9808D</v>
      </c>
      <c r="V4575">
        <v>0</v>
      </c>
      <c r="W4575">
        <v>0</v>
      </c>
      <c r="X4575">
        <v>1</v>
      </c>
      <c r="Z4575">
        <v>0</v>
      </c>
      <c r="AA4575">
        <v>9</v>
      </c>
      <c r="AB4575">
        <v>3</v>
      </c>
      <c r="AC4575">
        <v>0</v>
      </c>
      <c r="AD4575">
        <v>10</v>
      </c>
      <c r="AE4575">
        <v>0</v>
      </c>
      <c r="AF4575">
        <v>3</v>
      </c>
      <c r="AG4575">
        <v>2</v>
      </c>
      <c r="AH4575">
        <v>0</v>
      </c>
      <c r="AI4575" t="s">
        <v>1024</v>
      </c>
      <c r="AJ4575">
        <v>28.244927000000001</v>
      </c>
      <c r="AK4575" t="s">
        <v>1025</v>
      </c>
      <c r="AL4575">
        <v>-82.335533999999996</v>
      </c>
      <c r="AM4575">
        <v>100</v>
      </c>
      <c r="AN4575">
        <v>2200</v>
      </c>
      <c r="AO4575" t="s">
        <v>118</v>
      </c>
      <c r="AP4575">
        <v>-142</v>
      </c>
      <c r="AQ4575">
        <v>-40</v>
      </c>
      <c r="AR4575">
        <v>-128</v>
      </c>
      <c r="AZ4575">
        <v>1200</v>
      </c>
      <c r="BA4575">
        <v>1</v>
      </c>
      <c r="BB4575" t="str">
        <f t="shared" si="2103"/>
        <v xml:space="preserve">N711JA  </v>
      </c>
      <c r="BC4575">
        <v>1</v>
      </c>
      <c r="BE4575">
        <v>0</v>
      </c>
      <c r="BF4575">
        <v>0</v>
      </c>
      <c r="BG4575">
        <v>0</v>
      </c>
      <c r="BH4575">
        <v>2200</v>
      </c>
      <c r="BI4575">
        <v>1</v>
      </c>
      <c r="BJ4575">
        <v>1</v>
      </c>
      <c r="BK4575">
        <v>0</v>
      </c>
      <c r="BL4575">
        <v>0</v>
      </c>
      <c r="BO4575">
        <v>0</v>
      </c>
      <c r="BP4575">
        <v>0</v>
      </c>
      <c r="BW4575" t="str">
        <f t="shared" si="2107"/>
        <v>14:49:37.937</v>
      </c>
      <c r="CJ4575">
        <v>0</v>
      </c>
      <c r="CK4575">
        <v>2</v>
      </c>
      <c r="CL4575">
        <v>0</v>
      </c>
      <c r="CM4575">
        <v>2</v>
      </c>
      <c r="CN4575">
        <v>0</v>
      </c>
      <c r="CO4575">
        <v>7</v>
      </c>
      <c r="CP4575" t="s">
        <v>119</v>
      </c>
      <c r="CQ4575">
        <v>8</v>
      </c>
      <c r="CR4575">
        <v>3</v>
      </c>
      <c r="CW4575">
        <v>9172066</v>
      </c>
      <c r="CY4575">
        <v>1</v>
      </c>
      <c r="CZ4575">
        <v>0</v>
      </c>
      <c r="DA4575">
        <v>1</v>
      </c>
      <c r="DB4575">
        <v>0</v>
      </c>
      <c r="DC4575">
        <v>0</v>
      </c>
      <c r="DD4575">
        <v>1</v>
      </c>
      <c r="DE4575">
        <v>0</v>
      </c>
      <c r="DF4575">
        <v>0</v>
      </c>
      <c r="DG4575">
        <v>0</v>
      </c>
      <c r="DH4575">
        <v>0</v>
      </c>
      <c r="DI4575">
        <v>0</v>
      </c>
    </row>
    <row r="4576" spans="1:113" x14ac:dyDescent="0.3">
      <c r="A4576" t="str">
        <f t="shared" si="2104"/>
        <v>05/12/2020 14:49:20.098</v>
      </c>
      <c r="C4576" t="str">
        <f t="shared" si="2102"/>
        <v>FFDFD3C0</v>
      </c>
      <c r="D4576" t="s">
        <v>131</v>
      </c>
      <c r="E4576">
        <v>18</v>
      </c>
      <c r="F4576">
        <v>2018</v>
      </c>
      <c r="G4576" t="s">
        <v>161</v>
      </c>
      <c r="J4576" t="s">
        <v>133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 t="shared" si="2105"/>
        <v>14:49:37.930</v>
      </c>
      <c r="T4576" t="str">
        <f t="shared" si="2106"/>
        <v>14:49:37.530</v>
      </c>
      <c r="U4576" t="str">
        <f t="shared" si="2093"/>
        <v>A9808D</v>
      </c>
      <c r="V4576">
        <v>0</v>
      </c>
      <c r="W4576">
        <v>0</v>
      </c>
      <c r="X4576">
        <v>1</v>
      </c>
      <c r="Z4576">
        <v>0</v>
      </c>
      <c r="AA4576">
        <v>9</v>
      </c>
      <c r="AB4576">
        <v>3</v>
      </c>
      <c r="AC4576">
        <v>0</v>
      </c>
      <c r="AD4576">
        <v>10</v>
      </c>
      <c r="AE4576">
        <v>0</v>
      </c>
      <c r="AF4576">
        <v>3</v>
      </c>
      <c r="AG4576">
        <v>2</v>
      </c>
      <c r="AH4576">
        <v>0</v>
      </c>
      <c r="AI4576" t="s">
        <v>1024</v>
      </c>
      <c r="AJ4576">
        <v>28.244927000000001</v>
      </c>
      <c r="AK4576" t="s">
        <v>1025</v>
      </c>
      <c r="AL4576">
        <v>-82.335533999999996</v>
      </c>
      <c r="AM4576">
        <v>100</v>
      </c>
      <c r="AN4576">
        <v>2200</v>
      </c>
      <c r="AO4576" t="s">
        <v>118</v>
      </c>
      <c r="AP4576">
        <v>-142</v>
      </c>
      <c r="AQ4576">
        <v>-40</v>
      </c>
      <c r="AR4576">
        <v>-128</v>
      </c>
      <c r="AZ4576">
        <v>1200</v>
      </c>
      <c r="BA4576">
        <v>1</v>
      </c>
      <c r="BB4576" t="str">
        <f t="shared" si="2103"/>
        <v xml:space="preserve">N711JA  </v>
      </c>
      <c r="BC4576">
        <v>1</v>
      </c>
      <c r="BE4576">
        <v>0</v>
      </c>
      <c r="BF4576">
        <v>0</v>
      </c>
      <c r="BG4576">
        <v>0</v>
      </c>
      <c r="BH4576">
        <v>2200</v>
      </c>
      <c r="BI4576">
        <v>1</v>
      </c>
      <c r="BJ4576">
        <v>1</v>
      </c>
      <c r="BK4576">
        <v>0</v>
      </c>
      <c r="BL4576">
        <v>0</v>
      </c>
      <c r="BO4576">
        <v>0</v>
      </c>
      <c r="BP4576">
        <v>0</v>
      </c>
      <c r="BW4576" t="str">
        <f t="shared" si="2107"/>
        <v>14:49:37.937</v>
      </c>
      <c r="CJ4576">
        <v>0</v>
      </c>
      <c r="CK4576">
        <v>2</v>
      </c>
      <c r="CL4576">
        <v>0</v>
      </c>
      <c r="CM4576">
        <v>2</v>
      </c>
      <c r="CN4576">
        <v>0</v>
      </c>
      <c r="CO4576">
        <v>6</v>
      </c>
      <c r="CP4576" t="s">
        <v>119</v>
      </c>
      <c r="CQ4576">
        <v>56</v>
      </c>
      <c r="CR4576">
        <v>2</v>
      </c>
      <c r="CW4576">
        <v>5175284</v>
      </c>
      <c r="CY4576">
        <v>1</v>
      </c>
      <c r="CZ4576">
        <v>0</v>
      </c>
      <c r="DA4576">
        <v>1</v>
      </c>
      <c r="DB4576">
        <v>0</v>
      </c>
      <c r="DC4576">
        <v>0</v>
      </c>
      <c r="DD4576">
        <v>1</v>
      </c>
      <c r="DE4576">
        <v>0</v>
      </c>
      <c r="DF4576">
        <v>0</v>
      </c>
      <c r="DG4576">
        <v>0</v>
      </c>
      <c r="DH4576">
        <v>0</v>
      </c>
      <c r="DI4576">
        <v>0</v>
      </c>
    </row>
    <row r="4577" spans="1:113" x14ac:dyDescent="0.3">
      <c r="A4577" t="str">
        <f t="shared" si="2104"/>
        <v>05/12/2020 14:49:20.098</v>
      </c>
      <c r="C4577" t="str">
        <f t="shared" si="2102"/>
        <v>FFDFD3C0</v>
      </c>
      <c r="D4577" t="s">
        <v>126</v>
      </c>
      <c r="E4577">
        <v>6</v>
      </c>
      <c r="F4577">
        <v>1006</v>
      </c>
      <c r="G4577" t="s">
        <v>114</v>
      </c>
      <c r="J4577" t="s">
        <v>128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 t="shared" si="2105"/>
        <v>14:49:37.930</v>
      </c>
      <c r="T4577" t="str">
        <f t="shared" si="2106"/>
        <v>14:49:37.530</v>
      </c>
      <c r="U4577" t="str">
        <f t="shared" si="2093"/>
        <v>A9808D</v>
      </c>
      <c r="V4577">
        <v>0</v>
      </c>
      <c r="W4577">
        <v>0</v>
      </c>
      <c r="X4577">
        <v>1</v>
      </c>
      <c r="Z4577">
        <v>0</v>
      </c>
      <c r="AA4577">
        <v>9</v>
      </c>
      <c r="AB4577">
        <v>3</v>
      </c>
      <c r="AC4577">
        <v>0</v>
      </c>
      <c r="AD4577">
        <v>10</v>
      </c>
      <c r="AE4577">
        <v>0</v>
      </c>
      <c r="AF4577">
        <v>3</v>
      </c>
      <c r="AG4577">
        <v>2</v>
      </c>
      <c r="AH4577">
        <v>0</v>
      </c>
      <c r="AI4577" t="s">
        <v>1024</v>
      </c>
      <c r="AJ4577">
        <v>28.244927000000001</v>
      </c>
      <c r="AK4577" t="s">
        <v>1025</v>
      </c>
      <c r="AL4577">
        <v>-82.335533999999996</v>
      </c>
      <c r="AM4577">
        <v>100</v>
      </c>
      <c r="AN4577">
        <v>2200</v>
      </c>
      <c r="AO4577" t="s">
        <v>118</v>
      </c>
      <c r="AP4577">
        <v>-142</v>
      </c>
      <c r="AQ4577">
        <v>-40</v>
      </c>
      <c r="AR4577">
        <v>-128</v>
      </c>
      <c r="AZ4577">
        <v>1200</v>
      </c>
      <c r="BA4577">
        <v>1</v>
      </c>
      <c r="BB4577" t="str">
        <f t="shared" si="2103"/>
        <v xml:space="preserve">N711JA  </v>
      </c>
      <c r="BC4577">
        <v>1</v>
      </c>
      <c r="BE4577">
        <v>0</v>
      </c>
      <c r="BF4577">
        <v>0</v>
      </c>
      <c r="BG4577">
        <v>0</v>
      </c>
      <c r="BH4577">
        <v>2200</v>
      </c>
      <c r="BI4577">
        <v>1</v>
      </c>
      <c r="BJ4577">
        <v>1</v>
      </c>
      <c r="BK4577">
        <v>0</v>
      </c>
      <c r="BL4577">
        <v>0</v>
      </c>
      <c r="BO4577">
        <v>0</v>
      </c>
      <c r="BP4577">
        <v>0</v>
      </c>
      <c r="BW4577" t="str">
        <f t="shared" si="2107"/>
        <v>14:49:37.937</v>
      </c>
      <c r="CJ4577">
        <v>0</v>
      </c>
      <c r="CK4577">
        <v>2</v>
      </c>
      <c r="CL4577">
        <v>0</v>
      </c>
      <c r="CM4577">
        <v>2</v>
      </c>
      <c r="CN4577">
        <v>0</v>
      </c>
      <c r="CO4577">
        <v>7</v>
      </c>
      <c r="CP4577" t="s">
        <v>119</v>
      </c>
      <c r="CQ4577">
        <v>8</v>
      </c>
      <c r="CR4577">
        <v>3</v>
      </c>
      <c r="CW4577">
        <v>9172066</v>
      </c>
      <c r="CY4577">
        <v>1</v>
      </c>
      <c r="CZ4577">
        <v>0</v>
      </c>
      <c r="DA4577">
        <v>1</v>
      </c>
      <c r="DB4577">
        <v>0</v>
      </c>
      <c r="DC4577">
        <v>0</v>
      </c>
      <c r="DD4577">
        <v>1</v>
      </c>
      <c r="DE4577">
        <v>0</v>
      </c>
      <c r="DF4577">
        <v>0</v>
      </c>
      <c r="DG4577">
        <v>0</v>
      </c>
      <c r="DH4577">
        <v>0</v>
      </c>
      <c r="DI4577">
        <v>0</v>
      </c>
    </row>
    <row r="4578" spans="1:113" x14ac:dyDescent="0.3">
      <c r="A4578" t="str">
        <f t="shared" ref="A4578:A4586" si="2108">"05/12/2020 14:49:21.006"</f>
        <v>05/12/2020 14:49:21.006</v>
      </c>
      <c r="C4578" t="str">
        <f t="shared" si="2102"/>
        <v>FFDFD3C0</v>
      </c>
      <c r="D4578" t="s">
        <v>126</v>
      </c>
      <c r="E4578">
        <v>7</v>
      </c>
      <c r="F4578">
        <v>1007</v>
      </c>
      <c r="G4578" t="s">
        <v>127</v>
      </c>
      <c r="J4578" t="s">
        <v>128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 t="shared" ref="S4578:S4586" si="2109">"14:49:38.797"</f>
        <v>14:49:38.797</v>
      </c>
      <c r="T4578" t="str">
        <f t="shared" ref="T4578:T4583" si="2110">"14:49:38.597"</f>
        <v>14:49:38.597</v>
      </c>
      <c r="U4578" t="str">
        <f t="shared" si="2093"/>
        <v>A9808D</v>
      </c>
      <c r="V4578">
        <v>0</v>
      </c>
      <c r="W4578">
        <v>0</v>
      </c>
      <c r="X4578">
        <v>1</v>
      </c>
      <c r="Z4578">
        <v>0</v>
      </c>
      <c r="AA4578">
        <v>9</v>
      </c>
      <c r="AB4578">
        <v>3</v>
      </c>
      <c r="AC4578">
        <v>0</v>
      </c>
      <c r="AD4578">
        <v>10</v>
      </c>
      <c r="AE4578">
        <v>0</v>
      </c>
      <c r="AF4578">
        <v>3</v>
      </c>
      <c r="AG4578">
        <v>2</v>
      </c>
      <c r="AH4578">
        <v>0</v>
      </c>
      <c r="AI4578" t="s">
        <v>218</v>
      </c>
      <c r="AJ4578">
        <v>28.244755000000001</v>
      </c>
      <c r="AK4578" t="s">
        <v>1026</v>
      </c>
      <c r="AL4578">
        <v>-82.336198999999993</v>
      </c>
      <c r="AM4578">
        <v>100</v>
      </c>
      <c r="AN4578">
        <v>2200</v>
      </c>
      <c r="AO4578" t="s">
        <v>118</v>
      </c>
      <c r="AP4578">
        <v>-142</v>
      </c>
      <c r="AQ4578">
        <v>-39</v>
      </c>
      <c r="AR4578">
        <v>-192</v>
      </c>
      <c r="AZ4578">
        <v>1200</v>
      </c>
      <c r="BA4578">
        <v>1</v>
      </c>
      <c r="BB4578" t="str">
        <f t="shared" si="2103"/>
        <v xml:space="preserve">N711JA  </v>
      </c>
      <c r="BC4578">
        <v>1</v>
      </c>
      <c r="BE4578">
        <v>0</v>
      </c>
      <c r="BF4578">
        <v>0</v>
      </c>
      <c r="BG4578">
        <v>0</v>
      </c>
      <c r="BH4578">
        <v>2200</v>
      </c>
      <c r="BI4578">
        <v>1</v>
      </c>
      <c r="BJ4578">
        <v>1</v>
      </c>
      <c r="BK4578">
        <v>0</v>
      </c>
      <c r="BL4578">
        <v>0</v>
      </c>
      <c r="BO4578">
        <v>0</v>
      </c>
      <c r="BP4578">
        <v>0</v>
      </c>
      <c r="BW4578" t="str">
        <f t="shared" ref="BW4578:BW4586" si="2111">"14:49:38.801"</f>
        <v>14:49:38.801</v>
      </c>
      <c r="CJ4578">
        <v>0</v>
      </c>
      <c r="CK4578">
        <v>2</v>
      </c>
      <c r="CL4578">
        <v>0</v>
      </c>
      <c r="CM4578">
        <v>2</v>
      </c>
      <c r="CN4578">
        <v>0</v>
      </c>
      <c r="CO4578">
        <v>7</v>
      </c>
      <c r="CP4578" t="s">
        <v>119</v>
      </c>
      <c r="CQ4578">
        <v>8</v>
      </c>
      <c r="CR4578">
        <v>3</v>
      </c>
      <c r="CW4578">
        <v>9172992</v>
      </c>
      <c r="CY4578">
        <v>1</v>
      </c>
      <c r="CZ4578">
        <v>0</v>
      </c>
      <c r="DA4578">
        <v>0</v>
      </c>
      <c r="DB4578">
        <v>0</v>
      </c>
      <c r="DC4578">
        <v>0</v>
      </c>
      <c r="DD4578">
        <v>1</v>
      </c>
      <c r="DE4578">
        <v>0</v>
      </c>
      <c r="DF4578">
        <v>0</v>
      </c>
      <c r="DG4578">
        <v>0</v>
      </c>
      <c r="DH4578">
        <v>0</v>
      </c>
      <c r="DI4578">
        <v>0</v>
      </c>
    </row>
    <row r="4579" spans="1:113" x14ac:dyDescent="0.3">
      <c r="A4579" t="str">
        <f t="shared" si="2108"/>
        <v>05/12/2020 14:49:21.006</v>
      </c>
      <c r="C4579" t="str">
        <f t="shared" si="2102"/>
        <v>FFDFD3C0</v>
      </c>
      <c r="D4579" t="s">
        <v>131</v>
      </c>
      <c r="E4579">
        <v>10</v>
      </c>
      <c r="F4579">
        <v>2010</v>
      </c>
      <c r="G4579" t="s">
        <v>132</v>
      </c>
      <c r="J4579" t="s">
        <v>133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 t="shared" si="2109"/>
        <v>14:49:38.797</v>
      </c>
      <c r="T4579" t="str">
        <f t="shared" si="2110"/>
        <v>14:49:38.597</v>
      </c>
      <c r="U4579" t="str">
        <f t="shared" si="2093"/>
        <v>A9808D</v>
      </c>
      <c r="V4579">
        <v>0</v>
      </c>
      <c r="W4579">
        <v>0</v>
      </c>
      <c r="X4579">
        <v>1</v>
      </c>
      <c r="Z4579">
        <v>0</v>
      </c>
      <c r="AA4579">
        <v>9</v>
      </c>
      <c r="AB4579">
        <v>3</v>
      </c>
      <c r="AC4579">
        <v>0</v>
      </c>
      <c r="AD4579">
        <v>10</v>
      </c>
      <c r="AE4579">
        <v>0</v>
      </c>
      <c r="AF4579">
        <v>3</v>
      </c>
      <c r="AG4579">
        <v>2</v>
      </c>
      <c r="AH4579">
        <v>0</v>
      </c>
      <c r="AI4579" t="s">
        <v>218</v>
      </c>
      <c r="AJ4579">
        <v>28.244755000000001</v>
      </c>
      <c r="AK4579" t="s">
        <v>1026</v>
      </c>
      <c r="AL4579">
        <v>-82.336198999999993</v>
      </c>
      <c r="AM4579">
        <v>100</v>
      </c>
      <c r="AN4579">
        <v>2200</v>
      </c>
      <c r="AO4579" t="s">
        <v>118</v>
      </c>
      <c r="AP4579">
        <v>-142</v>
      </c>
      <c r="AQ4579">
        <v>-39</v>
      </c>
      <c r="AR4579">
        <v>-192</v>
      </c>
      <c r="AZ4579">
        <v>1200</v>
      </c>
      <c r="BA4579">
        <v>1</v>
      </c>
      <c r="BB4579" t="str">
        <f t="shared" si="2103"/>
        <v xml:space="preserve">N711JA  </v>
      </c>
      <c r="BC4579">
        <v>1</v>
      </c>
      <c r="BE4579">
        <v>0</v>
      </c>
      <c r="BF4579">
        <v>0</v>
      </c>
      <c r="BG4579">
        <v>0</v>
      </c>
      <c r="BH4579">
        <v>2200</v>
      </c>
      <c r="BI4579">
        <v>1</v>
      </c>
      <c r="BJ4579">
        <v>1</v>
      </c>
      <c r="BK4579">
        <v>0</v>
      </c>
      <c r="BL4579">
        <v>0</v>
      </c>
      <c r="BO4579">
        <v>0</v>
      </c>
      <c r="BP4579">
        <v>0</v>
      </c>
      <c r="BW4579" t="str">
        <f t="shared" si="2111"/>
        <v>14:49:38.801</v>
      </c>
      <c r="CJ4579">
        <v>0</v>
      </c>
      <c r="CK4579">
        <v>2</v>
      </c>
      <c r="CL4579">
        <v>0</v>
      </c>
      <c r="CM4579">
        <v>2</v>
      </c>
      <c r="CN4579">
        <v>0</v>
      </c>
      <c r="CO4579">
        <v>7</v>
      </c>
      <c r="CP4579" t="s">
        <v>119</v>
      </c>
      <c r="CQ4579">
        <v>8</v>
      </c>
      <c r="CR4579">
        <v>3</v>
      </c>
      <c r="CW4579">
        <v>9172992</v>
      </c>
      <c r="CY4579">
        <v>1</v>
      </c>
      <c r="CZ4579">
        <v>0</v>
      </c>
      <c r="DA4579">
        <v>1</v>
      </c>
      <c r="DB4579">
        <v>0</v>
      </c>
      <c r="DC4579">
        <v>0</v>
      </c>
      <c r="DD4579">
        <v>1</v>
      </c>
      <c r="DE4579">
        <v>0</v>
      </c>
      <c r="DF4579">
        <v>0</v>
      </c>
      <c r="DG4579">
        <v>0</v>
      </c>
      <c r="DH4579">
        <v>0</v>
      </c>
      <c r="DI4579">
        <v>0</v>
      </c>
    </row>
    <row r="4580" spans="1:113" x14ac:dyDescent="0.3">
      <c r="A4580" t="str">
        <f t="shared" si="2108"/>
        <v>05/12/2020 14:49:21.006</v>
      </c>
      <c r="C4580" t="str">
        <f t="shared" si="2102"/>
        <v>FFDFD3C0</v>
      </c>
      <c r="D4580" t="s">
        <v>131</v>
      </c>
      <c r="E4580">
        <v>12</v>
      </c>
      <c r="F4580">
        <v>2012</v>
      </c>
      <c r="G4580" t="s">
        <v>137</v>
      </c>
      <c r="J4580" t="s">
        <v>133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 t="shared" si="2109"/>
        <v>14:49:38.797</v>
      </c>
      <c r="T4580" t="str">
        <f t="shared" si="2110"/>
        <v>14:49:38.597</v>
      </c>
      <c r="U4580" t="str">
        <f t="shared" si="2093"/>
        <v>A9808D</v>
      </c>
      <c r="V4580">
        <v>0</v>
      </c>
      <c r="W4580">
        <v>0</v>
      </c>
      <c r="X4580">
        <v>1</v>
      </c>
      <c r="Z4580">
        <v>0</v>
      </c>
      <c r="AA4580">
        <v>9</v>
      </c>
      <c r="AB4580">
        <v>3</v>
      </c>
      <c r="AC4580">
        <v>0</v>
      </c>
      <c r="AD4580">
        <v>10</v>
      </c>
      <c r="AE4580">
        <v>0</v>
      </c>
      <c r="AF4580">
        <v>3</v>
      </c>
      <c r="AG4580">
        <v>2</v>
      </c>
      <c r="AH4580">
        <v>0</v>
      </c>
      <c r="AI4580" t="s">
        <v>218</v>
      </c>
      <c r="AJ4580">
        <v>28.244755000000001</v>
      </c>
      <c r="AK4580" t="s">
        <v>1026</v>
      </c>
      <c r="AL4580">
        <v>-82.336198999999993</v>
      </c>
      <c r="AM4580">
        <v>100</v>
      </c>
      <c r="AN4580">
        <v>2200</v>
      </c>
      <c r="AO4580" t="s">
        <v>118</v>
      </c>
      <c r="AP4580">
        <v>-142</v>
      </c>
      <c r="AQ4580">
        <v>-39</v>
      </c>
      <c r="AR4580">
        <v>-192</v>
      </c>
      <c r="AZ4580">
        <v>1200</v>
      </c>
      <c r="BA4580">
        <v>1</v>
      </c>
      <c r="BB4580" t="str">
        <f t="shared" si="2103"/>
        <v xml:space="preserve">N711JA  </v>
      </c>
      <c r="BC4580">
        <v>1</v>
      </c>
      <c r="BE4580">
        <v>0</v>
      </c>
      <c r="BF4580">
        <v>0</v>
      </c>
      <c r="BG4580">
        <v>0</v>
      </c>
      <c r="BH4580">
        <v>2200</v>
      </c>
      <c r="BI4580">
        <v>1</v>
      </c>
      <c r="BJ4580">
        <v>1</v>
      </c>
      <c r="BK4580">
        <v>0</v>
      </c>
      <c r="BL4580">
        <v>0</v>
      </c>
      <c r="BO4580">
        <v>0</v>
      </c>
      <c r="BP4580">
        <v>0</v>
      </c>
      <c r="BW4580" t="str">
        <f t="shared" si="2111"/>
        <v>14:49:38.801</v>
      </c>
      <c r="CJ4580">
        <v>0</v>
      </c>
      <c r="CK4580">
        <v>2</v>
      </c>
      <c r="CL4580">
        <v>0</v>
      </c>
      <c r="CM4580">
        <v>2</v>
      </c>
      <c r="CN4580">
        <v>0</v>
      </c>
      <c r="CO4580">
        <v>7</v>
      </c>
      <c r="CP4580" t="s">
        <v>119</v>
      </c>
      <c r="CQ4580">
        <v>8</v>
      </c>
      <c r="CR4580">
        <v>3</v>
      </c>
      <c r="CW4580">
        <v>9172992</v>
      </c>
      <c r="CY4580">
        <v>1</v>
      </c>
      <c r="CZ4580">
        <v>0</v>
      </c>
      <c r="DA4580">
        <v>1</v>
      </c>
      <c r="DB4580">
        <v>0</v>
      </c>
      <c r="DC4580">
        <v>0</v>
      </c>
      <c r="DD4580">
        <v>1</v>
      </c>
      <c r="DE4580">
        <v>0</v>
      </c>
      <c r="DF4580">
        <v>0</v>
      </c>
      <c r="DG4580">
        <v>0</v>
      </c>
      <c r="DH4580">
        <v>0</v>
      </c>
      <c r="DI4580">
        <v>0</v>
      </c>
    </row>
    <row r="4581" spans="1:113" x14ac:dyDescent="0.3">
      <c r="A4581" t="str">
        <f t="shared" si="2108"/>
        <v>05/12/2020 14:49:21.006</v>
      </c>
      <c r="C4581" t="str">
        <f t="shared" si="2102"/>
        <v>FFDFD3C0</v>
      </c>
      <c r="D4581" t="s">
        <v>134</v>
      </c>
      <c r="E4581">
        <v>12</v>
      </c>
      <c r="H4581">
        <v>64</v>
      </c>
      <c r="I4581" t="s">
        <v>135</v>
      </c>
      <c r="J4581" t="s">
        <v>136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 t="shared" si="2109"/>
        <v>14:49:38.797</v>
      </c>
      <c r="T4581" t="str">
        <f t="shared" si="2110"/>
        <v>14:49:38.597</v>
      </c>
      <c r="U4581" t="str">
        <f t="shared" si="2093"/>
        <v>A9808D</v>
      </c>
      <c r="V4581">
        <v>0</v>
      </c>
      <c r="W4581">
        <v>0</v>
      </c>
      <c r="X4581">
        <v>1</v>
      </c>
      <c r="Z4581">
        <v>0</v>
      </c>
      <c r="AA4581">
        <v>9</v>
      </c>
      <c r="AB4581">
        <v>3</v>
      </c>
      <c r="AC4581">
        <v>0</v>
      </c>
      <c r="AD4581">
        <v>10</v>
      </c>
      <c r="AE4581">
        <v>0</v>
      </c>
      <c r="AF4581">
        <v>3</v>
      </c>
      <c r="AG4581">
        <v>2</v>
      </c>
      <c r="AH4581">
        <v>0</v>
      </c>
      <c r="AI4581" t="s">
        <v>218</v>
      </c>
      <c r="AJ4581">
        <v>28.244755000000001</v>
      </c>
      <c r="AK4581" t="s">
        <v>1026</v>
      </c>
      <c r="AL4581">
        <v>-82.336198999999993</v>
      </c>
      <c r="AM4581">
        <v>100</v>
      </c>
      <c r="AN4581">
        <v>2200</v>
      </c>
      <c r="AO4581" t="s">
        <v>118</v>
      </c>
      <c r="AP4581">
        <v>-142</v>
      </c>
      <c r="AQ4581">
        <v>-39</v>
      </c>
      <c r="AR4581">
        <v>-192</v>
      </c>
      <c r="AZ4581">
        <v>1200</v>
      </c>
      <c r="BA4581">
        <v>1</v>
      </c>
      <c r="BB4581" t="str">
        <f t="shared" si="2103"/>
        <v xml:space="preserve">N711JA  </v>
      </c>
      <c r="BC4581">
        <v>1</v>
      </c>
      <c r="BE4581">
        <v>0</v>
      </c>
      <c r="BF4581">
        <v>0</v>
      </c>
      <c r="BG4581">
        <v>0</v>
      </c>
      <c r="BH4581">
        <v>2200</v>
      </c>
      <c r="BI4581">
        <v>1</v>
      </c>
      <c r="BJ4581">
        <v>1</v>
      </c>
      <c r="BK4581">
        <v>0</v>
      </c>
      <c r="BL4581">
        <v>0</v>
      </c>
      <c r="BO4581">
        <v>0</v>
      </c>
      <c r="BP4581">
        <v>0</v>
      </c>
      <c r="BW4581" t="str">
        <f t="shared" si="2111"/>
        <v>14:49:38.801</v>
      </c>
      <c r="CJ4581">
        <v>0</v>
      </c>
      <c r="CK4581">
        <v>2</v>
      </c>
      <c r="CL4581">
        <v>0</v>
      </c>
      <c r="CM4581">
        <v>2</v>
      </c>
      <c r="CN4581">
        <v>0</v>
      </c>
      <c r="CO4581">
        <v>7</v>
      </c>
      <c r="CP4581" t="s">
        <v>119</v>
      </c>
      <c r="CQ4581">
        <v>8</v>
      </c>
      <c r="CR4581">
        <v>3</v>
      </c>
      <c r="CW4581">
        <v>9172992</v>
      </c>
      <c r="CY4581">
        <v>1</v>
      </c>
      <c r="CZ4581">
        <v>0</v>
      </c>
      <c r="DA4581">
        <v>1</v>
      </c>
      <c r="DB4581">
        <v>0</v>
      </c>
      <c r="DC4581">
        <v>0</v>
      </c>
      <c r="DD4581">
        <v>1</v>
      </c>
      <c r="DE4581">
        <v>0</v>
      </c>
      <c r="DF4581">
        <v>0</v>
      </c>
      <c r="DG4581">
        <v>0</v>
      </c>
      <c r="DH4581">
        <v>0</v>
      </c>
      <c r="DI4581">
        <v>0</v>
      </c>
    </row>
    <row r="4582" spans="1:113" x14ac:dyDescent="0.3">
      <c r="A4582" t="str">
        <f t="shared" si="2108"/>
        <v>05/12/2020 14:49:21.006</v>
      </c>
      <c r="C4582" t="str">
        <f t="shared" si="2102"/>
        <v>FFDFD3C0</v>
      </c>
      <c r="D4582" t="s">
        <v>138</v>
      </c>
      <c r="E4582">
        <v>3</v>
      </c>
      <c r="H4582">
        <v>9</v>
      </c>
      <c r="I4582" t="s">
        <v>140</v>
      </c>
      <c r="J4582" t="s">
        <v>136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 t="shared" si="2109"/>
        <v>14:49:38.797</v>
      </c>
      <c r="T4582" t="str">
        <f t="shared" si="2110"/>
        <v>14:49:38.597</v>
      </c>
      <c r="U4582" t="str">
        <f t="shared" si="2093"/>
        <v>A9808D</v>
      </c>
      <c r="V4582">
        <v>0</v>
      </c>
      <c r="W4582">
        <v>0</v>
      </c>
      <c r="X4582">
        <v>1</v>
      </c>
      <c r="Z4582">
        <v>0</v>
      </c>
      <c r="AA4582">
        <v>9</v>
      </c>
      <c r="AB4582">
        <v>3</v>
      </c>
      <c r="AC4582">
        <v>0</v>
      </c>
      <c r="AD4582">
        <v>10</v>
      </c>
      <c r="AE4582">
        <v>0</v>
      </c>
      <c r="AF4582">
        <v>3</v>
      </c>
      <c r="AG4582">
        <v>2</v>
      </c>
      <c r="AH4582">
        <v>0</v>
      </c>
      <c r="AI4582" t="s">
        <v>218</v>
      </c>
      <c r="AJ4582">
        <v>28.244755000000001</v>
      </c>
      <c r="AK4582" t="s">
        <v>1026</v>
      </c>
      <c r="AL4582">
        <v>-82.336198999999993</v>
      </c>
      <c r="AM4582">
        <v>100</v>
      </c>
      <c r="AN4582">
        <v>2200</v>
      </c>
      <c r="AO4582" t="s">
        <v>118</v>
      </c>
      <c r="AP4582">
        <v>-142</v>
      </c>
      <c r="AQ4582">
        <v>-39</v>
      </c>
      <c r="AR4582">
        <v>-192</v>
      </c>
      <c r="AZ4582">
        <v>1200</v>
      </c>
      <c r="BA4582">
        <v>1</v>
      </c>
      <c r="BB4582" t="str">
        <f t="shared" si="2103"/>
        <v xml:space="preserve">N711JA  </v>
      </c>
      <c r="BC4582">
        <v>1</v>
      </c>
      <c r="BE4582">
        <v>0</v>
      </c>
      <c r="BF4582">
        <v>0</v>
      </c>
      <c r="BG4582">
        <v>0</v>
      </c>
      <c r="BH4582">
        <v>2200</v>
      </c>
      <c r="BI4582">
        <v>1</v>
      </c>
      <c r="BJ4582">
        <v>1</v>
      </c>
      <c r="BK4582">
        <v>0</v>
      </c>
      <c r="BL4582">
        <v>0</v>
      </c>
      <c r="BO4582">
        <v>0</v>
      </c>
      <c r="BP4582">
        <v>0</v>
      </c>
      <c r="BW4582" t="str">
        <f t="shared" si="2111"/>
        <v>14:49:38.801</v>
      </c>
      <c r="CJ4582">
        <v>0</v>
      </c>
      <c r="CK4582">
        <v>2</v>
      </c>
      <c r="CL4582">
        <v>0</v>
      </c>
      <c r="CM4582">
        <v>2</v>
      </c>
      <c r="CN4582">
        <v>0</v>
      </c>
      <c r="CO4582">
        <v>7</v>
      </c>
      <c r="CP4582" t="s">
        <v>119</v>
      </c>
      <c r="CQ4582">
        <v>8</v>
      </c>
      <c r="CR4582">
        <v>3</v>
      </c>
      <c r="CW4582">
        <v>9172992</v>
      </c>
      <c r="CY4582">
        <v>1</v>
      </c>
      <c r="CZ4582">
        <v>0</v>
      </c>
      <c r="DA4582">
        <v>1</v>
      </c>
      <c r="DB4582">
        <v>0</v>
      </c>
      <c r="DC4582">
        <v>0</v>
      </c>
      <c r="DD4582">
        <v>1</v>
      </c>
      <c r="DE4582">
        <v>0</v>
      </c>
      <c r="DF4582">
        <v>0</v>
      </c>
      <c r="DG4582">
        <v>0</v>
      </c>
      <c r="DH4582">
        <v>0</v>
      </c>
      <c r="DI4582">
        <v>0</v>
      </c>
    </row>
    <row r="4583" spans="1:113" x14ac:dyDescent="0.3">
      <c r="A4583" t="str">
        <f t="shared" si="2108"/>
        <v>05/12/2020 14:49:21.006</v>
      </c>
      <c r="C4583" t="str">
        <f t="shared" si="2102"/>
        <v>FFDFD3C0</v>
      </c>
      <c r="D4583" t="s">
        <v>138</v>
      </c>
      <c r="E4583">
        <v>2</v>
      </c>
      <c r="H4583">
        <v>8</v>
      </c>
      <c r="I4583" t="s">
        <v>139</v>
      </c>
      <c r="J4583" t="s">
        <v>136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 t="shared" si="2109"/>
        <v>14:49:38.797</v>
      </c>
      <c r="T4583" t="str">
        <f t="shared" si="2110"/>
        <v>14:49:38.597</v>
      </c>
      <c r="U4583" t="str">
        <f t="shared" si="2093"/>
        <v>A9808D</v>
      </c>
      <c r="V4583">
        <v>0</v>
      </c>
      <c r="W4583">
        <v>0</v>
      </c>
      <c r="X4583">
        <v>1</v>
      </c>
      <c r="Z4583">
        <v>0</v>
      </c>
      <c r="AA4583">
        <v>9</v>
      </c>
      <c r="AB4583">
        <v>3</v>
      </c>
      <c r="AC4583">
        <v>0</v>
      </c>
      <c r="AD4583">
        <v>10</v>
      </c>
      <c r="AE4583">
        <v>0</v>
      </c>
      <c r="AF4583">
        <v>3</v>
      </c>
      <c r="AG4583">
        <v>2</v>
      </c>
      <c r="AH4583">
        <v>0</v>
      </c>
      <c r="AI4583" t="s">
        <v>218</v>
      </c>
      <c r="AJ4583">
        <v>28.244755000000001</v>
      </c>
      <c r="AK4583" t="s">
        <v>1026</v>
      </c>
      <c r="AL4583">
        <v>-82.336198999999993</v>
      </c>
      <c r="AM4583">
        <v>100</v>
      </c>
      <c r="AN4583">
        <v>2200</v>
      </c>
      <c r="AO4583" t="s">
        <v>118</v>
      </c>
      <c r="AP4583">
        <v>-142</v>
      </c>
      <c r="AQ4583">
        <v>-39</v>
      </c>
      <c r="AR4583">
        <v>-192</v>
      </c>
      <c r="AZ4583">
        <v>1200</v>
      </c>
      <c r="BA4583">
        <v>1</v>
      </c>
      <c r="BB4583" t="str">
        <f t="shared" si="2103"/>
        <v xml:space="preserve">N711JA  </v>
      </c>
      <c r="BC4583">
        <v>1</v>
      </c>
      <c r="BE4583">
        <v>0</v>
      </c>
      <c r="BF4583">
        <v>0</v>
      </c>
      <c r="BG4583">
        <v>0</v>
      </c>
      <c r="BH4583">
        <v>2200</v>
      </c>
      <c r="BI4583">
        <v>1</v>
      </c>
      <c r="BJ4583">
        <v>1</v>
      </c>
      <c r="BK4583">
        <v>0</v>
      </c>
      <c r="BL4583">
        <v>0</v>
      </c>
      <c r="BO4583">
        <v>0</v>
      </c>
      <c r="BP4583">
        <v>0</v>
      </c>
      <c r="BW4583" t="str">
        <f t="shared" si="2111"/>
        <v>14:49:38.801</v>
      </c>
      <c r="CJ4583">
        <v>0</v>
      </c>
      <c r="CK4583">
        <v>2</v>
      </c>
      <c r="CL4583">
        <v>0</v>
      </c>
      <c r="CM4583">
        <v>2</v>
      </c>
      <c r="CN4583">
        <v>0</v>
      </c>
      <c r="CO4583">
        <v>7</v>
      </c>
      <c r="CP4583" t="s">
        <v>119</v>
      </c>
      <c r="CQ4583">
        <v>8</v>
      </c>
      <c r="CR4583">
        <v>3</v>
      </c>
      <c r="CW4583">
        <v>9172992</v>
      </c>
      <c r="CY4583">
        <v>1</v>
      </c>
      <c r="CZ4583">
        <v>0</v>
      </c>
      <c r="DA4583">
        <v>1</v>
      </c>
      <c r="DB4583">
        <v>0</v>
      </c>
      <c r="DC4583">
        <v>0</v>
      </c>
      <c r="DD4583">
        <v>1</v>
      </c>
      <c r="DE4583">
        <v>0</v>
      </c>
      <c r="DF4583">
        <v>0</v>
      </c>
      <c r="DG4583">
        <v>0</v>
      </c>
      <c r="DH4583">
        <v>0</v>
      </c>
      <c r="DI4583">
        <v>0</v>
      </c>
    </row>
    <row r="4584" spans="1:113" x14ac:dyDescent="0.3">
      <c r="A4584" t="str">
        <f t="shared" si="2108"/>
        <v>05/12/2020 14:49:21.006</v>
      </c>
      <c r="C4584" t="str">
        <f t="shared" si="2102"/>
        <v>FFDFD3C0</v>
      </c>
      <c r="D4584" t="s">
        <v>131</v>
      </c>
      <c r="E4584">
        <v>18</v>
      </c>
      <c r="F4584">
        <v>2018</v>
      </c>
      <c r="G4584" t="s">
        <v>161</v>
      </c>
      <c r="J4584" t="s">
        <v>133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 t="shared" si="2109"/>
        <v>14:49:38.797</v>
      </c>
      <c r="T4584" t="str">
        <f>"14:49:38.097"</f>
        <v>14:49:38.097</v>
      </c>
      <c r="U4584" t="str">
        <f t="shared" si="2093"/>
        <v>A9808D</v>
      </c>
      <c r="V4584">
        <v>0</v>
      </c>
      <c r="W4584">
        <v>0</v>
      </c>
      <c r="X4584">
        <v>1</v>
      </c>
      <c r="Z4584">
        <v>0</v>
      </c>
      <c r="AA4584">
        <v>9</v>
      </c>
      <c r="AB4584">
        <v>3</v>
      </c>
      <c r="AC4584">
        <v>0</v>
      </c>
      <c r="AD4584">
        <v>10</v>
      </c>
      <c r="AE4584">
        <v>0</v>
      </c>
      <c r="AF4584">
        <v>3</v>
      </c>
      <c r="AG4584">
        <v>2</v>
      </c>
      <c r="AH4584">
        <v>0</v>
      </c>
      <c r="AI4584" t="s">
        <v>218</v>
      </c>
      <c r="AJ4584">
        <v>28.244755000000001</v>
      </c>
      <c r="AK4584" t="s">
        <v>1026</v>
      </c>
      <c r="AL4584">
        <v>-82.336198999999993</v>
      </c>
      <c r="AM4584">
        <v>100</v>
      </c>
      <c r="AN4584">
        <v>2200</v>
      </c>
      <c r="AO4584" t="s">
        <v>118</v>
      </c>
      <c r="AP4584">
        <v>-142</v>
      </c>
      <c r="AQ4584">
        <v>-40</v>
      </c>
      <c r="AR4584">
        <v>-128</v>
      </c>
      <c r="AZ4584">
        <v>1200</v>
      </c>
      <c r="BA4584">
        <v>1</v>
      </c>
      <c r="BB4584" t="str">
        <f t="shared" si="2103"/>
        <v xml:space="preserve">N711JA  </v>
      </c>
      <c r="BC4584">
        <v>1</v>
      </c>
      <c r="BE4584">
        <v>0</v>
      </c>
      <c r="BF4584">
        <v>0</v>
      </c>
      <c r="BG4584">
        <v>0</v>
      </c>
      <c r="BH4584">
        <v>2200</v>
      </c>
      <c r="BI4584">
        <v>1</v>
      </c>
      <c r="BJ4584">
        <v>1</v>
      </c>
      <c r="BK4584">
        <v>0</v>
      </c>
      <c r="BL4584">
        <v>0</v>
      </c>
      <c r="BO4584">
        <v>0</v>
      </c>
      <c r="BP4584">
        <v>0</v>
      </c>
      <c r="BW4584" t="str">
        <f t="shared" si="2111"/>
        <v>14:49:38.801</v>
      </c>
      <c r="CJ4584">
        <v>0</v>
      </c>
      <c r="CK4584">
        <v>2</v>
      </c>
      <c r="CL4584">
        <v>0</v>
      </c>
      <c r="CM4584">
        <v>2</v>
      </c>
      <c r="CN4584">
        <v>0</v>
      </c>
      <c r="CO4584">
        <v>6</v>
      </c>
      <c r="CP4584" t="s">
        <v>119</v>
      </c>
      <c r="CQ4584">
        <v>56</v>
      </c>
      <c r="CR4584">
        <v>2</v>
      </c>
      <c r="CW4584">
        <v>5176425</v>
      </c>
      <c r="CY4584">
        <v>1</v>
      </c>
      <c r="CZ4584">
        <v>0</v>
      </c>
      <c r="DA4584">
        <v>1</v>
      </c>
      <c r="DB4584">
        <v>0</v>
      </c>
      <c r="DC4584">
        <v>0</v>
      </c>
      <c r="DD4584">
        <v>1</v>
      </c>
      <c r="DE4584">
        <v>0</v>
      </c>
      <c r="DF4584">
        <v>0</v>
      </c>
      <c r="DG4584">
        <v>0</v>
      </c>
      <c r="DH4584">
        <v>0</v>
      </c>
      <c r="DI4584">
        <v>0</v>
      </c>
    </row>
    <row r="4585" spans="1:113" x14ac:dyDescent="0.3">
      <c r="A4585" t="str">
        <f t="shared" si="2108"/>
        <v>05/12/2020 14:49:21.006</v>
      </c>
      <c r="C4585" t="str">
        <f t="shared" si="2102"/>
        <v>FFDFD3C0</v>
      </c>
      <c r="D4585" t="s">
        <v>113</v>
      </c>
      <c r="E4585">
        <v>3</v>
      </c>
      <c r="H4585">
        <v>164</v>
      </c>
      <c r="I4585" t="s">
        <v>114</v>
      </c>
      <c r="J4585" t="s">
        <v>115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 t="shared" si="2109"/>
        <v>14:49:38.797</v>
      </c>
      <c r="T4585" t="str">
        <f>"14:49:38.597"</f>
        <v>14:49:38.597</v>
      </c>
      <c r="U4585" t="str">
        <f t="shared" si="2093"/>
        <v>A9808D</v>
      </c>
      <c r="V4585">
        <v>0</v>
      </c>
      <c r="W4585">
        <v>0</v>
      </c>
      <c r="X4585">
        <v>1</v>
      </c>
      <c r="Z4585">
        <v>0</v>
      </c>
      <c r="AA4585">
        <v>9</v>
      </c>
      <c r="AB4585">
        <v>3</v>
      </c>
      <c r="AC4585">
        <v>0</v>
      </c>
      <c r="AD4585">
        <v>10</v>
      </c>
      <c r="AE4585">
        <v>0</v>
      </c>
      <c r="AF4585">
        <v>3</v>
      </c>
      <c r="AG4585">
        <v>2</v>
      </c>
      <c r="AH4585">
        <v>0</v>
      </c>
      <c r="AI4585" t="s">
        <v>218</v>
      </c>
      <c r="AJ4585">
        <v>28.244755000000001</v>
      </c>
      <c r="AK4585" t="s">
        <v>1026</v>
      </c>
      <c r="AL4585">
        <v>-82.336198999999993</v>
      </c>
      <c r="AM4585">
        <v>100</v>
      </c>
      <c r="AN4585">
        <v>2200</v>
      </c>
      <c r="AO4585" t="s">
        <v>118</v>
      </c>
      <c r="AP4585">
        <v>-142</v>
      </c>
      <c r="AQ4585">
        <v>-39</v>
      </c>
      <c r="AR4585">
        <v>-192</v>
      </c>
      <c r="AZ4585">
        <v>1200</v>
      </c>
      <c r="BA4585">
        <v>1</v>
      </c>
      <c r="BB4585" t="str">
        <f t="shared" si="2103"/>
        <v xml:space="preserve">N711JA  </v>
      </c>
      <c r="BC4585">
        <v>1</v>
      </c>
      <c r="BE4585">
        <v>0</v>
      </c>
      <c r="BF4585">
        <v>0</v>
      </c>
      <c r="BG4585">
        <v>0</v>
      </c>
      <c r="BH4585">
        <v>2200</v>
      </c>
      <c r="BI4585">
        <v>1</v>
      </c>
      <c r="BJ4585">
        <v>1</v>
      </c>
      <c r="BK4585">
        <v>0</v>
      </c>
      <c r="BL4585">
        <v>0</v>
      </c>
      <c r="BO4585">
        <v>0</v>
      </c>
      <c r="BP4585">
        <v>0</v>
      </c>
      <c r="BW4585" t="str">
        <f t="shared" si="2111"/>
        <v>14:49:38.801</v>
      </c>
      <c r="CJ4585">
        <v>0</v>
      </c>
      <c r="CK4585">
        <v>2</v>
      </c>
      <c r="CL4585">
        <v>0</v>
      </c>
      <c r="CM4585">
        <v>2</v>
      </c>
      <c r="CN4585">
        <v>0</v>
      </c>
      <c r="CO4585">
        <v>7</v>
      </c>
      <c r="CP4585" t="s">
        <v>119</v>
      </c>
      <c r="CQ4585">
        <v>8</v>
      </c>
      <c r="CR4585">
        <v>3</v>
      </c>
      <c r="CW4585">
        <v>9172992</v>
      </c>
      <c r="CY4585">
        <v>1</v>
      </c>
      <c r="CZ4585">
        <v>0</v>
      </c>
      <c r="DA4585">
        <v>1</v>
      </c>
      <c r="DB4585">
        <v>0</v>
      </c>
      <c r="DC4585">
        <v>0</v>
      </c>
      <c r="DD4585">
        <v>1</v>
      </c>
      <c r="DE4585">
        <v>0</v>
      </c>
      <c r="DF4585">
        <v>0</v>
      </c>
      <c r="DG4585">
        <v>0</v>
      </c>
      <c r="DH4585">
        <v>0</v>
      </c>
      <c r="DI4585">
        <v>0</v>
      </c>
    </row>
    <row r="4586" spans="1:113" x14ac:dyDescent="0.3">
      <c r="A4586" t="str">
        <f t="shared" si="2108"/>
        <v>05/12/2020 14:49:21.006</v>
      </c>
      <c r="C4586" t="str">
        <f t="shared" si="2102"/>
        <v>FFDFD3C0</v>
      </c>
      <c r="D4586" t="s">
        <v>126</v>
      </c>
      <c r="E4586">
        <v>6</v>
      </c>
      <c r="F4586">
        <v>1006</v>
      </c>
      <c r="G4586" t="s">
        <v>114</v>
      </c>
      <c r="J4586" t="s">
        <v>128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 t="shared" si="2109"/>
        <v>14:49:38.797</v>
      </c>
      <c r="T4586" t="str">
        <f>"14:49:38.597"</f>
        <v>14:49:38.597</v>
      </c>
      <c r="U4586" t="str">
        <f t="shared" si="2093"/>
        <v>A9808D</v>
      </c>
      <c r="V4586">
        <v>0</v>
      </c>
      <c r="W4586">
        <v>0</v>
      </c>
      <c r="X4586">
        <v>1</v>
      </c>
      <c r="Z4586">
        <v>0</v>
      </c>
      <c r="AA4586">
        <v>9</v>
      </c>
      <c r="AB4586">
        <v>3</v>
      </c>
      <c r="AC4586">
        <v>0</v>
      </c>
      <c r="AD4586">
        <v>10</v>
      </c>
      <c r="AE4586">
        <v>0</v>
      </c>
      <c r="AF4586">
        <v>3</v>
      </c>
      <c r="AG4586">
        <v>2</v>
      </c>
      <c r="AH4586">
        <v>0</v>
      </c>
      <c r="AI4586" t="s">
        <v>218</v>
      </c>
      <c r="AJ4586">
        <v>28.244755000000001</v>
      </c>
      <c r="AK4586" t="s">
        <v>1026</v>
      </c>
      <c r="AL4586">
        <v>-82.336198999999993</v>
      </c>
      <c r="AM4586">
        <v>100</v>
      </c>
      <c r="AN4586">
        <v>2200</v>
      </c>
      <c r="AO4586" t="s">
        <v>118</v>
      </c>
      <c r="AP4586">
        <v>-142</v>
      </c>
      <c r="AQ4586">
        <v>-39</v>
      </c>
      <c r="AR4586">
        <v>-192</v>
      </c>
      <c r="AZ4586">
        <v>1200</v>
      </c>
      <c r="BA4586">
        <v>1</v>
      </c>
      <c r="BB4586" t="str">
        <f t="shared" si="2103"/>
        <v xml:space="preserve">N711JA  </v>
      </c>
      <c r="BC4586">
        <v>1</v>
      </c>
      <c r="BE4586">
        <v>0</v>
      </c>
      <c r="BF4586">
        <v>0</v>
      </c>
      <c r="BG4586">
        <v>0</v>
      </c>
      <c r="BH4586">
        <v>2200</v>
      </c>
      <c r="BI4586">
        <v>1</v>
      </c>
      <c r="BJ4586">
        <v>1</v>
      </c>
      <c r="BK4586">
        <v>0</v>
      </c>
      <c r="BL4586">
        <v>0</v>
      </c>
      <c r="BO4586">
        <v>0</v>
      </c>
      <c r="BP4586">
        <v>0</v>
      </c>
      <c r="BW4586" t="str">
        <f t="shared" si="2111"/>
        <v>14:49:38.801</v>
      </c>
      <c r="CJ4586">
        <v>0</v>
      </c>
      <c r="CK4586">
        <v>2</v>
      </c>
      <c r="CL4586">
        <v>0</v>
      </c>
      <c r="CM4586">
        <v>2</v>
      </c>
      <c r="CN4586">
        <v>0</v>
      </c>
      <c r="CO4586">
        <v>7</v>
      </c>
      <c r="CP4586" t="s">
        <v>119</v>
      </c>
      <c r="CQ4586">
        <v>8</v>
      </c>
      <c r="CR4586">
        <v>3</v>
      </c>
      <c r="CW4586">
        <v>9172992</v>
      </c>
      <c r="CY4586">
        <v>1</v>
      </c>
      <c r="CZ4586">
        <v>0</v>
      </c>
      <c r="DA4586">
        <v>1</v>
      </c>
      <c r="DB4586">
        <v>0</v>
      </c>
      <c r="DC4586">
        <v>0</v>
      </c>
      <c r="DD4586">
        <v>1</v>
      </c>
      <c r="DE4586">
        <v>0</v>
      </c>
      <c r="DF4586">
        <v>0</v>
      </c>
      <c r="DG4586">
        <v>0</v>
      </c>
      <c r="DH4586">
        <v>0</v>
      </c>
      <c r="DI4586">
        <v>0</v>
      </c>
    </row>
    <row r="4587" spans="1:113" x14ac:dyDescent="0.3">
      <c r="A4587" t="str">
        <f t="shared" ref="A4587:A4595" si="2112">"05/12/2020 14:49:21.915"</f>
        <v>05/12/2020 14:49:21.915</v>
      </c>
      <c r="C4587" t="str">
        <f t="shared" si="2102"/>
        <v>FFDFD3C0</v>
      </c>
      <c r="D4587" t="s">
        <v>131</v>
      </c>
      <c r="E4587">
        <v>12</v>
      </c>
      <c r="F4587">
        <v>2012</v>
      </c>
      <c r="G4587" t="s">
        <v>137</v>
      </c>
      <c r="J4587" t="s">
        <v>133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 t="shared" ref="S4587:S4595" si="2113">"14:49:39.758"</f>
        <v>14:49:39.758</v>
      </c>
      <c r="T4587" t="str">
        <f t="shared" ref="T4587:T4595" si="2114">"14:49:39.658"</f>
        <v>14:49:39.658</v>
      </c>
      <c r="U4587" t="str">
        <f t="shared" si="2093"/>
        <v>A9808D</v>
      </c>
      <c r="V4587">
        <v>0</v>
      </c>
      <c r="W4587">
        <v>0</v>
      </c>
      <c r="X4587">
        <v>1</v>
      </c>
      <c r="Z4587">
        <v>0</v>
      </c>
      <c r="AA4587">
        <v>9</v>
      </c>
      <c r="AB4587">
        <v>3</v>
      </c>
      <c r="AC4587">
        <v>0</v>
      </c>
      <c r="AD4587">
        <v>10</v>
      </c>
      <c r="AE4587">
        <v>0</v>
      </c>
      <c r="AF4587">
        <v>3</v>
      </c>
      <c r="AG4587">
        <v>2</v>
      </c>
      <c r="AH4587">
        <v>0</v>
      </c>
      <c r="AI4587" t="s">
        <v>1027</v>
      </c>
      <c r="AJ4587">
        <v>28.244584</v>
      </c>
      <c r="AK4587" t="s">
        <v>1028</v>
      </c>
      <c r="AL4587">
        <v>-82.336928999999998</v>
      </c>
      <c r="AM4587">
        <v>100</v>
      </c>
      <c r="AN4587">
        <v>2200</v>
      </c>
      <c r="AO4587" t="s">
        <v>118</v>
      </c>
      <c r="AP4587">
        <v>-142</v>
      </c>
      <c r="AQ4587">
        <v>-39</v>
      </c>
      <c r="AR4587">
        <v>-192</v>
      </c>
      <c r="AZ4587">
        <v>1200</v>
      </c>
      <c r="BA4587">
        <v>1</v>
      </c>
      <c r="BB4587" t="str">
        <f t="shared" si="2103"/>
        <v xml:space="preserve">N711JA  </v>
      </c>
      <c r="BC4587">
        <v>1</v>
      </c>
      <c r="BE4587">
        <v>0</v>
      </c>
      <c r="BF4587">
        <v>0</v>
      </c>
      <c r="BG4587">
        <v>0</v>
      </c>
      <c r="BH4587">
        <v>2200</v>
      </c>
      <c r="BI4587">
        <v>1</v>
      </c>
      <c r="BJ4587">
        <v>1</v>
      </c>
      <c r="BK4587">
        <v>0</v>
      </c>
      <c r="BL4587">
        <v>0</v>
      </c>
      <c r="BO4587">
        <v>0</v>
      </c>
      <c r="BP4587">
        <v>0</v>
      </c>
      <c r="BW4587" t="str">
        <f t="shared" ref="BW4587:BW4595" si="2115">"14:49:39.761"</f>
        <v>14:49:39.761</v>
      </c>
      <c r="CJ4587">
        <v>0</v>
      </c>
      <c r="CK4587">
        <v>2</v>
      </c>
      <c r="CL4587">
        <v>0</v>
      </c>
      <c r="CM4587">
        <v>2</v>
      </c>
      <c r="CN4587">
        <v>0</v>
      </c>
      <c r="CO4587">
        <v>7</v>
      </c>
      <c r="CP4587" t="s">
        <v>119</v>
      </c>
      <c r="CQ4587">
        <v>8</v>
      </c>
      <c r="CR4587">
        <v>3</v>
      </c>
      <c r="CW4587">
        <v>9173996</v>
      </c>
      <c r="CY4587">
        <v>1</v>
      </c>
      <c r="CZ4587">
        <v>0</v>
      </c>
      <c r="DA4587">
        <v>0</v>
      </c>
      <c r="DB4587">
        <v>0</v>
      </c>
      <c r="DC4587">
        <v>0</v>
      </c>
      <c r="DD4587">
        <v>1</v>
      </c>
      <c r="DE4587">
        <v>0</v>
      </c>
      <c r="DF4587">
        <v>0</v>
      </c>
      <c r="DG4587">
        <v>0</v>
      </c>
      <c r="DH4587">
        <v>0</v>
      </c>
      <c r="DI4587">
        <v>0</v>
      </c>
    </row>
    <row r="4588" spans="1:113" x14ac:dyDescent="0.3">
      <c r="A4588" t="str">
        <f t="shared" si="2112"/>
        <v>05/12/2020 14:49:21.915</v>
      </c>
      <c r="C4588" t="str">
        <f t="shared" si="2102"/>
        <v>FFDFD3C0</v>
      </c>
      <c r="D4588" t="s">
        <v>131</v>
      </c>
      <c r="E4588">
        <v>18</v>
      </c>
      <c r="F4588">
        <v>2018</v>
      </c>
      <c r="G4588" t="s">
        <v>161</v>
      </c>
      <c r="J4588" t="s">
        <v>133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 t="shared" si="2113"/>
        <v>14:49:39.758</v>
      </c>
      <c r="T4588" t="str">
        <f t="shared" si="2114"/>
        <v>14:49:39.658</v>
      </c>
      <c r="U4588" t="str">
        <f t="shared" si="2093"/>
        <v>A9808D</v>
      </c>
      <c r="V4588">
        <v>0</v>
      </c>
      <c r="W4588">
        <v>0</v>
      </c>
      <c r="X4588">
        <v>1</v>
      </c>
      <c r="Z4588">
        <v>0</v>
      </c>
      <c r="AA4588">
        <v>9</v>
      </c>
      <c r="AB4588">
        <v>3</v>
      </c>
      <c r="AC4588">
        <v>0</v>
      </c>
      <c r="AD4588">
        <v>10</v>
      </c>
      <c r="AE4588">
        <v>0</v>
      </c>
      <c r="AF4588">
        <v>3</v>
      </c>
      <c r="AG4588">
        <v>2</v>
      </c>
      <c r="AH4588">
        <v>0</v>
      </c>
      <c r="AI4588" t="s">
        <v>1027</v>
      </c>
      <c r="AJ4588">
        <v>28.244584</v>
      </c>
      <c r="AK4588" t="s">
        <v>1028</v>
      </c>
      <c r="AL4588">
        <v>-82.336928999999998</v>
      </c>
      <c r="AM4588">
        <v>100</v>
      </c>
      <c r="AN4588">
        <v>2200</v>
      </c>
      <c r="AO4588" t="s">
        <v>118</v>
      </c>
      <c r="AP4588">
        <v>-142</v>
      </c>
      <c r="AQ4588">
        <v>-39</v>
      </c>
      <c r="AR4588">
        <v>-192</v>
      </c>
      <c r="AZ4588">
        <v>1200</v>
      </c>
      <c r="BA4588">
        <v>1</v>
      </c>
      <c r="BB4588" t="str">
        <f t="shared" si="2103"/>
        <v xml:space="preserve">N711JA  </v>
      </c>
      <c r="BC4588">
        <v>1</v>
      </c>
      <c r="BE4588">
        <v>0</v>
      </c>
      <c r="BF4588">
        <v>0</v>
      </c>
      <c r="BG4588">
        <v>0</v>
      </c>
      <c r="BH4588">
        <v>2200</v>
      </c>
      <c r="BI4588">
        <v>1</v>
      </c>
      <c r="BJ4588">
        <v>1</v>
      </c>
      <c r="BK4588">
        <v>0</v>
      </c>
      <c r="BL4588">
        <v>0</v>
      </c>
      <c r="BO4588">
        <v>0</v>
      </c>
      <c r="BP4588">
        <v>0</v>
      </c>
      <c r="BW4588" t="str">
        <f t="shared" si="2115"/>
        <v>14:49:39.761</v>
      </c>
      <c r="CJ4588">
        <v>0</v>
      </c>
      <c r="CK4588">
        <v>2</v>
      </c>
      <c r="CL4588">
        <v>0</v>
      </c>
      <c r="CM4588">
        <v>2</v>
      </c>
      <c r="CN4588">
        <v>0</v>
      </c>
      <c r="CO4588">
        <v>6</v>
      </c>
      <c r="CP4588" t="s">
        <v>119</v>
      </c>
      <c r="CQ4588">
        <v>56</v>
      </c>
      <c r="CR4588">
        <v>2</v>
      </c>
      <c r="CW4588">
        <v>5177562</v>
      </c>
      <c r="CY4588">
        <v>1</v>
      </c>
      <c r="CZ4588">
        <v>0</v>
      </c>
      <c r="DA4588">
        <v>1</v>
      </c>
      <c r="DB4588">
        <v>0</v>
      </c>
      <c r="DC4588">
        <v>0</v>
      </c>
      <c r="DD4588">
        <v>1</v>
      </c>
      <c r="DE4588">
        <v>0</v>
      </c>
      <c r="DF4588">
        <v>0</v>
      </c>
      <c r="DG4588">
        <v>0</v>
      </c>
      <c r="DH4588">
        <v>0</v>
      </c>
      <c r="DI4588">
        <v>0</v>
      </c>
    </row>
    <row r="4589" spans="1:113" x14ac:dyDescent="0.3">
      <c r="A4589" t="str">
        <f t="shared" si="2112"/>
        <v>05/12/2020 14:49:21.915</v>
      </c>
      <c r="C4589" t="str">
        <f t="shared" si="2102"/>
        <v>FFDFD3C0</v>
      </c>
      <c r="D4589" t="s">
        <v>134</v>
      </c>
      <c r="E4589">
        <v>12</v>
      </c>
      <c r="H4589">
        <v>64</v>
      </c>
      <c r="I4589" t="s">
        <v>135</v>
      </c>
      <c r="J4589" t="s">
        <v>136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 t="shared" si="2113"/>
        <v>14:49:39.758</v>
      </c>
      <c r="T4589" t="str">
        <f t="shared" si="2114"/>
        <v>14:49:39.658</v>
      </c>
      <c r="U4589" t="str">
        <f t="shared" si="2093"/>
        <v>A9808D</v>
      </c>
      <c r="V4589">
        <v>0</v>
      </c>
      <c r="W4589">
        <v>0</v>
      </c>
      <c r="X4589">
        <v>1</v>
      </c>
      <c r="Z4589">
        <v>0</v>
      </c>
      <c r="AA4589">
        <v>9</v>
      </c>
      <c r="AB4589">
        <v>3</v>
      </c>
      <c r="AC4589">
        <v>0</v>
      </c>
      <c r="AD4589">
        <v>10</v>
      </c>
      <c r="AE4589">
        <v>0</v>
      </c>
      <c r="AF4589">
        <v>3</v>
      </c>
      <c r="AG4589">
        <v>2</v>
      </c>
      <c r="AH4589">
        <v>0</v>
      </c>
      <c r="AI4589" t="s">
        <v>1027</v>
      </c>
      <c r="AJ4589">
        <v>28.244584</v>
      </c>
      <c r="AK4589" t="s">
        <v>1028</v>
      </c>
      <c r="AL4589">
        <v>-82.336928999999998</v>
      </c>
      <c r="AM4589">
        <v>100</v>
      </c>
      <c r="AN4589">
        <v>2200</v>
      </c>
      <c r="AO4589" t="s">
        <v>118</v>
      </c>
      <c r="AP4589">
        <v>-142</v>
      </c>
      <c r="AQ4589">
        <v>-39</v>
      </c>
      <c r="AR4589">
        <v>-192</v>
      </c>
      <c r="AZ4589">
        <v>1200</v>
      </c>
      <c r="BA4589">
        <v>1</v>
      </c>
      <c r="BB4589" t="str">
        <f t="shared" si="2103"/>
        <v xml:space="preserve">N711JA  </v>
      </c>
      <c r="BC4589">
        <v>1</v>
      </c>
      <c r="BE4589">
        <v>0</v>
      </c>
      <c r="BF4589">
        <v>0</v>
      </c>
      <c r="BG4589">
        <v>0</v>
      </c>
      <c r="BH4589">
        <v>2200</v>
      </c>
      <c r="BI4589">
        <v>1</v>
      </c>
      <c r="BJ4589">
        <v>1</v>
      </c>
      <c r="BK4589">
        <v>0</v>
      </c>
      <c r="BL4589">
        <v>0</v>
      </c>
      <c r="BO4589">
        <v>0</v>
      </c>
      <c r="BP4589">
        <v>0</v>
      </c>
      <c r="BW4589" t="str">
        <f t="shared" si="2115"/>
        <v>14:49:39.761</v>
      </c>
      <c r="CJ4589">
        <v>0</v>
      </c>
      <c r="CK4589">
        <v>2</v>
      </c>
      <c r="CL4589">
        <v>0</v>
      </c>
      <c r="CM4589">
        <v>2</v>
      </c>
      <c r="CN4589">
        <v>0</v>
      </c>
      <c r="CO4589">
        <v>7</v>
      </c>
      <c r="CP4589" t="s">
        <v>119</v>
      </c>
      <c r="CQ4589">
        <v>358</v>
      </c>
      <c r="CR4589">
        <v>0</v>
      </c>
      <c r="CW4589">
        <v>5148311</v>
      </c>
      <c r="CY4589">
        <v>1</v>
      </c>
      <c r="CZ4589">
        <v>0</v>
      </c>
      <c r="DA4589">
        <v>1</v>
      </c>
      <c r="DB4589">
        <v>0</v>
      </c>
      <c r="DC4589">
        <v>0</v>
      </c>
      <c r="DD4589">
        <v>1</v>
      </c>
      <c r="DE4589">
        <v>0</v>
      </c>
      <c r="DF4589">
        <v>0</v>
      </c>
      <c r="DG4589">
        <v>0</v>
      </c>
      <c r="DH4589">
        <v>0</v>
      </c>
      <c r="DI4589">
        <v>0</v>
      </c>
    </row>
    <row r="4590" spans="1:113" x14ac:dyDescent="0.3">
      <c r="A4590" t="str">
        <f t="shared" si="2112"/>
        <v>05/12/2020 14:49:21.915</v>
      </c>
      <c r="C4590" t="str">
        <f t="shared" si="2102"/>
        <v>FFDFD3C0</v>
      </c>
      <c r="D4590" t="s">
        <v>138</v>
      </c>
      <c r="E4590">
        <v>2</v>
      </c>
      <c r="H4590">
        <v>8</v>
      </c>
      <c r="I4590" t="s">
        <v>139</v>
      </c>
      <c r="J4590" t="s">
        <v>136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 t="shared" si="2113"/>
        <v>14:49:39.758</v>
      </c>
      <c r="T4590" t="str">
        <f t="shared" si="2114"/>
        <v>14:49:39.658</v>
      </c>
      <c r="U4590" t="str">
        <f t="shared" si="2093"/>
        <v>A9808D</v>
      </c>
      <c r="V4590">
        <v>0</v>
      </c>
      <c r="W4590">
        <v>0</v>
      </c>
      <c r="X4590">
        <v>1</v>
      </c>
      <c r="Z4590">
        <v>0</v>
      </c>
      <c r="AA4590">
        <v>9</v>
      </c>
      <c r="AB4590">
        <v>3</v>
      </c>
      <c r="AC4590">
        <v>0</v>
      </c>
      <c r="AD4590">
        <v>10</v>
      </c>
      <c r="AE4590">
        <v>0</v>
      </c>
      <c r="AF4590">
        <v>3</v>
      </c>
      <c r="AG4590">
        <v>2</v>
      </c>
      <c r="AH4590">
        <v>0</v>
      </c>
      <c r="AI4590" t="s">
        <v>1027</v>
      </c>
      <c r="AJ4590">
        <v>28.244584</v>
      </c>
      <c r="AK4590" t="s">
        <v>1028</v>
      </c>
      <c r="AL4590">
        <v>-82.336928999999998</v>
      </c>
      <c r="AM4590">
        <v>100</v>
      </c>
      <c r="AN4590">
        <v>2200</v>
      </c>
      <c r="AO4590" t="s">
        <v>118</v>
      </c>
      <c r="AP4590">
        <v>-142</v>
      </c>
      <c r="AQ4590">
        <v>-39</v>
      </c>
      <c r="AR4590">
        <v>-192</v>
      </c>
      <c r="AZ4590">
        <v>1200</v>
      </c>
      <c r="BA4590">
        <v>1</v>
      </c>
      <c r="BB4590" t="str">
        <f t="shared" si="2103"/>
        <v xml:space="preserve">N711JA  </v>
      </c>
      <c r="BC4590">
        <v>1</v>
      </c>
      <c r="BE4590">
        <v>0</v>
      </c>
      <c r="BF4590">
        <v>0</v>
      </c>
      <c r="BG4590">
        <v>0</v>
      </c>
      <c r="BH4590">
        <v>2200</v>
      </c>
      <c r="BI4590">
        <v>1</v>
      </c>
      <c r="BJ4590">
        <v>1</v>
      </c>
      <c r="BK4590">
        <v>0</v>
      </c>
      <c r="BL4590">
        <v>0</v>
      </c>
      <c r="BO4590">
        <v>0</v>
      </c>
      <c r="BP4590">
        <v>0</v>
      </c>
      <c r="BW4590" t="str">
        <f t="shared" si="2115"/>
        <v>14:49:39.761</v>
      </c>
      <c r="CJ4590">
        <v>0</v>
      </c>
      <c r="CK4590">
        <v>2</v>
      </c>
      <c r="CL4590">
        <v>0</v>
      </c>
      <c r="CM4590">
        <v>2</v>
      </c>
      <c r="CN4590">
        <v>0</v>
      </c>
      <c r="CO4590">
        <v>7</v>
      </c>
      <c r="CP4590" t="s">
        <v>119</v>
      </c>
      <c r="CQ4590">
        <v>8</v>
      </c>
      <c r="CR4590">
        <v>3</v>
      </c>
      <c r="CW4590">
        <v>9173996</v>
      </c>
      <c r="CY4590">
        <v>1</v>
      </c>
      <c r="CZ4590">
        <v>0</v>
      </c>
      <c r="DA4590">
        <v>1</v>
      </c>
      <c r="DB4590">
        <v>0</v>
      </c>
      <c r="DC4590">
        <v>0</v>
      </c>
      <c r="DD4590">
        <v>1</v>
      </c>
      <c r="DE4590">
        <v>0</v>
      </c>
      <c r="DF4590">
        <v>0</v>
      </c>
      <c r="DG4590">
        <v>0</v>
      </c>
      <c r="DH4590">
        <v>0</v>
      </c>
      <c r="DI4590">
        <v>0</v>
      </c>
    </row>
    <row r="4591" spans="1:113" x14ac:dyDescent="0.3">
      <c r="A4591" t="str">
        <f t="shared" si="2112"/>
        <v>05/12/2020 14:49:21.915</v>
      </c>
      <c r="C4591" t="str">
        <f t="shared" si="2102"/>
        <v>FFDFD3C0</v>
      </c>
      <c r="D4591" t="s">
        <v>138</v>
      </c>
      <c r="E4591">
        <v>3</v>
      </c>
      <c r="H4591">
        <v>9</v>
      </c>
      <c r="I4591" t="s">
        <v>140</v>
      </c>
      <c r="J4591" t="s">
        <v>136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 t="shared" si="2113"/>
        <v>14:49:39.758</v>
      </c>
      <c r="T4591" t="str">
        <f t="shared" si="2114"/>
        <v>14:49:39.658</v>
      </c>
      <c r="U4591" t="str">
        <f t="shared" si="2093"/>
        <v>A9808D</v>
      </c>
      <c r="V4591">
        <v>0</v>
      </c>
      <c r="W4591">
        <v>0</v>
      </c>
      <c r="X4591">
        <v>1</v>
      </c>
      <c r="Z4591">
        <v>0</v>
      </c>
      <c r="AA4591">
        <v>9</v>
      </c>
      <c r="AB4591">
        <v>3</v>
      </c>
      <c r="AC4591">
        <v>0</v>
      </c>
      <c r="AD4591">
        <v>10</v>
      </c>
      <c r="AE4591">
        <v>0</v>
      </c>
      <c r="AF4591">
        <v>3</v>
      </c>
      <c r="AG4591">
        <v>2</v>
      </c>
      <c r="AH4591">
        <v>0</v>
      </c>
      <c r="AI4591" t="s">
        <v>1027</v>
      </c>
      <c r="AJ4591">
        <v>28.244584</v>
      </c>
      <c r="AK4591" t="s">
        <v>1028</v>
      </c>
      <c r="AL4591">
        <v>-82.336928999999998</v>
      </c>
      <c r="AM4591">
        <v>100</v>
      </c>
      <c r="AN4591">
        <v>2200</v>
      </c>
      <c r="AO4591" t="s">
        <v>118</v>
      </c>
      <c r="AP4591">
        <v>-142</v>
      </c>
      <c r="AQ4591">
        <v>-39</v>
      </c>
      <c r="AR4591">
        <v>-192</v>
      </c>
      <c r="AZ4591">
        <v>1200</v>
      </c>
      <c r="BA4591">
        <v>1</v>
      </c>
      <c r="BB4591" t="str">
        <f t="shared" si="2103"/>
        <v xml:space="preserve">N711JA  </v>
      </c>
      <c r="BC4591">
        <v>1</v>
      </c>
      <c r="BE4591">
        <v>0</v>
      </c>
      <c r="BF4591">
        <v>0</v>
      </c>
      <c r="BG4591">
        <v>0</v>
      </c>
      <c r="BH4591">
        <v>2200</v>
      </c>
      <c r="BI4591">
        <v>1</v>
      </c>
      <c r="BJ4591">
        <v>1</v>
      </c>
      <c r="BK4591">
        <v>0</v>
      </c>
      <c r="BL4591">
        <v>0</v>
      </c>
      <c r="BO4591">
        <v>0</v>
      </c>
      <c r="BP4591">
        <v>0</v>
      </c>
      <c r="BW4591" t="str">
        <f t="shared" si="2115"/>
        <v>14:49:39.761</v>
      </c>
      <c r="CJ4591">
        <v>0</v>
      </c>
      <c r="CK4591">
        <v>2</v>
      </c>
      <c r="CL4591">
        <v>0</v>
      </c>
      <c r="CM4591">
        <v>2</v>
      </c>
      <c r="CN4591">
        <v>0</v>
      </c>
      <c r="CO4591">
        <v>7</v>
      </c>
      <c r="CP4591" t="s">
        <v>119</v>
      </c>
      <c r="CQ4591">
        <v>358</v>
      </c>
      <c r="CR4591">
        <v>0</v>
      </c>
      <c r="CW4591">
        <v>5148311</v>
      </c>
      <c r="CY4591">
        <v>1</v>
      </c>
      <c r="CZ4591">
        <v>0</v>
      </c>
      <c r="DA4591">
        <v>1</v>
      </c>
      <c r="DB4591">
        <v>0</v>
      </c>
      <c r="DC4591">
        <v>0</v>
      </c>
      <c r="DD4591">
        <v>1</v>
      </c>
      <c r="DE4591">
        <v>0</v>
      </c>
      <c r="DF4591">
        <v>0</v>
      </c>
      <c r="DG4591">
        <v>0</v>
      </c>
      <c r="DH4591">
        <v>0</v>
      </c>
      <c r="DI4591">
        <v>0</v>
      </c>
    </row>
    <row r="4592" spans="1:113" x14ac:dyDescent="0.3">
      <c r="A4592" t="str">
        <f t="shared" si="2112"/>
        <v>05/12/2020 14:49:21.915</v>
      </c>
      <c r="C4592" t="str">
        <f t="shared" si="2102"/>
        <v>FFDFD3C0</v>
      </c>
      <c r="D4592" t="s">
        <v>113</v>
      </c>
      <c r="E4592">
        <v>3</v>
      </c>
      <c r="H4592">
        <v>164</v>
      </c>
      <c r="I4592" t="s">
        <v>114</v>
      </c>
      <c r="J4592" t="s">
        <v>115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 t="shared" si="2113"/>
        <v>14:49:39.758</v>
      </c>
      <c r="T4592" t="str">
        <f t="shared" si="2114"/>
        <v>14:49:39.658</v>
      </c>
      <c r="U4592" t="str">
        <f t="shared" si="2093"/>
        <v>A9808D</v>
      </c>
      <c r="V4592">
        <v>0</v>
      </c>
      <c r="W4592">
        <v>0</v>
      </c>
      <c r="X4592">
        <v>1</v>
      </c>
      <c r="Z4592">
        <v>0</v>
      </c>
      <c r="AA4592">
        <v>9</v>
      </c>
      <c r="AB4592">
        <v>3</v>
      </c>
      <c r="AC4592">
        <v>0</v>
      </c>
      <c r="AD4592">
        <v>10</v>
      </c>
      <c r="AE4592">
        <v>0</v>
      </c>
      <c r="AF4592">
        <v>3</v>
      </c>
      <c r="AG4592">
        <v>2</v>
      </c>
      <c r="AH4592">
        <v>0</v>
      </c>
      <c r="AI4592" t="s">
        <v>1027</v>
      </c>
      <c r="AJ4592">
        <v>28.244584</v>
      </c>
      <c r="AK4592" t="s">
        <v>1028</v>
      </c>
      <c r="AL4592">
        <v>-82.336928999999998</v>
      </c>
      <c r="AM4592">
        <v>100</v>
      </c>
      <c r="AN4592">
        <v>2200</v>
      </c>
      <c r="AO4592" t="s">
        <v>118</v>
      </c>
      <c r="AP4592">
        <v>-142</v>
      </c>
      <c r="AQ4592">
        <v>-39</v>
      </c>
      <c r="AR4592">
        <v>-192</v>
      </c>
      <c r="AZ4592">
        <v>1200</v>
      </c>
      <c r="BA4592">
        <v>1</v>
      </c>
      <c r="BB4592" t="str">
        <f t="shared" si="2103"/>
        <v xml:space="preserve">N711JA  </v>
      </c>
      <c r="BC4592">
        <v>1</v>
      </c>
      <c r="BE4592">
        <v>0</v>
      </c>
      <c r="BF4592">
        <v>0</v>
      </c>
      <c r="BG4592">
        <v>0</v>
      </c>
      <c r="BH4592">
        <v>2200</v>
      </c>
      <c r="BI4592">
        <v>1</v>
      </c>
      <c r="BJ4592">
        <v>1</v>
      </c>
      <c r="BK4592">
        <v>0</v>
      </c>
      <c r="BL4592">
        <v>0</v>
      </c>
      <c r="BO4592">
        <v>0</v>
      </c>
      <c r="BP4592">
        <v>0</v>
      </c>
      <c r="BW4592" t="str">
        <f t="shared" si="2115"/>
        <v>14:49:39.761</v>
      </c>
      <c r="CJ4592">
        <v>0</v>
      </c>
      <c r="CK4592">
        <v>2</v>
      </c>
      <c r="CL4592">
        <v>0</v>
      </c>
      <c r="CM4592">
        <v>2</v>
      </c>
      <c r="CN4592">
        <v>0</v>
      </c>
      <c r="CO4592">
        <v>7</v>
      </c>
      <c r="CP4592" t="s">
        <v>119</v>
      </c>
      <c r="CQ4592">
        <v>8</v>
      </c>
      <c r="CR4592">
        <v>3</v>
      </c>
      <c r="CW4592">
        <v>9173996</v>
      </c>
      <c r="CY4592">
        <v>1</v>
      </c>
      <c r="CZ4592">
        <v>0</v>
      </c>
      <c r="DA4592">
        <v>1</v>
      </c>
      <c r="DB4592">
        <v>0</v>
      </c>
      <c r="DC4592">
        <v>0</v>
      </c>
      <c r="DD4592">
        <v>1</v>
      </c>
      <c r="DE4592">
        <v>0</v>
      </c>
      <c r="DF4592">
        <v>0</v>
      </c>
      <c r="DG4592">
        <v>0</v>
      </c>
      <c r="DH4592">
        <v>0</v>
      </c>
      <c r="DI4592">
        <v>0</v>
      </c>
    </row>
    <row r="4593" spans="1:113" x14ac:dyDescent="0.3">
      <c r="A4593" t="str">
        <f t="shared" si="2112"/>
        <v>05/12/2020 14:49:21.915</v>
      </c>
      <c r="C4593" t="str">
        <f t="shared" si="2102"/>
        <v>FFDFD3C0</v>
      </c>
      <c r="D4593" t="s">
        <v>126</v>
      </c>
      <c r="E4593">
        <v>6</v>
      </c>
      <c r="F4593">
        <v>1006</v>
      </c>
      <c r="G4593" t="s">
        <v>114</v>
      </c>
      <c r="J4593" t="s">
        <v>128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 t="shared" si="2113"/>
        <v>14:49:39.758</v>
      </c>
      <c r="T4593" t="str">
        <f t="shared" si="2114"/>
        <v>14:49:39.658</v>
      </c>
      <c r="U4593" t="str">
        <f t="shared" si="2093"/>
        <v>A9808D</v>
      </c>
      <c r="V4593">
        <v>0</v>
      </c>
      <c r="W4593">
        <v>0</v>
      </c>
      <c r="X4593">
        <v>1</v>
      </c>
      <c r="Z4593">
        <v>0</v>
      </c>
      <c r="AA4593">
        <v>9</v>
      </c>
      <c r="AB4593">
        <v>3</v>
      </c>
      <c r="AC4593">
        <v>0</v>
      </c>
      <c r="AD4593">
        <v>10</v>
      </c>
      <c r="AE4593">
        <v>0</v>
      </c>
      <c r="AF4593">
        <v>3</v>
      </c>
      <c r="AG4593">
        <v>2</v>
      </c>
      <c r="AH4593">
        <v>0</v>
      </c>
      <c r="AI4593" t="s">
        <v>1027</v>
      </c>
      <c r="AJ4593">
        <v>28.244584</v>
      </c>
      <c r="AK4593" t="s">
        <v>1028</v>
      </c>
      <c r="AL4593">
        <v>-82.336928999999998</v>
      </c>
      <c r="AM4593">
        <v>100</v>
      </c>
      <c r="AN4593">
        <v>2200</v>
      </c>
      <c r="AO4593" t="s">
        <v>118</v>
      </c>
      <c r="AP4593">
        <v>-142</v>
      </c>
      <c r="AQ4593">
        <v>-39</v>
      </c>
      <c r="AR4593">
        <v>-192</v>
      </c>
      <c r="AZ4593">
        <v>1200</v>
      </c>
      <c r="BA4593">
        <v>1</v>
      </c>
      <c r="BB4593" t="str">
        <f t="shared" si="2103"/>
        <v xml:space="preserve">N711JA  </v>
      </c>
      <c r="BC4593">
        <v>1</v>
      </c>
      <c r="BE4593">
        <v>0</v>
      </c>
      <c r="BF4593">
        <v>0</v>
      </c>
      <c r="BG4593">
        <v>0</v>
      </c>
      <c r="BH4593">
        <v>2200</v>
      </c>
      <c r="BI4593">
        <v>1</v>
      </c>
      <c r="BJ4593">
        <v>1</v>
      </c>
      <c r="BK4593">
        <v>0</v>
      </c>
      <c r="BL4593">
        <v>0</v>
      </c>
      <c r="BO4593">
        <v>0</v>
      </c>
      <c r="BP4593">
        <v>0</v>
      </c>
      <c r="BW4593" t="str">
        <f t="shared" si="2115"/>
        <v>14:49:39.761</v>
      </c>
      <c r="CJ4593">
        <v>0</v>
      </c>
      <c r="CK4593">
        <v>2</v>
      </c>
      <c r="CL4593">
        <v>0</v>
      </c>
      <c r="CM4593">
        <v>2</v>
      </c>
      <c r="CN4593">
        <v>0</v>
      </c>
      <c r="CO4593">
        <v>7</v>
      </c>
      <c r="CP4593" t="s">
        <v>119</v>
      </c>
      <c r="CQ4593">
        <v>358</v>
      </c>
      <c r="CR4593">
        <v>0</v>
      </c>
      <c r="CW4593">
        <v>5148311</v>
      </c>
      <c r="CY4593">
        <v>1</v>
      </c>
      <c r="CZ4593">
        <v>0</v>
      </c>
      <c r="DA4593">
        <v>1</v>
      </c>
      <c r="DB4593">
        <v>0</v>
      </c>
      <c r="DC4593">
        <v>0</v>
      </c>
      <c r="DD4593">
        <v>1</v>
      </c>
      <c r="DE4593">
        <v>0</v>
      </c>
      <c r="DF4593">
        <v>0</v>
      </c>
      <c r="DG4593">
        <v>0</v>
      </c>
      <c r="DH4593">
        <v>0</v>
      </c>
      <c r="DI4593">
        <v>0</v>
      </c>
    </row>
    <row r="4594" spans="1:113" x14ac:dyDescent="0.3">
      <c r="A4594" t="str">
        <f t="shared" si="2112"/>
        <v>05/12/2020 14:49:21.915</v>
      </c>
      <c r="C4594" t="str">
        <f t="shared" si="2102"/>
        <v>FFDFD3C0</v>
      </c>
      <c r="D4594" t="s">
        <v>126</v>
      </c>
      <c r="E4594">
        <v>7</v>
      </c>
      <c r="F4594">
        <v>1007</v>
      </c>
      <c r="G4594" t="s">
        <v>127</v>
      </c>
      <c r="J4594" t="s">
        <v>128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 t="shared" si="2113"/>
        <v>14:49:39.758</v>
      </c>
      <c r="T4594" t="str">
        <f t="shared" si="2114"/>
        <v>14:49:39.658</v>
      </c>
      <c r="U4594" t="str">
        <f t="shared" si="2093"/>
        <v>A9808D</v>
      </c>
      <c r="V4594">
        <v>0</v>
      </c>
      <c r="W4594">
        <v>0</v>
      </c>
      <c r="X4594">
        <v>1</v>
      </c>
      <c r="Z4594">
        <v>0</v>
      </c>
      <c r="AA4594">
        <v>9</v>
      </c>
      <c r="AB4594">
        <v>3</v>
      </c>
      <c r="AC4594">
        <v>0</v>
      </c>
      <c r="AD4594">
        <v>10</v>
      </c>
      <c r="AE4594">
        <v>0</v>
      </c>
      <c r="AF4594">
        <v>3</v>
      </c>
      <c r="AG4594">
        <v>2</v>
      </c>
      <c r="AH4594">
        <v>0</v>
      </c>
      <c r="AI4594" t="s">
        <v>1027</v>
      </c>
      <c r="AJ4594">
        <v>28.244584</v>
      </c>
      <c r="AK4594" t="s">
        <v>1028</v>
      </c>
      <c r="AL4594">
        <v>-82.336928999999998</v>
      </c>
      <c r="AM4594">
        <v>100</v>
      </c>
      <c r="AN4594">
        <v>2200</v>
      </c>
      <c r="AO4594" t="s">
        <v>118</v>
      </c>
      <c r="AP4594">
        <v>-142</v>
      </c>
      <c r="AQ4594">
        <v>-39</v>
      </c>
      <c r="AR4594">
        <v>-192</v>
      </c>
      <c r="AZ4594">
        <v>1200</v>
      </c>
      <c r="BA4594">
        <v>1</v>
      </c>
      <c r="BB4594" t="str">
        <f t="shared" si="2103"/>
        <v xml:space="preserve">N711JA  </v>
      </c>
      <c r="BC4594">
        <v>1</v>
      </c>
      <c r="BE4594">
        <v>0</v>
      </c>
      <c r="BF4594">
        <v>0</v>
      </c>
      <c r="BG4594">
        <v>0</v>
      </c>
      <c r="BH4594">
        <v>2200</v>
      </c>
      <c r="BI4594">
        <v>1</v>
      </c>
      <c r="BJ4594">
        <v>1</v>
      </c>
      <c r="BK4594">
        <v>0</v>
      </c>
      <c r="BL4594">
        <v>0</v>
      </c>
      <c r="BO4594">
        <v>0</v>
      </c>
      <c r="BP4594">
        <v>0</v>
      </c>
      <c r="BW4594" t="str">
        <f t="shared" si="2115"/>
        <v>14:49:39.761</v>
      </c>
      <c r="CJ4594">
        <v>0</v>
      </c>
      <c r="CK4594">
        <v>2</v>
      </c>
      <c r="CL4594">
        <v>0</v>
      </c>
      <c r="CM4594">
        <v>2</v>
      </c>
      <c r="CN4594">
        <v>0</v>
      </c>
      <c r="CO4594">
        <v>7</v>
      </c>
      <c r="CP4594" t="s">
        <v>119</v>
      </c>
      <c r="CQ4594">
        <v>358</v>
      </c>
      <c r="CR4594">
        <v>0</v>
      </c>
      <c r="CW4594">
        <v>5148311</v>
      </c>
      <c r="CY4594">
        <v>1</v>
      </c>
      <c r="CZ4594">
        <v>0</v>
      </c>
      <c r="DA4594">
        <v>1</v>
      </c>
      <c r="DB4594">
        <v>0</v>
      </c>
      <c r="DC4594">
        <v>0</v>
      </c>
      <c r="DD4594">
        <v>1</v>
      </c>
      <c r="DE4594">
        <v>0</v>
      </c>
      <c r="DF4594">
        <v>0</v>
      </c>
      <c r="DG4594">
        <v>0</v>
      </c>
      <c r="DH4594">
        <v>0</v>
      </c>
      <c r="DI4594">
        <v>0</v>
      </c>
    </row>
    <row r="4595" spans="1:113" x14ac:dyDescent="0.3">
      <c r="A4595" t="str">
        <f t="shared" si="2112"/>
        <v>05/12/2020 14:49:21.915</v>
      </c>
      <c r="C4595" t="str">
        <f t="shared" si="2102"/>
        <v>FFDFD3C0</v>
      </c>
      <c r="D4595" t="s">
        <v>131</v>
      </c>
      <c r="E4595">
        <v>10</v>
      </c>
      <c r="F4595">
        <v>2010</v>
      </c>
      <c r="G4595" t="s">
        <v>132</v>
      </c>
      <c r="J4595" t="s">
        <v>133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 t="shared" si="2113"/>
        <v>14:49:39.758</v>
      </c>
      <c r="T4595" t="str">
        <f t="shared" si="2114"/>
        <v>14:49:39.658</v>
      </c>
      <c r="U4595" t="str">
        <f t="shared" si="2093"/>
        <v>A9808D</v>
      </c>
      <c r="V4595">
        <v>0</v>
      </c>
      <c r="W4595">
        <v>0</v>
      </c>
      <c r="X4595">
        <v>1</v>
      </c>
      <c r="Z4595">
        <v>0</v>
      </c>
      <c r="AA4595">
        <v>9</v>
      </c>
      <c r="AB4595">
        <v>3</v>
      </c>
      <c r="AC4595">
        <v>0</v>
      </c>
      <c r="AD4595">
        <v>10</v>
      </c>
      <c r="AE4595">
        <v>0</v>
      </c>
      <c r="AF4595">
        <v>3</v>
      </c>
      <c r="AG4595">
        <v>2</v>
      </c>
      <c r="AH4595">
        <v>0</v>
      </c>
      <c r="AI4595" t="s">
        <v>1027</v>
      </c>
      <c r="AJ4595">
        <v>28.244584</v>
      </c>
      <c r="AK4595" t="s">
        <v>1028</v>
      </c>
      <c r="AL4595">
        <v>-82.336928999999998</v>
      </c>
      <c r="AM4595">
        <v>100</v>
      </c>
      <c r="AN4595">
        <v>2200</v>
      </c>
      <c r="AO4595" t="s">
        <v>118</v>
      </c>
      <c r="AP4595">
        <v>-142</v>
      </c>
      <c r="AQ4595">
        <v>-39</v>
      </c>
      <c r="AR4595">
        <v>-192</v>
      </c>
      <c r="AZ4595">
        <v>1200</v>
      </c>
      <c r="BA4595">
        <v>1</v>
      </c>
      <c r="BB4595" t="str">
        <f t="shared" si="2103"/>
        <v xml:space="preserve">N711JA  </v>
      </c>
      <c r="BC4595">
        <v>1</v>
      </c>
      <c r="BE4595">
        <v>0</v>
      </c>
      <c r="BF4595">
        <v>0</v>
      </c>
      <c r="BG4595">
        <v>0</v>
      </c>
      <c r="BH4595">
        <v>2200</v>
      </c>
      <c r="BI4595">
        <v>1</v>
      </c>
      <c r="BJ4595">
        <v>1</v>
      </c>
      <c r="BK4595">
        <v>0</v>
      </c>
      <c r="BL4595">
        <v>0</v>
      </c>
      <c r="BO4595">
        <v>0</v>
      </c>
      <c r="BP4595">
        <v>0</v>
      </c>
      <c r="BW4595" t="str">
        <f t="shared" si="2115"/>
        <v>14:49:39.761</v>
      </c>
      <c r="CJ4595">
        <v>0</v>
      </c>
      <c r="CK4595">
        <v>2</v>
      </c>
      <c r="CL4595">
        <v>0</v>
      </c>
      <c r="CM4595">
        <v>2</v>
      </c>
      <c r="CN4595">
        <v>0</v>
      </c>
      <c r="CO4595">
        <v>7</v>
      </c>
      <c r="CP4595" t="s">
        <v>119</v>
      </c>
      <c r="CQ4595">
        <v>358</v>
      </c>
      <c r="CR4595">
        <v>0</v>
      </c>
      <c r="CW4595">
        <v>5148311</v>
      </c>
      <c r="CY4595">
        <v>1</v>
      </c>
      <c r="CZ4595">
        <v>0</v>
      </c>
      <c r="DA4595">
        <v>1</v>
      </c>
      <c r="DB4595">
        <v>0</v>
      </c>
      <c r="DC4595">
        <v>0</v>
      </c>
      <c r="DD4595">
        <v>1</v>
      </c>
      <c r="DE4595">
        <v>0</v>
      </c>
      <c r="DF4595">
        <v>0</v>
      </c>
      <c r="DG4595">
        <v>0</v>
      </c>
      <c r="DH4595">
        <v>0</v>
      </c>
      <c r="DI4595">
        <v>0</v>
      </c>
    </row>
    <row r="4596" spans="1:113" x14ac:dyDescent="0.3">
      <c r="A4596" t="str">
        <f t="shared" ref="A4596:A4604" si="2116">"05/12/2020 14:49:22.819"</f>
        <v>05/12/2020 14:49:22.819</v>
      </c>
      <c r="C4596" t="str">
        <f t="shared" si="2102"/>
        <v>FFDFD3C0</v>
      </c>
      <c r="D4596" t="s">
        <v>126</v>
      </c>
      <c r="E4596">
        <v>7</v>
      </c>
      <c r="F4596">
        <v>1007</v>
      </c>
      <c r="G4596" t="s">
        <v>127</v>
      </c>
      <c r="J4596" t="s">
        <v>128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 t="shared" ref="S4596:T4604" si="2117">"14:49:40.656"</f>
        <v>14:49:40.656</v>
      </c>
      <c r="T4596" t="str">
        <f t="shared" si="2117"/>
        <v>14:49:40.656</v>
      </c>
      <c r="U4596" t="str">
        <f t="shared" si="2093"/>
        <v>A9808D</v>
      </c>
      <c r="V4596">
        <v>0</v>
      </c>
      <c r="W4596">
        <v>0</v>
      </c>
      <c r="X4596">
        <v>1</v>
      </c>
      <c r="Z4596">
        <v>0</v>
      </c>
      <c r="AA4596">
        <v>9</v>
      </c>
      <c r="AB4596">
        <v>3</v>
      </c>
      <c r="AC4596">
        <v>0</v>
      </c>
      <c r="AD4596">
        <v>10</v>
      </c>
      <c r="AE4596">
        <v>0</v>
      </c>
      <c r="AF4596">
        <v>3</v>
      </c>
      <c r="AG4596">
        <v>2</v>
      </c>
      <c r="AH4596">
        <v>0</v>
      </c>
      <c r="AI4596" t="s">
        <v>1029</v>
      </c>
      <c r="AJ4596">
        <v>28.244433000000001</v>
      </c>
      <c r="AK4596" t="s">
        <v>1030</v>
      </c>
      <c r="AL4596">
        <v>-82.337615</v>
      </c>
      <c r="AM4596">
        <v>100</v>
      </c>
      <c r="AN4596">
        <v>2200</v>
      </c>
      <c r="AO4596" t="s">
        <v>118</v>
      </c>
      <c r="AP4596">
        <v>-142</v>
      </c>
      <c r="AQ4596">
        <v>-39</v>
      </c>
      <c r="AR4596">
        <v>-256</v>
      </c>
      <c r="AZ4596">
        <v>1200</v>
      </c>
      <c r="BA4596">
        <v>1</v>
      </c>
      <c r="BB4596" t="str">
        <f t="shared" si="2103"/>
        <v xml:space="preserve">N711JA  </v>
      </c>
      <c r="BC4596">
        <v>1</v>
      </c>
      <c r="BE4596">
        <v>0</v>
      </c>
      <c r="BF4596">
        <v>0</v>
      </c>
      <c r="BG4596">
        <v>0</v>
      </c>
      <c r="BH4596">
        <v>2200</v>
      </c>
      <c r="BI4596">
        <v>1</v>
      </c>
      <c r="BJ4596">
        <v>1</v>
      </c>
      <c r="BK4596">
        <v>0</v>
      </c>
      <c r="BL4596">
        <v>0</v>
      </c>
      <c r="BO4596">
        <v>0</v>
      </c>
      <c r="BP4596">
        <v>0</v>
      </c>
      <c r="BW4596" t="str">
        <f t="shared" ref="BW4596:BW4604" si="2118">"14:49:40.663"</f>
        <v>14:49:40.663</v>
      </c>
      <c r="CJ4596">
        <v>0</v>
      </c>
      <c r="CK4596">
        <v>2</v>
      </c>
      <c r="CL4596">
        <v>0</v>
      </c>
      <c r="CM4596">
        <v>2</v>
      </c>
      <c r="CN4596">
        <v>0</v>
      </c>
      <c r="CO4596">
        <v>7</v>
      </c>
      <c r="CP4596" t="s">
        <v>119</v>
      </c>
      <c r="CQ4596">
        <v>358</v>
      </c>
      <c r="CR4596">
        <v>0</v>
      </c>
      <c r="CW4596">
        <v>5149425</v>
      </c>
      <c r="CY4596">
        <v>1</v>
      </c>
      <c r="CZ4596">
        <v>0</v>
      </c>
      <c r="DA4596">
        <v>0</v>
      </c>
      <c r="DB4596">
        <v>0</v>
      </c>
      <c r="DC4596">
        <v>0</v>
      </c>
      <c r="DD4596">
        <v>1</v>
      </c>
      <c r="DE4596">
        <v>0</v>
      </c>
      <c r="DF4596">
        <v>0</v>
      </c>
      <c r="DG4596">
        <v>0</v>
      </c>
      <c r="DH4596">
        <v>0</v>
      </c>
      <c r="DI4596">
        <v>0</v>
      </c>
    </row>
    <row r="4597" spans="1:113" x14ac:dyDescent="0.3">
      <c r="A4597" t="str">
        <f t="shared" si="2116"/>
        <v>05/12/2020 14:49:22.819</v>
      </c>
      <c r="C4597" t="str">
        <f t="shared" si="2102"/>
        <v>FFDFD3C0</v>
      </c>
      <c r="D4597" t="s">
        <v>131</v>
      </c>
      <c r="E4597">
        <v>10</v>
      </c>
      <c r="F4597">
        <v>2010</v>
      </c>
      <c r="G4597" t="s">
        <v>132</v>
      </c>
      <c r="J4597" t="s">
        <v>133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 t="shared" si="2117"/>
        <v>14:49:40.656</v>
      </c>
      <c r="T4597" t="str">
        <f t="shared" si="2117"/>
        <v>14:49:40.656</v>
      </c>
      <c r="U4597" t="str">
        <f t="shared" si="2093"/>
        <v>A9808D</v>
      </c>
      <c r="V4597">
        <v>0</v>
      </c>
      <c r="W4597">
        <v>0</v>
      </c>
      <c r="X4597">
        <v>1</v>
      </c>
      <c r="Z4597">
        <v>0</v>
      </c>
      <c r="AA4597">
        <v>9</v>
      </c>
      <c r="AB4597">
        <v>3</v>
      </c>
      <c r="AC4597">
        <v>0</v>
      </c>
      <c r="AD4597">
        <v>10</v>
      </c>
      <c r="AE4597">
        <v>0</v>
      </c>
      <c r="AF4597">
        <v>3</v>
      </c>
      <c r="AG4597">
        <v>2</v>
      </c>
      <c r="AH4597">
        <v>0</v>
      </c>
      <c r="AI4597" t="s">
        <v>1029</v>
      </c>
      <c r="AJ4597">
        <v>28.244433000000001</v>
      </c>
      <c r="AK4597" t="s">
        <v>1030</v>
      </c>
      <c r="AL4597">
        <v>-82.337615</v>
      </c>
      <c r="AM4597">
        <v>100</v>
      </c>
      <c r="AN4597">
        <v>2200</v>
      </c>
      <c r="AO4597" t="s">
        <v>118</v>
      </c>
      <c r="AP4597">
        <v>-142</v>
      </c>
      <c r="AQ4597">
        <v>-39</v>
      </c>
      <c r="AR4597">
        <v>-256</v>
      </c>
      <c r="AZ4597">
        <v>1200</v>
      </c>
      <c r="BA4597">
        <v>1</v>
      </c>
      <c r="BB4597" t="str">
        <f t="shared" si="2103"/>
        <v xml:space="preserve">N711JA  </v>
      </c>
      <c r="BC4597">
        <v>1</v>
      </c>
      <c r="BE4597">
        <v>0</v>
      </c>
      <c r="BF4597">
        <v>0</v>
      </c>
      <c r="BG4597">
        <v>0</v>
      </c>
      <c r="BH4597">
        <v>2200</v>
      </c>
      <c r="BI4597">
        <v>1</v>
      </c>
      <c r="BJ4597">
        <v>1</v>
      </c>
      <c r="BK4597">
        <v>0</v>
      </c>
      <c r="BL4597">
        <v>0</v>
      </c>
      <c r="BO4597">
        <v>0</v>
      </c>
      <c r="BP4597">
        <v>0</v>
      </c>
      <c r="BW4597" t="str">
        <f t="shared" si="2118"/>
        <v>14:49:40.663</v>
      </c>
      <c r="CJ4597">
        <v>0</v>
      </c>
      <c r="CK4597">
        <v>2</v>
      </c>
      <c r="CL4597">
        <v>0</v>
      </c>
      <c r="CM4597">
        <v>2</v>
      </c>
      <c r="CN4597">
        <v>0</v>
      </c>
      <c r="CO4597">
        <v>7</v>
      </c>
      <c r="CP4597" t="s">
        <v>119</v>
      </c>
      <c r="CQ4597">
        <v>358</v>
      </c>
      <c r="CR4597">
        <v>0</v>
      </c>
      <c r="CW4597">
        <v>5149425</v>
      </c>
      <c r="CY4597">
        <v>1</v>
      </c>
      <c r="CZ4597">
        <v>0</v>
      </c>
      <c r="DA4597">
        <v>1</v>
      </c>
      <c r="DB4597">
        <v>0</v>
      </c>
      <c r="DC4597">
        <v>0</v>
      </c>
      <c r="DD4597">
        <v>1</v>
      </c>
      <c r="DE4597">
        <v>0</v>
      </c>
      <c r="DF4597">
        <v>0</v>
      </c>
      <c r="DG4597">
        <v>0</v>
      </c>
      <c r="DH4597">
        <v>0</v>
      </c>
      <c r="DI4597">
        <v>0</v>
      </c>
    </row>
    <row r="4598" spans="1:113" x14ac:dyDescent="0.3">
      <c r="A4598" t="str">
        <f t="shared" si="2116"/>
        <v>05/12/2020 14:49:22.819</v>
      </c>
      <c r="C4598" t="str">
        <f t="shared" si="2102"/>
        <v>FFDFD3C0</v>
      </c>
      <c r="D4598" t="s">
        <v>131</v>
      </c>
      <c r="E4598">
        <v>12</v>
      </c>
      <c r="F4598">
        <v>2012</v>
      </c>
      <c r="G4598" t="s">
        <v>137</v>
      </c>
      <c r="J4598" t="s">
        <v>133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 t="shared" si="2117"/>
        <v>14:49:40.656</v>
      </c>
      <c r="T4598" t="str">
        <f t="shared" si="2117"/>
        <v>14:49:40.656</v>
      </c>
      <c r="U4598" t="str">
        <f t="shared" si="2093"/>
        <v>A9808D</v>
      </c>
      <c r="V4598">
        <v>0</v>
      </c>
      <c r="W4598">
        <v>0</v>
      </c>
      <c r="X4598">
        <v>1</v>
      </c>
      <c r="Z4598">
        <v>0</v>
      </c>
      <c r="AA4598">
        <v>9</v>
      </c>
      <c r="AB4598">
        <v>3</v>
      </c>
      <c r="AC4598">
        <v>0</v>
      </c>
      <c r="AD4598">
        <v>10</v>
      </c>
      <c r="AE4598">
        <v>0</v>
      </c>
      <c r="AF4598">
        <v>3</v>
      </c>
      <c r="AG4598">
        <v>2</v>
      </c>
      <c r="AH4598">
        <v>0</v>
      </c>
      <c r="AI4598" t="s">
        <v>1029</v>
      </c>
      <c r="AJ4598">
        <v>28.244433000000001</v>
      </c>
      <c r="AK4598" t="s">
        <v>1030</v>
      </c>
      <c r="AL4598">
        <v>-82.337615</v>
      </c>
      <c r="AM4598">
        <v>100</v>
      </c>
      <c r="AN4598">
        <v>2200</v>
      </c>
      <c r="AO4598" t="s">
        <v>118</v>
      </c>
      <c r="AP4598">
        <v>-142</v>
      </c>
      <c r="AQ4598">
        <v>-39</v>
      </c>
      <c r="AR4598">
        <v>-256</v>
      </c>
      <c r="AZ4598">
        <v>1200</v>
      </c>
      <c r="BA4598">
        <v>1</v>
      </c>
      <c r="BB4598" t="str">
        <f t="shared" si="2103"/>
        <v xml:space="preserve">N711JA  </v>
      </c>
      <c r="BC4598">
        <v>1</v>
      </c>
      <c r="BE4598">
        <v>0</v>
      </c>
      <c r="BF4598">
        <v>0</v>
      </c>
      <c r="BG4598">
        <v>0</v>
      </c>
      <c r="BH4598">
        <v>2200</v>
      </c>
      <c r="BI4598">
        <v>1</v>
      </c>
      <c r="BJ4598">
        <v>1</v>
      </c>
      <c r="BK4598">
        <v>0</v>
      </c>
      <c r="BL4598">
        <v>0</v>
      </c>
      <c r="BO4598">
        <v>0</v>
      </c>
      <c r="BP4598">
        <v>0</v>
      </c>
      <c r="BW4598" t="str">
        <f t="shared" si="2118"/>
        <v>14:49:40.663</v>
      </c>
      <c r="CJ4598">
        <v>0</v>
      </c>
      <c r="CK4598">
        <v>2</v>
      </c>
      <c r="CL4598">
        <v>0</v>
      </c>
      <c r="CM4598">
        <v>2</v>
      </c>
      <c r="CN4598">
        <v>0</v>
      </c>
      <c r="CO4598">
        <v>7</v>
      </c>
      <c r="CP4598" t="s">
        <v>119</v>
      </c>
      <c r="CQ4598">
        <v>8</v>
      </c>
      <c r="CR4598">
        <v>3</v>
      </c>
      <c r="CW4598">
        <v>9174953</v>
      </c>
      <c r="CY4598">
        <v>1</v>
      </c>
      <c r="CZ4598">
        <v>0</v>
      </c>
      <c r="DA4598">
        <v>1</v>
      </c>
      <c r="DB4598">
        <v>0</v>
      </c>
      <c r="DC4598">
        <v>0</v>
      </c>
      <c r="DD4598">
        <v>1</v>
      </c>
      <c r="DE4598">
        <v>0</v>
      </c>
      <c r="DF4598">
        <v>0</v>
      </c>
      <c r="DG4598">
        <v>0</v>
      </c>
      <c r="DH4598">
        <v>0</v>
      </c>
      <c r="DI4598">
        <v>0</v>
      </c>
    </row>
    <row r="4599" spans="1:113" x14ac:dyDescent="0.3">
      <c r="A4599" t="str">
        <f t="shared" si="2116"/>
        <v>05/12/2020 14:49:22.819</v>
      </c>
      <c r="C4599" t="str">
        <f t="shared" si="2102"/>
        <v>FFDFD3C0</v>
      </c>
      <c r="D4599" t="s">
        <v>131</v>
      </c>
      <c r="E4599">
        <v>18</v>
      </c>
      <c r="F4599">
        <v>2018</v>
      </c>
      <c r="G4599" t="s">
        <v>161</v>
      </c>
      <c r="J4599" t="s">
        <v>133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 t="shared" si="2117"/>
        <v>14:49:40.656</v>
      </c>
      <c r="T4599" t="str">
        <f t="shared" si="2117"/>
        <v>14:49:40.656</v>
      </c>
      <c r="U4599" t="str">
        <f t="shared" si="2093"/>
        <v>A9808D</v>
      </c>
      <c r="V4599">
        <v>0</v>
      </c>
      <c r="W4599">
        <v>0</v>
      </c>
      <c r="X4599">
        <v>1</v>
      </c>
      <c r="Z4599">
        <v>0</v>
      </c>
      <c r="AA4599">
        <v>9</v>
      </c>
      <c r="AB4599">
        <v>3</v>
      </c>
      <c r="AC4599">
        <v>0</v>
      </c>
      <c r="AD4599">
        <v>10</v>
      </c>
      <c r="AE4599">
        <v>0</v>
      </c>
      <c r="AF4599">
        <v>3</v>
      </c>
      <c r="AG4599">
        <v>2</v>
      </c>
      <c r="AH4599">
        <v>0</v>
      </c>
      <c r="AI4599" t="s">
        <v>1029</v>
      </c>
      <c r="AJ4599">
        <v>28.244433000000001</v>
      </c>
      <c r="AK4599" t="s">
        <v>1030</v>
      </c>
      <c r="AL4599">
        <v>-82.337615</v>
      </c>
      <c r="AM4599">
        <v>100</v>
      </c>
      <c r="AN4599">
        <v>2200</v>
      </c>
      <c r="AO4599" t="s">
        <v>118</v>
      </c>
      <c r="AP4599">
        <v>-142</v>
      </c>
      <c r="AQ4599">
        <v>-39</v>
      </c>
      <c r="AR4599">
        <v>-256</v>
      </c>
      <c r="AZ4599">
        <v>1200</v>
      </c>
      <c r="BA4599">
        <v>1</v>
      </c>
      <c r="BB4599" t="str">
        <f t="shared" si="2103"/>
        <v xml:space="preserve">N711JA  </v>
      </c>
      <c r="BC4599">
        <v>1</v>
      </c>
      <c r="BE4599">
        <v>0</v>
      </c>
      <c r="BF4599">
        <v>0</v>
      </c>
      <c r="BG4599">
        <v>0</v>
      </c>
      <c r="BH4599">
        <v>2200</v>
      </c>
      <c r="BI4599">
        <v>1</v>
      </c>
      <c r="BJ4599">
        <v>1</v>
      </c>
      <c r="BK4599">
        <v>0</v>
      </c>
      <c r="BL4599">
        <v>0</v>
      </c>
      <c r="BO4599">
        <v>0</v>
      </c>
      <c r="BP4599">
        <v>0</v>
      </c>
      <c r="BW4599" t="str">
        <f t="shared" si="2118"/>
        <v>14:49:40.663</v>
      </c>
      <c r="CJ4599">
        <v>0</v>
      </c>
      <c r="CK4599">
        <v>2</v>
      </c>
      <c r="CL4599">
        <v>0</v>
      </c>
      <c r="CM4599">
        <v>2</v>
      </c>
      <c r="CN4599">
        <v>0</v>
      </c>
      <c r="CO4599">
        <v>6</v>
      </c>
      <c r="CP4599" t="s">
        <v>119</v>
      </c>
      <c r="CQ4599">
        <v>56</v>
      </c>
      <c r="CR4599">
        <v>2</v>
      </c>
      <c r="CW4599">
        <v>5178683</v>
      </c>
      <c r="CY4599">
        <v>1</v>
      </c>
      <c r="CZ4599">
        <v>0</v>
      </c>
      <c r="DA4599">
        <v>1</v>
      </c>
      <c r="DB4599">
        <v>0</v>
      </c>
      <c r="DC4599">
        <v>0</v>
      </c>
      <c r="DD4599">
        <v>1</v>
      </c>
      <c r="DE4599">
        <v>0</v>
      </c>
      <c r="DF4599">
        <v>0</v>
      </c>
      <c r="DG4599">
        <v>0</v>
      </c>
      <c r="DH4599">
        <v>0</v>
      </c>
      <c r="DI4599">
        <v>0</v>
      </c>
    </row>
    <row r="4600" spans="1:113" x14ac:dyDescent="0.3">
      <c r="A4600" t="str">
        <f t="shared" si="2116"/>
        <v>05/12/2020 14:49:22.819</v>
      </c>
      <c r="C4600" t="str">
        <f t="shared" si="2102"/>
        <v>FFDFD3C0</v>
      </c>
      <c r="D4600" t="s">
        <v>134</v>
      </c>
      <c r="E4600">
        <v>12</v>
      </c>
      <c r="H4600">
        <v>64</v>
      </c>
      <c r="I4600" t="s">
        <v>135</v>
      </c>
      <c r="J4600" t="s">
        <v>136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 t="shared" si="2117"/>
        <v>14:49:40.656</v>
      </c>
      <c r="T4600" t="str">
        <f t="shared" si="2117"/>
        <v>14:49:40.656</v>
      </c>
      <c r="U4600" t="str">
        <f t="shared" si="2093"/>
        <v>A9808D</v>
      </c>
      <c r="V4600">
        <v>0</v>
      </c>
      <c r="W4600">
        <v>0</v>
      </c>
      <c r="X4600">
        <v>1</v>
      </c>
      <c r="Z4600">
        <v>0</v>
      </c>
      <c r="AA4600">
        <v>9</v>
      </c>
      <c r="AB4600">
        <v>3</v>
      </c>
      <c r="AC4600">
        <v>0</v>
      </c>
      <c r="AD4600">
        <v>10</v>
      </c>
      <c r="AE4600">
        <v>0</v>
      </c>
      <c r="AF4600">
        <v>3</v>
      </c>
      <c r="AG4600">
        <v>2</v>
      </c>
      <c r="AH4600">
        <v>0</v>
      </c>
      <c r="AI4600" t="s">
        <v>1029</v>
      </c>
      <c r="AJ4600">
        <v>28.244433000000001</v>
      </c>
      <c r="AK4600" t="s">
        <v>1030</v>
      </c>
      <c r="AL4600">
        <v>-82.337615</v>
      </c>
      <c r="AM4600">
        <v>100</v>
      </c>
      <c r="AN4600">
        <v>2200</v>
      </c>
      <c r="AO4600" t="s">
        <v>118</v>
      </c>
      <c r="AP4600">
        <v>-142</v>
      </c>
      <c r="AQ4600">
        <v>-39</v>
      </c>
      <c r="AR4600">
        <v>-256</v>
      </c>
      <c r="AZ4600">
        <v>1200</v>
      </c>
      <c r="BA4600">
        <v>1</v>
      </c>
      <c r="BB4600" t="str">
        <f t="shared" si="2103"/>
        <v xml:space="preserve">N711JA  </v>
      </c>
      <c r="BC4600">
        <v>1</v>
      </c>
      <c r="BE4600">
        <v>0</v>
      </c>
      <c r="BF4600">
        <v>0</v>
      </c>
      <c r="BG4600">
        <v>0</v>
      </c>
      <c r="BH4600">
        <v>2200</v>
      </c>
      <c r="BI4600">
        <v>1</v>
      </c>
      <c r="BJ4600">
        <v>1</v>
      </c>
      <c r="BK4600">
        <v>0</v>
      </c>
      <c r="BL4600">
        <v>0</v>
      </c>
      <c r="BO4600">
        <v>0</v>
      </c>
      <c r="BP4600">
        <v>0</v>
      </c>
      <c r="BW4600" t="str">
        <f t="shared" si="2118"/>
        <v>14:49:40.663</v>
      </c>
      <c r="CJ4600">
        <v>0</v>
      </c>
      <c r="CK4600">
        <v>2</v>
      </c>
      <c r="CL4600">
        <v>0</v>
      </c>
      <c r="CM4600">
        <v>2</v>
      </c>
      <c r="CN4600">
        <v>0</v>
      </c>
      <c r="CO4600">
        <v>7</v>
      </c>
      <c r="CP4600" t="s">
        <v>119</v>
      </c>
      <c r="CQ4600">
        <v>358</v>
      </c>
      <c r="CR4600">
        <v>0</v>
      </c>
      <c r="CW4600">
        <v>5149425</v>
      </c>
      <c r="CY4600">
        <v>1</v>
      </c>
      <c r="CZ4600">
        <v>0</v>
      </c>
      <c r="DA4600">
        <v>1</v>
      </c>
      <c r="DB4600">
        <v>0</v>
      </c>
      <c r="DC4600">
        <v>0</v>
      </c>
      <c r="DD4600">
        <v>1</v>
      </c>
      <c r="DE4600">
        <v>0</v>
      </c>
      <c r="DF4600">
        <v>0</v>
      </c>
      <c r="DG4600">
        <v>0</v>
      </c>
      <c r="DH4600">
        <v>0</v>
      </c>
      <c r="DI4600">
        <v>0</v>
      </c>
    </row>
    <row r="4601" spans="1:113" x14ac:dyDescent="0.3">
      <c r="A4601" t="str">
        <f t="shared" si="2116"/>
        <v>05/12/2020 14:49:22.819</v>
      </c>
      <c r="C4601" t="str">
        <f t="shared" si="2102"/>
        <v>FFDFD3C0</v>
      </c>
      <c r="D4601" t="s">
        <v>138</v>
      </c>
      <c r="E4601">
        <v>2</v>
      </c>
      <c r="H4601">
        <v>8</v>
      </c>
      <c r="I4601" t="s">
        <v>139</v>
      </c>
      <c r="J4601" t="s">
        <v>136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 t="shared" si="2117"/>
        <v>14:49:40.656</v>
      </c>
      <c r="T4601" t="str">
        <f t="shared" si="2117"/>
        <v>14:49:40.656</v>
      </c>
      <c r="U4601" t="str">
        <f t="shared" si="2093"/>
        <v>A9808D</v>
      </c>
      <c r="V4601">
        <v>0</v>
      </c>
      <c r="W4601">
        <v>0</v>
      </c>
      <c r="X4601">
        <v>1</v>
      </c>
      <c r="Z4601">
        <v>0</v>
      </c>
      <c r="AA4601">
        <v>9</v>
      </c>
      <c r="AB4601">
        <v>3</v>
      </c>
      <c r="AC4601">
        <v>0</v>
      </c>
      <c r="AD4601">
        <v>10</v>
      </c>
      <c r="AE4601">
        <v>0</v>
      </c>
      <c r="AF4601">
        <v>3</v>
      </c>
      <c r="AG4601">
        <v>2</v>
      </c>
      <c r="AH4601">
        <v>0</v>
      </c>
      <c r="AI4601" t="s">
        <v>1029</v>
      </c>
      <c r="AJ4601">
        <v>28.244433000000001</v>
      </c>
      <c r="AK4601" t="s">
        <v>1030</v>
      </c>
      <c r="AL4601">
        <v>-82.337615</v>
      </c>
      <c r="AM4601">
        <v>100</v>
      </c>
      <c r="AN4601">
        <v>2200</v>
      </c>
      <c r="AO4601" t="s">
        <v>118</v>
      </c>
      <c r="AP4601">
        <v>-142</v>
      </c>
      <c r="AQ4601">
        <v>-39</v>
      </c>
      <c r="AR4601">
        <v>-256</v>
      </c>
      <c r="AZ4601">
        <v>1200</v>
      </c>
      <c r="BA4601">
        <v>1</v>
      </c>
      <c r="BB4601" t="str">
        <f t="shared" si="2103"/>
        <v xml:space="preserve">N711JA  </v>
      </c>
      <c r="BC4601">
        <v>1</v>
      </c>
      <c r="BE4601">
        <v>0</v>
      </c>
      <c r="BF4601">
        <v>0</v>
      </c>
      <c r="BG4601">
        <v>0</v>
      </c>
      <c r="BH4601">
        <v>2200</v>
      </c>
      <c r="BI4601">
        <v>1</v>
      </c>
      <c r="BJ4601">
        <v>1</v>
      </c>
      <c r="BK4601">
        <v>0</v>
      </c>
      <c r="BL4601">
        <v>0</v>
      </c>
      <c r="BO4601">
        <v>0</v>
      </c>
      <c r="BP4601">
        <v>0</v>
      </c>
      <c r="BW4601" t="str">
        <f t="shared" si="2118"/>
        <v>14:49:40.663</v>
      </c>
      <c r="CJ4601">
        <v>0</v>
      </c>
      <c r="CK4601">
        <v>2</v>
      </c>
      <c r="CL4601">
        <v>0</v>
      </c>
      <c r="CM4601">
        <v>2</v>
      </c>
      <c r="CN4601">
        <v>0</v>
      </c>
      <c r="CO4601">
        <v>7</v>
      </c>
      <c r="CP4601" t="s">
        <v>119</v>
      </c>
      <c r="CQ4601">
        <v>8</v>
      </c>
      <c r="CR4601">
        <v>3</v>
      </c>
      <c r="CW4601">
        <v>9174953</v>
      </c>
      <c r="CY4601">
        <v>1</v>
      </c>
      <c r="CZ4601">
        <v>0</v>
      </c>
      <c r="DA4601">
        <v>1</v>
      </c>
      <c r="DB4601">
        <v>0</v>
      </c>
      <c r="DC4601">
        <v>0</v>
      </c>
      <c r="DD4601">
        <v>1</v>
      </c>
      <c r="DE4601">
        <v>0</v>
      </c>
      <c r="DF4601">
        <v>0</v>
      </c>
      <c r="DG4601">
        <v>0</v>
      </c>
      <c r="DH4601">
        <v>0</v>
      </c>
      <c r="DI4601">
        <v>0</v>
      </c>
    </row>
    <row r="4602" spans="1:113" x14ac:dyDescent="0.3">
      <c r="A4602" t="str">
        <f t="shared" si="2116"/>
        <v>05/12/2020 14:49:22.819</v>
      </c>
      <c r="C4602" t="str">
        <f t="shared" si="2102"/>
        <v>FFDFD3C0</v>
      </c>
      <c r="D4602" t="s">
        <v>138</v>
      </c>
      <c r="E4602">
        <v>3</v>
      </c>
      <c r="H4602">
        <v>9</v>
      </c>
      <c r="I4602" t="s">
        <v>140</v>
      </c>
      <c r="J4602" t="s">
        <v>136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 t="shared" si="2117"/>
        <v>14:49:40.656</v>
      </c>
      <c r="T4602" t="str">
        <f t="shared" si="2117"/>
        <v>14:49:40.656</v>
      </c>
      <c r="U4602" t="str">
        <f t="shared" si="2093"/>
        <v>A9808D</v>
      </c>
      <c r="V4602">
        <v>0</v>
      </c>
      <c r="W4602">
        <v>0</v>
      </c>
      <c r="X4602">
        <v>1</v>
      </c>
      <c r="Z4602">
        <v>0</v>
      </c>
      <c r="AA4602">
        <v>9</v>
      </c>
      <c r="AB4602">
        <v>3</v>
      </c>
      <c r="AC4602">
        <v>0</v>
      </c>
      <c r="AD4602">
        <v>10</v>
      </c>
      <c r="AE4602">
        <v>0</v>
      </c>
      <c r="AF4602">
        <v>3</v>
      </c>
      <c r="AG4602">
        <v>2</v>
      </c>
      <c r="AH4602">
        <v>0</v>
      </c>
      <c r="AI4602" t="s">
        <v>1029</v>
      </c>
      <c r="AJ4602">
        <v>28.244433000000001</v>
      </c>
      <c r="AK4602" t="s">
        <v>1030</v>
      </c>
      <c r="AL4602">
        <v>-82.337615</v>
      </c>
      <c r="AM4602">
        <v>100</v>
      </c>
      <c r="AN4602">
        <v>2200</v>
      </c>
      <c r="AO4602" t="s">
        <v>118</v>
      </c>
      <c r="AP4602">
        <v>-142</v>
      </c>
      <c r="AQ4602">
        <v>-39</v>
      </c>
      <c r="AR4602">
        <v>-256</v>
      </c>
      <c r="AZ4602">
        <v>1200</v>
      </c>
      <c r="BA4602">
        <v>1</v>
      </c>
      <c r="BB4602" t="str">
        <f t="shared" si="2103"/>
        <v xml:space="preserve">N711JA  </v>
      </c>
      <c r="BC4602">
        <v>1</v>
      </c>
      <c r="BE4602">
        <v>0</v>
      </c>
      <c r="BF4602">
        <v>0</v>
      </c>
      <c r="BG4602">
        <v>0</v>
      </c>
      <c r="BH4602">
        <v>2200</v>
      </c>
      <c r="BI4602">
        <v>1</v>
      </c>
      <c r="BJ4602">
        <v>1</v>
      </c>
      <c r="BK4602">
        <v>0</v>
      </c>
      <c r="BL4602">
        <v>0</v>
      </c>
      <c r="BO4602">
        <v>0</v>
      </c>
      <c r="BP4602">
        <v>0</v>
      </c>
      <c r="BW4602" t="str">
        <f t="shared" si="2118"/>
        <v>14:49:40.663</v>
      </c>
      <c r="CJ4602">
        <v>0</v>
      </c>
      <c r="CK4602">
        <v>2</v>
      </c>
      <c r="CL4602">
        <v>0</v>
      </c>
      <c r="CM4602">
        <v>2</v>
      </c>
      <c r="CN4602">
        <v>0</v>
      </c>
      <c r="CO4602">
        <v>7</v>
      </c>
      <c r="CP4602" t="s">
        <v>119</v>
      </c>
      <c r="CQ4602">
        <v>358</v>
      </c>
      <c r="CR4602">
        <v>0</v>
      </c>
      <c r="CW4602">
        <v>5149425</v>
      </c>
      <c r="CY4602">
        <v>1</v>
      </c>
      <c r="CZ4602">
        <v>0</v>
      </c>
      <c r="DA4602">
        <v>1</v>
      </c>
      <c r="DB4602">
        <v>0</v>
      </c>
      <c r="DC4602">
        <v>0</v>
      </c>
      <c r="DD4602">
        <v>1</v>
      </c>
      <c r="DE4602">
        <v>0</v>
      </c>
      <c r="DF4602">
        <v>0</v>
      </c>
      <c r="DG4602">
        <v>0</v>
      </c>
      <c r="DH4602">
        <v>0</v>
      </c>
      <c r="DI4602">
        <v>0</v>
      </c>
    </row>
    <row r="4603" spans="1:113" x14ac:dyDescent="0.3">
      <c r="A4603" t="str">
        <f t="shared" si="2116"/>
        <v>05/12/2020 14:49:22.819</v>
      </c>
      <c r="C4603" t="str">
        <f t="shared" si="2102"/>
        <v>FFDFD3C0</v>
      </c>
      <c r="D4603" t="s">
        <v>126</v>
      </c>
      <c r="E4603">
        <v>6</v>
      </c>
      <c r="F4603">
        <v>1006</v>
      </c>
      <c r="G4603" t="s">
        <v>114</v>
      </c>
      <c r="J4603" t="s">
        <v>128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 t="shared" si="2117"/>
        <v>14:49:40.656</v>
      </c>
      <c r="T4603" t="str">
        <f t="shared" si="2117"/>
        <v>14:49:40.656</v>
      </c>
      <c r="U4603" t="str">
        <f t="shared" si="2093"/>
        <v>A9808D</v>
      </c>
      <c r="V4603">
        <v>0</v>
      </c>
      <c r="W4603">
        <v>0</v>
      </c>
      <c r="X4603">
        <v>1</v>
      </c>
      <c r="Z4603">
        <v>0</v>
      </c>
      <c r="AA4603">
        <v>9</v>
      </c>
      <c r="AB4603">
        <v>3</v>
      </c>
      <c r="AC4603">
        <v>0</v>
      </c>
      <c r="AD4603">
        <v>10</v>
      </c>
      <c r="AE4603">
        <v>0</v>
      </c>
      <c r="AF4603">
        <v>3</v>
      </c>
      <c r="AG4603">
        <v>2</v>
      </c>
      <c r="AH4603">
        <v>0</v>
      </c>
      <c r="AI4603" t="s">
        <v>1029</v>
      </c>
      <c r="AJ4603">
        <v>28.244433000000001</v>
      </c>
      <c r="AK4603" t="s">
        <v>1030</v>
      </c>
      <c r="AL4603">
        <v>-82.337615</v>
      </c>
      <c r="AM4603">
        <v>100</v>
      </c>
      <c r="AN4603">
        <v>2200</v>
      </c>
      <c r="AO4603" t="s">
        <v>118</v>
      </c>
      <c r="AP4603">
        <v>-142</v>
      </c>
      <c r="AQ4603">
        <v>-39</v>
      </c>
      <c r="AR4603">
        <v>-256</v>
      </c>
      <c r="AZ4603">
        <v>1200</v>
      </c>
      <c r="BA4603">
        <v>1</v>
      </c>
      <c r="BB4603" t="str">
        <f t="shared" si="2103"/>
        <v xml:space="preserve">N711JA  </v>
      </c>
      <c r="BC4603">
        <v>1</v>
      </c>
      <c r="BE4603">
        <v>0</v>
      </c>
      <c r="BF4603">
        <v>0</v>
      </c>
      <c r="BG4603">
        <v>0</v>
      </c>
      <c r="BH4603">
        <v>2200</v>
      </c>
      <c r="BI4603">
        <v>1</v>
      </c>
      <c r="BJ4603">
        <v>1</v>
      </c>
      <c r="BK4603">
        <v>0</v>
      </c>
      <c r="BL4603">
        <v>0</v>
      </c>
      <c r="BO4603">
        <v>0</v>
      </c>
      <c r="BP4603">
        <v>0</v>
      </c>
      <c r="BW4603" t="str">
        <f t="shared" si="2118"/>
        <v>14:49:40.663</v>
      </c>
      <c r="CJ4603">
        <v>0</v>
      </c>
      <c r="CK4603">
        <v>2</v>
      </c>
      <c r="CL4603">
        <v>0</v>
      </c>
      <c r="CM4603">
        <v>2</v>
      </c>
      <c r="CN4603">
        <v>0</v>
      </c>
      <c r="CO4603">
        <v>7</v>
      </c>
      <c r="CP4603" t="s">
        <v>119</v>
      </c>
      <c r="CQ4603">
        <v>358</v>
      </c>
      <c r="CR4603">
        <v>0</v>
      </c>
      <c r="CW4603">
        <v>5149425</v>
      </c>
      <c r="CY4603">
        <v>1</v>
      </c>
      <c r="CZ4603">
        <v>0</v>
      </c>
      <c r="DA4603">
        <v>1</v>
      </c>
      <c r="DB4603">
        <v>0</v>
      </c>
      <c r="DC4603">
        <v>0</v>
      </c>
      <c r="DD4603">
        <v>1</v>
      </c>
      <c r="DE4603">
        <v>0</v>
      </c>
      <c r="DF4603">
        <v>0</v>
      </c>
      <c r="DG4603">
        <v>0</v>
      </c>
      <c r="DH4603">
        <v>0</v>
      </c>
      <c r="DI4603">
        <v>0</v>
      </c>
    </row>
    <row r="4604" spans="1:113" x14ac:dyDescent="0.3">
      <c r="A4604" t="str">
        <f t="shared" si="2116"/>
        <v>05/12/2020 14:49:22.819</v>
      </c>
      <c r="C4604" t="str">
        <f t="shared" si="2102"/>
        <v>FFDFD3C0</v>
      </c>
      <c r="D4604" t="s">
        <v>113</v>
      </c>
      <c r="E4604">
        <v>3</v>
      </c>
      <c r="H4604">
        <v>164</v>
      </c>
      <c r="I4604" t="s">
        <v>114</v>
      </c>
      <c r="J4604" t="s">
        <v>115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 t="shared" si="2117"/>
        <v>14:49:40.656</v>
      </c>
      <c r="T4604" t="str">
        <f t="shared" si="2117"/>
        <v>14:49:40.656</v>
      </c>
      <c r="U4604" t="str">
        <f t="shared" si="2093"/>
        <v>A9808D</v>
      </c>
      <c r="V4604">
        <v>0</v>
      </c>
      <c r="W4604">
        <v>0</v>
      </c>
      <c r="X4604">
        <v>1</v>
      </c>
      <c r="Z4604">
        <v>0</v>
      </c>
      <c r="AA4604">
        <v>9</v>
      </c>
      <c r="AB4604">
        <v>3</v>
      </c>
      <c r="AC4604">
        <v>0</v>
      </c>
      <c r="AD4604">
        <v>10</v>
      </c>
      <c r="AE4604">
        <v>0</v>
      </c>
      <c r="AF4604">
        <v>3</v>
      </c>
      <c r="AG4604">
        <v>2</v>
      </c>
      <c r="AH4604">
        <v>0</v>
      </c>
      <c r="AI4604" t="s">
        <v>1029</v>
      </c>
      <c r="AJ4604">
        <v>28.244433000000001</v>
      </c>
      <c r="AK4604" t="s">
        <v>1030</v>
      </c>
      <c r="AL4604">
        <v>-82.337615</v>
      </c>
      <c r="AM4604">
        <v>100</v>
      </c>
      <c r="AN4604">
        <v>2200</v>
      </c>
      <c r="AO4604" t="s">
        <v>118</v>
      </c>
      <c r="AP4604">
        <v>-142</v>
      </c>
      <c r="AQ4604">
        <v>-39</v>
      </c>
      <c r="AR4604">
        <v>-256</v>
      </c>
      <c r="AZ4604">
        <v>1200</v>
      </c>
      <c r="BA4604">
        <v>1</v>
      </c>
      <c r="BB4604" t="str">
        <f t="shared" si="2103"/>
        <v xml:space="preserve">N711JA  </v>
      </c>
      <c r="BC4604">
        <v>1</v>
      </c>
      <c r="BE4604">
        <v>0</v>
      </c>
      <c r="BF4604">
        <v>0</v>
      </c>
      <c r="BG4604">
        <v>0</v>
      </c>
      <c r="BH4604">
        <v>2200</v>
      </c>
      <c r="BI4604">
        <v>1</v>
      </c>
      <c r="BJ4604">
        <v>1</v>
      </c>
      <c r="BK4604">
        <v>0</v>
      </c>
      <c r="BL4604">
        <v>0</v>
      </c>
      <c r="BO4604">
        <v>0</v>
      </c>
      <c r="BP4604">
        <v>0</v>
      </c>
      <c r="BW4604" t="str">
        <f t="shared" si="2118"/>
        <v>14:49:40.663</v>
      </c>
      <c r="CJ4604">
        <v>0</v>
      </c>
      <c r="CK4604">
        <v>2</v>
      </c>
      <c r="CL4604">
        <v>0</v>
      </c>
      <c r="CM4604">
        <v>2</v>
      </c>
      <c r="CN4604">
        <v>0</v>
      </c>
      <c r="CO4604">
        <v>7</v>
      </c>
      <c r="CP4604" t="s">
        <v>119</v>
      </c>
      <c r="CQ4604">
        <v>8</v>
      </c>
      <c r="CR4604">
        <v>3</v>
      </c>
      <c r="CW4604">
        <v>9174953</v>
      </c>
      <c r="CY4604">
        <v>1</v>
      </c>
      <c r="CZ4604">
        <v>0</v>
      </c>
      <c r="DA4604">
        <v>1</v>
      </c>
      <c r="DB4604">
        <v>0</v>
      </c>
      <c r="DC4604">
        <v>0</v>
      </c>
      <c r="DD4604">
        <v>1</v>
      </c>
      <c r="DE4604">
        <v>0</v>
      </c>
      <c r="DF4604">
        <v>0</v>
      </c>
      <c r="DG4604">
        <v>0</v>
      </c>
      <c r="DH4604">
        <v>0</v>
      </c>
      <c r="DI4604">
        <v>0</v>
      </c>
    </row>
    <row r="4605" spans="1:113" x14ac:dyDescent="0.3">
      <c r="A4605" t="str">
        <f t="shared" ref="A4605:A4613" si="2119">"05/12/2020 14:49:23.825"</f>
        <v>05/12/2020 14:49:23.825</v>
      </c>
      <c r="C4605" t="str">
        <f t="shared" si="2102"/>
        <v>FFDFD3C0</v>
      </c>
      <c r="D4605" t="s">
        <v>126</v>
      </c>
      <c r="E4605">
        <v>7</v>
      </c>
      <c r="F4605">
        <v>1007</v>
      </c>
      <c r="G4605" t="s">
        <v>127</v>
      </c>
      <c r="J4605" t="s">
        <v>128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 t="shared" ref="S4605:S4613" si="2120">"14:49:41.664"</f>
        <v>14:49:41.664</v>
      </c>
      <c r="T4605" t="str">
        <f t="shared" ref="T4605:T4613" si="2121">"14:49:41.264"</f>
        <v>14:49:41.264</v>
      </c>
      <c r="U4605" t="str">
        <f t="shared" si="2093"/>
        <v>A9808D</v>
      </c>
      <c r="V4605">
        <v>0</v>
      </c>
      <c r="W4605">
        <v>0</v>
      </c>
      <c r="X4605">
        <v>1</v>
      </c>
      <c r="Z4605">
        <v>0</v>
      </c>
      <c r="AA4605">
        <v>9</v>
      </c>
      <c r="AB4605">
        <v>3</v>
      </c>
      <c r="AC4605">
        <v>0</v>
      </c>
      <c r="AD4605">
        <v>10</v>
      </c>
      <c r="AE4605">
        <v>0</v>
      </c>
      <c r="AF4605">
        <v>3</v>
      </c>
      <c r="AG4605">
        <v>2</v>
      </c>
      <c r="AH4605">
        <v>0</v>
      </c>
      <c r="AI4605" t="s">
        <v>1031</v>
      </c>
      <c r="AJ4605">
        <v>28.244240000000001</v>
      </c>
      <c r="AK4605" t="s">
        <v>1032</v>
      </c>
      <c r="AL4605">
        <v>-82.338367000000005</v>
      </c>
      <c r="AM4605">
        <v>100</v>
      </c>
      <c r="AN4605">
        <v>2200</v>
      </c>
      <c r="AO4605" t="s">
        <v>118</v>
      </c>
      <c r="AP4605">
        <v>-142</v>
      </c>
      <c r="AQ4605">
        <v>-39</v>
      </c>
      <c r="AR4605">
        <v>-256</v>
      </c>
      <c r="AZ4605">
        <v>1200</v>
      </c>
      <c r="BA4605">
        <v>1</v>
      </c>
      <c r="BB4605" t="str">
        <f t="shared" si="2103"/>
        <v xml:space="preserve">N711JA  </v>
      </c>
      <c r="BC4605">
        <v>1</v>
      </c>
      <c r="BE4605">
        <v>0</v>
      </c>
      <c r="BF4605">
        <v>0</v>
      </c>
      <c r="BG4605">
        <v>0</v>
      </c>
      <c r="BH4605">
        <v>2200</v>
      </c>
      <c r="BI4605">
        <v>1</v>
      </c>
      <c r="BJ4605">
        <v>1</v>
      </c>
      <c r="BK4605">
        <v>0</v>
      </c>
      <c r="BL4605">
        <v>0</v>
      </c>
      <c r="BO4605">
        <v>0</v>
      </c>
      <c r="BP4605">
        <v>0</v>
      </c>
      <c r="BW4605" t="str">
        <f t="shared" ref="BW4605:BW4613" si="2122">"14:49:41.668"</f>
        <v>14:49:41.668</v>
      </c>
      <c r="CJ4605">
        <v>0</v>
      </c>
      <c r="CK4605">
        <v>2</v>
      </c>
      <c r="CL4605">
        <v>0</v>
      </c>
      <c r="CM4605">
        <v>2</v>
      </c>
      <c r="CN4605">
        <v>0</v>
      </c>
      <c r="CO4605">
        <v>6</v>
      </c>
      <c r="CP4605" t="s">
        <v>119</v>
      </c>
      <c r="CQ4605">
        <v>358</v>
      </c>
      <c r="CR4605">
        <v>0</v>
      </c>
      <c r="CW4605">
        <v>5150623</v>
      </c>
      <c r="CY4605">
        <v>1</v>
      </c>
      <c r="CZ4605">
        <v>0</v>
      </c>
      <c r="DA4605">
        <v>0</v>
      </c>
      <c r="DB4605">
        <v>0</v>
      </c>
      <c r="DC4605">
        <v>0</v>
      </c>
      <c r="DD4605">
        <v>1</v>
      </c>
      <c r="DE4605">
        <v>0</v>
      </c>
      <c r="DF4605">
        <v>0</v>
      </c>
      <c r="DG4605">
        <v>0</v>
      </c>
      <c r="DH4605">
        <v>0</v>
      </c>
      <c r="DI4605">
        <v>0</v>
      </c>
    </row>
    <row r="4606" spans="1:113" x14ac:dyDescent="0.3">
      <c r="A4606" t="str">
        <f t="shared" si="2119"/>
        <v>05/12/2020 14:49:23.825</v>
      </c>
      <c r="C4606" t="str">
        <f t="shared" si="2102"/>
        <v>FFDFD3C0</v>
      </c>
      <c r="D4606" t="s">
        <v>131</v>
      </c>
      <c r="E4606">
        <v>10</v>
      </c>
      <c r="F4606">
        <v>2010</v>
      </c>
      <c r="G4606" t="s">
        <v>132</v>
      </c>
      <c r="J4606" t="s">
        <v>133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 t="shared" si="2120"/>
        <v>14:49:41.664</v>
      </c>
      <c r="T4606" t="str">
        <f t="shared" si="2121"/>
        <v>14:49:41.264</v>
      </c>
      <c r="U4606" t="str">
        <f t="shared" si="2093"/>
        <v>A9808D</v>
      </c>
      <c r="V4606">
        <v>0</v>
      </c>
      <c r="W4606">
        <v>0</v>
      </c>
      <c r="X4606">
        <v>1</v>
      </c>
      <c r="Z4606">
        <v>0</v>
      </c>
      <c r="AA4606">
        <v>9</v>
      </c>
      <c r="AB4606">
        <v>3</v>
      </c>
      <c r="AC4606">
        <v>0</v>
      </c>
      <c r="AD4606">
        <v>10</v>
      </c>
      <c r="AE4606">
        <v>0</v>
      </c>
      <c r="AF4606">
        <v>3</v>
      </c>
      <c r="AG4606">
        <v>2</v>
      </c>
      <c r="AH4606">
        <v>0</v>
      </c>
      <c r="AI4606" t="s">
        <v>1031</v>
      </c>
      <c r="AJ4606">
        <v>28.244240000000001</v>
      </c>
      <c r="AK4606" t="s">
        <v>1032</v>
      </c>
      <c r="AL4606">
        <v>-82.338367000000005</v>
      </c>
      <c r="AM4606">
        <v>100</v>
      </c>
      <c r="AN4606">
        <v>2200</v>
      </c>
      <c r="AO4606" t="s">
        <v>118</v>
      </c>
      <c r="AP4606">
        <v>-142</v>
      </c>
      <c r="AQ4606">
        <v>-39</v>
      </c>
      <c r="AR4606">
        <v>-256</v>
      </c>
      <c r="AZ4606">
        <v>1200</v>
      </c>
      <c r="BA4606">
        <v>1</v>
      </c>
      <c r="BB4606" t="str">
        <f t="shared" si="2103"/>
        <v xml:space="preserve">N711JA  </v>
      </c>
      <c r="BC4606">
        <v>1</v>
      </c>
      <c r="BE4606">
        <v>0</v>
      </c>
      <c r="BF4606">
        <v>0</v>
      </c>
      <c r="BG4606">
        <v>0</v>
      </c>
      <c r="BH4606">
        <v>2200</v>
      </c>
      <c r="BI4606">
        <v>1</v>
      </c>
      <c r="BJ4606">
        <v>1</v>
      </c>
      <c r="BK4606">
        <v>0</v>
      </c>
      <c r="BL4606">
        <v>0</v>
      </c>
      <c r="BO4606">
        <v>0</v>
      </c>
      <c r="BP4606">
        <v>0</v>
      </c>
      <c r="BW4606" t="str">
        <f t="shared" si="2122"/>
        <v>14:49:41.668</v>
      </c>
      <c r="CJ4606">
        <v>0</v>
      </c>
      <c r="CK4606">
        <v>2</v>
      </c>
      <c r="CL4606">
        <v>0</v>
      </c>
      <c r="CM4606">
        <v>2</v>
      </c>
      <c r="CN4606">
        <v>0</v>
      </c>
      <c r="CO4606">
        <v>6</v>
      </c>
      <c r="CP4606" t="s">
        <v>119</v>
      </c>
      <c r="CQ4606">
        <v>358</v>
      </c>
      <c r="CR4606">
        <v>0</v>
      </c>
      <c r="CW4606">
        <v>5150623</v>
      </c>
      <c r="CY4606">
        <v>1</v>
      </c>
      <c r="CZ4606">
        <v>0</v>
      </c>
      <c r="DA4606">
        <v>1</v>
      </c>
      <c r="DB4606">
        <v>0</v>
      </c>
      <c r="DC4606">
        <v>0</v>
      </c>
      <c r="DD4606">
        <v>1</v>
      </c>
      <c r="DE4606">
        <v>0</v>
      </c>
      <c r="DF4606">
        <v>0</v>
      </c>
      <c r="DG4606">
        <v>0</v>
      </c>
      <c r="DH4606">
        <v>0</v>
      </c>
      <c r="DI4606">
        <v>0</v>
      </c>
    </row>
    <row r="4607" spans="1:113" x14ac:dyDescent="0.3">
      <c r="A4607" t="str">
        <f t="shared" si="2119"/>
        <v>05/12/2020 14:49:23.825</v>
      </c>
      <c r="C4607" t="str">
        <f t="shared" si="2102"/>
        <v>FFDFD3C0</v>
      </c>
      <c r="D4607" t="s">
        <v>131</v>
      </c>
      <c r="E4607">
        <v>12</v>
      </c>
      <c r="F4607">
        <v>2012</v>
      </c>
      <c r="G4607" t="s">
        <v>137</v>
      </c>
      <c r="J4607" t="s">
        <v>133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 t="shared" si="2120"/>
        <v>14:49:41.664</v>
      </c>
      <c r="T4607" t="str">
        <f t="shared" si="2121"/>
        <v>14:49:41.264</v>
      </c>
      <c r="U4607" t="str">
        <f t="shared" si="2093"/>
        <v>A9808D</v>
      </c>
      <c r="V4607">
        <v>0</v>
      </c>
      <c r="W4607">
        <v>0</v>
      </c>
      <c r="X4607">
        <v>1</v>
      </c>
      <c r="Z4607">
        <v>0</v>
      </c>
      <c r="AA4607">
        <v>9</v>
      </c>
      <c r="AB4607">
        <v>3</v>
      </c>
      <c r="AC4607">
        <v>0</v>
      </c>
      <c r="AD4607">
        <v>10</v>
      </c>
      <c r="AE4607">
        <v>0</v>
      </c>
      <c r="AF4607">
        <v>3</v>
      </c>
      <c r="AG4607">
        <v>2</v>
      </c>
      <c r="AH4607">
        <v>0</v>
      </c>
      <c r="AI4607" t="s">
        <v>1031</v>
      </c>
      <c r="AJ4607">
        <v>28.244240000000001</v>
      </c>
      <c r="AK4607" t="s">
        <v>1032</v>
      </c>
      <c r="AL4607">
        <v>-82.338367000000005</v>
      </c>
      <c r="AM4607">
        <v>100</v>
      </c>
      <c r="AN4607">
        <v>2200</v>
      </c>
      <c r="AO4607" t="s">
        <v>118</v>
      </c>
      <c r="AP4607">
        <v>-142</v>
      </c>
      <c r="AQ4607">
        <v>-39</v>
      </c>
      <c r="AR4607">
        <v>-256</v>
      </c>
      <c r="AZ4607">
        <v>1200</v>
      </c>
      <c r="BA4607">
        <v>1</v>
      </c>
      <c r="BB4607" t="str">
        <f t="shared" si="2103"/>
        <v xml:space="preserve">N711JA  </v>
      </c>
      <c r="BC4607">
        <v>1</v>
      </c>
      <c r="BE4607">
        <v>0</v>
      </c>
      <c r="BF4607">
        <v>0</v>
      </c>
      <c r="BG4607">
        <v>0</v>
      </c>
      <c r="BH4607">
        <v>2200</v>
      </c>
      <c r="BI4607">
        <v>1</v>
      </c>
      <c r="BJ4607">
        <v>1</v>
      </c>
      <c r="BK4607">
        <v>0</v>
      </c>
      <c r="BL4607">
        <v>0</v>
      </c>
      <c r="BO4607">
        <v>0</v>
      </c>
      <c r="BP4607">
        <v>0</v>
      </c>
      <c r="BW4607" t="str">
        <f t="shared" si="2122"/>
        <v>14:49:41.668</v>
      </c>
      <c r="CJ4607">
        <v>0</v>
      </c>
      <c r="CK4607">
        <v>2</v>
      </c>
      <c r="CL4607">
        <v>0</v>
      </c>
      <c r="CM4607">
        <v>2</v>
      </c>
      <c r="CN4607">
        <v>0</v>
      </c>
      <c r="CO4607">
        <v>6</v>
      </c>
      <c r="CP4607" t="s">
        <v>119</v>
      </c>
      <c r="CQ4607">
        <v>56</v>
      </c>
      <c r="CR4607">
        <v>3</v>
      </c>
      <c r="CW4607">
        <v>12516354</v>
      </c>
      <c r="CY4607">
        <v>1</v>
      </c>
      <c r="CZ4607">
        <v>0</v>
      </c>
      <c r="DA4607">
        <v>1</v>
      </c>
      <c r="DB4607">
        <v>0</v>
      </c>
      <c r="DC4607">
        <v>0</v>
      </c>
      <c r="DD4607">
        <v>1</v>
      </c>
      <c r="DE4607">
        <v>0</v>
      </c>
      <c r="DF4607">
        <v>0</v>
      </c>
      <c r="DG4607">
        <v>0</v>
      </c>
      <c r="DH4607">
        <v>0</v>
      </c>
      <c r="DI4607">
        <v>0</v>
      </c>
    </row>
    <row r="4608" spans="1:113" x14ac:dyDescent="0.3">
      <c r="A4608" t="str">
        <f t="shared" si="2119"/>
        <v>05/12/2020 14:49:23.825</v>
      </c>
      <c r="C4608" t="str">
        <f t="shared" si="2102"/>
        <v>FFDFD3C0</v>
      </c>
      <c r="D4608" t="s">
        <v>131</v>
      </c>
      <c r="E4608">
        <v>18</v>
      </c>
      <c r="F4608">
        <v>2018</v>
      </c>
      <c r="G4608" t="s">
        <v>161</v>
      </c>
      <c r="J4608" t="s">
        <v>133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 t="shared" si="2120"/>
        <v>14:49:41.664</v>
      </c>
      <c r="T4608" t="str">
        <f t="shared" si="2121"/>
        <v>14:49:41.264</v>
      </c>
      <c r="U4608" t="str">
        <f t="shared" si="2093"/>
        <v>A9808D</v>
      </c>
      <c r="V4608">
        <v>0</v>
      </c>
      <c r="W4608">
        <v>0</v>
      </c>
      <c r="X4608">
        <v>1</v>
      </c>
      <c r="Z4608">
        <v>0</v>
      </c>
      <c r="AA4608">
        <v>9</v>
      </c>
      <c r="AB4608">
        <v>3</v>
      </c>
      <c r="AC4608">
        <v>0</v>
      </c>
      <c r="AD4608">
        <v>10</v>
      </c>
      <c r="AE4608">
        <v>0</v>
      </c>
      <c r="AF4608">
        <v>3</v>
      </c>
      <c r="AG4608">
        <v>2</v>
      </c>
      <c r="AH4608">
        <v>0</v>
      </c>
      <c r="AI4608" t="s">
        <v>1031</v>
      </c>
      <c r="AJ4608">
        <v>28.244240000000001</v>
      </c>
      <c r="AK4608" t="s">
        <v>1032</v>
      </c>
      <c r="AL4608">
        <v>-82.338367000000005</v>
      </c>
      <c r="AM4608">
        <v>100</v>
      </c>
      <c r="AN4608">
        <v>2200</v>
      </c>
      <c r="AO4608" t="s">
        <v>118</v>
      </c>
      <c r="AP4608">
        <v>-142</v>
      </c>
      <c r="AQ4608">
        <v>-39</v>
      </c>
      <c r="AR4608">
        <v>-256</v>
      </c>
      <c r="AZ4608">
        <v>1200</v>
      </c>
      <c r="BA4608">
        <v>1</v>
      </c>
      <c r="BB4608" t="str">
        <f t="shared" si="2103"/>
        <v xml:space="preserve">N711JA  </v>
      </c>
      <c r="BC4608">
        <v>1</v>
      </c>
      <c r="BE4608">
        <v>0</v>
      </c>
      <c r="BF4608">
        <v>0</v>
      </c>
      <c r="BG4608">
        <v>0</v>
      </c>
      <c r="BH4608">
        <v>2200</v>
      </c>
      <c r="BI4608">
        <v>1</v>
      </c>
      <c r="BJ4608">
        <v>1</v>
      </c>
      <c r="BK4608">
        <v>0</v>
      </c>
      <c r="BL4608">
        <v>0</v>
      </c>
      <c r="BO4608">
        <v>0</v>
      </c>
      <c r="BP4608">
        <v>0</v>
      </c>
      <c r="BW4608" t="str">
        <f t="shared" si="2122"/>
        <v>14:49:41.668</v>
      </c>
      <c r="CJ4608">
        <v>0</v>
      </c>
      <c r="CK4608">
        <v>2</v>
      </c>
      <c r="CL4608">
        <v>0</v>
      </c>
      <c r="CM4608">
        <v>2</v>
      </c>
      <c r="CN4608">
        <v>0</v>
      </c>
      <c r="CO4608">
        <v>6</v>
      </c>
      <c r="CP4608" t="s">
        <v>119</v>
      </c>
      <c r="CQ4608">
        <v>56</v>
      </c>
      <c r="CR4608">
        <v>3</v>
      </c>
      <c r="CW4608">
        <v>12516354</v>
      </c>
      <c r="CY4608">
        <v>1</v>
      </c>
      <c r="CZ4608">
        <v>0</v>
      </c>
      <c r="DA4608">
        <v>1</v>
      </c>
      <c r="DB4608">
        <v>0</v>
      </c>
      <c r="DC4608">
        <v>0</v>
      </c>
      <c r="DD4608">
        <v>1</v>
      </c>
      <c r="DE4608">
        <v>0</v>
      </c>
      <c r="DF4608">
        <v>0</v>
      </c>
      <c r="DG4608">
        <v>0</v>
      </c>
      <c r="DH4608">
        <v>0</v>
      </c>
      <c r="DI4608">
        <v>0</v>
      </c>
    </row>
    <row r="4609" spans="1:113" x14ac:dyDescent="0.3">
      <c r="A4609" t="str">
        <f t="shared" si="2119"/>
        <v>05/12/2020 14:49:23.825</v>
      </c>
      <c r="C4609" t="str">
        <f t="shared" si="2102"/>
        <v>FFDFD3C0</v>
      </c>
      <c r="D4609" t="s">
        <v>126</v>
      </c>
      <c r="E4609">
        <v>6</v>
      </c>
      <c r="F4609">
        <v>1006</v>
      </c>
      <c r="G4609" t="s">
        <v>114</v>
      </c>
      <c r="J4609" t="s">
        <v>128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 t="shared" si="2120"/>
        <v>14:49:41.664</v>
      </c>
      <c r="T4609" t="str">
        <f t="shared" si="2121"/>
        <v>14:49:41.264</v>
      </c>
      <c r="U4609" t="str">
        <f t="shared" si="2093"/>
        <v>A9808D</v>
      </c>
      <c r="V4609">
        <v>0</v>
      </c>
      <c r="W4609">
        <v>0</v>
      </c>
      <c r="X4609">
        <v>1</v>
      </c>
      <c r="Z4609">
        <v>0</v>
      </c>
      <c r="AA4609">
        <v>9</v>
      </c>
      <c r="AB4609">
        <v>3</v>
      </c>
      <c r="AC4609">
        <v>0</v>
      </c>
      <c r="AD4609">
        <v>10</v>
      </c>
      <c r="AE4609">
        <v>0</v>
      </c>
      <c r="AF4609">
        <v>3</v>
      </c>
      <c r="AG4609">
        <v>2</v>
      </c>
      <c r="AH4609">
        <v>0</v>
      </c>
      <c r="AI4609" t="s">
        <v>1031</v>
      </c>
      <c r="AJ4609">
        <v>28.244240000000001</v>
      </c>
      <c r="AK4609" t="s">
        <v>1032</v>
      </c>
      <c r="AL4609">
        <v>-82.338367000000005</v>
      </c>
      <c r="AM4609">
        <v>100</v>
      </c>
      <c r="AN4609">
        <v>2200</v>
      </c>
      <c r="AO4609" t="s">
        <v>118</v>
      </c>
      <c r="AP4609">
        <v>-142</v>
      </c>
      <c r="AQ4609">
        <v>-39</v>
      </c>
      <c r="AR4609">
        <v>-256</v>
      </c>
      <c r="AZ4609">
        <v>1200</v>
      </c>
      <c r="BA4609">
        <v>1</v>
      </c>
      <c r="BB4609" t="str">
        <f t="shared" si="2103"/>
        <v xml:space="preserve">N711JA  </v>
      </c>
      <c r="BC4609">
        <v>1</v>
      </c>
      <c r="BE4609">
        <v>0</v>
      </c>
      <c r="BF4609">
        <v>0</v>
      </c>
      <c r="BG4609">
        <v>0</v>
      </c>
      <c r="BH4609">
        <v>2200</v>
      </c>
      <c r="BI4609">
        <v>1</v>
      </c>
      <c r="BJ4609">
        <v>1</v>
      </c>
      <c r="BK4609">
        <v>0</v>
      </c>
      <c r="BL4609">
        <v>0</v>
      </c>
      <c r="BO4609">
        <v>0</v>
      </c>
      <c r="BP4609">
        <v>0</v>
      </c>
      <c r="BW4609" t="str">
        <f t="shared" si="2122"/>
        <v>14:49:41.668</v>
      </c>
      <c r="CJ4609">
        <v>0</v>
      </c>
      <c r="CK4609">
        <v>2</v>
      </c>
      <c r="CL4609">
        <v>0</v>
      </c>
      <c r="CM4609">
        <v>2</v>
      </c>
      <c r="CN4609">
        <v>0</v>
      </c>
      <c r="CO4609">
        <v>6</v>
      </c>
      <c r="CP4609" t="s">
        <v>119</v>
      </c>
      <c r="CQ4609">
        <v>358</v>
      </c>
      <c r="CR4609">
        <v>0</v>
      </c>
      <c r="CW4609">
        <v>5150623</v>
      </c>
      <c r="CY4609">
        <v>1</v>
      </c>
      <c r="CZ4609">
        <v>0</v>
      </c>
      <c r="DA4609">
        <v>1</v>
      </c>
      <c r="DB4609">
        <v>0</v>
      </c>
      <c r="DC4609">
        <v>0</v>
      </c>
      <c r="DD4609">
        <v>1</v>
      </c>
      <c r="DE4609">
        <v>0</v>
      </c>
      <c r="DF4609">
        <v>0</v>
      </c>
      <c r="DG4609">
        <v>0</v>
      </c>
      <c r="DH4609">
        <v>0</v>
      </c>
      <c r="DI4609">
        <v>0</v>
      </c>
    </row>
    <row r="4610" spans="1:113" x14ac:dyDescent="0.3">
      <c r="A4610" t="str">
        <f t="shared" si="2119"/>
        <v>05/12/2020 14:49:23.825</v>
      </c>
      <c r="C4610" t="str">
        <f t="shared" si="2102"/>
        <v>FFDFD3C0</v>
      </c>
      <c r="D4610" t="s">
        <v>134</v>
      </c>
      <c r="E4610">
        <v>12</v>
      </c>
      <c r="H4610">
        <v>64</v>
      </c>
      <c r="I4610" t="s">
        <v>135</v>
      </c>
      <c r="J4610" t="s">
        <v>136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 t="shared" si="2120"/>
        <v>14:49:41.664</v>
      </c>
      <c r="T4610" t="str">
        <f t="shared" si="2121"/>
        <v>14:49:41.264</v>
      </c>
      <c r="U4610" t="str">
        <f t="shared" ref="U4610:U4673" si="2123">"A9808D"</f>
        <v>A9808D</v>
      </c>
      <c r="V4610">
        <v>0</v>
      </c>
      <c r="W4610">
        <v>0</v>
      </c>
      <c r="X4610">
        <v>1</v>
      </c>
      <c r="Z4610">
        <v>0</v>
      </c>
      <c r="AA4610">
        <v>9</v>
      </c>
      <c r="AB4610">
        <v>3</v>
      </c>
      <c r="AC4610">
        <v>0</v>
      </c>
      <c r="AD4610">
        <v>10</v>
      </c>
      <c r="AE4610">
        <v>0</v>
      </c>
      <c r="AF4610">
        <v>3</v>
      </c>
      <c r="AG4610">
        <v>2</v>
      </c>
      <c r="AH4610">
        <v>0</v>
      </c>
      <c r="AI4610" t="s">
        <v>1031</v>
      </c>
      <c r="AJ4610">
        <v>28.244240000000001</v>
      </c>
      <c r="AK4610" t="s">
        <v>1032</v>
      </c>
      <c r="AL4610">
        <v>-82.338367000000005</v>
      </c>
      <c r="AM4610">
        <v>100</v>
      </c>
      <c r="AN4610">
        <v>2200</v>
      </c>
      <c r="AO4610" t="s">
        <v>118</v>
      </c>
      <c r="AP4610">
        <v>-142</v>
      </c>
      <c r="AQ4610">
        <v>-39</v>
      </c>
      <c r="AR4610">
        <v>-256</v>
      </c>
      <c r="AZ4610">
        <v>1200</v>
      </c>
      <c r="BA4610">
        <v>1</v>
      </c>
      <c r="BB4610" t="str">
        <f t="shared" si="2103"/>
        <v xml:space="preserve">N711JA  </v>
      </c>
      <c r="BC4610">
        <v>1</v>
      </c>
      <c r="BE4610">
        <v>0</v>
      </c>
      <c r="BF4610">
        <v>0</v>
      </c>
      <c r="BG4610">
        <v>0</v>
      </c>
      <c r="BH4610">
        <v>2200</v>
      </c>
      <c r="BI4610">
        <v>1</v>
      </c>
      <c r="BJ4610">
        <v>1</v>
      </c>
      <c r="BK4610">
        <v>0</v>
      </c>
      <c r="BL4610">
        <v>0</v>
      </c>
      <c r="BO4610">
        <v>0</v>
      </c>
      <c r="BP4610">
        <v>0</v>
      </c>
      <c r="BW4610" t="str">
        <f t="shared" si="2122"/>
        <v>14:49:41.668</v>
      </c>
      <c r="CJ4610">
        <v>0</v>
      </c>
      <c r="CK4610">
        <v>2</v>
      </c>
      <c r="CL4610">
        <v>0</v>
      </c>
      <c r="CM4610">
        <v>2</v>
      </c>
      <c r="CN4610">
        <v>0</v>
      </c>
      <c r="CO4610">
        <v>6</v>
      </c>
      <c r="CP4610" t="s">
        <v>119</v>
      </c>
      <c r="CQ4610">
        <v>358</v>
      </c>
      <c r="CR4610">
        <v>0</v>
      </c>
      <c r="CW4610">
        <v>5150623</v>
      </c>
      <c r="CY4610">
        <v>1</v>
      </c>
      <c r="CZ4610">
        <v>0</v>
      </c>
      <c r="DA4610">
        <v>1</v>
      </c>
      <c r="DB4610">
        <v>0</v>
      </c>
      <c r="DC4610">
        <v>0</v>
      </c>
      <c r="DD4610">
        <v>1</v>
      </c>
      <c r="DE4610">
        <v>0</v>
      </c>
      <c r="DF4610">
        <v>0</v>
      </c>
      <c r="DG4610">
        <v>0</v>
      </c>
      <c r="DH4610">
        <v>0</v>
      </c>
      <c r="DI4610">
        <v>0</v>
      </c>
    </row>
    <row r="4611" spans="1:113" x14ac:dyDescent="0.3">
      <c r="A4611" t="str">
        <f t="shared" si="2119"/>
        <v>05/12/2020 14:49:23.825</v>
      </c>
      <c r="C4611" t="str">
        <f t="shared" si="2102"/>
        <v>FFDFD3C0</v>
      </c>
      <c r="D4611" t="s">
        <v>138</v>
      </c>
      <c r="E4611">
        <v>2</v>
      </c>
      <c r="H4611">
        <v>8</v>
      </c>
      <c r="I4611" t="s">
        <v>139</v>
      </c>
      <c r="J4611" t="s">
        <v>136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 t="shared" si="2120"/>
        <v>14:49:41.664</v>
      </c>
      <c r="T4611" t="str">
        <f t="shared" si="2121"/>
        <v>14:49:41.264</v>
      </c>
      <c r="U4611" t="str">
        <f t="shared" si="2123"/>
        <v>A9808D</v>
      </c>
      <c r="V4611">
        <v>0</v>
      </c>
      <c r="W4611">
        <v>0</v>
      </c>
      <c r="X4611">
        <v>1</v>
      </c>
      <c r="Z4611">
        <v>0</v>
      </c>
      <c r="AA4611">
        <v>9</v>
      </c>
      <c r="AB4611">
        <v>3</v>
      </c>
      <c r="AC4611">
        <v>0</v>
      </c>
      <c r="AD4611">
        <v>10</v>
      </c>
      <c r="AE4611">
        <v>0</v>
      </c>
      <c r="AF4611">
        <v>3</v>
      </c>
      <c r="AG4611">
        <v>2</v>
      </c>
      <c r="AH4611">
        <v>0</v>
      </c>
      <c r="AI4611" t="s">
        <v>1031</v>
      </c>
      <c r="AJ4611">
        <v>28.244240000000001</v>
      </c>
      <c r="AK4611" t="s">
        <v>1032</v>
      </c>
      <c r="AL4611">
        <v>-82.338367000000005</v>
      </c>
      <c r="AM4611">
        <v>100</v>
      </c>
      <c r="AN4611">
        <v>2200</v>
      </c>
      <c r="AO4611" t="s">
        <v>118</v>
      </c>
      <c r="AP4611">
        <v>-142</v>
      </c>
      <c r="AQ4611">
        <v>-39</v>
      </c>
      <c r="AR4611">
        <v>-256</v>
      </c>
      <c r="AZ4611">
        <v>1200</v>
      </c>
      <c r="BA4611">
        <v>1</v>
      </c>
      <c r="BB4611" t="str">
        <f t="shared" si="2103"/>
        <v xml:space="preserve">N711JA  </v>
      </c>
      <c r="BC4611">
        <v>1</v>
      </c>
      <c r="BE4611">
        <v>0</v>
      </c>
      <c r="BF4611">
        <v>0</v>
      </c>
      <c r="BG4611">
        <v>0</v>
      </c>
      <c r="BH4611">
        <v>2200</v>
      </c>
      <c r="BI4611">
        <v>1</v>
      </c>
      <c r="BJ4611">
        <v>1</v>
      </c>
      <c r="BK4611">
        <v>0</v>
      </c>
      <c r="BL4611">
        <v>0</v>
      </c>
      <c r="BO4611">
        <v>0</v>
      </c>
      <c r="BP4611">
        <v>0</v>
      </c>
      <c r="BW4611" t="str">
        <f t="shared" si="2122"/>
        <v>14:49:41.668</v>
      </c>
      <c r="CJ4611">
        <v>0</v>
      </c>
      <c r="CK4611">
        <v>2</v>
      </c>
      <c r="CL4611">
        <v>0</v>
      </c>
      <c r="CM4611">
        <v>2</v>
      </c>
      <c r="CN4611">
        <v>0</v>
      </c>
      <c r="CO4611">
        <v>6</v>
      </c>
      <c r="CP4611" t="s">
        <v>119</v>
      </c>
      <c r="CQ4611">
        <v>56</v>
      </c>
      <c r="CR4611">
        <v>3</v>
      </c>
      <c r="CW4611">
        <v>12516354</v>
      </c>
      <c r="CY4611">
        <v>1</v>
      </c>
      <c r="CZ4611">
        <v>0</v>
      </c>
      <c r="DA4611">
        <v>1</v>
      </c>
      <c r="DB4611">
        <v>0</v>
      </c>
      <c r="DC4611">
        <v>0</v>
      </c>
      <c r="DD4611">
        <v>1</v>
      </c>
      <c r="DE4611">
        <v>0</v>
      </c>
      <c r="DF4611">
        <v>0</v>
      </c>
      <c r="DG4611">
        <v>0</v>
      </c>
      <c r="DH4611">
        <v>0</v>
      </c>
      <c r="DI4611">
        <v>0</v>
      </c>
    </row>
    <row r="4612" spans="1:113" x14ac:dyDescent="0.3">
      <c r="A4612" t="str">
        <f t="shared" si="2119"/>
        <v>05/12/2020 14:49:23.825</v>
      </c>
      <c r="C4612" t="str">
        <f t="shared" si="2102"/>
        <v>FFDFD3C0</v>
      </c>
      <c r="D4612" t="s">
        <v>138</v>
      </c>
      <c r="E4612">
        <v>3</v>
      </c>
      <c r="H4612">
        <v>9</v>
      </c>
      <c r="I4612" t="s">
        <v>140</v>
      </c>
      <c r="J4612" t="s">
        <v>136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 t="shared" si="2120"/>
        <v>14:49:41.664</v>
      </c>
      <c r="T4612" t="str">
        <f t="shared" si="2121"/>
        <v>14:49:41.264</v>
      </c>
      <c r="U4612" t="str">
        <f t="shared" si="2123"/>
        <v>A9808D</v>
      </c>
      <c r="V4612">
        <v>0</v>
      </c>
      <c r="W4612">
        <v>0</v>
      </c>
      <c r="X4612">
        <v>1</v>
      </c>
      <c r="Z4612">
        <v>0</v>
      </c>
      <c r="AA4612">
        <v>9</v>
      </c>
      <c r="AB4612">
        <v>3</v>
      </c>
      <c r="AC4612">
        <v>0</v>
      </c>
      <c r="AD4612">
        <v>10</v>
      </c>
      <c r="AE4612">
        <v>0</v>
      </c>
      <c r="AF4612">
        <v>3</v>
      </c>
      <c r="AG4612">
        <v>2</v>
      </c>
      <c r="AH4612">
        <v>0</v>
      </c>
      <c r="AI4612" t="s">
        <v>1031</v>
      </c>
      <c r="AJ4612">
        <v>28.244240000000001</v>
      </c>
      <c r="AK4612" t="s">
        <v>1032</v>
      </c>
      <c r="AL4612">
        <v>-82.338367000000005</v>
      </c>
      <c r="AM4612">
        <v>100</v>
      </c>
      <c r="AN4612">
        <v>2200</v>
      </c>
      <c r="AO4612" t="s">
        <v>118</v>
      </c>
      <c r="AP4612">
        <v>-142</v>
      </c>
      <c r="AQ4612">
        <v>-39</v>
      </c>
      <c r="AR4612">
        <v>-256</v>
      </c>
      <c r="AZ4612">
        <v>1200</v>
      </c>
      <c r="BA4612">
        <v>1</v>
      </c>
      <c r="BB4612" t="str">
        <f t="shared" si="2103"/>
        <v xml:space="preserve">N711JA  </v>
      </c>
      <c r="BC4612">
        <v>1</v>
      </c>
      <c r="BE4612">
        <v>0</v>
      </c>
      <c r="BF4612">
        <v>0</v>
      </c>
      <c r="BG4612">
        <v>0</v>
      </c>
      <c r="BH4612">
        <v>2200</v>
      </c>
      <c r="BI4612">
        <v>1</v>
      </c>
      <c r="BJ4612">
        <v>1</v>
      </c>
      <c r="BK4612">
        <v>0</v>
      </c>
      <c r="BL4612">
        <v>0</v>
      </c>
      <c r="BO4612">
        <v>0</v>
      </c>
      <c r="BP4612">
        <v>0</v>
      </c>
      <c r="BW4612" t="str">
        <f t="shared" si="2122"/>
        <v>14:49:41.668</v>
      </c>
      <c r="CJ4612">
        <v>0</v>
      </c>
      <c r="CK4612">
        <v>2</v>
      </c>
      <c r="CL4612">
        <v>0</v>
      </c>
      <c r="CM4612">
        <v>2</v>
      </c>
      <c r="CN4612">
        <v>0</v>
      </c>
      <c r="CO4612">
        <v>6</v>
      </c>
      <c r="CP4612" t="s">
        <v>119</v>
      </c>
      <c r="CQ4612">
        <v>358</v>
      </c>
      <c r="CR4612">
        <v>0</v>
      </c>
      <c r="CW4612">
        <v>5150623</v>
      </c>
      <c r="CY4612">
        <v>1</v>
      </c>
      <c r="CZ4612">
        <v>0</v>
      </c>
      <c r="DA4612">
        <v>1</v>
      </c>
      <c r="DB4612">
        <v>0</v>
      </c>
      <c r="DC4612">
        <v>0</v>
      </c>
      <c r="DD4612">
        <v>1</v>
      </c>
      <c r="DE4612">
        <v>0</v>
      </c>
      <c r="DF4612">
        <v>0</v>
      </c>
      <c r="DG4612">
        <v>0</v>
      </c>
      <c r="DH4612">
        <v>0</v>
      </c>
      <c r="DI4612">
        <v>0</v>
      </c>
    </row>
    <row r="4613" spans="1:113" x14ac:dyDescent="0.3">
      <c r="A4613" t="str">
        <f t="shared" si="2119"/>
        <v>05/12/2020 14:49:23.825</v>
      </c>
      <c r="C4613" t="str">
        <f t="shared" si="2102"/>
        <v>FFDFD3C0</v>
      </c>
      <c r="D4613" t="s">
        <v>113</v>
      </c>
      <c r="E4613">
        <v>3</v>
      </c>
      <c r="H4613">
        <v>164</v>
      </c>
      <c r="I4613" t="s">
        <v>114</v>
      </c>
      <c r="J4613" t="s">
        <v>115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 t="shared" si="2120"/>
        <v>14:49:41.664</v>
      </c>
      <c r="T4613" t="str">
        <f t="shared" si="2121"/>
        <v>14:49:41.264</v>
      </c>
      <c r="U4613" t="str">
        <f t="shared" si="2123"/>
        <v>A9808D</v>
      </c>
      <c r="V4613">
        <v>0</v>
      </c>
      <c r="W4613">
        <v>0</v>
      </c>
      <c r="X4613">
        <v>1</v>
      </c>
      <c r="Z4613">
        <v>0</v>
      </c>
      <c r="AA4613">
        <v>9</v>
      </c>
      <c r="AB4613">
        <v>3</v>
      </c>
      <c r="AC4613">
        <v>0</v>
      </c>
      <c r="AD4613">
        <v>10</v>
      </c>
      <c r="AE4613">
        <v>0</v>
      </c>
      <c r="AF4613">
        <v>3</v>
      </c>
      <c r="AG4613">
        <v>2</v>
      </c>
      <c r="AH4613">
        <v>0</v>
      </c>
      <c r="AI4613" t="s">
        <v>1031</v>
      </c>
      <c r="AJ4613">
        <v>28.244240000000001</v>
      </c>
      <c r="AK4613" t="s">
        <v>1032</v>
      </c>
      <c r="AL4613">
        <v>-82.338367000000005</v>
      </c>
      <c r="AM4613">
        <v>100</v>
      </c>
      <c r="AN4613">
        <v>2200</v>
      </c>
      <c r="AO4613" t="s">
        <v>118</v>
      </c>
      <c r="AP4613">
        <v>-142</v>
      </c>
      <c r="AQ4613">
        <v>-39</v>
      </c>
      <c r="AR4613">
        <v>-256</v>
      </c>
      <c r="AZ4613">
        <v>1200</v>
      </c>
      <c r="BA4613">
        <v>1</v>
      </c>
      <c r="BB4613" t="str">
        <f t="shared" si="2103"/>
        <v xml:space="preserve">N711JA  </v>
      </c>
      <c r="BC4613">
        <v>1</v>
      </c>
      <c r="BE4613">
        <v>0</v>
      </c>
      <c r="BF4613">
        <v>0</v>
      </c>
      <c r="BG4613">
        <v>0</v>
      </c>
      <c r="BH4613">
        <v>2200</v>
      </c>
      <c r="BI4613">
        <v>1</v>
      </c>
      <c r="BJ4613">
        <v>1</v>
      </c>
      <c r="BK4613">
        <v>0</v>
      </c>
      <c r="BL4613">
        <v>0</v>
      </c>
      <c r="BO4613">
        <v>0</v>
      </c>
      <c r="BP4613">
        <v>0</v>
      </c>
      <c r="BW4613" t="str">
        <f t="shared" si="2122"/>
        <v>14:49:41.668</v>
      </c>
      <c r="CJ4613">
        <v>0</v>
      </c>
      <c r="CK4613">
        <v>2</v>
      </c>
      <c r="CL4613">
        <v>0</v>
      </c>
      <c r="CM4613">
        <v>2</v>
      </c>
      <c r="CN4613">
        <v>0</v>
      </c>
      <c r="CO4613">
        <v>6</v>
      </c>
      <c r="CP4613" t="s">
        <v>119</v>
      </c>
      <c r="CQ4613">
        <v>56</v>
      </c>
      <c r="CR4613">
        <v>3</v>
      </c>
      <c r="CW4613">
        <v>12516354</v>
      </c>
      <c r="CY4613">
        <v>1</v>
      </c>
      <c r="CZ4613">
        <v>0</v>
      </c>
      <c r="DA4613">
        <v>1</v>
      </c>
      <c r="DB4613">
        <v>0</v>
      </c>
      <c r="DC4613">
        <v>0</v>
      </c>
      <c r="DD4613">
        <v>1</v>
      </c>
      <c r="DE4613">
        <v>0</v>
      </c>
      <c r="DF4613">
        <v>0</v>
      </c>
      <c r="DG4613">
        <v>0</v>
      </c>
      <c r="DH4613">
        <v>0</v>
      </c>
      <c r="DI4613">
        <v>0</v>
      </c>
    </row>
    <row r="4614" spans="1:113" x14ac:dyDescent="0.3">
      <c r="A4614" t="str">
        <f t="shared" ref="A4614:A4622" si="2124">"05/12/2020 14:49:24.857"</f>
        <v>05/12/2020 14:49:24.857</v>
      </c>
      <c r="C4614" t="str">
        <f t="shared" si="2102"/>
        <v>FFDFD3C0</v>
      </c>
      <c r="D4614" t="s">
        <v>113</v>
      </c>
      <c r="E4614">
        <v>3</v>
      </c>
      <c r="H4614">
        <v>164</v>
      </c>
      <c r="I4614" t="s">
        <v>114</v>
      </c>
      <c r="J4614" t="s">
        <v>115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 t="shared" ref="S4614:T4622" si="2125">"14:49:42.695"</f>
        <v>14:49:42.695</v>
      </c>
      <c r="T4614" t="str">
        <f t="shared" si="2125"/>
        <v>14:49:42.695</v>
      </c>
      <c r="U4614" t="str">
        <f t="shared" si="2123"/>
        <v>A9808D</v>
      </c>
      <c r="V4614">
        <v>0</v>
      </c>
      <c r="W4614">
        <v>0</v>
      </c>
      <c r="X4614">
        <v>1</v>
      </c>
      <c r="Z4614">
        <v>0</v>
      </c>
      <c r="AA4614">
        <v>9</v>
      </c>
      <c r="AB4614">
        <v>3</v>
      </c>
      <c r="AC4614">
        <v>0</v>
      </c>
      <c r="AD4614">
        <v>10</v>
      </c>
      <c r="AE4614">
        <v>0</v>
      </c>
      <c r="AF4614">
        <v>3</v>
      </c>
      <c r="AG4614">
        <v>2</v>
      </c>
      <c r="AH4614">
        <v>0</v>
      </c>
      <c r="AI4614" t="s">
        <v>1033</v>
      </c>
      <c r="AJ4614">
        <v>28.24409</v>
      </c>
      <c r="AK4614" t="s">
        <v>571</v>
      </c>
      <c r="AL4614">
        <v>-82.339074999999994</v>
      </c>
      <c r="AM4614">
        <v>100</v>
      </c>
      <c r="AN4614">
        <v>2200</v>
      </c>
      <c r="AO4614" t="s">
        <v>118</v>
      </c>
      <c r="AP4614">
        <v>-141</v>
      </c>
      <c r="AQ4614">
        <v>-39</v>
      </c>
      <c r="AR4614">
        <v>-320</v>
      </c>
      <c r="AZ4614">
        <v>1200</v>
      </c>
      <c r="BA4614">
        <v>1</v>
      </c>
      <c r="BB4614" t="str">
        <f t="shared" si="2103"/>
        <v xml:space="preserve">N711JA  </v>
      </c>
      <c r="BC4614">
        <v>1</v>
      </c>
      <c r="BE4614">
        <v>0</v>
      </c>
      <c r="BF4614">
        <v>0</v>
      </c>
      <c r="BG4614">
        <v>0</v>
      </c>
      <c r="BH4614">
        <v>2175</v>
      </c>
      <c r="BI4614">
        <v>1</v>
      </c>
      <c r="BJ4614">
        <v>1</v>
      </c>
      <c r="BK4614">
        <v>0</v>
      </c>
      <c r="BL4614">
        <v>0</v>
      </c>
      <c r="BO4614">
        <v>0</v>
      </c>
      <c r="BP4614">
        <v>0</v>
      </c>
      <c r="BW4614" t="str">
        <f t="shared" ref="BW4614:BW4622" si="2126">"14:49:42.696"</f>
        <v>14:49:42.696</v>
      </c>
      <c r="CJ4614">
        <v>0</v>
      </c>
      <c r="CK4614">
        <v>2</v>
      </c>
      <c r="CL4614">
        <v>0</v>
      </c>
      <c r="CM4614">
        <v>2</v>
      </c>
      <c r="CN4614">
        <v>0</v>
      </c>
      <c r="CO4614">
        <v>7</v>
      </c>
      <c r="CP4614" t="s">
        <v>119</v>
      </c>
      <c r="CQ4614">
        <v>8</v>
      </c>
      <c r="CR4614">
        <v>3</v>
      </c>
      <c r="CW4614">
        <v>9177020</v>
      </c>
      <c r="CY4614">
        <v>1</v>
      </c>
      <c r="CZ4614">
        <v>0</v>
      </c>
      <c r="DA4614">
        <v>0</v>
      </c>
      <c r="DB4614">
        <v>0</v>
      </c>
      <c r="DC4614">
        <v>0</v>
      </c>
      <c r="DD4614">
        <v>1</v>
      </c>
      <c r="DE4614">
        <v>0</v>
      </c>
      <c r="DF4614">
        <v>0</v>
      </c>
      <c r="DG4614">
        <v>0</v>
      </c>
      <c r="DH4614">
        <v>0</v>
      </c>
      <c r="DI4614">
        <v>0</v>
      </c>
    </row>
    <row r="4615" spans="1:113" x14ac:dyDescent="0.3">
      <c r="A4615" t="str">
        <f t="shared" si="2124"/>
        <v>05/12/2020 14:49:24.857</v>
      </c>
      <c r="C4615" t="str">
        <f t="shared" si="2102"/>
        <v>FFDFD3C0</v>
      </c>
      <c r="D4615" t="s">
        <v>138</v>
      </c>
      <c r="E4615">
        <v>2</v>
      </c>
      <c r="H4615">
        <v>8</v>
      </c>
      <c r="I4615" t="s">
        <v>139</v>
      </c>
      <c r="J4615" t="s">
        <v>136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 t="shared" si="2125"/>
        <v>14:49:42.695</v>
      </c>
      <c r="T4615" t="str">
        <f t="shared" si="2125"/>
        <v>14:49:42.695</v>
      </c>
      <c r="U4615" t="str">
        <f t="shared" si="2123"/>
        <v>A9808D</v>
      </c>
      <c r="V4615">
        <v>0</v>
      </c>
      <c r="W4615">
        <v>0</v>
      </c>
      <c r="X4615">
        <v>1</v>
      </c>
      <c r="Z4615">
        <v>0</v>
      </c>
      <c r="AA4615">
        <v>9</v>
      </c>
      <c r="AB4615">
        <v>3</v>
      </c>
      <c r="AC4615">
        <v>0</v>
      </c>
      <c r="AD4615">
        <v>10</v>
      </c>
      <c r="AE4615">
        <v>0</v>
      </c>
      <c r="AF4615">
        <v>3</v>
      </c>
      <c r="AG4615">
        <v>2</v>
      </c>
      <c r="AH4615">
        <v>0</v>
      </c>
      <c r="AI4615" t="s">
        <v>1033</v>
      </c>
      <c r="AJ4615">
        <v>28.24409</v>
      </c>
      <c r="AK4615" t="s">
        <v>571</v>
      </c>
      <c r="AL4615">
        <v>-82.339074999999994</v>
      </c>
      <c r="AM4615">
        <v>100</v>
      </c>
      <c r="AN4615">
        <v>2200</v>
      </c>
      <c r="AO4615" t="s">
        <v>118</v>
      </c>
      <c r="AP4615">
        <v>-141</v>
      </c>
      <c r="AQ4615">
        <v>-39</v>
      </c>
      <c r="AR4615">
        <v>-320</v>
      </c>
      <c r="AZ4615">
        <v>1200</v>
      </c>
      <c r="BA4615">
        <v>1</v>
      </c>
      <c r="BB4615" t="str">
        <f t="shared" si="2103"/>
        <v xml:space="preserve">N711JA  </v>
      </c>
      <c r="BC4615">
        <v>1</v>
      </c>
      <c r="BE4615">
        <v>0</v>
      </c>
      <c r="BF4615">
        <v>0</v>
      </c>
      <c r="BG4615">
        <v>0</v>
      </c>
      <c r="BH4615">
        <v>2175</v>
      </c>
      <c r="BI4615">
        <v>1</v>
      </c>
      <c r="BJ4615">
        <v>1</v>
      </c>
      <c r="BK4615">
        <v>0</v>
      </c>
      <c r="BL4615">
        <v>0</v>
      </c>
      <c r="BO4615">
        <v>0</v>
      </c>
      <c r="BP4615">
        <v>0</v>
      </c>
      <c r="BW4615" t="str">
        <f t="shared" si="2126"/>
        <v>14:49:42.696</v>
      </c>
      <c r="CJ4615">
        <v>0</v>
      </c>
      <c r="CK4615">
        <v>2</v>
      </c>
      <c r="CL4615">
        <v>0</v>
      </c>
      <c r="CM4615">
        <v>2</v>
      </c>
      <c r="CN4615">
        <v>0</v>
      </c>
      <c r="CO4615">
        <v>7</v>
      </c>
      <c r="CP4615" t="s">
        <v>119</v>
      </c>
      <c r="CQ4615">
        <v>8</v>
      </c>
      <c r="CR4615">
        <v>3</v>
      </c>
      <c r="CW4615">
        <v>9177020</v>
      </c>
      <c r="CY4615">
        <v>1</v>
      </c>
      <c r="CZ4615">
        <v>0</v>
      </c>
      <c r="DA4615">
        <v>1</v>
      </c>
      <c r="DB4615">
        <v>0</v>
      </c>
      <c r="DC4615">
        <v>0</v>
      </c>
      <c r="DD4615">
        <v>1</v>
      </c>
      <c r="DE4615">
        <v>0</v>
      </c>
      <c r="DF4615">
        <v>0</v>
      </c>
      <c r="DG4615">
        <v>0</v>
      </c>
      <c r="DH4615">
        <v>0</v>
      </c>
      <c r="DI4615">
        <v>0</v>
      </c>
    </row>
    <row r="4616" spans="1:113" x14ac:dyDescent="0.3">
      <c r="A4616" t="str">
        <f t="shared" si="2124"/>
        <v>05/12/2020 14:49:24.857</v>
      </c>
      <c r="C4616" t="str">
        <f t="shared" si="2102"/>
        <v>FFDFD3C0</v>
      </c>
      <c r="D4616" t="s">
        <v>138</v>
      </c>
      <c r="E4616">
        <v>3</v>
      </c>
      <c r="H4616">
        <v>9</v>
      </c>
      <c r="I4616" t="s">
        <v>140</v>
      </c>
      <c r="J4616" t="s">
        <v>136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 t="shared" si="2125"/>
        <v>14:49:42.695</v>
      </c>
      <c r="T4616" t="str">
        <f t="shared" si="2125"/>
        <v>14:49:42.695</v>
      </c>
      <c r="U4616" t="str">
        <f t="shared" si="2123"/>
        <v>A9808D</v>
      </c>
      <c r="V4616">
        <v>0</v>
      </c>
      <c r="W4616">
        <v>0</v>
      </c>
      <c r="X4616">
        <v>1</v>
      </c>
      <c r="Z4616">
        <v>0</v>
      </c>
      <c r="AA4616">
        <v>9</v>
      </c>
      <c r="AB4616">
        <v>3</v>
      </c>
      <c r="AC4616">
        <v>0</v>
      </c>
      <c r="AD4616">
        <v>10</v>
      </c>
      <c r="AE4616">
        <v>0</v>
      </c>
      <c r="AF4616">
        <v>3</v>
      </c>
      <c r="AG4616">
        <v>2</v>
      </c>
      <c r="AH4616">
        <v>0</v>
      </c>
      <c r="AI4616" t="s">
        <v>1033</v>
      </c>
      <c r="AJ4616">
        <v>28.24409</v>
      </c>
      <c r="AK4616" t="s">
        <v>571</v>
      </c>
      <c r="AL4616">
        <v>-82.339074999999994</v>
      </c>
      <c r="AM4616">
        <v>100</v>
      </c>
      <c r="AN4616">
        <v>2200</v>
      </c>
      <c r="AO4616" t="s">
        <v>118</v>
      </c>
      <c r="AP4616">
        <v>-141</v>
      </c>
      <c r="AQ4616">
        <v>-39</v>
      </c>
      <c r="AR4616">
        <v>-320</v>
      </c>
      <c r="AZ4616">
        <v>1200</v>
      </c>
      <c r="BA4616">
        <v>1</v>
      </c>
      <c r="BB4616" t="str">
        <f t="shared" si="2103"/>
        <v xml:space="preserve">N711JA  </v>
      </c>
      <c r="BC4616">
        <v>1</v>
      </c>
      <c r="BE4616">
        <v>0</v>
      </c>
      <c r="BF4616">
        <v>0</v>
      </c>
      <c r="BG4616">
        <v>0</v>
      </c>
      <c r="BH4616">
        <v>2175</v>
      </c>
      <c r="BI4616">
        <v>1</v>
      </c>
      <c r="BJ4616">
        <v>1</v>
      </c>
      <c r="BK4616">
        <v>0</v>
      </c>
      <c r="BL4616">
        <v>0</v>
      </c>
      <c r="BO4616">
        <v>0</v>
      </c>
      <c r="BP4616">
        <v>0</v>
      </c>
      <c r="BW4616" t="str">
        <f t="shared" si="2126"/>
        <v>14:49:42.696</v>
      </c>
      <c r="CJ4616">
        <v>0</v>
      </c>
      <c r="CK4616">
        <v>2</v>
      </c>
      <c r="CL4616">
        <v>0</v>
      </c>
      <c r="CM4616">
        <v>2</v>
      </c>
      <c r="CN4616">
        <v>0</v>
      </c>
      <c r="CO4616">
        <v>7</v>
      </c>
      <c r="CP4616" t="s">
        <v>119</v>
      </c>
      <c r="CQ4616">
        <v>8</v>
      </c>
      <c r="CR4616">
        <v>3</v>
      </c>
      <c r="CW4616">
        <v>9177020</v>
      </c>
      <c r="CY4616">
        <v>1</v>
      </c>
      <c r="CZ4616">
        <v>0</v>
      </c>
      <c r="DA4616">
        <v>1</v>
      </c>
      <c r="DB4616">
        <v>0</v>
      </c>
      <c r="DC4616">
        <v>0</v>
      </c>
      <c r="DD4616">
        <v>1</v>
      </c>
      <c r="DE4616">
        <v>0</v>
      </c>
      <c r="DF4616">
        <v>0</v>
      </c>
      <c r="DG4616">
        <v>0</v>
      </c>
      <c r="DH4616">
        <v>0</v>
      </c>
      <c r="DI4616">
        <v>0</v>
      </c>
    </row>
    <row r="4617" spans="1:113" x14ac:dyDescent="0.3">
      <c r="A4617" t="str">
        <f t="shared" si="2124"/>
        <v>05/12/2020 14:49:24.857</v>
      </c>
      <c r="C4617" t="str">
        <f t="shared" si="2102"/>
        <v>FFDFD3C0</v>
      </c>
      <c r="D4617" t="s">
        <v>134</v>
      </c>
      <c r="E4617">
        <v>12</v>
      </c>
      <c r="H4617">
        <v>64</v>
      </c>
      <c r="I4617" t="s">
        <v>135</v>
      </c>
      <c r="J4617" t="s">
        <v>136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 t="shared" si="2125"/>
        <v>14:49:42.695</v>
      </c>
      <c r="T4617" t="str">
        <f t="shared" si="2125"/>
        <v>14:49:42.695</v>
      </c>
      <c r="U4617" t="str">
        <f t="shared" si="2123"/>
        <v>A9808D</v>
      </c>
      <c r="V4617">
        <v>0</v>
      </c>
      <c r="W4617">
        <v>0</v>
      </c>
      <c r="X4617">
        <v>1</v>
      </c>
      <c r="Z4617">
        <v>0</v>
      </c>
      <c r="AA4617">
        <v>9</v>
      </c>
      <c r="AB4617">
        <v>3</v>
      </c>
      <c r="AC4617">
        <v>0</v>
      </c>
      <c r="AD4617">
        <v>10</v>
      </c>
      <c r="AE4617">
        <v>0</v>
      </c>
      <c r="AF4617">
        <v>3</v>
      </c>
      <c r="AG4617">
        <v>2</v>
      </c>
      <c r="AH4617">
        <v>0</v>
      </c>
      <c r="AI4617" t="s">
        <v>1033</v>
      </c>
      <c r="AJ4617">
        <v>28.24409</v>
      </c>
      <c r="AK4617" t="s">
        <v>571</v>
      </c>
      <c r="AL4617">
        <v>-82.339074999999994</v>
      </c>
      <c r="AM4617">
        <v>100</v>
      </c>
      <c r="AN4617">
        <v>2200</v>
      </c>
      <c r="AO4617" t="s">
        <v>118</v>
      </c>
      <c r="AP4617">
        <v>-141</v>
      </c>
      <c r="AQ4617">
        <v>-39</v>
      </c>
      <c r="AR4617">
        <v>-320</v>
      </c>
      <c r="AZ4617">
        <v>1200</v>
      </c>
      <c r="BA4617">
        <v>1</v>
      </c>
      <c r="BB4617" t="str">
        <f t="shared" si="2103"/>
        <v xml:space="preserve">N711JA  </v>
      </c>
      <c r="BC4617">
        <v>1</v>
      </c>
      <c r="BE4617">
        <v>0</v>
      </c>
      <c r="BF4617">
        <v>0</v>
      </c>
      <c r="BG4617">
        <v>0</v>
      </c>
      <c r="BH4617">
        <v>2175</v>
      </c>
      <c r="BI4617">
        <v>1</v>
      </c>
      <c r="BJ4617">
        <v>1</v>
      </c>
      <c r="BK4617">
        <v>0</v>
      </c>
      <c r="BL4617">
        <v>0</v>
      </c>
      <c r="BO4617">
        <v>0</v>
      </c>
      <c r="BP4617">
        <v>0</v>
      </c>
      <c r="BW4617" t="str">
        <f t="shared" si="2126"/>
        <v>14:49:42.696</v>
      </c>
      <c r="CJ4617">
        <v>0</v>
      </c>
      <c r="CK4617">
        <v>2</v>
      </c>
      <c r="CL4617">
        <v>0</v>
      </c>
      <c r="CM4617">
        <v>2</v>
      </c>
      <c r="CN4617">
        <v>0</v>
      </c>
      <c r="CO4617">
        <v>7</v>
      </c>
      <c r="CP4617" t="s">
        <v>119</v>
      </c>
      <c r="CQ4617">
        <v>8</v>
      </c>
      <c r="CR4617">
        <v>3</v>
      </c>
      <c r="CW4617">
        <v>9177020</v>
      </c>
      <c r="CY4617">
        <v>1</v>
      </c>
      <c r="CZ4617">
        <v>0</v>
      </c>
      <c r="DA4617">
        <v>1</v>
      </c>
      <c r="DB4617">
        <v>0</v>
      </c>
      <c r="DC4617">
        <v>0</v>
      </c>
      <c r="DD4617">
        <v>1</v>
      </c>
      <c r="DE4617">
        <v>0</v>
      </c>
      <c r="DF4617">
        <v>0</v>
      </c>
      <c r="DG4617">
        <v>0</v>
      </c>
      <c r="DH4617">
        <v>0</v>
      </c>
      <c r="DI4617">
        <v>0</v>
      </c>
    </row>
    <row r="4618" spans="1:113" x14ac:dyDescent="0.3">
      <c r="A4618" t="str">
        <f t="shared" si="2124"/>
        <v>05/12/2020 14:49:24.857</v>
      </c>
      <c r="C4618" t="str">
        <f t="shared" si="2102"/>
        <v>FFDFD3C0</v>
      </c>
      <c r="D4618" t="s">
        <v>126</v>
      </c>
      <c r="E4618">
        <v>7</v>
      </c>
      <c r="F4618">
        <v>1007</v>
      </c>
      <c r="G4618" t="s">
        <v>127</v>
      </c>
      <c r="J4618" t="s">
        <v>128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 t="shared" si="2125"/>
        <v>14:49:42.695</v>
      </c>
      <c r="T4618" t="str">
        <f t="shared" si="2125"/>
        <v>14:49:42.695</v>
      </c>
      <c r="U4618" t="str">
        <f t="shared" si="2123"/>
        <v>A9808D</v>
      </c>
      <c r="V4618">
        <v>0</v>
      </c>
      <c r="W4618">
        <v>0</v>
      </c>
      <c r="X4618">
        <v>1</v>
      </c>
      <c r="Z4618">
        <v>0</v>
      </c>
      <c r="AA4618">
        <v>9</v>
      </c>
      <c r="AB4618">
        <v>3</v>
      </c>
      <c r="AC4618">
        <v>0</v>
      </c>
      <c r="AD4618">
        <v>10</v>
      </c>
      <c r="AE4618">
        <v>0</v>
      </c>
      <c r="AF4618">
        <v>3</v>
      </c>
      <c r="AG4618">
        <v>2</v>
      </c>
      <c r="AH4618">
        <v>0</v>
      </c>
      <c r="AI4618" t="s">
        <v>1033</v>
      </c>
      <c r="AJ4618">
        <v>28.24409</v>
      </c>
      <c r="AK4618" t="s">
        <v>571</v>
      </c>
      <c r="AL4618">
        <v>-82.339074999999994</v>
      </c>
      <c r="AM4618">
        <v>100</v>
      </c>
      <c r="AN4618">
        <v>2200</v>
      </c>
      <c r="AO4618" t="s">
        <v>118</v>
      </c>
      <c r="AP4618">
        <v>-141</v>
      </c>
      <c r="AQ4618">
        <v>-39</v>
      </c>
      <c r="AR4618">
        <v>-320</v>
      </c>
      <c r="AZ4618">
        <v>1200</v>
      </c>
      <c r="BA4618">
        <v>1</v>
      </c>
      <c r="BB4618" t="str">
        <f t="shared" si="2103"/>
        <v xml:space="preserve">N711JA  </v>
      </c>
      <c r="BC4618">
        <v>1</v>
      </c>
      <c r="BE4618">
        <v>0</v>
      </c>
      <c r="BF4618">
        <v>0</v>
      </c>
      <c r="BG4618">
        <v>0</v>
      </c>
      <c r="BH4618">
        <v>2175</v>
      </c>
      <c r="BI4618">
        <v>1</v>
      </c>
      <c r="BJ4618">
        <v>1</v>
      </c>
      <c r="BK4618">
        <v>0</v>
      </c>
      <c r="BL4618">
        <v>0</v>
      </c>
      <c r="BO4618">
        <v>0</v>
      </c>
      <c r="BP4618">
        <v>0</v>
      </c>
      <c r="BW4618" t="str">
        <f t="shared" si="2126"/>
        <v>14:49:42.696</v>
      </c>
      <c r="CJ4618">
        <v>0</v>
      </c>
      <c r="CK4618">
        <v>2</v>
      </c>
      <c r="CL4618">
        <v>0</v>
      </c>
      <c r="CM4618">
        <v>2</v>
      </c>
      <c r="CN4618">
        <v>0</v>
      </c>
      <c r="CO4618">
        <v>7</v>
      </c>
      <c r="CP4618" t="s">
        <v>119</v>
      </c>
      <c r="CQ4618">
        <v>8</v>
      </c>
      <c r="CR4618">
        <v>3</v>
      </c>
      <c r="CW4618">
        <v>9177020</v>
      </c>
      <c r="CY4618">
        <v>1</v>
      </c>
      <c r="CZ4618">
        <v>0</v>
      </c>
      <c r="DA4618">
        <v>1</v>
      </c>
      <c r="DB4618">
        <v>0</v>
      </c>
      <c r="DC4618">
        <v>0</v>
      </c>
      <c r="DD4618">
        <v>1</v>
      </c>
      <c r="DE4618">
        <v>0</v>
      </c>
      <c r="DF4618">
        <v>0</v>
      </c>
      <c r="DG4618">
        <v>0</v>
      </c>
      <c r="DH4618">
        <v>0</v>
      </c>
      <c r="DI4618">
        <v>0</v>
      </c>
    </row>
    <row r="4619" spans="1:113" x14ac:dyDescent="0.3">
      <c r="A4619" t="str">
        <f t="shared" si="2124"/>
        <v>05/12/2020 14:49:24.857</v>
      </c>
      <c r="C4619" t="str">
        <f t="shared" si="2102"/>
        <v>FFDFD3C0</v>
      </c>
      <c r="D4619" t="s">
        <v>131</v>
      </c>
      <c r="E4619">
        <v>10</v>
      </c>
      <c r="F4619">
        <v>2010</v>
      </c>
      <c r="G4619" t="s">
        <v>132</v>
      </c>
      <c r="J4619" t="s">
        <v>133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 t="shared" si="2125"/>
        <v>14:49:42.695</v>
      </c>
      <c r="T4619" t="str">
        <f t="shared" si="2125"/>
        <v>14:49:42.695</v>
      </c>
      <c r="U4619" t="str">
        <f t="shared" si="2123"/>
        <v>A9808D</v>
      </c>
      <c r="V4619">
        <v>0</v>
      </c>
      <c r="W4619">
        <v>0</v>
      </c>
      <c r="X4619">
        <v>1</v>
      </c>
      <c r="Z4619">
        <v>0</v>
      </c>
      <c r="AA4619">
        <v>9</v>
      </c>
      <c r="AB4619">
        <v>3</v>
      </c>
      <c r="AC4619">
        <v>0</v>
      </c>
      <c r="AD4619">
        <v>10</v>
      </c>
      <c r="AE4619">
        <v>0</v>
      </c>
      <c r="AF4619">
        <v>3</v>
      </c>
      <c r="AG4619">
        <v>2</v>
      </c>
      <c r="AH4619">
        <v>0</v>
      </c>
      <c r="AI4619" t="s">
        <v>1033</v>
      </c>
      <c r="AJ4619">
        <v>28.24409</v>
      </c>
      <c r="AK4619" t="s">
        <v>571</v>
      </c>
      <c r="AL4619">
        <v>-82.339074999999994</v>
      </c>
      <c r="AM4619">
        <v>100</v>
      </c>
      <c r="AN4619">
        <v>2200</v>
      </c>
      <c r="AO4619" t="s">
        <v>118</v>
      </c>
      <c r="AP4619">
        <v>-141</v>
      </c>
      <c r="AQ4619">
        <v>-39</v>
      </c>
      <c r="AR4619">
        <v>-320</v>
      </c>
      <c r="AZ4619">
        <v>1200</v>
      </c>
      <c r="BA4619">
        <v>1</v>
      </c>
      <c r="BB4619" t="str">
        <f t="shared" si="2103"/>
        <v xml:space="preserve">N711JA  </v>
      </c>
      <c r="BC4619">
        <v>1</v>
      </c>
      <c r="BE4619">
        <v>0</v>
      </c>
      <c r="BF4619">
        <v>0</v>
      </c>
      <c r="BG4619">
        <v>0</v>
      </c>
      <c r="BH4619">
        <v>2175</v>
      </c>
      <c r="BI4619">
        <v>1</v>
      </c>
      <c r="BJ4619">
        <v>1</v>
      </c>
      <c r="BK4619">
        <v>0</v>
      </c>
      <c r="BL4619">
        <v>0</v>
      </c>
      <c r="BO4619">
        <v>0</v>
      </c>
      <c r="BP4619">
        <v>0</v>
      </c>
      <c r="BW4619" t="str">
        <f t="shared" si="2126"/>
        <v>14:49:42.696</v>
      </c>
      <c r="CJ4619">
        <v>0</v>
      </c>
      <c r="CK4619">
        <v>2</v>
      </c>
      <c r="CL4619">
        <v>0</v>
      </c>
      <c r="CM4619">
        <v>2</v>
      </c>
      <c r="CN4619">
        <v>0</v>
      </c>
      <c r="CO4619">
        <v>7</v>
      </c>
      <c r="CP4619" t="s">
        <v>119</v>
      </c>
      <c r="CQ4619">
        <v>8</v>
      </c>
      <c r="CR4619">
        <v>3</v>
      </c>
      <c r="CW4619">
        <v>9177020</v>
      </c>
      <c r="CY4619">
        <v>1</v>
      </c>
      <c r="CZ4619">
        <v>0</v>
      </c>
      <c r="DA4619">
        <v>1</v>
      </c>
      <c r="DB4619">
        <v>0</v>
      </c>
      <c r="DC4619">
        <v>0</v>
      </c>
      <c r="DD4619">
        <v>1</v>
      </c>
      <c r="DE4619">
        <v>0</v>
      </c>
      <c r="DF4619">
        <v>0</v>
      </c>
      <c r="DG4619">
        <v>0</v>
      </c>
      <c r="DH4619">
        <v>0</v>
      </c>
      <c r="DI4619">
        <v>0</v>
      </c>
    </row>
    <row r="4620" spans="1:113" x14ac:dyDescent="0.3">
      <c r="A4620" t="str">
        <f t="shared" si="2124"/>
        <v>05/12/2020 14:49:24.857</v>
      </c>
      <c r="C4620" t="str">
        <f t="shared" si="2102"/>
        <v>FFDFD3C0</v>
      </c>
      <c r="D4620" t="s">
        <v>131</v>
      </c>
      <c r="E4620">
        <v>12</v>
      </c>
      <c r="F4620">
        <v>2012</v>
      </c>
      <c r="G4620" t="s">
        <v>137</v>
      </c>
      <c r="J4620" t="s">
        <v>133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 t="shared" si="2125"/>
        <v>14:49:42.695</v>
      </c>
      <c r="T4620" t="str">
        <f t="shared" si="2125"/>
        <v>14:49:42.695</v>
      </c>
      <c r="U4620" t="str">
        <f t="shared" si="2123"/>
        <v>A9808D</v>
      </c>
      <c r="V4620">
        <v>0</v>
      </c>
      <c r="W4620">
        <v>0</v>
      </c>
      <c r="X4620">
        <v>1</v>
      </c>
      <c r="Z4620">
        <v>0</v>
      </c>
      <c r="AA4620">
        <v>9</v>
      </c>
      <c r="AB4620">
        <v>3</v>
      </c>
      <c r="AC4620">
        <v>0</v>
      </c>
      <c r="AD4620">
        <v>10</v>
      </c>
      <c r="AE4620">
        <v>0</v>
      </c>
      <c r="AF4620">
        <v>3</v>
      </c>
      <c r="AG4620">
        <v>2</v>
      </c>
      <c r="AH4620">
        <v>0</v>
      </c>
      <c r="AI4620" t="s">
        <v>1033</v>
      </c>
      <c r="AJ4620">
        <v>28.24409</v>
      </c>
      <c r="AK4620" t="s">
        <v>571</v>
      </c>
      <c r="AL4620">
        <v>-82.339074999999994</v>
      </c>
      <c r="AM4620">
        <v>100</v>
      </c>
      <c r="AN4620">
        <v>2200</v>
      </c>
      <c r="AO4620" t="s">
        <v>118</v>
      </c>
      <c r="AP4620">
        <v>-141</v>
      </c>
      <c r="AQ4620">
        <v>-39</v>
      </c>
      <c r="AR4620">
        <v>-320</v>
      </c>
      <c r="AZ4620">
        <v>1200</v>
      </c>
      <c r="BA4620">
        <v>1</v>
      </c>
      <c r="BB4620" t="str">
        <f t="shared" si="2103"/>
        <v xml:space="preserve">N711JA  </v>
      </c>
      <c r="BC4620">
        <v>1</v>
      </c>
      <c r="BE4620">
        <v>0</v>
      </c>
      <c r="BF4620">
        <v>0</v>
      </c>
      <c r="BG4620">
        <v>0</v>
      </c>
      <c r="BH4620">
        <v>2175</v>
      </c>
      <c r="BI4620">
        <v>1</v>
      </c>
      <c r="BJ4620">
        <v>1</v>
      </c>
      <c r="BK4620">
        <v>0</v>
      </c>
      <c r="BL4620">
        <v>0</v>
      </c>
      <c r="BO4620">
        <v>0</v>
      </c>
      <c r="BP4620">
        <v>0</v>
      </c>
      <c r="BW4620" t="str">
        <f t="shared" si="2126"/>
        <v>14:49:42.696</v>
      </c>
      <c r="CJ4620">
        <v>0</v>
      </c>
      <c r="CK4620">
        <v>2</v>
      </c>
      <c r="CL4620">
        <v>0</v>
      </c>
      <c r="CM4620">
        <v>2</v>
      </c>
      <c r="CN4620">
        <v>0</v>
      </c>
      <c r="CO4620">
        <v>7</v>
      </c>
      <c r="CP4620" t="s">
        <v>119</v>
      </c>
      <c r="CQ4620">
        <v>8</v>
      </c>
      <c r="CR4620">
        <v>3</v>
      </c>
      <c r="CW4620">
        <v>9177020</v>
      </c>
      <c r="CY4620">
        <v>1</v>
      </c>
      <c r="CZ4620">
        <v>0</v>
      </c>
      <c r="DA4620">
        <v>1</v>
      </c>
      <c r="DB4620">
        <v>0</v>
      </c>
      <c r="DC4620">
        <v>0</v>
      </c>
      <c r="DD4620">
        <v>1</v>
      </c>
      <c r="DE4620">
        <v>0</v>
      </c>
      <c r="DF4620">
        <v>0</v>
      </c>
      <c r="DG4620">
        <v>0</v>
      </c>
      <c r="DH4620">
        <v>0</v>
      </c>
      <c r="DI4620">
        <v>0</v>
      </c>
    </row>
    <row r="4621" spans="1:113" x14ac:dyDescent="0.3">
      <c r="A4621" t="str">
        <f t="shared" si="2124"/>
        <v>05/12/2020 14:49:24.857</v>
      </c>
      <c r="C4621" t="str">
        <f t="shared" si="2102"/>
        <v>FFDFD3C0</v>
      </c>
      <c r="D4621" t="s">
        <v>131</v>
      </c>
      <c r="E4621">
        <v>18</v>
      </c>
      <c r="F4621">
        <v>2018</v>
      </c>
      <c r="G4621" t="s">
        <v>161</v>
      </c>
      <c r="J4621" t="s">
        <v>133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 t="shared" si="2125"/>
        <v>14:49:42.695</v>
      </c>
      <c r="T4621" t="str">
        <f t="shared" si="2125"/>
        <v>14:49:42.695</v>
      </c>
      <c r="U4621" t="str">
        <f t="shared" si="2123"/>
        <v>A9808D</v>
      </c>
      <c r="V4621">
        <v>0</v>
      </c>
      <c r="W4621">
        <v>0</v>
      </c>
      <c r="X4621">
        <v>1</v>
      </c>
      <c r="Z4621">
        <v>0</v>
      </c>
      <c r="AA4621">
        <v>9</v>
      </c>
      <c r="AB4621">
        <v>3</v>
      </c>
      <c r="AC4621">
        <v>0</v>
      </c>
      <c r="AD4621">
        <v>10</v>
      </c>
      <c r="AE4621">
        <v>0</v>
      </c>
      <c r="AF4621">
        <v>3</v>
      </c>
      <c r="AG4621">
        <v>2</v>
      </c>
      <c r="AH4621">
        <v>0</v>
      </c>
      <c r="AI4621" t="s">
        <v>1033</v>
      </c>
      <c r="AJ4621">
        <v>28.24409</v>
      </c>
      <c r="AK4621" t="s">
        <v>571</v>
      </c>
      <c r="AL4621">
        <v>-82.339074999999994</v>
      </c>
      <c r="AM4621">
        <v>100</v>
      </c>
      <c r="AN4621">
        <v>2200</v>
      </c>
      <c r="AO4621" t="s">
        <v>118</v>
      </c>
      <c r="AP4621">
        <v>-141</v>
      </c>
      <c r="AQ4621">
        <v>-39</v>
      </c>
      <c r="AR4621">
        <v>-320</v>
      </c>
      <c r="AZ4621">
        <v>1200</v>
      </c>
      <c r="BA4621">
        <v>1</v>
      </c>
      <c r="BB4621" t="str">
        <f t="shared" si="2103"/>
        <v xml:space="preserve">N711JA  </v>
      </c>
      <c r="BC4621">
        <v>1</v>
      </c>
      <c r="BE4621">
        <v>0</v>
      </c>
      <c r="BF4621">
        <v>0</v>
      </c>
      <c r="BG4621">
        <v>0</v>
      </c>
      <c r="BH4621">
        <v>2175</v>
      </c>
      <c r="BI4621">
        <v>1</v>
      </c>
      <c r="BJ4621">
        <v>1</v>
      </c>
      <c r="BK4621">
        <v>0</v>
      </c>
      <c r="BL4621">
        <v>0</v>
      </c>
      <c r="BO4621">
        <v>0</v>
      </c>
      <c r="BP4621">
        <v>0</v>
      </c>
      <c r="BW4621" t="str">
        <f t="shared" si="2126"/>
        <v>14:49:42.696</v>
      </c>
      <c r="CJ4621">
        <v>0</v>
      </c>
      <c r="CK4621">
        <v>2</v>
      </c>
      <c r="CL4621">
        <v>0</v>
      </c>
      <c r="CM4621">
        <v>2</v>
      </c>
      <c r="CN4621">
        <v>0</v>
      </c>
      <c r="CO4621">
        <v>6</v>
      </c>
      <c r="CP4621" t="s">
        <v>119</v>
      </c>
      <c r="CQ4621">
        <v>56</v>
      </c>
      <c r="CR4621">
        <v>2</v>
      </c>
      <c r="CW4621">
        <v>5181296</v>
      </c>
      <c r="CY4621">
        <v>1</v>
      </c>
      <c r="CZ4621">
        <v>0</v>
      </c>
      <c r="DA4621">
        <v>1</v>
      </c>
      <c r="DB4621">
        <v>0</v>
      </c>
      <c r="DC4621">
        <v>0</v>
      </c>
      <c r="DD4621">
        <v>1</v>
      </c>
      <c r="DE4621">
        <v>0</v>
      </c>
      <c r="DF4621">
        <v>0</v>
      </c>
      <c r="DG4621">
        <v>0</v>
      </c>
      <c r="DH4621">
        <v>0</v>
      </c>
      <c r="DI4621">
        <v>0</v>
      </c>
    </row>
    <row r="4622" spans="1:113" x14ac:dyDescent="0.3">
      <c r="A4622" t="str">
        <f t="shared" si="2124"/>
        <v>05/12/2020 14:49:24.857</v>
      </c>
      <c r="C4622" t="str">
        <f t="shared" si="2102"/>
        <v>FFDFD3C0</v>
      </c>
      <c r="D4622" t="s">
        <v>126</v>
      </c>
      <c r="E4622">
        <v>6</v>
      </c>
      <c r="F4622">
        <v>1006</v>
      </c>
      <c r="G4622" t="s">
        <v>114</v>
      </c>
      <c r="J4622" t="s">
        <v>128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 t="shared" si="2125"/>
        <v>14:49:42.695</v>
      </c>
      <c r="T4622" t="str">
        <f t="shared" si="2125"/>
        <v>14:49:42.695</v>
      </c>
      <c r="U4622" t="str">
        <f t="shared" si="2123"/>
        <v>A9808D</v>
      </c>
      <c r="V4622">
        <v>0</v>
      </c>
      <c r="W4622">
        <v>0</v>
      </c>
      <c r="X4622">
        <v>1</v>
      </c>
      <c r="Z4622">
        <v>0</v>
      </c>
      <c r="AA4622">
        <v>9</v>
      </c>
      <c r="AB4622">
        <v>3</v>
      </c>
      <c r="AC4622">
        <v>0</v>
      </c>
      <c r="AD4622">
        <v>10</v>
      </c>
      <c r="AE4622">
        <v>0</v>
      </c>
      <c r="AF4622">
        <v>3</v>
      </c>
      <c r="AG4622">
        <v>2</v>
      </c>
      <c r="AH4622">
        <v>0</v>
      </c>
      <c r="AI4622" t="s">
        <v>1033</v>
      </c>
      <c r="AJ4622">
        <v>28.24409</v>
      </c>
      <c r="AK4622" t="s">
        <v>571</v>
      </c>
      <c r="AL4622">
        <v>-82.339074999999994</v>
      </c>
      <c r="AM4622">
        <v>100</v>
      </c>
      <c r="AN4622">
        <v>2200</v>
      </c>
      <c r="AO4622" t="s">
        <v>118</v>
      </c>
      <c r="AP4622">
        <v>-141</v>
      </c>
      <c r="AQ4622">
        <v>-39</v>
      </c>
      <c r="AR4622">
        <v>-320</v>
      </c>
      <c r="AZ4622">
        <v>1200</v>
      </c>
      <c r="BA4622">
        <v>1</v>
      </c>
      <c r="BB4622" t="str">
        <f t="shared" si="2103"/>
        <v xml:space="preserve">N711JA  </v>
      </c>
      <c r="BC4622">
        <v>1</v>
      </c>
      <c r="BE4622">
        <v>0</v>
      </c>
      <c r="BF4622">
        <v>0</v>
      </c>
      <c r="BG4622">
        <v>0</v>
      </c>
      <c r="BH4622">
        <v>2175</v>
      </c>
      <c r="BI4622">
        <v>1</v>
      </c>
      <c r="BJ4622">
        <v>1</v>
      </c>
      <c r="BK4622">
        <v>0</v>
      </c>
      <c r="BL4622">
        <v>0</v>
      </c>
      <c r="BO4622">
        <v>0</v>
      </c>
      <c r="BP4622">
        <v>0</v>
      </c>
      <c r="BW4622" t="str">
        <f t="shared" si="2126"/>
        <v>14:49:42.696</v>
      </c>
      <c r="CJ4622">
        <v>0</v>
      </c>
      <c r="CK4622">
        <v>2</v>
      </c>
      <c r="CL4622">
        <v>0</v>
      </c>
      <c r="CM4622">
        <v>2</v>
      </c>
      <c r="CN4622">
        <v>0</v>
      </c>
      <c r="CO4622">
        <v>7</v>
      </c>
      <c r="CP4622" t="s">
        <v>119</v>
      </c>
      <c r="CQ4622">
        <v>8</v>
      </c>
      <c r="CR4622">
        <v>3</v>
      </c>
      <c r="CW4622">
        <v>9177020</v>
      </c>
      <c r="CY4622">
        <v>1</v>
      </c>
      <c r="CZ4622">
        <v>0</v>
      </c>
      <c r="DA4622">
        <v>1</v>
      </c>
      <c r="DB4622">
        <v>0</v>
      </c>
      <c r="DC4622">
        <v>0</v>
      </c>
      <c r="DD4622">
        <v>1</v>
      </c>
      <c r="DE4622">
        <v>0</v>
      </c>
      <c r="DF4622">
        <v>0</v>
      </c>
      <c r="DG4622">
        <v>0</v>
      </c>
      <c r="DH4622">
        <v>0</v>
      </c>
      <c r="DI4622">
        <v>0</v>
      </c>
    </row>
    <row r="4623" spans="1:113" x14ac:dyDescent="0.3">
      <c r="A4623" t="str">
        <f t="shared" ref="A4623:A4631" si="2127">"05/12/2020 14:49:25.893"</f>
        <v>05/12/2020 14:49:25.893</v>
      </c>
      <c r="C4623" t="str">
        <f t="shared" si="2102"/>
        <v>FFDFD3C0</v>
      </c>
      <c r="D4623" t="s">
        <v>131</v>
      </c>
      <c r="E4623">
        <v>12</v>
      </c>
      <c r="F4623">
        <v>2012</v>
      </c>
      <c r="G4623" t="s">
        <v>137</v>
      </c>
      <c r="J4623" t="s">
        <v>133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 t="shared" ref="S4623:S4631" si="2128">"14:49:43.727"</f>
        <v>14:49:43.727</v>
      </c>
      <c r="T4623" t="str">
        <f t="shared" ref="T4623:T4631" si="2129">"14:49:43.227"</f>
        <v>14:49:43.227</v>
      </c>
      <c r="U4623" t="str">
        <f t="shared" si="2123"/>
        <v>A9808D</v>
      </c>
      <c r="V4623">
        <v>0</v>
      </c>
      <c r="W4623">
        <v>0</v>
      </c>
      <c r="X4623">
        <v>1</v>
      </c>
      <c r="Z4623">
        <v>0</v>
      </c>
      <c r="AA4623">
        <v>9</v>
      </c>
      <c r="AB4623">
        <v>3</v>
      </c>
      <c r="AC4623">
        <v>0</v>
      </c>
      <c r="AD4623">
        <v>10</v>
      </c>
      <c r="AE4623">
        <v>0</v>
      </c>
      <c r="AF4623">
        <v>3</v>
      </c>
      <c r="AG4623">
        <v>2</v>
      </c>
      <c r="AH4623">
        <v>0</v>
      </c>
      <c r="AI4623" t="s">
        <v>214</v>
      </c>
      <c r="AJ4623">
        <v>28.243897</v>
      </c>
      <c r="AK4623" t="s">
        <v>1034</v>
      </c>
      <c r="AL4623">
        <v>-82.339847000000006</v>
      </c>
      <c r="AM4623">
        <v>100</v>
      </c>
      <c r="AN4623">
        <v>2100</v>
      </c>
      <c r="AO4623" t="s">
        <v>118</v>
      </c>
      <c r="AP4623">
        <v>-141</v>
      </c>
      <c r="AQ4623">
        <v>-39</v>
      </c>
      <c r="AR4623">
        <v>-320</v>
      </c>
      <c r="AZ4623">
        <v>1200</v>
      </c>
      <c r="BA4623">
        <v>1</v>
      </c>
      <c r="BB4623" t="str">
        <f t="shared" si="2103"/>
        <v xml:space="preserve">N711JA  </v>
      </c>
      <c r="BC4623">
        <v>1</v>
      </c>
      <c r="BE4623">
        <v>0</v>
      </c>
      <c r="BF4623">
        <v>0</v>
      </c>
      <c r="BG4623">
        <v>0</v>
      </c>
      <c r="BH4623">
        <v>2275</v>
      </c>
      <c r="BI4623">
        <v>1</v>
      </c>
      <c r="BJ4623">
        <v>1</v>
      </c>
      <c r="BK4623">
        <v>0</v>
      </c>
      <c r="BL4623">
        <v>0</v>
      </c>
      <c r="BO4623">
        <v>0</v>
      </c>
      <c r="BP4623">
        <v>0</v>
      </c>
      <c r="BW4623" t="str">
        <f t="shared" ref="BW4623:BW4631" si="2130">"14:49:43.728"</f>
        <v>14:49:43.728</v>
      </c>
      <c r="CJ4623">
        <v>0</v>
      </c>
      <c r="CK4623">
        <v>2</v>
      </c>
      <c r="CL4623">
        <v>0</v>
      </c>
      <c r="CM4623">
        <v>2</v>
      </c>
      <c r="CN4623">
        <v>0</v>
      </c>
      <c r="CO4623">
        <v>7</v>
      </c>
      <c r="CP4623" t="s">
        <v>119</v>
      </c>
      <c r="CQ4623">
        <v>8</v>
      </c>
      <c r="CR4623">
        <v>1</v>
      </c>
      <c r="CW4623">
        <v>10442442</v>
      </c>
      <c r="CY4623">
        <v>1</v>
      </c>
      <c r="CZ4623">
        <v>0</v>
      </c>
      <c r="DA4623">
        <v>0</v>
      </c>
      <c r="DB4623">
        <v>0</v>
      </c>
      <c r="DC4623">
        <v>0</v>
      </c>
      <c r="DD4623">
        <v>1</v>
      </c>
      <c r="DE4623">
        <v>0</v>
      </c>
      <c r="DF4623">
        <v>0</v>
      </c>
      <c r="DG4623">
        <v>0</v>
      </c>
      <c r="DH4623">
        <v>0</v>
      </c>
      <c r="DI4623">
        <v>0</v>
      </c>
    </row>
    <row r="4624" spans="1:113" x14ac:dyDescent="0.3">
      <c r="A4624" t="str">
        <f t="shared" si="2127"/>
        <v>05/12/2020 14:49:25.893</v>
      </c>
      <c r="C4624" t="str">
        <f t="shared" si="2102"/>
        <v>FFDFD3C0</v>
      </c>
      <c r="D4624" t="s">
        <v>131</v>
      </c>
      <c r="E4624">
        <v>18</v>
      </c>
      <c r="F4624">
        <v>2018</v>
      </c>
      <c r="G4624" t="s">
        <v>161</v>
      </c>
      <c r="J4624" t="s">
        <v>133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 t="shared" si="2128"/>
        <v>14:49:43.727</v>
      </c>
      <c r="T4624" t="str">
        <f t="shared" si="2129"/>
        <v>14:49:43.227</v>
      </c>
      <c r="U4624" t="str">
        <f t="shared" si="2123"/>
        <v>A9808D</v>
      </c>
      <c r="V4624">
        <v>0</v>
      </c>
      <c r="W4624">
        <v>0</v>
      </c>
      <c r="X4624">
        <v>1</v>
      </c>
      <c r="Z4624">
        <v>0</v>
      </c>
      <c r="AA4624">
        <v>9</v>
      </c>
      <c r="AB4624">
        <v>3</v>
      </c>
      <c r="AC4624">
        <v>0</v>
      </c>
      <c r="AD4624">
        <v>10</v>
      </c>
      <c r="AE4624">
        <v>0</v>
      </c>
      <c r="AF4624">
        <v>3</v>
      </c>
      <c r="AG4624">
        <v>2</v>
      </c>
      <c r="AH4624">
        <v>0</v>
      </c>
      <c r="AI4624" t="s">
        <v>214</v>
      </c>
      <c r="AJ4624">
        <v>28.243897</v>
      </c>
      <c r="AK4624" t="s">
        <v>1034</v>
      </c>
      <c r="AL4624">
        <v>-82.339847000000006</v>
      </c>
      <c r="AM4624">
        <v>100</v>
      </c>
      <c r="AN4624">
        <v>2100</v>
      </c>
      <c r="AO4624" t="s">
        <v>118</v>
      </c>
      <c r="AP4624">
        <v>-141</v>
      </c>
      <c r="AQ4624">
        <v>-39</v>
      </c>
      <c r="AR4624">
        <v>-320</v>
      </c>
      <c r="AZ4624">
        <v>1200</v>
      </c>
      <c r="BA4624">
        <v>1</v>
      </c>
      <c r="BB4624" t="str">
        <f t="shared" si="2103"/>
        <v xml:space="preserve">N711JA  </v>
      </c>
      <c r="BC4624">
        <v>1</v>
      </c>
      <c r="BE4624">
        <v>0</v>
      </c>
      <c r="BF4624">
        <v>0</v>
      </c>
      <c r="BG4624">
        <v>0</v>
      </c>
      <c r="BH4624">
        <v>2275</v>
      </c>
      <c r="BI4624">
        <v>1</v>
      </c>
      <c r="BJ4624">
        <v>1</v>
      </c>
      <c r="BK4624">
        <v>0</v>
      </c>
      <c r="BL4624">
        <v>0</v>
      </c>
      <c r="BO4624">
        <v>0</v>
      </c>
      <c r="BP4624">
        <v>0</v>
      </c>
      <c r="BW4624" t="str">
        <f t="shared" si="2130"/>
        <v>14:49:43.728</v>
      </c>
      <c r="CJ4624">
        <v>0</v>
      </c>
      <c r="CK4624">
        <v>2</v>
      </c>
      <c r="CL4624">
        <v>0</v>
      </c>
      <c r="CM4624">
        <v>2</v>
      </c>
      <c r="CN4624">
        <v>0</v>
      </c>
      <c r="CO4624">
        <v>6</v>
      </c>
      <c r="CP4624" t="s">
        <v>119</v>
      </c>
      <c r="CQ4624">
        <v>56</v>
      </c>
      <c r="CR4624">
        <v>2</v>
      </c>
      <c r="CW4624">
        <v>5182655</v>
      </c>
      <c r="CY4624">
        <v>1</v>
      </c>
      <c r="CZ4624">
        <v>0</v>
      </c>
      <c r="DA4624">
        <v>1</v>
      </c>
      <c r="DB4624">
        <v>0</v>
      </c>
      <c r="DC4624">
        <v>0</v>
      </c>
      <c r="DD4624">
        <v>1</v>
      </c>
      <c r="DE4624">
        <v>0</v>
      </c>
      <c r="DF4624">
        <v>0</v>
      </c>
      <c r="DG4624">
        <v>0</v>
      </c>
      <c r="DH4624">
        <v>0</v>
      </c>
      <c r="DI4624">
        <v>0</v>
      </c>
    </row>
    <row r="4625" spans="1:113" x14ac:dyDescent="0.3">
      <c r="A4625" t="str">
        <f t="shared" si="2127"/>
        <v>05/12/2020 14:49:25.893</v>
      </c>
      <c r="C4625" t="str">
        <f t="shared" si="2102"/>
        <v>FFDFD3C0</v>
      </c>
      <c r="D4625" t="s">
        <v>126</v>
      </c>
      <c r="E4625">
        <v>6</v>
      </c>
      <c r="F4625">
        <v>1006</v>
      </c>
      <c r="G4625" t="s">
        <v>114</v>
      </c>
      <c r="J4625" t="s">
        <v>128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 t="shared" si="2128"/>
        <v>14:49:43.727</v>
      </c>
      <c r="T4625" t="str">
        <f t="shared" si="2129"/>
        <v>14:49:43.227</v>
      </c>
      <c r="U4625" t="str">
        <f t="shared" si="2123"/>
        <v>A9808D</v>
      </c>
      <c r="V4625">
        <v>0</v>
      </c>
      <c r="W4625">
        <v>0</v>
      </c>
      <c r="X4625">
        <v>1</v>
      </c>
      <c r="Z4625">
        <v>0</v>
      </c>
      <c r="AA4625">
        <v>9</v>
      </c>
      <c r="AB4625">
        <v>3</v>
      </c>
      <c r="AC4625">
        <v>0</v>
      </c>
      <c r="AD4625">
        <v>10</v>
      </c>
      <c r="AE4625">
        <v>0</v>
      </c>
      <c r="AF4625">
        <v>3</v>
      </c>
      <c r="AG4625">
        <v>2</v>
      </c>
      <c r="AH4625">
        <v>0</v>
      </c>
      <c r="AI4625" t="s">
        <v>214</v>
      </c>
      <c r="AJ4625">
        <v>28.243897</v>
      </c>
      <c r="AK4625" t="s">
        <v>1034</v>
      </c>
      <c r="AL4625">
        <v>-82.339847000000006</v>
      </c>
      <c r="AM4625">
        <v>100</v>
      </c>
      <c r="AN4625">
        <v>2100</v>
      </c>
      <c r="AO4625" t="s">
        <v>118</v>
      </c>
      <c r="AP4625">
        <v>-141</v>
      </c>
      <c r="AQ4625">
        <v>-39</v>
      </c>
      <c r="AR4625">
        <v>-320</v>
      </c>
      <c r="AZ4625">
        <v>1200</v>
      </c>
      <c r="BA4625">
        <v>1</v>
      </c>
      <c r="BB4625" t="str">
        <f t="shared" si="2103"/>
        <v xml:space="preserve">N711JA  </v>
      </c>
      <c r="BC4625">
        <v>1</v>
      </c>
      <c r="BE4625">
        <v>0</v>
      </c>
      <c r="BF4625">
        <v>0</v>
      </c>
      <c r="BG4625">
        <v>0</v>
      </c>
      <c r="BH4625">
        <v>2275</v>
      </c>
      <c r="BI4625">
        <v>1</v>
      </c>
      <c r="BJ4625">
        <v>1</v>
      </c>
      <c r="BK4625">
        <v>0</v>
      </c>
      <c r="BL4625">
        <v>0</v>
      </c>
      <c r="BO4625">
        <v>0</v>
      </c>
      <c r="BP4625">
        <v>0</v>
      </c>
      <c r="BW4625" t="str">
        <f t="shared" si="2130"/>
        <v>14:49:43.728</v>
      </c>
      <c r="CJ4625">
        <v>0</v>
      </c>
      <c r="CK4625">
        <v>2</v>
      </c>
      <c r="CL4625">
        <v>0</v>
      </c>
      <c r="CM4625">
        <v>2</v>
      </c>
      <c r="CN4625">
        <v>0</v>
      </c>
      <c r="CO4625">
        <v>7</v>
      </c>
      <c r="CP4625" t="s">
        <v>119</v>
      </c>
      <c r="CQ4625">
        <v>8</v>
      </c>
      <c r="CR4625">
        <v>1</v>
      </c>
      <c r="CW4625">
        <v>10442442</v>
      </c>
      <c r="CY4625">
        <v>1</v>
      </c>
      <c r="CZ4625">
        <v>0</v>
      </c>
      <c r="DA4625">
        <v>1</v>
      </c>
      <c r="DB4625">
        <v>0</v>
      </c>
      <c r="DC4625">
        <v>0</v>
      </c>
      <c r="DD4625">
        <v>1</v>
      </c>
      <c r="DE4625">
        <v>0</v>
      </c>
      <c r="DF4625">
        <v>0</v>
      </c>
      <c r="DG4625">
        <v>0</v>
      </c>
      <c r="DH4625">
        <v>0</v>
      </c>
      <c r="DI4625">
        <v>0</v>
      </c>
    </row>
    <row r="4626" spans="1:113" x14ac:dyDescent="0.3">
      <c r="A4626" t="str">
        <f t="shared" si="2127"/>
        <v>05/12/2020 14:49:25.893</v>
      </c>
      <c r="C4626" t="str">
        <f t="shared" si="2102"/>
        <v>FFDFD3C0</v>
      </c>
      <c r="D4626" t="s">
        <v>113</v>
      </c>
      <c r="E4626">
        <v>3</v>
      </c>
      <c r="H4626">
        <v>164</v>
      </c>
      <c r="I4626" t="s">
        <v>114</v>
      </c>
      <c r="J4626" t="s">
        <v>115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 t="shared" si="2128"/>
        <v>14:49:43.727</v>
      </c>
      <c r="T4626" t="str">
        <f t="shared" si="2129"/>
        <v>14:49:43.227</v>
      </c>
      <c r="U4626" t="str">
        <f t="shared" si="2123"/>
        <v>A9808D</v>
      </c>
      <c r="V4626">
        <v>0</v>
      </c>
      <c r="W4626">
        <v>0</v>
      </c>
      <c r="X4626">
        <v>1</v>
      </c>
      <c r="Z4626">
        <v>0</v>
      </c>
      <c r="AA4626">
        <v>9</v>
      </c>
      <c r="AB4626">
        <v>3</v>
      </c>
      <c r="AC4626">
        <v>0</v>
      </c>
      <c r="AD4626">
        <v>10</v>
      </c>
      <c r="AE4626">
        <v>0</v>
      </c>
      <c r="AF4626">
        <v>3</v>
      </c>
      <c r="AG4626">
        <v>2</v>
      </c>
      <c r="AH4626">
        <v>0</v>
      </c>
      <c r="AI4626" t="s">
        <v>214</v>
      </c>
      <c r="AJ4626">
        <v>28.243897</v>
      </c>
      <c r="AK4626" t="s">
        <v>1034</v>
      </c>
      <c r="AL4626">
        <v>-82.339847000000006</v>
      </c>
      <c r="AM4626">
        <v>100</v>
      </c>
      <c r="AN4626">
        <v>2100</v>
      </c>
      <c r="AO4626" t="s">
        <v>118</v>
      </c>
      <c r="AP4626">
        <v>-141</v>
      </c>
      <c r="AQ4626">
        <v>-39</v>
      </c>
      <c r="AR4626">
        <v>-320</v>
      </c>
      <c r="AZ4626">
        <v>1200</v>
      </c>
      <c r="BA4626">
        <v>1</v>
      </c>
      <c r="BB4626" t="str">
        <f t="shared" si="2103"/>
        <v xml:space="preserve">N711JA  </v>
      </c>
      <c r="BC4626">
        <v>1</v>
      </c>
      <c r="BE4626">
        <v>0</v>
      </c>
      <c r="BF4626">
        <v>0</v>
      </c>
      <c r="BG4626">
        <v>0</v>
      </c>
      <c r="BH4626">
        <v>2275</v>
      </c>
      <c r="BI4626">
        <v>1</v>
      </c>
      <c r="BJ4626">
        <v>1</v>
      </c>
      <c r="BK4626">
        <v>0</v>
      </c>
      <c r="BL4626">
        <v>0</v>
      </c>
      <c r="BO4626">
        <v>0</v>
      </c>
      <c r="BP4626">
        <v>0</v>
      </c>
      <c r="BW4626" t="str">
        <f t="shared" si="2130"/>
        <v>14:49:43.728</v>
      </c>
      <c r="CJ4626">
        <v>0</v>
      </c>
      <c r="CK4626">
        <v>2</v>
      </c>
      <c r="CL4626">
        <v>0</v>
      </c>
      <c r="CM4626">
        <v>2</v>
      </c>
      <c r="CN4626">
        <v>0</v>
      </c>
      <c r="CO4626">
        <v>7</v>
      </c>
      <c r="CP4626" t="s">
        <v>119</v>
      </c>
      <c r="CQ4626">
        <v>8</v>
      </c>
      <c r="CR4626">
        <v>1</v>
      </c>
      <c r="CW4626">
        <v>10442442</v>
      </c>
      <c r="CY4626">
        <v>1</v>
      </c>
      <c r="CZ4626">
        <v>0</v>
      </c>
      <c r="DA4626">
        <v>1</v>
      </c>
      <c r="DB4626">
        <v>0</v>
      </c>
      <c r="DC4626">
        <v>0</v>
      </c>
      <c r="DD4626">
        <v>1</v>
      </c>
      <c r="DE4626">
        <v>0</v>
      </c>
      <c r="DF4626">
        <v>0</v>
      </c>
      <c r="DG4626">
        <v>0</v>
      </c>
      <c r="DH4626">
        <v>0</v>
      </c>
      <c r="DI4626">
        <v>0</v>
      </c>
    </row>
    <row r="4627" spans="1:113" x14ac:dyDescent="0.3">
      <c r="A4627" t="str">
        <f t="shared" si="2127"/>
        <v>05/12/2020 14:49:25.893</v>
      </c>
      <c r="C4627" t="str">
        <f t="shared" si="2102"/>
        <v>FFDFD3C0</v>
      </c>
      <c r="D4627" t="s">
        <v>138</v>
      </c>
      <c r="E4627">
        <v>2</v>
      </c>
      <c r="H4627">
        <v>8</v>
      </c>
      <c r="I4627" t="s">
        <v>139</v>
      </c>
      <c r="J4627" t="s">
        <v>136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 t="shared" si="2128"/>
        <v>14:49:43.727</v>
      </c>
      <c r="T4627" t="str">
        <f t="shared" si="2129"/>
        <v>14:49:43.227</v>
      </c>
      <c r="U4627" t="str">
        <f t="shared" si="2123"/>
        <v>A9808D</v>
      </c>
      <c r="V4627">
        <v>0</v>
      </c>
      <c r="W4627">
        <v>0</v>
      </c>
      <c r="X4627">
        <v>1</v>
      </c>
      <c r="Z4627">
        <v>0</v>
      </c>
      <c r="AA4627">
        <v>9</v>
      </c>
      <c r="AB4627">
        <v>3</v>
      </c>
      <c r="AC4627">
        <v>0</v>
      </c>
      <c r="AD4627">
        <v>10</v>
      </c>
      <c r="AE4627">
        <v>0</v>
      </c>
      <c r="AF4627">
        <v>3</v>
      </c>
      <c r="AG4627">
        <v>2</v>
      </c>
      <c r="AH4627">
        <v>0</v>
      </c>
      <c r="AI4627" t="s">
        <v>214</v>
      </c>
      <c r="AJ4627">
        <v>28.243897</v>
      </c>
      <c r="AK4627" t="s">
        <v>1034</v>
      </c>
      <c r="AL4627">
        <v>-82.339847000000006</v>
      </c>
      <c r="AM4627">
        <v>100</v>
      </c>
      <c r="AN4627">
        <v>2100</v>
      </c>
      <c r="AO4627" t="s">
        <v>118</v>
      </c>
      <c r="AP4627">
        <v>-141</v>
      </c>
      <c r="AQ4627">
        <v>-39</v>
      </c>
      <c r="AR4627">
        <v>-320</v>
      </c>
      <c r="AZ4627">
        <v>1200</v>
      </c>
      <c r="BA4627">
        <v>1</v>
      </c>
      <c r="BB4627" t="str">
        <f t="shared" si="2103"/>
        <v xml:space="preserve">N711JA  </v>
      </c>
      <c r="BC4627">
        <v>1</v>
      </c>
      <c r="BE4627">
        <v>0</v>
      </c>
      <c r="BF4627">
        <v>0</v>
      </c>
      <c r="BG4627">
        <v>0</v>
      </c>
      <c r="BH4627">
        <v>2275</v>
      </c>
      <c r="BI4627">
        <v>1</v>
      </c>
      <c r="BJ4627">
        <v>1</v>
      </c>
      <c r="BK4627">
        <v>0</v>
      </c>
      <c r="BL4627">
        <v>0</v>
      </c>
      <c r="BO4627">
        <v>0</v>
      </c>
      <c r="BP4627">
        <v>0</v>
      </c>
      <c r="BW4627" t="str">
        <f t="shared" si="2130"/>
        <v>14:49:43.728</v>
      </c>
      <c r="CJ4627">
        <v>0</v>
      </c>
      <c r="CK4627">
        <v>2</v>
      </c>
      <c r="CL4627">
        <v>0</v>
      </c>
      <c r="CM4627">
        <v>2</v>
      </c>
      <c r="CN4627">
        <v>0</v>
      </c>
      <c r="CO4627">
        <v>7</v>
      </c>
      <c r="CP4627" t="s">
        <v>119</v>
      </c>
      <c r="CQ4627">
        <v>8</v>
      </c>
      <c r="CR4627">
        <v>1</v>
      </c>
      <c r="CW4627">
        <v>10442442</v>
      </c>
      <c r="CY4627">
        <v>1</v>
      </c>
      <c r="CZ4627">
        <v>0</v>
      </c>
      <c r="DA4627">
        <v>1</v>
      </c>
      <c r="DB4627">
        <v>0</v>
      </c>
      <c r="DC4627">
        <v>0</v>
      </c>
      <c r="DD4627">
        <v>1</v>
      </c>
      <c r="DE4627">
        <v>0</v>
      </c>
      <c r="DF4627">
        <v>0</v>
      </c>
      <c r="DG4627">
        <v>0</v>
      </c>
      <c r="DH4627">
        <v>0</v>
      </c>
      <c r="DI4627">
        <v>0</v>
      </c>
    </row>
    <row r="4628" spans="1:113" x14ac:dyDescent="0.3">
      <c r="A4628" t="str">
        <f t="shared" si="2127"/>
        <v>05/12/2020 14:49:25.893</v>
      </c>
      <c r="C4628" t="str">
        <f t="shared" si="2102"/>
        <v>FFDFD3C0</v>
      </c>
      <c r="D4628" t="s">
        <v>138</v>
      </c>
      <c r="E4628">
        <v>3</v>
      </c>
      <c r="H4628">
        <v>9</v>
      </c>
      <c r="I4628" t="s">
        <v>140</v>
      </c>
      <c r="J4628" t="s">
        <v>136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 t="shared" si="2128"/>
        <v>14:49:43.727</v>
      </c>
      <c r="T4628" t="str">
        <f t="shared" si="2129"/>
        <v>14:49:43.227</v>
      </c>
      <c r="U4628" t="str">
        <f t="shared" si="2123"/>
        <v>A9808D</v>
      </c>
      <c r="V4628">
        <v>0</v>
      </c>
      <c r="W4628">
        <v>0</v>
      </c>
      <c r="X4628">
        <v>1</v>
      </c>
      <c r="Z4628">
        <v>0</v>
      </c>
      <c r="AA4628">
        <v>9</v>
      </c>
      <c r="AB4628">
        <v>3</v>
      </c>
      <c r="AC4628">
        <v>0</v>
      </c>
      <c r="AD4628">
        <v>10</v>
      </c>
      <c r="AE4628">
        <v>0</v>
      </c>
      <c r="AF4628">
        <v>3</v>
      </c>
      <c r="AG4628">
        <v>2</v>
      </c>
      <c r="AH4628">
        <v>0</v>
      </c>
      <c r="AI4628" t="s">
        <v>214</v>
      </c>
      <c r="AJ4628">
        <v>28.243897</v>
      </c>
      <c r="AK4628" t="s">
        <v>1034</v>
      </c>
      <c r="AL4628">
        <v>-82.339847000000006</v>
      </c>
      <c r="AM4628">
        <v>100</v>
      </c>
      <c r="AN4628">
        <v>2100</v>
      </c>
      <c r="AO4628" t="s">
        <v>118</v>
      </c>
      <c r="AP4628">
        <v>-141</v>
      </c>
      <c r="AQ4628">
        <v>-39</v>
      </c>
      <c r="AR4628">
        <v>-320</v>
      </c>
      <c r="AZ4628">
        <v>1200</v>
      </c>
      <c r="BA4628">
        <v>1</v>
      </c>
      <c r="BB4628" t="str">
        <f t="shared" si="2103"/>
        <v xml:space="preserve">N711JA  </v>
      </c>
      <c r="BC4628">
        <v>1</v>
      </c>
      <c r="BE4628">
        <v>0</v>
      </c>
      <c r="BF4628">
        <v>0</v>
      </c>
      <c r="BG4628">
        <v>0</v>
      </c>
      <c r="BH4628">
        <v>2275</v>
      </c>
      <c r="BI4628">
        <v>1</v>
      </c>
      <c r="BJ4628">
        <v>1</v>
      </c>
      <c r="BK4628">
        <v>0</v>
      </c>
      <c r="BL4628">
        <v>0</v>
      </c>
      <c r="BO4628">
        <v>0</v>
      </c>
      <c r="BP4628">
        <v>0</v>
      </c>
      <c r="BW4628" t="str">
        <f t="shared" si="2130"/>
        <v>14:49:43.728</v>
      </c>
      <c r="CJ4628">
        <v>0</v>
      </c>
      <c r="CK4628">
        <v>2</v>
      </c>
      <c r="CL4628">
        <v>0</v>
      </c>
      <c r="CM4628">
        <v>2</v>
      </c>
      <c r="CN4628">
        <v>0</v>
      </c>
      <c r="CO4628">
        <v>7</v>
      </c>
      <c r="CP4628" t="s">
        <v>119</v>
      </c>
      <c r="CQ4628">
        <v>8</v>
      </c>
      <c r="CR4628">
        <v>1</v>
      </c>
      <c r="CW4628">
        <v>10442442</v>
      </c>
      <c r="CY4628">
        <v>1</v>
      </c>
      <c r="CZ4628">
        <v>0</v>
      </c>
      <c r="DA4628">
        <v>1</v>
      </c>
      <c r="DB4628">
        <v>0</v>
      </c>
      <c r="DC4628">
        <v>0</v>
      </c>
      <c r="DD4628">
        <v>1</v>
      </c>
      <c r="DE4628">
        <v>0</v>
      </c>
      <c r="DF4628">
        <v>0</v>
      </c>
      <c r="DG4628">
        <v>0</v>
      </c>
      <c r="DH4628">
        <v>0</v>
      </c>
      <c r="DI4628">
        <v>0</v>
      </c>
    </row>
    <row r="4629" spans="1:113" x14ac:dyDescent="0.3">
      <c r="A4629" t="str">
        <f t="shared" si="2127"/>
        <v>05/12/2020 14:49:25.893</v>
      </c>
      <c r="C4629" t="str">
        <f t="shared" si="2102"/>
        <v>FFDFD3C0</v>
      </c>
      <c r="D4629" t="s">
        <v>134</v>
      </c>
      <c r="E4629">
        <v>12</v>
      </c>
      <c r="H4629">
        <v>64</v>
      </c>
      <c r="I4629" t="s">
        <v>135</v>
      </c>
      <c r="J4629" t="s">
        <v>136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 t="shared" si="2128"/>
        <v>14:49:43.727</v>
      </c>
      <c r="T4629" t="str">
        <f t="shared" si="2129"/>
        <v>14:49:43.227</v>
      </c>
      <c r="U4629" t="str">
        <f t="shared" si="2123"/>
        <v>A9808D</v>
      </c>
      <c r="V4629">
        <v>0</v>
      </c>
      <c r="W4629">
        <v>0</v>
      </c>
      <c r="X4629">
        <v>1</v>
      </c>
      <c r="Z4629">
        <v>0</v>
      </c>
      <c r="AA4629">
        <v>9</v>
      </c>
      <c r="AB4629">
        <v>3</v>
      </c>
      <c r="AC4629">
        <v>0</v>
      </c>
      <c r="AD4629">
        <v>10</v>
      </c>
      <c r="AE4629">
        <v>0</v>
      </c>
      <c r="AF4629">
        <v>3</v>
      </c>
      <c r="AG4629">
        <v>2</v>
      </c>
      <c r="AH4629">
        <v>0</v>
      </c>
      <c r="AI4629" t="s">
        <v>214</v>
      </c>
      <c r="AJ4629">
        <v>28.243897</v>
      </c>
      <c r="AK4629" t="s">
        <v>1034</v>
      </c>
      <c r="AL4629">
        <v>-82.339847000000006</v>
      </c>
      <c r="AM4629">
        <v>100</v>
      </c>
      <c r="AN4629">
        <v>2100</v>
      </c>
      <c r="AO4629" t="s">
        <v>118</v>
      </c>
      <c r="AP4629">
        <v>-141</v>
      </c>
      <c r="AQ4629">
        <v>-39</v>
      </c>
      <c r="AR4629">
        <v>-320</v>
      </c>
      <c r="AZ4629">
        <v>1200</v>
      </c>
      <c r="BA4629">
        <v>1</v>
      </c>
      <c r="BB4629" t="str">
        <f t="shared" si="2103"/>
        <v xml:space="preserve">N711JA  </v>
      </c>
      <c r="BC4629">
        <v>1</v>
      </c>
      <c r="BE4629">
        <v>0</v>
      </c>
      <c r="BF4629">
        <v>0</v>
      </c>
      <c r="BG4629">
        <v>0</v>
      </c>
      <c r="BH4629">
        <v>2275</v>
      </c>
      <c r="BI4629">
        <v>1</v>
      </c>
      <c r="BJ4629">
        <v>1</v>
      </c>
      <c r="BK4629">
        <v>0</v>
      </c>
      <c r="BL4629">
        <v>0</v>
      </c>
      <c r="BO4629">
        <v>0</v>
      </c>
      <c r="BP4629">
        <v>0</v>
      </c>
      <c r="BW4629" t="str">
        <f t="shared" si="2130"/>
        <v>14:49:43.728</v>
      </c>
      <c r="CJ4629">
        <v>0</v>
      </c>
      <c r="CK4629">
        <v>2</v>
      </c>
      <c r="CL4629">
        <v>0</v>
      </c>
      <c r="CM4629">
        <v>2</v>
      </c>
      <c r="CN4629">
        <v>0</v>
      </c>
      <c r="CO4629">
        <v>7</v>
      </c>
      <c r="CP4629" t="s">
        <v>119</v>
      </c>
      <c r="CQ4629">
        <v>8</v>
      </c>
      <c r="CR4629">
        <v>1</v>
      </c>
      <c r="CW4629">
        <v>10442442</v>
      </c>
      <c r="CY4629">
        <v>1</v>
      </c>
      <c r="CZ4629">
        <v>0</v>
      </c>
      <c r="DA4629">
        <v>1</v>
      </c>
      <c r="DB4629">
        <v>0</v>
      </c>
      <c r="DC4629">
        <v>0</v>
      </c>
      <c r="DD4629">
        <v>1</v>
      </c>
      <c r="DE4629">
        <v>0</v>
      </c>
      <c r="DF4629">
        <v>0</v>
      </c>
      <c r="DG4629">
        <v>0</v>
      </c>
      <c r="DH4629">
        <v>0</v>
      </c>
      <c r="DI4629">
        <v>0</v>
      </c>
    </row>
    <row r="4630" spans="1:113" x14ac:dyDescent="0.3">
      <c r="A4630" t="str">
        <f t="shared" si="2127"/>
        <v>05/12/2020 14:49:25.893</v>
      </c>
      <c r="C4630" t="str">
        <f t="shared" ref="C4630:C4693" si="2131">"FFDFD3C0"</f>
        <v>FFDFD3C0</v>
      </c>
      <c r="D4630" t="s">
        <v>126</v>
      </c>
      <c r="E4630">
        <v>7</v>
      </c>
      <c r="F4630">
        <v>1007</v>
      </c>
      <c r="G4630" t="s">
        <v>127</v>
      </c>
      <c r="J4630" t="s">
        <v>128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 t="shared" si="2128"/>
        <v>14:49:43.727</v>
      </c>
      <c r="T4630" t="str">
        <f t="shared" si="2129"/>
        <v>14:49:43.227</v>
      </c>
      <c r="U4630" t="str">
        <f t="shared" si="2123"/>
        <v>A9808D</v>
      </c>
      <c r="V4630">
        <v>0</v>
      </c>
      <c r="W4630">
        <v>0</v>
      </c>
      <c r="X4630">
        <v>1</v>
      </c>
      <c r="Z4630">
        <v>0</v>
      </c>
      <c r="AA4630">
        <v>9</v>
      </c>
      <c r="AB4630">
        <v>3</v>
      </c>
      <c r="AC4630">
        <v>0</v>
      </c>
      <c r="AD4630">
        <v>10</v>
      </c>
      <c r="AE4630">
        <v>0</v>
      </c>
      <c r="AF4630">
        <v>3</v>
      </c>
      <c r="AG4630">
        <v>2</v>
      </c>
      <c r="AH4630">
        <v>0</v>
      </c>
      <c r="AI4630" t="s">
        <v>214</v>
      </c>
      <c r="AJ4630">
        <v>28.243897</v>
      </c>
      <c r="AK4630" t="s">
        <v>1034</v>
      </c>
      <c r="AL4630">
        <v>-82.339847000000006</v>
      </c>
      <c r="AM4630">
        <v>100</v>
      </c>
      <c r="AN4630">
        <v>2100</v>
      </c>
      <c r="AO4630" t="s">
        <v>118</v>
      </c>
      <c r="AP4630">
        <v>-141</v>
      </c>
      <c r="AQ4630">
        <v>-39</v>
      </c>
      <c r="AR4630">
        <v>-320</v>
      </c>
      <c r="AZ4630">
        <v>1200</v>
      </c>
      <c r="BA4630">
        <v>1</v>
      </c>
      <c r="BB4630" t="str">
        <f t="shared" ref="BB4630:BB4693" si="2132">"N711JA  "</f>
        <v xml:space="preserve">N711JA  </v>
      </c>
      <c r="BC4630">
        <v>1</v>
      </c>
      <c r="BE4630">
        <v>0</v>
      </c>
      <c r="BF4630">
        <v>0</v>
      </c>
      <c r="BG4630">
        <v>0</v>
      </c>
      <c r="BH4630">
        <v>2275</v>
      </c>
      <c r="BI4630">
        <v>1</v>
      </c>
      <c r="BJ4630">
        <v>1</v>
      </c>
      <c r="BK4630">
        <v>0</v>
      </c>
      <c r="BL4630">
        <v>0</v>
      </c>
      <c r="BO4630">
        <v>0</v>
      </c>
      <c r="BP4630">
        <v>0</v>
      </c>
      <c r="BW4630" t="str">
        <f t="shared" si="2130"/>
        <v>14:49:43.728</v>
      </c>
      <c r="CJ4630">
        <v>0</v>
      </c>
      <c r="CK4630">
        <v>2</v>
      </c>
      <c r="CL4630">
        <v>0</v>
      </c>
      <c r="CM4630">
        <v>2</v>
      </c>
      <c r="CN4630">
        <v>0</v>
      </c>
      <c r="CO4630">
        <v>7</v>
      </c>
      <c r="CP4630" t="s">
        <v>119</v>
      </c>
      <c r="CQ4630">
        <v>8</v>
      </c>
      <c r="CR4630">
        <v>1</v>
      </c>
      <c r="CW4630">
        <v>10442442</v>
      </c>
      <c r="CY4630">
        <v>1</v>
      </c>
      <c r="CZ4630">
        <v>0</v>
      </c>
      <c r="DA4630">
        <v>1</v>
      </c>
      <c r="DB4630">
        <v>0</v>
      </c>
      <c r="DC4630">
        <v>0</v>
      </c>
      <c r="DD4630">
        <v>1</v>
      </c>
      <c r="DE4630">
        <v>0</v>
      </c>
      <c r="DF4630">
        <v>0</v>
      </c>
      <c r="DG4630">
        <v>0</v>
      </c>
      <c r="DH4630">
        <v>0</v>
      </c>
      <c r="DI4630">
        <v>0</v>
      </c>
    </row>
    <row r="4631" spans="1:113" x14ac:dyDescent="0.3">
      <c r="A4631" t="str">
        <f t="shared" si="2127"/>
        <v>05/12/2020 14:49:25.893</v>
      </c>
      <c r="C4631" t="str">
        <f t="shared" si="2131"/>
        <v>FFDFD3C0</v>
      </c>
      <c r="D4631" t="s">
        <v>131</v>
      </c>
      <c r="E4631">
        <v>10</v>
      </c>
      <c r="F4631">
        <v>2010</v>
      </c>
      <c r="G4631" t="s">
        <v>132</v>
      </c>
      <c r="J4631" t="s">
        <v>133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 t="shared" si="2128"/>
        <v>14:49:43.727</v>
      </c>
      <c r="T4631" t="str">
        <f t="shared" si="2129"/>
        <v>14:49:43.227</v>
      </c>
      <c r="U4631" t="str">
        <f t="shared" si="2123"/>
        <v>A9808D</v>
      </c>
      <c r="V4631">
        <v>0</v>
      </c>
      <c r="W4631">
        <v>0</v>
      </c>
      <c r="X4631">
        <v>1</v>
      </c>
      <c r="Z4631">
        <v>0</v>
      </c>
      <c r="AA4631">
        <v>9</v>
      </c>
      <c r="AB4631">
        <v>3</v>
      </c>
      <c r="AC4631">
        <v>0</v>
      </c>
      <c r="AD4631">
        <v>10</v>
      </c>
      <c r="AE4631">
        <v>0</v>
      </c>
      <c r="AF4631">
        <v>3</v>
      </c>
      <c r="AG4631">
        <v>2</v>
      </c>
      <c r="AH4631">
        <v>0</v>
      </c>
      <c r="AI4631" t="s">
        <v>214</v>
      </c>
      <c r="AJ4631">
        <v>28.243897</v>
      </c>
      <c r="AK4631" t="s">
        <v>1034</v>
      </c>
      <c r="AL4631">
        <v>-82.339847000000006</v>
      </c>
      <c r="AM4631">
        <v>100</v>
      </c>
      <c r="AN4631">
        <v>2100</v>
      </c>
      <c r="AO4631" t="s">
        <v>118</v>
      </c>
      <c r="AP4631">
        <v>-141</v>
      </c>
      <c r="AQ4631">
        <v>-39</v>
      </c>
      <c r="AR4631">
        <v>-320</v>
      </c>
      <c r="AZ4631">
        <v>1200</v>
      </c>
      <c r="BA4631">
        <v>1</v>
      </c>
      <c r="BB4631" t="str">
        <f t="shared" si="2132"/>
        <v xml:space="preserve">N711JA  </v>
      </c>
      <c r="BC4631">
        <v>1</v>
      </c>
      <c r="BE4631">
        <v>0</v>
      </c>
      <c r="BF4631">
        <v>0</v>
      </c>
      <c r="BG4631">
        <v>0</v>
      </c>
      <c r="BH4631">
        <v>2275</v>
      </c>
      <c r="BI4631">
        <v>1</v>
      </c>
      <c r="BJ4631">
        <v>1</v>
      </c>
      <c r="BK4631">
        <v>0</v>
      </c>
      <c r="BL4631">
        <v>0</v>
      </c>
      <c r="BO4631">
        <v>0</v>
      </c>
      <c r="BP4631">
        <v>0</v>
      </c>
      <c r="BW4631" t="str">
        <f t="shared" si="2130"/>
        <v>14:49:43.728</v>
      </c>
      <c r="CJ4631">
        <v>0</v>
      </c>
      <c r="CK4631">
        <v>2</v>
      </c>
      <c r="CL4631">
        <v>0</v>
      </c>
      <c r="CM4631">
        <v>2</v>
      </c>
      <c r="CN4631">
        <v>0</v>
      </c>
      <c r="CO4631">
        <v>7</v>
      </c>
      <c r="CP4631" t="s">
        <v>119</v>
      </c>
      <c r="CQ4631">
        <v>8</v>
      </c>
      <c r="CR4631">
        <v>1</v>
      </c>
      <c r="CW4631">
        <v>10442442</v>
      </c>
      <c r="CY4631">
        <v>1</v>
      </c>
      <c r="CZ4631">
        <v>0</v>
      </c>
      <c r="DA4631">
        <v>1</v>
      </c>
      <c r="DB4631">
        <v>0</v>
      </c>
      <c r="DC4631">
        <v>0</v>
      </c>
      <c r="DD4631">
        <v>1</v>
      </c>
      <c r="DE4631">
        <v>0</v>
      </c>
      <c r="DF4631">
        <v>0</v>
      </c>
      <c r="DG4631">
        <v>0</v>
      </c>
      <c r="DH4631">
        <v>0</v>
      </c>
      <c r="DI4631">
        <v>0</v>
      </c>
    </row>
    <row r="4632" spans="1:113" x14ac:dyDescent="0.3">
      <c r="A4632" t="str">
        <f t="shared" ref="A4632:A4640" si="2133">"05/12/2020 14:49:26.778"</f>
        <v>05/12/2020 14:49:26.778</v>
      </c>
      <c r="C4632" t="str">
        <f t="shared" si="2131"/>
        <v>FFDFD3C0</v>
      </c>
      <c r="D4632" t="s">
        <v>113</v>
      </c>
      <c r="E4632">
        <v>3</v>
      </c>
      <c r="H4632">
        <v>164</v>
      </c>
      <c r="I4632" t="s">
        <v>114</v>
      </c>
      <c r="J4632" t="s">
        <v>115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 t="shared" ref="S4632:S4640" si="2134">"14:49:44.602"</f>
        <v>14:49:44.602</v>
      </c>
      <c r="T4632" t="str">
        <f t="shared" ref="T4632:T4640" si="2135">"14:49:44.202"</f>
        <v>14:49:44.202</v>
      </c>
      <c r="U4632" t="str">
        <f t="shared" si="2123"/>
        <v>A9808D</v>
      </c>
      <c r="V4632">
        <v>0</v>
      </c>
      <c r="W4632">
        <v>0</v>
      </c>
      <c r="X4632">
        <v>1</v>
      </c>
      <c r="Z4632">
        <v>0</v>
      </c>
      <c r="AA4632">
        <v>9</v>
      </c>
      <c r="AB4632">
        <v>3</v>
      </c>
      <c r="AC4632">
        <v>0</v>
      </c>
      <c r="AD4632">
        <v>10</v>
      </c>
      <c r="AE4632">
        <v>0</v>
      </c>
      <c r="AF4632">
        <v>3</v>
      </c>
      <c r="AG4632">
        <v>2</v>
      </c>
      <c r="AH4632">
        <v>0</v>
      </c>
      <c r="AI4632" t="s">
        <v>1035</v>
      </c>
      <c r="AJ4632">
        <v>28.243704000000001</v>
      </c>
      <c r="AK4632" t="s">
        <v>1036</v>
      </c>
      <c r="AL4632">
        <v>-82.340468999999999</v>
      </c>
      <c r="AM4632">
        <v>100</v>
      </c>
      <c r="AN4632">
        <v>2100</v>
      </c>
      <c r="AO4632" t="s">
        <v>118</v>
      </c>
      <c r="AP4632">
        <v>-141</v>
      </c>
      <c r="AQ4632">
        <v>-39</v>
      </c>
      <c r="AR4632">
        <v>-256</v>
      </c>
      <c r="AZ4632">
        <v>1200</v>
      </c>
      <c r="BA4632">
        <v>1</v>
      </c>
      <c r="BB4632" t="str">
        <f t="shared" si="2132"/>
        <v xml:space="preserve">N711JA  </v>
      </c>
      <c r="BC4632">
        <v>1</v>
      </c>
      <c r="BE4632">
        <v>0</v>
      </c>
      <c r="BF4632">
        <v>0</v>
      </c>
      <c r="BG4632">
        <v>0</v>
      </c>
      <c r="BH4632">
        <v>2175</v>
      </c>
      <c r="BI4632">
        <v>1</v>
      </c>
      <c r="BJ4632">
        <v>1</v>
      </c>
      <c r="BK4632">
        <v>0</v>
      </c>
      <c r="BL4632">
        <v>0</v>
      </c>
      <c r="BO4632">
        <v>0</v>
      </c>
      <c r="BP4632">
        <v>0</v>
      </c>
      <c r="BW4632" t="str">
        <f t="shared" ref="BW4632:BW4640" si="2136">"14:49:44.608"</f>
        <v>14:49:44.608</v>
      </c>
      <c r="CJ4632">
        <v>0</v>
      </c>
      <c r="CK4632">
        <v>2</v>
      </c>
      <c r="CL4632">
        <v>0</v>
      </c>
      <c r="CM4632">
        <v>2</v>
      </c>
      <c r="CN4632">
        <v>0</v>
      </c>
      <c r="CO4632">
        <v>7</v>
      </c>
      <c r="CP4632" t="s">
        <v>119</v>
      </c>
      <c r="CQ4632">
        <v>8</v>
      </c>
      <c r="CR4632">
        <v>3</v>
      </c>
      <c r="CW4632">
        <v>9179030</v>
      </c>
      <c r="CY4632">
        <v>1</v>
      </c>
      <c r="CZ4632">
        <v>0</v>
      </c>
      <c r="DA4632">
        <v>0</v>
      </c>
      <c r="DB4632">
        <v>0</v>
      </c>
      <c r="DC4632">
        <v>0</v>
      </c>
      <c r="DD4632">
        <v>1</v>
      </c>
      <c r="DE4632">
        <v>0</v>
      </c>
      <c r="DF4632">
        <v>0</v>
      </c>
      <c r="DG4632">
        <v>0</v>
      </c>
      <c r="DH4632">
        <v>0</v>
      </c>
      <c r="DI4632">
        <v>0</v>
      </c>
    </row>
    <row r="4633" spans="1:113" x14ac:dyDescent="0.3">
      <c r="A4633" t="str">
        <f t="shared" si="2133"/>
        <v>05/12/2020 14:49:26.778</v>
      </c>
      <c r="C4633" t="str">
        <f t="shared" si="2131"/>
        <v>FFDFD3C0</v>
      </c>
      <c r="D4633" t="s">
        <v>138</v>
      </c>
      <c r="E4633">
        <v>3</v>
      </c>
      <c r="H4633">
        <v>9</v>
      </c>
      <c r="I4633" t="s">
        <v>140</v>
      </c>
      <c r="J4633" t="s">
        <v>136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 t="shared" si="2134"/>
        <v>14:49:44.602</v>
      </c>
      <c r="T4633" t="str">
        <f t="shared" si="2135"/>
        <v>14:49:44.202</v>
      </c>
      <c r="U4633" t="str">
        <f t="shared" si="2123"/>
        <v>A9808D</v>
      </c>
      <c r="V4633">
        <v>0</v>
      </c>
      <c r="W4633">
        <v>0</v>
      </c>
      <c r="X4633">
        <v>1</v>
      </c>
      <c r="Z4633">
        <v>0</v>
      </c>
      <c r="AA4633">
        <v>9</v>
      </c>
      <c r="AB4633">
        <v>3</v>
      </c>
      <c r="AC4633">
        <v>0</v>
      </c>
      <c r="AD4633">
        <v>10</v>
      </c>
      <c r="AE4633">
        <v>0</v>
      </c>
      <c r="AF4633">
        <v>3</v>
      </c>
      <c r="AG4633">
        <v>2</v>
      </c>
      <c r="AH4633">
        <v>0</v>
      </c>
      <c r="AI4633" t="s">
        <v>1035</v>
      </c>
      <c r="AJ4633">
        <v>28.243704000000001</v>
      </c>
      <c r="AK4633" t="s">
        <v>1036</v>
      </c>
      <c r="AL4633">
        <v>-82.340468999999999</v>
      </c>
      <c r="AM4633">
        <v>100</v>
      </c>
      <c r="AN4633">
        <v>2100</v>
      </c>
      <c r="AO4633" t="s">
        <v>118</v>
      </c>
      <c r="AP4633">
        <v>-141</v>
      </c>
      <c r="AQ4633">
        <v>-39</v>
      </c>
      <c r="AR4633">
        <v>-256</v>
      </c>
      <c r="AZ4633">
        <v>1200</v>
      </c>
      <c r="BA4633">
        <v>1</v>
      </c>
      <c r="BB4633" t="str">
        <f t="shared" si="2132"/>
        <v xml:space="preserve">N711JA  </v>
      </c>
      <c r="BC4633">
        <v>1</v>
      </c>
      <c r="BE4633">
        <v>0</v>
      </c>
      <c r="BF4633">
        <v>0</v>
      </c>
      <c r="BG4633">
        <v>0</v>
      </c>
      <c r="BH4633">
        <v>2175</v>
      </c>
      <c r="BI4633">
        <v>1</v>
      </c>
      <c r="BJ4633">
        <v>1</v>
      </c>
      <c r="BK4633">
        <v>0</v>
      </c>
      <c r="BL4633">
        <v>0</v>
      </c>
      <c r="BO4633">
        <v>0</v>
      </c>
      <c r="BP4633">
        <v>0</v>
      </c>
      <c r="BW4633" t="str">
        <f t="shared" si="2136"/>
        <v>14:49:44.608</v>
      </c>
      <c r="CJ4633">
        <v>0</v>
      </c>
      <c r="CK4633">
        <v>2</v>
      </c>
      <c r="CL4633">
        <v>0</v>
      </c>
      <c r="CM4633">
        <v>2</v>
      </c>
      <c r="CN4633">
        <v>0</v>
      </c>
      <c r="CO4633">
        <v>7</v>
      </c>
      <c r="CP4633" t="s">
        <v>119</v>
      </c>
      <c r="CQ4633">
        <v>8</v>
      </c>
      <c r="CR4633">
        <v>3</v>
      </c>
      <c r="CW4633">
        <v>9179030</v>
      </c>
      <c r="CY4633">
        <v>1</v>
      </c>
      <c r="CZ4633">
        <v>0</v>
      </c>
      <c r="DA4633">
        <v>1</v>
      </c>
      <c r="DB4633">
        <v>0</v>
      </c>
      <c r="DC4633">
        <v>0</v>
      </c>
      <c r="DD4633">
        <v>1</v>
      </c>
      <c r="DE4633">
        <v>0</v>
      </c>
      <c r="DF4633">
        <v>0</v>
      </c>
      <c r="DG4633">
        <v>0</v>
      </c>
      <c r="DH4633">
        <v>0</v>
      </c>
      <c r="DI4633">
        <v>0</v>
      </c>
    </row>
    <row r="4634" spans="1:113" x14ac:dyDescent="0.3">
      <c r="A4634" t="str">
        <f t="shared" si="2133"/>
        <v>05/12/2020 14:49:26.778</v>
      </c>
      <c r="C4634" t="str">
        <f t="shared" si="2131"/>
        <v>FFDFD3C0</v>
      </c>
      <c r="D4634" t="s">
        <v>138</v>
      </c>
      <c r="E4634">
        <v>2</v>
      </c>
      <c r="H4634">
        <v>8</v>
      </c>
      <c r="I4634" t="s">
        <v>139</v>
      </c>
      <c r="J4634" t="s">
        <v>136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 t="shared" si="2134"/>
        <v>14:49:44.602</v>
      </c>
      <c r="T4634" t="str">
        <f t="shared" si="2135"/>
        <v>14:49:44.202</v>
      </c>
      <c r="U4634" t="str">
        <f t="shared" si="2123"/>
        <v>A9808D</v>
      </c>
      <c r="V4634">
        <v>0</v>
      </c>
      <c r="W4634">
        <v>0</v>
      </c>
      <c r="X4634">
        <v>1</v>
      </c>
      <c r="Z4634">
        <v>0</v>
      </c>
      <c r="AA4634">
        <v>9</v>
      </c>
      <c r="AB4634">
        <v>3</v>
      </c>
      <c r="AC4634">
        <v>0</v>
      </c>
      <c r="AD4634">
        <v>10</v>
      </c>
      <c r="AE4634">
        <v>0</v>
      </c>
      <c r="AF4634">
        <v>3</v>
      </c>
      <c r="AG4634">
        <v>2</v>
      </c>
      <c r="AH4634">
        <v>0</v>
      </c>
      <c r="AI4634" t="s">
        <v>1035</v>
      </c>
      <c r="AJ4634">
        <v>28.243704000000001</v>
      </c>
      <c r="AK4634" t="s">
        <v>1036</v>
      </c>
      <c r="AL4634">
        <v>-82.340468999999999</v>
      </c>
      <c r="AM4634">
        <v>100</v>
      </c>
      <c r="AN4634">
        <v>2100</v>
      </c>
      <c r="AO4634" t="s">
        <v>118</v>
      </c>
      <c r="AP4634">
        <v>-141</v>
      </c>
      <c r="AQ4634">
        <v>-39</v>
      </c>
      <c r="AR4634">
        <v>-256</v>
      </c>
      <c r="AZ4634">
        <v>1200</v>
      </c>
      <c r="BA4634">
        <v>1</v>
      </c>
      <c r="BB4634" t="str">
        <f t="shared" si="2132"/>
        <v xml:space="preserve">N711JA  </v>
      </c>
      <c r="BC4634">
        <v>1</v>
      </c>
      <c r="BE4634">
        <v>0</v>
      </c>
      <c r="BF4634">
        <v>0</v>
      </c>
      <c r="BG4634">
        <v>0</v>
      </c>
      <c r="BH4634">
        <v>2175</v>
      </c>
      <c r="BI4634">
        <v>1</v>
      </c>
      <c r="BJ4634">
        <v>1</v>
      </c>
      <c r="BK4634">
        <v>0</v>
      </c>
      <c r="BL4634">
        <v>0</v>
      </c>
      <c r="BO4634">
        <v>0</v>
      </c>
      <c r="BP4634">
        <v>0</v>
      </c>
      <c r="BW4634" t="str">
        <f t="shared" si="2136"/>
        <v>14:49:44.608</v>
      </c>
      <c r="CJ4634">
        <v>0</v>
      </c>
      <c r="CK4634">
        <v>2</v>
      </c>
      <c r="CL4634">
        <v>0</v>
      </c>
      <c r="CM4634">
        <v>2</v>
      </c>
      <c r="CN4634">
        <v>0</v>
      </c>
      <c r="CO4634">
        <v>7</v>
      </c>
      <c r="CP4634" t="s">
        <v>119</v>
      </c>
      <c r="CQ4634">
        <v>8</v>
      </c>
      <c r="CR4634">
        <v>3</v>
      </c>
      <c r="CW4634">
        <v>9179030</v>
      </c>
      <c r="CY4634">
        <v>1</v>
      </c>
      <c r="CZ4634">
        <v>0</v>
      </c>
      <c r="DA4634">
        <v>1</v>
      </c>
      <c r="DB4634">
        <v>0</v>
      </c>
      <c r="DC4634">
        <v>0</v>
      </c>
      <c r="DD4634">
        <v>1</v>
      </c>
      <c r="DE4634">
        <v>0</v>
      </c>
      <c r="DF4634">
        <v>0</v>
      </c>
      <c r="DG4634">
        <v>0</v>
      </c>
      <c r="DH4634">
        <v>0</v>
      </c>
      <c r="DI4634">
        <v>0</v>
      </c>
    </row>
    <row r="4635" spans="1:113" x14ac:dyDescent="0.3">
      <c r="A4635" t="str">
        <f t="shared" si="2133"/>
        <v>05/12/2020 14:49:26.778</v>
      </c>
      <c r="C4635" t="str">
        <f t="shared" si="2131"/>
        <v>FFDFD3C0</v>
      </c>
      <c r="D4635" t="s">
        <v>134</v>
      </c>
      <c r="E4635">
        <v>12</v>
      </c>
      <c r="H4635">
        <v>64</v>
      </c>
      <c r="I4635" t="s">
        <v>135</v>
      </c>
      <c r="J4635" t="s">
        <v>136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 t="shared" si="2134"/>
        <v>14:49:44.602</v>
      </c>
      <c r="T4635" t="str">
        <f t="shared" si="2135"/>
        <v>14:49:44.202</v>
      </c>
      <c r="U4635" t="str">
        <f t="shared" si="2123"/>
        <v>A9808D</v>
      </c>
      <c r="V4635">
        <v>0</v>
      </c>
      <c r="W4635">
        <v>0</v>
      </c>
      <c r="X4635">
        <v>1</v>
      </c>
      <c r="Z4635">
        <v>0</v>
      </c>
      <c r="AA4635">
        <v>9</v>
      </c>
      <c r="AB4635">
        <v>3</v>
      </c>
      <c r="AC4635">
        <v>0</v>
      </c>
      <c r="AD4635">
        <v>10</v>
      </c>
      <c r="AE4635">
        <v>0</v>
      </c>
      <c r="AF4635">
        <v>3</v>
      </c>
      <c r="AG4635">
        <v>2</v>
      </c>
      <c r="AH4635">
        <v>0</v>
      </c>
      <c r="AI4635" t="s">
        <v>1035</v>
      </c>
      <c r="AJ4635">
        <v>28.243704000000001</v>
      </c>
      <c r="AK4635" t="s">
        <v>1036</v>
      </c>
      <c r="AL4635">
        <v>-82.340468999999999</v>
      </c>
      <c r="AM4635">
        <v>100</v>
      </c>
      <c r="AN4635">
        <v>2100</v>
      </c>
      <c r="AO4635" t="s">
        <v>118</v>
      </c>
      <c r="AP4635">
        <v>-141</v>
      </c>
      <c r="AQ4635">
        <v>-39</v>
      </c>
      <c r="AR4635">
        <v>-256</v>
      </c>
      <c r="AZ4635">
        <v>1200</v>
      </c>
      <c r="BA4635">
        <v>1</v>
      </c>
      <c r="BB4635" t="str">
        <f t="shared" si="2132"/>
        <v xml:space="preserve">N711JA  </v>
      </c>
      <c r="BC4635">
        <v>1</v>
      </c>
      <c r="BE4635">
        <v>0</v>
      </c>
      <c r="BF4635">
        <v>0</v>
      </c>
      <c r="BG4635">
        <v>0</v>
      </c>
      <c r="BH4635">
        <v>2175</v>
      </c>
      <c r="BI4635">
        <v>1</v>
      </c>
      <c r="BJ4635">
        <v>1</v>
      </c>
      <c r="BK4635">
        <v>0</v>
      </c>
      <c r="BL4635">
        <v>0</v>
      </c>
      <c r="BO4635">
        <v>0</v>
      </c>
      <c r="BP4635">
        <v>0</v>
      </c>
      <c r="BW4635" t="str">
        <f t="shared" si="2136"/>
        <v>14:49:44.608</v>
      </c>
      <c r="CJ4635">
        <v>0</v>
      </c>
      <c r="CK4635">
        <v>2</v>
      </c>
      <c r="CL4635">
        <v>0</v>
      </c>
      <c r="CM4635">
        <v>2</v>
      </c>
      <c r="CN4635">
        <v>0</v>
      </c>
      <c r="CO4635">
        <v>7</v>
      </c>
      <c r="CP4635" t="s">
        <v>119</v>
      </c>
      <c r="CQ4635">
        <v>8</v>
      </c>
      <c r="CR4635">
        <v>3</v>
      </c>
      <c r="CW4635">
        <v>9179030</v>
      </c>
      <c r="CY4635">
        <v>1</v>
      </c>
      <c r="CZ4635">
        <v>0</v>
      </c>
      <c r="DA4635">
        <v>1</v>
      </c>
      <c r="DB4635">
        <v>0</v>
      </c>
      <c r="DC4635">
        <v>0</v>
      </c>
      <c r="DD4635">
        <v>1</v>
      </c>
      <c r="DE4635">
        <v>0</v>
      </c>
      <c r="DF4635">
        <v>0</v>
      </c>
      <c r="DG4635">
        <v>0</v>
      </c>
      <c r="DH4635">
        <v>0</v>
      </c>
      <c r="DI4635">
        <v>0</v>
      </c>
    </row>
    <row r="4636" spans="1:113" x14ac:dyDescent="0.3">
      <c r="A4636" t="str">
        <f t="shared" si="2133"/>
        <v>05/12/2020 14:49:26.778</v>
      </c>
      <c r="C4636" t="str">
        <f t="shared" si="2131"/>
        <v>FFDFD3C0</v>
      </c>
      <c r="D4636" t="s">
        <v>126</v>
      </c>
      <c r="E4636">
        <v>7</v>
      </c>
      <c r="F4636">
        <v>1007</v>
      </c>
      <c r="G4636" t="s">
        <v>127</v>
      </c>
      <c r="J4636" t="s">
        <v>128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 t="shared" si="2134"/>
        <v>14:49:44.602</v>
      </c>
      <c r="T4636" t="str">
        <f t="shared" si="2135"/>
        <v>14:49:44.202</v>
      </c>
      <c r="U4636" t="str">
        <f t="shared" si="2123"/>
        <v>A9808D</v>
      </c>
      <c r="V4636">
        <v>0</v>
      </c>
      <c r="W4636">
        <v>0</v>
      </c>
      <c r="X4636">
        <v>1</v>
      </c>
      <c r="Z4636">
        <v>0</v>
      </c>
      <c r="AA4636">
        <v>9</v>
      </c>
      <c r="AB4636">
        <v>3</v>
      </c>
      <c r="AC4636">
        <v>0</v>
      </c>
      <c r="AD4636">
        <v>10</v>
      </c>
      <c r="AE4636">
        <v>0</v>
      </c>
      <c r="AF4636">
        <v>3</v>
      </c>
      <c r="AG4636">
        <v>2</v>
      </c>
      <c r="AH4636">
        <v>0</v>
      </c>
      <c r="AI4636" t="s">
        <v>1035</v>
      </c>
      <c r="AJ4636">
        <v>28.243704000000001</v>
      </c>
      <c r="AK4636" t="s">
        <v>1036</v>
      </c>
      <c r="AL4636">
        <v>-82.340468999999999</v>
      </c>
      <c r="AM4636">
        <v>100</v>
      </c>
      <c r="AN4636">
        <v>2100</v>
      </c>
      <c r="AO4636" t="s">
        <v>118</v>
      </c>
      <c r="AP4636">
        <v>-141</v>
      </c>
      <c r="AQ4636">
        <v>-39</v>
      </c>
      <c r="AR4636">
        <v>-256</v>
      </c>
      <c r="AZ4636">
        <v>1200</v>
      </c>
      <c r="BA4636">
        <v>1</v>
      </c>
      <c r="BB4636" t="str">
        <f t="shared" si="2132"/>
        <v xml:space="preserve">N711JA  </v>
      </c>
      <c r="BC4636">
        <v>1</v>
      </c>
      <c r="BE4636">
        <v>0</v>
      </c>
      <c r="BF4636">
        <v>0</v>
      </c>
      <c r="BG4636">
        <v>0</v>
      </c>
      <c r="BH4636">
        <v>2175</v>
      </c>
      <c r="BI4636">
        <v>1</v>
      </c>
      <c r="BJ4636">
        <v>1</v>
      </c>
      <c r="BK4636">
        <v>0</v>
      </c>
      <c r="BL4636">
        <v>0</v>
      </c>
      <c r="BO4636">
        <v>0</v>
      </c>
      <c r="BP4636">
        <v>0</v>
      </c>
      <c r="BW4636" t="str">
        <f t="shared" si="2136"/>
        <v>14:49:44.608</v>
      </c>
      <c r="CJ4636">
        <v>0</v>
      </c>
      <c r="CK4636">
        <v>2</v>
      </c>
      <c r="CL4636">
        <v>0</v>
      </c>
      <c r="CM4636">
        <v>2</v>
      </c>
      <c r="CN4636">
        <v>0</v>
      </c>
      <c r="CO4636">
        <v>7</v>
      </c>
      <c r="CP4636" t="s">
        <v>119</v>
      </c>
      <c r="CQ4636">
        <v>8</v>
      </c>
      <c r="CR4636">
        <v>3</v>
      </c>
      <c r="CW4636">
        <v>9179030</v>
      </c>
      <c r="CY4636">
        <v>1</v>
      </c>
      <c r="CZ4636">
        <v>0</v>
      </c>
      <c r="DA4636">
        <v>1</v>
      </c>
      <c r="DB4636">
        <v>0</v>
      </c>
      <c r="DC4636">
        <v>0</v>
      </c>
      <c r="DD4636">
        <v>1</v>
      </c>
      <c r="DE4636">
        <v>0</v>
      </c>
      <c r="DF4636">
        <v>0</v>
      </c>
      <c r="DG4636">
        <v>0</v>
      </c>
      <c r="DH4636">
        <v>0</v>
      </c>
      <c r="DI4636">
        <v>0</v>
      </c>
    </row>
    <row r="4637" spans="1:113" x14ac:dyDescent="0.3">
      <c r="A4637" t="str">
        <f t="shared" si="2133"/>
        <v>05/12/2020 14:49:26.778</v>
      </c>
      <c r="C4637" t="str">
        <f t="shared" si="2131"/>
        <v>FFDFD3C0</v>
      </c>
      <c r="D4637" t="s">
        <v>131</v>
      </c>
      <c r="E4637">
        <v>10</v>
      </c>
      <c r="F4637">
        <v>2010</v>
      </c>
      <c r="G4637" t="s">
        <v>132</v>
      </c>
      <c r="J4637" t="s">
        <v>133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 t="shared" si="2134"/>
        <v>14:49:44.602</v>
      </c>
      <c r="T4637" t="str">
        <f t="shared" si="2135"/>
        <v>14:49:44.202</v>
      </c>
      <c r="U4637" t="str">
        <f t="shared" si="2123"/>
        <v>A9808D</v>
      </c>
      <c r="V4637">
        <v>0</v>
      </c>
      <c r="W4637">
        <v>0</v>
      </c>
      <c r="X4637">
        <v>1</v>
      </c>
      <c r="Z4637">
        <v>0</v>
      </c>
      <c r="AA4637">
        <v>9</v>
      </c>
      <c r="AB4637">
        <v>3</v>
      </c>
      <c r="AC4637">
        <v>0</v>
      </c>
      <c r="AD4637">
        <v>10</v>
      </c>
      <c r="AE4637">
        <v>0</v>
      </c>
      <c r="AF4637">
        <v>3</v>
      </c>
      <c r="AG4637">
        <v>2</v>
      </c>
      <c r="AH4637">
        <v>0</v>
      </c>
      <c r="AI4637" t="s">
        <v>1035</v>
      </c>
      <c r="AJ4637">
        <v>28.243704000000001</v>
      </c>
      <c r="AK4637" t="s">
        <v>1036</v>
      </c>
      <c r="AL4637">
        <v>-82.340468999999999</v>
      </c>
      <c r="AM4637">
        <v>100</v>
      </c>
      <c r="AN4637">
        <v>2100</v>
      </c>
      <c r="AO4637" t="s">
        <v>118</v>
      </c>
      <c r="AP4637">
        <v>-141</v>
      </c>
      <c r="AQ4637">
        <v>-39</v>
      </c>
      <c r="AR4637">
        <v>-256</v>
      </c>
      <c r="AZ4637">
        <v>1200</v>
      </c>
      <c r="BA4637">
        <v>1</v>
      </c>
      <c r="BB4637" t="str">
        <f t="shared" si="2132"/>
        <v xml:space="preserve">N711JA  </v>
      </c>
      <c r="BC4637">
        <v>1</v>
      </c>
      <c r="BE4637">
        <v>0</v>
      </c>
      <c r="BF4637">
        <v>0</v>
      </c>
      <c r="BG4637">
        <v>0</v>
      </c>
      <c r="BH4637">
        <v>2175</v>
      </c>
      <c r="BI4637">
        <v>1</v>
      </c>
      <c r="BJ4637">
        <v>1</v>
      </c>
      <c r="BK4637">
        <v>0</v>
      </c>
      <c r="BL4637">
        <v>0</v>
      </c>
      <c r="BO4637">
        <v>0</v>
      </c>
      <c r="BP4637">
        <v>0</v>
      </c>
      <c r="BW4637" t="str">
        <f t="shared" si="2136"/>
        <v>14:49:44.608</v>
      </c>
      <c r="CJ4637">
        <v>0</v>
      </c>
      <c r="CK4637">
        <v>2</v>
      </c>
      <c r="CL4637">
        <v>0</v>
      </c>
      <c r="CM4637">
        <v>2</v>
      </c>
      <c r="CN4637">
        <v>0</v>
      </c>
      <c r="CO4637">
        <v>7</v>
      </c>
      <c r="CP4637" t="s">
        <v>119</v>
      </c>
      <c r="CQ4637">
        <v>8</v>
      </c>
      <c r="CR4637">
        <v>3</v>
      </c>
      <c r="CW4637">
        <v>9179030</v>
      </c>
      <c r="CY4637">
        <v>1</v>
      </c>
      <c r="CZ4637">
        <v>0</v>
      </c>
      <c r="DA4637">
        <v>1</v>
      </c>
      <c r="DB4637">
        <v>0</v>
      </c>
      <c r="DC4637">
        <v>0</v>
      </c>
      <c r="DD4637">
        <v>1</v>
      </c>
      <c r="DE4637">
        <v>0</v>
      </c>
      <c r="DF4637">
        <v>0</v>
      </c>
      <c r="DG4637">
        <v>0</v>
      </c>
      <c r="DH4637">
        <v>0</v>
      </c>
      <c r="DI4637">
        <v>0</v>
      </c>
    </row>
    <row r="4638" spans="1:113" x14ac:dyDescent="0.3">
      <c r="A4638" t="str">
        <f t="shared" si="2133"/>
        <v>05/12/2020 14:49:26.778</v>
      </c>
      <c r="C4638" t="str">
        <f t="shared" si="2131"/>
        <v>FFDFD3C0</v>
      </c>
      <c r="D4638" t="s">
        <v>131</v>
      </c>
      <c r="E4638">
        <v>12</v>
      </c>
      <c r="F4638">
        <v>2012</v>
      </c>
      <c r="G4638" t="s">
        <v>137</v>
      </c>
      <c r="J4638" t="s">
        <v>133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 t="shared" si="2134"/>
        <v>14:49:44.602</v>
      </c>
      <c r="T4638" t="str">
        <f t="shared" si="2135"/>
        <v>14:49:44.202</v>
      </c>
      <c r="U4638" t="str">
        <f t="shared" si="2123"/>
        <v>A9808D</v>
      </c>
      <c r="V4638">
        <v>0</v>
      </c>
      <c r="W4638">
        <v>0</v>
      </c>
      <c r="X4638">
        <v>1</v>
      </c>
      <c r="Z4638">
        <v>0</v>
      </c>
      <c r="AA4638">
        <v>9</v>
      </c>
      <c r="AB4638">
        <v>3</v>
      </c>
      <c r="AC4638">
        <v>0</v>
      </c>
      <c r="AD4638">
        <v>10</v>
      </c>
      <c r="AE4638">
        <v>0</v>
      </c>
      <c r="AF4638">
        <v>3</v>
      </c>
      <c r="AG4638">
        <v>2</v>
      </c>
      <c r="AH4638">
        <v>0</v>
      </c>
      <c r="AI4638" t="s">
        <v>1035</v>
      </c>
      <c r="AJ4638">
        <v>28.243704000000001</v>
      </c>
      <c r="AK4638" t="s">
        <v>1036</v>
      </c>
      <c r="AL4638">
        <v>-82.340468999999999</v>
      </c>
      <c r="AM4638">
        <v>100</v>
      </c>
      <c r="AN4638">
        <v>2100</v>
      </c>
      <c r="AO4638" t="s">
        <v>118</v>
      </c>
      <c r="AP4638">
        <v>-141</v>
      </c>
      <c r="AQ4638">
        <v>-39</v>
      </c>
      <c r="AR4638">
        <v>-256</v>
      </c>
      <c r="AZ4638">
        <v>1200</v>
      </c>
      <c r="BA4638">
        <v>1</v>
      </c>
      <c r="BB4638" t="str">
        <f t="shared" si="2132"/>
        <v xml:space="preserve">N711JA  </v>
      </c>
      <c r="BC4638">
        <v>1</v>
      </c>
      <c r="BE4638">
        <v>0</v>
      </c>
      <c r="BF4638">
        <v>0</v>
      </c>
      <c r="BG4638">
        <v>0</v>
      </c>
      <c r="BH4638">
        <v>2175</v>
      </c>
      <c r="BI4638">
        <v>1</v>
      </c>
      <c r="BJ4638">
        <v>1</v>
      </c>
      <c r="BK4638">
        <v>0</v>
      </c>
      <c r="BL4638">
        <v>0</v>
      </c>
      <c r="BO4638">
        <v>0</v>
      </c>
      <c r="BP4638">
        <v>0</v>
      </c>
      <c r="BW4638" t="str">
        <f t="shared" si="2136"/>
        <v>14:49:44.608</v>
      </c>
      <c r="CJ4638">
        <v>0</v>
      </c>
      <c r="CK4638">
        <v>2</v>
      </c>
      <c r="CL4638">
        <v>0</v>
      </c>
      <c r="CM4638">
        <v>2</v>
      </c>
      <c r="CN4638">
        <v>0</v>
      </c>
      <c r="CO4638">
        <v>7</v>
      </c>
      <c r="CP4638" t="s">
        <v>119</v>
      </c>
      <c r="CQ4638">
        <v>8</v>
      </c>
      <c r="CR4638">
        <v>3</v>
      </c>
      <c r="CW4638">
        <v>9179030</v>
      </c>
      <c r="CY4638">
        <v>1</v>
      </c>
      <c r="CZ4638">
        <v>0</v>
      </c>
      <c r="DA4638">
        <v>1</v>
      </c>
      <c r="DB4638">
        <v>0</v>
      </c>
      <c r="DC4638">
        <v>0</v>
      </c>
      <c r="DD4638">
        <v>1</v>
      </c>
      <c r="DE4638">
        <v>0</v>
      </c>
      <c r="DF4638">
        <v>0</v>
      </c>
      <c r="DG4638">
        <v>0</v>
      </c>
      <c r="DH4638">
        <v>0</v>
      </c>
      <c r="DI4638">
        <v>0</v>
      </c>
    </row>
    <row r="4639" spans="1:113" x14ac:dyDescent="0.3">
      <c r="A4639" t="str">
        <f t="shared" si="2133"/>
        <v>05/12/2020 14:49:26.778</v>
      </c>
      <c r="C4639" t="str">
        <f t="shared" si="2131"/>
        <v>FFDFD3C0</v>
      </c>
      <c r="D4639" t="s">
        <v>131</v>
      </c>
      <c r="E4639">
        <v>18</v>
      </c>
      <c r="F4639">
        <v>2018</v>
      </c>
      <c r="G4639" t="s">
        <v>161</v>
      </c>
      <c r="J4639" t="s">
        <v>133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 t="shared" si="2134"/>
        <v>14:49:44.602</v>
      </c>
      <c r="T4639" t="str">
        <f t="shared" si="2135"/>
        <v>14:49:44.202</v>
      </c>
      <c r="U4639" t="str">
        <f t="shared" si="2123"/>
        <v>A9808D</v>
      </c>
      <c r="V4639">
        <v>0</v>
      </c>
      <c r="W4639">
        <v>0</v>
      </c>
      <c r="X4639">
        <v>1</v>
      </c>
      <c r="Z4639">
        <v>0</v>
      </c>
      <c r="AA4639">
        <v>9</v>
      </c>
      <c r="AB4639">
        <v>3</v>
      </c>
      <c r="AC4639">
        <v>0</v>
      </c>
      <c r="AD4639">
        <v>10</v>
      </c>
      <c r="AE4639">
        <v>0</v>
      </c>
      <c r="AF4639">
        <v>3</v>
      </c>
      <c r="AG4639">
        <v>2</v>
      </c>
      <c r="AH4639">
        <v>0</v>
      </c>
      <c r="AI4639" t="s">
        <v>1035</v>
      </c>
      <c r="AJ4639">
        <v>28.243704000000001</v>
      </c>
      <c r="AK4639" t="s">
        <v>1036</v>
      </c>
      <c r="AL4639">
        <v>-82.340468999999999</v>
      </c>
      <c r="AM4639">
        <v>100</v>
      </c>
      <c r="AN4639">
        <v>2100</v>
      </c>
      <c r="AO4639" t="s">
        <v>118</v>
      </c>
      <c r="AP4639">
        <v>-141</v>
      </c>
      <c r="AQ4639">
        <v>-39</v>
      </c>
      <c r="AR4639">
        <v>-256</v>
      </c>
      <c r="AZ4639">
        <v>1200</v>
      </c>
      <c r="BA4639">
        <v>1</v>
      </c>
      <c r="BB4639" t="str">
        <f t="shared" si="2132"/>
        <v xml:space="preserve">N711JA  </v>
      </c>
      <c r="BC4639">
        <v>1</v>
      </c>
      <c r="BE4639">
        <v>0</v>
      </c>
      <c r="BF4639">
        <v>0</v>
      </c>
      <c r="BG4639">
        <v>0</v>
      </c>
      <c r="BH4639">
        <v>2175</v>
      </c>
      <c r="BI4639">
        <v>1</v>
      </c>
      <c r="BJ4639">
        <v>1</v>
      </c>
      <c r="BK4639">
        <v>0</v>
      </c>
      <c r="BL4639">
        <v>0</v>
      </c>
      <c r="BO4639">
        <v>0</v>
      </c>
      <c r="BP4639">
        <v>0</v>
      </c>
      <c r="BW4639" t="str">
        <f t="shared" si="2136"/>
        <v>14:49:44.608</v>
      </c>
      <c r="CJ4639">
        <v>0</v>
      </c>
      <c r="CK4639">
        <v>2</v>
      </c>
      <c r="CL4639">
        <v>0</v>
      </c>
      <c r="CM4639">
        <v>2</v>
      </c>
      <c r="CN4639">
        <v>0</v>
      </c>
      <c r="CO4639">
        <v>6</v>
      </c>
      <c r="CP4639" t="s">
        <v>119</v>
      </c>
      <c r="CQ4639">
        <v>56</v>
      </c>
      <c r="CR4639">
        <v>2</v>
      </c>
      <c r="CW4639">
        <v>5183711</v>
      </c>
      <c r="CY4639">
        <v>1</v>
      </c>
      <c r="CZ4639">
        <v>0</v>
      </c>
      <c r="DA4639">
        <v>1</v>
      </c>
      <c r="DB4639">
        <v>0</v>
      </c>
      <c r="DC4639">
        <v>0</v>
      </c>
      <c r="DD4639">
        <v>1</v>
      </c>
      <c r="DE4639">
        <v>0</v>
      </c>
      <c r="DF4639">
        <v>0</v>
      </c>
      <c r="DG4639">
        <v>0</v>
      </c>
      <c r="DH4639">
        <v>0</v>
      </c>
      <c r="DI4639">
        <v>0</v>
      </c>
    </row>
    <row r="4640" spans="1:113" x14ac:dyDescent="0.3">
      <c r="A4640" t="str">
        <f t="shared" si="2133"/>
        <v>05/12/2020 14:49:26.778</v>
      </c>
      <c r="C4640" t="str">
        <f t="shared" si="2131"/>
        <v>FFDFD3C0</v>
      </c>
      <c r="D4640" t="s">
        <v>126</v>
      </c>
      <c r="E4640">
        <v>6</v>
      </c>
      <c r="F4640">
        <v>1006</v>
      </c>
      <c r="G4640" t="s">
        <v>114</v>
      </c>
      <c r="J4640" t="s">
        <v>128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 t="shared" si="2134"/>
        <v>14:49:44.602</v>
      </c>
      <c r="T4640" t="str">
        <f t="shared" si="2135"/>
        <v>14:49:44.202</v>
      </c>
      <c r="U4640" t="str">
        <f t="shared" si="2123"/>
        <v>A9808D</v>
      </c>
      <c r="V4640">
        <v>0</v>
      </c>
      <c r="W4640">
        <v>0</v>
      </c>
      <c r="X4640">
        <v>1</v>
      </c>
      <c r="Z4640">
        <v>0</v>
      </c>
      <c r="AA4640">
        <v>9</v>
      </c>
      <c r="AB4640">
        <v>3</v>
      </c>
      <c r="AC4640">
        <v>0</v>
      </c>
      <c r="AD4640">
        <v>10</v>
      </c>
      <c r="AE4640">
        <v>0</v>
      </c>
      <c r="AF4640">
        <v>3</v>
      </c>
      <c r="AG4640">
        <v>2</v>
      </c>
      <c r="AH4640">
        <v>0</v>
      </c>
      <c r="AI4640" t="s">
        <v>1035</v>
      </c>
      <c r="AJ4640">
        <v>28.243704000000001</v>
      </c>
      <c r="AK4640" t="s">
        <v>1036</v>
      </c>
      <c r="AL4640">
        <v>-82.340468999999999</v>
      </c>
      <c r="AM4640">
        <v>100</v>
      </c>
      <c r="AN4640">
        <v>2100</v>
      </c>
      <c r="AO4640" t="s">
        <v>118</v>
      </c>
      <c r="AP4640">
        <v>-141</v>
      </c>
      <c r="AQ4640">
        <v>-39</v>
      </c>
      <c r="AR4640">
        <v>-256</v>
      </c>
      <c r="AZ4640">
        <v>1200</v>
      </c>
      <c r="BA4640">
        <v>1</v>
      </c>
      <c r="BB4640" t="str">
        <f t="shared" si="2132"/>
        <v xml:space="preserve">N711JA  </v>
      </c>
      <c r="BC4640">
        <v>1</v>
      </c>
      <c r="BE4640">
        <v>0</v>
      </c>
      <c r="BF4640">
        <v>0</v>
      </c>
      <c r="BG4640">
        <v>0</v>
      </c>
      <c r="BH4640">
        <v>2175</v>
      </c>
      <c r="BI4640">
        <v>1</v>
      </c>
      <c r="BJ4640">
        <v>1</v>
      </c>
      <c r="BK4640">
        <v>0</v>
      </c>
      <c r="BL4640">
        <v>0</v>
      </c>
      <c r="BO4640">
        <v>0</v>
      </c>
      <c r="BP4640">
        <v>0</v>
      </c>
      <c r="BW4640" t="str">
        <f t="shared" si="2136"/>
        <v>14:49:44.608</v>
      </c>
      <c r="CJ4640">
        <v>0</v>
      </c>
      <c r="CK4640">
        <v>2</v>
      </c>
      <c r="CL4640">
        <v>0</v>
      </c>
      <c r="CM4640">
        <v>2</v>
      </c>
      <c r="CN4640">
        <v>0</v>
      </c>
      <c r="CO4640">
        <v>7</v>
      </c>
      <c r="CP4640" t="s">
        <v>119</v>
      </c>
      <c r="CQ4640">
        <v>8</v>
      </c>
      <c r="CR4640">
        <v>3</v>
      </c>
      <c r="CW4640">
        <v>9179030</v>
      </c>
      <c r="CY4640">
        <v>1</v>
      </c>
      <c r="CZ4640">
        <v>0</v>
      </c>
      <c r="DA4640">
        <v>1</v>
      </c>
      <c r="DB4640">
        <v>0</v>
      </c>
      <c r="DC4640">
        <v>0</v>
      </c>
      <c r="DD4640">
        <v>1</v>
      </c>
      <c r="DE4640">
        <v>0</v>
      </c>
      <c r="DF4640">
        <v>0</v>
      </c>
      <c r="DG4640">
        <v>0</v>
      </c>
      <c r="DH4640">
        <v>0</v>
      </c>
      <c r="DI4640">
        <v>0</v>
      </c>
    </row>
    <row r="4641" spans="1:113" x14ac:dyDescent="0.3">
      <c r="A4641" t="str">
        <f t="shared" ref="A4641:A4649" si="2137">"05/12/2020 14:49:28.370"</f>
        <v>05/12/2020 14:49:28.370</v>
      </c>
      <c r="C4641" t="str">
        <f t="shared" si="2131"/>
        <v>FFDFD3C0</v>
      </c>
      <c r="D4641" t="s">
        <v>126</v>
      </c>
      <c r="E4641">
        <v>6</v>
      </c>
      <c r="F4641">
        <v>1006</v>
      </c>
      <c r="G4641" t="s">
        <v>114</v>
      </c>
      <c r="J4641" t="s">
        <v>128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 t="shared" ref="S4641:T4649" si="2138">"14:49:46.211"</f>
        <v>14:49:46.211</v>
      </c>
      <c r="T4641" t="str">
        <f t="shared" si="2138"/>
        <v>14:49:46.211</v>
      </c>
      <c r="U4641" t="str">
        <f t="shared" si="2123"/>
        <v>A9808D</v>
      </c>
      <c r="V4641">
        <v>0</v>
      </c>
      <c r="W4641">
        <v>0</v>
      </c>
      <c r="X4641">
        <v>1</v>
      </c>
      <c r="Z4641">
        <v>0</v>
      </c>
      <c r="AA4641">
        <v>9</v>
      </c>
      <c r="AB4641">
        <v>3</v>
      </c>
      <c r="AC4641">
        <v>0</v>
      </c>
      <c r="AD4641">
        <v>10</v>
      </c>
      <c r="AE4641">
        <v>0</v>
      </c>
      <c r="AF4641">
        <v>3</v>
      </c>
      <c r="AG4641">
        <v>2</v>
      </c>
      <c r="AH4641">
        <v>0</v>
      </c>
      <c r="AI4641" t="s">
        <v>1037</v>
      </c>
      <c r="AJ4641">
        <v>28.243424999999998</v>
      </c>
      <c r="AK4641" t="s">
        <v>1038</v>
      </c>
      <c r="AL4641">
        <v>-82.341628</v>
      </c>
      <c r="AM4641">
        <v>100</v>
      </c>
      <c r="AN4641">
        <v>2100</v>
      </c>
      <c r="AO4641" t="s">
        <v>118</v>
      </c>
      <c r="AP4641">
        <v>-140</v>
      </c>
      <c r="AQ4641">
        <v>-39</v>
      </c>
      <c r="AR4641">
        <v>-192</v>
      </c>
      <c r="AZ4641">
        <v>1200</v>
      </c>
      <c r="BA4641">
        <v>1</v>
      </c>
      <c r="BB4641" t="str">
        <f t="shared" si="2132"/>
        <v xml:space="preserve">N711JA  </v>
      </c>
      <c r="BC4641">
        <v>1</v>
      </c>
      <c r="BE4641">
        <v>0</v>
      </c>
      <c r="BF4641">
        <v>0</v>
      </c>
      <c r="BG4641">
        <v>0</v>
      </c>
      <c r="BH4641">
        <v>2175</v>
      </c>
      <c r="BI4641">
        <v>1</v>
      </c>
      <c r="BJ4641">
        <v>1</v>
      </c>
      <c r="BK4641">
        <v>0</v>
      </c>
      <c r="BL4641">
        <v>0</v>
      </c>
      <c r="BO4641">
        <v>0</v>
      </c>
      <c r="BP4641">
        <v>0</v>
      </c>
      <c r="BW4641" t="str">
        <f t="shared" ref="BW4641:BW4649" si="2139">"14:49:46.211"</f>
        <v>14:49:46.211</v>
      </c>
      <c r="CJ4641">
        <v>0</v>
      </c>
      <c r="CK4641">
        <v>2</v>
      </c>
      <c r="CL4641">
        <v>0</v>
      </c>
      <c r="CM4641">
        <v>2</v>
      </c>
      <c r="CN4641">
        <v>0</v>
      </c>
      <c r="CO4641">
        <v>7</v>
      </c>
      <c r="CP4641" t="s">
        <v>119</v>
      </c>
      <c r="CQ4641">
        <v>358</v>
      </c>
      <c r="CR4641">
        <v>0</v>
      </c>
      <c r="CW4641">
        <v>5156163</v>
      </c>
      <c r="CY4641">
        <v>1</v>
      </c>
      <c r="CZ4641">
        <v>0</v>
      </c>
      <c r="DA4641">
        <v>0</v>
      </c>
      <c r="DB4641">
        <v>0</v>
      </c>
      <c r="DC4641">
        <v>0</v>
      </c>
      <c r="DD4641">
        <v>1</v>
      </c>
      <c r="DE4641">
        <v>0</v>
      </c>
      <c r="DF4641">
        <v>0</v>
      </c>
      <c r="DG4641">
        <v>0</v>
      </c>
      <c r="DH4641">
        <v>0</v>
      </c>
      <c r="DI4641">
        <v>0</v>
      </c>
    </row>
    <row r="4642" spans="1:113" x14ac:dyDescent="0.3">
      <c r="A4642" t="str">
        <f t="shared" si="2137"/>
        <v>05/12/2020 14:49:28.370</v>
      </c>
      <c r="C4642" t="str">
        <f t="shared" si="2131"/>
        <v>FFDFD3C0</v>
      </c>
      <c r="D4642" t="s">
        <v>113</v>
      </c>
      <c r="E4642">
        <v>3</v>
      </c>
      <c r="H4642">
        <v>164</v>
      </c>
      <c r="I4642" t="s">
        <v>114</v>
      </c>
      <c r="J4642" t="s">
        <v>115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 t="shared" si="2138"/>
        <v>14:49:46.211</v>
      </c>
      <c r="T4642" t="str">
        <f t="shared" si="2138"/>
        <v>14:49:46.211</v>
      </c>
      <c r="U4642" t="str">
        <f t="shared" si="2123"/>
        <v>A9808D</v>
      </c>
      <c r="V4642">
        <v>0</v>
      </c>
      <c r="W4642">
        <v>0</v>
      </c>
      <c r="X4642">
        <v>1</v>
      </c>
      <c r="Z4642">
        <v>0</v>
      </c>
      <c r="AA4642">
        <v>9</v>
      </c>
      <c r="AB4642">
        <v>3</v>
      </c>
      <c r="AC4642">
        <v>0</v>
      </c>
      <c r="AD4642">
        <v>10</v>
      </c>
      <c r="AE4642">
        <v>0</v>
      </c>
      <c r="AF4642">
        <v>3</v>
      </c>
      <c r="AG4642">
        <v>2</v>
      </c>
      <c r="AH4642">
        <v>0</v>
      </c>
      <c r="AI4642" t="s">
        <v>1037</v>
      </c>
      <c r="AJ4642">
        <v>28.243424999999998</v>
      </c>
      <c r="AK4642" t="s">
        <v>1038</v>
      </c>
      <c r="AL4642">
        <v>-82.341628</v>
      </c>
      <c r="AM4642">
        <v>100</v>
      </c>
      <c r="AN4642">
        <v>2100</v>
      </c>
      <c r="AO4642" t="s">
        <v>118</v>
      </c>
      <c r="AP4642">
        <v>-140</v>
      </c>
      <c r="AQ4642">
        <v>-39</v>
      </c>
      <c r="AR4642">
        <v>-192</v>
      </c>
      <c r="AZ4642">
        <v>1200</v>
      </c>
      <c r="BA4642">
        <v>1</v>
      </c>
      <c r="BB4642" t="str">
        <f t="shared" si="2132"/>
        <v xml:space="preserve">N711JA  </v>
      </c>
      <c r="BC4642">
        <v>1</v>
      </c>
      <c r="BE4642">
        <v>0</v>
      </c>
      <c r="BF4642">
        <v>0</v>
      </c>
      <c r="BG4642">
        <v>0</v>
      </c>
      <c r="BH4642">
        <v>2175</v>
      </c>
      <c r="BI4642">
        <v>1</v>
      </c>
      <c r="BJ4642">
        <v>1</v>
      </c>
      <c r="BK4642">
        <v>0</v>
      </c>
      <c r="BL4642">
        <v>0</v>
      </c>
      <c r="BO4642">
        <v>0</v>
      </c>
      <c r="BP4642">
        <v>0</v>
      </c>
      <c r="BW4642" t="str">
        <f t="shared" si="2139"/>
        <v>14:49:46.211</v>
      </c>
      <c r="CJ4642">
        <v>0</v>
      </c>
      <c r="CK4642">
        <v>2</v>
      </c>
      <c r="CL4642">
        <v>0</v>
      </c>
      <c r="CM4642">
        <v>2</v>
      </c>
      <c r="CN4642">
        <v>0</v>
      </c>
      <c r="CO4642">
        <v>7</v>
      </c>
      <c r="CP4642" t="s">
        <v>119</v>
      </c>
      <c r="CQ4642">
        <v>8</v>
      </c>
      <c r="CR4642">
        <v>3</v>
      </c>
      <c r="CW4642">
        <v>9180644</v>
      </c>
      <c r="CY4642">
        <v>1</v>
      </c>
      <c r="CZ4642">
        <v>0</v>
      </c>
      <c r="DA4642">
        <v>1</v>
      </c>
      <c r="DB4642">
        <v>0</v>
      </c>
      <c r="DC4642">
        <v>0</v>
      </c>
      <c r="DD4642">
        <v>1</v>
      </c>
      <c r="DE4642">
        <v>0</v>
      </c>
      <c r="DF4642">
        <v>0</v>
      </c>
      <c r="DG4642">
        <v>0</v>
      </c>
      <c r="DH4642">
        <v>0</v>
      </c>
      <c r="DI4642">
        <v>0</v>
      </c>
    </row>
    <row r="4643" spans="1:113" x14ac:dyDescent="0.3">
      <c r="A4643" t="str">
        <f t="shared" si="2137"/>
        <v>05/12/2020 14:49:28.370</v>
      </c>
      <c r="C4643" t="str">
        <f t="shared" si="2131"/>
        <v>FFDFD3C0</v>
      </c>
      <c r="D4643" t="s">
        <v>138</v>
      </c>
      <c r="E4643">
        <v>2</v>
      </c>
      <c r="H4643">
        <v>8</v>
      </c>
      <c r="I4643" t="s">
        <v>139</v>
      </c>
      <c r="J4643" t="s">
        <v>136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 t="shared" si="2138"/>
        <v>14:49:46.211</v>
      </c>
      <c r="T4643" t="str">
        <f t="shared" si="2138"/>
        <v>14:49:46.211</v>
      </c>
      <c r="U4643" t="str">
        <f t="shared" si="2123"/>
        <v>A9808D</v>
      </c>
      <c r="V4643">
        <v>0</v>
      </c>
      <c r="W4643">
        <v>0</v>
      </c>
      <c r="X4643">
        <v>1</v>
      </c>
      <c r="Z4643">
        <v>0</v>
      </c>
      <c r="AA4643">
        <v>9</v>
      </c>
      <c r="AB4643">
        <v>3</v>
      </c>
      <c r="AC4643">
        <v>0</v>
      </c>
      <c r="AD4643">
        <v>10</v>
      </c>
      <c r="AE4643">
        <v>0</v>
      </c>
      <c r="AF4643">
        <v>3</v>
      </c>
      <c r="AG4643">
        <v>2</v>
      </c>
      <c r="AH4643">
        <v>0</v>
      </c>
      <c r="AI4643" t="s">
        <v>1037</v>
      </c>
      <c r="AJ4643">
        <v>28.243424999999998</v>
      </c>
      <c r="AK4643" t="s">
        <v>1038</v>
      </c>
      <c r="AL4643">
        <v>-82.341628</v>
      </c>
      <c r="AM4643">
        <v>100</v>
      </c>
      <c r="AN4643">
        <v>2100</v>
      </c>
      <c r="AO4643" t="s">
        <v>118</v>
      </c>
      <c r="AP4643">
        <v>-140</v>
      </c>
      <c r="AQ4643">
        <v>-39</v>
      </c>
      <c r="AR4643">
        <v>-192</v>
      </c>
      <c r="AZ4643">
        <v>1200</v>
      </c>
      <c r="BA4643">
        <v>1</v>
      </c>
      <c r="BB4643" t="str">
        <f t="shared" si="2132"/>
        <v xml:space="preserve">N711JA  </v>
      </c>
      <c r="BC4643">
        <v>1</v>
      </c>
      <c r="BE4643">
        <v>0</v>
      </c>
      <c r="BF4643">
        <v>0</v>
      </c>
      <c r="BG4643">
        <v>0</v>
      </c>
      <c r="BH4643">
        <v>2175</v>
      </c>
      <c r="BI4643">
        <v>1</v>
      </c>
      <c r="BJ4643">
        <v>1</v>
      </c>
      <c r="BK4643">
        <v>0</v>
      </c>
      <c r="BL4643">
        <v>0</v>
      </c>
      <c r="BO4643">
        <v>0</v>
      </c>
      <c r="BP4643">
        <v>0</v>
      </c>
      <c r="BW4643" t="str">
        <f t="shared" si="2139"/>
        <v>14:49:46.211</v>
      </c>
      <c r="CJ4643">
        <v>0</v>
      </c>
      <c r="CK4643">
        <v>2</v>
      </c>
      <c r="CL4643">
        <v>0</v>
      </c>
      <c r="CM4643">
        <v>2</v>
      </c>
      <c r="CN4643">
        <v>0</v>
      </c>
      <c r="CO4643">
        <v>7</v>
      </c>
      <c r="CP4643" t="s">
        <v>119</v>
      </c>
      <c r="CQ4643">
        <v>8</v>
      </c>
      <c r="CR4643">
        <v>3</v>
      </c>
      <c r="CW4643">
        <v>9180644</v>
      </c>
      <c r="CY4643">
        <v>1</v>
      </c>
      <c r="CZ4643">
        <v>0</v>
      </c>
      <c r="DA4643">
        <v>1</v>
      </c>
      <c r="DB4643">
        <v>0</v>
      </c>
      <c r="DC4643">
        <v>0</v>
      </c>
      <c r="DD4643">
        <v>1</v>
      </c>
      <c r="DE4643">
        <v>0</v>
      </c>
      <c r="DF4643">
        <v>0</v>
      </c>
      <c r="DG4643">
        <v>0</v>
      </c>
      <c r="DH4643">
        <v>0</v>
      </c>
      <c r="DI4643">
        <v>0</v>
      </c>
    </row>
    <row r="4644" spans="1:113" x14ac:dyDescent="0.3">
      <c r="A4644" t="str">
        <f t="shared" si="2137"/>
        <v>05/12/2020 14:49:28.370</v>
      </c>
      <c r="C4644" t="str">
        <f t="shared" si="2131"/>
        <v>FFDFD3C0</v>
      </c>
      <c r="D4644" t="s">
        <v>138</v>
      </c>
      <c r="E4644">
        <v>3</v>
      </c>
      <c r="H4644">
        <v>9</v>
      </c>
      <c r="I4644" t="s">
        <v>140</v>
      </c>
      <c r="J4644" t="s">
        <v>136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 t="shared" si="2138"/>
        <v>14:49:46.211</v>
      </c>
      <c r="T4644" t="str">
        <f t="shared" si="2138"/>
        <v>14:49:46.211</v>
      </c>
      <c r="U4644" t="str">
        <f t="shared" si="2123"/>
        <v>A9808D</v>
      </c>
      <c r="V4644">
        <v>0</v>
      </c>
      <c r="W4644">
        <v>0</v>
      </c>
      <c r="X4644">
        <v>1</v>
      </c>
      <c r="Z4644">
        <v>0</v>
      </c>
      <c r="AA4644">
        <v>9</v>
      </c>
      <c r="AB4644">
        <v>3</v>
      </c>
      <c r="AC4644">
        <v>0</v>
      </c>
      <c r="AD4644">
        <v>10</v>
      </c>
      <c r="AE4644">
        <v>0</v>
      </c>
      <c r="AF4644">
        <v>3</v>
      </c>
      <c r="AG4644">
        <v>2</v>
      </c>
      <c r="AH4644">
        <v>0</v>
      </c>
      <c r="AI4644" t="s">
        <v>1037</v>
      </c>
      <c r="AJ4644">
        <v>28.243424999999998</v>
      </c>
      <c r="AK4644" t="s">
        <v>1038</v>
      </c>
      <c r="AL4644">
        <v>-82.341628</v>
      </c>
      <c r="AM4644">
        <v>100</v>
      </c>
      <c r="AN4644">
        <v>2100</v>
      </c>
      <c r="AO4644" t="s">
        <v>118</v>
      </c>
      <c r="AP4644">
        <v>-140</v>
      </c>
      <c r="AQ4644">
        <v>-39</v>
      </c>
      <c r="AR4644">
        <v>-192</v>
      </c>
      <c r="AZ4644">
        <v>1200</v>
      </c>
      <c r="BA4644">
        <v>1</v>
      </c>
      <c r="BB4644" t="str">
        <f t="shared" si="2132"/>
        <v xml:space="preserve">N711JA  </v>
      </c>
      <c r="BC4644">
        <v>1</v>
      </c>
      <c r="BE4644">
        <v>0</v>
      </c>
      <c r="BF4644">
        <v>0</v>
      </c>
      <c r="BG4644">
        <v>0</v>
      </c>
      <c r="BH4644">
        <v>2175</v>
      </c>
      <c r="BI4644">
        <v>1</v>
      </c>
      <c r="BJ4644">
        <v>1</v>
      </c>
      <c r="BK4644">
        <v>0</v>
      </c>
      <c r="BL4644">
        <v>0</v>
      </c>
      <c r="BO4644">
        <v>0</v>
      </c>
      <c r="BP4644">
        <v>0</v>
      </c>
      <c r="BW4644" t="str">
        <f t="shared" si="2139"/>
        <v>14:49:46.211</v>
      </c>
      <c r="CJ4644">
        <v>0</v>
      </c>
      <c r="CK4644">
        <v>2</v>
      </c>
      <c r="CL4644">
        <v>0</v>
      </c>
      <c r="CM4644">
        <v>2</v>
      </c>
      <c r="CN4644">
        <v>0</v>
      </c>
      <c r="CO4644">
        <v>7</v>
      </c>
      <c r="CP4644" t="s">
        <v>119</v>
      </c>
      <c r="CQ4644">
        <v>358</v>
      </c>
      <c r="CR4644">
        <v>0</v>
      </c>
      <c r="CW4644">
        <v>5156163</v>
      </c>
      <c r="CY4644">
        <v>1</v>
      </c>
      <c r="CZ4644">
        <v>0</v>
      </c>
      <c r="DA4644">
        <v>1</v>
      </c>
      <c r="DB4644">
        <v>0</v>
      </c>
      <c r="DC4644">
        <v>0</v>
      </c>
      <c r="DD4644">
        <v>1</v>
      </c>
      <c r="DE4644">
        <v>0</v>
      </c>
      <c r="DF4644">
        <v>0</v>
      </c>
      <c r="DG4644">
        <v>0</v>
      </c>
      <c r="DH4644">
        <v>0</v>
      </c>
      <c r="DI4644">
        <v>0</v>
      </c>
    </row>
    <row r="4645" spans="1:113" x14ac:dyDescent="0.3">
      <c r="A4645" t="str">
        <f t="shared" si="2137"/>
        <v>05/12/2020 14:49:28.370</v>
      </c>
      <c r="C4645" t="str">
        <f t="shared" si="2131"/>
        <v>FFDFD3C0</v>
      </c>
      <c r="D4645" t="s">
        <v>134</v>
      </c>
      <c r="E4645">
        <v>12</v>
      </c>
      <c r="H4645">
        <v>64</v>
      </c>
      <c r="I4645" t="s">
        <v>135</v>
      </c>
      <c r="J4645" t="s">
        <v>136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 t="shared" si="2138"/>
        <v>14:49:46.211</v>
      </c>
      <c r="T4645" t="str">
        <f t="shared" si="2138"/>
        <v>14:49:46.211</v>
      </c>
      <c r="U4645" t="str">
        <f t="shared" si="2123"/>
        <v>A9808D</v>
      </c>
      <c r="V4645">
        <v>0</v>
      </c>
      <c r="W4645">
        <v>0</v>
      </c>
      <c r="X4645">
        <v>1</v>
      </c>
      <c r="Z4645">
        <v>0</v>
      </c>
      <c r="AA4645">
        <v>9</v>
      </c>
      <c r="AB4645">
        <v>3</v>
      </c>
      <c r="AC4645">
        <v>0</v>
      </c>
      <c r="AD4645">
        <v>10</v>
      </c>
      <c r="AE4645">
        <v>0</v>
      </c>
      <c r="AF4645">
        <v>3</v>
      </c>
      <c r="AG4645">
        <v>2</v>
      </c>
      <c r="AH4645">
        <v>0</v>
      </c>
      <c r="AI4645" t="s">
        <v>1037</v>
      </c>
      <c r="AJ4645">
        <v>28.243424999999998</v>
      </c>
      <c r="AK4645" t="s">
        <v>1038</v>
      </c>
      <c r="AL4645">
        <v>-82.341628</v>
      </c>
      <c r="AM4645">
        <v>100</v>
      </c>
      <c r="AN4645">
        <v>2100</v>
      </c>
      <c r="AO4645" t="s">
        <v>118</v>
      </c>
      <c r="AP4645">
        <v>-140</v>
      </c>
      <c r="AQ4645">
        <v>-39</v>
      </c>
      <c r="AR4645">
        <v>-192</v>
      </c>
      <c r="AZ4645">
        <v>1200</v>
      </c>
      <c r="BA4645">
        <v>1</v>
      </c>
      <c r="BB4645" t="str">
        <f t="shared" si="2132"/>
        <v xml:space="preserve">N711JA  </v>
      </c>
      <c r="BC4645">
        <v>1</v>
      </c>
      <c r="BE4645">
        <v>0</v>
      </c>
      <c r="BF4645">
        <v>0</v>
      </c>
      <c r="BG4645">
        <v>0</v>
      </c>
      <c r="BH4645">
        <v>2175</v>
      </c>
      <c r="BI4645">
        <v>1</v>
      </c>
      <c r="BJ4645">
        <v>1</v>
      </c>
      <c r="BK4645">
        <v>0</v>
      </c>
      <c r="BL4645">
        <v>0</v>
      </c>
      <c r="BO4645">
        <v>0</v>
      </c>
      <c r="BP4645">
        <v>0</v>
      </c>
      <c r="BW4645" t="str">
        <f t="shared" si="2139"/>
        <v>14:49:46.211</v>
      </c>
      <c r="CJ4645">
        <v>0</v>
      </c>
      <c r="CK4645">
        <v>2</v>
      </c>
      <c r="CL4645">
        <v>0</v>
      </c>
      <c r="CM4645">
        <v>2</v>
      </c>
      <c r="CN4645">
        <v>0</v>
      </c>
      <c r="CO4645">
        <v>7</v>
      </c>
      <c r="CP4645" t="s">
        <v>119</v>
      </c>
      <c r="CQ4645">
        <v>358</v>
      </c>
      <c r="CR4645">
        <v>0</v>
      </c>
      <c r="CW4645">
        <v>5156163</v>
      </c>
      <c r="CY4645">
        <v>1</v>
      </c>
      <c r="CZ4645">
        <v>0</v>
      </c>
      <c r="DA4645">
        <v>1</v>
      </c>
      <c r="DB4645">
        <v>0</v>
      </c>
      <c r="DC4645">
        <v>0</v>
      </c>
      <c r="DD4645">
        <v>1</v>
      </c>
      <c r="DE4645">
        <v>0</v>
      </c>
      <c r="DF4645">
        <v>0</v>
      </c>
      <c r="DG4645">
        <v>0</v>
      </c>
      <c r="DH4645">
        <v>0</v>
      </c>
      <c r="DI4645">
        <v>0</v>
      </c>
    </row>
    <row r="4646" spans="1:113" x14ac:dyDescent="0.3">
      <c r="A4646" t="str">
        <f t="shared" si="2137"/>
        <v>05/12/2020 14:49:28.370</v>
      </c>
      <c r="C4646" t="str">
        <f t="shared" si="2131"/>
        <v>FFDFD3C0</v>
      </c>
      <c r="D4646" t="s">
        <v>126</v>
      </c>
      <c r="E4646">
        <v>7</v>
      </c>
      <c r="F4646">
        <v>1007</v>
      </c>
      <c r="G4646" t="s">
        <v>127</v>
      </c>
      <c r="J4646" t="s">
        <v>128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 t="shared" si="2138"/>
        <v>14:49:46.211</v>
      </c>
      <c r="T4646" t="str">
        <f t="shared" si="2138"/>
        <v>14:49:46.211</v>
      </c>
      <c r="U4646" t="str">
        <f t="shared" si="2123"/>
        <v>A9808D</v>
      </c>
      <c r="V4646">
        <v>0</v>
      </c>
      <c r="W4646">
        <v>0</v>
      </c>
      <c r="X4646">
        <v>1</v>
      </c>
      <c r="Z4646">
        <v>0</v>
      </c>
      <c r="AA4646">
        <v>9</v>
      </c>
      <c r="AB4646">
        <v>3</v>
      </c>
      <c r="AC4646">
        <v>0</v>
      </c>
      <c r="AD4646">
        <v>10</v>
      </c>
      <c r="AE4646">
        <v>0</v>
      </c>
      <c r="AF4646">
        <v>3</v>
      </c>
      <c r="AG4646">
        <v>2</v>
      </c>
      <c r="AH4646">
        <v>0</v>
      </c>
      <c r="AI4646" t="s">
        <v>1037</v>
      </c>
      <c r="AJ4646">
        <v>28.243424999999998</v>
      </c>
      <c r="AK4646" t="s">
        <v>1038</v>
      </c>
      <c r="AL4646">
        <v>-82.341628</v>
      </c>
      <c r="AM4646">
        <v>100</v>
      </c>
      <c r="AN4646">
        <v>2100</v>
      </c>
      <c r="AO4646" t="s">
        <v>118</v>
      </c>
      <c r="AP4646">
        <v>-140</v>
      </c>
      <c r="AQ4646">
        <v>-39</v>
      </c>
      <c r="AR4646">
        <v>-192</v>
      </c>
      <c r="AZ4646">
        <v>1200</v>
      </c>
      <c r="BA4646">
        <v>1</v>
      </c>
      <c r="BB4646" t="str">
        <f t="shared" si="2132"/>
        <v xml:space="preserve">N711JA  </v>
      </c>
      <c r="BC4646">
        <v>1</v>
      </c>
      <c r="BE4646">
        <v>0</v>
      </c>
      <c r="BF4646">
        <v>0</v>
      </c>
      <c r="BG4646">
        <v>0</v>
      </c>
      <c r="BH4646">
        <v>2175</v>
      </c>
      <c r="BI4646">
        <v>1</v>
      </c>
      <c r="BJ4646">
        <v>1</v>
      </c>
      <c r="BK4646">
        <v>0</v>
      </c>
      <c r="BL4646">
        <v>0</v>
      </c>
      <c r="BO4646">
        <v>0</v>
      </c>
      <c r="BP4646">
        <v>0</v>
      </c>
      <c r="BW4646" t="str">
        <f t="shared" si="2139"/>
        <v>14:49:46.211</v>
      </c>
      <c r="CJ4646">
        <v>0</v>
      </c>
      <c r="CK4646">
        <v>2</v>
      </c>
      <c r="CL4646">
        <v>0</v>
      </c>
      <c r="CM4646">
        <v>2</v>
      </c>
      <c r="CN4646">
        <v>0</v>
      </c>
      <c r="CO4646">
        <v>7</v>
      </c>
      <c r="CP4646" t="s">
        <v>119</v>
      </c>
      <c r="CQ4646">
        <v>358</v>
      </c>
      <c r="CR4646">
        <v>0</v>
      </c>
      <c r="CW4646">
        <v>5156163</v>
      </c>
      <c r="CY4646">
        <v>1</v>
      </c>
      <c r="CZ4646">
        <v>0</v>
      </c>
      <c r="DA4646">
        <v>1</v>
      </c>
      <c r="DB4646">
        <v>0</v>
      </c>
      <c r="DC4646">
        <v>0</v>
      </c>
      <c r="DD4646">
        <v>1</v>
      </c>
      <c r="DE4646">
        <v>0</v>
      </c>
      <c r="DF4646">
        <v>0</v>
      </c>
      <c r="DG4646">
        <v>0</v>
      </c>
      <c r="DH4646">
        <v>0</v>
      </c>
      <c r="DI4646">
        <v>0</v>
      </c>
    </row>
    <row r="4647" spans="1:113" x14ac:dyDescent="0.3">
      <c r="A4647" t="str">
        <f t="shared" si="2137"/>
        <v>05/12/2020 14:49:28.370</v>
      </c>
      <c r="C4647" t="str">
        <f t="shared" si="2131"/>
        <v>FFDFD3C0</v>
      </c>
      <c r="D4647" t="s">
        <v>131</v>
      </c>
      <c r="E4647">
        <v>10</v>
      </c>
      <c r="F4647">
        <v>2010</v>
      </c>
      <c r="G4647" t="s">
        <v>132</v>
      </c>
      <c r="J4647" t="s">
        <v>133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 t="shared" si="2138"/>
        <v>14:49:46.211</v>
      </c>
      <c r="T4647" t="str">
        <f t="shared" si="2138"/>
        <v>14:49:46.211</v>
      </c>
      <c r="U4647" t="str">
        <f t="shared" si="2123"/>
        <v>A9808D</v>
      </c>
      <c r="V4647">
        <v>0</v>
      </c>
      <c r="W4647">
        <v>0</v>
      </c>
      <c r="X4647">
        <v>1</v>
      </c>
      <c r="Z4647">
        <v>0</v>
      </c>
      <c r="AA4647">
        <v>9</v>
      </c>
      <c r="AB4647">
        <v>3</v>
      </c>
      <c r="AC4647">
        <v>0</v>
      </c>
      <c r="AD4647">
        <v>10</v>
      </c>
      <c r="AE4647">
        <v>0</v>
      </c>
      <c r="AF4647">
        <v>3</v>
      </c>
      <c r="AG4647">
        <v>2</v>
      </c>
      <c r="AH4647">
        <v>0</v>
      </c>
      <c r="AI4647" t="s">
        <v>1037</v>
      </c>
      <c r="AJ4647">
        <v>28.243424999999998</v>
      </c>
      <c r="AK4647" t="s">
        <v>1038</v>
      </c>
      <c r="AL4647">
        <v>-82.341628</v>
      </c>
      <c r="AM4647">
        <v>100</v>
      </c>
      <c r="AN4647">
        <v>2100</v>
      </c>
      <c r="AO4647" t="s">
        <v>118</v>
      </c>
      <c r="AP4647">
        <v>-140</v>
      </c>
      <c r="AQ4647">
        <v>-39</v>
      </c>
      <c r="AR4647">
        <v>-192</v>
      </c>
      <c r="AZ4647">
        <v>1200</v>
      </c>
      <c r="BA4647">
        <v>1</v>
      </c>
      <c r="BB4647" t="str">
        <f t="shared" si="2132"/>
        <v xml:space="preserve">N711JA  </v>
      </c>
      <c r="BC4647">
        <v>1</v>
      </c>
      <c r="BE4647">
        <v>0</v>
      </c>
      <c r="BF4647">
        <v>0</v>
      </c>
      <c r="BG4647">
        <v>0</v>
      </c>
      <c r="BH4647">
        <v>2175</v>
      </c>
      <c r="BI4647">
        <v>1</v>
      </c>
      <c r="BJ4647">
        <v>1</v>
      </c>
      <c r="BK4647">
        <v>0</v>
      </c>
      <c r="BL4647">
        <v>0</v>
      </c>
      <c r="BO4647">
        <v>0</v>
      </c>
      <c r="BP4647">
        <v>0</v>
      </c>
      <c r="BW4647" t="str">
        <f t="shared" si="2139"/>
        <v>14:49:46.211</v>
      </c>
      <c r="CJ4647">
        <v>0</v>
      </c>
      <c r="CK4647">
        <v>2</v>
      </c>
      <c r="CL4647">
        <v>0</v>
      </c>
      <c r="CM4647">
        <v>2</v>
      </c>
      <c r="CN4647">
        <v>0</v>
      </c>
      <c r="CO4647">
        <v>7</v>
      </c>
      <c r="CP4647" t="s">
        <v>119</v>
      </c>
      <c r="CQ4647">
        <v>358</v>
      </c>
      <c r="CR4647">
        <v>0</v>
      </c>
      <c r="CW4647">
        <v>5156163</v>
      </c>
      <c r="CY4647">
        <v>1</v>
      </c>
      <c r="CZ4647">
        <v>0</v>
      </c>
      <c r="DA4647">
        <v>1</v>
      </c>
      <c r="DB4647">
        <v>0</v>
      </c>
      <c r="DC4647">
        <v>0</v>
      </c>
      <c r="DD4647">
        <v>1</v>
      </c>
      <c r="DE4647">
        <v>0</v>
      </c>
      <c r="DF4647">
        <v>0</v>
      </c>
      <c r="DG4647">
        <v>0</v>
      </c>
      <c r="DH4647">
        <v>0</v>
      </c>
      <c r="DI4647">
        <v>0</v>
      </c>
    </row>
    <row r="4648" spans="1:113" x14ac:dyDescent="0.3">
      <c r="A4648" t="str">
        <f t="shared" si="2137"/>
        <v>05/12/2020 14:49:28.370</v>
      </c>
      <c r="C4648" t="str">
        <f t="shared" si="2131"/>
        <v>FFDFD3C0</v>
      </c>
      <c r="D4648" t="s">
        <v>131</v>
      </c>
      <c r="E4648">
        <v>12</v>
      </c>
      <c r="F4648">
        <v>2012</v>
      </c>
      <c r="G4648" t="s">
        <v>137</v>
      </c>
      <c r="J4648" t="s">
        <v>133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 t="shared" si="2138"/>
        <v>14:49:46.211</v>
      </c>
      <c r="T4648" t="str">
        <f t="shared" si="2138"/>
        <v>14:49:46.211</v>
      </c>
      <c r="U4648" t="str">
        <f t="shared" si="2123"/>
        <v>A9808D</v>
      </c>
      <c r="V4648">
        <v>0</v>
      </c>
      <c r="W4648">
        <v>0</v>
      </c>
      <c r="X4648">
        <v>1</v>
      </c>
      <c r="Z4648">
        <v>0</v>
      </c>
      <c r="AA4648">
        <v>9</v>
      </c>
      <c r="AB4648">
        <v>3</v>
      </c>
      <c r="AC4648">
        <v>0</v>
      </c>
      <c r="AD4648">
        <v>10</v>
      </c>
      <c r="AE4648">
        <v>0</v>
      </c>
      <c r="AF4648">
        <v>3</v>
      </c>
      <c r="AG4648">
        <v>2</v>
      </c>
      <c r="AH4648">
        <v>0</v>
      </c>
      <c r="AI4648" t="s">
        <v>1037</v>
      </c>
      <c r="AJ4648">
        <v>28.243424999999998</v>
      </c>
      <c r="AK4648" t="s">
        <v>1038</v>
      </c>
      <c r="AL4648">
        <v>-82.341628</v>
      </c>
      <c r="AM4648">
        <v>100</v>
      </c>
      <c r="AN4648">
        <v>2100</v>
      </c>
      <c r="AO4648" t="s">
        <v>118</v>
      </c>
      <c r="AP4648">
        <v>-140</v>
      </c>
      <c r="AQ4648">
        <v>-39</v>
      </c>
      <c r="AR4648">
        <v>-192</v>
      </c>
      <c r="AZ4648">
        <v>1200</v>
      </c>
      <c r="BA4648">
        <v>1</v>
      </c>
      <c r="BB4648" t="str">
        <f t="shared" si="2132"/>
        <v xml:space="preserve">N711JA  </v>
      </c>
      <c r="BC4648">
        <v>1</v>
      </c>
      <c r="BE4648">
        <v>0</v>
      </c>
      <c r="BF4648">
        <v>0</v>
      </c>
      <c r="BG4648">
        <v>0</v>
      </c>
      <c r="BH4648">
        <v>2175</v>
      </c>
      <c r="BI4648">
        <v>1</v>
      </c>
      <c r="BJ4648">
        <v>1</v>
      </c>
      <c r="BK4648">
        <v>0</v>
      </c>
      <c r="BL4648">
        <v>0</v>
      </c>
      <c r="BO4648">
        <v>0</v>
      </c>
      <c r="BP4648">
        <v>0</v>
      </c>
      <c r="BW4648" t="str">
        <f t="shared" si="2139"/>
        <v>14:49:46.211</v>
      </c>
      <c r="CJ4648">
        <v>0</v>
      </c>
      <c r="CK4648">
        <v>2</v>
      </c>
      <c r="CL4648">
        <v>0</v>
      </c>
      <c r="CM4648">
        <v>2</v>
      </c>
      <c r="CN4648">
        <v>0</v>
      </c>
      <c r="CO4648">
        <v>7</v>
      </c>
      <c r="CP4648" t="s">
        <v>119</v>
      </c>
      <c r="CQ4648">
        <v>8</v>
      </c>
      <c r="CR4648">
        <v>3</v>
      </c>
      <c r="CW4648">
        <v>9180644</v>
      </c>
      <c r="CY4648">
        <v>1</v>
      </c>
      <c r="CZ4648">
        <v>0</v>
      </c>
      <c r="DA4648">
        <v>1</v>
      </c>
      <c r="DB4648">
        <v>0</v>
      </c>
      <c r="DC4648">
        <v>0</v>
      </c>
      <c r="DD4648">
        <v>1</v>
      </c>
      <c r="DE4648">
        <v>0</v>
      </c>
      <c r="DF4648">
        <v>0</v>
      </c>
      <c r="DG4648">
        <v>0</v>
      </c>
      <c r="DH4648">
        <v>0</v>
      </c>
      <c r="DI4648">
        <v>0</v>
      </c>
    </row>
    <row r="4649" spans="1:113" x14ac:dyDescent="0.3">
      <c r="A4649" t="str">
        <f t="shared" si="2137"/>
        <v>05/12/2020 14:49:28.370</v>
      </c>
      <c r="C4649" t="str">
        <f t="shared" si="2131"/>
        <v>FFDFD3C0</v>
      </c>
      <c r="D4649" t="s">
        <v>131</v>
      </c>
      <c r="E4649">
        <v>18</v>
      </c>
      <c r="F4649">
        <v>2018</v>
      </c>
      <c r="G4649" t="s">
        <v>161</v>
      </c>
      <c r="J4649" t="s">
        <v>133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 t="shared" si="2138"/>
        <v>14:49:46.211</v>
      </c>
      <c r="T4649" t="str">
        <f t="shared" si="2138"/>
        <v>14:49:46.211</v>
      </c>
      <c r="U4649" t="str">
        <f t="shared" si="2123"/>
        <v>A9808D</v>
      </c>
      <c r="V4649">
        <v>0</v>
      </c>
      <c r="W4649">
        <v>0</v>
      </c>
      <c r="X4649">
        <v>1</v>
      </c>
      <c r="Z4649">
        <v>0</v>
      </c>
      <c r="AA4649">
        <v>9</v>
      </c>
      <c r="AB4649">
        <v>3</v>
      </c>
      <c r="AC4649">
        <v>0</v>
      </c>
      <c r="AD4649">
        <v>10</v>
      </c>
      <c r="AE4649">
        <v>0</v>
      </c>
      <c r="AF4649">
        <v>3</v>
      </c>
      <c r="AG4649">
        <v>2</v>
      </c>
      <c r="AH4649">
        <v>0</v>
      </c>
      <c r="AI4649" t="s">
        <v>1037</v>
      </c>
      <c r="AJ4649">
        <v>28.243424999999998</v>
      </c>
      <c r="AK4649" t="s">
        <v>1038</v>
      </c>
      <c r="AL4649">
        <v>-82.341628</v>
      </c>
      <c r="AM4649">
        <v>100</v>
      </c>
      <c r="AN4649">
        <v>2100</v>
      </c>
      <c r="AO4649" t="s">
        <v>118</v>
      </c>
      <c r="AP4649">
        <v>-140</v>
      </c>
      <c r="AQ4649">
        <v>-39</v>
      </c>
      <c r="AR4649">
        <v>-192</v>
      </c>
      <c r="AZ4649">
        <v>1200</v>
      </c>
      <c r="BA4649">
        <v>1</v>
      </c>
      <c r="BB4649" t="str">
        <f t="shared" si="2132"/>
        <v xml:space="preserve">N711JA  </v>
      </c>
      <c r="BC4649">
        <v>1</v>
      </c>
      <c r="BE4649">
        <v>0</v>
      </c>
      <c r="BF4649">
        <v>0</v>
      </c>
      <c r="BG4649">
        <v>0</v>
      </c>
      <c r="BH4649">
        <v>2175</v>
      </c>
      <c r="BI4649">
        <v>1</v>
      </c>
      <c r="BJ4649">
        <v>1</v>
      </c>
      <c r="BK4649">
        <v>0</v>
      </c>
      <c r="BL4649">
        <v>0</v>
      </c>
      <c r="BO4649">
        <v>0</v>
      </c>
      <c r="BP4649">
        <v>0</v>
      </c>
      <c r="BW4649" t="str">
        <f t="shared" si="2139"/>
        <v>14:49:46.211</v>
      </c>
      <c r="CJ4649">
        <v>0</v>
      </c>
      <c r="CK4649">
        <v>2</v>
      </c>
      <c r="CL4649">
        <v>0</v>
      </c>
      <c r="CM4649">
        <v>2</v>
      </c>
      <c r="CN4649">
        <v>0</v>
      </c>
      <c r="CO4649">
        <v>7</v>
      </c>
      <c r="CP4649" t="s">
        <v>119</v>
      </c>
      <c r="CQ4649">
        <v>343</v>
      </c>
      <c r="CR4649">
        <v>1</v>
      </c>
      <c r="CW4649">
        <v>11057261</v>
      </c>
      <c r="CY4649">
        <v>1</v>
      </c>
      <c r="CZ4649">
        <v>0</v>
      </c>
      <c r="DA4649">
        <v>1</v>
      </c>
      <c r="DB4649">
        <v>0</v>
      </c>
      <c r="DC4649">
        <v>0</v>
      </c>
      <c r="DD4649">
        <v>1</v>
      </c>
      <c r="DE4649">
        <v>0</v>
      </c>
      <c r="DF4649">
        <v>0</v>
      </c>
      <c r="DG4649">
        <v>0</v>
      </c>
      <c r="DH4649">
        <v>0</v>
      </c>
      <c r="DI4649">
        <v>0</v>
      </c>
    </row>
    <row r="4650" spans="1:113" x14ac:dyDescent="0.3">
      <c r="A4650" t="str">
        <f t="shared" ref="A4650:A4658" si="2140">"05/12/2020 14:49:29.426"</f>
        <v>05/12/2020 14:49:29.426</v>
      </c>
      <c r="C4650" t="str">
        <f t="shared" si="2131"/>
        <v>FFDFD3C0</v>
      </c>
      <c r="D4650" t="s">
        <v>126</v>
      </c>
      <c r="E4650">
        <v>6</v>
      </c>
      <c r="F4650">
        <v>1006</v>
      </c>
      <c r="G4650" t="s">
        <v>114</v>
      </c>
      <c r="J4650" t="s">
        <v>128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 t="shared" ref="S4650:S4658" si="2141">"14:49:47.266"</f>
        <v>14:49:47.266</v>
      </c>
      <c r="T4650" t="str">
        <f t="shared" ref="T4650:T4658" si="2142">"14:49:47.166"</f>
        <v>14:49:47.166</v>
      </c>
      <c r="U4650" t="str">
        <f t="shared" si="2123"/>
        <v>A9808D</v>
      </c>
      <c r="V4650">
        <v>0</v>
      </c>
      <c r="W4650">
        <v>0</v>
      </c>
      <c r="X4650">
        <v>1</v>
      </c>
      <c r="Z4650">
        <v>0</v>
      </c>
      <c r="AA4650">
        <v>9</v>
      </c>
      <c r="AB4650">
        <v>3</v>
      </c>
      <c r="AC4650">
        <v>0</v>
      </c>
      <c r="AD4650">
        <v>10</v>
      </c>
      <c r="AE4650">
        <v>0</v>
      </c>
      <c r="AF4650">
        <v>3</v>
      </c>
      <c r="AG4650">
        <v>2</v>
      </c>
      <c r="AH4650">
        <v>0</v>
      </c>
      <c r="AI4650" t="s">
        <v>1039</v>
      </c>
      <c r="AJ4650">
        <v>28.243252999999999</v>
      </c>
      <c r="AK4650" t="s">
        <v>1040</v>
      </c>
      <c r="AL4650">
        <v>-82.342465000000004</v>
      </c>
      <c r="AM4650">
        <v>100</v>
      </c>
      <c r="AN4650">
        <v>2100</v>
      </c>
      <c r="AO4650" t="s">
        <v>118</v>
      </c>
      <c r="AP4650">
        <v>-139</v>
      </c>
      <c r="AQ4650">
        <v>-38</v>
      </c>
      <c r="AR4650">
        <v>-128</v>
      </c>
      <c r="AZ4650">
        <v>1200</v>
      </c>
      <c r="BA4650">
        <v>1</v>
      </c>
      <c r="BB4650" t="str">
        <f t="shared" si="2132"/>
        <v xml:space="preserve">N711JA  </v>
      </c>
      <c r="BC4650">
        <v>1</v>
      </c>
      <c r="BE4650">
        <v>0</v>
      </c>
      <c r="BF4650">
        <v>0</v>
      </c>
      <c r="BG4650">
        <v>0</v>
      </c>
      <c r="BH4650">
        <v>2175</v>
      </c>
      <c r="BI4650">
        <v>1</v>
      </c>
      <c r="BJ4650">
        <v>1</v>
      </c>
      <c r="BK4650">
        <v>0</v>
      </c>
      <c r="BL4650">
        <v>0</v>
      </c>
      <c r="BO4650">
        <v>0</v>
      </c>
      <c r="BP4650">
        <v>0</v>
      </c>
      <c r="BW4650" t="str">
        <f t="shared" ref="BW4650:BW4658" si="2143">"14:49:47.269"</f>
        <v>14:49:47.269</v>
      </c>
      <c r="CJ4650">
        <v>0</v>
      </c>
      <c r="CK4650">
        <v>2</v>
      </c>
      <c r="CL4650">
        <v>0</v>
      </c>
      <c r="CM4650">
        <v>2</v>
      </c>
      <c r="CN4650">
        <v>0</v>
      </c>
      <c r="CO4650">
        <v>7</v>
      </c>
      <c r="CP4650" t="s">
        <v>119</v>
      </c>
      <c r="CQ4650">
        <v>8</v>
      </c>
      <c r="CR4650">
        <v>3</v>
      </c>
      <c r="CW4650">
        <v>9181700</v>
      </c>
      <c r="CY4650">
        <v>1</v>
      </c>
      <c r="CZ4650">
        <v>0</v>
      </c>
      <c r="DA4650">
        <v>0</v>
      </c>
      <c r="DB4650">
        <v>0</v>
      </c>
      <c r="DC4650">
        <v>0</v>
      </c>
      <c r="DD4650">
        <v>1</v>
      </c>
      <c r="DE4650">
        <v>0</v>
      </c>
      <c r="DF4650">
        <v>0</v>
      </c>
      <c r="DG4650">
        <v>0</v>
      </c>
      <c r="DH4650">
        <v>0</v>
      </c>
      <c r="DI4650">
        <v>0</v>
      </c>
    </row>
    <row r="4651" spans="1:113" x14ac:dyDescent="0.3">
      <c r="A4651" t="str">
        <f t="shared" si="2140"/>
        <v>05/12/2020 14:49:29.426</v>
      </c>
      <c r="C4651" t="str">
        <f t="shared" si="2131"/>
        <v>FFDFD3C0</v>
      </c>
      <c r="D4651" t="s">
        <v>113</v>
      </c>
      <c r="E4651">
        <v>3</v>
      </c>
      <c r="H4651">
        <v>164</v>
      </c>
      <c r="I4651" t="s">
        <v>114</v>
      </c>
      <c r="J4651" t="s">
        <v>115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 t="shared" si="2141"/>
        <v>14:49:47.266</v>
      </c>
      <c r="T4651" t="str">
        <f t="shared" si="2142"/>
        <v>14:49:47.166</v>
      </c>
      <c r="U4651" t="str">
        <f t="shared" si="2123"/>
        <v>A9808D</v>
      </c>
      <c r="V4651">
        <v>0</v>
      </c>
      <c r="W4651">
        <v>0</v>
      </c>
      <c r="X4651">
        <v>1</v>
      </c>
      <c r="Z4651">
        <v>0</v>
      </c>
      <c r="AA4651">
        <v>9</v>
      </c>
      <c r="AB4651">
        <v>3</v>
      </c>
      <c r="AC4651">
        <v>0</v>
      </c>
      <c r="AD4651">
        <v>10</v>
      </c>
      <c r="AE4651">
        <v>0</v>
      </c>
      <c r="AF4651">
        <v>3</v>
      </c>
      <c r="AG4651">
        <v>2</v>
      </c>
      <c r="AH4651">
        <v>0</v>
      </c>
      <c r="AI4651" t="s">
        <v>1039</v>
      </c>
      <c r="AJ4651">
        <v>28.243252999999999</v>
      </c>
      <c r="AK4651" t="s">
        <v>1040</v>
      </c>
      <c r="AL4651">
        <v>-82.342465000000004</v>
      </c>
      <c r="AM4651">
        <v>100</v>
      </c>
      <c r="AN4651">
        <v>2100</v>
      </c>
      <c r="AO4651" t="s">
        <v>118</v>
      </c>
      <c r="AP4651">
        <v>-139</v>
      </c>
      <c r="AQ4651">
        <v>-38</v>
      </c>
      <c r="AR4651">
        <v>-128</v>
      </c>
      <c r="AZ4651">
        <v>1200</v>
      </c>
      <c r="BA4651">
        <v>1</v>
      </c>
      <c r="BB4651" t="str">
        <f t="shared" si="2132"/>
        <v xml:space="preserve">N711JA  </v>
      </c>
      <c r="BC4651">
        <v>1</v>
      </c>
      <c r="BE4651">
        <v>0</v>
      </c>
      <c r="BF4651">
        <v>0</v>
      </c>
      <c r="BG4651">
        <v>0</v>
      </c>
      <c r="BH4651">
        <v>2175</v>
      </c>
      <c r="BI4651">
        <v>1</v>
      </c>
      <c r="BJ4651">
        <v>1</v>
      </c>
      <c r="BK4651">
        <v>0</v>
      </c>
      <c r="BL4651">
        <v>0</v>
      </c>
      <c r="BO4651">
        <v>0</v>
      </c>
      <c r="BP4651">
        <v>0</v>
      </c>
      <c r="BW4651" t="str">
        <f t="shared" si="2143"/>
        <v>14:49:47.269</v>
      </c>
      <c r="CJ4651">
        <v>0</v>
      </c>
      <c r="CK4651">
        <v>2</v>
      </c>
      <c r="CL4651">
        <v>0</v>
      </c>
      <c r="CM4651">
        <v>2</v>
      </c>
      <c r="CN4651">
        <v>0</v>
      </c>
      <c r="CO4651">
        <v>7</v>
      </c>
      <c r="CP4651" t="s">
        <v>119</v>
      </c>
      <c r="CQ4651">
        <v>8</v>
      </c>
      <c r="CR4651">
        <v>3</v>
      </c>
      <c r="CW4651">
        <v>9181700</v>
      </c>
      <c r="CY4651">
        <v>1</v>
      </c>
      <c r="CZ4651">
        <v>0</v>
      </c>
      <c r="DA4651">
        <v>1</v>
      </c>
      <c r="DB4651">
        <v>0</v>
      </c>
      <c r="DC4651">
        <v>0</v>
      </c>
      <c r="DD4651">
        <v>1</v>
      </c>
      <c r="DE4651">
        <v>0</v>
      </c>
      <c r="DF4651">
        <v>0</v>
      </c>
      <c r="DG4651">
        <v>0</v>
      </c>
      <c r="DH4651">
        <v>0</v>
      </c>
      <c r="DI4651">
        <v>0</v>
      </c>
    </row>
    <row r="4652" spans="1:113" x14ac:dyDescent="0.3">
      <c r="A4652" t="str">
        <f t="shared" si="2140"/>
        <v>05/12/2020 14:49:29.426</v>
      </c>
      <c r="C4652" t="str">
        <f t="shared" si="2131"/>
        <v>FFDFD3C0</v>
      </c>
      <c r="D4652" t="s">
        <v>131</v>
      </c>
      <c r="E4652">
        <v>10</v>
      </c>
      <c r="F4652">
        <v>2010</v>
      </c>
      <c r="G4652" t="s">
        <v>132</v>
      </c>
      <c r="J4652" t="s">
        <v>133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 t="shared" si="2141"/>
        <v>14:49:47.266</v>
      </c>
      <c r="T4652" t="str">
        <f t="shared" si="2142"/>
        <v>14:49:47.166</v>
      </c>
      <c r="U4652" t="str">
        <f t="shared" si="2123"/>
        <v>A9808D</v>
      </c>
      <c r="V4652">
        <v>0</v>
      </c>
      <c r="W4652">
        <v>0</v>
      </c>
      <c r="X4652">
        <v>1</v>
      </c>
      <c r="Z4652">
        <v>0</v>
      </c>
      <c r="AA4652">
        <v>9</v>
      </c>
      <c r="AB4652">
        <v>3</v>
      </c>
      <c r="AC4652">
        <v>0</v>
      </c>
      <c r="AD4652">
        <v>10</v>
      </c>
      <c r="AE4652">
        <v>0</v>
      </c>
      <c r="AF4652">
        <v>3</v>
      </c>
      <c r="AG4652">
        <v>2</v>
      </c>
      <c r="AH4652">
        <v>0</v>
      </c>
      <c r="AI4652" t="s">
        <v>1039</v>
      </c>
      <c r="AJ4652">
        <v>28.243252999999999</v>
      </c>
      <c r="AK4652" t="s">
        <v>1040</v>
      </c>
      <c r="AL4652">
        <v>-82.342465000000004</v>
      </c>
      <c r="AM4652">
        <v>100</v>
      </c>
      <c r="AN4652">
        <v>2100</v>
      </c>
      <c r="AO4652" t="s">
        <v>118</v>
      </c>
      <c r="AP4652">
        <v>-139</v>
      </c>
      <c r="AQ4652">
        <v>-38</v>
      </c>
      <c r="AR4652">
        <v>-128</v>
      </c>
      <c r="AZ4652">
        <v>1200</v>
      </c>
      <c r="BA4652">
        <v>1</v>
      </c>
      <c r="BB4652" t="str">
        <f t="shared" si="2132"/>
        <v xml:space="preserve">N711JA  </v>
      </c>
      <c r="BC4652">
        <v>1</v>
      </c>
      <c r="BE4652">
        <v>0</v>
      </c>
      <c r="BF4652">
        <v>0</v>
      </c>
      <c r="BG4652">
        <v>0</v>
      </c>
      <c r="BH4652">
        <v>2175</v>
      </c>
      <c r="BI4652">
        <v>1</v>
      </c>
      <c r="BJ4652">
        <v>1</v>
      </c>
      <c r="BK4652">
        <v>0</v>
      </c>
      <c r="BL4652">
        <v>0</v>
      </c>
      <c r="BO4652">
        <v>0</v>
      </c>
      <c r="BP4652">
        <v>0</v>
      </c>
      <c r="BW4652" t="str">
        <f t="shared" si="2143"/>
        <v>14:49:47.269</v>
      </c>
      <c r="CJ4652">
        <v>0</v>
      </c>
      <c r="CK4652">
        <v>2</v>
      </c>
      <c r="CL4652">
        <v>0</v>
      </c>
      <c r="CM4652">
        <v>2</v>
      </c>
      <c r="CN4652">
        <v>0</v>
      </c>
      <c r="CO4652">
        <v>7</v>
      </c>
      <c r="CP4652" t="s">
        <v>119</v>
      </c>
      <c r="CQ4652">
        <v>8</v>
      </c>
      <c r="CR4652">
        <v>3</v>
      </c>
      <c r="CW4652">
        <v>9181700</v>
      </c>
      <c r="CY4652">
        <v>1</v>
      </c>
      <c r="CZ4652">
        <v>0</v>
      </c>
      <c r="DA4652">
        <v>1</v>
      </c>
      <c r="DB4652">
        <v>0</v>
      </c>
      <c r="DC4652">
        <v>0</v>
      </c>
      <c r="DD4652">
        <v>1</v>
      </c>
      <c r="DE4652">
        <v>0</v>
      </c>
      <c r="DF4652">
        <v>0</v>
      </c>
      <c r="DG4652">
        <v>0</v>
      </c>
      <c r="DH4652">
        <v>0</v>
      </c>
      <c r="DI4652">
        <v>0</v>
      </c>
    </row>
    <row r="4653" spans="1:113" x14ac:dyDescent="0.3">
      <c r="A4653" t="str">
        <f t="shared" si="2140"/>
        <v>05/12/2020 14:49:29.426</v>
      </c>
      <c r="C4653" t="str">
        <f t="shared" si="2131"/>
        <v>FFDFD3C0</v>
      </c>
      <c r="D4653" t="s">
        <v>126</v>
      </c>
      <c r="E4653">
        <v>7</v>
      </c>
      <c r="F4653">
        <v>1007</v>
      </c>
      <c r="G4653" t="s">
        <v>127</v>
      </c>
      <c r="J4653" t="s">
        <v>128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 t="shared" si="2141"/>
        <v>14:49:47.266</v>
      </c>
      <c r="T4653" t="str">
        <f t="shared" si="2142"/>
        <v>14:49:47.166</v>
      </c>
      <c r="U4653" t="str">
        <f t="shared" si="2123"/>
        <v>A9808D</v>
      </c>
      <c r="V4653">
        <v>0</v>
      </c>
      <c r="W4653">
        <v>0</v>
      </c>
      <c r="X4653">
        <v>1</v>
      </c>
      <c r="Z4653">
        <v>0</v>
      </c>
      <c r="AA4653">
        <v>9</v>
      </c>
      <c r="AB4653">
        <v>3</v>
      </c>
      <c r="AC4653">
        <v>0</v>
      </c>
      <c r="AD4653">
        <v>10</v>
      </c>
      <c r="AE4653">
        <v>0</v>
      </c>
      <c r="AF4653">
        <v>3</v>
      </c>
      <c r="AG4653">
        <v>2</v>
      </c>
      <c r="AH4653">
        <v>0</v>
      </c>
      <c r="AI4653" t="s">
        <v>1039</v>
      </c>
      <c r="AJ4653">
        <v>28.243252999999999</v>
      </c>
      <c r="AK4653" t="s">
        <v>1040</v>
      </c>
      <c r="AL4653">
        <v>-82.342465000000004</v>
      </c>
      <c r="AM4653">
        <v>100</v>
      </c>
      <c r="AN4653">
        <v>2100</v>
      </c>
      <c r="AO4653" t="s">
        <v>118</v>
      </c>
      <c r="AP4653">
        <v>-139</v>
      </c>
      <c r="AQ4653">
        <v>-38</v>
      </c>
      <c r="AR4653">
        <v>-128</v>
      </c>
      <c r="AZ4653">
        <v>1200</v>
      </c>
      <c r="BA4653">
        <v>1</v>
      </c>
      <c r="BB4653" t="str">
        <f t="shared" si="2132"/>
        <v xml:space="preserve">N711JA  </v>
      </c>
      <c r="BC4653">
        <v>1</v>
      </c>
      <c r="BE4653">
        <v>0</v>
      </c>
      <c r="BF4653">
        <v>0</v>
      </c>
      <c r="BG4653">
        <v>0</v>
      </c>
      <c r="BH4653">
        <v>2175</v>
      </c>
      <c r="BI4653">
        <v>1</v>
      </c>
      <c r="BJ4653">
        <v>1</v>
      </c>
      <c r="BK4653">
        <v>0</v>
      </c>
      <c r="BL4653">
        <v>0</v>
      </c>
      <c r="BO4653">
        <v>0</v>
      </c>
      <c r="BP4653">
        <v>0</v>
      </c>
      <c r="BW4653" t="str">
        <f t="shared" si="2143"/>
        <v>14:49:47.269</v>
      </c>
      <c r="CJ4653">
        <v>0</v>
      </c>
      <c r="CK4653">
        <v>2</v>
      </c>
      <c r="CL4653">
        <v>0</v>
      </c>
      <c r="CM4653">
        <v>2</v>
      </c>
      <c r="CN4653">
        <v>0</v>
      </c>
      <c r="CO4653">
        <v>7</v>
      </c>
      <c r="CP4653" t="s">
        <v>119</v>
      </c>
      <c r="CQ4653">
        <v>8</v>
      </c>
      <c r="CR4653">
        <v>3</v>
      </c>
      <c r="CW4653">
        <v>9181700</v>
      </c>
      <c r="CY4653">
        <v>1</v>
      </c>
      <c r="CZ4653">
        <v>0</v>
      </c>
      <c r="DA4653">
        <v>1</v>
      </c>
      <c r="DB4653">
        <v>0</v>
      </c>
      <c r="DC4653">
        <v>0</v>
      </c>
      <c r="DD4653">
        <v>1</v>
      </c>
      <c r="DE4653">
        <v>0</v>
      </c>
      <c r="DF4653">
        <v>0</v>
      </c>
      <c r="DG4653">
        <v>0</v>
      </c>
      <c r="DH4653">
        <v>0</v>
      </c>
      <c r="DI4653">
        <v>0</v>
      </c>
    </row>
    <row r="4654" spans="1:113" x14ac:dyDescent="0.3">
      <c r="A4654" t="str">
        <f t="shared" si="2140"/>
        <v>05/12/2020 14:49:29.426</v>
      </c>
      <c r="C4654" t="str">
        <f t="shared" si="2131"/>
        <v>FFDFD3C0</v>
      </c>
      <c r="D4654" t="s">
        <v>131</v>
      </c>
      <c r="E4654">
        <v>12</v>
      </c>
      <c r="F4654">
        <v>2012</v>
      </c>
      <c r="G4654" t="s">
        <v>137</v>
      </c>
      <c r="J4654" t="s">
        <v>133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 t="shared" si="2141"/>
        <v>14:49:47.266</v>
      </c>
      <c r="T4654" t="str">
        <f t="shared" si="2142"/>
        <v>14:49:47.166</v>
      </c>
      <c r="U4654" t="str">
        <f t="shared" si="2123"/>
        <v>A9808D</v>
      </c>
      <c r="V4654">
        <v>0</v>
      </c>
      <c r="W4654">
        <v>0</v>
      </c>
      <c r="X4654">
        <v>1</v>
      </c>
      <c r="Z4654">
        <v>0</v>
      </c>
      <c r="AA4654">
        <v>9</v>
      </c>
      <c r="AB4654">
        <v>3</v>
      </c>
      <c r="AC4654">
        <v>0</v>
      </c>
      <c r="AD4654">
        <v>10</v>
      </c>
      <c r="AE4654">
        <v>0</v>
      </c>
      <c r="AF4654">
        <v>3</v>
      </c>
      <c r="AG4654">
        <v>2</v>
      </c>
      <c r="AH4654">
        <v>0</v>
      </c>
      <c r="AI4654" t="s">
        <v>1039</v>
      </c>
      <c r="AJ4654">
        <v>28.243252999999999</v>
      </c>
      <c r="AK4654" t="s">
        <v>1040</v>
      </c>
      <c r="AL4654">
        <v>-82.342465000000004</v>
      </c>
      <c r="AM4654">
        <v>100</v>
      </c>
      <c r="AN4654">
        <v>2100</v>
      </c>
      <c r="AO4654" t="s">
        <v>118</v>
      </c>
      <c r="AP4654">
        <v>-139</v>
      </c>
      <c r="AQ4654">
        <v>-38</v>
      </c>
      <c r="AR4654">
        <v>-128</v>
      </c>
      <c r="AZ4654">
        <v>1200</v>
      </c>
      <c r="BA4654">
        <v>1</v>
      </c>
      <c r="BB4654" t="str">
        <f t="shared" si="2132"/>
        <v xml:space="preserve">N711JA  </v>
      </c>
      <c r="BC4654">
        <v>1</v>
      </c>
      <c r="BE4654">
        <v>0</v>
      </c>
      <c r="BF4654">
        <v>0</v>
      </c>
      <c r="BG4654">
        <v>0</v>
      </c>
      <c r="BH4654">
        <v>2175</v>
      </c>
      <c r="BI4654">
        <v>1</v>
      </c>
      <c r="BJ4654">
        <v>1</v>
      </c>
      <c r="BK4654">
        <v>0</v>
      </c>
      <c r="BL4654">
        <v>0</v>
      </c>
      <c r="BO4654">
        <v>0</v>
      </c>
      <c r="BP4654">
        <v>0</v>
      </c>
      <c r="BW4654" t="str">
        <f t="shared" si="2143"/>
        <v>14:49:47.269</v>
      </c>
      <c r="CJ4654">
        <v>0</v>
      </c>
      <c r="CK4654">
        <v>2</v>
      </c>
      <c r="CL4654">
        <v>0</v>
      </c>
      <c r="CM4654">
        <v>2</v>
      </c>
      <c r="CN4654">
        <v>0</v>
      </c>
      <c r="CO4654">
        <v>7</v>
      </c>
      <c r="CP4654" t="s">
        <v>119</v>
      </c>
      <c r="CQ4654">
        <v>8</v>
      </c>
      <c r="CR4654">
        <v>3</v>
      </c>
      <c r="CW4654">
        <v>9181700</v>
      </c>
      <c r="CY4654">
        <v>1</v>
      </c>
      <c r="CZ4654">
        <v>0</v>
      </c>
      <c r="DA4654">
        <v>1</v>
      </c>
      <c r="DB4654">
        <v>0</v>
      </c>
      <c r="DC4654">
        <v>0</v>
      </c>
      <c r="DD4654">
        <v>1</v>
      </c>
      <c r="DE4654">
        <v>0</v>
      </c>
      <c r="DF4654">
        <v>0</v>
      </c>
      <c r="DG4654">
        <v>0</v>
      </c>
      <c r="DH4654">
        <v>0</v>
      </c>
      <c r="DI4654">
        <v>0</v>
      </c>
    </row>
    <row r="4655" spans="1:113" x14ac:dyDescent="0.3">
      <c r="A4655" t="str">
        <f t="shared" si="2140"/>
        <v>05/12/2020 14:49:29.426</v>
      </c>
      <c r="C4655" t="str">
        <f t="shared" si="2131"/>
        <v>FFDFD3C0</v>
      </c>
      <c r="D4655" t="s">
        <v>134</v>
      </c>
      <c r="E4655">
        <v>12</v>
      </c>
      <c r="H4655">
        <v>64</v>
      </c>
      <c r="I4655" t="s">
        <v>135</v>
      </c>
      <c r="J4655" t="s">
        <v>136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 t="shared" si="2141"/>
        <v>14:49:47.266</v>
      </c>
      <c r="T4655" t="str">
        <f t="shared" si="2142"/>
        <v>14:49:47.166</v>
      </c>
      <c r="U4655" t="str">
        <f t="shared" si="2123"/>
        <v>A9808D</v>
      </c>
      <c r="V4655">
        <v>0</v>
      </c>
      <c r="W4655">
        <v>0</v>
      </c>
      <c r="X4655">
        <v>1</v>
      </c>
      <c r="Z4655">
        <v>0</v>
      </c>
      <c r="AA4655">
        <v>9</v>
      </c>
      <c r="AB4655">
        <v>3</v>
      </c>
      <c r="AC4655">
        <v>0</v>
      </c>
      <c r="AD4655">
        <v>10</v>
      </c>
      <c r="AE4655">
        <v>0</v>
      </c>
      <c r="AF4655">
        <v>3</v>
      </c>
      <c r="AG4655">
        <v>2</v>
      </c>
      <c r="AH4655">
        <v>0</v>
      </c>
      <c r="AI4655" t="s">
        <v>1039</v>
      </c>
      <c r="AJ4655">
        <v>28.243252999999999</v>
      </c>
      <c r="AK4655" t="s">
        <v>1040</v>
      </c>
      <c r="AL4655">
        <v>-82.342465000000004</v>
      </c>
      <c r="AM4655">
        <v>100</v>
      </c>
      <c r="AN4655">
        <v>2100</v>
      </c>
      <c r="AO4655" t="s">
        <v>118</v>
      </c>
      <c r="AP4655">
        <v>-139</v>
      </c>
      <c r="AQ4655">
        <v>-38</v>
      </c>
      <c r="AR4655">
        <v>-128</v>
      </c>
      <c r="AZ4655">
        <v>1200</v>
      </c>
      <c r="BA4655">
        <v>1</v>
      </c>
      <c r="BB4655" t="str">
        <f t="shared" si="2132"/>
        <v xml:space="preserve">N711JA  </v>
      </c>
      <c r="BC4655">
        <v>1</v>
      </c>
      <c r="BE4655">
        <v>0</v>
      </c>
      <c r="BF4655">
        <v>0</v>
      </c>
      <c r="BG4655">
        <v>0</v>
      </c>
      <c r="BH4655">
        <v>2175</v>
      </c>
      <c r="BI4655">
        <v>1</v>
      </c>
      <c r="BJ4655">
        <v>1</v>
      </c>
      <c r="BK4655">
        <v>0</v>
      </c>
      <c r="BL4655">
        <v>0</v>
      </c>
      <c r="BO4655">
        <v>0</v>
      </c>
      <c r="BP4655">
        <v>0</v>
      </c>
      <c r="BW4655" t="str">
        <f t="shared" si="2143"/>
        <v>14:49:47.269</v>
      </c>
      <c r="CJ4655">
        <v>0</v>
      </c>
      <c r="CK4655">
        <v>2</v>
      </c>
      <c r="CL4655">
        <v>0</v>
      </c>
      <c r="CM4655">
        <v>2</v>
      </c>
      <c r="CN4655">
        <v>0</v>
      </c>
      <c r="CO4655">
        <v>7</v>
      </c>
      <c r="CP4655" t="s">
        <v>119</v>
      </c>
      <c r="CQ4655">
        <v>8</v>
      </c>
      <c r="CR4655">
        <v>3</v>
      </c>
      <c r="CW4655">
        <v>9181700</v>
      </c>
      <c r="CY4655">
        <v>1</v>
      </c>
      <c r="CZ4655">
        <v>0</v>
      </c>
      <c r="DA4655">
        <v>1</v>
      </c>
      <c r="DB4655">
        <v>0</v>
      </c>
      <c r="DC4655">
        <v>0</v>
      </c>
      <c r="DD4655">
        <v>1</v>
      </c>
      <c r="DE4655">
        <v>0</v>
      </c>
      <c r="DF4655">
        <v>0</v>
      </c>
      <c r="DG4655">
        <v>0</v>
      </c>
      <c r="DH4655">
        <v>0</v>
      </c>
      <c r="DI4655">
        <v>0</v>
      </c>
    </row>
    <row r="4656" spans="1:113" x14ac:dyDescent="0.3">
      <c r="A4656" t="str">
        <f t="shared" si="2140"/>
        <v>05/12/2020 14:49:29.426</v>
      </c>
      <c r="C4656" t="str">
        <f t="shared" si="2131"/>
        <v>FFDFD3C0</v>
      </c>
      <c r="D4656" t="s">
        <v>138</v>
      </c>
      <c r="E4656">
        <v>3</v>
      </c>
      <c r="H4656">
        <v>9</v>
      </c>
      <c r="I4656" t="s">
        <v>140</v>
      </c>
      <c r="J4656" t="s">
        <v>136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 t="shared" si="2141"/>
        <v>14:49:47.266</v>
      </c>
      <c r="T4656" t="str">
        <f t="shared" si="2142"/>
        <v>14:49:47.166</v>
      </c>
      <c r="U4656" t="str">
        <f t="shared" si="2123"/>
        <v>A9808D</v>
      </c>
      <c r="V4656">
        <v>0</v>
      </c>
      <c r="W4656">
        <v>0</v>
      </c>
      <c r="X4656">
        <v>1</v>
      </c>
      <c r="Z4656">
        <v>0</v>
      </c>
      <c r="AA4656">
        <v>9</v>
      </c>
      <c r="AB4656">
        <v>3</v>
      </c>
      <c r="AC4656">
        <v>0</v>
      </c>
      <c r="AD4656">
        <v>10</v>
      </c>
      <c r="AE4656">
        <v>0</v>
      </c>
      <c r="AF4656">
        <v>3</v>
      </c>
      <c r="AG4656">
        <v>2</v>
      </c>
      <c r="AH4656">
        <v>0</v>
      </c>
      <c r="AI4656" t="s">
        <v>1039</v>
      </c>
      <c r="AJ4656">
        <v>28.243252999999999</v>
      </c>
      <c r="AK4656" t="s">
        <v>1040</v>
      </c>
      <c r="AL4656">
        <v>-82.342465000000004</v>
      </c>
      <c r="AM4656">
        <v>100</v>
      </c>
      <c r="AN4656">
        <v>2100</v>
      </c>
      <c r="AO4656" t="s">
        <v>118</v>
      </c>
      <c r="AP4656">
        <v>-139</v>
      </c>
      <c r="AQ4656">
        <v>-38</v>
      </c>
      <c r="AR4656">
        <v>-128</v>
      </c>
      <c r="AZ4656">
        <v>1200</v>
      </c>
      <c r="BA4656">
        <v>1</v>
      </c>
      <c r="BB4656" t="str">
        <f t="shared" si="2132"/>
        <v xml:space="preserve">N711JA  </v>
      </c>
      <c r="BC4656">
        <v>1</v>
      </c>
      <c r="BE4656">
        <v>0</v>
      </c>
      <c r="BF4656">
        <v>0</v>
      </c>
      <c r="BG4656">
        <v>0</v>
      </c>
      <c r="BH4656">
        <v>2175</v>
      </c>
      <c r="BI4656">
        <v>1</v>
      </c>
      <c r="BJ4656">
        <v>1</v>
      </c>
      <c r="BK4656">
        <v>0</v>
      </c>
      <c r="BL4656">
        <v>0</v>
      </c>
      <c r="BO4656">
        <v>0</v>
      </c>
      <c r="BP4656">
        <v>0</v>
      </c>
      <c r="BW4656" t="str">
        <f t="shared" si="2143"/>
        <v>14:49:47.269</v>
      </c>
      <c r="CJ4656">
        <v>0</v>
      </c>
      <c r="CK4656">
        <v>2</v>
      </c>
      <c r="CL4656">
        <v>0</v>
      </c>
      <c r="CM4656">
        <v>2</v>
      </c>
      <c r="CN4656">
        <v>0</v>
      </c>
      <c r="CO4656">
        <v>7</v>
      </c>
      <c r="CP4656" t="s">
        <v>119</v>
      </c>
      <c r="CQ4656">
        <v>8</v>
      </c>
      <c r="CR4656">
        <v>3</v>
      </c>
      <c r="CW4656">
        <v>9181700</v>
      </c>
      <c r="CY4656">
        <v>1</v>
      </c>
      <c r="CZ4656">
        <v>0</v>
      </c>
      <c r="DA4656">
        <v>1</v>
      </c>
      <c r="DB4656">
        <v>0</v>
      </c>
      <c r="DC4656">
        <v>0</v>
      </c>
      <c r="DD4656">
        <v>1</v>
      </c>
      <c r="DE4656">
        <v>0</v>
      </c>
      <c r="DF4656">
        <v>0</v>
      </c>
      <c r="DG4656">
        <v>0</v>
      </c>
      <c r="DH4656">
        <v>0</v>
      </c>
      <c r="DI4656">
        <v>0</v>
      </c>
    </row>
    <row r="4657" spans="1:113" x14ac:dyDescent="0.3">
      <c r="A4657" t="str">
        <f t="shared" si="2140"/>
        <v>05/12/2020 14:49:29.426</v>
      </c>
      <c r="C4657" t="str">
        <f t="shared" si="2131"/>
        <v>FFDFD3C0</v>
      </c>
      <c r="D4657" t="s">
        <v>138</v>
      </c>
      <c r="E4657">
        <v>2</v>
      </c>
      <c r="H4657">
        <v>8</v>
      </c>
      <c r="I4657" t="s">
        <v>139</v>
      </c>
      <c r="J4657" t="s">
        <v>136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 t="shared" si="2141"/>
        <v>14:49:47.266</v>
      </c>
      <c r="T4657" t="str">
        <f t="shared" si="2142"/>
        <v>14:49:47.166</v>
      </c>
      <c r="U4657" t="str">
        <f t="shared" si="2123"/>
        <v>A9808D</v>
      </c>
      <c r="V4657">
        <v>0</v>
      </c>
      <c r="W4657">
        <v>0</v>
      </c>
      <c r="X4657">
        <v>1</v>
      </c>
      <c r="Z4657">
        <v>0</v>
      </c>
      <c r="AA4657">
        <v>9</v>
      </c>
      <c r="AB4657">
        <v>3</v>
      </c>
      <c r="AC4657">
        <v>0</v>
      </c>
      <c r="AD4657">
        <v>10</v>
      </c>
      <c r="AE4657">
        <v>0</v>
      </c>
      <c r="AF4657">
        <v>3</v>
      </c>
      <c r="AG4657">
        <v>2</v>
      </c>
      <c r="AH4657">
        <v>0</v>
      </c>
      <c r="AI4657" t="s">
        <v>1039</v>
      </c>
      <c r="AJ4657">
        <v>28.243252999999999</v>
      </c>
      <c r="AK4657" t="s">
        <v>1040</v>
      </c>
      <c r="AL4657">
        <v>-82.342465000000004</v>
      </c>
      <c r="AM4657">
        <v>100</v>
      </c>
      <c r="AN4657">
        <v>2100</v>
      </c>
      <c r="AO4657" t="s">
        <v>118</v>
      </c>
      <c r="AP4657">
        <v>-139</v>
      </c>
      <c r="AQ4657">
        <v>-38</v>
      </c>
      <c r="AR4657">
        <v>-128</v>
      </c>
      <c r="AZ4657">
        <v>1200</v>
      </c>
      <c r="BA4657">
        <v>1</v>
      </c>
      <c r="BB4657" t="str">
        <f t="shared" si="2132"/>
        <v xml:space="preserve">N711JA  </v>
      </c>
      <c r="BC4657">
        <v>1</v>
      </c>
      <c r="BE4657">
        <v>0</v>
      </c>
      <c r="BF4657">
        <v>0</v>
      </c>
      <c r="BG4657">
        <v>0</v>
      </c>
      <c r="BH4657">
        <v>2175</v>
      </c>
      <c r="BI4657">
        <v>1</v>
      </c>
      <c r="BJ4657">
        <v>1</v>
      </c>
      <c r="BK4657">
        <v>0</v>
      </c>
      <c r="BL4657">
        <v>0</v>
      </c>
      <c r="BO4657">
        <v>0</v>
      </c>
      <c r="BP4657">
        <v>0</v>
      </c>
      <c r="BW4657" t="str">
        <f t="shared" si="2143"/>
        <v>14:49:47.269</v>
      </c>
      <c r="CJ4657">
        <v>0</v>
      </c>
      <c r="CK4657">
        <v>2</v>
      </c>
      <c r="CL4657">
        <v>0</v>
      </c>
      <c r="CM4657">
        <v>2</v>
      </c>
      <c r="CN4657">
        <v>0</v>
      </c>
      <c r="CO4657">
        <v>7</v>
      </c>
      <c r="CP4657" t="s">
        <v>119</v>
      </c>
      <c r="CQ4657">
        <v>8</v>
      </c>
      <c r="CR4657">
        <v>3</v>
      </c>
      <c r="CW4657">
        <v>9181700</v>
      </c>
      <c r="CY4657">
        <v>1</v>
      </c>
      <c r="CZ4657">
        <v>0</v>
      </c>
      <c r="DA4657">
        <v>1</v>
      </c>
      <c r="DB4657">
        <v>0</v>
      </c>
      <c r="DC4657">
        <v>0</v>
      </c>
      <c r="DD4657">
        <v>1</v>
      </c>
      <c r="DE4657">
        <v>0</v>
      </c>
      <c r="DF4657">
        <v>0</v>
      </c>
      <c r="DG4657">
        <v>0</v>
      </c>
      <c r="DH4657">
        <v>0</v>
      </c>
      <c r="DI4657">
        <v>0</v>
      </c>
    </row>
    <row r="4658" spans="1:113" x14ac:dyDescent="0.3">
      <c r="A4658" t="str">
        <f t="shared" si="2140"/>
        <v>05/12/2020 14:49:29.426</v>
      </c>
      <c r="C4658" t="str">
        <f t="shared" si="2131"/>
        <v>FFDFD3C0</v>
      </c>
      <c r="D4658" t="s">
        <v>131</v>
      </c>
      <c r="E4658">
        <v>18</v>
      </c>
      <c r="F4658">
        <v>2018</v>
      </c>
      <c r="G4658" t="s">
        <v>161</v>
      </c>
      <c r="J4658" t="s">
        <v>133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 t="shared" si="2141"/>
        <v>14:49:47.266</v>
      </c>
      <c r="T4658" t="str">
        <f t="shared" si="2142"/>
        <v>14:49:47.166</v>
      </c>
      <c r="U4658" t="str">
        <f t="shared" si="2123"/>
        <v>A9808D</v>
      </c>
      <c r="V4658">
        <v>0</v>
      </c>
      <c r="W4658">
        <v>0</v>
      </c>
      <c r="X4658">
        <v>1</v>
      </c>
      <c r="Z4658">
        <v>0</v>
      </c>
      <c r="AA4658">
        <v>9</v>
      </c>
      <c r="AB4658">
        <v>3</v>
      </c>
      <c r="AC4658">
        <v>0</v>
      </c>
      <c r="AD4658">
        <v>10</v>
      </c>
      <c r="AE4658">
        <v>0</v>
      </c>
      <c r="AF4658">
        <v>3</v>
      </c>
      <c r="AG4658">
        <v>2</v>
      </c>
      <c r="AH4658">
        <v>0</v>
      </c>
      <c r="AI4658" t="s">
        <v>1039</v>
      </c>
      <c r="AJ4658">
        <v>28.243252999999999</v>
      </c>
      <c r="AK4658" t="s">
        <v>1040</v>
      </c>
      <c r="AL4658">
        <v>-82.342465000000004</v>
      </c>
      <c r="AM4658">
        <v>100</v>
      </c>
      <c r="AN4658">
        <v>2100</v>
      </c>
      <c r="AO4658" t="s">
        <v>118</v>
      </c>
      <c r="AP4658">
        <v>-139</v>
      </c>
      <c r="AQ4658">
        <v>-38</v>
      </c>
      <c r="AR4658">
        <v>-128</v>
      </c>
      <c r="AZ4658">
        <v>1200</v>
      </c>
      <c r="BA4658">
        <v>1</v>
      </c>
      <c r="BB4658" t="str">
        <f t="shared" si="2132"/>
        <v xml:space="preserve">N711JA  </v>
      </c>
      <c r="BC4658">
        <v>1</v>
      </c>
      <c r="BE4658">
        <v>0</v>
      </c>
      <c r="BF4658">
        <v>0</v>
      </c>
      <c r="BG4658">
        <v>0</v>
      </c>
      <c r="BH4658">
        <v>2175</v>
      </c>
      <c r="BI4658">
        <v>1</v>
      </c>
      <c r="BJ4658">
        <v>1</v>
      </c>
      <c r="BK4658">
        <v>0</v>
      </c>
      <c r="BL4658">
        <v>0</v>
      </c>
      <c r="BO4658">
        <v>0</v>
      </c>
      <c r="BP4658">
        <v>0</v>
      </c>
      <c r="BW4658" t="str">
        <f t="shared" si="2143"/>
        <v>14:49:47.269</v>
      </c>
      <c r="CJ4658">
        <v>0</v>
      </c>
      <c r="CK4658">
        <v>2</v>
      </c>
      <c r="CL4658">
        <v>0</v>
      </c>
      <c r="CM4658">
        <v>2</v>
      </c>
      <c r="CN4658">
        <v>0</v>
      </c>
      <c r="CO4658">
        <v>7</v>
      </c>
      <c r="CP4658" t="s">
        <v>119</v>
      </c>
      <c r="CQ4658">
        <v>343</v>
      </c>
      <c r="CR4658">
        <v>2</v>
      </c>
      <c r="CW4658">
        <v>13336950</v>
      </c>
      <c r="CY4658">
        <v>1</v>
      </c>
      <c r="CZ4658">
        <v>0</v>
      </c>
      <c r="DA4658">
        <v>1</v>
      </c>
      <c r="DB4658">
        <v>0</v>
      </c>
      <c r="DC4658">
        <v>0</v>
      </c>
      <c r="DD4658">
        <v>1</v>
      </c>
      <c r="DE4658">
        <v>0</v>
      </c>
      <c r="DF4658">
        <v>0</v>
      </c>
      <c r="DG4658">
        <v>0</v>
      </c>
      <c r="DH4658">
        <v>0</v>
      </c>
      <c r="DI4658">
        <v>0</v>
      </c>
    </row>
    <row r="4659" spans="1:113" x14ac:dyDescent="0.3">
      <c r="A4659" t="str">
        <f t="shared" ref="A4659:A4667" si="2144">"05/12/2020 14:49:30.317"</f>
        <v>05/12/2020 14:49:30.317</v>
      </c>
      <c r="C4659" t="str">
        <f t="shared" si="2131"/>
        <v>FFDFD3C0</v>
      </c>
      <c r="D4659" t="s">
        <v>131</v>
      </c>
      <c r="E4659">
        <v>10</v>
      </c>
      <c r="F4659">
        <v>2010</v>
      </c>
      <c r="G4659" t="s">
        <v>132</v>
      </c>
      <c r="J4659" t="s">
        <v>133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 t="shared" ref="S4659:T4667" si="2145">"14:49:48.125"</f>
        <v>14:49:48.125</v>
      </c>
      <c r="T4659" t="str">
        <f t="shared" si="2145"/>
        <v>14:49:48.125</v>
      </c>
      <c r="U4659" t="str">
        <f t="shared" si="2123"/>
        <v>A9808D</v>
      </c>
      <c r="V4659">
        <v>0</v>
      </c>
      <c r="W4659">
        <v>0</v>
      </c>
      <c r="X4659">
        <v>1</v>
      </c>
      <c r="Z4659">
        <v>0</v>
      </c>
      <c r="AA4659">
        <v>9</v>
      </c>
      <c r="AB4659">
        <v>3</v>
      </c>
      <c r="AC4659">
        <v>0</v>
      </c>
      <c r="AD4659">
        <v>10</v>
      </c>
      <c r="AE4659">
        <v>0</v>
      </c>
      <c r="AF4659">
        <v>3</v>
      </c>
      <c r="AG4659">
        <v>2</v>
      </c>
      <c r="AH4659">
        <v>0</v>
      </c>
      <c r="AI4659" t="s">
        <v>1041</v>
      </c>
      <c r="AJ4659">
        <v>28.243103000000001</v>
      </c>
      <c r="AK4659" t="s">
        <v>1042</v>
      </c>
      <c r="AL4659">
        <v>-82.343023000000002</v>
      </c>
      <c r="AM4659">
        <v>100</v>
      </c>
      <c r="AN4659">
        <v>2100</v>
      </c>
      <c r="AO4659" t="s">
        <v>118</v>
      </c>
      <c r="AP4659">
        <v>-139</v>
      </c>
      <c r="AQ4659">
        <v>-39</v>
      </c>
      <c r="AR4659">
        <v>-128</v>
      </c>
      <c r="AZ4659">
        <v>1200</v>
      </c>
      <c r="BA4659">
        <v>1</v>
      </c>
      <c r="BB4659" t="str">
        <f t="shared" si="2132"/>
        <v xml:space="preserve">N711JA  </v>
      </c>
      <c r="BC4659">
        <v>1</v>
      </c>
      <c r="BE4659">
        <v>0</v>
      </c>
      <c r="BF4659">
        <v>0</v>
      </c>
      <c r="BG4659">
        <v>0</v>
      </c>
      <c r="BH4659">
        <v>2175</v>
      </c>
      <c r="BI4659">
        <v>1</v>
      </c>
      <c r="BJ4659">
        <v>1</v>
      </c>
      <c r="BK4659">
        <v>0</v>
      </c>
      <c r="BL4659">
        <v>0</v>
      </c>
      <c r="BO4659">
        <v>0</v>
      </c>
      <c r="BP4659">
        <v>0</v>
      </c>
      <c r="BW4659" t="str">
        <f t="shared" ref="BW4659:BW4667" si="2146">"14:49:48.133"</f>
        <v>14:49:48.133</v>
      </c>
      <c r="CJ4659">
        <v>0</v>
      </c>
      <c r="CK4659">
        <v>2</v>
      </c>
      <c r="CL4659">
        <v>0</v>
      </c>
      <c r="CM4659">
        <v>2</v>
      </c>
      <c r="CN4659">
        <v>0</v>
      </c>
      <c r="CO4659">
        <v>7</v>
      </c>
      <c r="CP4659" t="s">
        <v>119</v>
      </c>
      <c r="CQ4659">
        <v>8</v>
      </c>
      <c r="CR4659">
        <v>1</v>
      </c>
      <c r="CW4659">
        <v>10445748</v>
      </c>
      <c r="CY4659">
        <v>1</v>
      </c>
      <c r="CZ4659">
        <v>0</v>
      </c>
      <c r="DA4659">
        <v>0</v>
      </c>
      <c r="DB4659">
        <v>0</v>
      </c>
      <c r="DC4659">
        <v>0</v>
      </c>
      <c r="DD4659">
        <v>1</v>
      </c>
      <c r="DE4659">
        <v>0</v>
      </c>
      <c r="DF4659">
        <v>0</v>
      </c>
      <c r="DG4659">
        <v>0</v>
      </c>
      <c r="DH4659">
        <v>0</v>
      </c>
      <c r="DI4659">
        <v>0</v>
      </c>
    </row>
    <row r="4660" spans="1:113" x14ac:dyDescent="0.3">
      <c r="A4660" t="str">
        <f t="shared" si="2144"/>
        <v>05/12/2020 14:49:30.317</v>
      </c>
      <c r="C4660" t="str">
        <f t="shared" si="2131"/>
        <v>FFDFD3C0</v>
      </c>
      <c r="D4660" t="s">
        <v>126</v>
      </c>
      <c r="E4660">
        <v>7</v>
      </c>
      <c r="F4660">
        <v>1007</v>
      </c>
      <c r="G4660" t="s">
        <v>127</v>
      </c>
      <c r="J4660" t="s">
        <v>128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 t="shared" si="2145"/>
        <v>14:49:48.125</v>
      </c>
      <c r="T4660" t="str">
        <f t="shared" si="2145"/>
        <v>14:49:48.125</v>
      </c>
      <c r="U4660" t="str">
        <f t="shared" si="2123"/>
        <v>A9808D</v>
      </c>
      <c r="V4660">
        <v>0</v>
      </c>
      <c r="W4660">
        <v>0</v>
      </c>
      <c r="X4660">
        <v>1</v>
      </c>
      <c r="Z4660">
        <v>0</v>
      </c>
      <c r="AA4660">
        <v>9</v>
      </c>
      <c r="AB4660">
        <v>3</v>
      </c>
      <c r="AC4660">
        <v>0</v>
      </c>
      <c r="AD4660">
        <v>10</v>
      </c>
      <c r="AE4660">
        <v>0</v>
      </c>
      <c r="AF4660">
        <v>3</v>
      </c>
      <c r="AG4660">
        <v>2</v>
      </c>
      <c r="AH4660">
        <v>0</v>
      </c>
      <c r="AI4660" t="s">
        <v>1041</v>
      </c>
      <c r="AJ4660">
        <v>28.243103000000001</v>
      </c>
      <c r="AK4660" t="s">
        <v>1042</v>
      </c>
      <c r="AL4660">
        <v>-82.343023000000002</v>
      </c>
      <c r="AM4660">
        <v>100</v>
      </c>
      <c r="AN4660">
        <v>2100</v>
      </c>
      <c r="AO4660" t="s">
        <v>118</v>
      </c>
      <c r="AP4660">
        <v>-139</v>
      </c>
      <c r="AQ4660">
        <v>-39</v>
      </c>
      <c r="AR4660">
        <v>-128</v>
      </c>
      <c r="AZ4660">
        <v>1200</v>
      </c>
      <c r="BA4660">
        <v>1</v>
      </c>
      <c r="BB4660" t="str">
        <f t="shared" si="2132"/>
        <v xml:space="preserve">N711JA  </v>
      </c>
      <c r="BC4660">
        <v>1</v>
      </c>
      <c r="BE4660">
        <v>0</v>
      </c>
      <c r="BF4660">
        <v>0</v>
      </c>
      <c r="BG4660">
        <v>0</v>
      </c>
      <c r="BH4660">
        <v>2175</v>
      </c>
      <c r="BI4660">
        <v>1</v>
      </c>
      <c r="BJ4660">
        <v>1</v>
      </c>
      <c r="BK4660">
        <v>0</v>
      </c>
      <c r="BL4660">
        <v>0</v>
      </c>
      <c r="BO4660">
        <v>0</v>
      </c>
      <c r="BP4660">
        <v>0</v>
      </c>
      <c r="BW4660" t="str">
        <f t="shared" si="2146"/>
        <v>14:49:48.133</v>
      </c>
      <c r="CJ4660">
        <v>0</v>
      </c>
      <c r="CK4660">
        <v>2</v>
      </c>
      <c r="CL4660">
        <v>0</v>
      </c>
      <c r="CM4660">
        <v>2</v>
      </c>
      <c r="CN4660">
        <v>0</v>
      </c>
      <c r="CO4660">
        <v>7</v>
      </c>
      <c r="CP4660" t="s">
        <v>119</v>
      </c>
      <c r="CQ4660">
        <v>8</v>
      </c>
      <c r="CR4660">
        <v>1</v>
      </c>
      <c r="CW4660">
        <v>10445748</v>
      </c>
      <c r="CY4660">
        <v>1</v>
      </c>
      <c r="CZ4660">
        <v>0</v>
      </c>
      <c r="DA4660">
        <v>1</v>
      </c>
      <c r="DB4660">
        <v>0</v>
      </c>
      <c r="DC4660">
        <v>0</v>
      </c>
      <c r="DD4660">
        <v>1</v>
      </c>
      <c r="DE4660">
        <v>0</v>
      </c>
      <c r="DF4660">
        <v>0</v>
      </c>
      <c r="DG4660">
        <v>0</v>
      </c>
      <c r="DH4660">
        <v>0</v>
      </c>
      <c r="DI4660">
        <v>0</v>
      </c>
    </row>
    <row r="4661" spans="1:113" x14ac:dyDescent="0.3">
      <c r="A4661" t="str">
        <f t="shared" si="2144"/>
        <v>05/12/2020 14:49:30.317</v>
      </c>
      <c r="C4661" t="str">
        <f t="shared" si="2131"/>
        <v>FFDFD3C0</v>
      </c>
      <c r="D4661" t="s">
        <v>131</v>
      </c>
      <c r="E4661">
        <v>12</v>
      </c>
      <c r="F4661">
        <v>2012</v>
      </c>
      <c r="G4661" t="s">
        <v>137</v>
      </c>
      <c r="J4661" t="s">
        <v>133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 t="shared" si="2145"/>
        <v>14:49:48.125</v>
      </c>
      <c r="T4661" t="str">
        <f t="shared" si="2145"/>
        <v>14:49:48.125</v>
      </c>
      <c r="U4661" t="str">
        <f t="shared" si="2123"/>
        <v>A9808D</v>
      </c>
      <c r="V4661">
        <v>0</v>
      </c>
      <c r="W4661">
        <v>0</v>
      </c>
      <c r="X4661">
        <v>1</v>
      </c>
      <c r="Z4661">
        <v>0</v>
      </c>
      <c r="AA4661">
        <v>9</v>
      </c>
      <c r="AB4661">
        <v>3</v>
      </c>
      <c r="AC4661">
        <v>0</v>
      </c>
      <c r="AD4661">
        <v>10</v>
      </c>
      <c r="AE4661">
        <v>0</v>
      </c>
      <c r="AF4661">
        <v>3</v>
      </c>
      <c r="AG4661">
        <v>2</v>
      </c>
      <c r="AH4661">
        <v>0</v>
      </c>
      <c r="AI4661" t="s">
        <v>1041</v>
      </c>
      <c r="AJ4661">
        <v>28.243103000000001</v>
      </c>
      <c r="AK4661" t="s">
        <v>1042</v>
      </c>
      <c r="AL4661">
        <v>-82.343023000000002</v>
      </c>
      <c r="AM4661">
        <v>100</v>
      </c>
      <c r="AN4661">
        <v>2100</v>
      </c>
      <c r="AO4661" t="s">
        <v>118</v>
      </c>
      <c r="AP4661">
        <v>-139</v>
      </c>
      <c r="AQ4661">
        <v>-39</v>
      </c>
      <c r="AR4661">
        <v>-128</v>
      </c>
      <c r="AZ4661">
        <v>1200</v>
      </c>
      <c r="BA4661">
        <v>1</v>
      </c>
      <c r="BB4661" t="str">
        <f t="shared" si="2132"/>
        <v xml:space="preserve">N711JA  </v>
      </c>
      <c r="BC4661">
        <v>1</v>
      </c>
      <c r="BE4661">
        <v>0</v>
      </c>
      <c r="BF4661">
        <v>0</v>
      </c>
      <c r="BG4661">
        <v>0</v>
      </c>
      <c r="BH4661">
        <v>2175</v>
      </c>
      <c r="BI4661">
        <v>1</v>
      </c>
      <c r="BJ4661">
        <v>1</v>
      </c>
      <c r="BK4661">
        <v>0</v>
      </c>
      <c r="BL4661">
        <v>0</v>
      </c>
      <c r="BO4661">
        <v>0</v>
      </c>
      <c r="BP4661">
        <v>0</v>
      </c>
      <c r="BW4661" t="str">
        <f t="shared" si="2146"/>
        <v>14:49:48.133</v>
      </c>
      <c r="CJ4661">
        <v>0</v>
      </c>
      <c r="CK4661">
        <v>2</v>
      </c>
      <c r="CL4661">
        <v>0</v>
      </c>
      <c r="CM4661">
        <v>2</v>
      </c>
      <c r="CN4661">
        <v>0</v>
      </c>
      <c r="CO4661">
        <v>7</v>
      </c>
      <c r="CP4661" t="s">
        <v>119</v>
      </c>
      <c r="CQ4661">
        <v>8</v>
      </c>
      <c r="CR4661">
        <v>1</v>
      </c>
      <c r="CW4661">
        <v>10445748</v>
      </c>
      <c r="CY4661">
        <v>1</v>
      </c>
      <c r="CZ4661">
        <v>0</v>
      </c>
      <c r="DA4661">
        <v>1</v>
      </c>
      <c r="DB4661">
        <v>0</v>
      </c>
      <c r="DC4661">
        <v>0</v>
      </c>
      <c r="DD4661">
        <v>1</v>
      </c>
      <c r="DE4661">
        <v>0</v>
      </c>
      <c r="DF4661">
        <v>0</v>
      </c>
      <c r="DG4661">
        <v>0</v>
      </c>
      <c r="DH4661">
        <v>0</v>
      </c>
      <c r="DI4661">
        <v>0</v>
      </c>
    </row>
    <row r="4662" spans="1:113" x14ac:dyDescent="0.3">
      <c r="A4662" t="str">
        <f t="shared" si="2144"/>
        <v>05/12/2020 14:49:30.317</v>
      </c>
      <c r="C4662" t="str">
        <f t="shared" si="2131"/>
        <v>FFDFD3C0</v>
      </c>
      <c r="D4662" t="s">
        <v>113</v>
      </c>
      <c r="E4662">
        <v>3</v>
      </c>
      <c r="H4662">
        <v>164</v>
      </c>
      <c r="I4662" t="s">
        <v>114</v>
      </c>
      <c r="J4662" t="s">
        <v>115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 t="shared" si="2145"/>
        <v>14:49:48.125</v>
      </c>
      <c r="T4662" t="str">
        <f t="shared" si="2145"/>
        <v>14:49:48.125</v>
      </c>
      <c r="U4662" t="str">
        <f t="shared" si="2123"/>
        <v>A9808D</v>
      </c>
      <c r="V4662">
        <v>0</v>
      </c>
      <c r="W4662">
        <v>0</v>
      </c>
      <c r="X4662">
        <v>1</v>
      </c>
      <c r="Z4662">
        <v>0</v>
      </c>
      <c r="AA4662">
        <v>9</v>
      </c>
      <c r="AB4662">
        <v>3</v>
      </c>
      <c r="AC4662">
        <v>0</v>
      </c>
      <c r="AD4662">
        <v>10</v>
      </c>
      <c r="AE4662">
        <v>0</v>
      </c>
      <c r="AF4662">
        <v>3</v>
      </c>
      <c r="AG4662">
        <v>2</v>
      </c>
      <c r="AH4662">
        <v>0</v>
      </c>
      <c r="AI4662" t="s">
        <v>1041</v>
      </c>
      <c r="AJ4662">
        <v>28.243103000000001</v>
      </c>
      <c r="AK4662" t="s">
        <v>1042</v>
      </c>
      <c r="AL4662">
        <v>-82.343023000000002</v>
      </c>
      <c r="AM4662">
        <v>100</v>
      </c>
      <c r="AN4662">
        <v>2100</v>
      </c>
      <c r="AO4662" t="s">
        <v>118</v>
      </c>
      <c r="AP4662">
        <v>-139</v>
      </c>
      <c r="AQ4662">
        <v>-39</v>
      </c>
      <c r="AR4662">
        <v>-128</v>
      </c>
      <c r="AZ4662">
        <v>1200</v>
      </c>
      <c r="BA4662">
        <v>1</v>
      </c>
      <c r="BB4662" t="str">
        <f t="shared" si="2132"/>
        <v xml:space="preserve">N711JA  </v>
      </c>
      <c r="BC4662">
        <v>1</v>
      </c>
      <c r="BE4662">
        <v>0</v>
      </c>
      <c r="BF4662">
        <v>0</v>
      </c>
      <c r="BG4662">
        <v>0</v>
      </c>
      <c r="BH4662">
        <v>2175</v>
      </c>
      <c r="BI4662">
        <v>1</v>
      </c>
      <c r="BJ4662">
        <v>1</v>
      </c>
      <c r="BK4662">
        <v>0</v>
      </c>
      <c r="BL4662">
        <v>0</v>
      </c>
      <c r="BO4662">
        <v>0</v>
      </c>
      <c r="BP4662">
        <v>0</v>
      </c>
      <c r="BW4662" t="str">
        <f t="shared" si="2146"/>
        <v>14:49:48.133</v>
      </c>
      <c r="CJ4662">
        <v>0</v>
      </c>
      <c r="CK4662">
        <v>2</v>
      </c>
      <c r="CL4662">
        <v>0</v>
      </c>
      <c r="CM4662">
        <v>2</v>
      </c>
      <c r="CN4662">
        <v>0</v>
      </c>
      <c r="CO4662">
        <v>7</v>
      </c>
      <c r="CP4662" t="s">
        <v>119</v>
      </c>
      <c r="CQ4662">
        <v>8</v>
      </c>
      <c r="CR4662">
        <v>1</v>
      </c>
      <c r="CW4662">
        <v>10445748</v>
      </c>
      <c r="CY4662">
        <v>1</v>
      </c>
      <c r="CZ4662">
        <v>0</v>
      </c>
      <c r="DA4662">
        <v>1</v>
      </c>
      <c r="DB4662">
        <v>0</v>
      </c>
      <c r="DC4662">
        <v>0</v>
      </c>
      <c r="DD4662">
        <v>1</v>
      </c>
      <c r="DE4662">
        <v>0</v>
      </c>
      <c r="DF4662">
        <v>0</v>
      </c>
      <c r="DG4662">
        <v>0</v>
      </c>
      <c r="DH4662">
        <v>0</v>
      </c>
      <c r="DI4662">
        <v>0</v>
      </c>
    </row>
    <row r="4663" spans="1:113" x14ac:dyDescent="0.3">
      <c r="A4663" t="str">
        <f t="shared" si="2144"/>
        <v>05/12/2020 14:49:30.317</v>
      </c>
      <c r="C4663" t="str">
        <f t="shared" si="2131"/>
        <v>FFDFD3C0</v>
      </c>
      <c r="D4663" t="s">
        <v>131</v>
      </c>
      <c r="E4663">
        <v>18</v>
      </c>
      <c r="F4663">
        <v>2018</v>
      </c>
      <c r="G4663" t="s">
        <v>161</v>
      </c>
      <c r="J4663" t="s">
        <v>133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 t="shared" si="2145"/>
        <v>14:49:48.125</v>
      </c>
      <c r="T4663" t="str">
        <f t="shared" si="2145"/>
        <v>14:49:48.125</v>
      </c>
      <c r="U4663" t="str">
        <f t="shared" si="2123"/>
        <v>A9808D</v>
      </c>
      <c r="V4663">
        <v>0</v>
      </c>
      <c r="W4663">
        <v>0</v>
      </c>
      <c r="X4663">
        <v>1</v>
      </c>
      <c r="Z4663">
        <v>0</v>
      </c>
      <c r="AA4663">
        <v>9</v>
      </c>
      <c r="AB4663">
        <v>3</v>
      </c>
      <c r="AC4663">
        <v>0</v>
      </c>
      <c r="AD4663">
        <v>10</v>
      </c>
      <c r="AE4663">
        <v>0</v>
      </c>
      <c r="AF4663">
        <v>3</v>
      </c>
      <c r="AG4663">
        <v>2</v>
      </c>
      <c r="AH4663">
        <v>0</v>
      </c>
      <c r="AI4663" t="s">
        <v>1041</v>
      </c>
      <c r="AJ4663">
        <v>28.243103000000001</v>
      </c>
      <c r="AK4663" t="s">
        <v>1042</v>
      </c>
      <c r="AL4663">
        <v>-82.343023000000002</v>
      </c>
      <c r="AM4663">
        <v>100</v>
      </c>
      <c r="AN4663">
        <v>2100</v>
      </c>
      <c r="AO4663" t="s">
        <v>118</v>
      </c>
      <c r="AP4663">
        <v>-139</v>
      </c>
      <c r="AQ4663">
        <v>-39</v>
      </c>
      <c r="AR4663">
        <v>-128</v>
      </c>
      <c r="AZ4663">
        <v>1200</v>
      </c>
      <c r="BA4663">
        <v>1</v>
      </c>
      <c r="BB4663" t="str">
        <f t="shared" si="2132"/>
        <v xml:space="preserve">N711JA  </v>
      </c>
      <c r="BC4663">
        <v>1</v>
      </c>
      <c r="BE4663">
        <v>0</v>
      </c>
      <c r="BF4663">
        <v>0</v>
      </c>
      <c r="BG4663">
        <v>0</v>
      </c>
      <c r="BH4663">
        <v>2175</v>
      </c>
      <c r="BI4663">
        <v>1</v>
      </c>
      <c r="BJ4663">
        <v>1</v>
      </c>
      <c r="BK4663">
        <v>0</v>
      </c>
      <c r="BL4663">
        <v>0</v>
      </c>
      <c r="BO4663">
        <v>0</v>
      </c>
      <c r="BP4663">
        <v>0</v>
      </c>
      <c r="BW4663" t="str">
        <f t="shared" si="2146"/>
        <v>14:49:48.133</v>
      </c>
      <c r="CJ4663">
        <v>0</v>
      </c>
      <c r="CK4663">
        <v>2</v>
      </c>
      <c r="CL4663">
        <v>0</v>
      </c>
      <c r="CM4663">
        <v>2</v>
      </c>
      <c r="CN4663">
        <v>0</v>
      </c>
      <c r="CO4663">
        <v>7</v>
      </c>
      <c r="CP4663" t="s">
        <v>119</v>
      </c>
      <c r="CQ4663">
        <v>343</v>
      </c>
      <c r="CR4663">
        <v>2</v>
      </c>
      <c r="CW4663">
        <v>13337651</v>
      </c>
      <c r="CY4663">
        <v>1</v>
      </c>
      <c r="CZ4663">
        <v>0</v>
      </c>
      <c r="DA4663">
        <v>1</v>
      </c>
      <c r="DB4663">
        <v>0</v>
      </c>
      <c r="DC4663">
        <v>0</v>
      </c>
      <c r="DD4663">
        <v>1</v>
      </c>
      <c r="DE4663">
        <v>0</v>
      </c>
      <c r="DF4663">
        <v>0</v>
      </c>
      <c r="DG4663">
        <v>0</v>
      </c>
      <c r="DH4663">
        <v>0</v>
      </c>
      <c r="DI4663">
        <v>0</v>
      </c>
    </row>
    <row r="4664" spans="1:113" x14ac:dyDescent="0.3">
      <c r="A4664" t="str">
        <f t="shared" si="2144"/>
        <v>05/12/2020 14:49:30.317</v>
      </c>
      <c r="C4664" t="str">
        <f t="shared" si="2131"/>
        <v>FFDFD3C0</v>
      </c>
      <c r="D4664" t="s">
        <v>138</v>
      </c>
      <c r="E4664">
        <v>2</v>
      </c>
      <c r="H4664">
        <v>8</v>
      </c>
      <c r="I4664" t="s">
        <v>139</v>
      </c>
      <c r="J4664" t="s">
        <v>136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 t="shared" si="2145"/>
        <v>14:49:48.125</v>
      </c>
      <c r="T4664" t="str">
        <f t="shared" si="2145"/>
        <v>14:49:48.125</v>
      </c>
      <c r="U4664" t="str">
        <f t="shared" si="2123"/>
        <v>A9808D</v>
      </c>
      <c r="V4664">
        <v>0</v>
      </c>
      <c r="W4664">
        <v>0</v>
      </c>
      <c r="X4664">
        <v>1</v>
      </c>
      <c r="Z4664">
        <v>0</v>
      </c>
      <c r="AA4664">
        <v>9</v>
      </c>
      <c r="AB4664">
        <v>3</v>
      </c>
      <c r="AC4664">
        <v>0</v>
      </c>
      <c r="AD4664">
        <v>10</v>
      </c>
      <c r="AE4664">
        <v>0</v>
      </c>
      <c r="AF4664">
        <v>3</v>
      </c>
      <c r="AG4664">
        <v>2</v>
      </c>
      <c r="AH4664">
        <v>0</v>
      </c>
      <c r="AI4664" t="s">
        <v>1041</v>
      </c>
      <c r="AJ4664">
        <v>28.243103000000001</v>
      </c>
      <c r="AK4664" t="s">
        <v>1042</v>
      </c>
      <c r="AL4664">
        <v>-82.343023000000002</v>
      </c>
      <c r="AM4664">
        <v>100</v>
      </c>
      <c r="AN4664">
        <v>2100</v>
      </c>
      <c r="AO4664" t="s">
        <v>118</v>
      </c>
      <c r="AP4664">
        <v>-139</v>
      </c>
      <c r="AQ4664">
        <v>-39</v>
      </c>
      <c r="AR4664">
        <v>-128</v>
      </c>
      <c r="AZ4664">
        <v>1200</v>
      </c>
      <c r="BA4664">
        <v>1</v>
      </c>
      <c r="BB4664" t="str">
        <f t="shared" si="2132"/>
        <v xml:space="preserve">N711JA  </v>
      </c>
      <c r="BC4664">
        <v>1</v>
      </c>
      <c r="BE4664">
        <v>0</v>
      </c>
      <c r="BF4664">
        <v>0</v>
      </c>
      <c r="BG4664">
        <v>0</v>
      </c>
      <c r="BH4664">
        <v>2175</v>
      </c>
      <c r="BI4664">
        <v>1</v>
      </c>
      <c r="BJ4664">
        <v>1</v>
      </c>
      <c r="BK4664">
        <v>0</v>
      </c>
      <c r="BL4664">
        <v>0</v>
      </c>
      <c r="BO4664">
        <v>0</v>
      </c>
      <c r="BP4664">
        <v>0</v>
      </c>
      <c r="BW4664" t="str">
        <f t="shared" si="2146"/>
        <v>14:49:48.133</v>
      </c>
      <c r="CJ4664">
        <v>0</v>
      </c>
      <c r="CK4664">
        <v>2</v>
      </c>
      <c r="CL4664">
        <v>0</v>
      </c>
      <c r="CM4664">
        <v>2</v>
      </c>
      <c r="CN4664">
        <v>0</v>
      </c>
      <c r="CO4664">
        <v>7</v>
      </c>
      <c r="CP4664" t="s">
        <v>119</v>
      </c>
      <c r="CQ4664">
        <v>8</v>
      </c>
      <c r="CR4664">
        <v>1</v>
      </c>
      <c r="CW4664">
        <v>10445748</v>
      </c>
      <c r="CY4664">
        <v>1</v>
      </c>
      <c r="CZ4664">
        <v>0</v>
      </c>
      <c r="DA4664">
        <v>1</v>
      </c>
      <c r="DB4664">
        <v>0</v>
      </c>
      <c r="DC4664">
        <v>0</v>
      </c>
      <c r="DD4664">
        <v>1</v>
      </c>
      <c r="DE4664">
        <v>0</v>
      </c>
      <c r="DF4664">
        <v>0</v>
      </c>
      <c r="DG4664">
        <v>0</v>
      </c>
      <c r="DH4664">
        <v>0</v>
      </c>
      <c r="DI4664">
        <v>0</v>
      </c>
    </row>
    <row r="4665" spans="1:113" x14ac:dyDescent="0.3">
      <c r="A4665" t="str">
        <f t="shared" si="2144"/>
        <v>05/12/2020 14:49:30.317</v>
      </c>
      <c r="C4665" t="str">
        <f t="shared" si="2131"/>
        <v>FFDFD3C0</v>
      </c>
      <c r="D4665" t="s">
        <v>138</v>
      </c>
      <c r="E4665">
        <v>3</v>
      </c>
      <c r="H4665">
        <v>9</v>
      </c>
      <c r="I4665" t="s">
        <v>140</v>
      </c>
      <c r="J4665" t="s">
        <v>136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 t="shared" si="2145"/>
        <v>14:49:48.125</v>
      </c>
      <c r="T4665" t="str">
        <f t="shared" si="2145"/>
        <v>14:49:48.125</v>
      </c>
      <c r="U4665" t="str">
        <f t="shared" si="2123"/>
        <v>A9808D</v>
      </c>
      <c r="V4665">
        <v>0</v>
      </c>
      <c r="W4665">
        <v>0</v>
      </c>
      <c r="X4665">
        <v>1</v>
      </c>
      <c r="Z4665">
        <v>0</v>
      </c>
      <c r="AA4665">
        <v>9</v>
      </c>
      <c r="AB4665">
        <v>3</v>
      </c>
      <c r="AC4665">
        <v>0</v>
      </c>
      <c r="AD4665">
        <v>10</v>
      </c>
      <c r="AE4665">
        <v>0</v>
      </c>
      <c r="AF4665">
        <v>3</v>
      </c>
      <c r="AG4665">
        <v>2</v>
      </c>
      <c r="AH4665">
        <v>0</v>
      </c>
      <c r="AI4665" t="s">
        <v>1041</v>
      </c>
      <c r="AJ4665">
        <v>28.243103000000001</v>
      </c>
      <c r="AK4665" t="s">
        <v>1042</v>
      </c>
      <c r="AL4665">
        <v>-82.343023000000002</v>
      </c>
      <c r="AM4665">
        <v>100</v>
      </c>
      <c r="AN4665">
        <v>2100</v>
      </c>
      <c r="AO4665" t="s">
        <v>118</v>
      </c>
      <c r="AP4665">
        <v>-139</v>
      </c>
      <c r="AQ4665">
        <v>-39</v>
      </c>
      <c r="AR4665">
        <v>-128</v>
      </c>
      <c r="AZ4665">
        <v>1200</v>
      </c>
      <c r="BA4665">
        <v>1</v>
      </c>
      <c r="BB4665" t="str">
        <f t="shared" si="2132"/>
        <v xml:space="preserve">N711JA  </v>
      </c>
      <c r="BC4665">
        <v>1</v>
      </c>
      <c r="BE4665">
        <v>0</v>
      </c>
      <c r="BF4665">
        <v>0</v>
      </c>
      <c r="BG4665">
        <v>0</v>
      </c>
      <c r="BH4665">
        <v>2175</v>
      </c>
      <c r="BI4665">
        <v>1</v>
      </c>
      <c r="BJ4665">
        <v>1</v>
      </c>
      <c r="BK4665">
        <v>0</v>
      </c>
      <c r="BL4665">
        <v>0</v>
      </c>
      <c r="BO4665">
        <v>0</v>
      </c>
      <c r="BP4665">
        <v>0</v>
      </c>
      <c r="BW4665" t="str">
        <f t="shared" si="2146"/>
        <v>14:49:48.133</v>
      </c>
      <c r="CJ4665">
        <v>0</v>
      </c>
      <c r="CK4665">
        <v>2</v>
      </c>
      <c r="CL4665">
        <v>0</v>
      </c>
      <c r="CM4665">
        <v>2</v>
      </c>
      <c r="CN4665">
        <v>0</v>
      </c>
      <c r="CO4665">
        <v>7</v>
      </c>
      <c r="CP4665" t="s">
        <v>119</v>
      </c>
      <c r="CQ4665">
        <v>8</v>
      </c>
      <c r="CR4665">
        <v>1</v>
      </c>
      <c r="CW4665">
        <v>10445748</v>
      </c>
      <c r="CY4665">
        <v>1</v>
      </c>
      <c r="CZ4665">
        <v>0</v>
      </c>
      <c r="DA4665">
        <v>1</v>
      </c>
      <c r="DB4665">
        <v>0</v>
      </c>
      <c r="DC4665">
        <v>0</v>
      </c>
      <c r="DD4665">
        <v>1</v>
      </c>
      <c r="DE4665">
        <v>0</v>
      </c>
      <c r="DF4665">
        <v>0</v>
      </c>
      <c r="DG4665">
        <v>0</v>
      </c>
      <c r="DH4665">
        <v>0</v>
      </c>
      <c r="DI4665">
        <v>0</v>
      </c>
    </row>
    <row r="4666" spans="1:113" x14ac:dyDescent="0.3">
      <c r="A4666" t="str">
        <f t="shared" si="2144"/>
        <v>05/12/2020 14:49:30.317</v>
      </c>
      <c r="C4666" t="str">
        <f t="shared" si="2131"/>
        <v>FFDFD3C0</v>
      </c>
      <c r="D4666" t="s">
        <v>134</v>
      </c>
      <c r="E4666">
        <v>12</v>
      </c>
      <c r="H4666">
        <v>64</v>
      </c>
      <c r="I4666" t="s">
        <v>135</v>
      </c>
      <c r="J4666" t="s">
        <v>136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 t="shared" si="2145"/>
        <v>14:49:48.125</v>
      </c>
      <c r="T4666" t="str">
        <f t="shared" si="2145"/>
        <v>14:49:48.125</v>
      </c>
      <c r="U4666" t="str">
        <f t="shared" si="2123"/>
        <v>A9808D</v>
      </c>
      <c r="V4666">
        <v>0</v>
      </c>
      <c r="W4666">
        <v>0</v>
      </c>
      <c r="X4666">
        <v>1</v>
      </c>
      <c r="Z4666">
        <v>0</v>
      </c>
      <c r="AA4666">
        <v>9</v>
      </c>
      <c r="AB4666">
        <v>3</v>
      </c>
      <c r="AC4666">
        <v>0</v>
      </c>
      <c r="AD4666">
        <v>10</v>
      </c>
      <c r="AE4666">
        <v>0</v>
      </c>
      <c r="AF4666">
        <v>3</v>
      </c>
      <c r="AG4666">
        <v>2</v>
      </c>
      <c r="AH4666">
        <v>0</v>
      </c>
      <c r="AI4666" t="s">
        <v>1041</v>
      </c>
      <c r="AJ4666">
        <v>28.243103000000001</v>
      </c>
      <c r="AK4666" t="s">
        <v>1042</v>
      </c>
      <c r="AL4666">
        <v>-82.343023000000002</v>
      </c>
      <c r="AM4666">
        <v>100</v>
      </c>
      <c r="AN4666">
        <v>2100</v>
      </c>
      <c r="AO4666" t="s">
        <v>118</v>
      </c>
      <c r="AP4666">
        <v>-139</v>
      </c>
      <c r="AQ4666">
        <v>-39</v>
      </c>
      <c r="AR4666">
        <v>-128</v>
      </c>
      <c r="AZ4666">
        <v>1200</v>
      </c>
      <c r="BA4666">
        <v>1</v>
      </c>
      <c r="BB4666" t="str">
        <f t="shared" si="2132"/>
        <v xml:space="preserve">N711JA  </v>
      </c>
      <c r="BC4666">
        <v>1</v>
      </c>
      <c r="BE4666">
        <v>0</v>
      </c>
      <c r="BF4666">
        <v>0</v>
      </c>
      <c r="BG4666">
        <v>0</v>
      </c>
      <c r="BH4666">
        <v>2175</v>
      </c>
      <c r="BI4666">
        <v>1</v>
      </c>
      <c r="BJ4666">
        <v>1</v>
      </c>
      <c r="BK4666">
        <v>0</v>
      </c>
      <c r="BL4666">
        <v>0</v>
      </c>
      <c r="BO4666">
        <v>0</v>
      </c>
      <c r="BP4666">
        <v>0</v>
      </c>
      <c r="BW4666" t="str">
        <f t="shared" si="2146"/>
        <v>14:49:48.133</v>
      </c>
      <c r="CJ4666">
        <v>0</v>
      </c>
      <c r="CK4666">
        <v>2</v>
      </c>
      <c r="CL4666">
        <v>0</v>
      </c>
      <c r="CM4666">
        <v>2</v>
      </c>
      <c r="CN4666">
        <v>0</v>
      </c>
      <c r="CO4666">
        <v>7</v>
      </c>
      <c r="CP4666" t="s">
        <v>119</v>
      </c>
      <c r="CQ4666">
        <v>8</v>
      </c>
      <c r="CR4666">
        <v>1</v>
      </c>
      <c r="CW4666">
        <v>10445748</v>
      </c>
      <c r="CY4666">
        <v>1</v>
      </c>
      <c r="CZ4666">
        <v>0</v>
      </c>
      <c r="DA4666">
        <v>1</v>
      </c>
      <c r="DB4666">
        <v>0</v>
      </c>
      <c r="DC4666">
        <v>0</v>
      </c>
      <c r="DD4666">
        <v>1</v>
      </c>
      <c r="DE4666">
        <v>0</v>
      </c>
      <c r="DF4666">
        <v>0</v>
      </c>
      <c r="DG4666">
        <v>0</v>
      </c>
      <c r="DH4666">
        <v>0</v>
      </c>
      <c r="DI4666">
        <v>0</v>
      </c>
    </row>
    <row r="4667" spans="1:113" x14ac:dyDescent="0.3">
      <c r="A4667" t="str">
        <f t="shared" si="2144"/>
        <v>05/12/2020 14:49:30.317</v>
      </c>
      <c r="C4667" t="str">
        <f t="shared" si="2131"/>
        <v>FFDFD3C0</v>
      </c>
      <c r="D4667" t="s">
        <v>126</v>
      </c>
      <c r="E4667">
        <v>6</v>
      </c>
      <c r="F4667">
        <v>1006</v>
      </c>
      <c r="G4667" t="s">
        <v>114</v>
      </c>
      <c r="J4667" t="s">
        <v>128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 t="shared" si="2145"/>
        <v>14:49:48.125</v>
      </c>
      <c r="T4667" t="str">
        <f t="shared" si="2145"/>
        <v>14:49:48.125</v>
      </c>
      <c r="U4667" t="str">
        <f t="shared" si="2123"/>
        <v>A9808D</v>
      </c>
      <c r="V4667">
        <v>0</v>
      </c>
      <c r="W4667">
        <v>0</v>
      </c>
      <c r="X4667">
        <v>1</v>
      </c>
      <c r="Z4667">
        <v>0</v>
      </c>
      <c r="AA4667">
        <v>9</v>
      </c>
      <c r="AB4667">
        <v>3</v>
      </c>
      <c r="AC4667">
        <v>0</v>
      </c>
      <c r="AD4667">
        <v>10</v>
      </c>
      <c r="AE4667">
        <v>0</v>
      </c>
      <c r="AF4667">
        <v>3</v>
      </c>
      <c r="AG4667">
        <v>2</v>
      </c>
      <c r="AH4667">
        <v>0</v>
      </c>
      <c r="AI4667" t="s">
        <v>1041</v>
      </c>
      <c r="AJ4667">
        <v>28.243103000000001</v>
      </c>
      <c r="AK4667" t="s">
        <v>1042</v>
      </c>
      <c r="AL4667">
        <v>-82.343023000000002</v>
      </c>
      <c r="AM4667">
        <v>100</v>
      </c>
      <c r="AN4667">
        <v>2100</v>
      </c>
      <c r="AO4667" t="s">
        <v>118</v>
      </c>
      <c r="AP4667">
        <v>-139</v>
      </c>
      <c r="AQ4667">
        <v>-39</v>
      </c>
      <c r="AR4667">
        <v>-128</v>
      </c>
      <c r="AZ4667">
        <v>1200</v>
      </c>
      <c r="BA4667">
        <v>1</v>
      </c>
      <c r="BB4667" t="str">
        <f t="shared" si="2132"/>
        <v xml:space="preserve">N711JA  </v>
      </c>
      <c r="BC4667">
        <v>1</v>
      </c>
      <c r="BE4667">
        <v>0</v>
      </c>
      <c r="BF4667">
        <v>0</v>
      </c>
      <c r="BG4667">
        <v>0</v>
      </c>
      <c r="BH4667">
        <v>2175</v>
      </c>
      <c r="BI4667">
        <v>1</v>
      </c>
      <c r="BJ4667">
        <v>1</v>
      </c>
      <c r="BK4667">
        <v>0</v>
      </c>
      <c r="BL4667">
        <v>0</v>
      </c>
      <c r="BO4667">
        <v>0</v>
      </c>
      <c r="BP4667">
        <v>0</v>
      </c>
      <c r="BW4667" t="str">
        <f t="shared" si="2146"/>
        <v>14:49:48.133</v>
      </c>
      <c r="CJ4667">
        <v>0</v>
      </c>
      <c r="CK4667">
        <v>2</v>
      </c>
      <c r="CL4667">
        <v>0</v>
      </c>
      <c r="CM4667">
        <v>2</v>
      </c>
      <c r="CN4667">
        <v>0</v>
      </c>
      <c r="CO4667">
        <v>7</v>
      </c>
      <c r="CP4667" t="s">
        <v>119</v>
      </c>
      <c r="CQ4667">
        <v>8</v>
      </c>
      <c r="CR4667">
        <v>1</v>
      </c>
      <c r="CW4667">
        <v>10445748</v>
      </c>
      <c r="CY4667">
        <v>1</v>
      </c>
      <c r="CZ4667">
        <v>0</v>
      </c>
      <c r="DA4667">
        <v>1</v>
      </c>
      <c r="DB4667">
        <v>0</v>
      </c>
      <c r="DC4667">
        <v>0</v>
      </c>
      <c r="DD4667">
        <v>1</v>
      </c>
      <c r="DE4667">
        <v>0</v>
      </c>
      <c r="DF4667">
        <v>0</v>
      </c>
      <c r="DG4667">
        <v>0</v>
      </c>
      <c r="DH4667">
        <v>0</v>
      </c>
      <c r="DI4667">
        <v>0</v>
      </c>
    </row>
    <row r="4668" spans="1:113" x14ac:dyDescent="0.3">
      <c r="A4668" t="str">
        <f t="shared" ref="A4668:A4676" si="2147">"05/12/2020 14:49:31.324"</f>
        <v>05/12/2020 14:49:31.324</v>
      </c>
      <c r="C4668" t="str">
        <f t="shared" si="2131"/>
        <v>FFDFD3C0</v>
      </c>
      <c r="D4668" t="s">
        <v>131</v>
      </c>
      <c r="E4668">
        <v>10</v>
      </c>
      <c r="F4668">
        <v>2010</v>
      </c>
      <c r="G4668" t="s">
        <v>132</v>
      </c>
      <c r="J4668" t="s">
        <v>133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 t="shared" ref="S4668:T4676" si="2148">"14:49:49.133"</f>
        <v>14:49:49.133</v>
      </c>
      <c r="T4668" t="str">
        <f t="shared" si="2148"/>
        <v>14:49:49.133</v>
      </c>
      <c r="U4668" t="str">
        <f t="shared" si="2123"/>
        <v>A9808D</v>
      </c>
      <c r="V4668">
        <v>0</v>
      </c>
      <c r="W4668">
        <v>0</v>
      </c>
      <c r="X4668">
        <v>1</v>
      </c>
      <c r="Z4668">
        <v>0</v>
      </c>
      <c r="AA4668">
        <v>9</v>
      </c>
      <c r="AB4668">
        <v>3</v>
      </c>
      <c r="AC4668">
        <v>0</v>
      </c>
      <c r="AD4668">
        <v>10</v>
      </c>
      <c r="AE4668">
        <v>0</v>
      </c>
      <c r="AF4668">
        <v>3</v>
      </c>
      <c r="AG4668">
        <v>2</v>
      </c>
      <c r="AH4668">
        <v>0</v>
      </c>
      <c r="AI4668" t="s">
        <v>1043</v>
      </c>
      <c r="AJ4668">
        <v>28.242909999999998</v>
      </c>
      <c r="AK4668" t="s">
        <v>1044</v>
      </c>
      <c r="AL4668">
        <v>-82.343773999999996</v>
      </c>
      <c r="AM4668">
        <v>100</v>
      </c>
      <c r="AN4668">
        <v>2100</v>
      </c>
      <c r="AO4668" t="s">
        <v>118</v>
      </c>
      <c r="AP4668">
        <v>-138</v>
      </c>
      <c r="AQ4668">
        <v>-39</v>
      </c>
      <c r="AR4668">
        <v>-128</v>
      </c>
      <c r="AZ4668">
        <v>1200</v>
      </c>
      <c r="BA4668">
        <v>1</v>
      </c>
      <c r="BB4668" t="str">
        <f t="shared" si="2132"/>
        <v xml:space="preserve">N711JA  </v>
      </c>
      <c r="BC4668">
        <v>1</v>
      </c>
      <c r="BE4668">
        <v>0</v>
      </c>
      <c r="BF4668">
        <v>0</v>
      </c>
      <c r="BG4668">
        <v>0</v>
      </c>
      <c r="BH4668">
        <v>2150</v>
      </c>
      <c r="BI4668">
        <v>1</v>
      </c>
      <c r="BJ4668">
        <v>1</v>
      </c>
      <c r="BK4668">
        <v>0</v>
      </c>
      <c r="BL4668">
        <v>0</v>
      </c>
      <c r="BO4668">
        <v>0</v>
      </c>
      <c r="BP4668">
        <v>0</v>
      </c>
      <c r="BW4668" t="str">
        <f t="shared" ref="BW4668:BW4676" si="2149">"14:49:49.138"</f>
        <v>14:49:49.138</v>
      </c>
      <c r="CJ4668">
        <v>0</v>
      </c>
      <c r="CK4668">
        <v>2</v>
      </c>
      <c r="CL4668">
        <v>0</v>
      </c>
      <c r="CM4668">
        <v>2</v>
      </c>
      <c r="CN4668">
        <v>0</v>
      </c>
      <c r="CO4668">
        <v>7</v>
      </c>
      <c r="CP4668" t="s">
        <v>119</v>
      </c>
      <c r="CQ4668">
        <v>343</v>
      </c>
      <c r="CR4668">
        <v>1</v>
      </c>
      <c r="CW4668">
        <v>11060250</v>
      </c>
      <c r="CY4668">
        <v>1</v>
      </c>
      <c r="CZ4668">
        <v>0</v>
      </c>
      <c r="DA4668">
        <v>0</v>
      </c>
      <c r="DB4668">
        <v>0</v>
      </c>
      <c r="DC4668">
        <v>0</v>
      </c>
      <c r="DD4668">
        <v>1</v>
      </c>
      <c r="DE4668">
        <v>0</v>
      </c>
      <c r="DF4668">
        <v>0</v>
      </c>
      <c r="DG4668">
        <v>0</v>
      </c>
      <c r="DH4668">
        <v>0</v>
      </c>
      <c r="DI4668">
        <v>0</v>
      </c>
    </row>
    <row r="4669" spans="1:113" x14ac:dyDescent="0.3">
      <c r="A4669" t="str">
        <f t="shared" si="2147"/>
        <v>05/12/2020 14:49:31.324</v>
      </c>
      <c r="C4669" t="str">
        <f t="shared" si="2131"/>
        <v>FFDFD3C0</v>
      </c>
      <c r="D4669" t="s">
        <v>126</v>
      </c>
      <c r="E4669">
        <v>7</v>
      </c>
      <c r="F4669">
        <v>1007</v>
      </c>
      <c r="G4669" t="s">
        <v>127</v>
      </c>
      <c r="J4669" t="s">
        <v>128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 t="shared" si="2148"/>
        <v>14:49:49.133</v>
      </c>
      <c r="T4669" t="str">
        <f t="shared" si="2148"/>
        <v>14:49:49.133</v>
      </c>
      <c r="U4669" t="str">
        <f t="shared" si="2123"/>
        <v>A9808D</v>
      </c>
      <c r="V4669">
        <v>0</v>
      </c>
      <c r="W4669">
        <v>0</v>
      </c>
      <c r="X4669">
        <v>1</v>
      </c>
      <c r="Z4669">
        <v>0</v>
      </c>
      <c r="AA4669">
        <v>9</v>
      </c>
      <c r="AB4669">
        <v>3</v>
      </c>
      <c r="AC4669">
        <v>0</v>
      </c>
      <c r="AD4669">
        <v>10</v>
      </c>
      <c r="AE4669">
        <v>0</v>
      </c>
      <c r="AF4669">
        <v>3</v>
      </c>
      <c r="AG4669">
        <v>2</v>
      </c>
      <c r="AH4669">
        <v>0</v>
      </c>
      <c r="AI4669" t="s">
        <v>1043</v>
      </c>
      <c r="AJ4669">
        <v>28.242909999999998</v>
      </c>
      <c r="AK4669" t="s">
        <v>1044</v>
      </c>
      <c r="AL4669">
        <v>-82.343773999999996</v>
      </c>
      <c r="AM4669">
        <v>100</v>
      </c>
      <c r="AN4669">
        <v>2100</v>
      </c>
      <c r="AO4669" t="s">
        <v>118</v>
      </c>
      <c r="AP4669">
        <v>-138</v>
      </c>
      <c r="AQ4669">
        <v>-39</v>
      </c>
      <c r="AR4669">
        <v>-128</v>
      </c>
      <c r="AZ4669">
        <v>1200</v>
      </c>
      <c r="BA4669">
        <v>1</v>
      </c>
      <c r="BB4669" t="str">
        <f t="shared" si="2132"/>
        <v xml:space="preserve">N711JA  </v>
      </c>
      <c r="BC4669">
        <v>1</v>
      </c>
      <c r="BE4669">
        <v>0</v>
      </c>
      <c r="BF4669">
        <v>0</v>
      </c>
      <c r="BG4669">
        <v>0</v>
      </c>
      <c r="BH4669">
        <v>2150</v>
      </c>
      <c r="BI4669">
        <v>1</v>
      </c>
      <c r="BJ4669">
        <v>1</v>
      </c>
      <c r="BK4669">
        <v>0</v>
      </c>
      <c r="BL4669">
        <v>0</v>
      </c>
      <c r="BO4669">
        <v>0</v>
      </c>
      <c r="BP4669">
        <v>0</v>
      </c>
      <c r="BW4669" t="str">
        <f t="shared" si="2149"/>
        <v>14:49:49.138</v>
      </c>
      <c r="CJ4669">
        <v>0</v>
      </c>
      <c r="CK4669">
        <v>2</v>
      </c>
      <c r="CL4669">
        <v>0</v>
      </c>
      <c r="CM4669">
        <v>2</v>
      </c>
      <c r="CN4669">
        <v>0</v>
      </c>
      <c r="CO4669">
        <v>7</v>
      </c>
      <c r="CP4669" t="s">
        <v>119</v>
      </c>
      <c r="CQ4669">
        <v>343</v>
      </c>
      <c r="CR4669">
        <v>1</v>
      </c>
      <c r="CW4669">
        <v>11060250</v>
      </c>
      <c r="CY4669">
        <v>1</v>
      </c>
      <c r="CZ4669">
        <v>0</v>
      </c>
      <c r="DA4669">
        <v>1</v>
      </c>
      <c r="DB4669">
        <v>0</v>
      </c>
      <c r="DC4669">
        <v>0</v>
      </c>
      <c r="DD4669">
        <v>1</v>
      </c>
      <c r="DE4669">
        <v>0</v>
      </c>
      <c r="DF4669">
        <v>0</v>
      </c>
      <c r="DG4669">
        <v>0</v>
      </c>
      <c r="DH4669">
        <v>0</v>
      </c>
      <c r="DI4669">
        <v>0</v>
      </c>
    </row>
    <row r="4670" spans="1:113" x14ac:dyDescent="0.3">
      <c r="A4670" t="str">
        <f t="shared" si="2147"/>
        <v>05/12/2020 14:49:31.324</v>
      </c>
      <c r="C4670" t="str">
        <f t="shared" si="2131"/>
        <v>FFDFD3C0</v>
      </c>
      <c r="D4670" t="s">
        <v>131</v>
      </c>
      <c r="E4670">
        <v>12</v>
      </c>
      <c r="F4670">
        <v>2012</v>
      </c>
      <c r="G4670" t="s">
        <v>137</v>
      </c>
      <c r="J4670" t="s">
        <v>133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 t="shared" si="2148"/>
        <v>14:49:49.133</v>
      </c>
      <c r="T4670" t="str">
        <f t="shared" si="2148"/>
        <v>14:49:49.133</v>
      </c>
      <c r="U4670" t="str">
        <f t="shared" si="2123"/>
        <v>A9808D</v>
      </c>
      <c r="V4670">
        <v>0</v>
      </c>
      <c r="W4670">
        <v>0</v>
      </c>
      <c r="X4670">
        <v>1</v>
      </c>
      <c r="Z4670">
        <v>0</v>
      </c>
      <c r="AA4670">
        <v>9</v>
      </c>
      <c r="AB4670">
        <v>3</v>
      </c>
      <c r="AC4670">
        <v>0</v>
      </c>
      <c r="AD4670">
        <v>10</v>
      </c>
      <c r="AE4670">
        <v>0</v>
      </c>
      <c r="AF4670">
        <v>3</v>
      </c>
      <c r="AG4670">
        <v>2</v>
      </c>
      <c r="AH4670">
        <v>0</v>
      </c>
      <c r="AI4670" t="s">
        <v>1043</v>
      </c>
      <c r="AJ4670">
        <v>28.242909999999998</v>
      </c>
      <c r="AK4670" t="s">
        <v>1044</v>
      </c>
      <c r="AL4670">
        <v>-82.343773999999996</v>
      </c>
      <c r="AM4670">
        <v>100</v>
      </c>
      <c r="AN4670">
        <v>2100</v>
      </c>
      <c r="AO4670" t="s">
        <v>118</v>
      </c>
      <c r="AP4670">
        <v>-138</v>
      </c>
      <c r="AQ4670">
        <v>-39</v>
      </c>
      <c r="AR4670">
        <v>-128</v>
      </c>
      <c r="AZ4670">
        <v>1200</v>
      </c>
      <c r="BA4670">
        <v>1</v>
      </c>
      <c r="BB4670" t="str">
        <f t="shared" si="2132"/>
        <v xml:space="preserve">N711JA  </v>
      </c>
      <c r="BC4670">
        <v>1</v>
      </c>
      <c r="BE4670">
        <v>0</v>
      </c>
      <c r="BF4670">
        <v>0</v>
      </c>
      <c r="BG4670">
        <v>0</v>
      </c>
      <c r="BH4670">
        <v>2150</v>
      </c>
      <c r="BI4670">
        <v>1</v>
      </c>
      <c r="BJ4670">
        <v>1</v>
      </c>
      <c r="BK4670">
        <v>0</v>
      </c>
      <c r="BL4670">
        <v>0</v>
      </c>
      <c r="BO4670">
        <v>0</v>
      </c>
      <c r="BP4670">
        <v>0</v>
      </c>
      <c r="BW4670" t="str">
        <f t="shared" si="2149"/>
        <v>14:49:49.138</v>
      </c>
      <c r="CJ4670">
        <v>0</v>
      </c>
      <c r="CK4670">
        <v>2</v>
      </c>
      <c r="CL4670">
        <v>0</v>
      </c>
      <c r="CM4670">
        <v>2</v>
      </c>
      <c r="CN4670">
        <v>0</v>
      </c>
      <c r="CO4670">
        <v>7</v>
      </c>
      <c r="CP4670" t="s">
        <v>119</v>
      </c>
      <c r="CQ4670">
        <v>343</v>
      </c>
      <c r="CR4670">
        <v>1</v>
      </c>
      <c r="CW4670">
        <v>11060250</v>
      </c>
      <c r="CY4670">
        <v>1</v>
      </c>
      <c r="CZ4670">
        <v>0</v>
      </c>
      <c r="DA4670">
        <v>1</v>
      </c>
      <c r="DB4670">
        <v>0</v>
      </c>
      <c r="DC4670">
        <v>0</v>
      </c>
      <c r="DD4670">
        <v>1</v>
      </c>
      <c r="DE4670">
        <v>0</v>
      </c>
      <c r="DF4670">
        <v>0</v>
      </c>
      <c r="DG4670">
        <v>0</v>
      </c>
      <c r="DH4670">
        <v>0</v>
      </c>
      <c r="DI4670">
        <v>0</v>
      </c>
    </row>
    <row r="4671" spans="1:113" x14ac:dyDescent="0.3">
      <c r="A4671" t="str">
        <f t="shared" si="2147"/>
        <v>05/12/2020 14:49:31.324</v>
      </c>
      <c r="C4671" t="str">
        <f t="shared" si="2131"/>
        <v>FFDFD3C0</v>
      </c>
      <c r="D4671" t="s">
        <v>131</v>
      </c>
      <c r="E4671">
        <v>18</v>
      </c>
      <c r="F4671">
        <v>2018</v>
      </c>
      <c r="G4671" t="s">
        <v>161</v>
      </c>
      <c r="J4671" t="s">
        <v>133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 t="shared" si="2148"/>
        <v>14:49:49.133</v>
      </c>
      <c r="T4671" t="str">
        <f t="shared" si="2148"/>
        <v>14:49:49.133</v>
      </c>
      <c r="U4671" t="str">
        <f t="shared" si="2123"/>
        <v>A9808D</v>
      </c>
      <c r="V4671">
        <v>0</v>
      </c>
      <c r="W4671">
        <v>0</v>
      </c>
      <c r="X4671">
        <v>1</v>
      </c>
      <c r="Z4671">
        <v>0</v>
      </c>
      <c r="AA4671">
        <v>9</v>
      </c>
      <c r="AB4671">
        <v>3</v>
      </c>
      <c r="AC4671">
        <v>0</v>
      </c>
      <c r="AD4671">
        <v>10</v>
      </c>
      <c r="AE4671">
        <v>0</v>
      </c>
      <c r="AF4671">
        <v>3</v>
      </c>
      <c r="AG4671">
        <v>2</v>
      </c>
      <c r="AH4671">
        <v>0</v>
      </c>
      <c r="AI4671" t="s">
        <v>1043</v>
      </c>
      <c r="AJ4671">
        <v>28.242909999999998</v>
      </c>
      <c r="AK4671" t="s">
        <v>1044</v>
      </c>
      <c r="AL4671">
        <v>-82.343773999999996</v>
      </c>
      <c r="AM4671">
        <v>100</v>
      </c>
      <c r="AN4671">
        <v>2100</v>
      </c>
      <c r="AO4671" t="s">
        <v>118</v>
      </c>
      <c r="AP4671">
        <v>-138</v>
      </c>
      <c r="AQ4671">
        <v>-39</v>
      </c>
      <c r="AR4671">
        <v>-128</v>
      </c>
      <c r="AZ4671">
        <v>1200</v>
      </c>
      <c r="BA4671">
        <v>1</v>
      </c>
      <c r="BB4671" t="str">
        <f t="shared" si="2132"/>
        <v xml:space="preserve">N711JA  </v>
      </c>
      <c r="BC4671">
        <v>1</v>
      </c>
      <c r="BE4671">
        <v>0</v>
      </c>
      <c r="BF4671">
        <v>0</v>
      </c>
      <c r="BG4671">
        <v>0</v>
      </c>
      <c r="BH4671">
        <v>2150</v>
      </c>
      <c r="BI4671">
        <v>1</v>
      </c>
      <c r="BJ4671">
        <v>1</v>
      </c>
      <c r="BK4671">
        <v>0</v>
      </c>
      <c r="BL4671">
        <v>0</v>
      </c>
      <c r="BO4671">
        <v>0</v>
      </c>
      <c r="BP4671">
        <v>0</v>
      </c>
      <c r="BW4671" t="str">
        <f t="shared" si="2149"/>
        <v>14:49:49.138</v>
      </c>
      <c r="CJ4671">
        <v>0</v>
      </c>
      <c r="CK4671">
        <v>2</v>
      </c>
      <c r="CL4671">
        <v>0</v>
      </c>
      <c r="CM4671">
        <v>2</v>
      </c>
      <c r="CN4671">
        <v>0</v>
      </c>
      <c r="CO4671">
        <v>7</v>
      </c>
      <c r="CP4671" t="s">
        <v>119</v>
      </c>
      <c r="CQ4671">
        <v>343</v>
      </c>
      <c r="CR4671">
        <v>1</v>
      </c>
      <c r="CW4671">
        <v>11060250</v>
      </c>
      <c r="CY4671">
        <v>1</v>
      </c>
      <c r="CZ4671">
        <v>0</v>
      </c>
      <c r="DA4671">
        <v>1</v>
      </c>
      <c r="DB4671">
        <v>0</v>
      </c>
      <c r="DC4671">
        <v>0</v>
      </c>
      <c r="DD4671">
        <v>1</v>
      </c>
      <c r="DE4671">
        <v>0</v>
      </c>
      <c r="DF4671">
        <v>0</v>
      </c>
      <c r="DG4671">
        <v>0</v>
      </c>
      <c r="DH4671">
        <v>0</v>
      </c>
      <c r="DI4671">
        <v>0</v>
      </c>
    </row>
    <row r="4672" spans="1:113" x14ac:dyDescent="0.3">
      <c r="A4672" t="str">
        <f t="shared" si="2147"/>
        <v>05/12/2020 14:49:31.324</v>
      </c>
      <c r="C4672" t="str">
        <f t="shared" si="2131"/>
        <v>FFDFD3C0</v>
      </c>
      <c r="D4672" t="s">
        <v>113</v>
      </c>
      <c r="E4672">
        <v>3</v>
      </c>
      <c r="H4672">
        <v>164</v>
      </c>
      <c r="I4672" t="s">
        <v>114</v>
      </c>
      <c r="J4672" t="s">
        <v>115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 t="shared" si="2148"/>
        <v>14:49:49.133</v>
      </c>
      <c r="T4672" t="str">
        <f t="shared" si="2148"/>
        <v>14:49:49.133</v>
      </c>
      <c r="U4672" t="str">
        <f t="shared" si="2123"/>
        <v>A9808D</v>
      </c>
      <c r="V4672">
        <v>0</v>
      </c>
      <c r="W4672">
        <v>0</v>
      </c>
      <c r="X4672">
        <v>1</v>
      </c>
      <c r="Z4672">
        <v>0</v>
      </c>
      <c r="AA4672">
        <v>9</v>
      </c>
      <c r="AB4672">
        <v>3</v>
      </c>
      <c r="AC4672">
        <v>0</v>
      </c>
      <c r="AD4672">
        <v>10</v>
      </c>
      <c r="AE4672">
        <v>0</v>
      </c>
      <c r="AF4672">
        <v>3</v>
      </c>
      <c r="AG4672">
        <v>2</v>
      </c>
      <c r="AH4672">
        <v>0</v>
      </c>
      <c r="AI4672" t="s">
        <v>1043</v>
      </c>
      <c r="AJ4672">
        <v>28.242909999999998</v>
      </c>
      <c r="AK4672" t="s">
        <v>1044</v>
      </c>
      <c r="AL4672">
        <v>-82.343773999999996</v>
      </c>
      <c r="AM4672">
        <v>100</v>
      </c>
      <c r="AN4672">
        <v>2100</v>
      </c>
      <c r="AO4672" t="s">
        <v>118</v>
      </c>
      <c r="AP4672">
        <v>-138</v>
      </c>
      <c r="AQ4672">
        <v>-39</v>
      </c>
      <c r="AR4672">
        <v>-128</v>
      </c>
      <c r="AZ4672">
        <v>1200</v>
      </c>
      <c r="BA4672">
        <v>1</v>
      </c>
      <c r="BB4672" t="str">
        <f t="shared" si="2132"/>
        <v xml:space="preserve">N711JA  </v>
      </c>
      <c r="BC4672">
        <v>1</v>
      </c>
      <c r="BE4672">
        <v>0</v>
      </c>
      <c r="BF4672">
        <v>0</v>
      </c>
      <c r="BG4672">
        <v>0</v>
      </c>
      <c r="BH4672">
        <v>2150</v>
      </c>
      <c r="BI4672">
        <v>1</v>
      </c>
      <c r="BJ4672">
        <v>1</v>
      </c>
      <c r="BK4672">
        <v>0</v>
      </c>
      <c r="BL4672">
        <v>0</v>
      </c>
      <c r="BO4672">
        <v>0</v>
      </c>
      <c r="BP4672">
        <v>0</v>
      </c>
      <c r="BW4672" t="str">
        <f t="shared" si="2149"/>
        <v>14:49:49.138</v>
      </c>
      <c r="CJ4672">
        <v>0</v>
      </c>
      <c r="CK4672">
        <v>2</v>
      </c>
      <c r="CL4672">
        <v>0</v>
      </c>
      <c r="CM4672">
        <v>2</v>
      </c>
      <c r="CN4672">
        <v>0</v>
      </c>
      <c r="CO4672">
        <v>7</v>
      </c>
      <c r="CP4672" t="s">
        <v>119</v>
      </c>
      <c r="CQ4672">
        <v>343</v>
      </c>
      <c r="CR4672">
        <v>1</v>
      </c>
      <c r="CW4672">
        <v>11060250</v>
      </c>
      <c r="CY4672">
        <v>1</v>
      </c>
      <c r="CZ4672">
        <v>0</v>
      </c>
      <c r="DA4672">
        <v>1</v>
      </c>
      <c r="DB4672">
        <v>0</v>
      </c>
      <c r="DC4672">
        <v>0</v>
      </c>
      <c r="DD4672">
        <v>1</v>
      </c>
      <c r="DE4672">
        <v>0</v>
      </c>
      <c r="DF4672">
        <v>0</v>
      </c>
      <c r="DG4672">
        <v>0</v>
      </c>
      <c r="DH4672">
        <v>0</v>
      </c>
      <c r="DI4672">
        <v>0</v>
      </c>
    </row>
    <row r="4673" spans="1:113" x14ac:dyDescent="0.3">
      <c r="A4673" t="str">
        <f t="shared" si="2147"/>
        <v>05/12/2020 14:49:31.324</v>
      </c>
      <c r="C4673" t="str">
        <f t="shared" si="2131"/>
        <v>FFDFD3C0</v>
      </c>
      <c r="D4673" t="s">
        <v>126</v>
      </c>
      <c r="E4673">
        <v>6</v>
      </c>
      <c r="F4673">
        <v>1006</v>
      </c>
      <c r="G4673" t="s">
        <v>114</v>
      </c>
      <c r="J4673" t="s">
        <v>128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 t="shared" si="2148"/>
        <v>14:49:49.133</v>
      </c>
      <c r="T4673" t="str">
        <f t="shared" si="2148"/>
        <v>14:49:49.133</v>
      </c>
      <c r="U4673" t="str">
        <f t="shared" si="2123"/>
        <v>A9808D</v>
      </c>
      <c r="V4673">
        <v>0</v>
      </c>
      <c r="W4673">
        <v>0</v>
      </c>
      <c r="X4673">
        <v>1</v>
      </c>
      <c r="Z4673">
        <v>0</v>
      </c>
      <c r="AA4673">
        <v>9</v>
      </c>
      <c r="AB4673">
        <v>3</v>
      </c>
      <c r="AC4673">
        <v>0</v>
      </c>
      <c r="AD4673">
        <v>10</v>
      </c>
      <c r="AE4673">
        <v>0</v>
      </c>
      <c r="AF4673">
        <v>3</v>
      </c>
      <c r="AG4673">
        <v>2</v>
      </c>
      <c r="AH4673">
        <v>0</v>
      </c>
      <c r="AI4673" t="s">
        <v>1043</v>
      </c>
      <c r="AJ4673">
        <v>28.242909999999998</v>
      </c>
      <c r="AK4673" t="s">
        <v>1044</v>
      </c>
      <c r="AL4673">
        <v>-82.343773999999996</v>
      </c>
      <c r="AM4673">
        <v>100</v>
      </c>
      <c r="AN4673">
        <v>2100</v>
      </c>
      <c r="AO4673" t="s">
        <v>118</v>
      </c>
      <c r="AP4673">
        <v>-138</v>
      </c>
      <c r="AQ4673">
        <v>-39</v>
      </c>
      <c r="AR4673">
        <v>-128</v>
      </c>
      <c r="AZ4673">
        <v>1200</v>
      </c>
      <c r="BA4673">
        <v>1</v>
      </c>
      <c r="BB4673" t="str">
        <f t="shared" si="2132"/>
        <v xml:space="preserve">N711JA  </v>
      </c>
      <c r="BC4673">
        <v>1</v>
      </c>
      <c r="BE4673">
        <v>0</v>
      </c>
      <c r="BF4673">
        <v>0</v>
      </c>
      <c r="BG4673">
        <v>0</v>
      </c>
      <c r="BH4673">
        <v>2150</v>
      </c>
      <c r="BI4673">
        <v>1</v>
      </c>
      <c r="BJ4673">
        <v>1</v>
      </c>
      <c r="BK4673">
        <v>0</v>
      </c>
      <c r="BL4673">
        <v>0</v>
      </c>
      <c r="BO4673">
        <v>0</v>
      </c>
      <c r="BP4673">
        <v>0</v>
      </c>
      <c r="BW4673" t="str">
        <f t="shared" si="2149"/>
        <v>14:49:49.138</v>
      </c>
      <c r="CJ4673">
        <v>0</v>
      </c>
      <c r="CK4673">
        <v>2</v>
      </c>
      <c r="CL4673">
        <v>0</v>
      </c>
      <c r="CM4673">
        <v>2</v>
      </c>
      <c r="CN4673">
        <v>0</v>
      </c>
      <c r="CO4673">
        <v>7</v>
      </c>
      <c r="CP4673" t="s">
        <v>119</v>
      </c>
      <c r="CQ4673">
        <v>343</v>
      </c>
      <c r="CR4673">
        <v>1</v>
      </c>
      <c r="CW4673">
        <v>11060250</v>
      </c>
      <c r="CY4673">
        <v>1</v>
      </c>
      <c r="CZ4673">
        <v>0</v>
      </c>
      <c r="DA4673">
        <v>1</v>
      </c>
      <c r="DB4673">
        <v>0</v>
      </c>
      <c r="DC4673">
        <v>0</v>
      </c>
      <c r="DD4673">
        <v>1</v>
      </c>
      <c r="DE4673">
        <v>0</v>
      </c>
      <c r="DF4673">
        <v>0</v>
      </c>
      <c r="DG4673">
        <v>0</v>
      </c>
      <c r="DH4673">
        <v>0</v>
      </c>
      <c r="DI4673">
        <v>0</v>
      </c>
    </row>
    <row r="4674" spans="1:113" x14ac:dyDescent="0.3">
      <c r="A4674" t="str">
        <f t="shared" si="2147"/>
        <v>05/12/2020 14:49:31.324</v>
      </c>
      <c r="C4674" t="str">
        <f t="shared" si="2131"/>
        <v>FFDFD3C0</v>
      </c>
      <c r="D4674" t="s">
        <v>138</v>
      </c>
      <c r="E4674">
        <v>2</v>
      </c>
      <c r="H4674">
        <v>8</v>
      </c>
      <c r="I4674" t="s">
        <v>139</v>
      </c>
      <c r="J4674" t="s">
        <v>136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 t="shared" si="2148"/>
        <v>14:49:49.133</v>
      </c>
      <c r="T4674" t="str">
        <f t="shared" si="2148"/>
        <v>14:49:49.133</v>
      </c>
      <c r="U4674" t="str">
        <f t="shared" ref="U4674:U4737" si="2150">"A9808D"</f>
        <v>A9808D</v>
      </c>
      <c r="V4674">
        <v>0</v>
      </c>
      <c r="W4674">
        <v>0</v>
      </c>
      <c r="X4674">
        <v>1</v>
      </c>
      <c r="Z4674">
        <v>0</v>
      </c>
      <c r="AA4674">
        <v>9</v>
      </c>
      <c r="AB4674">
        <v>3</v>
      </c>
      <c r="AC4674">
        <v>0</v>
      </c>
      <c r="AD4674">
        <v>10</v>
      </c>
      <c r="AE4674">
        <v>0</v>
      </c>
      <c r="AF4674">
        <v>3</v>
      </c>
      <c r="AG4674">
        <v>2</v>
      </c>
      <c r="AH4674">
        <v>0</v>
      </c>
      <c r="AI4674" t="s">
        <v>1043</v>
      </c>
      <c r="AJ4674">
        <v>28.242909999999998</v>
      </c>
      <c r="AK4674" t="s">
        <v>1044</v>
      </c>
      <c r="AL4674">
        <v>-82.343773999999996</v>
      </c>
      <c r="AM4674">
        <v>100</v>
      </c>
      <c r="AN4674">
        <v>2100</v>
      </c>
      <c r="AO4674" t="s">
        <v>118</v>
      </c>
      <c r="AP4674">
        <v>-138</v>
      </c>
      <c r="AQ4674">
        <v>-39</v>
      </c>
      <c r="AR4674">
        <v>-128</v>
      </c>
      <c r="AZ4674">
        <v>1200</v>
      </c>
      <c r="BA4674">
        <v>1</v>
      </c>
      <c r="BB4674" t="str">
        <f t="shared" si="2132"/>
        <v xml:space="preserve">N711JA  </v>
      </c>
      <c r="BC4674">
        <v>1</v>
      </c>
      <c r="BE4674">
        <v>0</v>
      </c>
      <c r="BF4674">
        <v>0</v>
      </c>
      <c r="BG4674">
        <v>0</v>
      </c>
      <c r="BH4674">
        <v>2150</v>
      </c>
      <c r="BI4674">
        <v>1</v>
      </c>
      <c r="BJ4674">
        <v>1</v>
      </c>
      <c r="BK4674">
        <v>0</v>
      </c>
      <c r="BL4674">
        <v>0</v>
      </c>
      <c r="BO4674">
        <v>0</v>
      </c>
      <c r="BP4674">
        <v>0</v>
      </c>
      <c r="BW4674" t="str">
        <f t="shared" si="2149"/>
        <v>14:49:49.138</v>
      </c>
      <c r="CJ4674">
        <v>0</v>
      </c>
      <c r="CK4674">
        <v>2</v>
      </c>
      <c r="CL4674">
        <v>0</v>
      </c>
      <c r="CM4674">
        <v>2</v>
      </c>
      <c r="CN4674">
        <v>0</v>
      </c>
      <c r="CO4674">
        <v>7</v>
      </c>
      <c r="CP4674" t="s">
        <v>119</v>
      </c>
      <c r="CQ4674">
        <v>343</v>
      </c>
      <c r="CR4674">
        <v>1</v>
      </c>
      <c r="CW4674">
        <v>11060250</v>
      </c>
      <c r="CY4674">
        <v>1</v>
      </c>
      <c r="CZ4674">
        <v>0</v>
      </c>
      <c r="DA4674">
        <v>1</v>
      </c>
      <c r="DB4674">
        <v>0</v>
      </c>
      <c r="DC4674">
        <v>0</v>
      </c>
      <c r="DD4674">
        <v>1</v>
      </c>
      <c r="DE4674">
        <v>0</v>
      </c>
      <c r="DF4674">
        <v>0</v>
      </c>
      <c r="DG4674">
        <v>0</v>
      </c>
      <c r="DH4674">
        <v>0</v>
      </c>
      <c r="DI4674">
        <v>0</v>
      </c>
    </row>
    <row r="4675" spans="1:113" x14ac:dyDescent="0.3">
      <c r="A4675" t="str">
        <f t="shared" si="2147"/>
        <v>05/12/2020 14:49:31.324</v>
      </c>
      <c r="C4675" t="str">
        <f t="shared" si="2131"/>
        <v>FFDFD3C0</v>
      </c>
      <c r="D4675" t="s">
        <v>138</v>
      </c>
      <c r="E4675">
        <v>3</v>
      </c>
      <c r="H4675">
        <v>9</v>
      </c>
      <c r="I4675" t="s">
        <v>140</v>
      </c>
      <c r="J4675" t="s">
        <v>136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 t="shared" si="2148"/>
        <v>14:49:49.133</v>
      </c>
      <c r="T4675" t="str">
        <f t="shared" si="2148"/>
        <v>14:49:49.133</v>
      </c>
      <c r="U4675" t="str">
        <f t="shared" si="2150"/>
        <v>A9808D</v>
      </c>
      <c r="V4675">
        <v>0</v>
      </c>
      <c r="W4675">
        <v>0</v>
      </c>
      <c r="X4675">
        <v>1</v>
      </c>
      <c r="Z4675">
        <v>0</v>
      </c>
      <c r="AA4675">
        <v>9</v>
      </c>
      <c r="AB4675">
        <v>3</v>
      </c>
      <c r="AC4675">
        <v>0</v>
      </c>
      <c r="AD4675">
        <v>10</v>
      </c>
      <c r="AE4675">
        <v>0</v>
      </c>
      <c r="AF4675">
        <v>3</v>
      </c>
      <c r="AG4675">
        <v>2</v>
      </c>
      <c r="AH4675">
        <v>0</v>
      </c>
      <c r="AI4675" t="s">
        <v>1043</v>
      </c>
      <c r="AJ4675">
        <v>28.242909999999998</v>
      </c>
      <c r="AK4675" t="s">
        <v>1044</v>
      </c>
      <c r="AL4675">
        <v>-82.343773999999996</v>
      </c>
      <c r="AM4675">
        <v>100</v>
      </c>
      <c r="AN4675">
        <v>2100</v>
      </c>
      <c r="AO4675" t="s">
        <v>118</v>
      </c>
      <c r="AP4675">
        <v>-138</v>
      </c>
      <c r="AQ4675">
        <v>-39</v>
      </c>
      <c r="AR4675">
        <v>-128</v>
      </c>
      <c r="AZ4675">
        <v>1200</v>
      </c>
      <c r="BA4675">
        <v>1</v>
      </c>
      <c r="BB4675" t="str">
        <f t="shared" si="2132"/>
        <v xml:space="preserve">N711JA  </v>
      </c>
      <c r="BC4675">
        <v>1</v>
      </c>
      <c r="BE4675">
        <v>0</v>
      </c>
      <c r="BF4675">
        <v>0</v>
      </c>
      <c r="BG4675">
        <v>0</v>
      </c>
      <c r="BH4675">
        <v>2150</v>
      </c>
      <c r="BI4675">
        <v>1</v>
      </c>
      <c r="BJ4675">
        <v>1</v>
      </c>
      <c r="BK4675">
        <v>0</v>
      </c>
      <c r="BL4675">
        <v>0</v>
      </c>
      <c r="BO4675">
        <v>0</v>
      </c>
      <c r="BP4675">
        <v>0</v>
      </c>
      <c r="BW4675" t="str">
        <f t="shared" si="2149"/>
        <v>14:49:49.138</v>
      </c>
      <c r="CJ4675">
        <v>0</v>
      </c>
      <c r="CK4675">
        <v>2</v>
      </c>
      <c r="CL4675">
        <v>0</v>
      </c>
      <c r="CM4675">
        <v>2</v>
      </c>
      <c r="CN4675">
        <v>0</v>
      </c>
      <c r="CO4675">
        <v>7</v>
      </c>
      <c r="CP4675" t="s">
        <v>119</v>
      </c>
      <c r="CQ4675">
        <v>343</v>
      </c>
      <c r="CR4675">
        <v>1</v>
      </c>
      <c r="CW4675">
        <v>11060250</v>
      </c>
      <c r="CY4675">
        <v>1</v>
      </c>
      <c r="CZ4675">
        <v>0</v>
      </c>
      <c r="DA4675">
        <v>1</v>
      </c>
      <c r="DB4675">
        <v>0</v>
      </c>
      <c r="DC4675">
        <v>0</v>
      </c>
      <c r="DD4675">
        <v>1</v>
      </c>
      <c r="DE4675">
        <v>0</v>
      </c>
      <c r="DF4675">
        <v>0</v>
      </c>
      <c r="DG4675">
        <v>0</v>
      </c>
      <c r="DH4675">
        <v>0</v>
      </c>
      <c r="DI4675">
        <v>0</v>
      </c>
    </row>
    <row r="4676" spans="1:113" x14ac:dyDescent="0.3">
      <c r="A4676" t="str">
        <f t="shared" si="2147"/>
        <v>05/12/2020 14:49:31.324</v>
      </c>
      <c r="C4676" t="str">
        <f t="shared" si="2131"/>
        <v>FFDFD3C0</v>
      </c>
      <c r="D4676" t="s">
        <v>134</v>
      </c>
      <c r="E4676">
        <v>12</v>
      </c>
      <c r="H4676">
        <v>64</v>
      </c>
      <c r="I4676" t="s">
        <v>135</v>
      </c>
      <c r="J4676" t="s">
        <v>136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 t="shared" si="2148"/>
        <v>14:49:49.133</v>
      </c>
      <c r="T4676" t="str">
        <f t="shared" si="2148"/>
        <v>14:49:49.133</v>
      </c>
      <c r="U4676" t="str">
        <f t="shared" si="2150"/>
        <v>A9808D</v>
      </c>
      <c r="V4676">
        <v>0</v>
      </c>
      <c r="W4676">
        <v>0</v>
      </c>
      <c r="X4676">
        <v>1</v>
      </c>
      <c r="Z4676">
        <v>0</v>
      </c>
      <c r="AA4676">
        <v>9</v>
      </c>
      <c r="AB4676">
        <v>3</v>
      </c>
      <c r="AC4676">
        <v>0</v>
      </c>
      <c r="AD4676">
        <v>10</v>
      </c>
      <c r="AE4676">
        <v>0</v>
      </c>
      <c r="AF4676">
        <v>3</v>
      </c>
      <c r="AG4676">
        <v>2</v>
      </c>
      <c r="AH4676">
        <v>0</v>
      </c>
      <c r="AI4676" t="s">
        <v>1043</v>
      </c>
      <c r="AJ4676">
        <v>28.242909999999998</v>
      </c>
      <c r="AK4676" t="s">
        <v>1044</v>
      </c>
      <c r="AL4676">
        <v>-82.343773999999996</v>
      </c>
      <c r="AM4676">
        <v>100</v>
      </c>
      <c r="AN4676">
        <v>2100</v>
      </c>
      <c r="AO4676" t="s">
        <v>118</v>
      </c>
      <c r="AP4676">
        <v>-138</v>
      </c>
      <c r="AQ4676">
        <v>-39</v>
      </c>
      <c r="AR4676">
        <v>-128</v>
      </c>
      <c r="AZ4676">
        <v>1200</v>
      </c>
      <c r="BA4676">
        <v>1</v>
      </c>
      <c r="BB4676" t="str">
        <f t="shared" si="2132"/>
        <v xml:space="preserve">N711JA  </v>
      </c>
      <c r="BC4676">
        <v>1</v>
      </c>
      <c r="BE4676">
        <v>0</v>
      </c>
      <c r="BF4676">
        <v>0</v>
      </c>
      <c r="BG4676">
        <v>0</v>
      </c>
      <c r="BH4676">
        <v>2150</v>
      </c>
      <c r="BI4676">
        <v>1</v>
      </c>
      <c r="BJ4676">
        <v>1</v>
      </c>
      <c r="BK4676">
        <v>0</v>
      </c>
      <c r="BL4676">
        <v>0</v>
      </c>
      <c r="BO4676">
        <v>0</v>
      </c>
      <c r="BP4676">
        <v>0</v>
      </c>
      <c r="BW4676" t="str">
        <f t="shared" si="2149"/>
        <v>14:49:49.138</v>
      </c>
      <c r="CJ4676">
        <v>0</v>
      </c>
      <c r="CK4676">
        <v>2</v>
      </c>
      <c r="CL4676">
        <v>0</v>
      </c>
      <c r="CM4676">
        <v>2</v>
      </c>
      <c r="CN4676">
        <v>0</v>
      </c>
      <c r="CO4676">
        <v>7</v>
      </c>
      <c r="CP4676" t="s">
        <v>119</v>
      </c>
      <c r="CQ4676">
        <v>343</v>
      </c>
      <c r="CR4676">
        <v>1</v>
      </c>
      <c r="CW4676">
        <v>11060250</v>
      </c>
      <c r="CY4676">
        <v>1</v>
      </c>
      <c r="CZ4676">
        <v>0</v>
      </c>
      <c r="DA4676">
        <v>1</v>
      </c>
      <c r="DB4676">
        <v>0</v>
      </c>
      <c r="DC4676">
        <v>0</v>
      </c>
      <c r="DD4676">
        <v>1</v>
      </c>
      <c r="DE4676">
        <v>0</v>
      </c>
      <c r="DF4676">
        <v>0</v>
      </c>
      <c r="DG4676">
        <v>0</v>
      </c>
      <c r="DH4676">
        <v>0</v>
      </c>
      <c r="DI4676">
        <v>0</v>
      </c>
    </row>
    <row r="4677" spans="1:113" x14ac:dyDescent="0.3">
      <c r="A4677" t="str">
        <f t="shared" ref="A4677:A4685" si="2151">"05/12/2020 14:49:32.381"</f>
        <v>05/12/2020 14:49:32.381</v>
      </c>
      <c r="C4677" t="str">
        <f t="shared" si="2131"/>
        <v>FFDFD3C0</v>
      </c>
      <c r="D4677" t="s">
        <v>131</v>
      </c>
      <c r="E4677">
        <v>10</v>
      </c>
      <c r="F4677">
        <v>2010</v>
      </c>
      <c r="G4677" t="s">
        <v>132</v>
      </c>
      <c r="J4677" t="s">
        <v>133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 t="shared" ref="S4677:S4685" si="2152">"14:49:50.203"</f>
        <v>14:49:50.203</v>
      </c>
      <c r="T4677" t="str">
        <f t="shared" ref="T4677:T4685" si="2153">"14:49:50.103"</f>
        <v>14:49:50.103</v>
      </c>
      <c r="U4677" t="str">
        <f t="shared" si="2150"/>
        <v>A9808D</v>
      </c>
      <c r="V4677">
        <v>0</v>
      </c>
      <c r="W4677">
        <v>0</v>
      </c>
      <c r="X4677">
        <v>1</v>
      </c>
      <c r="Z4677">
        <v>0</v>
      </c>
      <c r="AA4677">
        <v>9</v>
      </c>
      <c r="AB4677">
        <v>3</v>
      </c>
      <c r="AC4677">
        <v>0</v>
      </c>
      <c r="AD4677">
        <v>10</v>
      </c>
      <c r="AE4677">
        <v>0</v>
      </c>
      <c r="AF4677">
        <v>3</v>
      </c>
      <c r="AG4677">
        <v>2</v>
      </c>
      <c r="AH4677">
        <v>0</v>
      </c>
      <c r="AI4677" t="s">
        <v>1045</v>
      </c>
      <c r="AJ4677">
        <v>28.242695000000001</v>
      </c>
      <c r="AK4677" t="s">
        <v>1046</v>
      </c>
      <c r="AL4677">
        <v>-82.344545999999994</v>
      </c>
      <c r="AM4677">
        <v>100</v>
      </c>
      <c r="AN4677">
        <v>2100</v>
      </c>
      <c r="AO4677" t="s">
        <v>118</v>
      </c>
      <c r="AP4677">
        <v>-137</v>
      </c>
      <c r="AQ4677">
        <v>-40</v>
      </c>
      <c r="AR4677">
        <v>-128</v>
      </c>
      <c r="AZ4677">
        <v>1200</v>
      </c>
      <c r="BA4677">
        <v>1</v>
      </c>
      <c r="BB4677" t="str">
        <f t="shared" si="2132"/>
        <v xml:space="preserve">N711JA  </v>
      </c>
      <c r="BC4677">
        <v>1</v>
      </c>
      <c r="BE4677">
        <v>0</v>
      </c>
      <c r="BF4677">
        <v>0</v>
      </c>
      <c r="BG4677">
        <v>0</v>
      </c>
      <c r="BH4677">
        <v>2150</v>
      </c>
      <c r="BI4677">
        <v>1</v>
      </c>
      <c r="BJ4677">
        <v>1</v>
      </c>
      <c r="BK4677">
        <v>0</v>
      </c>
      <c r="BL4677">
        <v>0</v>
      </c>
      <c r="BO4677">
        <v>0</v>
      </c>
      <c r="BP4677">
        <v>0</v>
      </c>
      <c r="BW4677" t="str">
        <f t="shared" ref="BW4677:BW4685" si="2154">"14:49:50.204"</f>
        <v>14:49:50.204</v>
      </c>
      <c r="CJ4677">
        <v>0</v>
      </c>
      <c r="CK4677">
        <v>2</v>
      </c>
      <c r="CL4677">
        <v>0</v>
      </c>
      <c r="CM4677">
        <v>2</v>
      </c>
      <c r="CN4677">
        <v>0</v>
      </c>
      <c r="CO4677">
        <v>7</v>
      </c>
      <c r="CP4677" t="s">
        <v>119</v>
      </c>
      <c r="CQ4677">
        <v>343</v>
      </c>
      <c r="CR4677">
        <v>1</v>
      </c>
      <c r="CW4677">
        <v>11061370</v>
      </c>
      <c r="CY4677">
        <v>1</v>
      </c>
      <c r="CZ4677">
        <v>0</v>
      </c>
      <c r="DA4677">
        <v>0</v>
      </c>
      <c r="DB4677">
        <v>0</v>
      </c>
      <c r="DC4677">
        <v>0</v>
      </c>
      <c r="DD4677">
        <v>1</v>
      </c>
      <c r="DE4677">
        <v>0</v>
      </c>
      <c r="DF4677">
        <v>0</v>
      </c>
      <c r="DG4677">
        <v>0</v>
      </c>
      <c r="DH4677">
        <v>0</v>
      </c>
      <c r="DI4677">
        <v>0</v>
      </c>
    </row>
    <row r="4678" spans="1:113" x14ac:dyDescent="0.3">
      <c r="A4678" t="str">
        <f t="shared" si="2151"/>
        <v>05/12/2020 14:49:32.381</v>
      </c>
      <c r="C4678" t="str">
        <f t="shared" si="2131"/>
        <v>FFDFD3C0</v>
      </c>
      <c r="D4678" t="s">
        <v>126</v>
      </c>
      <c r="E4678">
        <v>7</v>
      </c>
      <c r="F4678">
        <v>1007</v>
      </c>
      <c r="G4678" t="s">
        <v>127</v>
      </c>
      <c r="J4678" t="s">
        <v>128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 t="shared" si="2152"/>
        <v>14:49:50.203</v>
      </c>
      <c r="T4678" t="str">
        <f t="shared" si="2153"/>
        <v>14:49:50.103</v>
      </c>
      <c r="U4678" t="str">
        <f t="shared" si="2150"/>
        <v>A9808D</v>
      </c>
      <c r="V4678">
        <v>0</v>
      </c>
      <c r="W4678">
        <v>0</v>
      </c>
      <c r="X4678">
        <v>1</v>
      </c>
      <c r="Z4678">
        <v>0</v>
      </c>
      <c r="AA4678">
        <v>9</v>
      </c>
      <c r="AB4678">
        <v>3</v>
      </c>
      <c r="AC4678">
        <v>0</v>
      </c>
      <c r="AD4678">
        <v>10</v>
      </c>
      <c r="AE4678">
        <v>0</v>
      </c>
      <c r="AF4678">
        <v>3</v>
      </c>
      <c r="AG4678">
        <v>2</v>
      </c>
      <c r="AH4678">
        <v>0</v>
      </c>
      <c r="AI4678" t="s">
        <v>1045</v>
      </c>
      <c r="AJ4678">
        <v>28.242695000000001</v>
      </c>
      <c r="AK4678" t="s">
        <v>1046</v>
      </c>
      <c r="AL4678">
        <v>-82.344545999999994</v>
      </c>
      <c r="AM4678">
        <v>100</v>
      </c>
      <c r="AN4678">
        <v>2100</v>
      </c>
      <c r="AO4678" t="s">
        <v>118</v>
      </c>
      <c r="AP4678">
        <v>-137</v>
      </c>
      <c r="AQ4678">
        <v>-40</v>
      </c>
      <c r="AR4678">
        <v>-128</v>
      </c>
      <c r="AZ4678">
        <v>1200</v>
      </c>
      <c r="BA4678">
        <v>1</v>
      </c>
      <c r="BB4678" t="str">
        <f t="shared" si="2132"/>
        <v xml:space="preserve">N711JA  </v>
      </c>
      <c r="BC4678">
        <v>1</v>
      </c>
      <c r="BE4678">
        <v>0</v>
      </c>
      <c r="BF4678">
        <v>0</v>
      </c>
      <c r="BG4678">
        <v>0</v>
      </c>
      <c r="BH4678">
        <v>2150</v>
      </c>
      <c r="BI4678">
        <v>1</v>
      </c>
      <c r="BJ4678">
        <v>1</v>
      </c>
      <c r="BK4678">
        <v>0</v>
      </c>
      <c r="BL4678">
        <v>0</v>
      </c>
      <c r="BO4678">
        <v>0</v>
      </c>
      <c r="BP4678">
        <v>0</v>
      </c>
      <c r="BW4678" t="str">
        <f t="shared" si="2154"/>
        <v>14:49:50.204</v>
      </c>
      <c r="CJ4678">
        <v>0</v>
      </c>
      <c r="CK4678">
        <v>2</v>
      </c>
      <c r="CL4678">
        <v>0</v>
      </c>
      <c r="CM4678">
        <v>2</v>
      </c>
      <c r="CN4678">
        <v>0</v>
      </c>
      <c r="CO4678">
        <v>7</v>
      </c>
      <c r="CP4678" t="s">
        <v>119</v>
      </c>
      <c r="CQ4678">
        <v>343</v>
      </c>
      <c r="CR4678">
        <v>1</v>
      </c>
      <c r="CW4678">
        <v>11061370</v>
      </c>
      <c r="CY4678">
        <v>1</v>
      </c>
      <c r="CZ4678">
        <v>0</v>
      </c>
      <c r="DA4678">
        <v>1</v>
      </c>
      <c r="DB4678">
        <v>0</v>
      </c>
      <c r="DC4678">
        <v>0</v>
      </c>
      <c r="DD4678">
        <v>1</v>
      </c>
      <c r="DE4678">
        <v>0</v>
      </c>
      <c r="DF4678">
        <v>0</v>
      </c>
      <c r="DG4678">
        <v>0</v>
      </c>
      <c r="DH4678">
        <v>0</v>
      </c>
      <c r="DI4678">
        <v>0</v>
      </c>
    </row>
    <row r="4679" spans="1:113" x14ac:dyDescent="0.3">
      <c r="A4679" t="str">
        <f t="shared" si="2151"/>
        <v>05/12/2020 14:49:32.381</v>
      </c>
      <c r="C4679" t="str">
        <f t="shared" si="2131"/>
        <v>FFDFD3C0</v>
      </c>
      <c r="D4679" t="s">
        <v>131</v>
      </c>
      <c r="E4679">
        <v>12</v>
      </c>
      <c r="F4679">
        <v>2012</v>
      </c>
      <c r="G4679" t="s">
        <v>137</v>
      </c>
      <c r="J4679" t="s">
        <v>133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 t="shared" si="2152"/>
        <v>14:49:50.203</v>
      </c>
      <c r="T4679" t="str">
        <f t="shared" si="2153"/>
        <v>14:49:50.103</v>
      </c>
      <c r="U4679" t="str">
        <f t="shared" si="2150"/>
        <v>A9808D</v>
      </c>
      <c r="V4679">
        <v>0</v>
      </c>
      <c r="W4679">
        <v>0</v>
      </c>
      <c r="X4679">
        <v>1</v>
      </c>
      <c r="Z4679">
        <v>0</v>
      </c>
      <c r="AA4679">
        <v>9</v>
      </c>
      <c r="AB4679">
        <v>3</v>
      </c>
      <c r="AC4679">
        <v>0</v>
      </c>
      <c r="AD4679">
        <v>10</v>
      </c>
      <c r="AE4679">
        <v>0</v>
      </c>
      <c r="AF4679">
        <v>3</v>
      </c>
      <c r="AG4679">
        <v>2</v>
      </c>
      <c r="AH4679">
        <v>0</v>
      </c>
      <c r="AI4679" t="s">
        <v>1045</v>
      </c>
      <c r="AJ4679">
        <v>28.242695000000001</v>
      </c>
      <c r="AK4679" t="s">
        <v>1046</v>
      </c>
      <c r="AL4679">
        <v>-82.344545999999994</v>
      </c>
      <c r="AM4679">
        <v>100</v>
      </c>
      <c r="AN4679">
        <v>2100</v>
      </c>
      <c r="AO4679" t="s">
        <v>118</v>
      </c>
      <c r="AP4679">
        <v>-137</v>
      </c>
      <c r="AQ4679">
        <v>-40</v>
      </c>
      <c r="AR4679">
        <v>-128</v>
      </c>
      <c r="AZ4679">
        <v>1200</v>
      </c>
      <c r="BA4679">
        <v>1</v>
      </c>
      <c r="BB4679" t="str">
        <f t="shared" si="2132"/>
        <v xml:space="preserve">N711JA  </v>
      </c>
      <c r="BC4679">
        <v>1</v>
      </c>
      <c r="BE4679">
        <v>0</v>
      </c>
      <c r="BF4679">
        <v>0</v>
      </c>
      <c r="BG4679">
        <v>0</v>
      </c>
      <c r="BH4679">
        <v>2150</v>
      </c>
      <c r="BI4679">
        <v>1</v>
      </c>
      <c r="BJ4679">
        <v>1</v>
      </c>
      <c r="BK4679">
        <v>0</v>
      </c>
      <c r="BL4679">
        <v>0</v>
      </c>
      <c r="BO4679">
        <v>0</v>
      </c>
      <c r="BP4679">
        <v>0</v>
      </c>
      <c r="BW4679" t="str">
        <f t="shared" si="2154"/>
        <v>14:49:50.204</v>
      </c>
      <c r="CJ4679">
        <v>0</v>
      </c>
      <c r="CK4679">
        <v>2</v>
      </c>
      <c r="CL4679">
        <v>0</v>
      </c>
      <c r="CM4679">
        <v>2</v>
      </c>
      <c r="CN4679">
        <v>0</v>
      </c>
      <c r="CO4679">
        <v>7</v>
      </c>
      <c r="CP4679" t="s">
        <v>119</v>
      </c>
      <c r="CQ4679">
        <v>343</v>
      </c>
      <c r="CR4679">
        <v>1</v>
      </c>
      <c r="CW4679">
        <v>11061370</v>
      </c>
      <c r="CY4679">
        <v>1</v>
      </c>
      <c r="CZ4679">
        <v>0</v>
      </c>
      <c r="DA4679">
        <v>1</v>
      </c>
      <c r="DB4679">
        <v>0</v>
      </c>
      <c r="DC4679">
        <v>0</v>
      </c>
      <c r="DD4679">
        <v>1</v>
      </c>
      <c r="DE4679">
        <v>0</v>
      </c>
      <c r="DF4679">
        <v>0</v>
      </c>
      <c r="DG4679">
        <v>0</v>
      </c>
      <c r="DH4679">
        <v>0</v>
      </c>
      <c r="DI4679">
        <v>0</v>
      </c>
    </row>
    <row r="4680" spans="1:113" x14ac:dyDescent="0.3">
      <c r="A4680" t="str">
        <f t="shared" si="2151"/>
        <v>05/12/2020 14:49:32.381</v>
      </c>
      <c r="C4680" t="str">
        <f t="shared" si="2131"/>
        <v>FFDFD3C0</v>
      </c>
      <c r="D4680" t="s">
        <v>131</v>
      </c>
      <c r="E4680">
        <v>18</v>
      </c>
      <c r="F4680">
        <v>2018</v>
      </c>
      <c r="G4680" t="s">
        <v>161</v>
      </c>
      <c r="J4680" t="s">
        <v>133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 t="shared" si="2152"/>
        <v>14:49:50.203</v>
      </c>
      <c r="T4680" t="str">
        <f t="shared" si="2153"/>
        <v>14:49:50.103</v>
      </c>
      <c r="U4680" t="str">
        <f t="shared" si="2150"/>
        <v>A9808D</v>
      </c>
      <c r="V4680">
        <v>0</v>
      </c>
      <c r="W4680">
        <v>0</v>
      </c>
      <c r="X4680">
        <v>1</v>
      </c>
      <c r="Z4680">
        <v>0</v>
      </c>
      <c r="AA4680">
        <v>9</v>
      </c>
      <c r="AB4680">
        <v>3</v>
      </c>
      <c r="AC4680">
        <v>0</v>
      </c>
      <c r="AD4680">
        <v>10</v>
      </c>
      <c r="AE4680">
        <v>0</v>
      </c>
      <c r="AF4680">
        <v>3</v>
      </c>
      <c r="AG4680">
        <v>2</v>
      </c>
      <c r="AH4680">
        <v>0</v>
      </c>
      <c r="AI4680" t="s">
        <v>1045</v>
      </c>
      <c r="AJ4680">
        <v>28.242695000000001</v>
      </c>
      <c r="AK4680" t="s">
        <v>1046</v>
      </c>
      <c r="AL4680">
        <v>-82.344545999999994</v>
      </c>
      <c r="AM4680">
        <v>100</v>
      </c>
      <c r="AN4680">
        <v>2100</v>
      </c>
      <c r="AO4680" t="s">
        <v>118</v>
      </c>
      <c r="AP4680">
        <v>-137</v>
      </c>
      <c r="AQ4680">
        <v>-40</v>
      </c>
      <c r="AR4680">
        <v>-128</v>
      </c>
      <c r="AZ4680">
        <v>1200</v>
      </c>
      <c r="BA4680">
        <v>1</v>
      </c>
      <c r="BB4680" t="str">
        <f t="shared" si="2132"/>
        <v xml:space="preserve">N711JA  </v>
      </c>
      <c r="BC4680">
        <v>1</v>
      </c>
      <c r="BE4680">
        <v>0</v>
      </c>
      <c r="BF4680">
        <v>0</v>
      </c>
      <c r="BG4680">
        <v>0</v>
      </c>
      <c r="BH4680">
        <v>2150</v>
      </c>
      <c r="BI4680">
        <v>1</v>
      </c>
      <c r="BJ4680">
        <v>1</v>
      </c>
      <c r="BK4680">
        <v>0</v>
      </c>
      <c r="BL4680">
        <v>0</v>
      </c>
      <c r="BO4680">
        <v>0</v>
      </c>
      <c r="BP4680">
        <v>0</v>
      </c>
      <c r="BW4680" t="str">
        <f t="shared" si="2154"/>
        <v>14:49:50.204</v>
      </c>
      <c r="CJ4680">
        <v>0</v>
      </c>
      <c r="CK4680">
        <v>2</v>
      </c>
      <c r="CL4680">
        <v>0</v>
      </c>
      <c r="CM4680">
        <v>2</v>
      </c>
      <c r="CN4680">
        <v>0</v>
      </c>
      <c r="CO4680">
        <v>7</v>
      </c>
      <c r="CP4680" t="s">
        <v>119</v>
      </c>
      <c r="CQ4680">
        <v>343</v>
      </c>
      <c r="CR4680">
        <v>1</v>
      </c>
      <c r="CW4680">
        <v>11061370</v>
      </c>
      <c r="CY4680">
        <v>1</v>
      </c>
      <c r="CZ4680">
        <v>0</v>
      </c>
      <c r="DA4680">
        <v>1</v>
      </c>
      <c r="DB4680">
        <v>0</v>
      </c>
      <c r="DC4680">
        <v>0</v>
      </c>
      <c r="DD4680">
        <v>1</v>
      </c>
      <c r="DE4680">
        <v>0</v>
      </c>
      <c r="DF4680">
        <v>0</v>
      </c>
      <c r="DG4680">
        <v>0</v>
      </c>
      <c r="DH4680">
        <v>0</v>
      </c>
      <c r="DI4680">
        <v>0</v>
      </c>
    </row>
    <row r="4681" spans="1:113" x14ac:dyDescent="0.3">
      <c r="A4681" t="str">
        <f t="shared" si="2151"/>
        <v>05/12/2020 14:49:32.381</v>
      </c>
      <c r="C4681" t="str">
        <f t="shared" si="2131"/>
        <v>FFDFD3C0</v>
      </c>
      <c r="D4681" t="s">
        <v>126</v>
      </c>
      <c r="E4681">
        <v>6</v>
      </c>
      <c r="F4681">
        <v>1006</v>
      </c>
      <c r="G4681" t="s">
        <v>114</v>
      </c>
      <c r="J4681" t="s">
        <v>128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 t="shared" si="2152"/>
        <v>14:49:50.203</v>
      </c>
      <c r="T4681" t="str">
        <f t="shared" si="2153"/>
        <v>14:49:50.103</v>
      </c>
      <c r="U4681" t="str">
        <f t="shared" si="2150"/>
        <v>A9808D</v>
      </c>
      <c r="V4681">
        <v>0</v>
      </c>
      <c r="W4681">
        <v>0</v>
      </c>
      <c r="X4681">
        <v>1</v>
      </c>
      <c r="Z4681">
        <v>0</v>
      </c>
      <c r="AA4681">
        <v>9</v>
      </c>
      <c r="AB4681">
        <v>3</v>
      </c>
      <c r="AC4681">
        <v>0</v>
      </c>
      <c r="AD4681">
        <v>10</v>
      </c>
      <c r="AE4681">
        <v>0</v>
      </c>
      <c r="AF4681">
        <v>3</v>
      </c>
      <c r="AG4681">
        <v>2</v>
      </c>
      <c r="AH4681">
        <v>0</v>
      </c>
      <c r="AI4681" t="s">
        <v>1045</v>
      </c>
      <c r="AJ4681">
        <v>28.242695000000001</v>
      </c>
      <c r="AK4681" t="s">
        <v>1046</v>
      </c>
      <c r="AL4681">
        <v>-82.344545999999994</v>
      </c>
      <c r="AM4681">
        <v>100</v>
      </c>
      <c r="AN4681">
        <v>2100</v>
      </c>
      <c r="AO4681" t="s">
        <v>118</v>
      </c>
      <c r="AP4681">
        <v>-137</v>
      </c>
      <c r="AQ4681">
        <v>-40</v>
      </c>
      <c r="AR4681">
        <v>-128</v>
      </c>
      <c r="AZ4681">
        <v>1200</v>
      </c>
      <c r="BA4681">
        <v>1</v>
      </c>
      <c r="BB4681" t="str">
        <f t="shared" si="2132"/>
        <v xml:space="preserve">N711JA  </v>
      </c>
      <c r="BC4681">
        <v>1</v>
      </c>
      <c r="BE4681">
        <v>0</v>
      </c>
      <c r="BF4681">
        <v>0</v>
      </c>
      <c r="BG4681">
        <v>0</v>
      </c>
      <c r="BH4681">
        <v>2150</v>
      </c>
      <c r="BI4681">
        <v>1</v>
      </c>
      <c r="BJ4681">
        <v>1</v>
      </c>
      <c r="BK4681">
        <v>0</v>
      </c>
      <c r="BL4681">
        <v>0</v>
      </c>
      <c r="BO4681">
        <v>0</v>
      </c>
      <c r="BP4681">
        <v>0</v>
      </c>
      <c r="BW4681" t="str">
        <f t="shared" si="2154"/>
        <v>14:49:50.204</v>
      </c>
      <c r="CJ4681">
        <v>0</v>
      </c>
      <c r="CK4681">
        <v>2</v>
      </c>
      <c r="CL4681">
        <v>0</v>
      </c>
      <c r="CM4681">
        <v>2</v>
      </c>
      <c r="CN4681">
        <v>0</v>
      </c>
      <c r="CO4681">
        <v>7</v>
      </c>
      <c r="CP4681" t="s">
        <v>119</v>
      </c>
      <c r="CQ4681">
        <v>343</v>
      </c>
      <c r="CR4681">
        <v>1</v>
      </c>
      <c r="CW4681">
        <v>11061370</v>
      </c>
      <c r="CY4681">
        <v>1</v>
      </c>
      <c r="CZ4681">
        <v>0</v>
      </c>
      <c r="DA4681">
        <v>1</v>
      </c>
      <c r="DB4681">
        <v>0</v>
      </c>
      <c r="DC4681">
        <v>0</v>
      </c>
      <c r="DD4681">
        <v>1</v>
      </c>
      <c r="DE4681">
        <v>0</v>
      </c>
      <c r="DF4681">
        <v>0</v>
      </c>
      <c r="DG4681">
        <v>0</v>
      </c>
      <c r="DH4681">
        <v>0</v>
      </c>
      <c r="DI4681">
        <v>0</v>
      </c>
    </row>
    <row r="4682" spans="1:113" x14ac:dyDescent="0.3">
      <c r="A4682" t="str">
        <f t="shared" si="2151"/>
        <v>05/12/2020 14:49:32.381</v>
      </c>
      <c r="C4682" t="str">
        <f t="shared" si="2131"/>
        <v>FFDFD3C0</v>
      </c>
      <c r="D4682" t="s">
        <v>113</v>
      </c>
      <c r="E4682">
        <v>3</v>
      </c>
      <c r="H4682">
        <v>164</v>
      </c>
      <c r="I4682" t="s">
        <v>114</v>
      </c>
      <c r="J4682" t="s">
        <v>115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 t="shared" si="2152"/>
        <v>14:49:50.203</v>
      </c>
      <c r="T4682" t="str">
        <f t="shared" si="2153"/>
        <v>14:49:50.103</v>
      </c>
      <c r="U4682" t="str">
        <f t="shared" si="2150"/>
        <v>A9808D</v>
      </c>
      <c r="V4682">
        <v>0</v>
      </c>
      <c r="W4682">
        <v>0</v>
      </c>
      <c r="X4682">
        <v>1</v>
      </c>
      <c r="Z4682">
        <v>0</v>
      </c>
      <c r="AA4682">
        <v>9</v>
      </c>
      <c r="AB4682">
        <v>3</v>
      </c>
      <c r="AC4682">
        <v>0</v>
      </c>
      <c r="AD4682">
        <v>10</v>
      </c>
      <c r="AE4682">
        <v>0</v>
      </c>
      <c r="AF4682">
        <v>3</v>
      </c>
      <c r="AG4682">
        <v>2</v>
      </c>
      <c r="AH4682">
        <v>0</v>
      </c>
      <c r="AI4682" t="s">
        <v>1045</v>
      </c>
      <c r="AJ4682">
        <v>28.242695000000001</v>
      </c>
      <c r="AK4682" t="s">
        <v>1046</v>
      </c>
      <c r="AL4682">
        <v>-82.344545999999994</v>
      </c>
      <c r="AM4682">
        <v>100</v>
      </c>
      <c r="AN4682">
        <v>2100</v>
      </c>
      <c r="AO4682" t="s">
        <v>118</v>
      </c>
      <c r="AP4682">
        <v>-137</v>
      </c>
      <c r="AQ4682">
        <v>-40</v>
      </c>
      <c r="AR4682">
        <v>-128</v>
      </c>
      <c r="AZ4682">
        <v>1200</v>
      </c>
      <c r="BA4682">
        <v>1</v>
      </c>
      <c r="BB4682" t="str">
        <f t="shared" si="2132"/>
        <v xml:space="preserve">N711JA  </v>
      </c>
      <c r="BC4682">
        <v>1</v>
      </c>
      <c r="BE4682">
        <v>0</v>
      </c>
      <c r="BF4682">
        <v>0</v>
      </c>
      <c r="BG4682">
        <v>0</v>
      </c>
      <c r="BH4682">
        <v>2150</v>
      </c>
      <c r="BI4682">
        <v>1</v>
      </c>
      <c r="BJ4682">
        <v>1</v>
      </c>
      <c r="BK4682">
        <v>0</v>
      </c>
      <c r="BL4682">
        <v>0</v>
      </c>
      <c r="BO4682">
        <v>0</v>
      </c>
      <c r="BP4682">
        <v>0</v>
      </c>
      <c r="BW4682" t="str">
        <f t="shared" si="2154"/>
        <v>14:49:50.204</v>
      </c>
      <c r="CJ4682">
        <v>0</v>
      </c>
      <c r="CK4682">
        <v>2</v>
      </c>
      <c r="CL4682">
        <v>0</v>
      </c>
      <c r="CM4682">
        <v>2</v>
      </c>
      <c r="CN4682">
        <v>0</v>
      </c>
      <c r="CO4682">
        <v>7</v>
      </c>
      <c r="CP4682" t="s">
        <v>119</v>
      </c>
      <c r="CQ4682">
        <v>343</v>
      </c>
      <c r="CR4682">
        <v>1</v>
      </c>
      <c r="CW4682">
        <v>11061370</v>
      </c>
      <c r="CY4682">
        <v>1</v>
      </c>
      <c r="CZ4682">
        <v>0</v>
      </c>
      <c r="DA4682">
        <v>1</v>
      </c>
      <c r="DB4682">
        <v>0</v>
      </c>
      <c r="DC4682">
        <v>0</v>
      </c>
      <c r="DD4682">
        <v>1</v>
      </c>
      <c r="DE4682">
        <v>0</v>
      </c>
      <c r="DF4682">
        <v>0</v>
      </c>
      <c r="DG4682">
        <v>0</v>
      </c>
      <c r="DH4682">
        <v>0</v>
      </c>
      <c r="DI4682">
        <v>0</v>
      </c>
    </row>
    <row r="4683" spans="1:113" x14ac:dyDescent="0.3">
      <c r="A4683" t="str">
        <f t="shared" si="2151"/>
        <v>05/12/2020 14:49:32.381</v>
      </c>
      <c r="C4683" t="str">
        <f t="shared" si="2131"/>
        <v>FFDFD3C0</v>
      </c>
      <c r="D4683" t="s">
        <v>138</v>
      </c>
      <c r="E4683">
        <v>2</v>
      </c>
      <c r="H4683">
        <v>8</v>
      </c>
      <c r="I4683" t="s">
        <v>139</v>
      </c>
      <c r="J4683" t="s">
        <v>136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 t="shared" si="2152"/>
        <v>14:49:50.203</v>
      </c>
      <c r="T4683" t="str">
        <f t="shared" si="2153"/>
        <v>14:49:50.103</v>
      </c>
      <c r="U4683" t="str">
        <f t="shared" si="2150"/>
        <v>A9808D</v>
      </c>
      <c r="V4683">
        <v>0</v>
      </c>
      <c r="W4683">
        <v>0</v>
      </c>
      <c r="X4683">
        <v>1</v>
      </c>
      <c r="Z4683">
        <v>0</v>
      </c>
      <c r="AA4683">
        <v>9</v>
      </c>
      <c r="AB4683">
        <v>3</v>
      </c>
      <c r="AC4683">
        <v>0</v>
      </c>
      <c r="AD4683">
        <v>10</v>
      </c>
      <c r="AE4683">
        <v>0</v>
      </c>
      <c r="AF4683">
        <v>3</v>
      </c>
      <c r="AG4683">
        <v>2</v>
      </c>
      <c r="AH4683">
        <v>0</v>
      </c>
      <c r="AI4683" t="s">
        <v>1045</v>
      </c>
      <c r="AJ4683">
        <v>28.242695000000001</v>
      </c>
      <c r="AK4683" t="s">
        <v>1046</v>
      </c>
      <c r="AL4683">
        <v>-82.344545999999994</v>
      </c>
      <c r="AM4683">
        <v>100</v>
      </c>
      <c r="AN4683">
        <v>2100</v>
      </c>
      <c r="AO4683" t="s">
        <v>118</v>
      </c>
      <c r="AP4683">
        <v>-137</v>
      </c>
      <c r="AQ4683">
        <v>-40</v>
      </c>
      <c r="AR4683">
        <v>-128</v>
      </c>
      <c r="AZ4683">
        <v>1200</v>
      </c>
      <c r="BA4683">
        <v>1</v>
      </c>
      <c r="BB4683" t="str">
        <f t="shared" si="2132"/>
        <v xml:space="preserve">N711JA  </v>
      </c>
      <c r="BC4683">
        <v>1</v>
      </c>
      <c r="BE4683">
        <v>0</v>
      </c>
      <c r="BF4683">
        <v>0</v>
      </c>
      <c r="BG4683">
        <v>0</v>
      </c>
      <c r="BH4683">
        <v>2150</v>
      </c>
      <c r="BI4683">
        <v>1</v>
      </c>
      <c r="BJ4683">
        <v>1</v>
      </c>
      <c r="BK4683">
        <v>0</v>
      </c>
      <c r="BL4683">
        <v>0</v>
      </c>
      <c r="BO4683">
        <v>0</v>
      </c>
      <c r="BP4683">
        <v>0</v>
      </c>
      <c r="BW4683" t="str">
        <f t="shared" si="2154"/>
        <v>14:49:50.204</v>
      </c>
      <c r="CJ4683">
        <v>0</v>
      </c>
      <c r="CK4683">
        <v>2</v>
      </c>
      <c r="CL4683">
        <v>0</v>
      </c>
      <c r="CM4683">
        <v>2</v>
      </c>
      <c r="CN4683">
        <v>0</v>
      </c>
      <c r="CO4683">
        <v>7</v>
      </c>
      <c r="CP4683" t="s">
        <v>119</v>
      </c>
      <c r="CQ4683">
        <v>343</v>
      </c>
      <c r="CR4683">
        <v>1</v>
      </c>
      <c r="CW4683">
        <v>11061370</v>
      </c>
      <c r="CY4683">
        <v>1</v>
      </c>
      <c r="CZ4683">
        <v>0</v>
      </c>
      <c r="DA4683">
        <v>1</v>
      </c>
      <c r="DB4683">
        <v>0</v>
      </c>
      <c r="DC4683">
        <v>0</v>
      </c>
      <c r="DD4683">
        <v>1</v>
      </c>
      <c r="DE4683">
        <v>0</v>
      </c>
      <c r="DF4683">
        <v>0</v>
      </c>
      <c r="DG4683">
        <v>0</v>
      </c>
      <c r="DH4683">
        <v>0</v>
      </c>
      <c r="DI4683">
        <v>0</v>
      </c>
    </row>
    <row r="4684" spans="1:113" x14ac:dyDescent="0.3">
      <c r="A4684" t="str">
        <f t="shared" si="2151"/>
        <v>05/12/2020 14:49:32.381</v>
      </c>
      <c r="C4684" t="str">
        <f t="shared" si="2131"/>
        <v>FFDFD3C0</v>
      </c>
      <c r="D4684" t="s">
        <v>138</v>
      </c>
      <c r="E4684">
        <v>3</v>
      </c>
      <c r="H4684">
        <v>9</v>
      </c>
      <c r="I4684" t="s">
        <v>140</v>
      </c>
      <c r="J4684" t="s">
        <v>136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 t="shared" si="2152"/>
        <v>14:49:50.203</v>
      </c>
      <c r="T4684" t="str">
        <f t="shared" si="2153"/>
        <v>14:49:50.103</v>
      </c>
      <c r="U4684" t="str">
        <f t="shared" si="2150"/>
        <v>A9808D</v>
      </c>
      <c r="V4684">
        <v>0</v>
      </c>
      <c r="W4684">
        <v>0</v>
      </c>
      <c r="X4684">
        <v>1</v>
      </c>
      <c r="Z4684">
        <v>0</v>
      </c>
      <c r="AA4684">
        <v>9</v>
      </c>
      <c r="AB4684">
        <v>3</v>
      </c>
      <c r="AC4684">
        <v>0</v>
      </c>
      <c r="AD4684">
        <v>10</v>
      </c>
      <c r="AE4684">
        <v>0</v>
      </c>
      <c r="AF4684">
        <v>3</v>
      </c>
      <c r="AG4684">
        <v>2</v>
      </c>
      <c r="AH4684">
        <v>0</v>
      </c>
      <c r="AI4684" t="s">
        <v>1045</v>
      </c>
      <c r="AJ4684">
        <v>28.242695000000001</v>
      </c>
      <c r="AK4684" t="s">
        <v>1046</v>
      </c>
      <c r="AL4684">
        <v>-82.344545999999994</v>
      </c>
      <c r="AM4684">
        <v>100</v>
      </c>
      <c r="AN4684">
        <v>2100</v>
      </c>
      <c r="AO4684" t="s">
        <v>118</v>
      </c>
      <c r="AP4684">
        <v>-137</v>
      </c>
      <c r="AQ4684">
        <v>-40</v>
      </c>
      <c r="AR4684">
        <v>-128</v>
      </c>
      <c r="AZ4684">
        <v>1200</v>
      </c>
      <c r="BA4684">
        <v>1</v>
      </c>
      <c r="BB4684" t="str">
        <f t="shared" si="2132"/>
        <v xml:space="preserve">N711JA  </v>
      </c>
      <c r="BC4684">
        <v>1</v>
      </c>
      <c r="BE4684">
        <v>0</v>
      </c>
      <c r="BF4684">
        <v>0</v>
      </c>
      <c r="BG4684">
        <v>0</v>
      </c>
      <c r="BH4684">
        <v>2150</v>
      </c>
      <c r="BI4684">
        <v>1</v>
      </c>
      <c r="BJ4684">
        <v>1</v>
      </c>
      <c r="BK4684">
        <v>0</v>
      </c>
      <c r="BL4684">
        <v>0</v>
      </c>
      <c r="BO4684">
        <v>0</v>
      </c>
      <c r="BP4684">
        <v>0</v>
      </c>
      <c r="BW4684" t="str">
        <f t="shared" si="2154"/>
        <v>14:49:50.204</v>
      </c>
      <c r="CJ4684">
        <v>0</v>
      </c>
      <c r="CK4684">
        <v>2</v>
      </c>
      <c r="CL4684">
        <v>0</v>
      </c>
      <c r="CM4684">
        <v>2</v>
      </c>
      <c r="CN4684">
        <v>0</v>
      </c>
      <c r="CO4684">
        <v>7</v>
      </c>
      <c r="CP4684" t="s">
        <v>119</v>
      </c>
      <c r="CQ4684">
        <v>343</v>
      </c>
      <c r="CR4684">
        <v>1</v>
      </c>
      <c r="CW4684">
        <v>11061370</v>
      </c>
      <c r="CY4684">
        <v>1</v>
      </c>
      <c r="CZ4684">
        <v>0</v>
      </c>
      <c r="DA4684">
        <v>1</v>
      </c>
      <c r="DB4684">
        <v>0</v>
      </c>
      <c r="DC4684">
        <v>0</v>
      </c>
      <c r="DD4684">
        <v>1</v>
      </c>
      <c r="DE4684">
        <v>0</v>
      </c>
      <c r="DF4684">
        <v>0</v>
      </c>
      <c r="DG4684">
        <v>0</v>
      </c>
      <c r="DH4684">
        <v>0</v>
      </c>
      <c r="DI4684">
        <v>0</v>
      </c>
    </row>
    <row r="4685" spans="1:113" x14ac:dyDescent="0.3">
      <c r="A4685" t="str">
        <f t="shared" si="2151"/>
        <v>05/12/2020 14:49:32.381</v>
      </c>
      <c r="C4685" t="str">
        <f t="shared" si="2131"/>
        <v>FFDFD3C0</v>
      </c>
      <c r="D4685" t="s">
        <v>134</v>
      </c>
      <c r="E4685">
        <v>12</v>
      </c>
      <c r="H4685">
        <v>64</v>
      </c>
      <c r="I4685" t="s">
        <v>135</v>
      </c>
      <c r="J4685" t="s">
        <v>136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 t="shared" si="2152"/>
        <v>14:49:50.203</v>
      </c>
      <c r="T4685" t="str">
        <f t="shared" si="2153"/>
        <v>14:49:50.103</v>
      </c>
      <c r="U4685" t="str">
        <f t="shared" si="2150"/>
        <v>A9808D</v>
      </c>
      <c r="V4685">
        <v>0</v>
      </c>
      <c r="W4685">
        <v>0</v>
      </c>
      <c r="X4685">
        <v>1</v>
      </c>
      <c r="Z4685">
        <v>0</v>
      </c>
      <c r="AA4685">
        <v>9</v>
      </c>
      <c r="AB4685">
        <v>3</v>
      </c>
      <c r="AC4685">
        <v>0</v>
      </c>
      <c r="AD4685">
        <v>10</v>
      </c>
      <c r="AE4685">
        <v>0</v>
      </c>
      <c r="AF4685">
        <v>3</v>
      </c>
      <c r="AG4685">
        <v>2</v>
      </c>
      <c r="AH4685">
        <v>0</v>
      </c>
      <c r="AI4685" t="s">
        <v>1045</v>
      </c>
      <c r="AJ4685">
        <v>28.242695000000001</v>
      </c>
      <c r="AK4685" t="s">
        <v>1046</v>
      </c>
      <c r="AL4685">
        <v>-82.344545999999994</v>
      </c>
      <c r="AM4685">
        <v>100</v>
      </c>
      <c r="AN4685">
        <v>2100</v>
      </c>
      <c r="AO4685" t="s">
        <v>118</v>
      </c>
      <c r="AP4685">
        <v>-137</v>
      </c>
      <c r="AQ4685">
        <v>-40</v>
      </c>
      <c r="AR4685">
        <v>-128</v>
      </c>
      <c r="AZ4685">
        <v>1200</v>
      </c>
      <c r="BA4685">
        <v>1</v>
      </c>
      <c r="BB4685" t="str">
        <f t="shared" si="2132"/>
        <v xml:space="preserve">N711JA  </v>
      </c>
      <c r="BC4685">
        <v>1</v>
      </c>
      <c r="BE4685">
        <v>0</v>
      </c>
      <c r="BF4685">
        <v>0</v>
      </c>
      <c r="BG4685">
        <v>0</v>
      </c>
      <c r="BH4685">
        <v>2150</v>
      </c>
      <c r="BI4685">
        <v>1</v>
      </c>
      <c r="BJ4685">
        <v>1</v>
      </c>
      <c r="BK4685">
        <v>0</v>
      </c>
      <c r="BL4685">
        <v>0</v>
      </c>
      <c r="BO4685">
        <v>0</v>
      </c>
      <c r="BP4685">
        <v>0</v>
      </c>
      <c r="BW4685" t="str">
        <f t="shared" si="2154"/>
        <v>14:49:50.204</v>
      </c>
      <c r="CJ4685">
        <v>0</v>
      </c>
      <c r="CK4685">
        <v>2</v>
      </c>
      <c r="CL4685">
        <v>0</v>
      </c>
      <c r="CM4685">
        <v>2</v>
      </c>
      <c r="CN4685">
        <v>0</v>
      </c>
      <c r="CO4685">
        <v>7</v>
      </c>
      <c r="CP4685" t="s">
        <v>119</v>
      </c>
      <c r="CQ4685">
        <v>343</v>
      </c>
      <c r="CR4685">
        <v>1</v>
      </c>
      <c r="CW4685">
        <v>11061370</v>
      </c>
      <c r="CY4685">
        <v>1</v>
      </c>
      <c r="CZ4685">
        <v>0</v>
      </c>
      <c r="DA4685">
        <v>1</v>
      </c>
      <c r="DB4685">
        <v>0</v>
      </c>
      <c r="DC4685">
        <v>0</v>
      </c>
      <c r="DD4685">
        <v>1</v>
      </c>
      <c r="DE4685">
        <v>0</v>
      </c>
      <c r="DF4685">
        <v>0</v>
      </c>
      <c r="DG4685">
        <v>0</v>
      </c>
      <c r="DH4685">
        <v>0</v>
      </c>
      <c r="DI4685">
        <v>0</v>
      </c>
    </row>
    <row r="4686" spans="1:113" x14ac:dyDescent="0.3">
      <c r="A4686" t="str">
        <f t="shared" ref="A4686:A4694" si="2155">"05/12/2020 14:49:33.487"</f>
        <v>05/12/2020 14:49:33.487</v>
      </c>
      <c r="C4686" t="str">
        <f t="shared" si="2131"/>
        <v>FFDFD3C0</v>
      </c>
      <c r="D4686" t="s">
        <v>131</v>
      </c>
      <c r="E4686">
        <v>10</v>
      </c>
      <c r="F4686">
        <v>2010</v>
      </c>
      <c r="G4686" t="s">
        <v>132</v>
      </c>
      <c r="J4686" t="s">
        <v>133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 t="shared" ref="S4686:S4694" si="2156">"14:49:51.313"</f>
        <v>14:49:51.313</v>
      </c>
      <c r="T4686" t="str">
        <f t="shared" ref="T4686:T4694" si="2157">"14:49:51.013"</f>
        <v>14:49:51.013</v>
      </c>
      <c r="U4686" t="str">
        <f t="shared" si="2150"/>
        <v>A9808D</v>
      </c>
      <c r="V4686">
        <v>0</v>
      </c>
      <c r="W4686">
        <v>0</v>
      </c>
      <c r="X4686">
        <v>1</v>
      </c>
      <c r="Z4686">
        <v>0</v>
      </c>
      <c r="AA4686">
        <v>9</v>
      </c>
      <c r="AB4686">
        <v>3</v>
      </c>
      <c r="AC4686">
        <v>0</v>
      </c>
      <c r="AD4686">
        <v>10</v>
      </c>
      <c r="AE4686">
        <v>0</v>
      </c>
      <c r="AF4686">
        <v>3</v>
      </c>
      <c r="AG4686">
        <v>2</v>
      </c>
      <c r="AH4686">
        <v>0</v>
      </c>
      <c r="AI4686" t="s">
        <v>1047</v>
      </c>
      <c r="AJ4686">
        <v>28.242502000000002</v>
      </c>
      <c r="AK4686" t="s">
        <v>1048</v>
      </c>
      <c r="AL4686">
        <v>-82.345339999999993</v>
      </c>
      <c r="AM4686">
        <v>100</v>
      </c>
      <c r="AN4686">
        <v>2100</v>
      </c>
      <c r="AO4686" t="s">
        <v>118</v>
      </c>
      <c r="AP4686">
        <v>-136</v>
      </c>
      <c r="AQ4686">
        <v>-41</v>
      </c>
      <c r="AR4686">
        <v>-192</v>
      </c>
      <c r="AZ4686">
        <v>1200</v>
      </c>
      <c r="BA4686">
        <v>1</v>
      </c>
      <c r="BB4686" t="str">
        <f t="shared" si="2132"/>
        <v xml:space="preserve">N711JA  </v>
      </c>
      <c r="BC4686">
        <v>1</v>
      </c>
      <c r="BE4686">
        <v>0</v>
      </c>
      <c r="BF4686">
        <v>0</v>
      </c>
      <c r="BG4686">
        <v>0</v>
      </c>
      <c r="BH4686">
        <v>2150</v>
      </c>
      <c r="BI4686">
        <v>1</v>
      </c>
      <c r="BJ4686">
        <v>1</v>
      </c>
      <c r="BK4686">
        <v>0</v>
      </c>
      <c r="BL4686">
        <v>0</v>
      </c>
      <c r="BO4686">
        <v>0</v>
      </c>
      <c r="BP4686">
        <v>0</v>
      </c>
      <c r="BW4686" t="str">
        <f t="shared" ref="BW4686:BW4694" si="2158">"14:49:51.316"</f>
        <v>14:49:51.316</v>
      </c>
      <c r="CJ4686">
        <v>0</v>
      </c>
      <c r="CK4686">
        <v>2</v>
      </c>
      <c r="CL4686">
        <v>0</v>
      </c>
      <c r="CM4686">
        <v>2</v>
      </c>
      <c r="CN4686">
        <v>0</v>
      </c>
      <c r="CO4686">
        <v>7</v>
      </c>
      <c r="CP4686" t="s">
        <v>119</v>
      </c>
      <c r="CQ4686">
        <v>343</v>
      </c>
      <c r="CR4686">
        <v>1</v>
      </c>
      <c r="CW4686">
        <v>11062492</v>
      </c>
      <c r="CY4686">
        <v>1</v>
      </c>
      <c r="CZ4686">
        <v>0</v>
      </c>
      <c r="DA4686">
        <v>0</v>
      </c>
      <c r="DB4686">
        <v>0</v>
      </c>
      <c r="DC4686">
        <v>0</v>
      </c>
      <c r="DD4686">
        <v>1</v>
      </c>
      <c r="DE4686">
        <v>0</v>
      </c>
      <c r="DF4686">
        <v>0</v>
      </c>
      <c r="DG4686">
        <v>0</v>
      </c>
      <c r="DH4686">
        <v>0</v>
      </c>
      <c r="DI4686">
        <v>0</v>
      </c>
    </row>
    <row r="4687" spans="1:113" x14ac:dyDescent="0.3">
      <c r="A4687" t="str">
        <f t="shared" si="2155"/>
        <v>05/12/2020 14:49:33.487</v>
      </c>
      <c r="C4687" t="str">
        <f t="shared" si="2131"/>
        <v>FFDFD3C0</v>
      </c>
      <c r="D4687" t="s">
        <v>126</v>
      </c>
      <c r="E4687">
        <v>7</v>
      </c>
      <c r="F4687">
        <v>1007</v>
      </c>
      <c r="G4687" t="s">
        <v>127</v>
      </c>
      <c r="J4687" t="s">
        <v>128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 t="shared" si="2156"/>
        <v>14:49:51.313</v>
      </c>
      <c r="T4687" t="str">
        <f t="shared" si="2157"/>
        <v>14:49:51.013</v>
      </c>
      <c r="U4687" t="str">
        <f t="shared" si="2150"/>
        <v>A9808D</v>
      </c>
      <c r="V4687">
        <v>0</v>
      </c>
      <c r="W4687">
        <v>0</v>
      </c>
      <c r="X4687">
        <v>1</v>
      </c>
      <c r="Z4687">
        <v>0</v>
      </c>
      <c r="AA4687">
        <v>9</v>
      </c>
      <c r="AB4687">
        <v>3</v>
      </c>
      <c r="AC4687">
        <v>0</v>
      </c>
      <c r="AD4687">
        <v>10</v>
      </c>
      <c r="AE4687">
        <v>0</v>
      </c>
      <c r="AF4687">
        <v>3</v>
      </c>
      <c r="AG4687">
        <v>2</v>
      </c>
      <c r="AH4687">
        <v>0</v>
      </c>
      <c r="AI4687" t="s">
        <v>1047</v>
      </c>
      <c r="AJ4687">
        <v>28.242502000000002</v>
      </c>
      <c r="AK4687" t="s">
        <v>1048</v>
      </c>
      <c r="AL4687">
        <v>-82.345339999999993</v>
      </c>
      <c r="AM4687">
        <v>100</v>
      </c>
      <c r="AN4687">
        <v>2100</v>
      </c>
      <c r="AO4687" t="s">
        <v>118</v>
      </c>
      <c r="AP4687">
        <v>-136</v>
      </c>
      <c r="AQ4687">
        <v>-41</v>
      </c>
      <c r="AR4687">
        <v>-192</v>
      </c>
      <c r="AZ4687">
        <v>1200</v>
      </c>
      <c r="BA4687">
        <v>1</v>
      </c>
      <c r="BB4687" t="str">
        <f t="shared" si="2132"/>
        <v xml:space="preserve">N711JA  </v>
      </c>
      <c r="BC4687">
        <v>1</v>
      </c>
      <c r="BE4687">
        <v>0</v>
      </c>
      <c r="BF4687">
        <v>0</v>
      </c>
      <c r="BG4687">
        <v>0</v>
      </c>
      <c r="BH4687">
        <v>2150</v>
      </c>
      <c r="BI4687">
        <v>1</v>
      </c>
      <c r="BJ4687">
        <v>1</v>
      </c>
      <c r="BK4687">
        <v>0</v>
      </c>
      <c r="BL4687">
        <v>0</v>
      </c>
      <c r="BO4687">
        <v>0</v>
      </c>
      <c r="BP4687">
        <v>0</v>
      </c>
      <c r="BW4687" t="str">
        <f t="shared" si="2158"/>
        <v>14:49:51.316</v>
      </c>
      <c r="CJ4687">
        <v>0</v>
      </c>
      <c r="CK4687">
        <v>2</v>
      </c>
      <c r="CL4687">
        <v>0</v>
      </c>
      <c r="CM4687">
        <v>2</v>
      </c>
      <c r="CN4687">
        <v>0</v>
      </c>
      <c r="CO4687">
        <v>7</v>
      </c>
      <c r="CP4687" t="s">
        <v>119</v>
      </c>
      <c r="CQ4687">
        <v>343</v>
      </c>
      <c r="CR4687">
        <v>1</v>
      </c>
      <c r="CW4687">
        <v>11062492</v>
      </c>
      <c r="CY4687">
        <v>1</v>
      </c>
      <c r="CZ4687">
        <v>0</v>
      </c>
      <c r="DA4687">
        <v>1</v>
      </c>
      <c r="DB4687">
        <v>0</v>
      </c>
      <c r="DC4687">
        <v>0</v>
      </c>
      <c r="DD4687">
        <v>1</v>
      </c>
      <c r="DE4687">
        <v>0</v>
      </c>
      <c r="DF4687">
        <v>0</v>
      </c>
      <c r="DG4687">
        <v>0</v>
      </c>
      <c r="DH4687">
        <v>0</v>
      </c>
      <c r="DI4687">
        <v>0</v>
      </c>
    </row>
    <row r="4688" spans="1:113" x14ac:dyDescent="0.3">
      <c r="A4688" t="str">
        <f t="shared" si="2155"/>
        <v>05/12/2020 14:49:33.487</v>
      </c>
      <c r="C4688" t="str">
        <f t="shared" si="2131"/>
        <v>FFDFD3C0</v>
      </c>
      <c r="D4688" t="s">
        <v>131</v>
      </c>
      <c r="E4688">
        <v>12</v>
      </c>
      <c r="F4688">
        <v>2012</v>
      </c>
      <c r="G4688" t="s">
        <v>137</v>
      </c>
      <c r="J4688" t="s">
        <v>133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 t="shared" si="2156"/>
        <v>14:49:51.313</v>
      </c>
      <c r="T4688" t="str">
        <f t="shared" si="2157"/>
        <v>14:49:51.013</v>
      </c>
      <c r="U4688" t="str">
        <f t="shared" si="2150"/>
        <v>A9808D</v>
      </c>
      <c r="V4688">
        <v>0</v>
      </c>
      <c r="W4688">
        <v>0</v>
      </c>
      <c r="X4688">
        <v>1</v>
      </c>
      <c r="Z4688">
        <v>0</v>
      </c>
      <c r="AA4688">
        <v>9</v>
      </c>
      <c r="AB4688">
        <v>3</v>
      </c>
      <c r="AC4688">
        <v>0</v>
      </c>
      <c r="AD4688">
        <v>10</v>
      </c>
      <c r="AE4688">
        <v>0</v>
      </c>
      <c r="AF4688">
        <v>3</v>
      </c>
      <c r="AG4688">
        <v>2</v>
      </c>
      <c r="AH4688">
        <v>0</v>
      </c>
      <c r="AI4688" t="s">
        <v>1047</v>
      </c>
      <c r="AJ4688">
        <v>28.242502000000002</v>
      </c>
      <c r="AK4688" t="s">
        <v>1048</v>
      </c>
      <c r="AL4688">
        <v>-82.345339999999993</v>
      </c>
      <c r="AM4688">
        <v>100</v>
      </c>
      <c r="AN4688">
        <v>2100</v>
      </c>
      <c r="AO4688" t="s">
        <v>118</v>
      </c>
      <c r="AP4688">
        <v>-136</v>
      </c>
      <c r="AQ4688">
        <v>-41</v>
      </c>
      <c r="AR4688">
        <v>-192</v>
      </c>
      <c r="AZ4688">
        <v>1200</v>
      </c>
      <c r="BA4688">
        <v>1</v>
      </c>
      <c r="BB4688" t="str">
        <f t="shared" si="2132"/>
        <v xml:space="preserve">N711JA  </v>
      </c>
      <c r="BC4688">
        <v>1</v>
      </c>
      <c r="BE4688">
        <v>0</v>
      </c>
      <c r="BF4688">
        <v>0</v>
      </c>
      <c r="BG4688">
        <v>0</v>
      </c>
      <c r="BH4688">
        <v>2150</v>
      </c>
      <c r="BI4688">
        <v>1</v>
      </c>
      <c r="BJ4688">
        <v>1</v>
      </c>
      <c r="BK4688">
        <v>0</v>
      </c>
      <c r="BL4688">
        <v>0</v>
      </c>
      <c r="BO4688">
        <v>0</v>
      </c>
      <c r="BP4688">
        <v>0</v>
      </c>
      <c r="BW4688" t="str">
        <f t="shared" si="2158"/>
        <v>14:49:51.316</v>
      </c>
      <c r="CJ4688">
        <v>0</v>
      </c>
      <c r="CK4688">
        <v>2</v>
      </c>
      <c r="CL4688">
        <v>0</v>
      </c>
      <c r="CM4688">
        <v>2</v>
      </c>
      <c r="CN4688">
        <v>0</v>
      </c>
      <c r="CO4688">
        <v>7</v>
      </c>
      <c r="CP4688" t="s">
        <v>119</v>
      </c>
      <c r="CQ4688">
        <v>343</v>
      </c>
      <c r="CR4688">
        <v>1</v>
      </c>
      <c r="CW4688">
        <v>11062492</v>
      </c>
      <c r="CY4688">
        <v>1</v>
      </c>
      <c r="CZ4688">
        <v>0</v>
      </c>
      <c r="DA4688">
        <v>1</v>
      </c>
      <c r="DB4688">
        <v>0</v>
      </c>
      <c r="DC4688">
        <v>0</v>
      </c>
      <c r="DD4688">
        <v>1</v>
      </c>
      <c r="DE4688">
        <v>0</v>
      </c>
      <c r="DF4688">
        <v>0</v>
      </c>
      <c r="DG4688">
        <v>0</v>
      </c>
      <c r="DH4688">
        <v>0</v>
      </c>
      <c r="DI4688">
        <v>0</v>
      </c>
    </row>
    <row r="4689" spans="1:113" x14ac:dyDescent="0.3">
      <c r="A4689" t="str">
        <f t="shared" si="2155"/>
        <v>05/12/2020 14:49:33.487</v>
      </c>
      <c r="C4689" t="str">
        <f t="shared" si="2131"/>
        <v>FFDFD3C0</v>
      </c>
      <c r="D4689" t="s">
        <v>131</v>
      </c>
      <c r="E4689">
        <v>18</v>
      </c>
      <c r="F4689">
        <v>2018</v>
      </c>
      <c r="G4689" t="s">
        <v>161</v>
      </c>
      <c r="J4689" t="s">
        <v>133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 t="shared" si="2156"/>
        <v>14:49:51.313</v>
      </c>
      <c r="T4689" t="str">
        <f t="shared" si="2157"/>
        <v>14:49:51.013</v>
      </c>
      <c r="U4689" t="str">
        <f t="shared" si="2150"/>
        <v>A9808D</v>
      </c>
      <c r="V4689">
        <v>0</v>
      </c>
      <c r="W4689">
        <v>0</v>
      </c>
      <c r="X4689">
        <v>1</v>
      </c>
      <c r="Z4689">
        <v>0</v>
      </c>
      <c r="AA4689">
        <v>9</v>
      </c>
      <c r="AB4689">
        <v>3</v>
      </c>
      <c r="AC4689">
        <v>0</v>
      </c>
      <c r="AD4689">
        <v>10</v>
      </c>
      <c r="AE4689">
        <v>0</v>
      </c>
      <c r="AF4689">
        <v>3</v>
      </c>
      <c r="AG4689">
        <v>2</v>
      </c>
      <c r="AH4689">
        <v>0</v>
      </c>
      <c r="AI4689" t="s">
        <v>1047</v>
      </c>
      <c r="AJ4689">
        <v>28.242502000000002</v>
      </c>
      <c r="AK4689" t="s">
        <v>1048</v>
      </c>
      <c r="AL4689">
        <v>-82.345339999999993</v>
      </c>
      <c r="AM4689">
        <v>100</v>
      </c>
      <c r="AN4689">
        <v>2100</v>
      </c>
      <c r="AO4689" t="s">
        <v>118</v>
      </c>
      <c r="AP4689">
        <v>-136</v>
      </c>
      <c r="AQ4689">
        <v>-41</v>
      </c>
      <c r="AR4689">
        <v>-192</v>
      </c>
      <c r="AZ4689">
        <v>1200</v>
      </c>
      <c r="BA4689">
        <v>1</v>
      </c>
      <c r="BB4689" t="str">
        <f t="shared" si="2132"/>
        <v xml:space="preserve">N711JA  </v>
      </c>
      <c r="BC4689">
        <v>1</v>
      </c>
      <c r="BE4689">
        <v>0</v>
      </c>
      <c r="BF4689">
        <v>0</v>
      </c>
      <c r="BG4689">
        <v>0</v>
      </c>
      <c r="BH4689">
        <v>2150</v>
      </c>
      <c r="BI4689">
        <v>1</v>
      </c>
      <c r="BJ4689">
        <v>1</v>
      </c>
      <c r="BK4689">
        <v>0</v>
      </c>
      <c r="BL4689">
        <v>0</v>
      </c>
      <c r="BO4689">
        <v>0</v>
      </c>
      <c r="BP4689">
        <v>0</v>
      </c>
      <c r="BW4689" t="str">
        <f t="shared" si="2158"/>
        <v>14:49:51.316</v>
      </c>
      <c r="CJ4689">
        <v>0</v>
      </c>
      <c r="CK4689">
        <v>2</v>
      </c>
      <c r="CL4689">
        <v>0</v>
      </c>
      <c r="CM4689">
        <v>2</v>
      </c>
      <c r="CN4689">
        <v>0</v>
      </c>
      <c r="CO4689">
        <v>7</v>
      </c>
      <c r="CP4689" t="s">
        <v>119</v>
      </c>
      <c r="CQ4689">
        <v>343</v>
      </c>
      <c r="CR4689">
        <v>1</v>
      </c>
      <c r="CW4689">
        <v>11062492</v>
      </c>
      <c r="CY4689">
        <v>1</v>
      </c>
      <c r="CZ4689">
        <v>0</v>
      </c>
      <c r="DA4689">
        <v>1</v>
      </c>
      <c r="DB4689">
        <v>0</v>
      </c>
      <c r="DC4689">
        <v>0</v>
      </c>
      <c r="DD4689">
        <v>1</v>
      </c>
      <c r="DE4689">
        <v>0</v>
      </c>
      <c r="DF4689">
        <v>0</v>
      </c>
      <c r="DG4689">
        <v>0</v>
      </c>
      <c r="DH4689">
        <v>0</v>
      </c>
      <c r="DI4689">
        <v>0</v>
      </c>
    </row>
    <row r="4690" spans="1:113" x14ac:dyDescent="0.3">
      <c r="A4690" t="str">
        <f t="shared" si="2155"/>
        <v>05/12/2020 14:49:33.487</v>
      </c>
      <c r="C4690" t="str">
        <f t="shared" si="2131"/>
        <v>FFDFD3C0</v>
      </c>
      <c r="D4690" t="s">
        <v>126</v>
      </c>
      <c r="E4690">
        <v>6</v>
      </c>
      <c r="F4690">
        <v>1006</v>
      </c>
      <c r="G4690" t="s">
        <v>114</v>
      </c>
      <c r="J4690" t="s">
        <v>128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 t="shared" si="2156"/>
        <v>14:49:51.313</v>
      </c>
      <c r="T4690" t="str">
        <f t="shared" si="2157"/>
        <v>14:49:51.013</v>
      </c>
      <c r="U4690" t="str">
        <f t="shared" si="2150"/>
        <v>A9808D</v>
      </c>
      <c r="V4690">
        <v>0</v>
      </c>
      <c r="W4690">
        <v>0</v>
      </c>
      <c r="X4690">
        <v>1</v>
      </c>
      <c r="Z4690">
        <v>0</v>
      </c>
      <c r="AA4690">
        <v>9</v>
      </c>
      <c r="AB4690">
        <v>3</v>
      </c>
      <c r="AC4690">
        <v>0</v>
      </c>
      <c r="AD4690">
        <v>10</v>
      </c>
      <c r="AE4690">
        <v>0</v>
      </c>
      <c r="AF4690">
        <v>3</v>
      </c>
      <c r="AG4690">
        <v>2</v>
      </c>
      <c r="AH4690">
        <v>0</v>
      </c>
      <c r="AI4690" t="s">
        <v>1047</v>
      </c>
      <c r="AJ4690">
        <v>28.242502000000002</v>
      </c>
      <c r="AK4690" t="s">
        <v>1048</v>
      </c>
      <c r="AL4690">
        <v>-82.345339999999993</v>
      </c>
      <c r="AM4690">
        <v>100</v>
      </c>
      <c r="AN4690">
        <v>2100</v>
      </c>
      <c r="AO4690" t="s">
        <v>118</v>
      </c>
      <c r="AP4690">
        <v>-136</v>
      </c>
      <c r="AQ4690">
        <v>-41</v>
      </c>
      <c r="AR4690">
        <v>-192</v>
      </c>
      <c r="AZ4690">
        <v>1200</v>
      </c>
      <c r="BA4690">
        <v>1</v>
      </c>
      <c r="BB4690" t="str">
        <f t="shared" si="2132"/>
        <v xml:space="preserve">N711JA  </v>
      </c>
      <c r="BC4690">
        <v>1</v>
      </c>
      <c r="BE4690">
        <v>0</v>
      </c>
      <c r="BF4690">
        <v>0</v>
      </c>
      <c r="BG4690">
        <v>0</v>
      </c>
      <c r="BH4690">
        <v>2150</v>
      </c>
      <c r="BI4690">
        <v>1</v>
      </c>
      <c r="BJ4690">
        <v>1</v>
      </c>
      <c r="BK4690">
        <v>0</v>
      </c>
      <c r="BL4690">
        <v>0</v>
      </c>
      <c r="BO4690">
        <v>0</v>
      </c>
      <c r="BP4690">
        <v>0</v>
      </c>
      <c r="BW4690" t="str">
        <f t="shared" si="2158"/>
        <v>14:49:51.316</v>
      </c>
      <c r="CJ4690">
        <v>0</v>
      </c>
      <c r="CK4690">
        <v>2</v>
      </c>
      <c r="CL4690">
        <v>0</v>
      </c>
      <c r="CM4690">
        <v>2</v>
      </c>
      <c r="CN4690">
        <v>0</v>
      </c>
      <c r="CO4690">
        <v>7</v>
      </c>
      <c r="CP4690" t="s">
        <v>119</v>
      </c>
      <c r="CQ4690">
        <v>343</v>
      </c>
      <c r="CR4690">
        <v>1</v>
      </c>
      <c r="CW4690">
        <v>11062492</v>
      </c>
      <c r="CY4690">
        <v>1</v>
      </c>
      <c r="CZ4690">
        <v>0</v>
      </c>
      <c r="DA4690">
        <v>1</v>
      </c>
      <c r="DB4690">
        <v>0</v>
      </c>
      <c r="DC4690">
        <v>0</v>
      </c>
      <c r="DD4690">
        <v>1</v>
      </c>
      <c r="DE4690">
        <v>0</v>
      </c>
      <c r="DF4690">
        <v>0</v>
      </c>
      <c r="DG4690">
        <v>0</v>
      </c>
      <c r="DH4690">
        <v>0</v>
      </c>
      <c r="DI4690">
        <v>0</v>
      </c>
    </row>
    <row r="4691" spans="1:113" x14ac:dyDescent="0.3">
      <c r="A4691" t="str">
        <f t="shared" si="2155"/>
        <v>05/12/2020 14:49:33.487</v>
      </c>
      <c r="C4691" t="str">
        <f t="shared" si="2131"/>
        <v>FFDFD3C0</v>
      </c>
      <c r="D4691" t="s">
        <v>113</v>
      </c>
      <c r="E4691">
        <v>3</v>
      </c>
      <c r="H4691">
        <v>164</v>
      </c>
      <c r="I4691" t="s">
        <v>114</v>
      </c>
      <c r="J4691" t="s">
        <v>115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 t="shared" si="2156"/>
        <v>14:49:51.313</v>
      </c>
      <c r="T4691" t="str">
        <f t="shared" si="2157"/>
        <v>14:49:51.013</v>
      </c>
      <c r="U4691" t="str">
        <f t="shared" si="2150"/>
        <v>A9808D</v>
      </c>
      <c r="V4691">
        <v>0</v>
      </c>
      <c r="W4691">
        <v>0</v>
      </c>
      <c r="X4691">
        <v>1</v>
      </c>
      <c r="Z4691">
        <v>0</v>
      </c>
      <c r="AA4691">
        <v>9</v>
      </c>
      <c r="AB4691">
        <v>3</v>
      </c>
      <c r="AC4691">
        <v>0</v>
      </c>
      <c r="AD4691">
        <v>10</v>
      </c>
      <c r="AE4691">
        <v>0</v>
      </c>
      <c r="AF4691">
        <v>3</v>
      </c>
      <c r="AG4691">
        <v>2</v>
      </c>
      <c r="AH4691">
        <v>0</v>
      </c>
      <c r="AI4691" t="s">
        <v>1047</v>
      </c>
      <c r="AJ4691">
        <v>28.242502000000002</v>
      </c>
      <c r="AK4691" t="s">
        <v>1048</v>
      </c>
      <c r="AL4691">
        <v>-82.345339999999993</v>
      </c>
      <c r="AM4691">
        <v>100</v>
      </c>
      <c r="AN4691">
        <v>2100</v>
      </c>
      <c r="AO4691" t="s">
        <v>118</v>
      </c>
      <c r="AP4691">
        <v>-136</v>
      </c>
      <c r="AQ4691">
        <v>-41</v>
      </c>
      <c r="AR4691">
        <v>-192</v>
      </c>
      <c r="AZ4691">
        <v>1200</v>
      </c>
      <c r="BA4691">
        <v>1</v>
      </c>
      <c r="BB4691" t="str">
        <f t="shared" si="2132"/>
        <v xml:space="preserve">N711JA  </v>
      </c>
      <c r="BC4691">
        <v>1</v>
      </c>
      <c r="BE4691">
        <v>0</v>
      </c>
      <c r="BF4691">
        <v>0</v>
      </c>
      <c r="BG4691">
        <v>0</v>
      </c>
      <c r="BH4691">
        <v>2150</v>
      </c>
      <c r="BI4691">
        <v>1</v>
      </c>
      <c r="BJ4691">
        <v>1</v>
      </c>
      <c r="BK4691">
        <v>0</v>
      </c>
      <c r="BL4691">
        <v>0</v>
      </c>
      <c r="BO4691">
        <v>0</v>
      </c>
      <c r="BP4691">
        <v>0</v>
      </c>
      <c r="BW4691" t="str">
        <f t="shared" si="2158"/>
        <v>14:49:51.316</v>
      </c>
      <c r="CJ4691">
        <v>0</v>
      </c>
      <c r="CK4691">
        <v>2</v>
      </c>
      <c r="CL4691">
        <v>0</v>
      </c>
      <c r="CM4691">
        <v>2</v>
      </c>
      <c r="CN4691">
        <v>0</v>
      </c>
      <c r="CO4691">
        <v>7</v>
      </c>
      <c r="CP4691" t="s">
        <v>119</v>
      </c>
      <c r="CQ4691">
        <v>343</v>
      </c>
      <c r="CR4691">
        <v>1</v>
      </c>
      <c r="CW4691">
        <v>11062492</v>
      </c>
      <c r="CY4691">
        <v>1</v>
      </c>
      <c r="CZ4691">
        <v>0</v>
      </c>
      <c r="DA4691">
        <v>1</v>
      </c>
      <c r="DB4691">
        <v>0</v>
      </c>
      <c r="DC4691">
        <v>0</v>
      </c>
      <c r="DD4691">
        <v>1</v>
      </c>
      <c r="DE4691">
        <v>0</v>
      </c>
      <c r="DF4691">
        <v>0</v>
      </c>
      <c r="DG4691">
        <v>0</v>
      </c>
      <c r="DH4691">
        <v>0</v>
      </c>
      <c r="DI4691">
        <v>0</v>
      </c>
    </row>
    <row r="4692" spans="1:113" x14ac:dyDescent="0.3">
      <c r="A4692" t="str">
        <f t="shared" si="2155"/>
        <v>05/12/2020 14:49:33.487</v>
      </c>
      <c r="C4692" t="str">
        <f t="shared" si="2131"/>
        <v>FFDFD3C0</v>
      </c>
      <c r="D4692" t="s">
        <v>138</v>
      </c>
      <c r="E4692">
        <v>2</v>
      </c>
      <c r="H4692">
        <v>8</v>
      </c>
      <c r="I4692" t="s">
        <v>139</v>
      </c>
      <c r="J4692" t="s">
        <v>136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 t="shared" si="2156"/>
        <v>14:49:51.313</v>
      </c>
      <c r="T4692" t="str">
        <f t="shared" si="2157"/>
        <v>14:49:51.013</v>
      </c>
      <c r="U4692" t="str">
        <f t="shared" si="2150"/>
        <v>A9808D</v>
      </c>
      <c r="V4692">
        <v>0</v>
      </c>
      <c r="W4692">
        <v>0</v>
      </c>
      <c r="X4692">
        <v>1</v>
      </c>
      <c r="Z4692">
        <v>0</v>
      </c>
      <c r="AA4692">
        <v>9</v>
      </c>
      <c r="AB4692">
        <v>3</v>
      </c>
      <c r="AC4692">
        <v>0</v>
      </c>
      <c r="AD4692">
        <v>10</v>
      </c>
      <c r="AE4692">
        <v>0</v>
      </c>
      <c r="AF4692">
        <v>3</v>
      </c>
      <c r="AG4692">
        <v>2</v>
      </c>
      <c r="AH4692">
        <v>0</v>
      </c>
      <c r="AI4692" t="s">
        <v>1047</v>
      </c>
      <c r="AJ4692">
        <v>28.242502000000002</v>
      </c>
      <c r="AK4692" t="s">
        <v>1048</v>
      </c>
      <c r="AL4692">
        <v>-82.345339999999993</v>
      </c>
      <c r="AM4692">
        <v>100</v>
      </c>
      <c r="AN4692">
        <v>2100</v>
      </c>
      <c r="AO4692" t="s">
        <v>118</v>
      </c>
      <c r="AP4692">
        <v>-136</v>
      </c>
      <c r="AQ4692">
        <v>-41</v>
      </c>
      <c r="AR4692">
        <v>-192</v>
      </c>
      <c r="AZ4692">
        <v>1200</v>
      </c>
      <c r="BA4692">
        <v>1</v>
      </c>
      <c r="BB4692" t="str">
        <f t="shared" si="2132"/>
        <v xml:space="preserve">N711JA  </v>
      </c>
      <c r="BC4692">
        <v>1</v>
      </c>
      <c r="BE4692">
        <v>0</v>
      </c>
      <c r="BF4692">
        <v>0</v>
      </c>
      <c r="BG4692">
        <v>0</v>
      </c>
      <c r="BH4692">
        <v>2150</v>
      </c>
      <c r="BI4692">
        <v>1</v>
      </c>
      <c r="BJ4692">
        <v>1</v>
      </c>
      <c r="BK4692">
        <v>0</v>
      </c>
      <c r="BL4692">
        <v>0</v>
      </c>
      <c r="BO4692">
        <v>0</v>
      </c>
      <c r="BP4692">
        <v>0</v>
      </c>
      <c r="BW4692" t="str">
        <f t="shared" si="2158"/>
        <v>14:49:51.316</v>
      </c>
      <c r="CJ4692">
        <v>0</v>
      </c>
      <c r="CK4692">
        <v>2</v>
      </c>
      <c r="CL4692">
        <v>0</v>
      </c>
      <c r="CM4692">
        <v>2</v>
      </c>
      <c r="CN4692">
        <v>0</v>
      </c>
      <c r="CO4692">
        <v>7</v>
      </c>
      <c r="CP4692" t="s">
        <v>119</v>
      </c>
      <c r="CQ4692">
        <v>343</v>
      </c>
      <c r="CR4692">
        <v>1</v>
      </c>
      <c r="CW4692">
        <v>11062492</v>
      </c>
      <c r="CY4692">
        <v>1</v>
      </c>
      <c r="CZ4692">
        <v>0</v>
      </c>
      <c r="DA4692">
        <v>1</v>
      </c>
      <c r="DB4692">
        <v>0</v>
      </c>
      <c r="DC4692">
        <v>0</v>
      </c>
      <c r="DD4692">
        <v>1</v>
      </c>
      <c r="DE4692">
        <v>0</v>
      </c>
      <c r="DF4692">
        <v>0</v>
      </c>
      <c r="DG4692">
        <v>0</v>
      </c>
      <c r="DH4692">
        <v>0</v>
      </c>
      <c r="DI4692">
        <v>0</v>
      </c>
    </row>
    <row r="4693" spans="1:113" x14ac:dyDescent="0.3">
      <c r="A4693" t="str">
        <f t="shared" si="2155"/>
        <v>05/12/2020 14:49:33.487</v>
      </c>
      <c r="C4693" t="str">
        <f t="shared" si="2131"/>
        <v>FFDFD3C0</v>
      </c>
      <c r="D4693" t="s">
        <v>138</v>
      </c>
      <c r="E4693">
        <v>3</v>
      </c>
      <c r="H4693">
        <v>9</v>
      </c>
      <c r="I4693" t="s">
        <v>140</v>
      </c>
      <c r="J4693" t="s">
        <v>136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 t="shared" si="2156"/>
        <v>14:49:51.313</v>
      </c>
      <c r="T4693" t="str">
        <f t="shared" si="2157"/>
        <v>14:49:51.013</v>
      </c>
      <c r="U4693" t="str">
        <f t="shared" si="2150"/>
        <v>A9808D</v>
      </c>
      <c r="V4693">
        <v>0</v>
      </c>
      <c r="W4693">
        <v>0</v>
      </c>
      <c r="X4693">
        <v>1</v>
      </c>
      <c r="Z4693">
        <v>0</v>
      </c>
      <c r="AA4693">
        <v>9</v>
      </c>
      <c r="AB4693">
        <v>3</v>
      </c>
      <c r="AC4693">
        <v>0</v>
      </c>
      <c r="AD4693">
        <v>10</v>
      </c>
      <c r="AE4693">
        <v>0</v>
      </c>
      <c r="AF4693">
        <v>3</v>
      </c>
      <c r="AG4693">
        <v>2</v>
      </c>
      <c r="AH4693">
        <v>0</v>
      </c>
      <c r="AI4693" t="s">
        <v>1047</v>
      </c>
      <c r="AJ4693">
        <v>28.242502000000002</v>
      </c>
      <c r="AK4693" t="s">
        <v>1048</v>
      </c>
      <c r="AL4693">
        <v>-82.345339999999993</v>
      </c>
      <c r="AM4693">
        <v>100</v>
      </c>
      <c r="AN4693">
        <v>2100</v>
      </c>
      <c r="AO4693" t="s">
        <v>118</v>
      </c>
      <c r="AP4693">
        <v>-136</v>
      </c>
      <c r="AQ4693">
        <v>-41</v>
      </c>
      <c r="AR4693">
        <v>-192</v>
      </c>
      <c r="AZ4693">
        <v>1200</v>
      </c>
      <c r="BA4693">
        <v>1</v>
      </c>
      <c r="BB4693" t="str">
        <f t="shared" si="2132"/>
        <v xml:space="preserve">N711JA  </v>
      </c>
      <c r="BC4693">
        <v>1</v>
      </c>
      <c r="BE4693">
        <v>0</v>
      </c>
      <c r="BF4693">
        <v>0</v>
      </c>
      <c r="BG4693">
        <v>0</v>
      </c>
      <c r="BH4693">
        <v>2150</v>
      </c>
      <c r="BI4693">
        <v>1</v>
      </c>
      <c r="BJ4693">
        <v>1</v>
      </c>
      <c r="BK4693">
        <v>0</v>
      </c>
      <c r="BL4693">
        <v>0</v>
      </c>
      <c r="BO4693">
        <v>0</v>
      </c>
      <c r="BP4693">
        <v>0</v>
      </c>
      <c r="BW4693" t="str">
        <f t="shared" si="2158"/>
        <v>14:49:51.316</v>
      </c>
      <c r="CJ4693">
        <v>0</v>
      </c>
      <c r="CK4693">
        <v>2</v>
      </c>
      <c r="CL4693">
        <v>0</v>
      </c>
      <c r="CM4693">
        <v>2</v>
      </c>
      <c r="CN4693">
        <v>0</v>
      </c>
      <c r="CO4693">
        <v>7</v>
      </c>
      <c r="CP4693" t="s">
        <v>119</v>
      </c>
      <c r="CQ4693">
        <v>343</v>
      </c>
      <c r="CR4693">
        <v>1</v>
      </c>
      <c r="CW4693">
        <v>11062492</v>
      </c>
      <c r="CY4693">
        <v>1</v>
      </c>
      <c r="CZ4693">
        <v>0</v>
      </c>
      <c r="DA4693">
        <v>1</v>
      </c>
      <c r="DB4693">
        <v>0</v>
      </c>
      <c r="DC4693">
        <v>0</v>
      </c>
      <c r="DD4693">
        <v>1</v>
      </c>
      <c r="DE4693">
        <v>0</v>
      </c>
      <c r="DF4693">
        <v>0</v>
      </c>
      <c r="DG4693">
        <v>0</v>
      </c>
      <c r="DH4693">
        <v>0</v>
      </c>
      <c r="DI4693">
        <v>0</v>
      </c>
    </row>
    <row r="4694" spans="1:113" x14ac:dyDescent="0.3">
      <c r="A4694" t="str">
        <f t="shared" si="2155"/>
        <v>05/12/2020 14:49:33.487</v>
      </c>
      <c r="C4694" t="str">
        <f t="shared" ref="C4694:C4757" si="2159">"FFDFD3C0"</f>
        <v>FFDFD3C0</v>
      </c>
      <c r="D4694" t="s">
        <v>134</v>
      </c>
      <c r="E4694">
        <v>12</v>
      </c>
      <c r="H4694">
        <v>64</v>
      </c>
      <c r="I4694" t="s">
        <v>135</v>
      </c>
      <c r="J4694" t="s">
        <v>136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 t="shared" si="2156"/>
        <v>14:49:51.313</v>
      </c>
      <c r="T4694" t="str">
        <f t="shared" si="2157"/>
        <v>14:49:51.013</v>
      </c>
      <c r="U4694" t="str">
        <f t="shared" si="2150"/>
        <v>A9808D</v>
      </c>
      <c r="V4694">
        <v>0</v>
      </c>
      <c r="W4694">
        <v>0</v>
      </c>
      <c r="X4694">
        <v>1</v>
      </c>
      <c r="Z4694">
        <v>0</v>
      </c>
      <c r="AA4694">
        <v>9</v>
      </c>
      <c r="AB4694">
        <v>3</v>
      </c>
      <c r="AC4694">
        <v>0</v>
      </c>
      <c r="AD4694">
        <v>10</v>
      </c>
      <c r="AE4694">
        <v>0</v>
      </c>
      <c r="AF4694">
        <v>3</v>
      </c>
      <c r="AG4694">
        <v>2</v>
      </c>
      <c r="AH4694">
        <v>0</v>
      </c>
      <c r="AI4694" t="s">
        <v>1047</v>
      </c>
      <c r="AJ4694">
        <v>28.242502000000002</v>
      </c>
      <c r="AK4694" t="s">
        <v>1048</v>
      </c>
      <c r="AL4694">
        <v>-82.345339999999993</v>
      </c>
      <c r="AM4694">
        <v>100</v>
      </c>
      <c r="AN4694">
        <v>2100</v>
      </c>
      <c r="AO4694" t="s">
        <v>118</v>
      </c>
      <c r="AP4694">
        <v>-136</v>
      </c>
      <c r="AQ4694">
        <v>-41</v>
      </c>
      <c r="AR4694">
        <v>-192</v>
      </c>
      <c r="AZ4694">
        <v>1200</v>
      </c>
      <c r="BA4694">
        <v>1</v>
      </c>
      <c r="BB4694" t="str">
        <f t="shared" ref="BB4694:BB4757" si="2160">"N711JA  "</f>
        <v xml:space="preserve">N711JA  </v>
      </c>
      <c r="BC4694">
        <v>1</v>
      </c>
      <c r="BE4694">
        <v>0</v>
      </c>
      <c r="BF4694">
        <v>0</v>
      </c>
      <c r="BG4694">
        <v>0</v>
      </c>
      <c r="BH4694">
        <v>2150</v>
      </c>
      <c r="BI4694">
        <v>1</v>
      </c>
      <c r="BJ4694">
        <v>1</v>
      </c>
      <c r="BK4694">
        <v>0</v>
      </c>
      <c r="BL4694">
        <v>0</v>
      </c>
      <c r="BO4694">
        <v>0</v>
      </c>
      <c r="BP4694">
        <v>0</v>
      </c>
      <c r="BW4694" t="str">
        <f t="shared" si="2158"/>
        <v>14:49:51.316</v>
      </c>
      <c r="CJ4694">
        <v>0</v>
      </c>
      <c r="CK4694">
        <v>2</v>
      </c>
      <c r="CL4694">
        <v>0</v>
      </c>
      <c r="CM4694">
        <v>2</v>
      </c>
      <c r="CN4694">
        <v>0</v>
      </c>
      <c r="CO4694">
        <v>7</v>
      </c>
      <c r="CP4694" t="s">
        <v>119</v>
      </c>
      <c r="CQ4694">
        <v>343</v>
      </c>
      <c r="CR4694">
        <v>1</v>
      </c>
      <c r="CW4694">
        <v>11062492</v>
      </c>
      <c r="CY4694">
        <v>1</v>
      </c>
      <c r="CZ4694">
        <v>0</v>
      </c>
      <c r="DA4694">
        <v>1</v>
      </c>
      <c r="DB4694">
        <v>0</v>
      </c>
      <c r="DC4694">
        <v>0</v>
      </c>
      <c r="DD4694">
        <v>1</v>
      </c>
      <c r="DE4694">
        <v>0</v>
      </c>
      <c r="DF4694">
        <v>0</v>
      </c>
      <c r="DG4694">
        <v>0</v>
      </c>
      <c r="DH4694">
        <v>0</v>
      </c>
      <c r="DI4694">
        <v>0</v>
      </c>
    </row>
    <row r="4695" spans="1:113" x14ac:dyDescent="0.3">
      <c r="A4695" t="str">
        <f t="shared" ref="A4695:A4703" si="2161">"05/12/2020 14:49:34.492"</f>
        <v>05/12/2020 14:49:34.492</v>
      </c>
      <c r="C4695" t="str">
        <f t="shared" si="2159"/>
        <v>FFDFD3C0</v>
      </c>
      <c r="D4695" t="s">
        <v>131</v>
      </c>
      <c r="E4695">
        <v>10</v>
      </c>
      <c r="F4695">
        <v>2010</v>
      </c>
      <c r="G4695" t="s">
        <v>132</v>
      </c>
      <c r="J4695" t="s">
        <v>133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 t="shared" ref="S4695:S4703" si="2162">"14:49:52.328"</f>
        <v>14:49:52.328</v>
      </c>
      <c r="T4695" t="str">
        <f t="shared" ref="T4695:T4703" si="2163">"14:49:51.928"</f>
        <v>14:49:51.928</v>
      </c>
      <c r="U4695" t="str">
        <f t="shared" si="2150"/>
        <v>A9808D</v>
      </c>
      <c r="V4695">
        <v>0</v>
      </c>
      <c r="W4695">
        <v>0</v>
      </c>
      <c r="X4695">
        <v>1</v>
      </c>
      <c r="Z4695">
        <v>0</v>
      </c>
      <c r="AA4695">
        <v>9</v>
      </c>
      <c r="AB4695">
        <v>3</v>
      </c>
      <c r="AC4695">
        <v>0</v>
      </c>
      <c r="AD4695">
        <v>10</v>
      </c>
      <c r="AE4695">
        <v>0</v>
      </c>
      <c r="AF4695">
        <v>3</v>
      </c>
      <c r="AG4695">
        <v>2</v>
      </c>
      <c r="AH4695">
        <v>0</v>
      </c>
      <c r="AI4695" t="s">
        <v>1049</v>
      </c>
      <c r="AJ4695">
        <v>28.242308999999999</v>
      </c>
      <c r="AK4695" t="s">
        <v>1050</v>
      </c>
      <c r="AL4695">
        <v>-82.346027000000007</v>
      </c>
      <c r="AM4695">
        <v>100</v>
      </c>
      <c r="AN4695">
        <v>2100</v>
      </c>
      <c r="AO4695" t="s">
        <v>118</v>
      </c>
      <c r="AP4695">
        <v>-136</v>
      </c>
      <c r="AQ4695">
        <v>-42</v>
      </c>
      <c r="AR4695">
        <v>-192</v>
      </c>
      <c r="AZ4695">
        <v>1200</v>
      </c>
      <c r="BA4695">
        <v>1</v>
      </c>
      <c r="BB4695" t="str">
        <f t="shared" si="2160"/>
        <v xml:space="preserve">N711JA  </v>
      </c>
      <c r="BC4695">
        <v>1</v>
      </c>
      <c r="BE4695">
        <v>0</v>
      </c>
      <c r="BF4695">
        <v>0</v>
      </c>
      <c r="BG4695">
        <v>0</v>
      </c>
      <c r="BH4695">
        <v>2150</v>
      </c>
      <c r="BI4695">
        <v>1</v>
      </c>
      <c r="BJ4695">
        <v>1</v>
      </c>
      <c r="BK4695">
        <v>0</v>
      </c>
      <c r="BL4695">
        <v>0</v>
      </c>
      <c r="BO4695">
        <v>0</v>
      </c>
      <c r="BP4695">
        <v>0</v>
      </c>
      <c r="BW4695" t="str">
        <f t="shared" ref="BW4695:BW4703" si="2164">"14:49:52.330"</f>
        <v>14:49:52.330</v>
      </c>
      <c r="CJ4695">
        <v>0</v>
      </c>
      <c r="CK4695">
        <v>2</v>
      </c>
      <c r="CL4695">
        <v>0</v>
      </c>
      <c r="CM4695">
        <v>2</v>
      </c>
      <c r="CN4695">
        <v>0</v>
      </c>
      <c r="CO4695">
        <v>7</v>
      </c>
      <c r="CP4695" t="s">
        <v>119</v>
      </c>
      <c r="CQ4695">
        <v>343</v>
      </c>
      <c r="CR4695">
        <v>2</v>
      </c>
      <c r="CW4695">
        <v>13340881</v>
      </c>
      <c r="CY4695">
        <v>1</v>
      </c>
      <c r="CZ4695">
        <v>0</v>
      </c>
      <c r="DA4695">
        <v>0</v>
      </c>
      <c r="DB4695">
        <v>0</v>
      </c>
      <c r="DC4695">
        <v>0</v>
      </c>
      <c r="DD4695">
        <v>1</v>
      </c>
      <c r="DE4695">
        <v>0</v>
      </c>
      <c r="DF4695">
        <v>0</v>
      </c>
      <c r="DG4695">
        <v>0</v>
      </c>
      <c r="DH4695">
        <v>0</v>
      </c>
      <c r="DI4695">
        <v>0</v>
      </c>
    </row>
    <row r="4696" spans="1:113" x14ac:dyDescent="0.3">
      <c r="A4696" t="str">
        <f t="shared" si="2161"/>
        <v>05/12/2020 14:49:34.492</v>
      </c>
      <c r="C4696" t="str">
        <f t="shared" si="2159"/>
        <v>FFDFD3C0</v>
      </c>
      <c r="D4696" t="s">
        <v>126</v>
      </c>
      <c r="E4696">
        <v>7</v>
      </c>
      <c r="F4696">
        <v>1007</v>
      </c>
      <c r="G4696" t="s">
        <v>127</v>
      </c>
      <c r="J4696" t="s">
        <v>128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 t="shared" si="2162"/>
        <v>14:49:52.328</v>
      </c>
      <c r="T4696" t="str">
        <f t="shared" si="2163"/>
        <v>14:49:51.928</v>
      </c>
      <c r="U4696" t="str">
        <f t="shared" si="2150"/>
        <v>A9808D</v>
      </c>
      <c r="V4696">
        <v>0</v>
      </c>
      <c r="W4696">
        <v>0</v>
      </c>
      <c r="X4696">
        <v>1</v>
      </c>
      <c r="Z4696">
        <v>0</v>
      </c>
      <c r="AA4696">
        <v>9</v>
      </c>
      <c r="AB4696">
        <v>3</v>
      </c>
      <c r="AC4696">
        <v>0</v>
      </c>
      <c r="AD4696">
        <v>10</v>
      </c>
      <c r="AE4696">
        <v>0</v>
      </c>
      <c r="AF4696">
        <v>3</v>
      </c>
      <c r="AG4696">
        <v>2</v>
      </c>
      <c r="AH4696">
        <v>0</v>
      </c>
      <c r="AI4696" t="s">
        <v>1049</v>
      </c>
      <c r="AJ4696">
        <v>28.242308999999999</v>
      </c>
      <c r="AK4696" t="s">
        <v>1050</v>
      </c>
      <c r="AL4696">
        <v>-82.346027000000007</v>
      </c>
      <c r="AM4696">
        <v>100</v>
      </c>
      <c r="AN4696">
        <v>2100</v>
      </c>
      <c r="AO4696" t="s">
        <v>118</v>
      </c>
      <c r="AP4696">
        <v>-136</v>
      </c>
      <c r="AQ4696">
        <v>-42</v>
      </c>
      <c r="AR4696">
        <v>-192</v>
      </c>
      <c r="AZ4696">
        <v>1200</v>
      </c>
      <c r="BA4696">
        <v>1</v>
      </c>
      <c r="BB4696" t="str">
        <f t="shared" si="2160"/>
        <v xml:space="preserve">N711JA  </v>
      </c>
      <c r="BC4696">
        <v>1</v>
      </c>
      <c r="BE4696">
        <v>0</v>
      </c>
      <c r="BF4696">
        <v>0</v>
      </c>
      <c r="BG4696">
        <v>0</v>
      </c>
      <c r="BH4696">
        <v>2150</v>
      </c>
      <c r="BI4696">
        <v>1</v>
      </c>
      <c r="BJ4696">
        <v>1</v>
      </c>
      <c r="BK4696">
        <v>0</v>
      </c>
      <c r="BL4696">
        <v>0</v>
      </c>
      <c r="BO4696">
        <v>0</v>
      </c>
      <c r="BP4696">
        <v>0</v>
      </c>
      <c r="BW4696" t="str">
        <f t="shared" si="2164"/>
        <v>14:49:52.330</v>
      </c>
      <c r="CJ4696">
        <v>0</v>
      </c>
      <c r="CK4696">
        <v>2</v>
      </c>
      <c r="CL4696">
        <v>0</v>
      </c>
      <c r="CM4696">
        <v>2</v>
      </c>
      <c r="CN4696">
        <v>0</v>
      </c>
      <c r="CO4696">
        <v>7</v>
      </c>
      <c r="CP4696" t="s">
        <v>119</v>
      </c>
      <c r="CQ4696">
        <v>343</v>
      </c>
      <c r="CR4696">
        <v>2</v>
      </c>
      <c r="CW4696">
        <v>13340881</v>
      </c>
      <c r="CY4696">
        <v>1</v>
      </c>
      <c r="CZ4696">
        <v>0</v>
      </c>
      <c r="DA4696">
        <v>1</v>
      </c>
      <c r="DB4696">
        <v>0</v>
      </c>
      <c r="DC4696">
        <v>0</v>
      </c>
      <c r="DD4696">
        <v>1</v>
      </c>
      <c r="DE4696">
        <v>0</v>
      </c>
      <c r="DF4696">
        <v>0</v>
      </c>
      <c r="DG4696">
        <v>0</v>
      </c>
      <c r="DH4696">
        <v>0</v>
      </c>
      <c r="DI4696">
        <v>0</v>
      </c>
    </row>
    <row r="4697" spans="1:113" x14ac:dyDescent="0.3">
      <c r="A4697" t="str">
        <f t="shared" si="2161"/>
        <v>05/12/2020 14:49:34.492</v>
      </c>
      <c r="C4697" t="str">
        <f t="shared" si="2159"/>
        <v>FFDFD3C0</v>
      </c>
      <c r="D4697" t="s">
        <v>131</v>
      </c>
      <c r="E4697">
        <v>12</v>
      </c>
      <c r="F4697">
        <v>2012</v>
      </c>
      <c r="G4697" t="s">
        <v>137</v>
      </c>
      <c r="J4697" t="s">
        <v>133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 t="shared" si="2162"/>
        <v>14:49:52.328</v>
      </c>
      <c r="T4697" t="str">
        <f t="shared" si="2163"/>
        <v>14:49:51.928</v>
      </c>
      <c r="U4697" t="str">
        <f t="shared" si="2150"/>
        <v>A9808D</v>
      </c>
      <c r="V4697">
        <v>0</v>
      </c>
      <c r="W4697">
        <v>0</v>
      </c>
      <c r="X4697">
        <v>1</v>
      </c>
      <c r="Z4697">
        <v>0</v>
      </c>
      <c r="AA4697">
        <v>9</v>
      </c>
      <c r="AB4697">
        <v>3</v>
      </c>
      <c r="AC4697">
        <v>0</v>
      </c>
      <c r="AD4697">
        <v>10</v>
      </c>
      <c r="AE4697">
        <v>0</v>
      </c>
      <c r="AF4697">
        <v>3</v>
      </c>
      <c r="AG4697">
        <v>2</v>
      </c>
      <c r="AH4697">
        <v>0</v>
      </c>
      <c r="AI4697" t="s">
        <v>1049</v>
      </c>
      <c r="AJ4697">
        <v>28.242308999999999</v>
      </c>
      <c r="AK4697" t="s">
        <v>1050</v>
      </c>
      <c r="AL4697">
        <v>-82.346027000000007</v>
      </c>
      <c r="AM4697">
        <v>100</v>
      </c>
      <c r="AN4697">
        <v>2100</v>
      </c>
      <c r="AO4697" t="s">
        <v>118</v>
      </c>
      <c r="AP4697">
        <v>-136</v>
      </c>
      <c r="AQ4697">
        <v>-42</v>
      </c>
      <c r="AR4697">
        <v>-192</v>
      </c>
      <c r="AZ4697">
        <v>1200</v>
      </c>
      <c r="BA4697">
        <v>1</v>
      </c>
      <c r="BB4697" t="str">
        <f t="shared" si="2160"/>
        <v xml:space="preserve">N711JA  </v>
      </c>
      <c r="BC4697">
        <v>1</v>
      </c>
      <c r="BE4697">
        <v>0</v>
      </c>
      <c r="BF4697">
        <v>0</v>
      </c>
      <c r="BG4697">
        <v>0</v>
      </c>
      <c r="BH4697">
        <v>2150</v>
      </c>
      <c r="BI4697">
        <v>1</v>
      </c>
      <c r="BJ4697">
        <v>1</v>
      </c>
      <c r="BK4697">
        <v>0</v>
      </c>
      <c r="BL4697">
        <v>0</v>
      </c>
      <c r="BO4697">
        <v>0</v>
      </c>
      <c r="BP4697">
        <v>0</v>
      </c>
      <c r="BW4697" t="str">
        <f t="shared" si="2164"/>
        <v>14:49:52.330</v>
      </c>
      <c r="CJ4697">
        <v>0</v>
      </c>
      <c r="CK4697">
        <v>2</v>
      </c>
      <c r="CL4697">
        <v>0</v>
      </c>
      <c r="CM4697">
        <v>2</v>
      </c>
      <c r="CN4697">
        <v>0</v>
      </c>
      <c r="CO4697">
        <v>7</v>
      </c>
      <c r="CP4697" t="s">
        <v>119</v>
      </c>
      <c r="CQ4697">
        <v>343</v>
      </c>
      <c r="CR4697">
        <v>2</v>
      </c>
      <c r="CW4697">
        <v>13340881</v>
      </c>
      <c r="CY4697">
        <v>1</v>
      </c>
      <c r="CZ4697">
        <v>0</v>
      </c>
      <c r="DA4697">
        <v>1</v>
      </c>
      <c r="DB4697">
        <v>0</v>
      </c>
      <c r="DC4697">
        <v>0</v>
      </c>
      <c r="DD4697">
        <v>1</v>
      </c>
      <c r="DE4697">
        <v>0</v>
      </c>
      <c r="DF4697">
        <v>0</v>
      </c>
      <c r="DG4697">
        <v>0</v>
      </c>
      <c r="DH4697">
        <v>0</v>
      </c>
      <c r="DI4697">
        <v>0</v>
      </c>
    </row>
    <row r="4698" spans="1:113" x14ac:dyDescent="0.3">
      <c r="A4698" t="str">
        <f t="shared" si="2161"/>
        <v>05/12/2020 14:49:34.492</v>
      </c>
      <c r="C4698" t="str">
        <f t="shared" si="2159"/>
        <v>FFDFD3C0</v>
      </c>
      <c r="D4698" t="s">
        <v>131</v>
      </c>
      <c r="E4698">
        <v>18</v>
      </c>
      <c r="F4698">
        <v>2018</v>
      </c>
      <c r="G4698" t="s">
        <v>161</v>
      </c>
      <c r="J4698" t="s">
        <v>133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 t="shared" si="2162"/>
        <v>14:49:52.328</v>
      </c>
      <c r="T4698" t="str">
        <f t="shared" si="2163"/>
        <v>14:49:51.928</v>
      </c>
      <c r="U4698" t="str">
        <f t="shared" si="2150"/>
        <v>A9808D</v>
      </c>
      <c r="V4698">
        <v>0</v>
      </c>
      <c r="W4698">
        <v>0</v>
      </c>
      <c r="X4698">
        <v>1</v>
      </c>
      <c r="Z4698">
        <v>0</v>
      </c>
      <c r="AA4698">
        <v>9</v>
      </c>
      <c r="AB4698">
        <v>3</v>
      </c>
      <c r="AC4698">
        <v>0</v>
      </c>
      <c r="AD4698">
        <v>10</v>
      </c>
      <c r="AE4698">
        <v>0</v>
      </c>
      <c r="AF4698">
        <v>3</v>
      </c>
      <c r="AG4698">
        <v>2</v>
      </c>
      <c r="AH4698">
        <v>0</v>
      </c>
      <c r="AI4698" t="s">
        <v>1049</v>
      </c>
      <c r="AJ4698">
        <v>28.242308999999999</v>
      </c>
      <c r="AK4698" t="s">
        <v>1050</v>
      </c>
      <c r="AL4698">
        <v>-82.346027000000007</v>
      </c>
      <c r="AM4698">
        <v>100</v>
      </c>
      <c r="AN4698">
        <v>2100</v>
      </c>
      <c r="AO4698" t="s">
        <v>118</v>
      </c>
      <c r="AP4698">
        <v>-136</v>
      </c>
      <c r="AQ4698">
        <v>-42</v>
      </c>
      <c r="AR4698">
        <v>-192</v>
      </c>
      <c r="AZ4698">
        <v>1200</v>
      </c>
      <c r="BA4698">
        <v>1</v>
      </c>
      <c r="BB4698" t="str">
        <f t="shared" si="2160"/>
        <v xml:space="preserve">N711JA  </v>
      </c>
      <c r="BC4698">
        <v>1</v>
      </c>
      <c r="BE4698">
        <v>0</v>
      </c>
      <c r="BF4698">
        <v>0</v>
      </c>
      <c r="BG4698">
        <v>0</v>
      </c>
      <c r="BH4698">
        <v>2150</v>
      </c>
      <c r="BI4698">
        <v>1</v>
      </c>
      <c r="BJ4698">
        <v>1</v>
      </c>
      <c r="BK4698">
        <v>0</v>
      </c>
      <c r="BL4698">
        <v>0</v>
      </c>
      <c r="BO4698">
        <v>0</v>
      </c>
      <c r="BP4698">
        <v>0</v>
      </c>
      <c r="BW4698" t="str">
        <f t="shared" si="2164"/>
        <v>14:49:52.330</v>
      </c>
      <c r="CJ4698">
        <v>0</v>
      </c>
      <c r="CK4698">
        <v>2</v>
      </c>
      <c r="CL4698">
        <v>0</v>
      </c>
      <c r="CM4698">
        <v>2</v>
      </c>
      <c r="CN4698">
        <v>0</v>
      </c>
      <c r="CO4698">
        <v>7</v>
      </c>
      <c r="CP4698" t="s">
        <v>119</v>
      </c>
      <c r="CQ4698">
        <v>343</v>
      </c>
      <c r="CR4698">
        <v>2</v>
      </c>
      <c r="CW4698">
        <v>13340881</v>
      </c>
      <c r="CY4698">
        <v>1</v>
      </c>
      <c r="CZ4698">
        <v>0</v>
      </c>
      <c r="DA4698">
        <v>1</v>
      </c>
      <c r="DB4698">
        <v>0</v>
      </c>
      <c r="DC4698">
        <v>0</v>
      </c>
      <c r="DD4698">
        <v>1</v>
      </c>
      <c r="DE4698">
        <v>0</v>
      </c>
      <c r="DF4698">
        <v>0</v>
      </c>
      <c r="DG4698">
        <v>0</v>
      </c>
      <c r="DH4698">
        <v>0</v>
      </c>
      <c r="DI4698">
        <v>0</v>
      </c>
    </row>
    <row r="4699" spans="1:113" x14ac:dyDescent="0.3">
      <c r="A4699" t="str">
        <f t="shared" si="2161"/>
        <v>05/12/2020 14:49:34.492</v>
      </c>
      <c r="C4699" t="str">
        <f t="shared" si="2159"/>
        <v>FFDFD3C0</v>
      </c>
      <c r="D4699" t="s">
        <v>126</v>
      </c>
      <c r="E4699">
        <v>6</v>
      </c>
      <c r="F4699">
        <v>1006</v>
      </c>
      <c r="G4699" t="s">
        <v>114</v>
      </c>
      <c r="J4699" t="s">
        <v>128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 t="shared" si="2162"/>
        <v>14:49:52.328</v>
      </c>
      <c r="T4699" t="str">
        <f t="shared" si="2163"/>
        <v>14:49:51.928</v>
      </c>
      <c r="U4699" t="str">
        <f t="shared" si="2150"/>
        <v>A9808D</v>
      </c>
      <c r="V4699">
        <v>0</v>
      </c>
      <c r="W4699">
        <v>0</v>
      </c>
      <c r="X4699">
        <v>1</v>
      </c>
      <c r="Z4699">
        <v>0</v>
      </c>
      <c r="AA4699">
        <v>9</v>
      </c>
      <c r="AB4699">
        <v>3</v>
      </c>
      <c r="AC4699">
        <v>0</v>
      </c>
      <c r="AD4699">
        <v>10</v>
      </c>
      <c r="AE4699">
        <v>0</v>
      </c>
      <c r="AF4699">
        <v>3</v>
      </c>
      <c r="AG4699">
        <v>2</v>
      </c>
      <c r="AH4699">
        <v>0</v>
      </c>
      <c r="AI4699" t="s">
        <v>1049</v>
      </c>
      <c r="AJ4699">
        <v>28.242308999999999</v>
      </c>
      <c r="AK4699" t="s">
        <v>1050</v>
      </c>
      <c r="AL4699">
        <v>-82.346027000000007</v>
      </c>
      <c r="AM4699">
        <v>100</v>
      </c>
      <c r="AN4699">
        <v>2100</v>
      </c>
      <c r="AO4699" t="s">
        <v>118</v>
      </c>
      <c r="AP4699">
        <v>-136</v>
      </c>
      <c r="AQ4699">
        <v>-42</v>
      </c>
      <c r="AR4699">
        <v>-192</v>
      </c>
      <c r="AZ4699">
        <v>1200</v>
      </c>
      <c r="BA4699">
        <v>1</v>
      </c>
      <c r="BB4699" t="str">
        <f t="shared" si="2160"/>
        <v xml:space="preserve">N711JA  </v>
      </c>
      <c r="BC4699">
        <v>1</v>
      </c>
      <c r="BE4699">
        <v>0</v>
      </c>
      <c r="BF4699">
        <v>0</v>
      </c>
      <c r="BG4699">
        <v>0</v>
      </c>
      <c r="BH4699">
        <v>2150</v>
      </c>
      <c r="BI4699">
        <v>1</v>
      </c>
      <c r="BJ4699">
        <v>1</v>
      </c>
      <c r="BK4699">
        <v>0</v>
      </c>
      <c r="BL4699">
        <v>0</v>
      </c>
      <c r="BO4699">
        <v>0</v>
      </c>
      <c r="BP4699">
        <v>0</v>
      </c>
      <c r="BW4699" t="str">
        <f t="shared" si="2164"/>
        <v>14:49:52.330</v>
      </c>
      <c r="CJ4699">
        <v>0</v>
      </c>
      <c r="CK4699">
        <v>2</v>
      </c>
      <c r="CL4699">
        <v>0</v>
      </c>
      <c r="CM4699">
        <v>2</v>
      </c>
      <c r="CN4699">
        <v>0</v>
      </c>
      <c r="CO4699">
        <v>7</v>
      </c>
      <c r="CP4699" t="s">
        <v>119</v>
      </c>
      <c r="CQ4699">
        <v>343</v>
      </c>
      <c r="CR4699">
        <v>2</v>
      </c>
      <c r="CW4699">
        <v>13340881</v>
      </c>
      <c r="CY4699">
        <v>1</v>
      </c>
      <c r="CZ4699">
        <v>0</v>
      </c>
      <c r="DA4699">
        <v>1</v>
      </c>
      <c r="DB4699">
        <v>0</v>
      </c>
      <c r="DC4699">
        <v>0</v>
      </c>
      <c r="DD4699">
        <v>1</v>
      </c>
      <c r="DE4699">
        <v>0</v>
      </c>
      <c r="DF4699">
        <v>0</v>
      </c>
      <c r="DG4699">
        <v>0</v>
      </c>
      <c r="DH4699">
        <v>0</v>
      </c>
      <c r="DI4699">
        <v>0</v>
      </c>
    </row>
    <row r="4700" spans="1:113" x14ac:dyDescent="0.3">
      <c r="A4700" t="str">
        <f t="shared" si="2161"/>
        <v>05/12/2020 14:49:34.492</v>
      </c>
      <c r="C4700" t="str">
        <f t="shared" si="2159"/>
        <v>FFDFD3C0</v>
      </c>
      <c r="D4700" t="s">
        <v>113</v>
      </c>
      <c r="E4700">
        <v>3</v>
      </c>
      <c r="H4700">
        <v>164</v>
      </c>
      <c r="I4700" t="s">
        <v>114</v>
      </c>
      <c r="J4700" t="s">
        <v>115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 t="shared" si="2162"/>
        <v>14:49:52.328</v>
      </c>
      <c r="T4700" t="str">
        <f t="shared" si="2163"/>
        <v>14:49:51.928</v>
      </c>
      <c r="U4700" t="str">
        <f t="shared" si="2150"/>
        <v>A9808D</v>
      </c>
      <c r="V4700">
        <v>0</v>
      </c>
      <c r="W4700">
        <v>0</v>
      </c>
      <c r="X4700">
        <v>1</v>
      </c>
      <c r="Z4700">
        <v>0</v>
      </c>
      <c r="AA4700">
        <v>9</v>
      </c>
      <c r="AB4700">
        <v>3</v>
      </c>
      <c r="AC4700">
        <v>0</v>
      </c>
      <c r="AD4700">
        <v>10</v>
      </c>
      <c r="AE4700">
        <v>0</v>
      </c>
      <c r="AF4700">
        <v>3</v>
      </c>
      <c r="AG4700">
        <v>2</v>
      </c>
      <c r="AH4700">
        <v>0</v>
      </c>
      <c r="AI4700" t="s">
        <v>1049</v>
      </c>
      <c r="AJ4700">
        <v>28.242308999999999</v>
      </c>
      <c r="AK4700" t="s">
        <v>1050</v>
      </c>
      <c r="AL4700">
        <v>-82.346027000000007</v>
      </c>
      <c r="AM4700">
        <v>100</v>
      </c>
      <c r="AN4700">
        <v>2100</v>
      </c>
      <c r="AO4700" t="s">
        <v>118</v>
      </c>
      <c r="AP4700">
        <v>-136</v>
      </c>
      <c r="AQ4700">
        <v>-42</v>
      </c>
      <c r="AR4700">
        <v>-192</v>
      </c>
      <c r="AZ4700">
        <v>1200</v>
      </c>
      <c r="BA4700">
        <v>1</v>
      </c>
      <c r="BB4700" t="str">
        <f t="shared" si="2160"/>
        <v xml:space="preserve">N711JA  </v>
      </c>
      <c r="BC4700">
        <v>1</v>
      </c>
      <c r="BE4700">
        <v>0</v>
      </c>
      <c r="BF4700">
        <v>0</v>
      </c>
      <c r="BG4700">
        <v>0</v>
      </c>
      <c r="BH4700">
        <v>2150</v>
      </c>
      <c r="BI4700">
        <v>1</v>
      </c>
      <c r="BJ4700">
        <v>1</v>
      </c>
      <c r="BK4700">
        <v>0</v>
      </c>
      <c r="BL4700">
        <v>0</v>
      </c>
      <c r="BO4700">
        <v>0</v>
      </c>
      <c r="BP4700">
        <v>0</v>
      </c>
      <c r="BW4700" t="str">
        <f t="shared" si="2164"/>
        <v>14:49:52.330</v>
      </c>
      <c r="CJ4700">
        <v>0</v>
      </c>
      <c r="CK4700">
        <v>2</v>
      </c>
      <c r="CL4700">
        <v>0</v>
      </c>
      <c r="CM4700">
        <v>2</v>
      </c>
      <c r="CN4700">
        <v>0</v>
      </c>
      <c r="CO4700">
        <v>7</v>
      </c>
      <c r="CP4700" t="s">
        <v>119</v>
      </c>
      <c r="CQ4700">
        <v>343</v>
      </c>
      <c r="CR4700">
        <v>2</v>
      </c>
      <c r="CW4700">
        <v>13340881</v>
      </c>
      <c r="CY4700">
        <v>1</v>
      </c>
      <c r="CZ4700">
        <v>0</v>
      </c>
      <c r="DA4700">
        <v>1</v>
      </c>
      <c r="DB4700">
        <v>0</v>
      </c>
      <c r="DC4700">
        <v>0</v>
      </c>
      <c r="DD4700">
        <v>1</v>
      </c>
      <c r="DE4700">
        <v>0</v>
      </c>
      <c r="DF4700">
        <v>0</v>
      </c>
      <c r="DG4700">
        <v>0</v>
      </c>
      <c r="DH4700">
        <v>0</v>
      </c>
      <c r="DI4700">
        <v>0</v>
      </c>
    </row>
    <row r="4701" spans="1:113" x14ac:dyDescent="0.3">
      <c r="A4701" t="str">
        <f t="shared" si="2161"/>
        <v>05/12/2020 14:49:34.492</v>
      </c>
      <c r="C4701" t="str">
        <f t="shared" si="2159"/>
        <v>FFDFD3C0</v>
      </c>
      <c r="D4701" t="s">
        <v>138</v>
      </c>
      <c r="E4701">
        <v>3</v>
      </c>
      <c r="H4701">
        <v>9</v>
      </c>
      <c r="I4701" t="s">
        <v>140</v>
      </c>
      <c r="J4701" t="s">
        <v>136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 t="shared" si="2162"/>
        <v>14:49:52.328</v>
      </c>
      <c r="T4701" t="str">
        <f t="shared" si="2163"/>
        <v>14:49:51.928</v>
      </c>
      <c r="U4701" t="str">
        <f t="shared" si="2150"/>
        <v>A9808D</v>
      </c>
      <c r="V4701">
        <v>0</v>
      </c>
      <c r="W4701">
        <v>0</v>
      </c>
      <c r="X4701">
        <v>1</v>
      </c>
      <c r="Z4701">
        <v>0</v>
      </c>
      <c r="AA4701">
        <v>9</v>
      </c>
      <c r="AB4701">
        <v>3</v>
      </c>
      <c r="AC4701">
        <v>0</v>
      </c>
      <c r="AD4701">
        <v>10</v>
      </c>
      <c r="AE4701">
        <v>0</v>
      </c>
      <c r="AF4701">
        <v>3</v>
      </c>
      <c r="AG4701">
        <v>2</v>
      </c>
      <c r="AH4701">
        <v>0</v>
      </c>
      <c r="AI4701" t="s">
        <v>1049</v>
      </c>
      <c r="AJ4701">
        <v>28.242308999999999</v>
      </c>
      <c r="AK4701" t="s">
        <v>1050</v>
      </c>
      <c r="AL4701">
        <v>-82.346027000000007</v>
      </c>
      <c r="AM4701">
        <v>100</v>
      </c>
      <c r="AN4701">
        <v>2100</v>
      </c>
      <c r="AO4701" t="s">
        <v>118</v>
      </c>
      <c r="AP4701">
        <v>-136</v>
      </c>
      <c r="AQ4701">
        <v>-42</v>
      </c>
      <c r="AR4701">
        <v>-192</v>
      </c>
      <c r="AZ4701">
        <v>1200</v>
      </c>
      <c r="BA4701">
        <v>1</v>
      </c>
      <c r="BB4701" t="str">
        <f t="shared" si="2160"/>
        <v xml:space="preserve">N711JA  </v>
      </c>
      <c r="BC4701">
        <v>1</v>
      </c>
      <c r="BE4701">
        <v>0</v>
      </c>
      <c r="BF4701">
        <v>0</v>
      </c>
      <c r="BG4701">
        <v>0</v>
      </c>
      <c r="BH4701">
        <v>2150</v>
      </c>
      <c r="BI4701">
        <v>1</v>
      </c>
      <c r="BJ4701">
        <v>1</v>
      </c>
      <c r="BK4701">
        <v>0</v>
      </c>
      <c r="BL4701">
        <v>0</v>
      </c>
      <c r="BO4701">
        <v>0</v>
      </c>
      <c r="BP4701">
        <v>0</v>
      </c>
      <c r="BW4701" t="str">
        <f t="shared" si="2164"/>
        <v>14:49:52.330</v>
      </c>
      <c r="CJ4701">
        <v>0</v>
      </c>
      <c r="CK4701">
        <v>2</v>
      </c>
      <c r="CL4701">
        <v>0</v>
      </c>
      <c r="CM4701">
        <v>2</v>
      </c>
      <c r="CN4701">
        <v>0</v>
      </c>
      <c r="CO4701">
        <v>7</v>
      </c>
      <c r="CP4701" t="s">
        <v>119</v>
      </c>
      <c r="CQ4701">
        <v>343</v>
      </c>
      <c r="CR4701">
        <v>2</v>
      </c>
      <c r="CW4701">
        <v>13340881</v>
      </c>
      <c r="CY4701">
        <v>1</v>
      </c>
      <c r="CZ4701">
        <v>0</v>
      </c>
      <c r="DA4701">
        <v>1</v>
      </c>
      <c r="DB4701">
        <v>0</v>
      </c>
      <c r="DC4701">
        <v>0</v>
      </c>
      <c r="DD4701">
        <v>1</v>
      </c>
      <c r="DE4701">
        <v>0</v>
      </c>
      <c r="DF4701">
        <v>0</v>
      </c>
      <c r="DG4701">
        <v>0</v>
      </c>
      <c r="DH4701">
        <v>0</v>
      </c>
      <c r="DI4701">
        <v>0</v>
      </c>
    </row>
    <row r="4702" spans="1:113" x14ac:dyDescent="0.3">
      <c r="A4702" t="str">
        <f t="shared" si="2161"/>
        <v>05/12/2020 14:49:34.492</v>
      </c>
      <c r="C4702" t="str">
        <f t="shared" si="2159"/>
        <v>FFDFD3C0</v>
      </c>
      <c r="D4702" t="s">
        <v>138</v>
      </c>
      <c r="E4702">
        <v>2</v>
      </c>
      <c r="H4702">
        <v>8</v>
      </c>
      <c r="I4702" t="s">
        <v>139</v>
      </c>
      <c r="J4702" t="s">
        <v>136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 t="shared" si="2162"/>
        <v>14:49:52.328</v>
      </c>
      <c r="T4702" t="str">
        <f t="shared" si="2163"/>
        <v>14:49:51.928</v>
      </c>
      <c r="U4702" t="str">
        <f t="shared" si="2150"/>
        <v>A9808D</v>
      </c>
      <c r="V4702">
        <v>0</v>
      </c>
      <c r="W4702">
        <v>0</v>
      </c>
      <c r="X4702">
        <v>1</v>
      </c>
      <c r="Z4702">
        <v>0</v>
      </c>
      <c r="AA4702">
        <v>9</v>
      </c>
      <c r="AB4702">
        <v>3</v>
      </c>
      <c r="AC4702">
        <v>0</v>
      </c>
      <c r="AD4702">
        <v>10</v>
      </c>
      <c r="AE4702">
        <v>0</v>
      </c>
      <c r="AF4702">
        <v>3</v>
      </c>
      <c r="AG4702">
        <v>2</v>
      </c>
      <c r="AH4702">
        <v>0</v>
      </c>
      <c r="AI4702" t="s">
        <v>1049</v>
      </c>
      <c r="AJ4702">
        <v>28.242308999999999</v>
      </c>
      <c r="AK4702" t="s">
        <v>1050</v>
      </c>
      <c r="AL4702">
        <v>-82.346027000000007</v>
      </c>
      <c r="AM4702">
        <v>100</v>
      </c>
      <c r="AN4702">
        <v>2100</v>
      </c>
      <c r="AO4702" t="s">
        <v>118</v>
      </c>
      <c r="AP4702">
        <v>-136</v>
      </c>
      <c r="AQ4702">
        <v>-42</v>
      </c>
      <c r="AR4702">
        <v>-192</v>
      </c>
      <c r="AZ4702">
        <v>1200</v>
      </c>
      <c r="BA4702">
        <v>1</v>
      </c>
      <c r="BB4702" t="str">
        <f t="shared" si="2160"/>
        <v xml:space="preserve">N711JA  </v>
      </c>
      <c r="BC4702">
        <v>1</v>
      </c>
      <c r="BE4702">
        <v>0</v>
      </c>
      <c r="BF4702">
        <v>0</v>
      </c>
      <c r="BG4702">
        <v>0</v>
      </c>
      <c r="BH4702">
        <v>2150</v>
      </c>
      <c r="BI4702">
        <v>1</v>
      </c>
      <c r="BJ4702">
        <v>1</v>
      </c>
      <c r="BK4702">
        <v>0</v>
      </c>
      <c r="BL4702">
        <v>0</v>
      </c>
      <c r="BO4702">
        <v>0</v>
      </c>
      <c r="BP4702">
        <v>0</v>
      </c>
      <c r="BW4702" t="str">
        <f t="shared" si="2164"/>
        <v>14:49:52.330</v>
      </c>
      <c r="CJ4702">
        <v>0</v>
      </c>
      <c r="CK4702">
        <v>2</v>
      </c>
      <c r="CL4702">
        <v>0</v>
      </c>
      <c r="CM4702">
        <v>2</v>
      </c>
      <c r="CN4702">
        <v>0</v>
      </c>
      <c r="CO4702">
        <v>7</v>
      </c>
      <c r="CP4702" t="s">
        <v>119</v>
      </c>
      <c r="CQ4702">
        <v>343</v>
      </c>
      <c r="CR4702">
        <v>2</v>
      </c>
      <c r="CW4702">
        <v>13340881</v>
      </c>
      <c r="CY4702">
        <v>1</v>
      </c>
      <c r="CZ4702">
        <v>0</v>
      </c>
      <c r="DA4702">
        <v>1</v>
      </c>
      <c r="DB4702">
        <v>0</v>
      </c>
      <c r="DC4702">
        <v>0</v>
      </c>
      <c r="DD4702">
        <v>1</v>
      </c>
      <c r="DE4702">
        <v>0</v>
      </c>
      <c r="DF4702">
        <v>0</v>
      </c>
      <c r="DG4702">
        <v>0</v>
      </c>
      <c r="DH4702">
        <v>0</v>
      </c>
      <c r="DI4702">
        <v>0</v>
      </c>
    </row>
    <row r="4703" spans="1:113" x14ac:dyDescent="0.3">
      <c r="A4703" t="str">
        <f t="shared" si="2161"/>
        <v>05/12/2020 14:49:34.492</v>
      </c>
      <c r="C4703" t="str">
        <f t="shared" si="2159"/>
        <v>FFDFD3C0</v>
      </c>
      <c r="D4703" t="s">
        <v>134</v>
      </c>
      <c r="E4703">
        <v>12</v>
      </c>
      <c r="H4703">
        <v>64</v>
      </c>
      <c r="I4703" t="s">
        <v>135</v>
      </c>
      <c r="J4703" t="s">
        <v>136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 t="shared" si="2162"/>
        <v>14:49:52.328</v>
      </c>
      <c r="T4703" t="str">
        <f t="shared" si="2163"/>
        <v>14:49:51.928</v>
      </c>
      <c r="U4703" t="str">
        <f t="shared" si="2150"/>
        <v>A9808D</v>
      </c>
      <c r="V4703">
        <v>0</v>
      </c>
      <c r="W4703">
        <v>0</v>
      </c>
      <c r="X4703">
        <v>1</v>
      </c>
      <c r="Z4703">
        <v>0</v>
      </c>
      <c r="AA4703">
        <v>9</v>
      </c>
      <c r="AB4703">
        <v>3</v>
      </c>
      <c r="AC4703">
        <v>0</v>
      </c>
      <c r="AD4703">
        <v>10</v>
      </c>
      <c r="AE4703">
        <v>0</v>
      </c>
      <c r="AF4703">
        <v>3</v>
      </c>
      <c r="AG4703">
        <v>2</v>
      </c>
      <c r="AH4703">
        <v>0</v>
      </c>
      <c r="AI4703" t="s">
        <v>1049</v>
      </c>
      <c r="AJ4703">
        <v>28.242308999999999</v>
      </c>
      <c r="AK4703" t="s">
        <v>1050</v>
      </c>
      <c r="AL4703">
        <v>-82.346027000000007</v>
      </c>
      <c r="AM4703">
        <v>100</v>
      </c>
      <c r="AN4703">
        <v>2100</v>
      </c>
      <c r="AO4703" t="s">
        <v>118</v>
      </c>
      <c r="AP4703">
        <v>-136</v>
      </c>
      <c r="AQ4703">
        <v>-42</v>
      </c>
      <c r="AR4703">
        <v>-192</v>
      </c>
      <c r="AZ4703">
        <v>1200</v>
      </c>
      <c r="BA4703">
        <v>1</v>
      </c>
      <c r="BB4703" t="str">
        <f t="shared" si="2160"/>
        <v xml:space="preserve">N711JA  </v>
      </c>
      <c r="BC4703">
        <v>1</v>
      </c>
      <c r="BE4703">
        <v>0</v>
      </c>
      <c r="BF4703">
        <v>0</v>
      </c>
      <c r="BG4703">
        <v>0</v>
      </c>
      <c r="BH4703">
        <v>2150</v>
      </c>
      <c r="BI4703">
        <v>1</v>
      </c>
      <c r="BJ4703">
        <v>1</v>
      </c>
      <c r="BK4703">
        <v>0</v>
      </c>
      <c r="BL4703">
        <v>0</v>
      </c>
      <c r="BO4703">
        <v>0</v>
      </c>
      <c r="BP4703">
        <v>0</v>
      </c>
      <c r="BW4703" t="str">
        <f t="shared" si="2164"/>
        <v>14:49:52.330</v>
      </c>
      <c r="CJ4703">
        <v>0</v>
      </c>
      <c r="CK4703">
        <v>2</v>
      </c>
      <c r="CL4703">
        <v>0</v>
      </c>
      <c r="CM4703">
        <v>2</v>
      </c>
      <c r="CN4703">
        <v>0</v>
      </c>
      <c r="CO4703">
        <v>7</v>
      </c>
      <c r="CP4703" t="s">
        <v>119</v>
      </c>
      <c r="CQ4703">
        <v>343</v>
      </c>
      <c r="CR4703">
        <v>2</v>
      </c>
      <c r="CW4703">
        <v>13340881</v>
      </c>
      <c r="CY4703">
        <v>1</v>
      </c>
      <c r="CZ4703">
        <v>0</v>
      </c>
      <c r="DA4703">
        <v>1</v>
      </c>
      <c r="DB4703">
        <v>0</v>
      </c>
      <c r="DC4703">
        <v>0</v>
      </c>
      <c r="DD4703">
        <v>1</v>
      </c>
      <c r="DE4703">
        <v>0</v>
      </c>
      <c r="DF4703">
        <v>0</v>
      </c>
      <c r="DG4703">
        <v>0</v>
      </c>
      <c r="DH4703">
        <v>0</v>
      </c>
      <c r="DI4703">
        <v>0</v>
      </c>
    </row>
    <row r="4704" spans="1:113" x14ac:dyDescent="0.3">
      <c r="A4704" t="str">
        <f t="shared" ref="A4704:A4712" si="2165">"05/12/2020 14:49:35.606"</f>
        <v>05/12/2020 14:49:35.606</v>
      </c>
      <c r="C4704" t="str">
        <f t="shared" si="2159"/>
        <v>FFDFD3C0</v>
      </c>
      <c r="D4704" t="s">
        <v>131</v>
      </c>
      <c r="E4704">
        <v>18</v>
      </c>
      <c r="F4704">
        <v>2018</v>
      </c>
      <c r="G4704" t="s">
        <v>161</v>
      </c>
      <c r="J4704" t="s">
        <v>133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 t="shared" ref="S4704:S4712" si="2166">"14:49:53.438"</f>
        <v>14:49:53.438</v>
      </c>
      <c r="T4704" t="str">
        <f t="shared" ref="T4704:T4712" si="2167">"14:49:53.038"</f>
        <v>14:49:53.038</v>
      </c>
      <c r="U4704" t="str">
        <f t="shared" si="2150"/>
        <v>A9808D</v>
      </c>
      <c r="V4704">
        <v>0</v>
      </c>
      <c r="W4704">
        <v>0</v>
      </c>
      <c r="X4704">
        <v>1</v>
      </c>
      <c r="Z4704">
        <v>0</v>
      </c>
      <c r="AA4704">
        <v>9</v>
      </c>
      <c r="AB4704">
        <v>3</v>
      </c>
      <c r="AC4704">
        <v>0</v>
      </c>
      <c r="AD4704">
        <v>10</v>
      </c>
      <c r="AE4704">
        <v>0</v>
      </c>
      <c r="AF4704">
        <v>3</v>
      </c>
      <c r="AG4704">
        <v>2</v>
      </c>
      <c r="AH4704">
        <v>0</v>
      </c>
      <c r="AI4704" t="s">
        <v>1051</v>
      </c>
      <c r="AJ4704">
        <v>28.242094999999999</v>
      </c>
      <c r="AK4704" t="s">
        <v>1052</v>
      </c>
      <c r="AL4704">
        <v>-82.346799000000004</v>
      </c>
      <c r="AM4704">
        <v>100</v>
      </c>
      <c r="AN4704">
        <v>2100</v>
      </c>
      <c r="AO4704" t="s">
        <v>118</v>
      </c>
      <c r="AP4704">
        <v>-135</v>
      </c>
      <c r="AQ4704">
        <v>-42</v>
      </c>
      <c r="AR4704">
        <v>-192</v>
      </c>
      <c r="AZ4704">
        <v>1200</v>
      </c>
      <c r="BA4704">
        <v>1</v>
      </c>
      <c r="BB4704" t="str">
        <f t="shared" si="2160"/>
        <v xml:space="preserve">N711JA  </v>
      </c>
      <c r="BC4704">
        <v>1</v>
      </c>
      <c r="BE4704">
        <v>0</v>
      </c>
      <c r="BF4704">
        <v>0</v>
      </c>
      <c r="BG4704">
        <v>0</v>
      </c>
      <c r="BH4704">
        <v>2150</v>
      </c>
      <c r="BI4704">
        <v>1</v>
      </c>
      <c r="BJ4704">
        <v>1</v>
      </c>
      <c r="BK4704">
        <v>0</v>
      </c>
      <c r="BL4704">
        <v>0</v>
      </c>
      <c r="BO4704">
        <v>0</v>
      </c>
      <c r="BP4704">
        <v>0</v>
      </c>
      <c r="BW4704" t="str">
        <f t="shared" ref="BW4704:BW4712" si="2168">"14:49:53.439"</f>
        <v>14:49:53.439</v>
      </c>
      <c r="CJ4704">
        <v>0</v>
      </c>
      <c r="CK4704">
        <v>2</v>
      </c>
      <c r="CL4704">
        <v>0</v>
      </c>
      <c r="CM4704">
        <v>2</v>
      </c>
      <c r="CN4704">
        <v>0</v>
      </c>
      <c r="CO4704">
        <v>7</v>
      </c>
      <c r="CP4704" t="s">
        <v>119</v>
      </c>
      <c r="CQ4704">
        <v>343</v>
      </c>
      <c r="CR4704">
        <v>1</v>
      </c>
      <c r="CW4704">
        <v>11064575</v>
      </c>
      <c r="CY4704">
        <v>1</v>
      </c>
      <c r="CZ4704">
        <v>0</v>
      </c>
      <c r="DA4704">
        <v>0</v>
      </c>
      <c r="DB4704">
        <v>0</v>
      </c>
      <c r="DC4704">
        <v>0</v>
      </c>
      <c r="DD4704">
        <v>1</v>
      </c>
      <c r="DE4704">
        <v>0</v>
      </c>
      <c r="DF4704">
        <v>0</v>
      </c>
      <c r="DG4704">
        <v>0</v>
      </c>
      <c r="DH4704">
        <v>0</v>
      </c>
      <c r="DI4704">
        <v>0</v>
      </c>
    </row>
    <row r="4705" spans="1:113" x14ac:dyDescent="0.3">
      <c r="A4705" t="str">
        <f t="shared" si="2165"/>
        <v>05/12/2020 14:49:35.606</v>
      </c>
      <c r="C4705" t="str">
        <f t="shared" si="2159"/>
        <v>FFDFD3C0</v>
      </c>
      <c r="D4705" t="s">
        <v>126</v>
      </c>
      <c r="E4705">
        <v>6</v>
      </c>
      <c r="F4705">
        <v>1006</v>
      </c>
      <c r="G4705" t="s">
        <v>114</v>
      </c>
      <c r="J4705" t="s">
        <v>128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 t="shared" si="2166"/>
        <v>14:49:53.438</v>
      </c>
      <c r="T4705" t="str">
        <f t="shared" si="2167"/>
        <v>14:49:53.038</v>
      </c>
      <c r="U4705" t="str">
        <f t="shared" si="2150"/>
        <v>A9808D</v>
      </c>
      <c r="V4705">
        <v>0</v>
      </c>
      <c r="W4705">
        <v>0</v>
      </c>
      <c r="X4705">
        <v>1</v>
      </c>
      <c r="Z4705">
        <v>0</v>
      </c>
      <c r="AA4705">
        <v>9</v>
      </c>
      <c r="AB4705">
        <v>3</v>
      </c>
      <c r="AC4705">
        <v>0</v>
      </c>
      <c r="AD4705">
        <v>10</v>
      </c>
      <c r="AE4705">
        <v>0</v>
      </c>
      <c r="AF4705">
        <v>3</v>
      </c>
      <c r="AG4705">
        <v>2</v>
      </c>
      <c r="AH4705">
        <v>0</v>
      </c>
      <c r="AI4705" t="s">
        <v>1051</v>
      </c>
      <c r="AJ4705">
        <v>28.242094999999999</v>
      </c>
      <c r="AK4705" t="s">
        <v>1052</v>
      </c>
      <c r="AL4705">
        <v>-82.346799000000004</v>
      </c>
      <c r="AM4705">
        <v>100</v>
      </c>
      <c r="AN4705">
        <v>2100</v>
      </c>
      <c r="AO4705" t="s">
        <v>118</v>
      </c>
      <c r="AP4705">
        <v>-135</v>
      </c>
      <c r="AQ4705">
        <v>-42</v>
      </c>
      <c r="AR4705">
        <v>-192</v>
      </c>
      <c r="AZ4705">
        <v>1200</v>
      </c>
      <c r="BA4705">
        <v>1</v>
      </c>
      <c r="BB4705" t="str">
        <f t="shared" si="2160"/>
        <v xml:space="preserve">N711JA  </v>
      </c>
      <c r="BC4705">
        <v>1</v>
      </c>
      <c r="BE4705">
        <v>0</v>
      </c>
      <c r="BF4705">
        <v>0</v>
      </c>
      <c r="BG4705">
        <v>0</v>
      </c>
      <c r="BH4705">
        <v>2150</v>
      </c>
      <c r="BI4705">
        <v>1</v>
      </c>
      <c r="BJ4705">
        <v>1</v>
      </c>
      <c r="BK4705">
        <v>0</v>
      </c>
      <c r="BL4705">
        <v>0</v>
      </c>
      <c r="BO4705">
        <v>0</v>
      </c>
      <c r="BP4705">
        <v>0</v>
      </c>
      <c r="BW4705" t="str">
        <f t="shared" si="2168"/>
        <v>14:49:53.439</v>
      </c>
      <c r="CJ4705">
        <v>0</v>
      </c>
      <c r="CK4705">
        <v>2</v>
      </c>
      <c r="CL4705">
        <v>0</v>
      </c>
      <c r="CM4705">
        <v>2</v>
      </c>
      <c r="CN4705">
        <v>0</v>
      </c>
      <c r="CO4705">
        <v>7</v>
      </c>
      <c r="CP4705" t="s">
        <v>119</v>
      </c>
      <c r="CQ4705">
        <v>343</v>
      </c>
      <c r="CR4705">
        <v>1</v>
      </c>
      <c r="CW4705">
        <v>11064575</v>
      </c>
      <c r="CY4705">
        <v>1</v>
      </c>
      <c r="CZ4705">
        <v>0</v>
      </c>
      <c r="DA4705">
        <v>1</v>
      </c>
      <c r="DB4705">
        <v>0</v>
      </c>
      <c r="DC4705">
        <v>0</v>
      </c>
      <c r="DD4705">
        <v>1</v>
      </c>
      <c r="DE4705">
        <v>0</v>
      </c>
      <c r="DF4705">
        <v>0</v>
      </c>
      <c r="DG4705">
        <v>0</v>
      </c>
      <c r="DH4705">
        <v>0</v>
      </c>
      <c r="DI4705">
        <v>0</v>
      </c>
    </row>
    <row r="4706" spans="1:113" x14ac:dyDescent="0.3">
      <c r="A4706" t="str">
        <f t="shared" si="2165"/>
        <v>05/12/2020 14:49:35.606</v>
      </c>
      <c r="C4706" t="str">
        <f t="shared" si="2159"/>
        <v>FFDFD3C0</v>
      </c>
      <c r="D4706" t="s">
        <v>113</v>
      </c>
      <c r="E4706">
        <v>3</v>
      </c>
      <c r="H4706">
        <v>164</v>
      </c>
      <c r="I4706" t="s">
        <v>114</v>
      </c>
      <c r="J4706" t="s">
        <v>115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 t="shared" si="2166"/>
        <v>14:49:53.438</v>
      </c>
      <c r="T4706" t="str">
        <f t="shared" si="2167"/>
        <v>14:49:53.038</v>
      </c>
      <c r="U4706" t="str">
        <f t="shared" si="2150"/>
        <v>A9808D</v>
      </c>
      <c r="V4706">
        <v>0</v>
      </c>
      <c r="W4706">
        <v>0</v>
      </c>
      <c r="X4706">
        <v>1</v>
      </c>
      <c r="Z4706">
        <v>0</v>
      </c>
      <c r="AA4706">
        <v>9</v>
      </c>
      <c r="AB4706">
        <v>3</v>
      </c>
      <c r="AC4706">
        <v>0</v>
      </c>
      <c r="AD4706">
        <v>10</v>
      </c>
      <c r="AE4706">
        <v>0</v>
      </c>
      <c r="AF4706">
        <v>3</v>
      </c>
      <c r="AG4706">
        <v>2</v>
      </c>
      <c r="AH4706">
        <v>0</v>
      </c>
      <c r="AI4706" t="s">
        <v>1051</v>
      </c>
      <c r="AJ4706">
        <v>28.242094999999999</v>
      </c>
      <c r="AK4706" t="s">
        <v>1052</v>
      </c>
      <c r="AL4706">
        <v>-82.346799000000004</v>
      </c>
      <c r="AM4706">
        <v>100</v>
      </c>
      <c r="AN4706">
        <v>2100</v>
      </c>
      <c r="AO4706" t="s">
        <v>118</v>
      </c>
      <c r="AP4706">
        <v>-135</v>
      </c>
      <c r="AQ4706">
        <v>-42</v>
      </c>
      <c r="AR4706">
        <v>-192</v>
      </c>
      <c r="AZ4706">
        <v>1200</v>
      </c>
      <c r="BA4706">
        <v>1</v>
      </c>
      <c r="BB4706" t="str">
        <f t="shared" si="2160"/>
        <v xml:space="preserve">N711JA  </v>
      </c>
      <c r="BC4706">
        <v>1</v>
      </c>
      <c r="BE4706">
        <v>0</v>
      </c>
      <c r="BF4706">
        <v>0</v>
      </c>
      <c r="BG4706">
        <v>0</v>
      </c>
      <c r="BH4706">
        <v>2150</v>
      </c>
      <c r="BI4706">
        <v>1</v>
      </c>
      <c r="BJ4706">
        <v>1</v>
      </c>
      <c r="BK4706">
        <v>0</v>
      </c>
      <c r="BL4706">
        <v>0</v>
      </c>
      <c r="BO4706">
        <v>0</v>
      </c>
      <c r="BP4706">
        <v>0</v>
      </c>
      <c r="BW4706" t="str">
        <f t="shared" si="2168"/>
        <v>14:49:53.439</v>
      </c>
      <c r="CJ4706">
        <v>0</v>
      </c>
      <c r="CK4706">
        <v>2</v>
      </c>
      <c r="CL4706">
        <v>0</v>
      </c>
      <c r="CM4706">
        <v>2</v>
      </c>
      <c r="CN4706">
        <v>0</v>
      </c>
      <c r="CO4706">
        <v>7</v>
      </c>
      <c r="CP4706" t="s">
        <v>119</v>
      </c>
      <c r="CQ4706">
        <v>343</v>
      </c>
      <c r="CR4706">
        <v>1</v>
      </c>
      <c r="CW4706">
        <v>11064575</v>
      </c>
      <c r="CY4706">
        <v>1</v>
      </c>
      <c r="CZ4706">
        <v>0</v>
      </c>
      <c r="DA4706">
        <v>1</v>
      </c>
      <c r="DB4706">
        <v>0</v>
      </c>
      <c r="DC4706">
        <v>0</v>
      </c>
      <c r="DD4706">
        <v>1</v>
      </c>
      <c r="DE4706">
        <v>0</v>
      </c>
      <c r="DF4706">
        <v>0</v>
      </c>
      <c r="DG4706">
        <v>0</v>
      </c>
      <c r="DH4706">
        <v>0</v>
      </c>
      <c r="DI4706">
        <v>0</v>
      </c>
    </row>
    <row r="4707" spans="1:113" x14ac:dyDescent="0.3">
      <c r="A4707" t="str">
        <f t="shared" si="2165"/>
        <v>05/12/2020 14:49:35.606</v>
      </c>
      <c r="C4707" t="str">
        <f t="shared" si="2159"/>
        <v>FFDFD3C0</v>
      </c>
      <c r="D4707" t="s">
        <v>138</v>
      </c>
      <c r="E4707">
        <v>3</v>
      </c>
      <c r="H4707">
        <v>9</v>
      </c>
      <c r="I4707" t="s">
        <v>140</v>
      </c>
      <c r="J4707" t="s">
        <v>136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 t="shared" si="2166"/>
        <v>14:49:53.438</v>
      </c>
      <c r="T4707" t="str">
        <f t="shared" si="2167"/>
        <v>14:49:53.038</v>
      </c>
      <c r="U4707" t="str">
        <f t="shared" si="2150"/>
        <v>A9808D</v>
      </c>
      <c r="V4707">
        <v>0</v>
      </c>
      <c r="W4707">
        <v>0</v>
      </c>
      <c r="X4707">
        <v>1</v>
      </c>
      <c r="Z4707">
        <v>0</v>
      </c>
      <c r="AA4707">
        <v>9</v>
      </c>
      <c r="AB4707">
        <v>3</v>
      </c>
      <c r="AC4707">
        <v>0</v>
      </c>
      <c r="AD4707">
        <v>10</v>
      </c>
      <c r="AE4707">
        <v>0</v>
      </c>
      <c r="AF4707">
        <v>3</v>
      </c>
      <c r="AG4707">
        <v>2</v>
      </c>
      <c r="AH4707">
        <v>0</v>
      </c>
      <c r="AI4707" t="s">
        <v>1051</v>
      </c>
      <c r="AJ4707">
        <v>28.242094999999999</v>
      </c>
      <c r="AK4707" t="s">
        <v>1052</v>
      </c>
      <c r="AL4707">
        <v>-82.346799000000004</v>
      </c>
      <c r="AM4707">
        <v>100</v>
      </c>
      <c r="AN4707">
        <v>2100</v>
      </c>
      <c r="AO4707" t="s">
        <v>118</v>
      </c>
      <c r="AP4707">
        <v>-135</v>
      </c>
      <c r="AQ4707">
        <v>-42</v>
      </c>
      <c r="AR4707">
        <v>-192</v>
      </c>
      <c r="AZ4707">
        <v>1200</v>
      </c>
      <c r="BA4707">
        <v>1</v>
      </c>
      <c r="BB4707" t="str">
        <f t="shared" si="2160"/>
        <v xml:space="preserve">N711JA  </v>
      </c>
      <c r="BC4707">
        <v>1</v>
      </c>
      <c r="BE4707">
        <v>0</v>
      </c>
      <c r="BF4707">
        <v>0</v>
      </c>
      <c r="BG4707">
        <v>0</v>
      </c>
      <c r="BH4707">
        <v>2150</v>
      </c>
      <c r="BI4707">
        <v>1</v>
      </c>
      <c r="BJ4707">
        <v>1</v>
      </c>
      <c r="BK4707">
        <v>0</v>
      </c>
      <c r="BL4707">
        <v>0</v>
      </c>
      <c r="BO4707">
        <v>0</v>
      </c>
      <c r="BP4707">
        <v>0</v>
      </c>
      <c r="BW4707" t="str">
        <f t="shared" si="2168"/>
        <v>14:49:53.439</v>
      </c>
      <c r="CJ4707">
        <v>0</v>
      </c>
      <c r="CK4707">
        <v>2</v>
      </c>
      <c r="CL4707">
        <v>0</v>
      </c>
      <c r="CM4707">
        <v>2</v>
      </c>
      <c r="CN4707">
        <v>0</v>
      </c>
      <c r="CO4707">
        <v>7</v>
      </c>
      <c r="CP4707" t="s">
        <v>119</v>
      </c>
      <c r="CQ4707">
        <v>343</v>
      </c>
      <c r="CR4707">
        <v>1</v>
      </c>
      <c r="CW4707">
        <v>11064575</v>
      </c>
      <c r="CY4707">
        <v>1</v>
      </c>
      <c r="CZ4707">
        <v>0</v>
      </c>
      <c r="DA4707">
        <v>1</v>
      </c>
      <c r="DB4707">
        <v>0</v>
      </c>
      <c r="DC4707">
        <v>0</v>
      </c>
      <c r="DD4707">
        <v>1</v>
      </c>
      <c r="DE4707">
        <v>0</v>
      </c>
      <c r="DF4707">
        <v>0</v>
      </c>
      <c r="DG4707">
        <v>0</v>
      </c>
      <c r="DH4707">
        <v>0</v>
      </c>
      <c r="DI4707">
        <v>0</v>
      </c>
    </row>
    <row r="4708" spans="1:113" x14ac:dyDescent="0.3">
      <c r="A4708" t="str">
        <f t="shared" si="2165"/>
        <v>05/12/2020 14:49:35.606</v>
      </c>
      <c r="C4708" t="str">
        <f t="shared" si="2159"/>
        <v>FFDFD3C0</v>
      </c>
      <c r="D4708" t="s">
        <v>138</v>
      </c>
      <c r="E4708">
        <v>2</v>
      </c>
      <c r="H4708">
        <v>8</v>
      </c>
      <c r="I4708" t="s">
        <v>139</v>
      </c>
      <c r="J4708" t="s">
        <v>136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 t="shared" si="2166"/>
        <v>14:49:53.438</v>
      </c>
      <c r="T4708" t="str">
        <f t="shared" si="2167"/>
        <v>14:49:53.038</v>
      </c>
      <c r="U4708" t="str">
        <f t="shared" si="2150"/>
        <v>A9808D</v>
      </c>
      <c r="V4708">
        <v>0</v>
      </c>
      <c r="W4708">
        <v>0</v>
      </c>
      <c r="X4708">
        <v>1</v>
      </c>
      <c r="Z4708">
        <v>0</v>
      </c>
      <c r="AA4708">
        <v>9</v>
      </c>
      <c r="AB4708">
        <v>3</v>
      </c>
      <c r="AC4708">
        <v>0</v>
      </c>
      <c r="AD4708">
        <v>10</v>
      </c>
      <c r="AE4708">
        <v>0</v>
      </c>
      <c r="AF4708">
        <v>3</v>
      </c>
      <c r="AG4708">
        <v>2</v>
      </c>
      <c r="AH4708">
        <v>0</v>
      </c>
      <c r="AI4708" t="s">
        <v>1051</v>
      </c>
      <c r="AJ4708">
        <v>28.242094999999999</v>
      </c>
      <c r="AK4708" t="s">
        <v>1052</v>
      </c>
      <c r="AL4708">
        <v>-82.346799000000004</v>
      </c>
      <c r="AM4708">
        <v>100</v>
      </c>
      <c r="AN4708">
        <v>2100</v>
      </c>
      <c r="AO4708" t="s">
        <v>118</v>
      </c>
      <c r="AP4708">
        <v>-135</v>
      </c>
      <c r="AQ4708">
        <v>-42</v>
      </c>
      <c r="AR4708">
        <v>-192</v>
      </c>
      <c r="AZ4708">
        <v>1200</v>
      </c>
      <c r="BA4708">
        <v>1</v>
      </c>
      <c r="BB4708" t="str">
        <f t="shared" si="2160"/>
        <v xml:space="preserve">N711JA  </v>
      </c>
      <c r="BC4708">
        <v>1</v>
      </c>
      <c r="BE4708">
        <v>0</v>
      </c>
      <c r="BF4708">
        <v>0</v>
      </c>
      <c r="BG4708">
        <v>0</v>
      </c>
      <c r="BH4708">
        <v>2150</v>
      </c>
      <c r="BI4708">
        <v>1</v>
      </c>
      <c r="BJ4708">
        <v>1</v>
      </c>
      <c r="BK4708">
        <v>0</v>
      </c>
      <c r="BL4708">
        <v>0</v>
      </c>
      <c r="BO4708">
        <v>0</v>
      </c>
      <c r="BP4708">
        <v>0</v>
      </c>
      <c r="BW4708" t="str">
        <f t="shared" si="2168"/>
        <v>14:49:53.439</v>
      </c>
      <c r="CJ4708">
        <v>0</v>
      </c>
      <c r="CK4708">
        <v>2</v>
      </c>
      <c r="CL4708">
        <v>0</v>
      </c>
      <c r="CM4708">
        <v>2</v>
      </c>
      <c r="CN4708">
        <v>0</v>
      </c>
      <c r="CO4708">
        <v>7</v>
      </c>
      <c r="CP4708" t="s">
        <v>119</v>
      </c>
      <c r="CQ4708">
        <v>343</v>
      </c>
      <c r="CR4708">
        <v>1</v>
      </c>
      <c r="CW4708">
        <v>11064575</v>
      </c>
      <c r="CY4708">
        <v>1</v>
      </c>
      <c r="CZ4708">
        <v>0</v>
      </c>
      <c r="DA4708">
        <v>1</v>
      </c>
      <c r="DB4708">
        <v>0</v>
      </c>
      <c r="DC4708">
        <v>0</v>
      </c>
      <c r="DD4708">
        <v>1</v>
      </c>
      <c r="DE4708">
        <v>0</v>
      </c>
      <c r="DF4708">
        <v>0</v>
      </c>
      <c r="DG4708">
        <v>0</v>
      </c>
      <c r="DH4708">
        <v>0</v>
      </c>
      <c r="DI4708">
        <v>0</v>
      </c>
    </row>
    <row r="4709" spans="1:113" x14ac:dyDescent="0.3">
      <c r="A4709" t="str">
        <f t="shared" si="2165"/>
        <v>05/12/2020 14:49:35.606</v>
      </c>
      <c r="C4709" t="str">
        <f t="shared" si="2159"/>
        <v>FFDFD3C0</v>
      </c>
      <c r="D4709" t="s">
        <v>134</v>
      </c>
      <c r="E4709">
        <v>12</v>
      </c>
      <c r="H4709">
        <v>64</v>
      </c>
      <c r="I4709" t="s">
        <v>135</v>
      </c>
      <c r="J4709" t="s">
        <v>136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 t="shared" si="2166"/>
        <v>14:49:53.438</v>
      </c>
      <c r="T4709" t="str">
        <f t="shared" si="2167"/>
        <v>14:49:53.038</v>
      </c>
      <c r="U4709" t="str">
        <f t="shared" si="2150"/>
        <v>A9808D</v>
      </c>
      <c r="V4709">
        <v>0</v>
      </c>
      <c r="W4709">
        <v>0</v>
      </c>
      <c r="X4709">
        <v>1</v>
      </c>
      <c r="Z4709">
        <v>0</v>
      </c>
      <c r="AA4709">
        <v>9</v>
      </c>
      <c r="AB4709">
        <v>3</v>
      </c>
      <c r="AC4709">
        <v>0</v>
      </c>
      <c r="AD4709">
        <v>10</v>
      </c>
      <c r="AE4709">
        <v>0</v>
      </c>
      <c r="AF4709">
        <v>3</v>
      </c>
      <c r="AG4709">
        <v>2</v>
      </c>
      <c r="AH4709">
        <v>0</v>
      </c>
      <c r="AI4709" t="s">
        <v>1051</v>
      </c>
      <c r="AJ4709">
        <v>28.242094999999999</v>
      </c>
      <c r="AK4709" t="s">
        <v>1052</v>
      </c>
      <c r="AL4709">
        <v>-82.346799000000004</v>
      </c>
      <c r="AM4709">
        <v>100</v>
      </c>
      <c r="AN4709">
        <v>2100</v>
      </c>
      <c r="AO4709" t="s">
        <v>118</v>
      </c>
      <c r="AP4709">
        <v>-135</v>
      </c>
      <c r="AQ4709">
        <v>-42</v>
      </c>
      <c r="AR4709">
        <v>-192</v>
      </c>
      <c r="AZ4709">
        <v>1200</v>
      </c>
      <c r="BA4709">
        <v>1</v>
      </c>
      <c r="BB4709" t="str">
        <f t="shared" si="2160"/>
        <v xml:space="preserve">N711JA  </v>
      </c>
      <c r="BC4709">
        <v>1</v>
      </c>
      <c r="BE4709">
        <v>0</v>
      </c>
      <c r="BF4709">
        <v>0</v>
      </c>
      <c r="BG4709">
        <v>0</v>
      </c>
      <c r="BH4709">
        <v>2150</v>
      </c>
      <c r="BI4709">
        <v>1</v>
      </c>
      <c r="BJ4709">
        <v>1</v>
      </c>
      <c r="BK4709">
        <v>0</v>
      </c>
      <c r="BL4709">
        <v>0</v>
      </c>
      <c r="BO4709">
        <v>0</v>
      </c>
      <c r="BP4709">
        <v>0</v>
      </c>
      <c r="BW4709" t="str">
        <f t="shared" si="2168"/>
        <v>14:49:53.439</v>
      </c>
      <c r="CJ4709">
        <v>0</v>
      </c>
      <c r="CK4709">
        <v>2</v>
      </c>
      <c r="CL4709">
        <v>0</v>
      </c>
      <c r="CM4709">
        <v>2</v>
      </c>
      <c r="CN4709">
        <v>0</v>
      </c>
      <c r="CO4709">
        <v>7</v>
      </c>
      <c r="CP4709" t="s">
        <v>119</v>
      </c>
      <c r="CQ4709">
        <v>343</v>
      </c>
      <c r="CR4709">
        <v>1</v>
      </c>
      <c r="CW4709">
        <v>11064575</v>
      </c>
      <c r="CY4709">
        <v>1</v>
      </c>
      <c r="CZ4709">
        <v>0</v>
      </c>
      <c r="DA4709">
        <v>1</v>
      </c>
      <c r="DB4709">
        <v>0</v>
      </c>
      <c r="DC4709">
        <v>0</v>
      </c>
      <c r="DD4709">
        <v>1</v>
      </c>
      <c r="DE4709">
        <v>0</v>
      </c>
      <c r="DF4709">
        <v>0</v>
      </c>
      <c r="DG4709">
        <v>0</v>
      </c>
      <c r="DH4709">
        <v>0</v>
      </c>
      <c r="DI4709">
        <v>0</v>
      </c>
    </row>
    <row r="4710" spans="1:113" x14ac:dyDescent="0.3">
      <c r="A4710" t="str">
        <f t="shared" si="2165"/>
        <v>05/12/2020 14:49:35.606</v>
      </c>
      <c r="C4710" t="str">
        <f t="shared" si="2159"/>
        <v>FFDFD3C0</v>
      </c>
      <c r="D4710" t="s">
        <v>131</v>
      </c>
      <c r="E4710">
        <v>10</v>
      </c>
      <c r="F4710">
        <v>2010</v>
      </c>
      <c r="G4710" t="s">
        <v>132</v>
      </c>
      <c r="J4710" t="s">
        <v>133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 t="shared" si="2166"/>
        <v>14:49:53.438</v>
      </c>
      <c r="T4710" t="str">
        <f t="shared" si="2167"/>
        <v>14:49:53.038</v>
      </c>
      <c r="U4710" t="str">
        <f t="shared" si="2150"/>
        <v>A9808D</v>
      </c>
      <c r="V4710">
        <v>0</v>
      </c>
      <c r="W4710">
        <v>0</v>
      </c>
      <c r="X4710">
        <v>1</v>
      </c>
      <c r="Z4710">
        <v>0</v>
      </c>
      <c r="AA4710">
        <v>9</v>
      </c>
      <c r="AB4710">
        <v>3</v>
      </c>
      <c r="AC4710">
        <v>0</v>
      </c>
      <c r="AD4710">
        <v>10</v>
      </c>
      <c r="AE4710">
        <v>0</v>
      </c>
      <c r="AF4710">
        <v>3</v>
      </c>
      <c r="AG4710">
        <v>2</v>
      </c>
      <c r="AH4710">
        <v>0</v>
      </c>
      <c r="AI4710" t="s">
        <v>1051</v>
      </c>
      <c r="AJ4710">
        <v>28.242094999999999</v>
      </c>
      <c r="AK4710" t="s">
        <v>1052</v>
      </c>
      <c r="AL4710">
        <v>-82.346799000000004</v>
      </c>
      <c r="AM4710">
        <v>100</v>
      </c>
      <c r="AN4710">
        <v>2100</v>
      </c>
      <c r="AO4710" t="s">
        <v>118</v>
      </c>
      <c r="AP4710">
        <v>-135</v>
      </c>
      <c r="AQ4710">
        <v>-42</v>
      </c>
      <c r="AR4710">
        <v>-192</v>
      </c>
      <c r="AZ4710">
        <v>1200</v>
      </c>
      <c r="BA4710">
        <v>1</v>
      </c>
      <c r="BB4710" t="str">
        <f t="shared" si="2160"/>
        <v xml:space="preserve">N711JA  </v>
      </c>
      <c r="BC4710">
        <v>1</v>
      </c>
      <c r="BE4710">
        <v>0</v>
      </c>
      <c r="BF4710">
        <v>0</v>
      </c>
      <c r="BG4710">
        <v>0</v>
      </c>
      <c r="BH4710">
        <v>2150</v>
      </c>
      <c r="BI4710">
        <v>1</v>
      </c>
      <c r="BJ4710">
        <v>1</v>
      </c>
      <c r="BK4710">
        <v>0</v>
      </c>
      <c r="BL4710">
        <v>0</v>
      </c>
      <c r="BO4710">
        <v>0</v>
      </c>
      <c r="BP4710">
        <v>0</v>
      </c>
      <c r="BW4710" t="str">
        <f t="shared" si="2168"/>
        <v>14:49:53.439</v>
      </c>
      <c r="CJ4710">
        <v>0</v>
      </c>
      <c r="CK4710">
        <v>2</v>
      </c>
      <c r="CL4710">
        <v>0</v>
      </c>
      <c r="CM4710">
        <v>2</v>
      </c>
      <c r="CN4710">
        <v>0</v>
      </c>
      <c r="CO4710">
        <v>7</v>
      </c>
      <c r="CP4710" t="s">
        <v>119</v>
      </c>
      <c r="CQ4710">
        <v>343</v>
      </c>
      <c r="CR4710">
        <v>1</v>
      </c>
      <c r="CW4710">
        <v>11064575</v>
      </c>
      <c r="CY4710">
        <v>1</v>
      </c>
      <c r="CZ4710">
        <v>0</v>
      </c>
      <c r="DA4710">
        <v>1</v>
      </c>
      <c r="DB4710">
        <v>0</v>
      </c>
      <c r="DC4710">
        <v>0</v>
      </c>
      <c r="DD4710">
        <v>1</v>
      </c>
      <c r="DE4710">
        <v>0</v>
      </c>
      <c r="DF4710">
        <v>0</v>
      </c>
      <c r="DG4710">
        <v>0</v>
      </c>
      <c r="DH4710">
        <v>0</v>
      </c>
      <c r="DI4710">
        <v>0</v>
      </c>
    </row>
    <row r="4711" spans="1:113" x14ac:dyDescent="0.3">
      <c r="A4711" t="str">
        <f t="shared" si="2165"/>
        <v>05/12/2020 14:49:35.606</v>
      </c>
      <c r="C4711" t="str">
        <f t="shared" si="2159"/>
        <v>FFDFD3C0</v>
      </c>
      <c r="D4711" t="s">
        <v>126</v>
      </c>
      <c r="E4711">
        <v>7</v>
      </c>
      <c r="F4711">
        <v>1007</v>
      </c>
      <c r="G4711" t="s">
        <v>127</v>
      </c>
      <c r="J4711" t="s">
        <v>128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 t="shared" si="2166"/>
        <v>14:49:53.438</v>
      </c>
      <c r="T4711" t="str">
        <f t="shared" si="2167"/>
        <v>14:49:53.038</v>
      </c>
      <c r="U4711" t="str">
        <f t="shared" si="2150"/>
        <v>A9808D</v>
      </c>
      <c r="V4711">
        <v>0</v>
      </c>
      <c r="W4711">
        <v>0</v>
      </c>
      <c r="X4711">
        <v>1</v>
      </c>
      <c r="Z4711">
        <v>0</v>
      </c>
      <c r="AA4711">
        <v>9</v>
      </c>
      <c r="AB4711">
        <v>3</v>
      </c>
      <c r="AC4711">
        <v>0</v>
      </c>
      <c r="AD4711">
        <v>10</v>
      </c>
      <c r="AE4711">
        <v>0</v>
      </c>
      <c r="AF4711">
        <v>3</v>
      </c>
      <c r="AG4711">
        <v>2</v>
      </c>
      <c r="AH4711">
        <v>0</v>
      </c>
      <c r="AI4711" t="s">
        <v>1051</v>
      </c>
      <c r="AJ4711">
        <v>28.242094999999999</v>
      </c>
      <c r="AK4711" t="s">
        <v>1052</v>
      </c>
      <c r="AL4711">
        <v>-82.346799000000004</v>
      </c>
      <c r="AM4711">
        <v>100</v>
      </c>
      <c r="AN4711">
        <v>2100</v>
      </c>
      <c r="AO4711" t="s">
        <v>118</v>
      </c>
      <c r="AP4711">
        <v>-135</v>
      </c>
      <c r="AQ4711">
        <v>-42</v>
      </c>
      <c r="AR4711">
        <v>-192</v>
      </c>
      <c r="AZ4711">
        <v>1200</v>
      </c>
      <c r="BA4711">
        <v>1</v>
      </c>
      <c r="BB4711" t="str">
        <f t="shared" si="2160"/>
        <v xml:space="preserve">N711JA  </v>
      </c>
      <c r="BC4711">
        <v>1</v>
      </c>
      <c r="BE4711">
        <v>0</v>
      </c>
      <c r="BF4711">
        <v>0</v>
      </c>
      <c r="BG4711">
        <v>0</v>
      </c>
      <c r="BH4711">
        <v>2150</v>
      </c>
      <c r="BI4711">
        <v>1</v>
      </c>
      <c r="BJ4711">
        <v>1</v>
      </c>
      <c r="BK4711">
        <v>0</v>
      </c>
      <c r="BL4711">
        <v>0</v>
      </c>
      <c r="BO4711">
        <v>0</v>
      </c>
      <c r="BP4711">
        <v>0</v>
      </c>
      <c r="BW4711" t="str">
        <f t="shared" si="2168"/>
        <v>14:49:53.439</v>
      </c>
      <c r="CJ4711">
        <v>0</v>
      </c>
      <c r="CK4711">
        <v>2</v>
      </c>
      <c r="CL4711">
        <v>0</v>
      </c>
      <c r="CM4711">
        <v>2</v>
      </c>
      <c r="CN4711">
        <v>0</v>
      </c>
      <c r="CO4711">
        <v>7</v>
      </c>
      <c r="CP4711" t="s">
        <v>119</v>
      </c>
      <c r="CQ4711">
        <v>343</v>
      </c>
      <c r="CR4711">
        <v>1</v>
      </c>
      <c r="CW4711">
        <v>11064575</v>
      </c>
      <c r="CY4711">
        <v>1</v>
      </c>
      <c r="CZ4711">
        <v>0</v>
      </c>
      <c r="DA4711">
        <v>1</v>
      </c>
      <c r="DB4711">
        <v>0</v>
      </c>
      <c r="DC4711">
        <v>0</v>
      </c>
      <c r="DD4711">
        <v>1</v>
      </c>
      <c r="DE4711">
        <v>0</v>
      </c>
      <c r="DF4711">
        <v>0</v>
      </c>
      <c r="DG4711">
        <v>0</v>
      </c>
      <c r="DH4711">
        <v>0</v>
      </c>
      <c r="DI4711">
        <v>0</v>
      </c>
    </row>
    <row r="4712" spans="1:113" x14ac:dyDescent="0.3">
      <c r="A4712" t="str">
        <f t="shared" si="2165"/>
        <v>05/12/2020 14:49:35.606</v>
      </c>
      <c r="C4712" t="str">
        <f t="shared" si="2159"/>
        <v>FFDFD3C0</v>
      </c>
      <c r="D4712" t="s">
        <v>131</v>
      </c>
      <c r="E4712">
        <v>12</v>
      </c>
      <c r="F4712">
        <v>2012</v>
      </c>
      <c r="G4712" t="s">
        <v>137</v>
      </c>
      <c r="J4712" t="s">
        <v>133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 t="shared" si="2166"/>
        <v>14:49:53.438</v>
      </c>
      <c r="T4712" t="str">
        <f t="shared" si="2167"/>
        <v>14:49:53.038</v>
      </c>
      <c r="U4712" t="str">
        <f t="shared" si="2150"/>
        <v>A9808D</v>
      </c>
      <c r="V4712">
        <v>0</v>
      </c>
      <c r="W4712">
        <v>0</v>
      </c>
      <c r="X4712">
        <v>1</v>
      </c>
      <c r="Z4712">
        <v>0</v>
      </c>
      <c r="AA4712">
        <v>9</v>
      </c>
      <c r="AB4712">
        <v>3</v>
      </c>
      <c r="AC4712">
        <v>0</v>
      </c>
      <c r="AD4712">
        <v>10</v>
      </c>
      <c r="AE4712">
        <v>0</v>
      </c>
      <c r="AF4712">
        <v>3</v>
      </c>
      <c r="AG4712">
        <v>2</v>
      </c>
      <c r="AH4712">
        <v>0</v>
      </c>
      <c r="AI4712" t="s">
        <v>1051</v>
      </c>
      <c r="AJ4712">
        <v>28.242094999999999</v>
      </c>
      <c r="AK4712" t="s">
        <v>1052</v>
      </c>
      <c r="AL4712">
        <v>-82.346799000000004</v>
      </c>
      <c r="AM4712">
        <v>100</v>
      </c>
      <c r="AN4712">
        <v>2100</v>
      </c>
      <c r="AO4712" t="s">
        <v>118</v>
      </c>
      <c r="AP4712">
        <v>-135</v>
      </c>
      <c r="AQ4712">
        <v>-42</v>
      </c>
      <c r="AR4712">
        <v>-192</v>
      </c>
      <c r="AZ4712">
        <v>1200</v>
      </c>
      <c r="BA4712">
        <v>1</v>
      </c>
      <c r="BB4712" t="str">
        <f t="shared" si="2160"/>
        <v xml:space="preserve">N711JA  </v>
      </c>
      <c r="BC4712">
        <v>1</v>
      </c>
      <c r="BE4712">
        <v>0</v>
      </c>
      <c r="BF4712">
        <v>0</v>
      </c>
      <c r="BG4712">
        <v>0</v>
      </c>
      <c r="BH4712">
        <v>2150</v>
      </c>
      <c r="BI4712">
        <v>1</v>
      </c>
      <c r="BJ4712">
        <v>1</v>
      </c>
      <c r="BK4712">
        <v>0</v>
      </c>
      <c r="BL4712">
        <v>0</v>
      </c>
      <c r="BO4712">
        <v>0</v>
      </c>
      <c r="BP4712">
        <v>0</v>
      </c>
      <c r="BW4712" t="str">
        <f t="shared" si="2168"/>
        <v>14:49:53.439</v>
      </c>
      <c r="CJ4712">
        <v>0</v>
      </c>
      <c r="CK4712">
        <v>2</v>
      </c>
      <c r="CL4712">
        <v>0</v>
      </c>
      <c r="CM4712">
        <v>2</v>
      </c>
      <c r="CN4712">
        <v>0</v>
      </c>
      <c r="CO4712">
        <v>7</v>
      </c>
      <c r="CP4712" t="s">
        <v>119</v>
      </c>
      <c r="CQ4712">
        <v>343</v>
      </c>
      <c r="CR4712">
        <v>1</v>
      </c>
      <c r="CW4712">
        <v>11064575</v>
      </c>
      <c r="CY4712">
        <v>1</v>
      </c>
      <c r="CZ4712">
        <v>0</v>
      </c>
      <c r="DA4712">
        <v>1</v>
      </c>
      <c r="DB4712">
        <v>0</v>
      </c>
      <c r="DC4712">
        <v>0</v>
      </c>
      <c r="DD4712">
        <v>1</v>
      </c>
      <c r="DE4712">
        <v>0</v>
      </c>
      <c r="DF4712">
        <v>0</v>
      </c>
      <c r="DG4712">
        <v>0</v>
      </c>
      <c r="DH4712">
        <v>0</v>
      </c>
      <c r="DI4712">
        <v>0</v>
      </c>
    </row>
    <row r="4713" spans="1:113" x14ac:dyDescent="0.3">
      <c r="A4713" t="str">
        <f t="shared" ref="A4713:A4721" si="2169">"05/12/2020 14:49:36.778"</f>
        <v>05/12/2020 14:49:36.778</v>
      </c>
      <c r="C4713" t="str">
        <f t="shared" si="2159"/>
        <v>FFDFD3C0</v>
      </c>
      <c r="D4713" t="s">
        <v>126</v>
      </c>
      <c r="E4713">
        <v>6</v>
      </c>
      <c r="F4713">
        <v>1006</v>
      </c>
      <c r="G4713" t="s">
        <v>114</v>
      </c>
      <c r="J4713" t="s">
        <v>128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 t="shared" ref="S4713:S4721" si="2170">"14:49:54.609"</f>
        <v>14:49:54.609</v>
      </c>
      <c r="T4713" t="str">
        <f t="shared" ref="T4713:T4721" si="2171">"14:49:54.409"</f>
        <v>14:49:54.409</v>
      </c>
      <c r="U4713" t="str">
        <f t="shared" si="2150"/>
        <v>A9808D</v>
      </c>
      <c r="V4713">
        <v>0</v>
      </c>
      <c r="W4713">
        <v>0</v>
      </c>
      <c r="X4713">
        <v>1</v>
      </c>
      <c r="Z4713">
        <v>0</v>
      </c>
      <c r="AA4713">
        <v>9</v>
      </c>
      <c r="AB4713">
        <v>3</v>
      </c>
      <c r="AC4713">
        <v>0</v>
      </c>
      <c r="AD4713">
        <v>10</v>
      </c>
      <c r="AE4713">
        <v>0</v>
      </c>
      <c r="AF4713">
        <v>3</v>
      </c>
      <c r="AG4713">
        <v>2</v>
      </c>
      <c r="AH4713">
        <v>0</v>
      </c>
      <c r="AI4713" t="s">
        <v>1053</v>
      </c>
      <c r="AJ4713">
        <v>28.241816</v>
      </c>
      <c r="AK4713" t="s">
        <v>1054</v>
      </c>
      <c r="AL4713">
        <v>-82.347657999999996</v>
      </c>
      <c r="AM4713">
        <v>100</v>
      </c>
      <c r="AN4713">
        <v>2100</v>
      </c>
      <c r="AO4713" t="s">
        <v>118</v>
      </c>
      <c r="AP4713">
        <v>-134</v>
      </c>
      <c r="AQ4713">
        <v>-43</v>
      </c>
      <c r="AR4713">
        <v>-256</v>
      </c>
      <c r="AZ4713">
        <v>1200</v>
      </c>
      <c r="BA4713">
        <v>1</v>
      </c>
      <c r="BB4713" t="str">
        <f t="shared" si="2160"/>
        <v xml:space="preserve">N711JA  </v>
      </c>
      <c r="BC4713">
        <v>1</v>
      </c>
      <c r="BE4713">
        <v>0</v>
      </c>
      <c r="BF4713">
        <v>0</v>
      </c>
      <c r="BG4713">
        <v>0</v>
      </c>
      <c r="BH4713">
        <v>2150</v>
      </c>
      <c r="BI4713">
        <v>1</v>
      </c>
      <c r="BJ4713">
        <v>1</v>
      </c>
      <c r="BK4713">
        <v>0</v>
      </c>
      <c r="BL4713">
        <v>0</v>
      </c>
      <c r="BO4713">
        <v>0</v>
      </c>
      <c r="BP4713">
        <v>0</v>
      </c>
      <c r="BW4713" t="str">
        <f t="shared" ref="BW4713:BW4721" si="2172">"14:49:54.611"</f>
        <v>14:49:54.611</v>
      </c>
      <c r="CJ4713">
        <v>0</v>
      </c>
      <c r="CK4713">
        <v>2</v>
      </c>
      <c r="CL4713">
        <v>0</v>
      </c>
      <c r="CM4713">
        <v>2</v>
      </c>
      <c r="CN4713">
        <v>0</v>
      </c>
      <c r="CO4713">
        <v>7</v>
      </c>
      <c r="CP4713" t="s">
        <v>119</v>
      </c>
      <c r="CQ4713">
        <v>8</v>
      </c>
      <c r="CR4713">
        <v>3</v>
      </c>
      <c r="CW4713">
        <v>9189341</v>
      </c>
      <c r="CY4713">
        <v>0</v>
      </c>
      <c r="CZ4713">
        <v>0</v>
      </c>
      <c r="DA4713">
        <v>0</v>
      </c>
      <c r="DB4713">
        <v>0</v>
      </c>
      <c r="DC4713">
        <v>0</v>
      </c>
      <c r="DD4713">
        <v>1</v>
      </c>
      <c r="DE4713">
        <v>0</v>
      </c>
      <c r="DF4713">
        <v>0</v>
      </c>
      <c r="DG4713">
        <v>0</v>
      </c>
      <c r="DH4713">
        <v>0</v>
      </c>
      <c r="DI4713">
        <v>0</v>
      </c>
    </row>
    <row r="4714" spans="1:113" x14ac:dyDescent="0.3">
      <c r="A4714" t="str">
        <f t="shared" si="2169"/>
        <v>05/12/2020 14:49:36.778</v>
      </c>
      <c r="C4714" t="str">
        <f t="shared" si="2159"/>
        <v>FFDFD3C0</v>
      </c>
      <c r="D4714" t="s">
        <v>113</v>
      </c>
      <c r="E4714">
        <v>3</v>
      </c>
      <c r="H4714">
        <v>164</v>
      </c>
      <c r="I4714" t="s">
        <v>114</v>
      </c>
      <c r="J4714" t="s">
        <v>115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 t="shared" si="2170"/>
        <v>14:49:54.609</v>
      </c>
      <c r="T4714" t="str">
        <f t="shared" si="2171"/>
        <v>14:49:54.409</v>
      </c>
      <c r="U4714" t="str">
        <f t="shared" si="2150"/>
        <v>A9808D</v>
      </c>
      <c r="V4714">
        <v>0</v>
      </c>
      <c r="W4714">
        <v>0</v>
      </c>
      <c r="X4714">
        <v>1</v>
      </c>
      <c r="Z4714">
        <v>0</v>
      </c>
      <c r="AA4714">
        <v>9</v>
      </c>
      <c r="AB4714">
        <v>3</v>
      </c>
      <c r="AC4714">
        <v>0</v>
      </c>
      <c r="AD4714">
        <v>10</v>
      </c>
      <c r="AE4714">
        <v>0</v>
      </c>
      <c r="AF4714">
        <v>3</v>
      </c>
      <c r="AG4714">
        <v>2</v>
      </c>
      <c r="AH4714">
        <v>0</v>
      </c>
      <c r="AI4714" t="s">
        <v>1053</v>
      </c>
      <c r="AJ4714">
        <v>28.241816</v>
      </c>
      <c r="AK4714" t="s">
        <v>1054</v>
      </c>
      <c r="AL4714">
        <v>-82.347657999999996</v>
      </c>
      <c r="AM4714">
        <v>100</v>
      </c>
      <c r="AN4714">
        <v>2100</v>
      </c>
      <c r="AO4714" t="s">
        <v>118</v>
      </c>
      <c r="AP4714">
        <v>-134</v>
      </c>
      <c r="AQ4714">
        <v>-43</v>
      </c>
      <c r="AR4714">
        <v>-256</v>
      </c>
      <c r="AZ4714">
        <v>1200</v>
      </c>
      <c r="BA4714">
        <v>1</v>
      </c>
      <c r="BB4714" t="str">
        <f t="shared" si="2160"/>
        <v xml:space="preserve">N711JA  </v>
      </c>
      <c r="BC4714">
        <v>1</v>
      </c>
      <c r="BE4714">
        <v>0</v>
      </c>
      <c r="BF4714">
        <v>0</v>
      </c>
      <c r="BG4714">
        <v>0</v>
      </c>
      <c r="BH4714">
        <v>2150</v>
      </c>
      <c r="BI4714">
        <v>1</v>
      </c>
      <c r="BJ4714">
        <v>1</v>
      </c>
      <c r="BK4714">
        <v>0</v>
      </c>
      <c r="BL4714">
        <v>0</v>
      </c>
      <c r="BO4714">
        <v>0</v>
      </c>
      <c r="BP4714">
        <v>0</v>
      </c>
      <c r="BW4714" t="str">
        <f t="shared" si="2172"/>
        <v>14:49:54.611</v>
      </c>
      <c r="CJ4714">
        <v>0</v>
      </c>
      <c r="CK4714">
        <v>2</v>
      </c>
      <c r="CL4714">
        <v>0</v>
      </c>
      <c r="CM4714">
        <v>2</v>
      </c>
      <c r="CN4714">
        <v>0</v>
      </c>
      <c r="CO4714">
        <v>7</v>
      </c>
      <c r="CP4714" t="s">
        <v>119</v>
      </c>
      <c r="CQ4714">
        <v>8</v>
      </c>
      <c r="CR4714">
        <v>3</v>
      </c>
      <c r="CW4714">
        <v>9189341</v>
      </c>
      <c r="CY4714">
        <v>0</v>
      </c>
      <c r="CZ4714">
        <v>0</v>
      </c>
      <c r="DA4714">
        <v>1</v>
      </c>
      <c r="DB4714">
        <v>0</v>
      </c>
      <c r="DC4714">
        <v>0</v>
      </c>
      <c r="DD4714">
        <v>1</v>
      </c>
      <c r="DE4714">
        <v>0</v>
      </c>
      <c r="DF4714">
        <v>0</v>
      </c>
      <c r="DG4714">
        <v>0</v>
      </c>
      <c r="DH4714">
        <v>0</v>
      </c>
      <c r="DI4714">
        <v>0</v>
      </c>
    </row>
    <row r="4715" spans="1:113" x14ac:dyDescent="0.3">
      <c r="A4715" t="str">
        <f t="shared" si="2169"/>
        <v>05/12/2020 14:49:36.778</v>
      </c>
      <c r="C4715" t="str">
        <f t="shared" si="2159"/>
        <v>FFDFD3C0</v>
      </c>
      <c r="D4715" t="s">
        <v>131</v>
      </c>
      <c r="E4715">
        <v>12</v>
      </c>
      <c r="F4715">
        <v>2012</v>
      </c>
      <c r="G4715" t="s">
        <v>137</v>
      </c>
      <c r="J4715" t="s">
        <v>133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 t="shared" si="2170"/>
        <v>14:49:54.609</v>
      </c>
      <c r="T4715" t="str">
        <f t="shared" si="2171"/>
        <v>14:49:54.409</v>
      </c>
      <c r="U4715" t="str">
        <f t="shared" si="2150"/>
        <v>A9808D</v>
      </c>
      <c r="V4715">
        <v>0</v>
      </c>
      <c r="W4715">
        <v>0</v>
      </c>
      <c r="X4715">
        <v>1</v>
      </c>
      <c r="Z4715">
        <v>0</v>
      </c>
      <c r="AA4715">
        <v>9</v>
      </c>
      <c r="AB4715">
        <v>3</v>
      </c>
      <c r="AC4715">
        <v>0</v>
      </c>
      <c r="AD4715">
        <v>10</v>
      </c>
      <c r="AE4715">
        <v>0</v>
      </c>
      <c r="AF4715">
        <v>3</v>
      </c>
      <c r="AG4715">
        <v>2</v>
      </c>
      <c r="AH4715">
        <v>0</v>
      </c>
      <c r="AI4715" t="s">
        <v>1053</v>
      </c>
      <c r="AJ4715">
        <v>28.241816</v>
      </c>
      <c r="AK4715" t="s">
        <v>1054</v>
      </c>
      <c r="AL4715">
        <v>-82.347657999999996</v>
      </c>
      <c r="AM4715">
        <v>100</v>
      </c>
      <c r="AN4715">
        <v>2100</v>
      </c>
      <c r="AO4715" t="s">
        <v>118</v>
      </c>
      <c r="AP4715">
        <v>-134</v>
      </c>
      <c r="AQ4715">
        <v>-43</v>
      </c>
      <c r="AR4715">
        <v>-256</v>
      </c>
      <c r="AZ4715">
        <v>1200</v>
      </c>
      <c r="BA4715">
        <v>1</v>
      </c>
      <c r="BB4715" t="str">
        <f t="shared" si="2160"/>
        <v xml:space="preserve">N711JA  </v>
      </c>
      <c r="BC4715">
        <v>1</v>
      </c>
      <c r="BE4715">
        <v>0</v>
      </c>
      <c r="BF4715">
        <v>0</v>
      </c>
      <c r="BG4715">
        <v>0</v>
      </c>
      <c r="BH4715">
        <v>2150</v>
      </c>
      <c r="BI4715">
        <v>1</v>
      </c>
      <c r="BJ4715">
        <v>1</v>
      </c>
      <c r="BK4715">
        <v>0</v>
      </c>
      <c r="BL4715">
        <v>0</v>
      </c>
      <c r="BO4715">
        <v>0</v>
      </c>
      <c r="BP4715">
        <v>0</v>
      </c>
      <c r="BW4715" t="str">
        <f t="shared" si="2172"/>
        <v>14:49:54.611</v>
      </c>
      <c r="CJ4715">
        <v>0</v>
      </c>
      <c r="CK4715">
        <v>2</v>
      </c>
      <c r="CL4715">
        <v>0</v>
      </c>
      <c r="CM4715">
        <v>2</v>
      </c>
      <c r="CN4715">
        <v>0</v>
      </c>
      <c r="CO4715">
        <v>7</v>
      </c>
      <c r="CP4715" t="s">
        <v>119</v>
      </c>
      <c r="CQ4715">
        <v>8</v>
      </c>
      <c r="CR4715">
        <v>3</v>
      </c>
      <c r="CW4715">
        <v>9189341</v>
      </c>
      <c r="CY4715">
        <v>0</v>
      </c>
      <c r="CZ4715">
        <v>0</v>
      </c>
      <c r="DA4715">
        <v>1</v>
      </c>
      <c r="DB4715">
        <v>0</v>
      </c>
      <c r="DC4715">
        <v>0</v>
      </c>
      <c r="DD4715">
        <v>1</v>
      </c>
      <c r="DE4715">
        <v>0</v>
      </c>
      <c r="DF4715">
        <v>0</v>
      </c>
      <c r="DG4715">
        <v>0</v>
      </c>
      <c r="DH4715">
        <v>0</v>
      </c>
      <c r="DI4715">
        <v>0</v>
      </c>
    </row>
    <row r="4716" spans="1:113" x14ac:dyDescent="0.3">
      <c r="A4716" t="str">
        <f t="shared" si="2169"/>
        <v>05/12/2020 14:49:36.778</v>
      </c>
      <c r="C4716" t="str">
        <f t="shared" si="2159"/>
        <v>FFDFD3C0</v>
      </c>
      <c r="D4716" t="s">
        <v>131</v>
      </c>
      <c r="E4716">
        <v>10</v>
      </c>
      <c r="F4716">
        <v>2010</v>
      </c>
      <c r="G4716" t="s">
        <v>132</v>
      </c>
      <c r="J4716" t="s">
        <v>133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 t="shared" si="2170"/>
        <v>14:49:54.609</v>
      </c>
      <c r="T4716" t="str">
        <f t="shared" si="2171"/>
        <v>14:49:54.409</v>
      </c>
      <c r="U4716" t="str">
        <f t="shared" si="2150"/>
        <v>A9808D</v>
      </c>
      <c r="V4716">
        <v>0</v>
      </c>
      <c r="W4716">
        <v>0</v>
      </c>
      <c r="X4716">
        <v>1</v>
      </c>
      <c r="Z4716">
        <v>0</v>
      </c>
      <c r="AA4716">
        <v>9</v>
      </c>
      <c r="AB4716">
        <v>3</v>
      </c>
      <c r="AC4716">
        <v>0</v>
      </c>
      <c r="AD4716">
        <v>10</v>
      </c>
      <c r="AE4716">
        <v>0</v>
      </c>
      <c r="AF4716">
        <v>3</v>
      </c>
      <c r="AG4716">
        <v>2</v>
      </c>
      <c r="AH4716">
        <v>0</v>
      </c>
      <c r="AI4716" t="s">
        <v>1053</v>
      </c>
      <c r="AJ4716">
        <v>28.241816</v>
      </c>
      <c r="AK4716" t="s">
        <v>1054</v>
      </c>
      <c r="AL4716">
        <v>-82.347657999999996</v>
      </c>
      <c r="AM4716">
        <v>100</v>
      </c>
      <c r="AN4716">
        <v>2100</v>
      </c>
      <c r="AO4716" t="s">
        <v>118</v>
      </c>
      <c r="AP4716">
        <v>-134</v>
      </c>
      <c r="AQ4716">
        <v>-43</v>
      </c>
      <c r="AR4716">
        <v>-256</v>
      </c>
      <c r="AZ4716">
        <v>1200</v>
      </c>
      <c r="BA4716">
        <v>1</v>
      </c>
      <c r="BB4716" t="str">
        <f t="shared" si="2160"/>
        <v xml:space="preserve">N711JA  </v>
      </c>
      <c r="BC4716">
        <v>1</v>
      </c>
      <c r="BE4716">
        <v>0</v>
      </c>
      <c r="BF4716">
        <v>0</v>
      </c>
      <c r="BG4716">
        <v>0</v>
      </c>
      <c r="BH4716">
        <v>2150</v>
      </c>
      <c r="BI4716">
        <v>1</v>
      </c>
      <c r="BJ4716">
        <v>1</v>
      </c>
      <c r="BK4716">
        <v>0</v>
      </c>
      <c r="BL4716">
        <v>0</v>
      </c>
      <c r="BO4716">
        <v>0</v>
      </c>
      <c r="BP4716">
        <v>0</v>
      </c>
      <c r="BW4716" t="str">
        <f t="shared" si="2172"/>
        <v>14:49:54.611</v>
      </c>
      <c r="CJ4716">
        <v>0</v>
      </c>
      <c r="CK4716">
        <v>2</v>
      </c>
      <c r="CL4716">
        <v>0</v>
      </c>
      <c r="CM4716">
        <v>2</v>
      </c>
      <c r="CN4716">
        <v>0</v>
      </c>
      <c r="CO4716">
        <v>7</v>
      </c>
      <c r="CP4716" t="s">
        <v>119</v>
      </c>
      <c r="CQ4716">
        <v>8</v>
      </c>
      <c r="CR4716">
        <v>3</v>
      </c>
      <c r="CW4716">
        <v>9189341</v>
      </c>
      <c r="CY4716">
        <v>0</v>
      </c>
      <c r="CZ4716">
        <v>0</v>
      </c>
      <c r="DA4716">
        <v>1</v>
      </c>
      <c r="DB4716">
        <v>0</v>
      </c>
      <c r="DC4716">
        <v>0</v>
      </c>
      <c r="DD4716">
        <v>1</v>
      </c>
      <c r="DE4716">
        <v>0</v>
      </c>
      <c r="DF4716">
        <v>0</v>
      </c>
      <c r="DG4716">
        <v>0</v>
      </c>
      <c r="DH4716">
        <v>0</v>
      </c>
      <c r="DI4716">
        <v>0</v>
      </c>
    </row>
    <row r="4717" spans="1:113" x14ac:dyDescent="0.3">
      <c r="A4717" t="str">
        <f t="shared" si="2169"/>
        <v>05/12/2020 14:49:36.778</v>
      </c>
      <c r="C4717" t="str">
        <f t="shared" si="2159"/>
        <v>FFDFD3C0</v>
      </c>
      <c r="D4717" t="s">
        <v>126</v>
      </c>
      <c r="E4717">
        <v>7</v>
      </c>
      <c r="F4717">
        <v>1007</v>
      </c>
      <c r="G4717" t="s">
        <v>127</v>
      </c>
      <c r="J4717" t="s">
        <v>128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 t="shared" si="2170"/>
        <v>14:49:54.609</v>
      </c>
      <c r="T4717" t="str">
        <f t="shared" si="2171"/>
        <v>14:49:54.409</v>
      </c>
      <c r="U4717" t="str">
        <f t="shared" si="2150"/>
        <v>A9808D</v>
      </c>
      <c r="V4717">
        <v>0</v>
      </c>
      <c r="W4717">
        <v>0</v>
      </c>
      <c r="X4717">
        <v>1</v>
      </c>
      <c r="Z4717">
        <v>0</v>
      </c>
      <c r="AA4717">
        <v>9</v>
      </c>
      <c r="AB4717">
        <v>3</v>
      </c>
      <c r="AC4717">
        <v>0</v>
      </c>
      <c r="AD4717">
        <v>10</v>
      </c>
      <c r="AE4717">
        <v>0</v>
      </c>
      <c r="AF4717">
        <v>3</v>
      </c>
      <c r="AG4717">
        <v>2</v>
      </c>
      <c r="AH4717">
        <v>0</v>
      </c>
      <c r="AI4717" t="s">
        <v>1053</v>
      </c>
      <c r="AJ4717">
        <v>28.241816</v>
      </c>
      <c r="AK4717" t="s">
        <v>1054</v>
      </c>
      <c r="AL4717">
        <v>-82.347657999999996</v>
      </c>
      <c r="AM4717">
        <v>100</v>
      </c>
      <c r="AN4717">
        <v>2100</v>
      </c>
      <c r="AO4717" t="s">
        <v>118</v>
      </c>
      <c r="AP4717">
        <v>-134</v>
      </c>
      <c r="AQ4717">
        <v>-43</v>
      </c>
      <c r="AR4717">
        <v>-256</v>
      </c>
      <c r="AZ4717">
        <v>1200</v>
      </c>
      <c r="BA4717">
        <v>1</v>
      </c>
      <c r="BB4717" t="str">
        <f t="shared" si="2160"/>
        <v xml:space="preserve">N711JA  </v>
      </c>
      <c r="BC4717">
        <v>1</v>
      </c>
      <c r="BE4717">
        <v>0</v>
      </c>
      <c r="BF4717">
        <v>0</v>
      </c>
      <c r="BG4717">
        <v>0</v>
      </c>
      <c r="BH4717">
        <v>2150</v>
      </c>
      <c r="BI4717">
        <v>1</v>
      </c>
      <c r="BJ4717">
        <v>1</v>
      </c>
      <c r="BK4717">
        <v>0</v>
      </c>
      <c r="BL4717">
        <v>0</v>
      </c>
      <c r="BO4717">
        <v>0</v>
      </c>
      <c r="BP4717">
        <v>0</v>
      </c>
      <c r="BW4717" t="str">
        <f t="shared" si="2172"/>
        <v>14:49:54.611</v>
      </c>
      <c r="CJ4717">
        <v>0</v>
      </c>
      <c r="CK4717">
        <v>2</v>
      </c>
      <c r="CL4717">
        <v>0</v>
      </c>
      <c r="CM4717">
        <v>2</v>
      </c>
      <c r="CN4717">
        <v>0</v>
      </c>
      <c r="CO4717">
        <v>7</v>
      </c>
      <c r="CP4717" t="s">
        <v>119</v>
      </c>
      <c r="CQ4717">
        <v>8</v>
      </c>
      <c r="CR4717">
        <v>3</v>
      </c>
      <c r="CW4717">
        <v>9189341</v>
      </c>
      <c r="CY4717">
        <v>0</v>
      </c>
      <c r="CZ4717">
        <v>0</v>
      </c>
      <c r="DA4717">
        <v>1</v>
      </c>
      <c r="DB4717">
        <v>0</v>
      </c>
      <c r="DC4717">
        <v>0</v>
      </c>
      <c r="DD4717">
        <v>1</v>
      </c>
      <c r="DE4717">
        <v>0</v>
      </c>
      <c r="DF4717">
        <v>0</v>
      </c>
      <c r="DG4717">
        <v>0</v>
      </c>
      <c r="DH4717">
        <v>0</v>
      </c>
      <c r="DI4717">
        <v>0</v>
      </c>
    </row>
    <row r="4718" spans="1:113" x14ac:dyDescent="0.3">
      <c r="A4718" t="str">
        <f t="shared" si="2169"/>
        <v>05/12/2020 14:49:36.778</v>
      </c>
      <c r="C4718" t="str">
        <f t="shared" si="2159"/>
        <v>FFDFD3C0</v>
      </c>
      <c r="D4718" t="s">
        <v>138</v>
      </c>
      <c r="E4718">
        <v>2</v>
      </c>
      <c r="H4718">
        <v>8</v>
      </c>
      <c r="I4718" t="s">
        <v>139</v>
      </c>
      <c r="J4718" t="s">
        <v>136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 t="shared" si="2170"/>
        <v>14:49:54.609</v>
      </c>
      <c r="T4718" t="str">
        <f t="shared" si="2171"/>
        <v>14:49:54.409</v>
      </c>
      <c r="U4718" t="str">
        <f t="shared" si="2150"/>
        <v>A9808D</v>
      </c>
      <c r="V4718">
        <v>0</v>
      </c>
      <c r="W4718">
        <v>0</v>
      </c>
      <c r="X4718">
        <v>1</v>
      </c>
      <c r="Z4718">
        <v>0</v>
      </c>
      <c r="AA4718">
        <v>9</v>
      </c>
      <c r="AB4718">
        <v>3</v>
      </c>
      <c r="AC4718">
        <v>0</v>
      </c>
      <c r="AD4718">
        <v>10</v>
      </c>
      <c r="AE4718">
        <v>0</v>
      </c>
      <c r="AF4718">
        <v>3</v>
      </c>
      <c r="AG4718">
        <v>2</v>
      </c>
      <c r="AH4718">
        <v>0</v>
      </c>
      <c r="AI4718" t="s">
        <v>1053</v>
      </c>
      <c r="AJ4718">
        <v>28.241816</v>
      </c>
      <c r="AK4718" t="s">
        <v>1054</v>
      </c>
      <c r="AL4718">
        <v>-82.347657999999996</v>
      </c>
      <c r="AM4718">
        <v>100</v>
      </c>
      <c r="AN4718">
        <v>2100</v>
      </c>
      <c r="AO4718" t="s">
        <v>118</v>
      </c>
      <c r="AP4718">
        <v>-134</v>
      </c>
      <c r="AQ4718">
        <v>-43</v>
      </c>
      <c r="AR4718">
        <v>-256</v>
      </c>
      <c r="AZ4718">
        <v>1200</v>
      </c>
      <c r="BA4718">
        <v>1</v>
      </c>
      <c r="BB4718" t="str">
        <f t="shared" si="2160"/>
        <v xml:space="preserve">N711JA  </v>
      </c>
      <c r="BC4718">
        <v>1</v>
      </c>
      <c r="BE4718">
        <v>0</v>
      </c>
      <c r="BF4718">
        <v>0</v>
      </c>
      <c r="BG4718">
        <v>0</v>
      </c>
      <c r="BH4718">
        <v>2150</v>
      </c>
      <c r="BI4718">
        <v>1</v>
      </c>
      <c r="BJ4718">
        <v>1</v>
      </c>
      <c r="BK4718">
        <v>0</v>
      </c>
      <c r="BL4718">
        <v>0</v>
      </c>
      <c r="BO4718">
        <v>0</v>
      </c>
      <c r="BP4718">
        <v>0</v>
      </c>
      <c r="BW4718" t="str">
        <f t="shared" si="2172"/>
        <v>14:49:54.611</v>
      </c>
      <c r="CJ4718">
        <v>0</v>
      </c>
      <c r="CK4718">
        <v>2</v>
      </c>
      <c r="CL4718">
        <v>0</v>
      </c>
      <c r="CM4718">
        <v>2</v>
      </c>
      <c r="CN4718">
        <v>0</v>
      </c>
      <c r="CO4718">
        <v>7</v>
      </c>
      <c r="CP4718" t="s">
        <v>119</v>
      </c>
      <c r="CQ4718">
        <v>8</v>
      </c>
      <c r="CR4718">
        <v>3</v>
      </c>
      <c r="CW4718">
        <v>9189341</v>
      </c>
      <c r="CY4718">
        <v>0</v>
      </c>
      <c r="CZ4718">
        <v>0</v>
      </c>
      <c r="DA4718">
        <v>1</v>
      </c>
      <c r="DB4718">
        <v>0</v>
      </c>
      <c r="DC4718">
        <v>0</v>
      </c>
      <c r="DD4718">
        <v>1</v>
      </c>
      <c r="DE4718">
        <v>0</v>
      </c>
      <c r="DF4718">
        <v>0</v>
      </c>
      <c r="DG4718">
        <v>0</v>
      </c>
      <c r="DH4718">
        <v>0</v>
      </c>
      <c r="DI4718">
        <v>0</v>
      </c>
    </row>
    <row r="4719" spans="1:113" x14ac:dyDescent="0.3">
      <c r="A4719" t="str">
        <f t="shared" si="2169"/>
        <v>05/12/2020 14:49:36.778</v>
      </c>
      <c r="C4719" t="str">
        <f t="shared" si="2159"/>
        <v>FFDFD3C0</v>
      </c>
      <c r="D4719" t="s">
        <v>138</v>
      </c>
      <c r="E4719">
        <v>3</v>
      </c>
      <c r="H4719">
        <v>9</v>
      </c>
      <c r="I4719" t="s">
        <v>140</v>
      </c>
      <c r="J4719" t="s">
        <v>136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 t="shared" si="2170"/>
        <v>14:49:54.609</v>
      </c>
      <c r="T4719" t="str">
        <f t="shared" si="2171"/>
        <v>14:49:54.409</v>
      </c>
      <c r="U4719" t="str">
        <f t="shared" si="2150"/>
        <v>A9808D</v>
      </c>
      <c r="V4719">
        <v>0</v>
      </c>
      <c r="W4719">
        <v>0</v>
      </c>
      <c r="X4719">
        <v>1</v>
      </c>
      <c r="Z4719">
        <v>0</v>
      </c>
      <c r="AA4719">
        <v>9</v>
      </c>
      <c r="AB4719">
        <v>3</v>
      </c>
      <c r="AC4719">
        <v>0</v>
      </c>
      <c r="AD4719">
        <v>10</v>
      </c>
      <c r="AE4719">
        <v>0</v>
      </c>
      <c r="AF4719">
        <v>3</v>
      </c>
      <c r="AG4719">
        <v>2</v>
      </c>
      <c r="AH4719">
        <v>0</v>
      </c>
      <c r="AI4719" t="s">
        <v>1053</v>
      </c>
      <c r="AJ4719">
        <v>28.241816</v>
      </c>
      <c r="AK4719" t="s">
        <v>1054</v>
      </c>
      <c r="AL4719">
        <v>-82.347657999999996</v>
      </c>
      <c r="AM4719">
        <v>100</v>
      </c>
      <c r="AN4719">
        <v>2100</v>
      </c>
      <c r="AO4719" t="s">
        <v>118</v>
      </c>
      <c r="AP4719">
        <v>-134</v>
      </c>
      <c r="AQ4719">
        <v>-43</v>
      </c>
      <c r="AR4719">
        <v>-256</v>
      </c>
      <c r="AZ4719">
        <v>1200</v>
      </c>
      <c r="BA4719">
        <v>1</v>
      </c>
      <c r="BB4719" t="str">
        <f t="shared" si="2160"/>
        <v xml:space="preserve">N711JA  </v>
      </c>
      <c r="BC4719">
        <v>1</v>
      </c>
      <c r="BE4719">
        <v>0</v>
      </c>
      <c r="BF4719">
        <v>0</v>
      </c>
      <c r="BG4719">
        <v>0</v>
      </c>
      <c r="BH4719">
        <v>2150</v>
      </c>
      <c r="BI4719">
        <v>1</v>
      </c>
      <c r="BJ4719">
        <v>1</v>
      </c>
      <c r="BK4719">
        <v>0</v>
      </c>
      <c r="BL4719">
        <v>0</v>
      </c>
      <c r="BO4719">
        <v>0</v>
      </c>
      <c r="BP4719">
        <v>0</v>
      </c>
      <c r="BW4719" t="str">
        <f t="shared" si="2172"/>
        <v>14:49:54.611</v>
      </c>
      <c r="CJ4719">
        <v>0</v>
      </c>
      <c r="CK4719">
        <v>2</v>
      </c>
      <c r="CL4719">
        <v>0</v>
      </c>
      <c r="CM4719">
        <v>2</v>
      </c>
      <c r="CN4719">
        <v>0</v>
      </c>
      <c r="CO4719">
        <v>7</v>
      </c>
      <c r="CP4719" t="s">
        <v>119</v>
      </c>
      <c r="CQ4719">
        <v>8</v>
      </c>
      <c r="CR4719">
        <v>3</v>
      </c>
      <c r="CW4719">
        <v>9189341</v>
      </c>
      <c r="CY4719">
        <v>0</v>
      </c>
      <c r="CZ4719">
        <v>0</v>
      </c>
      <c r="DA4719">
        <v>1</v>
      </c>
      <c r="DB4719">
        <v>0</v>
      </c>
      <c r="DC4719">
        <v>0</v>
      </c>
      <c r="DD4719">
        <v>1</v>
      </c>
      <c r="DE4719">
        <v>0</v>
      </c>
      <c r="DF4719">
        <v>0</v>
      </c>
      <c r="DG4719">
        <v>0</v>
      </c>
      <c r="DH4719">
        <v>0</v>
      </c>
      <c r="DI4719">
        <v>0</v>
      </c>
    </row>
    <row r="4720" spans="1:113" x14ac:dyDescent="0.3">
      <c r="A4720" t="str">
        <f t="shared" si="2169"/>
        <v>05/12/2020 14:49:36.778</v>
      </c>
      <c r="C4720" t="str">
        <f t="shared" si="2159"/>
        <v>FFDFD3C0</v>
      </c>
      <c r="D4720" t="s">
        <v>134</v>
      </c>
      <c r="E4720">
        <v>12</v>
      </c>
      <c r="H4720">
        <v>64</v>
      </c>
      <c r="I4720" t="s">
        <v>135</v>
      </c>
      <c r="J4720" t="s">
        <v>136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 t="shared" si="2170"/>
        <v>14:49:54.609</v>
      </c>
      <c r="T4720" t="str">
        <f t="shared" si="2171"/>
        <v>14:49:54.409</v>
      </c>
      <c r="U4720" t="str">
        <f t="shared" si="2150"/>
        <v>A9808D</v>
      </c>
      <c r="V4720">
        <v>0</v>
      </c>
      <c r="W4720">
        <v>0</v>
      </c>
      <c r="X4720">
        <v>1</v>
      </c>
      <c r="Z4720">
        <v>0</v>
      </c>
      <c r="AA4720">
        <v>9</v>
      </c>
      <c r="AB4720">
        <v>3</v>
      </c>
      <c r="AC4720">
        <v>0</v>
      </c>
      <c r="AD4720">
        <v>10</v>
      </c>
      <c r="AE4720">
        <v>0</v>
      </c>
      <c r="AF4720">
        <v>3</v>
      </c>
      <c r="AG4720">
        <v>2</v>
      </c>
      <c r="AH4720">
        <v>0</v>
      </c>
      <c r="AI4720" t="s">
        <v>1053</v>
      </c>
      <c r="AJ4720">
        <v>28.241816</v>
      </c>
      <c r="AK4720" t="s">
        <v>1054</v>
      </c>
      <c r="AL4720">
        <v>-82.347657999999996</v>
      </c>
      <c r="AM4720">
        <v>100</v>
      </c>
      <c r="AN4720">
        <v>2100</v>
      </c>
      <c r="AO4720" t="s">
        <v>118</v>
      </c>
      <c r="AP4720">
        <v>-134</v>
      </c>
      <c r="AQ4720">
        <v>-43</v>
      </c>
      <c r="AR4720">
        <v>-256</v>
      </c>
      <c r="AZ4720">
        <v>1200</v>
      </c>
      <c r="BA4720">
        <v>1</v>
      </c>
      <c r="BB4720" t="str">
        <f t="shared" si="2160"/>
        <v xml:space="preserve">N711JA  </v>
      </c>
      <c r="BC4720">
        <v>1</v>
      </c>
      <c r="BE4720">
        <v>0</v>
      </c>
      <c r="BF4720">
        <v>0</v>
      </c>
      <c r="BG4720">
        <v>0</v>
      </c>
      <c r="BH4720">
        <v>2150</v>
      </c>
      <c r="BI4720">
        <v>1</v>
      </c>
      <c r="BJ4720">
        <v>1</v>
      </c>
      <c r="BK4720">
        <v>0</v>
      </c>
      <c r="BL4720">
        <v>0</v>
      </c>
      <c r="BO4720">
        <v>0</v>
      </c>
      <c r="BP4720">
        <v>0</v>
      </c>
      <c r="BW4720" t="str">
        <f t="shared" si="2172"/>
        <v>14:49:54.611</v>
      </c>
      <c r="CJ4720">
        <v>0</v>
      </c>
      <c r="CK4720">
        <v>2</v>
      </c>
      <c r="CL4720">
        <v>0</v>
      </c>
      <c r="CM4720">
        <v>2</v>
      </c>
      <c r="CN4720">
        <v>0</v>
      </c>
      <c r="CO4720">
        <v>7</v>
      </c>
      <c r="CP4720" t="s">
        <v>119</v>
      </c>
      <c r="CQ4720">
        <v>8</v>
      </c>
      <c r="CR4720">
        <v>3</v>
      </c>
      <c r="CW4720">
        <v>9189341</v>
      </c>
      <c r="CY4720">
        <v>0</v>
      </c>
      <c r="CZ4720">
        <v>0</v>
      </c>
      <c r="DA4720">
        <v>1</v>
      </c>
      <c r="DB4720">
        <v>0</v>
      </c>
      <c r="DC4720">
        <v>0</v>
      </c>
      <c r="DD4720">
        <v>1</v>
      </c>
      <c r="DE4720">
        <v>0</v>
      </c>
      <c r="DF4720">
        <v>0</v>
      </c>
      <c r="DG4720">
        <v>0</v>
      </c>
      <c r="DH4720">
        <v>0</v>
      </c>
      <c r="DI4720">
        <v>0</v>
      </c>
    </row>
    <row r="4721" spans="1:113" x14ac:dyDescent="0.3">
      <c r="A4721" t="str">
        <f t="shared" si="2169"/>
        <v>05/12/2020 14:49:36.778</v>
      </c>
      <c r="C4721" t="str">
        <f t="shared" si="2159"/>
        <v>FFDFD3C0</v>
      </c>
      <c r="D4721" t="s">
        <v>131</v>
      </c>
      <c r="E4721">
        <v>18</v>
      </c>
      <c r="F4721">
        <v>2018</v>
      </c>
      <c r="G4721" t="s">
        <v>161</v>
      </c>
      <c r="J4721" t="s">
        <v>133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 t="shared" si="2170"/>
        <v>14:49:54.609</v>
      </c>
      <c r="T4721" t="str">
        <f t="shared" si="2171"/>
        <v>14:49:54.409</v>
      </c>
      <c r="U4721" t="str">
        <f t="shared" si="2150"/>
        <v>A9808D</v>
      </c>
      <c r="V4721">
        <v>0</v>
      </c>
      <c r="W4721">
        <v>0</v>
      </c>
      <c r="X4721">
        <v>1</v>
      </c>
      <c r="Z4721">
        <v>0</v>
      </c>
      <c r="AA4721">
        <v>9</v>
      </c>
      <c r="AB4721">
        <v>3</v>
      </c>
      <c r="AC4721">
        <v>0</v>
      </c>
      <c r="AD4721">
        <v>10</v>
      </c>
      <c r="AE4721">
        <v>0</v>
      </c>
      <c r="AF4721">
        <v>3</v>
      </c>
      <c r="AG4721">
        <v>2</v>
      </c>
      <c r="AH4721">
        <v>0</v>
      </c>
      <c r="AI4721" t="s">
        <v>1053</v>
      </c>
      <c r="AJ4721">
        <v>28.241816</v>
      </c>
      <c r="AK4721" t="s">
        <v>1054</v>
      </c>
      <c r="AL4721">
        <v>-82.347657999999996</v>
      </c>
      <c r="AM4721">
        <v>100</v>
      </c>
      <c r="AN4721">
        <v>2100</v>
      </c>
      <c r="AO4721" t="s">
        <v>118</v>
      </c>
      <c r="AP4721">
        <v>-134</v>
      </c>
      <c r="AQ4721">
        <v>-43</v>
      </c>
      <c r="AR4721">
        <v>-256</v>
      </c>
      <c r="AZ4721">
        <v>1200</v>
      </c>
      <c r="BA4721">
        <v>1</v>
      </c>
      <c r="BB4721" t="str">
        <f t="shared" si="2160"/>
        <v xml:space="preserve">N711JA  </v>
      </c>
      <c r="BC4721">
        <v>1</v>
      </c>
      <c r="BE4721">
        <v>0</v>
      </c>
      <c r="BF4721">
        <v>0</v>
      </c>
      <c r="BG4721">
        <v>0</v>
      </c>
      <c r="BH4721">
        <v>2150</v>
      </c>
      <c r="BI4721">
        <v>1</v>
      </c>
      <c r="BJ4721">
        <v>1</v>
      </c>
      <c r="BK4721">
        <v>0</v>
      </c>
      <c r="BL4721">
        <v>0</v>
      </c>
      <c r="BO4721">
        <v>0</v>
      </c>
      <c r="BP4721">
        <v>0</v>
      </c>
      <c r="BW4721" t="str">
        <f t="shared" si="2172"/>
        <v>14:49:54.611</v>
      </c>
      <c r="CJ4721">
        <v>0</v>
      </c>
      <c r="CK4721">
        <v>2</v>
      </c>
      <c r="CL4721">
        <v>0</v>
      </c>
      <c r="CM4721">
        <v>2</v>
      </c>
      <c r="CN4721">
        <v>0</v>
      </c>
      <c r="CO4721">
        <v>7</v>
      </c>
      <c r="CP4721" t="s">
        <v>119</v>
      </c>
      <c r="CQ4721">
        <v>343</v>
      </c>
      <c r="CR4721">
        <v>1</v>
      </c>
      <c r="CW4721">
        <v>11065776</v>
      </c>
      <c r="CY4721">
        <v>0</v>
      </c>
      <c r="CZ4721">
        <v>0</v>
      </c>
      <c r="DA4721">
        <v>1</v>
      </c>
      <c r="DB4721">
        <v>0</v>
      </c>
      <c r="DC4721">
        <v>0</v>
      </c>
      <c r="DD4721">
        <v>1</v>
      </c>
      <c r="DE4721">
        <v>0</v>
      </c>
      <c r="DF4721">
        <v>0</v>
      </c>
      <c r="DG4721">
        <v>0</v>
      </c>
      <c r="DH4721">
        <v>0</v>
      </c>
      <c r="DI4721">
        <v>0</v>
      </c>
    </row>
    <row r="4722" spans="1:113" x14ac:dyDescent="0.3">
      <c r="A4722" t="str">
        <f t="shared" ref="A4722:A4730" si="2173">"05/12/2020 14:49:37.818"</f>
        <v>05/12/2020 14:49:37.818</v>
      </c>
      <c r="C4722" t="str">
        <f t="shared" si="2159"/>
        <v>FFDFD3C0</v>
      </c>
      <c r="D4722" t="s">
        <v>131</v>
      </c>
      <c r="E4722">
        <v>18</v>
      </c>
      <c r="F4722">
        <v>2018</v>
      </c>
      <c r="G4722" t="s">
        <v>161</v>
      </c>
      <c r="J4722" t="s">
        <v>133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 t="shared" ref="S4722:S4730" si="2174">"14:49:55.641"</f>
        <v>14:49:55.641</v>
      </c>
      <c r="T4722" t="str">
        <f t="shared" ref="T4722:T4730" si="2175">"14:49:55.341"</f>
        <v>14:49:55.341</v>
      </c>
      <c r="U4722" t="str">
        <f t="shared" si="2150"/>
        <v>A9808D</v>
      </c>
      <c r="V4722">
        <v>0</v>
      </c>
      <c r="W4722">
        <v>0</v>
      </c>
      <c r="X4722">
        <v>1</v>
      </c>
      <c r="Z4722">
        <v>0</v>
      </c>
      <c r="AA4722">
        <v>9</v>
      </c>
      <c r="AB4722">
        <v>3</v>
      </c>
      <c r="AC4722">
        <v>0</v>
      </c>
      <c r="AD4722">
        <v>10</v>
      </c>
      <c r="AE4722">
        <v>0</v>
      </c>
      <c r="AF4722">
        <v>3</v>
      </c>
      <c r="AG4722">
        <v>2</v>
      </c>
      <c r="AH4722">
        <v>0</v>
      </c>
      <c r="AI4722" t="s">
        <v>1055</v>
      </c>
      <c r="AJ4722">
        <v>28.241644000000001</v>
      </c>
      <c r="AK4722" t="s">
        <v>1056</v>
      </c>
      <c r="AL4722">
        <v>-82.348343999999997</v>
      </c>
      <c r="AM4722">
        <v>100</v>
      </c>
      <c r="AN4722">
        <v>2100</v>
      </c>
      <c r="AO4722" t="s">
        <v>118</v>
      </c>
      <c r="AP4722">
        <v>-134</v>
      </c>
      <c r="AQ4722">
        <v>-44</v>
      </c>
      <c r="AR4722">
        <v>-256</v>
      </c>
      <c r="AZ4722">
        <v>1200</v>
      </c>
      <c r="BA4722">
        <v>1</v>
      </c>
      <c r="BB4722" t="str">
        <f t="shared" si="2160"/>
        <v xml:space="preserve">N711JA  </v>
      </c>
      <c r="BC4722">
        <v>1</v>
      </c>
      <c r="BE4722">
        <v>0</v>
      </c>
      <c r="BF4722">
        <v>0</v>
      </c>
      <c r="BG4722">
        <v>0</v>
      </c>
      <c r="BH4722">
        <v>2150</v>
      </c>
      <c r="BI4722">
        <v>1</v>
      </c>
      <c r="BJ4722">
        <v>1</v>
      </c>
      <c r="BK4722">
        <v>0</v>
      </c>
      <c r="BL4722">
        <v>0</v>
      </c>
      <c r="BO4722">
        <v>0</v>
      </c>
      <c r="BP4722">
        <v>0</v>
      </c>
      <c r="BW4722" t="str">
        <f t="shared" ref="BW4722:BW4730" si="2176">"14:49:55.645"</f>
        <v>14:49:55.645</v>
      </c>
      <c r="CJ4722">
        <v>0</v>
      </c>
      <c r="CK4722">
        <v>2</v>
      </c>
      <c r="CL4722">
        <v>0</v>
      </c>
      <c r="CM4722">
        <v>2</v>
      </c>
      <c r="CN4722">
        <v>0</v>
      </c>
      <c r="CO4722">
        <v>7</v>
      </c>
      <c r="CP4722" t="s">
        <v>119</v>
      </c>
      <c r="CQ4722">
        <v>343</v>
      </c>
      <c r="CR4722">
        <v>2</v>
      </c>
      <c r="CW4722">
        <v>13343371</v>
      </c>
      <c r="CY4722">
        <v>1</v>
      </c>
      <c r="CZ4722">
        <v>0</v>
      </c>
      <c r="DA4722">
        <v>0</v>
      </c>
      <c r="DB4722">
        <v>0</v>
      </c>
      <c r="DC4722">
        <v>0</v>
      </c>
      <c r="DD4722">
        <v>1</v>
      </c>
      <c r="DE4722">
        <v>0</v>
      </c>
      <c r="DF4722">
        <v>0</v>
      </c>
      <c r="DG4722">
        <v>0</v>
      </c>
      <c r="DH4722">
        <v>0</v>
      </c>
      <c r="DI4722">
        <v>0</v>
      </c>
    </row>
    <row r="4723" spans="1:113" x14ac:dyDescent="0.3">
      <c r="A4723" t="str">
        <f t="shared" si="2173"/>
        <v>05/12/2020 14:49:37.818</v>
      </c>
      <c r="C4723" t="str">
        <f t="shared" si="2159"/>
        <v>FFDFD3C0</v>
      </c>
      <c r="D4723" t="s">
        <v>138</v>
      </c>
      <c r="E4723">
        <v>2</v>
      </c>
      <c r="H4723">
        <v>8</v>
      </c>
      <c r="I4723" t="s">
        <v>139</v>
      </c>
      <c r="J4723" t="s">
        <v>136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 t="shared" si="2174"/>
        <v>14:49:55.641</v>
      </c>
      <c r="T4723" t="str">
        <f t="shared" si="2175"/>
        <v>14:49:55.341</v>
      </c>
      <c r="U4723" t="str">
        <f t="shared" si="2150"/>
        <v>A9808D</v>
      </c>
      <c r="V4723">
        <v>0</v>
      </c>
      <c r="W4723">
        <v>0</v>
      </c>
      <c r="X4723">
        <v>1</v>
      </c>
      <c r="Z4723">
        <v>0</v>
      </c>
      <c r="AA4723">
        <v>9</v>
      </c>
      <c r="AB4723">
        <v>3</v>
      </c>
      <c r="AC4723">
        <v>0</v>
      </c>
      <c r="AD4723">
        <v>10</v>
      </c>
      <c r="AE4723">
        <v>0</v>
      </c>
      <c r="AF4723">
        <v>3</v>
      </c>
      <c r="AG4723">
        <v>2</v>
      </c>
      <c r="AH4723">
        <v>0</v>
      </c>
      <c r="AI4723" t="s">
        <v>1055</v>
      </c>
      <c r="AJ4723">
        <v>28.241644000000001</v>
      </c>
      <c r="AK4723" t="s">
        <v>1056</v>
      </c>
      <c r="AL4723">
        <v>-82.348343999999997</v>
      </c>
      <c r="AM4723">
        <v>100</v>
      </c>
      <c r="AN4723">
        <v>2100</v>
      </c>
      <c r="AO4723" t="s">
        <v>118</v>
      </c>
      <c r="AP4723">
        <v>-134</v>
      </c>
      <c r="AQ4723">
        <v>-44</v>
      </c>
      <c r="AR4723">
        <v>-256</v>
      </c>
      <c r="AZ4723">
        <v>1200</v>
      </c>
      <c r="BA4723">
        <v>1</v>
      </c>
      <c r="BB4723" t="str">
        <f t="shared" si="2160"/>
        <v xml:space="preserve">N711JA  </v>
      </c>
      <c r="BC4723">
        <v>1</v>
      </c>
      <c r="BE4723">
        <v>0</v>
      </c>
      <c r="BF4723">
        <v>0</v>
      </c>
      <c r="BG4723">
        <v>0</v>
      </c>
      <c r="BH4723">
        <v>2150</v>
      </c>
      <c r="BI4723">
        <v>1</v>
      </c>
      <c r="BJ4723">
        <v>1</v>
      </c>
      <c r="BK4723">
        <v>0</v>
      </c>
      <c r="BL4723">
        <v>0</v>
      </c>
      <c r="BO4723">
        <v>0</v>
      </c>
      <c r="BP4723">
        <v>0</v>
      </c>
      <c r="BW4723" t="str">
        <f t="shared" si="2176"/>
        <v>14:49:55.645</v>
      </c>
      <c r="CJ4723">
        <v>0</v>
      </c>
      <c r="CK4723">
        <v>2</v>
      </c>
      <c r="CL4723">
        <v>0</v>
      </c>
      <c r="CM4723">
        <v>2</v>
      </c>
      <c r="CN4723">
        <v>0</v>
      </c>
      <c r="CO4723">
        <v>7</v>
      </c>
      <c r="CP4723" t="s">
        <v>119</v>
      </c>
      <c r="CQ4723">
        <v>8</v>
      </c>
      <c r="CR4723">
        <v>3</v>
      </c>
      <c r="CW4723">
        <v>9190332</v>
      </c>
      <c r="CY4723">
        <v>1</v>
      </c>
      <c r="CZ4723">
        <v>0</v>
      </c>
      <c r="DA4723">
        <v>1</v>
      </c>
      <c r="DB4723">
        <v>0</v>
      </c>
      <c r="DC4723">
        <v>0</v>
      </c>
      <c r="DD4723">
        <v>1</v>
      </c>
      <c r="DE4723">
        <v>0</v>
      </c>
      <c r="DF4723">
        <v>0</v>
      </c>
      <c r="DG4723">
        <v>0</v>
      </c>
      <c r="DH4723">
        <v>0</v>
      </c>
      <c r="DI4723">
        <v>0</v>
      </c>
    </row>
    <row r="4724" spans="1:113" x14ac:dyDescent="0.3">
      <c r="A4724" t="str">
        <f t="shared" si="2173"/>
        <v>05/12/2020 14:49:37.818</v>
      </c>
      <c r="C4724" t="str">
        <f t="shared" si="2159"/>
        <v>FFDFD3C0</v>
      </c>
      <c r="D4724" t="s">
        <v>138</v>
      </c>
      <c r="E4724">
        <v>3</v>
      </c>
      <c r="H4724">
        <v>9</v>
      </c>
      <c r="I4724" t="s">
        <v>140</v>
      </c>
      <c r="J4724" t="s">
        <v>136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 t="shared" si="2174"/>
        <v>14:49:55.641</v>
      </c>
      <c r="T4724" t="str">
        <f t="shared" si="2175"/>
        <v>14:49:55.341</v>
      </c>
      <c r="U4724" t="str">
        <f t="shared" si="2150"/>
        <v>A9808D</v>
      </c>
      <c r="V4724">
        <v>0</v>
      </c>
      <c r="W4724">
        <v>0</v>
      </c>
      <c r="X4724">
        <v>1</v>
      </c>
      <c r="Z4724">
        <v>0</v>
      </c>
      <c r="AA4724">
        <v>9</v>
      </c>
      <c r="AB4724">
        <v>3</v>
      </c>
      <c r="AC4724">
        <v>0</v>
      </c>
      <c r="AD4724">
        <v>10</v>
      </c>
      <c r="AE4724">
        <v>0</v>
      </c>
      <c r="AF4724">
        <v>3</v>
      </c>
      <c r="AG4724">
        <v>2</v>
      </c>
      <c r="AH4724">
        <v>0</v>
      </c>
      <c r="AI4724" t="s">
        <v>1055</v>
      </c>
      <c r="AJ4724">
        <v>28.241644000000001</v>
      </c>
      <c r="AK4724" t="s">
        <v>1056</v>
      </c>
      <c r="AL4724">
        <v>-82.348343999999997</v>
      </c>
      <c r="AM4724">
        <v>100</v>
      </c>
      <c r="AN4724">
        <v>2100</v>
      </c>
      <c r="AO4724" t="s">
        <v>118</v>
      </c>
      <c r="AP4724">
        <v>-134</v>
      </c>
      <c r="AQ4724">
        <v>-44</v>
      </c>
      <c r="AR4724">
        <v>-256</v>
      </c>
      <c r="AZ4724">
        <v>1200</v>
      </c>
      <c r="BA4724">
        <v>1</v>
      </c>
      <c r="BB4724" t="str">
        <f t="shared" si="2160"/>
        <v xml:space="preserve">N711JA  </v>
      </c>
      <c r="BC4724">
        <v>1</v>
      </c>
      <c r="BE4724">
        <v>0</v>
      </c>
      <c r="BF4724">
        <v>0</v>
      </c>
      <c r="BG4724">
        <v>0</v>
      </c>
      <c r="BH4724">
        <v>2150</v>
      </c>
      <c r="BI4724">
        <v>1</v>
      </c>
      <c r="BJ4724">
        <v>1</v>
      </c>
      <c r="BK4724">
        <v>0</v>
      </c>
      <c r="BL4724">
        <v>0</v>
      </c>
      <c r="BO4724">
        <v>0</v>
      </c>
      <c r="BP4724">
        <v>0</v>
      </c>
      <c r="BW4724" t="str">
        <f t="shared" si="2176"/>
        <v>14:49:55.645</v>
      </c>
      <c r="CJ4724">
        <v>0</v>
      </c>
      <c r="CK4724">
        <v>2</v>
      </c>
      <c r="CL4724">
        <v>0</v>
      </c>
      <c r="CM4724">
        <v>2</v>
      </c>
      <c r="CN4724">
        <v>0</v>
      </c>
      <c r="CO4724">
        <v>7</v>
      </c>
      <c r="CP4724" t="s">
        <v>119</v>
      </c>
      <c r="CQ4724">
        <v>8</v>
      </c>
      <c r="CR4724">
        <v>3</v>
      </c>
      <c r="CW4724">
        <v>9190332</v>
      </c>
      <c r="CY4724">
        <v>1</v>
      </c>
      <c r="CZ4724">
        <v>0</v>
      </c>
      <c r="DA4724">
        <v>1</v>
      </c>
      <c r="DB4724">
        <v>0</v>
      </c>
      <c r="DC4724">
        <v>0</v>
      </c>
      <c r="DD4724">
        <v>1</v>
      </c>
      <c r="DE4724">
        <v>0</v>
      </c>
      <c r="DF4724">
        <v>0</v>
      </c>
      <c r="DG4724">
        <v>0</v>
      </c>
      <c r="DH4724">
        <v>0</v>
      </c>
      <c r="DI4724">
        <v>0</v>
      </c>
    </row>
    <row r="4725" spans="1:113" x14ac:dyDescent="0.3">
      <c r="A4725" t="str">
        <f t="shared" si="2173"/>
        <v>05/12/2020 14:49:37.818</v>
      </c>
      <c r="C4725" t="str">
        <f t="shared" si="2159"/>
        <v>FFDFD3C0</v>
      </c>
      <c r="D4725" t="s">
        <v>134</v>
      </c>
      <c r="E4725">
        <v>12</v>
      </c>
      <c r="H4725">
        <v>64</v>
      </c>
      <c r="I4725" t="s">
        <v>135</v>
      </c>
      <c r="J4725" t="s">
        <v>136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 t="shared" si="2174"/>
        <v>14:49:55.641</v>
      </c>
      <c r="T4725" t="str">
        <f t="shared" si="2175"/>
        <v>14:49:55.341</v>
      </c>
      <c r="U4725" t="str">
        <f t="shared" si="2150"/>
        <v>A9808D</v>
      </c>
      <c r="V4725">
        <v>0</v>
      </c>
      <c r="W4725">
        <v>0</v>
      </c>
      <c r="X4725">
        <v>1</v>
      </c>
      <c r="Z4725">
        <v>0</v>
      </c>
      <c r="AA4725">
        <v>9</v>
      </c>
      <c r="AB4725">
        <v>3</v>
      </c>
      <c r="AC4725">
        <v>0</v>
      </c>
      <c r="AD4725">
        <v>10</v>
      </c>
      <c r="AE4725">
        <v>0</v>
      </c>
      <c r="AF4725">
        <v>3</v>
      </c>
      <c r="AG4725">
        <v>2</v>
      </c>
      <c r="AH4725">
        <v>0</v>
      </c>
      <c r="AI4725" t="s">
        <v>1055</v>
      </c>
      <c r="AJ4725">
        <v>28.241644000000001</v>
      </c>
      <c r="AK4725" t="s">
        <v>1056</v>
      </c>
      <c r="AL4725">
        <v>-82.348343999999997</v>
      </c>
      <c r="AM4725">
        <v>100</v>
      </c>
      <c r="AN4725">
        <v>2100</v>
      </c>
      <c r="AO4725" t="s">
        <v>118</v>
      </c>
      <c r="AP4725">
        <v>-134</v>
      </c>
      <c r="AQ4725">
        <v>-44</v>
      </c>
      <c r="AR4725">
        <v>-256</v>
      </c>
      <c r="AZ4725">
        <v>1200</v>
      </c>
      <c r="BA4725">
        <v>1</v>
      </c>
      <c r="BB4725" t="str">
        <f t="shared" si="2160"/>
        <v xml:space="preserve">N711JA  </v>
      </c>
      <c r="BC4725">
        <v>1</v>
      </c>
      <c r="BE4725">
        <v>0</v>
      </c>
      <c r="BF4725">
        <v>0</v>
      </c>
      <c r="BG4725">
        <v>0</v>
      </c>
      <c r="BH4725">
        <v>2150</v>
      </c>
      <c r="BI4725">
        <v>1</v>
      </c>
      <c r="BJ4725">
        <v>1</v>
      </c>
      <c r="BK4725">
        <v>0</v>
      </c>
      <c r="BL4725">
        <v>0</v>
      </c>
      <c r="BO4725">
        <v>0</v>
      </c>
      <c r="BP4725">
        <v>0</v>
      </c>
      <c r="BW4725" t="str">
        <f t="shared" si="2176"/>
        <v>14:49:55.645</v>
      </c>
      <c r="CJ4725">
        <v>0</v>
      </c>
      <c r="CK4725">
        <v>2</v>
      </c>
      <c r="CL4725">
        <v>0</v>
      </c>
      <c r="CM4725">
        <v>2</v>
      </c>
      <c r="CN4725">
        <v>0</v>
      </c>
      <c r="CO4725">
        <v>7</v>
      </c>
      <c r="CP4725" t="s">
        <v>119</v>
      </c>
      <c r="CQ4725">
        <v>8</v>
      </c>
      <c r="CR4725">
        <v>3</v>
      </c>
      <c r="CW4725">
        <v>9190332</v>
      </c>
      <c r="CY4725">
        <v>1</v>
      </c>
      <c r="CZ4725">
        <v>0</v>
      </c>
      <c r="DA4725">
        <v>1</v>
      </c>
      <c r="DB4725">
        <v>0</v>
      </c>
      <c r="DC4725">
        <v>0</v>
      </c>
      <c r="DD4725">
        <v>1</v>
      </c>
      <c r="DE4725">
        <v>0</v>
      </c>
      <c r="DF4725">
        <v>0</v>
      </c>
      <c r="DG4725">
        <v>0</v>
      </c>
      <c r="DH4725">
        <v>0</v>
      </c>
      <c r="DI4725">
        <v>0</v>
      </c>
    </row>
    <row r="4726" spans="1:113" x14ac:dyDescent="0.3">
      <c r="A4726" t="str">
        <f t="shared" si="2173"/>
        <v>05/12/2020 14:49:37.818</v>
      </c>
      <c r="C4726" t="str">
        <f t="shared" si="2159"/>
        <v>FFDFD3C0</v>
      </c>
      <c r="D4726" t="s">
        <v>126</v>
      </c>
      <c r="E4726">
        <v>6</v>
      </c>
      <c r="F4726">
        <v>1006</v>
      </c>
      <c r="G4726" t="s">
        <v>114</v>
      </c>
      <c r="J4726" t="s">
        <v>128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 t="shared" si="2174"/>
        <v>14:49:55.641</v>
      </c>
      <c r="T4726" t="str">
        <f t="shared" si="2175"/>
        <v>14:49:55.341</v>
      </c>
      <c r="U4726" t="str">
        <f t="shared" si="2150"/>
        <v>A9808D</v>
      </c>
      <c r="V4726">
        <v>0</v>
      </c>
      <c r="W4726">
        <v>0</v>
      </c>
      <c r="X4726">
        <v>1</v>
      </c>
      <c r="Z4726">
        <v>0</v>
      </c>
      <c r="AA4726">
        <v>9</v>
      </c>
      <c r="AB4726">
        <v>3</v>
      </c>
      <c r="AC4726">
        <v>0</v>
      </c>
      <c r="AD4726">
        <v>10</v>
      </c>
      <c r="AE4726">
        <v>0</v>
      </c>
      <c r="AF4726">
        <v>3</v>
      </c>
      <c r="AG4726">
        <v>2</v>
      </c>
      <c r="AH4726">
        <v>0</v>
      </c>
      <c r="AI4726" t="s">
        <v>1055</v>
      </c>
      <c r="AJ4726">
        <v>28.241644000000001</v>
      </c>
      <c r="AK4726" t="s">
        <v>1056</v>
      </c>
      <c r="AL4726">
        <v>-82.348343999999997</v>
      </c>
      <c r="AM4726">
        <v>100</v>
      </c>
      <c r="AN4726">
        <v>2100</v>
      </c>
      <c r="AO4726" t="s">
        <v>118</v>
      </c>
      <c r="AP4726">
        <v>-134</v>
      </c>
      <c r="AQ4726">
        <v>-44</v>
      </c>
      <c r="AR4726">
        <v>-256</v>
      </c>
      <c r="AZ4726">
        <v>1200</v>
      </c>
      <c r="BA4726">
        <v>1</v>
      </c>
      <c r="BB4726" t="str">
        <f t="shared" si="2160"/>
        <v xml:space="preserve">N711JA  </v>
      </c>
      <c r="BC4726">
        <v>1</v>
      </c>
      <c r="BE4726">
        <v>0</v>
      </c>
      <c r="BF4726">
        <v>0</v>
      </c>
      <c r="BG4726">
        <v>0</v>
      </c>
      <c r="BH4726">
        <v>2150</v>
      </c>
      <c r="BI4726">
        <v>1</v>
      </c>
      <c r="BJ4726">
        <v>1</v>
      </c>
      <c r="BK4726">
        <v>0</v>
      </c>
      <c r="BL4726">
        <v>0</v>
      </c>
      <c r="BO4726">
        <v>0</v>
      </c>
      <c r="BP4726">
        <v>0</v>
      </c>
      <c r="BW4726" t="str">
        <f t="shared" si="2176"/>
        <v>14:49:55.645</v>
      </c>
      <c r="CJ4726">
        <v>0</v>
      </c>
      <c r="CK4726">
        <v>2</v>
      </c>
      <c r="CL4726">
        <v>0</v>
      </c>
      <c r="CM4726">
        <v>2</v>
      </c>
      <c r="CN4726">
        <v>0</v>
      </c>
      <c r="CO4726">
        <v>7</v>
      </c>
      <c r="CP4726" t="s">
        <v>119</v>
      </c>
      <c r="CQ4726">
        <v>8</v>
      </c>
      <c r="CR4726">
        <v>3</v>
      </c>
      <c r="CW4726">
        <v>9190332</v>
      </c>
      <c r="CY4726">
        <v>1</v>
      </c>
      <c r="CZ4726">
        <v>0</v>
      </c>
      <c r="DA4726">
        <v>1</v>
      </c>
      <c r="DB4726">
        <v>0</v>
      </c>
      <c r="DC4726">
        <v>0</v>
      </c>
      <c r="DD4726">
        <v>1</v>
      </c>
      <c r="DE4726">
        <v>0</v>
      </c>
      <c r="DF4726">
        <v>0</v>
      </c>
      <c r="DG4726">
        <v>0</v>
      </c>
      <c r="DH4726">
        <v>0</v>
      </c>
      <c r="DI4726">
        <v>0</v>
      </c>
    </row>
    <row r="4727" spans="1:113" x14ac:dyDescent="0.3">
      <c r="A4727" t="str">
        <f t="shared" si="2173"/>
        <v>05/12/2020 14:49:37.818</v>
      </c>
      <c r="C4727" t="str">
        <f t="shared" si="2159"/>
        <v>FFDFD3C0</v>
      </c>
      <c r="D4727" t="s">
        <v>126</v>
      </c>
      <c r="E4727">
        <v>7</v>
      </c>
      <c r="F4727">
        <v>1007</v>
      </c>
      <c r="G4727" t="s">
        <v>127</v>
      </c>
      <c r="J4727" t="s">
        <v>128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 t="shared" si="2174"/>
        <v>14:49:55.641</v>
      </c>
      <c r="T4727" t="str">
        <f t="shared" si="2175"/>
        <v>14:49:55.341</v>
      </c>
      <c r="U4727" t="str">
        <f t="shared" si="2150"/>
        <v>A9808D</v>
      </c>
      <c r="V4727">
        <v>0</v>
      </c>
      <c r="W4727">
        <v>0</v>
      </c>
      <c r="X4727">
        <v>1</v>
      </c>
      <c r="Z4727">
        <v>0</v>
      </c>
      <c r="AA4727">
        <v>9</v>
      </c>
      <c r="AB4727">
        <v>3</v>
      </c>
      <c r="AC4727">
        <v>0</v>
      </c>
      <c r="AD4727">
        <v>10</v>
      </c>
      <c r="AE4727">
        <v>0</v>
      </c>
      <c r="AF4727">
        <v>3</v>
      </c>
      <c r="AG4727">
        <v>2</v>
      </c>
      <c r="AH4727">
        <v>0</v>
      </c>
      <c r="AI4727" t="s">
        <v>1055</v>
      </c>
      <c r="AJ4727">
        <v>28.241644000000001</v>
      </c>
      <c r="AK4727" t="s">
        <v>1056</v>
      </c>
      <c r="AL4727">
        <v>-82.348343999999997</v>
      </c>
      <c r="AM4727">
        <v>100</v>
      </c>
      <c r="AN4727">
        <v>2100</v>
      </c>
      <c r="AO4727" t="s">
        <v>118</v>
      </c>
      <c r="AP4727">
        <v>-134</v>
      </c>
      <c r="AQ4727">
        <v>-44</v>
      </c>
      <c r="AR4727">
        <v>-256</v>
      </c>
      <c r="AZ4727">
        <v>1200</v>
      </c>
      <c r="BA4727">
        <v>1</v>
      </c>
      <c r="BB4727" t="str">
        <f t="shared" si="2160"/>
        <v xml:space="preserve">N711JA  </v>
      </c>
      <c r="BC4727">
        <v>1</v>
      </c>
      <c r="BE4727">
        <v>0</v>
      </c>
      <c r="BF4727">
        <v>0</v>
      </c>
      <c r="BG4727">
        <v>0</v>
      </c>
      <c r="BH4727">
        <v>2150</v>
      </c>
      <c r="BI4727">
        <v>1</v>
      </c>
      <c r="BJ4727">
        <v>1</v>
      </c>
      <c r="BK4727">
        <v>0</v>
      </c>
      <c r="BL4727">
        <v>0</v>
      </c>
      <c r="BO4727">
        <v>0</v>
      </c>
      <c r="BP4727">
        <v>0</v>
      </c>
      <c r="BW4727" t="str">
        <f t="shared" si="2176"/>
        <v>14:49:55.645</v>
      </c>
      <c r="CJ4727">
        <v>0</v>
      </c>
      <c r="CK4727">
        <v>2</v>
      </c>
      <c r="CL4727">
        <v>0</v>
      </c>
      <c r="CM4727">
        <v>2</v>
      </c>
      <c r="CN4727">
        <v>0</v>
      </c>
      <c r="CO4727">
        <v>7</v>
      </c>
      <c r="CP4727" t="s">
        <v>119</v>
      </c>
      <c r="CQ4727">
        <v>8</v>
      </c>
      <c r="CR4727">
        <v>3</v>
      </c>
      <c r="CW4727">
        <v>9190332</v>
      </c>
      <c r="CY4727">
        <v>1</v>
      </c>
      <c r="CZ4727">
        <v>0</v>
      </c>
      <c r="DA4727">
        <v>1</v>
      </c>
      <c r="DB4727">
        <v>0</v>
      </c>
      <c r="DC4727">
        <v>0</v>
      </c>
      <c r="DD4727">
        <v>1</v>
      </c>
      <c r="DE4727">
        <v>0</v>
      </c>
      <c r="DF4727">
        <v>0</v>
      </c>
      <c r="DG4727">
        <v>0</v>
      </c>
      <c r="DH4727">
        <v>0</v>
      </c>
      <c r="DI4727">
        <v>0</v>
      </c>
    </row>
    <row r="4728" spans="1:113" x14ac:dyDescent="0.3">
      <c r="A4728" t="str">
        <f t="shared" si="2173"/>
        <v>05/12/2020 14:49:37.818</v>
      </c>
      <c r="C4728" t="str">
        <f t="shared" si="2159"/>
        <v>FFDFD3C0</v>
      </c>
      <c r="D4728" t="s">
        <v>131</v>
      </c>
      <c r="E4728">
        <v>12</v>
      </c>
      <c r="F4728">
        <v>2012</v>
      </c>
      <c r="G4728" t="s">
        <v>137</v>
      </c>
      <c r="J4728" t="s">
        <v>133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 t="shared" si="2174"/>
        <v>14:49:55.641</v>
      </c>
      <c r="T4728" t="str">
        <f t="shared" si="2175"/>
        <v>14:49:55.341</v>
      </c>
      <c r="U4728" t="str">
        <f t="shared" si="2150"/>
        <v>A9808D</v>
      </c>
      <c r="V4728">
        <v>0</v>
      </c>
      <c r="W4728">
        <v>0</v>
      </c>
      <c r="X4728">
        <v>1</v>
      </c>
      <c r="Z4728">
        <v>0</v>
      </c>
      <c r="AA4728">
        <v>9</v>
      </c>
      <c r="AB4728">
        <v>3</v>
      </c>
      <c r="AC4728">
        <v>0</v>
      </c>
      <c r="AD4728">
        <v>10</v>
      </c>
      <c r="AE4728">
        <v>0</v>
      </c>
      <c r="AF4728">
        <v>3</v>
      </c>
      <c r="AG4728">
        <v>2</v>
      </c>
      <c r="AH4728">
        <v>0</v>
      </c>
      <c r="AI4728" t="s">
        <v>1055</v>
      </c>
      <c r="AJ4728">
        <v>28.241644000000001</v>
      </c>
      <c r="AK4728" t="s">
        <v>1056</v>
      </c>
      <c r="AL4728">
        <v>-82.348343999999997</v>
      </c>
      <c r="AM4728">
        <v>100</v>
      </c>
      <c r="AN4728">
        <v>2100</v>
      </c>
      <c r="AO4728" t="s">
        <v>118</v>
      </c>
      <c r="AP4728">
        <v>-134</v>
      </c>
      <c r="AQ4728">
        <v>-44</v>
      </c>
      <c r="AR4728">
        <v>-256</v>
      </c>
      <c r="AZ4728">
        <v>1200</v>
      </c>
      <c r="BA4728">
        <v>1</v>
      </c>
      <c r="BB4728" t="str">
        <f t="shared" si="2160"/>
        <v xml:space="preserve">N711JA  </v>
      </c>
      <c r="BC4728">
        <v>1</v>
      </c>
      <c r="BE4728">
        <v>0</v>
      </c>
      <c r="BF4728">
        <v>0</v>
      </c>
      <c r="BG4728">
        <v>0</v>
      </c>
      <c r="BH4728">
        <v>2150</v>
      </c>
      <c r="BI4728">
        <v>1</v>
      </c>
      <c r="BJ4728">
        <v>1</v>
      </c>
      <c r="BK4728">
        <v>0</v>
      </c>
      <c r="BL4728">
        <v>0</v>
      </c>
      <c r="BO4728">
        <v>0</v>
      </c>
      <c r="BP4728">
        <v>0</v>
      </c>
      <c r="BW4728" t="str">
        <f t="shared" si="2176"/>
        <v>14:49:55.645</v>
      </c>
      <c r="CJ4728">
        <v>0</v>
      </c>
      <c r="CK4728">
        <v>2</v>
      </c>
      <c r="CL4728">
        <v>0</v>
      </c>
      <c r="CM4728">
        <v>2</v>
      </c>
      <c r="CN4728">
        <v>0</v>
      </c>
      <c r="CO4728">
        <v>7</v>
      </c>
      <c r="CP4728" t="s">
        <v>119</v>
      </c>
      <c r="CQ4728">
        <v>8</v>
      </c>
      <c r="CR4728">
        <v>3</v>
      </c>
      <c r="CW4728">
        <v>9190332</v>
      </c>
      <c r="CY4728">
        <v>1</v>
      </c>
      <c r="CZ4728">
        <v>0</v>
      </c>
      <c r="DA4728">
        <v>1</v>
      </c>
      <c r="DB4728">
        <v>0</v>
      </c>
      <c r="DC4728">
        <v>0</v>
      </c>
      <c r="DD4728">
        <v>1</v>
      </c>
      <c r="DE4728">
        <v>0</v>
      </c>
      <c r="DF4728">
        <v>0</v>
      </c>
      <c r="DG4728">
        <v>0</v>
      </c>
      <c r="DH4728">
        <v>0</v>
      </c>
      <c r="DI4728">
        <v>0</v>
      </c>
    </row>
    <row r="4729" spans="1:113" x14ac:dyDescent="0.3">
      <c r="A4729" t="str">
        <f t="shared" si="2173"/>
        <v>05/12/2020 14:49:37.818</v>
      </c>
      <c r="C4729" t="str">
        <f t="shared" si="2159"/>
        <v>FFDFD3C0</v>
      </c>
      <c r="D4729" t="s">
        <v>131</v>
      </c>
      <c r="E4729">
        <v>10</v>
      </c>
      <c r="F4729">
        <v>2010</v>
      </c>
      <c r="G4729" t="s">
        <v>132</v>
      </c>
      <c r="J4729" t="s">
        <v>133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 t="shared" si="2174"/>
        <v>14:49:55.641</v>
      </c>
      <c r="T4729" t="str">
        <f t="shared" si="2175"/>
        <v>14:49:55.341</v>
      </c>
      <c r="U4729" t="str">
        <f t="shared" si="2150"/>
        <v>A9808D</v>
      </c>
      <c r="V4729">
        <v>0</v>
      </c>
      <c r="W4729">
        <v>0</v>
      </c>
      <c r="X4729">
        <v>1</v>
      </c>
      <c r="Z4729">
        <v>0</v>
      </c>
      <c r="AA4729">
        <v>9</v>
      </c>
      <c r="AB4729">
        <v>3</v>
      </c>
      <c r="AC4729">
        <v>0</v>
      </c>
      <c r="AD4729">
        <v>10</v>
      </c>
      <c r="AE4729">
        <v>0</v>
      </c>
      <c r="AF4729">
        <v>3</v>
      </c>
      <c r="AG4729">
        <v>2</v>
      </c>
      <c r="AH4729">
        <v>0</v>
      </c>
      <c r="AI4729" t="s">
        <v>1055</v>
      </c>
      <c r="AJ4729">
        <v>28.241644000000001</v>
      </c>
      <c r="AK4729" t="s">
        <v>1056</v>
      </c>
      <c r="AL4729">
        <v>-82.348343999999997</v>
      </c>
      <c r="AM4729">
        <v>100</v>
      </c>
      <c r="AN4729">
        <v>2100</v>
      </c>
      <c r="AO4729" t="s">
        <v>118</v>
      </c>
      <c r="AP4729">
        <v>-134</v>
      </c>
      <c r="AQ4729">
        <v>-44</v>
      </c>
      <c r="AR4729">
        <v>-256</v>
      </c>
      <c r="AZ4729">
        <v>1200</v>
      </c>
      <c r="BA4729">
        <v>1</v>
      </c>
      <c r="BB4729" t="str">
        <f t="shared" si="2160"/>
        <v xml:space="preserve">N711JA  </v>
      </c>
      <c r="BC4729">
        <v>1</v>
      </c>
      <c r="BE4729">
        <v>0</v>
      </c>
      <c r="BF4729">
        <v>0</v>
      </c>
      <c r="BG4729">
        <v>0</v>
      </c>
      <c r="BH4729">
        <v>2150</v>
      </c>
      <c r="BI4729">
        <v>1</v>
      </c>
      <c r="BJ4729">
        <v>1</v>
      </c>
      <c r="BK4729">
        <v>0</v>
      </c>
      <c r="BL4729">
        <v>0</v>
      </c>
      <c r="BO4729">
        <v>0</v>
      </c>
      <c r="BP4729">
        <v>0</v>
      </c>
      <c r="BW4729" t="str">
        <f t="shared" si="2176"/>
        <v>14:49:55.645</v>
      </c>
      <c r="CJ4729">
        <v>0</v>
      </c>
      <c r="CK4729">
        <v>2</v>
      </c>
      <c r="CL4729">
        <v>0</v>
      </c>
      <c r="CM4729">
        <v>2</v>
      </c>
      <c r="CN4729">
        <v>0</v>
      </c>
      <c r="CO4729">
        <v>7</v>
      </c>
      <c r="CP4729" t="s">
        <v>119</v>
      </c>
      <c r="CQ4729">
        <v>8</v>
      </c>
      <c r="CR4729">
        <v>3</v>
      </c>
      <c r="CW4729">
        <v>9190332</v>
      </c>
      <c r="CY4729">
        <v>1</v>
      </c>
      <c r="CZ4729">
        <v>0</v>
      </c>
      <c r="DA4729">
        <v>1</v>
      </c>
      <c r="DB4729">
        <v>0</v>
      </c>
      <c r="DC4729">
        <v>0</v>
      </c>
      <c r="DD4729">
        <v>1</v>
      </c>
      <c r="DE4729">
        <v>0</v>
      </c>
      <c r="DF4729">
        <v>0</v>
      </c>
      <c r="DG4729">
        <v>0</v>
      </c>
      <c r="DH4729">
        <v>0</v>
      </c>
      <c r="DI4729">
        <v>0</v>
      </c>
    </row>
    <row r="4730" spans="1:113" x14ac:dyDescent="0.3">
      <c r="A4730" t="str">
        <f t="shared" si="2173"/>
        <v>05/12/2020 14:49:37.818</v>
      </c>
      <c r="C4730" t="str">
        <f t="shared" si="2159"/>
        <v>FFDFD3C0</v>
      </c>
      <c r="D4730" t="s">
        <v>113</v>
      </c>
      <c r="E4730">
        <v>3</v>
      </c>
      <c r="H4730">
        <v>164</v>
      </c>
      <c r="I4730" t="s">
        <v>114</v>
      </c>
      <c r="J4730" t="s">
        <v>115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 t="shared" si="2174"/>
        <v>14:49:55.641</v>
      </c>
      <c r="T4730" t="str">
        <f t="shared" si="2175"/>
        <v>14:49:55.341</v>
      </c>
      <c r="U4730" t="str">
        <f t="shared" si="2150"/>
        <v>A9808D</v>
      </c>
      <c r="V4730">
        <v>0</v>
      </c>
      <c r="W4730">
        <v>0</v>
      </c>
      <c r="X4730">
        <v>1</v>
      </c>
      <c r="Z4730">
        <v>0</v>
      </c>
      <c r="AA4730">
        <v>9</v>
      </c>
      <c r="AB4730">
        <v>3</v>
      </c>
      <c r="AC4730">
        <v>0</v>
      </c>
      <c r="AD4730">
        <v>10</v>
      </c>
      <c r="AE4730">
        <v>0</v>
      </c>
      <c r="AF4730">
        <v>3</v>
      </c>
      <c r="AG4730">
        <v>2</v>
      </c>
      <c r="AH4730">
        <v>0</v>
      </c>
      <c r="AI4730" t="s">
        <v>1055</v>
      </c>
      <c r="AJ4730">
        <v>28.241644000000001</v>
      </c>
      <c r="AK4730" t="s">
        <v>1056</v>
      </c>
      <c r="AL4730">
        <v>-82.348343999999997</v>
      </c>
      <c r="AM4730">
        <v>100</v>
      </c>
      <c r="AN4730">
        <v>2100</v>
      </c>
      <c r="AO4730" t="s">
        <v>118</v>
      </c>
      <c r="AP4730">
        <v>-134</v>
      </c>
      <c r="AQ4730">
        <v>-44</v>
      </c>
      <c r="AR4730">
        <v>-256</v>
      </c>
      <c r="AZ4730">
        <v>1200</v>
      </c>
      <c r="BA4730">
        <v>1</v>
      </c>
      <c r="BB4730" t="str">
        <f t="shared" si="2160"/>
        <v xml:space="preserve">N711JA  </v>
      </c>
      <c r="BC4730">
        <v>1</v>
      </c>
      <c r="BE4730">
        <v>0</v>
      </c>
      <c r="BF4730">
        <v>0</v>
      </c>
      <c r="BG4730">
        <v>0</v>
      </c>
      <c r="BH4730">
        <v>2150</v>
      </c>
      <c r="BI4730">
        <v>1</v>
      </c>
      <c r="BJ4730">
        <v>1</v>
      </c>
      <c r="BK4730">
        <v>0</v>
      </c>
      <c r="BL4730">
        <v>0</v>
      </c>
      <c r="BO4730">
        <v>0</v>
      </c>
      <c r="BP4730">
        <v>0</v>
      </c>
      <c r="BW4730" t="str">
        <f t="shared" si="2176"/>
        <v>14:49:55.645</v>
      </c>
      <c r="CJ4730">
        <v>0</v>
      </c>
      <c r="CK4730">
        <v>2</v>
      </c>
      <c r="CL4730">
        <v>0</v>
      </c>
      <c r="CM4730">
        <v>2</v>
      </c>
      <c r="CN4730">
        <v>0</v>
      </c>
      <c r="CO4730">
        <v>7</v>
      </c>
      <c r="CP4730" t="s">
        <v>119</v>
      </c>
      <c r="CQ4730">
        <v>8</v>
      </c>
      <c r="CR4730">
        <v>3</v>
      </c>
      <c r="CW4730">
        <v>9190332</v>
      </c>
      <c r="CY4730">
        <v>1</v>
      </c>
      <c r="CZ4730">
        <v>0</v>
      </c>
      <c r="DA4730">
        <v>1</v>
      </c>
      <c r="DB4730">
        <v>0</v>
      </c>
      <c r="DC4730">
        <v>0</v>
      </c>
      <c r="DD4730">
        <v>1</v>
      </c>
      <c r="DE4730">
        <v>0</v>
      </c>
      <c r="DF4730">
        <v>0</v>
      </c>
      <c r="DG4730">
        <v>0</v>
      </c>
      <c r="DH4730">
        <v>0</v>
      </c>
      <c r="DI4730">
        <v>0</v>
      </c>
    </row>
    <row r="4731" spans="1:113" x14ac:dyDescent="0.3">
      <c r="A4731" t="str">
        <f t="shared" ref="A4731:A4739" si="2177">"05/12/2020 14:49:38.768"</f>
        <v>05/12/2020 14:49:38.768</v>
      </c>
      <c r="C4731" t="str">
        <f t="shared" si="2159"/>
        <v>FFDFD3C0</v>
      </c>
      <c r="D4731" t="s">
        <v>126</v>
      </c>
      <c r="E4731">
        <v>7</v>
      </c>
      <c r="F4731">
        <v>1007</v>
      </c>
      <c r="G4731" t="s">
        <v>127</v>
      </c>
      <c r="J4731" t="s">
        <v>128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 t="shared" ref="S4731:S4739" si="2178">"14:49:56.578"</f>
        <v>14:49:56.578</v>
      </c>
      <c r="T4731" t="str">
        <f t="shared" ref="T4731:T4739" si="2179">"14:49:56.378"</f>
        <v>14:49:56.378</v>
      </c>
      <c r="U4731" t="str">
        <f t="shared" si="2150"/>
        <v>A9808D</v>
      </c>
      <c r="V4731">
        <v>0</v>
      </c>
      <c r="W4731">
        <v>0</v>
      </c>
      <c r="X4731">
        <v>1</v>
      </c>
      <c r="Z4731">
        <v>0</v>
      </c>
      <c r="AA4731">
        <v>9</v>
      </c>
      <c r="AB4731">
        <v>3</v>
      </c>
      <c r="AC4731">
        <v>0</v>
      </c>
      <c r="AD4731">
        <v>10</v>
      </c>
      <c r="AE4731">
        <v>0</v>
      </c>
      <c r="AF4731">
        <v>3</v>
      </c>
      <c r="AG4731">
        <v>2</v>
      </c>
      <c r="AH4731">
        <v>0</v>
      </c>
      <c r="AI4731" t="s">
        <v>1057</v>
      </c>
      <c r="AJ4731">
        <v>28.241451000000001</v>
      </c>
      <c r="AK4731" t="s">
        <v>1058</v>
      </c>
      <c r="AL4731">
        <v>-82.349074000000002</v>
      </c>
      <c r="AM4731">
        <v>100</v>
      </c>
      <c r="AN4731">
        <v>2100</v>
      </c>
      <c r="AO4731" t="s">
        <v>118</v>
      </c>
      <c r="AP4731">
        <v>-134</v>
      </c>
      <c r="AQ4731">
        <v>-44</v>
      </c>
      <c r="AR4731">
        <v>-256</v>
      </c>
      <c r="AZ4731">
        <v>1200</v>
      </c>
      <c r="BA4731">
        <v>1</v>
      </c>
      <c r="BB4731" t="str">
        <f t="shared" si="2160"/>
        <v xml:space="preserve">N711JA  </v>
      </c>
      <c r="BC4731">
        <v>1</v>
      </c>
      <c r="BE4731">
        <v>0</v>
      </c>
      <c r="BF4731">
        <v>0</v>
      </c>
      <c r="BG4731">
        <v>0</v>
      </c>
      <c r="BH4731">
        <v>2150</v>
      </c>
      <c r="BI4731">
        <v>1</v>
      </c>
      <c r="BJ4731">
        <v>1</v>
      </c>
      <c r="BK4731">
        <v>0</v>
      </c>
      <c r="BL4731">
        <v>0</v>
      </c>
      <c r="BO4731">
        <v>0</v>
      </c>
      <c r="BP4731">
        <v>0</v>
      </c>
      <c r="BW4731" t="str">
        <f t="shared" ref="BW4731:BW4739" si="2180">"14:49:56.579"</f>
        <v>14:49:56.579</v>
      </c>
      <c r="CJ4731">
        <v>0</v>
      </c>
      <c r="CK4731">
        <v>2</v>
      </c>
      <c r="CL4731">
        <v>0</v>
      </c>
      <c r="CM4731">
        <v>2</v>
      </c>
      <c r="CN4731">
        <v>0</v>
      </c>
      <c r="CO4731">
        <v>7</v>
      </c>
      <c r="CP4731" t="s">
        <v>119</v>
      </c>
      <c r="CQ4731">
        <v>8</v>
      </c>
      <c r="CR4731">
        <v>3</v>
      </c>
      <c r="CW4731">
        <v>9191229</v>
      </c>
      <c r="CY4731">
        <v>1</v>
      </c>
      <c r="CZ4731">
        <v>0</v>
      </c>
      <c r="DA4731">
        <v>0</v>
      </c>
      <c r="DB4731">
        <v>0</v>
      </c>
      <c r="DC4731">
        <v>0</v>
      </c>
      <c r="DD4731">
        <v>1</v>
      </c>
      <c r="DE4731">
        <v>0</v>
      </c>
      <c r="DF4731">
        <v>0</v>
      </c>
      <c r="DG4731">
        <v>0</v>
      </c>
      <c r="DH4731">
        <v>0</v>
      </c>
      <c r="DI4731">
        <v>0</v>
      </c>
    </row>
    <row r="4732" spans="1:113" x14ac:dyDescent="0.3">
      <c r="A4732" t="str">
        <f t="shared" si="2177"/>
        <v>05/12/2020 14:49:38.768</v>
      </c>
      <c r="C4732" t="str">
        <f t="shared" si="2159"/>
        <v>FFDFD3C0</v>
      </c>
      <c r="D4732" t="s">
        <v>131</v>
      </c>
      <c r="E4732">
        <v>10</v>
      </c>
      <c r="F4732">
        <v>2010</v>
      </c>
      <c r="G4732" t="s">
        <v>132</v>
      </c>
      <c r="J4732" t="s">
        <v>133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 t="shared" si="2178"/>
        <v>14:49:56.578</v>
      </c>
      <c r="T4732" t="str">
        <f t="shared" si="2179"/>
        <v>14:49:56.378</v>
      </c>
      <c r="U4732" t="str">
        <f t="shared" si="2150"/>
        <v>A9808D</v>
      </c>
      <c r="V4732">
        <v>0</v>
      </c>
      <c r="W4732">
        <v>0</v>
      </c>
      <c r="X4732">
        <v>1</v>
      </c>
      <c r="Z4732">
        <v>0</v>
      </c>
      <c r="AA4732">
        <v>9</v>
      </c>
      <c r="AB4732">
        <v>3</v>
      </c>
      <c r="AC4732">
        <v>0</v>
      </c>
      <c r="AD4732">
        <v>10</v>
      </c>
      <c r="AE4732">
        <v>0</v>
      </c>
      <c r="AF4732">
        <v>3</v>
      </c>
      <c r="AG4732">
        <v>2</v>
      </c>
      <c r="AH4732">
        <v>0</v>
      </c>
      <c r="AI4732" t="s">
        <v>1057</v>
      </c>
      <c r="AJ4732">
        <v>28.241451000000001</v>
      </c>
      <c r="AK4732" t="s">
        <v>1058</v>
      </c>
      <c r="AL4732">
        <v>-82.349074000000002</v>
      </c>
      <c r="AM4732">
        <v>100</v>
      </c>
      <c r="AN4732">
        <v>2100</v>
      </c>
      <c r="AO4732" t="s">
        <v>118</v>
      </c>
      <c r="AP4732">
        <v>-134</v>
      </c>
      <c r="AQ4732">
        <v>-44</v>
      </c>
      <c r="AR4732">
        <v>-256</v>
      </c>
      <c r="AZ4732">
        <v>1200</v>
      </c>
      <c r="BA4732">
        <v>1</v>
      </c>
      <c r="BB4732" t="str">
        <f t="shared" si="2160"/>
        <v xml:space="preserve">N711JA  </v>
      </c>
      <c r="BC4732">
        <v>1</v>
      </c>
      <c r="BE4732">
        <v>0</v>
      </c>
      <c r="BF4732">
        <v>0</v>
      </c>
      <c r="BG4732">
        <v>0</v>
      </c>
      <c r="BH4732">
        <v>2150</v>
      </c>
      <c r="BI4732">
        <v>1</v>
      </c>
      <c r="BJ4732">
        <v>1</v>
      </c>
      <c r="BK4732">
        <v>0</v>
      </c>
      <c r="BL4732">
        <v>0</v>
      </c>
      <c r="BO4732">
        <v>0</v>
      </c>
      <c r="BP4732">
        <v>0</v>
      </c>
      <c r="BW4732" t="str">
        <f t="shared" si="2180"/>
        <v>14:49:56.579</v>
      </c>
      <c r="CJ4732">
        <v>0</v>
      </c>
      <c r="CK4732">
        <v>2</v>
      </c>
      <c r="CL4732">
        <v>0</v>
      </c>
      <c r="CM4732">
        <v>2</v>
      </c>
      <c r="CN4732">
        <v>0</v>
      </c>
      <c r="CO4732">
        <v>7</v>
      </c>
      <c r="CP4732" t="s">
        <v>119</v>
      </c>
      <c r="CQ4732">
        <v>8</v>
      </c>
      <c r="CR4732">
        <v>3</v>
      </c>
      <c r="CW4732">
        <v>9191229</v>
      </c>
      <c r="CY4732">
        <v>1</v>
      </c>
      <c r="CZ4732">
        <v>0</v>
      </c>
      <c r="DA4732">
        <v>1</v>
      </c>
      <c r="DB4732">
        <v>0</v>
      </c>
      <c r="DC4732">
        <v>0</v>
      </c>
      <c r="DD4732">
        <v>1</v>
      </c>
      <c r="DE4732">
        <v>0</v>
      </c>
      <c r="DF4732">
        <v>0</v>
      </c>
      <c r="DG4732">
        <v>0</v>
      </c>
      <c r="DH4732">
        <v>0</v>
      </c>
      <c r="DI4732">
        <v>0</v>
      </c>
    </row>
    <row r="4733" spans="1:113" x14ac:dyDescent="0.3">
      <c r="A4733" t="str">
        <f t="shared" si="2177"/>
        <v>05/12/2020 14:49:38.768</v>
      </c>
      <c r="C4733" t="str">
        <f t="shared" si="2159"/>
        <v>FFDFD3C0</v>
      </c>
      <c r="D4733" t="s">
        <v>131</v>
      </c>
      <c r="E4733">
        <v>12</v>
      </c>
      <c r="F4733">
        <v>2012</v>
      </c>
      <c r="G4733" t="s">
        <v>137</v>
      </c>
      <c r="J4733" t="s">
        <v>133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 t="shared" si="2178"/>
        <v>14:49:56.578</v>
      </c>
      <c r="T4733" t="str">
        <f t="shared" si="2179"/>
        <v>14:49:56.378</v>
      </c>
      <c r="U4733" t="str">
        <f t="shared" si="2150"/>
        <v>A9808D</v>
      </c>
      <c r="V4733">
        <v>0</v>
      </c>
      <c r="W4733">
        <v>0</v>
      </c>
      <c r="X4733">
        <v>1</v>
      </c>
      <c r="Z4733">
        <v>0</v>
      </c>
      <c r="AA4733">
        <v>9</v>
      </c>
      <c r="AB4733">
        <v>3</v>
      </c>
      <c r="AC4733">
        <v>0</v>
      </c>
      <c r="AD4733">
        <v>10</v>
      </c>
      <c r="AE4733">
        <v>0</v>
      </c>
      <c r="AF4733">
        <v>3</v>
      </c>
      <c r="AG4733">
        <v>2</v>
      </c>
      <c r="AH4733">
        <v>0</v>
      </c>
      <c r="AI4733" t="s">
        <v>1057</v>
      </c>
      <c r="AJ4733">
        <v>28.241451000000001</v>
      </c>
      <c r="AK4733" t="s">
        <v>1058</v>
      </c>
      <c r="AL4733">
        <v>-82.349074000000002</v>
      </c>
      <c r="AM4733">
        <v>100</v>
      </c>
      <c r="AN4733">
        <v>2100</v>
      </c>
      <c r="AO4733" t="s">
        <v>118</v>
      </c>
      <c r="AP4733">
        <v>-134</v>
      </c>
      <c r="AQ4733">
        <v>-44</v>
      </c>
      <c r="AR4733">
        <v>-256</v>
      </c>
      <c r="AZ4733">
        <v>1200</v>
      </c>
      <c r="BA4733">
        <v>1</v>
      </c>
      <c r="BB4733" t="str">
        <f t="shared" si="2160"/>
        <v xml:space="preserve">N711JA  </v>
      </c>
      <c r="BC4733">
        <v>1</v>
      </c>
      <c r="BE4733">
        <v>0</v>
      </c>
      <c r="BF4733">
        <v>0</v>
      </c>
      <c r="BG4733">
        <v>0</v>
      </c>
      <c r="BH4733">
        <v>2150</v>
      </c>
      <c r="BI4733">
        <v>1</v>
      </c>
      <c r="BJ4733">
        <v>1</v>
      </c>
      <c r="BK4733">
        <v>0</v>
      </c>
      <c r="BL4733">
        <v>0</v>
      </c>
      <c r="BO4733">
        <v>0</v>
      </c>
      <c r="BP4733">
        <v>0</v>
      </c>
      <c r="BW4733" t="str">
        <f t="shared" si="2180"/>
        <v>14:49:56.579</v>
      </c>
      <c r="CJ4733">
        <v>0</v>
      </c>
      <c r="CK4733">
        <v>2</v>
      </c>
      <c r="CL4733">
        <v>0</v>
      </c>
      <c r="CM4733">
        <v>2</v>
      </c>
      <c r="CN4733">
        <v>0</v>
      </c>
      <c r="CO4733">
        <v>7</v>
      </c>
      <c r="CP4733" t="s">
        <v>119</v>
      </c>
      <c r="CQ4733">
        <v>8</v>
      </c>
      <c r="CR4733">
        <v>3</v>
      </c>
      <c r="CW4733">
        <v>9191229</v>
      </c>
      <c r="CY4733">
        <v>1</v>
      </c>
      <c r="CZ4733">
        <v>0</v>
      </c>
      <c r="DA4733">
        <v>1</v>
      </c>
      <c r="DB4733">
        <v>0</v>
      </c>
      <c r="DC4733">
        <v>0</v>
      </c>
      <c r="DD4733">
        <v>1</v>
      </c>
      <c r="DE4733">
        <v>0</v>
      </c>
      <c r="DF4733">
        <v>0</v>
      </c>
      <c r="DG4733">
        <v>0</v>
      </c>
      <c r="DH4733">
        <v>0</v>
      </c>
      <c r="DI4733">
        <v>0</v>
      </c>
    </row>
    <row r="4734" spans="1:113" x14ac:dyDescent="0.3">
      <c r="A4734" t="str">
        <f t="shared" si="2177"/>
        <v>05/12/2020 14:49:38.768</v>
      </c>
      <c r="C4734" t="str">
        <f t="shared" si="2159"/>
        <v>FFDFD3C0</v>
      </c>
      <c r="D4734" t="s">
        <v>131</v>
      </c>
      <c r="E4734">
        <v>18</v>
      </c>
      <c r="F4734">
        <v>2018</v>
      </c>
      <c r="G4734" t="s">
        <v>161</v>
      </c>
      <c r="J4734" t="s">
        <v>133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 t="shared" si="2178"/>
        <v>14:49:56.578</v>
      </c>
      <c r="T4734" t="str">
        <f t="shared" si="2179"/>
        <v>14:49:56.378</v>
      </c>
      <c r="U4734" t="str">
        <f t="shared" si="2150"/>
        <v>A9808D</v>
      </c>
      <c r="V4734">
        <v>0</v>
      </c>
      <c r="W4734">
        <v>0</v>
      </c>
      <c r="X4734">
        <v>1</v>
      </c>
      <c r="Z4734">
        <v>0</v>
      </c>
      <c r="AA4734">
        <v>9</v>
      </c>
      <c r="AB4734">
        <v>3</v>
      </c>
      <c r="AC4734">
        <v>0</v>
      </c>
      <c r="AD4734">
        <v>10</v>
      </c>
      <c r="AE4734">
        <v>0</v>
      </c>
      <c r="AF4734">
        <v>3</v>
      </c>
      <c r="AG4734">
        <v>2</v>
      </c>
      <c r="AH4734">
        <v>0</v>
      </c>
      <c r="AI4734" t="s">
        <v>1057</v>
      </c>
      <c r="AJ4734">
        <v>28.241451000000001</v>
      </c>
      <c r="AK4734" t="s">
        <v>1058</v>
      </c>
      <c r="AL4734">
        <v>-82.349074000000002</v>
      </c>
      <c r="AM4734">
        <v>100</v>
      </c>
      <c r="AN4734">
        <v>2100</v>
      </c>
      <c r="AO4734" t="s">
        <v>118</v>
      </c>
      <c r="AP4734">
        <v>-134</v>
      </c>
      <c r="AQ4734">
        <v>-44</v>
      </c>
      <c r="AR4734">
        <v>-256</v>
      </c>
      <c r="AZ4734">
        <v>1200</v>
      </c>
      <c r="BA4734">
        <v>1</v>
      </c>
      <c r="BB4734" t="str">
        <f t="shared" si="2160"/>
        <v xml:space="preserve">N711JA  </v>
      </c>
      <c r="BC4734">
        <v>1</v>
      </c>
      <c r="BE4734">
        <v>0</v>
      </c>
      <c r="BF4734">
        <v>0</v>
      </c>
      <c r="BG4734">
        <v>0</v>
      </c>
      <c r="BH4734">
        <v>2150</v>
      </c>
      <c r="BI4734">
        <v>1</v>
      </c>
      <c r="BJ4734">
        <v>1</v>
      </c>
      <c r="BK4734">
        <v>0</v>
      </c>
      <c r="BL4734">
        <v>0</v>
      </c>
      <c r="BO4734">
        <v>0</v>
      </c>
      <c r="BP4734">
        <v>0</v>
      </c>
      <c r="BW4734" t="str">
        <f t="shared" si="2180"/>
        <v>14:49:56.579</v>
      </c>
      <c r="CJ4734">
        <v>0</v>
      </c>
      <c r="CK4734">
        <v>2</v>
      </c>
      <c r="CL4734">
        <v>0</v>
      </c>
      <c r="CM4734">
        <v>2</v>
      </c>
      <c r="CN4734">
        <v>0</v>
      </c>
      <c r="CO4734">
        <v>6</v>
      </c>
      <c r="CP4734" t="s">
        <v>119</v>
      </c>
      <c r="CQ4734">
        <v>56</v>
      </c>
      <c r="CR4734">
        <v>2</v>
      </c>
      <c r="CW4734">
        <v>5198840</v>
      </c>
      <c r="CY4734">
        <v>1</v>
      </c>
      <c r="CZ4734">
        <v>0</v>
      </c>
      <c r="DA4734">
        <v>1</v>
      </c>
      <c r="DB4734">
        <v>0</v>
      </c>
      <c r="DC4734">
        <v>0</v>
      </c>
      <c r="DD4734">
        <v>1</v>
      </c>
      <c r="DE4734">
        <v>0</v>
      </c>
      <c r="DF4734">
        <v>0</v>
      </c>
      <c r="DG4734">
        <v>0</v>
      </c>
      <c r="DH4734">
        <v>0</v>
      </c>
      <c r="DI4734">
        <v>0</v>
      </c>
    </row>
    <row r="4735" spans="1:113" x14ac:dyDescent="0.3">
      <c r="A4735" t="str">
        <f t="shared" si="2177"/>
        <v>05/12/2020 14:49:38.768</v>
      </c>
      <c r="C4735" t="str">
        <f t="shared" si="2159"/>
        <v>FFDFD3C0</v>
      </c>
      <c r="D4735" t="s">
        <v>113</v>
      </c>
      <c r="E4735">
        <v>3</v>
      </c>
      <c r="H4735">
        <v>164</v>
      </c>
      <c r="I4735" t="s">
        <v>114</v>
      </c>
      <c r="J4735" t="s">
        <v>115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 t="shared" si="2178"/>
        <v>14:49:56.578</v>
      </c>
      <c r="T4735" t="str">
        <f t="shared" si="2179"/>
        <v>14:49:56.378</v>
      </c>
      <c r="U4735" t="str">
        <f t="shared" si="2150"/>
        <v>A9808D</v>
      </c>
      <c r="V4735">
        <v>0</v>
      </c>
      <c r="W4735">
        <v>0</v>
      </c>
      <c r="X4735">
        <v>1</v>
      </c>
      <c r="Z4735">
        <v>0</v>
      </c>
      <c r="AA4735">
        <v>9</v>
      </c>
      <c r="AB4735">
        <v>3</v>
      </c>
      <c r="AC4735">
        <v>0</v>
      </c>
      <c r="AD4735">
        <v>10</v>
      </c>
      <c r="AE4735">
        <v>0</v>
      </c>
      <c r="AF4735">
        <v>3</v>
      </c>
      <c r="AG4735">
        <v>2</v>
      </c>
      <c r="AH4735">
        <v>0</v>
      </c>
      <c r="AI4735" t="s">
        <v>1057</v>
      </c>
      <c r="AJ4735">
        <v>28.241451000000001</v>
      </c>
      <c r="AK4735" t="s">
        <v>1058</v>
      </c>
      <c r="AL4735">
        <v>-82.349074000000002</v>
      </c>
      <c r="AM4735">
        <v>100</v>
      </c>
      <c r="AN4735">
        <v>2100</v>
      </c>
      <c r="AO4735" t="s">
        <v>118</v>
      </c>
      <c r="AP4735">
        <v>-134</v>
      </c>
      <c r="AQ4735">
        <v>-44</v>
      </c>
      <c r="AR4735">
        <v>-256</v>
      </c>
      <c r="AZ4735">
        <v>1200</v>
      </c>
      <c r="BA4735">
        <v>1</v>
      </c>
      <c r="BB4735" t="str">
        <f t="shared" si="2160"/>
        <v xml:space="preserve">N711JA  </v>
      </c>
      <c r="BC4735">
        <v>1</v>
      </c>
      <c r="BE4735">
        <v>0</v>
      </c>
      <c r="BF4735">
        <v>0</v>
      </c>
      <c r="BG4735">
        <v>0</v>
      </c>
      <c r="BH4735">
        <v>2150</v>
      </c>
      <c r="BI4735">
        <v>1</v>
      </c>
      <c r="BJ4735">
        <v>1</v>
      </c>
      <c r="BK4735">
        <v>0</v>
      </c>
      <c r="BL4735">
        <v>0</v>
      </c>
      <c r="BO4735">
        <v>0</v>
      </c>
      <c r="BP4735">
        <v>0</v>
      </c>
      <c r="BW4735" t="str">
        <f t="shared" si="2180"/>
        <v>14:49:56.579</v>
      </c>
      <c r="CJ4735">
        <v>0</v>
      </c>
      <c r="CK4735">
        <v>2</v>
      </c>
      <c r="CL4735">
        <v>0</v>
      </c>
      <c r="CM4735">
        <v>2</v>
      </c>
      <c r="CN4735">
        <v>0</v>
      </c>
      <c r="CO4735">
        <v>7</v>
      </c>
      <c r="CP4735" t="s">
        <v>119</v>
      </c>
      <c r="CQ4735">
        <v>8</v>
      </c>
      <c r="CR4735">
        <v>3</v>
      </c>
      <c r="CW4735">
        <v>9191229</v>
      </c>
      <c r="CY4735">
        <v>1</v>
      </c>
      <c r="CZ4735">
        <v>0</v>
      </c>
      <c r="DA4735">
        <v>1</v>
      </c>
      <c r="DB4735">
        <v>0</v>
      </c>
      <c r="DC4735">
        <v>0</v>
      </c>
      <c r="DD4735">
        <v>1</v>
      </c>
      <c r="DE4735">
        <v>0</v>
      </c>
      <c r="DF4735">
        <v>0</v>
      </c>
      <c r="DG4735">
        <v>0</v>
      </c>
      <c r="DH4735">
        <v>0</v>
      </c>
      <c r="DI4735">
        <v>0</v>
      </c>
    </row>
    <row r="4736" spans="1:113" x14ac:dyDescent="0.3">
      <c r="A4736" t="str">
        <f t="shared" si="2177"/>
        <v>05/12/2020 14:49:38.768</v>
      </c>
      <c r="C4736" t="str">
        <f t="shared" si="2159"/>
        <v>FFDFD3C0</v>
      </c>
      <c r="D4736" t="s">
        <v>138</v>
      </c>
      <c r="E4736">
        <v>2</v>
      </c>
      <c r="H4736">
        <v>8</v>
      </c>
      <c r="I4736" t="s">
        <v>139</v>
      </c>
      <c r="J4736" t="s">
        <v>136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 t="shared" si="2178"/>
        <v>14:49:56.578</v>
      </c>
      <c r="T4736" t="str">
        <f t="shared" si="2179"/>
        <v>14:49:56.378</v>
      </c>
      <c r="U4736" t="str">
        <f t="shared" si="2150"/>
        <v>A9808D</v>
      </c>
      <c r="V4736">
        <v>0</v>
      </c>
      <c r="W4736">
        <v>0</v>
      </c>
      <c r="X4736">
        <v>1</v>
      </c>
      <c r="Z4736">
        <v>0</v>
      </c>
      <c r="AA4736">
        <v>9</v>
      </c>
      <c r="AB4736">
        <v>3</v>
      </c>
      <c r="AC4736">
        <v>0</v>
      </c>
      <c r="AD4736">
        <v>10</v>
      </c>
      <c r="AE4736">
        <v>0</v>
      </c>
      <c r="AF4736">
        <v>3</v>
      </c>
      <c r="AG4736">
        <v>2</v>
      </c>
      <c r="AH4736">
        <v>0</v>
      </c>
      <c r="AI4736" t="s">
        <v>1057</v>
      </c>
      <c r="AJ4736">
        <v>28.241451000000001</v>
      </c>
      <c r="AK4736" t="s">
        <v>1058</v>
      </c>
      <c r="AL4736">
        <v>-82.349074000000002</v>
      </c>
      <c r="AM4736">
        <v>100</v>
      </c>
      <c r="AN4736">
        <v>2100</v>
      </c>
      <c r="AO4736" t="s">
        <v>118</v>
      </c>
      <c r="AP4736">
        <v>-134</v>
      </c>
      <c r="AQ4736">
        <v>-44</v>
      </c>
      <c r="AR4736">
        <v>-256</v>
      </c>
      <c r="AZ4736">
        <v>1200</v>
      </c>
      <c r="BA4736">
        <v>1</v>
      </c>
      <c r="BB4736" t="str">
        <f t="shared" si="2160"/>
        <v xml:space="preserve">N711JA  </v>
      </c>
      <c r="BC4736">
        <v>1</v>
      </c>
      <c r="BE4736">
        <v>0</v>
      </c>
      <c r="BF4736">
        <v>0</v>
      </c>
      <c r="BG4736">
        <v>0</v>
      </c>
      <c r="BH4736">
        <v>2150</v>
      </c>
      <c r="BI4736">
        <v>1</v>
      </c>
      <c r="BJ4736">
        <v>1</v>
      </c>
      <c r="BK4736">
        <v>0</v>
      </c>
      <c r="BL4736">
        <v>0</v>
      </c>
      <c r="BO4736">
        <v>0</v>
      </c>
      <c r="BP4736">
        <v>0</v>
      </c>
      <c r="BW4736" t="str">
        <f t="shared" si="2180"/>
        <v>14:49:56.579</v>
      </c>
      <c r="CJ4736">
        <v>0</v>
      </c>
      <c r="CK4736">
        <v>2</v>
      </c>
      <c r="CL4736">
        <v>0</v>
      </c>
      <c r="CM4736">
        <v>2</v>
      </c>
      <c r="CN4736">
        <v>0</v>
      </c>
      <c r="CO4736">
        <v>7</v>
      </c>
      <c r="CP4736" t="s">
        <v>119</v>
      </c>
      <c r="CQ4736">
        <v>8</v>
      </c>
      <c r="CR4736">
        <v>3</v>
      </c>
      <c r="CW4736">
        <v>9191229</v>
      </c>
      <c r="CY4736">
        <v>1</v>
      </c>
      <c r="CZ4736">
        <v>0</v>
      </c>
      <c r="DA4736">
        <v>1</v>
      </c>
      <c r="DB4736">
        <v>0</v>
      </c>
      <c r="DC4736">
        <v>0</v>
      </c>
      <c r="DD4736">
        <v>1</v>
      </c>
      <c r="DE4736">
        <v>0</v>
      </c>
      <c r="DF4736">
        <v>0</v>
      </c>
      <c r="DG4736">
        <v>0</v>
      </c>
      <c r="DH4736">
        <v>0</v>
      </c>
      <c r="DI4736">
        <v>0</v>
      </c>
    </row>
    <row r="4737" spans="1:113" x14ac:dyDescent="0.3">
      <c r="A4737" t="str">
        <f t="shared" si="2177"/>
        <v>05/12/2020 14:49:38.768</v>
      </c>
      <c r="C4737" t="str">
        <f t="shared" si="2159"/>
        <v>FFDFD3C0</v>
      </c>
      <c r="D4737" t="s">
        <v>138</v>
      </c>
      <c r="E4737">
        <v>3</v>
      </c>
      <c r="H4737">
        <v>9</v>
      </c>
      <c r="I4737" t="s">
        <v>140</v>
      </c>
      <c r="J4737" t="s">
        <v>136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 t="shared" si="2178"/>
        <v>14:49:56.578</v>
      </c>
      <c r="T4737" t="str">
        <f t="shared" si="2179"/>
        <v>14:49:56.378</v>
      </c>
      <c r="U4737" t="str">
        <f t="shared" si="2150"/>
        <v>A9808D</v>
      </c>
      <c r="V4737">
        <v>0</v>
      </c>
      <c r="W4737">
        <v>0</v>
      </c>
      <c r="X4737">
        <v>1</v>
      </c>
      <c r="Z4737">
        <v>0</v>
      </c>
      <c r="AA4737">
        <v>9</v>
      </c>
      <c r="AB4737">
        <v>3</v>
      </c>
      <c r="AC4737">
        <v>0</v>
      </c>
      <c r="AD4737">
        <v>10</v>
      </c>
      <c r="AE4737">
        <v>0</v>
      </c>
      <c r="AF4737">
        <v>3</v>
      </c>
      <c r="AG4737">
        <v>2</v>
      </c>
      <c r="AH4737">
        <v>0</v>
      </c>
      <c r="AI4737" t="s">
        <v>1057</v>
      </c>
      <c r="AJ4737">
        <v>28.241451000000001</v>
      </c>
      <c r="AK4737" t="s">
        <v>1058</v>
      </c>
      <c r="AL4737">
        <v>-82.349074000000002</v>
      </c>
      <c r="AM4737">
        <v>100</v>
      </c>
      <c r="AN4737">
        <v>2100</v>
      </c>
      <c r="AO4737" t="s">
        <v>118</v>
      </c>
      <c r="AP4737">
        <v>-134</v>
      </c>
      <c r="AQ4737">
        <v>-44</v>
      </c>
      <c r="AR4737">
        <v>-256</v>
      </c>
      <c r="AZ4737">
        <v>1200</v>
      </c>
      <c r="BA4737">
        <v>1</v>
      </c>
      <c r="BB4737" t="str">
        <f t="shared" si="2160"/>
        <v xml:space="preserve">N711JA  </v>
      </c>
      <c r="BC4737">
        <v>1</v>
      </c>
      <c r="BE4737">
        <v>0</v>
      </c>
      <c r="BF4737">
        <v>0</v>
      </c>
      <c r="BG4737">
        <v>0</v>
      </c>
      <c r="BH4737">
        <v>2150</v>
      </c>
      <c r="BI4737">
        <v>1</v>
      </c>
      <c r="BJ4737">
        <v>1</v>
      </c>
      <c r="BK4737">
        <v>0</v>
      </c>
      <c r="BL4737">
        <v>0</v>
      </c>
      <c r="BO4737">
        <v>0</v>
      </c>
      <c r="BP4737">
        <v>0</v>
      </c>
      <c r="BW4737" t="str">
        <f t="shared" si="2180"/>
        <v>14:49:56.579</v>
      </c>
      <c r="CJ4737">
        <v>0</v>
      </c>
      <c r="CK4737">
        <v>2</v>
      </c>
      <c r="CL4737">
        <v>0</v>
      </c>
      <c r="CM4737">
        <v>2</v>
      </c>
      <c r="CN4737">
        <v>0</v>
      </c>
      <c r="CO4737">
        <v>7</v>
      </c>
      <c r="CP4737" t="s">
        <v>119</v>
      </c>
      <c r="CQ4737">
        <v>8</v>
      </c>
      <c r="CR4737">
        <v>3</v>
      </c>
      <c r="CW4737">
        <v>9191229</v>
      </c>
      <c r="CY4737">
        <v>1</v>
      </c>
      <c r="CZ4737">
        <v>0</v>
      </c>
      <c r="DA4737">
        <v>1</v>
      </c>
      <c r="DB4737">
        <v>0</v>
      </c>
      <c r="DC4737">
        <v>0</v>
      </c>
      <c r="DD4737">
        <v>1</v>
      </c>
      <c r="DE4737">
        <v>0</v>
      </c>
      <c r="DF4737">
        <v>0</v>
      </c>
      <c r="DG4737">
        <v>0</v>
      </c>
      <c r="DH4737">
        <v>0</v>
      </c>
      <c r="DI4737">
        <v>0</v>
      </c>
    </row>
    <row r="4738" spans="1:113" x14ac:dyDescent="0.3">
      <c r="A4738" t="str">
        <f t="shared" si="2177"/>
        <v>05/12/2020 14:49:38.768</v>
      </c>
      <c r="C4738" t="str">
        <f t="shared" si="2159"/>
        <v>FFDFD3C0</v>
      </c>
      <c r="D4738" t="s">
        <v>134</v>
      </c>
      <c r="E4738">
        <v>12</v>
      </c>
      <c r="H4738">
        <v>64</v>
      </c>
      <c r="I4738" t="s">
        <v>135</v>
      </c>
      <c r="J4738" t="s">
        <v>136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 t="shared" si="2178"/>
        <v>14:49:56.578</v>
      </c>
      <c r="T4738" t="str">
        <f t="shared" si="2179"/>
        <v>14:49:56.378</v>
      </c>
      <c r="U4738" t="str">
        <f t="shared" ref="U4738:U4801" si="2181">"A9808D"</f>
        <v>A9808D</v>
      </c>
      <c r="V4738">
        <v>0</v>
      </c>
      <c r="W4738">
        <v>0</v>
      </c>
      <c r="X4738">
        <v>1</v>
      </c>
      <c r="Z4738">
        <v>0</v>
      </c>
      <c r="AA4738">
        <v>9</v>
      </c>
      <c r="AB4738">
        <v>3</v>
      </c>
      <c r="AC4738">
        <v>0</v>
      </c>
      <c r="AD4738">
        <v>10</v>
      </c>
      <c r="AE4738">
        <v>0</v>
      </c>
      <c r="AF4738">
        <v>3</v>
      </c>
      <c r="AG4738">
        <v>2</v>
      </c>
      <c r="AH4738">
        <v>0</v>
      </c>
      <c r="AI4738" t="s">
        <v>1057</v>
      </c>
      <c r="AJ4738">
        <v>28.241451000000001</v>
      </c>
      <c r="AK4738" t="s">
        <v>1058</v>
      </c>
      <c r="AL4738">
        <v>-82.349074000000002</v>
      </c>
      <c r="AM4738">
        <v>100</v>
      </c>
      <c r="AN4738">
        <v>2100</v>
      </c>
      <c r="AO4738" t="s">
        <v>118</v>
      </c>
      <c r="AP4738">
        <v>-134</v>
      </c>
      <c r="AQ4738">
        <v>-44</v>
      </c>
      <c r="AR4738">
        <v>-256</v>
      </c>
      <c r="AZ4738">
        <v>1200</v>
      </c>
      <c r="BA4738">
        <v>1</v>
      </c>
      <c r="BB4738" t="str">
        <f t="shared" si="2160"/>
        <v xml:space="preserve">N711JA  </v>
      </c>
      <c r="BC4738">
        <v>1</v>
      </c>
      <c r="BE4738">
        <v>0</v>
      </c>
      <c r="BF4738">
        <v>0</v>
      </c>
      <c r="BG4738">
        <v>0</v>
      </c>
      <c r="BH4738">
        <v>2150</v>
      </c>
      <c r="BI4738">
        <v>1</v>
      </c>
      <c r="BJ4738">
        <v>1</v>
      </c>
      <c r="BK4738">
        <v>0</v>
      </c>
      <c r="BL4738">
        <v>0</v>
      </c>
      <c r="BO4738">
        <v>0</v>
      </c>
      <c r="BP4738">
        <v>0</v>
      </c>
      <c r="BW4738" t="str">
        <f t="shared" si="2180"/>
        <v>14:49:56.579</v>
      </c>
      <c r="CJ4738">
        <v>0</v>
      </c>
      <c r="CK4738">
        <v>2</v>
      </c>
      <c r="CL4738">
        <v>0</v>
      </c>
      <c r="CM4738">
        <v>2</v>
      </c>
      <c r="CN4738">
        <v>0</v>
      </c>
      <c r="CO4738">
        <v>7</v>
      </c>
      <c r="CP4738" t="s">
        <v>119</v>
      </c>
      <c r="CQ4738">
        <v>8</v>
      </c>
      <c r="CR4738">
        <v>3</v>
      </c>
      <c r="CW4738">
        <v>9191229</v>
      </c>
      <c r="CY4738">
        <v>1</v>
      </c>
      <c r="CZ4738">
        <v>0</v>
      </c>
      <c r="DA4738">
        <v>1</v>
      </c>
      <c r="DB4738">
        <v>0</v>
      </c>
      <c r="DC4738">
        <v>0</v>
      </c>
      <c r="DD4738">
        <v>1</v>
      </c>
      <c r="DE4738">
        <v>0</v>
      </c>
      <c r="DF4738">
        <v>0</v>
      </c>
      <c r="DG4738">
        <v>0</v>
      </c>
      <c r="DH4738">
        <v>0</v>
      </c>
      <c r="DI4738">
        <v>0</v>
      </c>
    </row>
    <row r="4739" spans="1:113" x14ac:dyDescent="0.3">
      <c r="A4739" t="str">
        <f t="shared" si="2177"/>
        <v>05/12/2020 14:49:38.768</v>
      </c>
      <c r="C4739" t="str">
        <f t="shared" si="2159"/>
        <v>FFDFD3C0</v>
      </c>
      <c r="D4739" t="s">
        <v>126</v>
      </c>
      <c r="E4739">
        <v>6</v>
      </c>
      <c r="F4739">
        <v>1006</v>
      </c>
      <c r="G4739" t="s">
        <v>114</v>
      </c>
      <c r="J4739" t="s">
        <v>128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 t="shared" si="2178"/>
        <v>14:49:56.578</v>
      </c>
      <c r="T4739" t="str">
        <f t="shared" si="2179"/>
        <v>14:49:56.378</v>
      </c>
      <c r="U4739" t="str">
        <f t="shared" si="2181"/>
        <v>A9808D</v>
      </c>
      <c r="V4739">
        <v>0</v>
      </c>
      <c r="W4739">
        <v>0</v>
      </c>
      <c r="X4739">
        <v>1</v>
      </c>
      <c r="Z4739">
        <v>0</v>
      </c>
      <c r="AA4739">
        <v>9</v>
      </c>
      <c r="AB4739">
        <v>3</v>
      </c>
      <c r="AC4739">
        <v>0</v>
      </c>
      <c r="AD4739">
        <v>10</v>
      </c>
      <c r="AE4739">
        <v>0</v>
      </c>
      <c r="AF4739">
        <v>3</v>
      </c>
      <c r="AG4739">
        <v>2</v>
      </c>
      <c r="AH4739">
        <v>0</v>
      </c>
      <c r="AI4739" t="s">
        <v>1057</v>
      </c>
      <c r="AJ4739">
        <v>28.241451000000001</v>
      </c>
      <c r="AK4739" t="s">
        <v>1058</v>
      </c>
      <c r="AL4739">
        <v>-82.349074000000002</v>
      </c>
      <c r="AM4739">
        <v>100</v>
      </c>
      <c r="AN4739">
        <v>2100</v>
      </c>
      <c r="AO4739" t="s">
        <v>118</v>
      </c>
      <c r="AP4739">
        <v>-134</v>
      </c>
      <c r="AQ4739">
        <v>-44</v>
      </c>
      <c r="AR4739">
        <v>-256</v>
      </c>
      <c r="AZ4739">
        <v>1200</v>
      </c>
      <c r="BA4739">
        <v>1</v>
      </c>
      <c r="BB4739" t="str">
        <f t="shared" si="2160"/>
        <v xml:space="preserve">N711JA  </v>
      </c>
      <c r="BC4739">
        <v>1</v>
      </c>
      <c r="BE4739">
        <v>0</v>
      </c>
      <c r="BF4739">
        <v>0</v>
      </c>
      <c r="BG4739">
        <v>0</v>
      </c>
      <c r="BH4739">
        <v>2150</v>
      </c>
      <c r="BI4739">
        <v>1</v>
      </c>
      <c r="BJ4739">
        <v>1</v>
      </c>
      <c r="BK4739">
        <v>0</v>
      </c>
      <c r="BL4739">
        <v>0</v>
      </c>
      <c r="BO4739">
        <v>0</v>
      </c>
      <c r="BP4739">
        <v>0</v>
      </c>
      <c r="BW4739" t="str">
        <f t="shared" si="2180"/>
        <v>14:49:56.579</v>
      </c>
      <c r="CJ4739">
        <v>0</v>
      </c>
      <c r="CK4739">
        <v>2</v>
      </c>
      <c r="CL4739">
        <v>0</v>
      </c>
      <c r="CM4739">
        <v>2</v>
      </c>
      <c r="CN4739">
        <v>0</v>
      </c>
      <c r="CO4739">
        <v>7</v>
      </c>
      <c r="CP4739" t="s">
        <v>119</v>
      </c>
      <c r="CQ4739">
        <v>8</v>
      </c>
      <c r="CR4739">
        <v>3</v>
      </c>
      <c r="CW4739">
        <v>9191229</v>
      </c>
      <c r="CY4739">
        <v>1</v>
      </c>
      <c r="CZ4739">
        <v>0</v>
      </c>
      <c r="DA4739">
        <v>1</v>
      </c>
      <c r="DB4739">
        <v>0</v>
      </c>
      <c r="DC4739">
        <v>0</v>
      </c>
      <c r="DD4739">
        <v>1</v>
      </c>
      <c r="DE4739">
        <v>0</v>
      </c>
      <c r="DF4739">
        <v>0</v>
      </c>
      <c r="DG4739">
        <v>0</v>
      </c>
      <c r="DH4739">
        <v>0</v>
      </c>
      <c r="DI4739">
        <v>0</v>
      </c>
    </row>
    <row r="4740" spans="1:113" x14ac:dyDescent="0.3">
      <c r="A4740" t="str">
        <f t="shared" ref="A4740:A4748" si="2182">"05/12/2020 14:49:39.875"</f>
        <v>05/12/2020 14:49:39.875</v>
      </c>
      <c r="C4740" t="str">
        <f t="shared" si="2159"/>
        <v>FFDFD3C0</v>
      </c>
      <c r="D4740" t="s">
        <v>131</v>
      </c>
      <c r="E4740">
        <v>10</v>
      </c>
      <c r="F4740">
        <v>2010</v>
      </c>
      <c r="G4740" t="s">
        <v>132</v>
      </c>
      <c r="J4740" t="s">
        <v>133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 t="shared" ref="S4740:S4748" si="2183">"14:49:57.711"</f>
        <v>14:49:57.711</v>
      </c>
      <c r="T4740" t="str">
        <f t="shared" ref="T4740:T4748" si="2184">"14:49:57.311"</f>
        <v>14:49:57.311</v>
      </c>
      <c r="U4740" t="str">
        <f t="shared" si="2181"/>
        <v>A9808D</v>
      </c>
      <c r="V4740">
        <v>0</v>
      </c>
      <c r="W4740">
        <v>0</v>
      </c>
      <c r="X4740">
        <v>1</v>
      </c>
      <c r="Z4740">
        <v>0</v>
      </c>
      <c r="AA4740">
        <v>9</v>
      </c>
      <c r="AB4740">
        <v>3</v>
      </c>
      <c r="AC4740">
        <v>0</v>
      </c>
      <c r="AD4740">
        <v>10</v>
      </c>
      <c r="AE4740">
        <v>0</v>
      </c>
      <c r="AF4740">
        <v>3</v>
      </c>
      <c r="AG4740">
        <v>2</v>
      </c>
      <c r="AH4740">
        <v>0</v>
      </c>
      <c r="AI4740" t="s">
        <v>1059</v>
      </c>
      <c r="AJ4740">
        <v>28.241192999999999</v>
      </c>
      <c r="AK4740" t="s">
        <v>1060</v>
      </c>
      <c r="AL4740">
        <v>-82.349845999999999</v>
      </c>
      <c r="AM4740">
        <v>100</v>
      </c>
      <c r="AN4740">
        <v>2100</v>
      </c>
      <c r="AO4740" t="s">
        <v>118</v>
      </c>
      <c r="AP4740">
        <v>-133</v>
      </c>
      <c r="AQ4740">
        <v>-44</v>
      </c>
      <c r="AR4740">
        <v>-128</v>
      </c>
      <c r="AZ4740">
        <v>1200</v>
      </c>
      <c r="BA4740">
        <v>1</v>
      </c>
      <c r="BB4740" t="str">
        <f t="shared" si="2160"/>
        <v xml:space="preserve">N711JA  </v>
      </c>
      <c r="BC4740">
        <v>1</v>
      </c>
      <c r="BE4740">
        <v>0</v>
      </c>
      <c r="BF4740">
        <v>0</v>
      </c>
      <c r="BG4740">
        <v>0</v>
      </c>
      <c r="BH4740">
        <v>2125</v>
      </c>
      <c r="BI4740">
        <v>1</v>
      </c>
      <c r="BJ4740">
        <v>1</v>
      </c>
      <c r="BK4740">
        <v>0</v>
      </c>
      <c r="BL4740">
        <v>0</v>
      </c>
      <c r="BO4740">
        <v>0</v>
      </c>
      <c r="BP4740">
        <v>0</v>
      </c>
      <c r="BW4740" t="str">
        <f t="shared" ref="BW4740:BW4748" si="2185">"14:49:57.712"</f>
        <v>14:49:57.712</v>
      </c>
      <c r="CJ4740">
        <v>0</v>
      </c>
      <c r="CK4740">
        <v>2</v>
      </c>
      <c r="CL4740">
        <v>0</v>
      </c>
      <c r="CM4740">
        <v>2</v>
      </c>
      <c r="CN4740">
        <v>0</v>
      </c>
      <c r="CO4740">
        <v>7</v>
      </c>
      <c r="CP4740" t="s">
        <v>119</v>
      </c>
      <c r="CQ4740">
        <v>8</v>
      </c>
      <c r="CR4740">
        <v>3</v>
      </c>
      <c r="CW4740">
        <v>9192428</v>
      </c>
      <c r="CY4740">
        <v>1</v>
      </c>
      <c r="CZ4740">
        <v>0</v>
      </c>
      <c r="DA4740">
        <v>0</v>
      </c>
      <c r="DB4740">
        <v>0</v>
      </c>
      <c r="DC4740">
        <v>0</v>
      </c>
      <c r="DD4740">
        <v>1</v>
      </c>
      <c r="DE4740">
        <v>0</v>
      </c>
      <c r="DF4740">
        <v>0</v>
      </c>
      <c r="DG4740">
        <v>0</v>
      </c>
      <c r="DH4740">
        <v>0</v>
      </c>
      <c r="DI4740">
        <v>0</v>
      </c>
    </row>
    <row r="4741" spans="1:113" x14ac:dyDescent="0.3">
      <c r="A4741" t="str">
        <f t="shared" si="2182"/>
        <v>05/12/2020 14:49:39.875</v>
      </c>
      <c r="C4741" t="str">
        <f t="shared" si="2159"/>
        <v>FFDFD3C0</v>
      </c>
      <c r="D4741" t="s">
        <v>131</v>
      </c>
      <c r="E4741">
        <v>12</v>
      </c>
      <c r="F4741">
        <v>2012</v>
      </c>
      <c r="G4741" t="s">
        <v>137</v>
      </c>
      <c r="J4741" t="s">
        <v>133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 t="shared" si="2183"/>
        <v>14:49:57.711</v>
      </c>
      <c r="T4741" t="str">
        <f t="shared" si="2184"/>
        <v>14:49:57.311</v>
      </c>
      <c r="U4741" t="str">
        <f t="shared" si="2181"/>
        <v>A9808D</v>
      </c>
      <c r="V4741">
        <v>0</v>
      </c>
      <c r="W4741">
        <v>0</v>
      </c>
      <c r="X4741">
        <v>1</v>
      </c>
      <c r="Z4741">
        <v>0</v>
      </c>
      <c r="AA4741">
        <v>9</v>
      </c>
      <c r="AB4741">
        <v>3</v>
      </c>
      <c r="AC4741">
        <v>0</v>
      </c>
      <c r="AD4741">
        <v>10</v>
      </c>
      <c r="AE4741">
        <v>0</v>
      </c>
      <c r="AF4741">
        <v>3</v>
      </c>
      <c r="AG4741">
        <v>2</v>
      </c>
      <c r="AH4741">
        <v>0</v>
      </c>
      <c r="AI4741" t="s">
        <v>1059</v>
      </c>
      <c r="AJ4741">
        <v>28.241192999999999</v>
      </c>
      <c r="AK4741" t="s">
        <v>1060</v>
      </c>
      <c r="AL4741">
        <v>-82.349845999999999</v>
      </c>
      <c r="AM4741">
        <v>100</v>
      </c>
      <c r="AN4741">
        <v>2100</v>
      </c>
      <c r="AO4741" t="s">
        <v>118</v>
      </c>
      <c r="AP4741">
        <v>-133</v>
      </c>
      <c r="AQ4741">
        <v>-44</v>
      </c>
      <c r="AR4741">
        <v>-128</v>
      </c>
      <c r="AZ4741">
        <v>1200</v>
      </c>
      <c r="BA4741">
        <v>1</v>
      </c>
      <c r="BB4741" t="str">
        <f t="shared" si="2160"/>
        <v xml:space="preserve">N711JA  </v>
      </c>
      <c r="BC4741">
        <v>1</v>
      </c>
      <c r="BE4741">
        <v>0</v>
      </c>
      <c r="BF4741">
        <v>0</v>
      </c>
      <c r="BG4741">
        <v>0</v>
      </c>
      <c r="BH4741">
        <v>2125</v>
      </c>
      <c r="BI4741">
        <v>1</v>
      </c>
      <c r="BJ4741">
        <v>1</v>
      </c>
      <c r="BK4741">
        <v>0</v>
      </c>
      <c r="BL4741">
        <v>0</v>
      </c>
      <c r="BO4741">
        <v>0</v>
      </c>
      <c r="BP4741">
        <v>0</v>
      </c>
      <c r="BW4741" t="str">
        <f t="shared" si="2185"/>
        <v>14:49:57.712</v>
      </c>
      <c r="CJ4741">
        <v>0</v>
      </c>
      <c r="CK4741">
        <v>2</v>
      </c>
      <c r="CL4741">
        <v>0</v>
      </c>
      <c r="CM4741">
        <v>2</v>
      </c>
      <c r="CN4741">
        <v>0</v>
      </c>
      <c r="CO4741">
        <v>7</v>
      </c>
      <c r="CP4741" t="s">
        <v>119</v>
      </c>
      <c r="CQ4741">
        <v>8</v>
      </c>
      <c r="CR4741">
        <v>3</v>
      </c>
      <c r="CW4741">
        <v>9192428</v>
      </c>
      <c r="CY4741">
        <v>1</v>
      </c>
      <c r="CZ4741">
        <v>0</v>
      </c>
      <c r="DA4741">
        <v>1</v>
      </c>
      <c r="DB4741">
        <v>0</v>
      </c>
      <c r="DC4741">
        <v>0</v>
      </c>
      <c r="DD4741">
        <v>1</v>
      </c>
      <c r="DE4741">
        <v>0</v>
      </c>
      <c r="DF4741">
        <v>0</v>
      </c>
      <c r="DG4741">
        <v>0</v>
      </c>
      <c r="DH4741">
        <v>0</v>
      </c>
      <c r="DI4741">
        <v>0</v>
      </c>
    </row>
    <row r="4742" spans="1:113" x14ac:dyDescent="0.3">
      <c r="A4742" t="str">
        <f t="shared" si="2182"/>
        <v>05/12/2020 14:49:39.875</v>
      </c>
      <c r="C4742" t="str">
        <f t="shared" si="2159"/>
        <v>FFDFD3C0</v>
      </c>
      <c r="D4742" t="s">
        <v>131</v>
      </c>
      <c r="E4742">
        <v>18</v>
      </c>
      <c r="F4742">
        <v>2018</v>
      </c>
      <c r="G4742" t="s">
        <v>161</v>
      </c>
      <c r="J4742" t="s">
        <v>133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 t="shared" si="2183"/>
        <v>14:49:57.711</v>
      </c>
      <c r="T4742" t="str">
        <f t="shared" si="2184"/>
        <v>14:49:57.311</v>
      </c>
      <c r="U4742" t="str">
        <f t="shared" si="2181"/>
        <v>A9808D</v>
      </c>
      <c r="V4742">
        <v>0</v>
      </c>
      <c r="W4742">
        <v>0</v>
      </c>
      <c r="X4742">
        <v>1</v>
      </c>
      <c r="Z4742">
        <v>0</v>
      </c>
      <c r="AA4742">
        <v>9</v>
      </c>
      <c r="AB4742">
        <v>3</v>
      </c>
      <c r="AC4742">
        <v>0</v>
      </c>
      <c r="AD4742">
        <v>10</v>
      </c>
      <c r="AE4742">
        <v>0</v>
      </c>
      <c r="AF4742">
        <v>3</v>
      </c>
      <c r="AG4742">
        <v>2</v>
      </c>
      <c r="AH4742">
        <v>0</v>
      </c>
      <c r="AI4742" t="s">
        <v>1059</v>
      </c>
      <c r="AJ4742">
        <v>28.241192999999999</v>
      </c>
      <c r="AK4742" t="s">
        <v>1060</v>
      </c>
      <c r="AL4742">
        <v>-82.349845999999999</v>
      </c>
      <c r="AM4742">
        <v>100</v>
      </c>
      <c r="AN4742">
        <v>2100</v>
      </c>
      <c r="AO4742" t="s">
        <v>118</v>
      </c>
      <c r="AP4742">
        <v>-133</v>
      </c>
      <c r="AQ4742">
        <v>-44</v>
      </c>
      <c r="AR4742">
        <v>-128</v>
      </c>
      <c r="AZ4742">
        <v>1200</v>
      </c>
      <c r="BA4742">
        <v>1</v>
      </c>
      <c r="BB4742" t="str">
        <f t="shared" si="2160"/>
        <v xml:space="preserve">N711JA  </v>
      </c>
      <c r="BC4742">
        <v>1</v>
      </c>
      <c r="BE4742">
        <v>0</v>
      </c>
      <c r="BF4742">
        <v>0</v>
      </c>
      <c r="BG4742">
        <v>0</v>
      </c>
      <c r="BH4742">
        <v>2125</v>
      </c>
      <c r="BI4742">
        <v>1</v>
      </c>
      <c r="BJ4742">
        <v>1</v>
      </c>
      <c r="BK4742">
        <v>0</v>
      </c>
      <c r="BL4742">
        <v>0</v>
      </c>
      <c r="BO4742">
        <v>0</v>
      </c>
      <c r="BP4742">
        <v>0</v>
      </c>
      <c r="BW4742" t="str">
        <f t="shared" si="2185"/>
        <v>14:49:57.712</v>
      </c>
      <c r="CJ4742">
        <v>0</v>
      </c>
      <c r="CK4742">
        <v>2</v>
      </c>
      <c r="CL4742">
        <v>0</v>
      </c>
      <c r="CM4742">
        <v>2</v>
      </c>
      <c r="CN4742">
        <v>0</v>
      </c>
      <c r="CO4742">
        <v>7</v>
      </c>
      <c r="CP4742" t="s">
        <v>119</v>
      </c>
      <c r="CQ4742">
        <v>343</v>
      </c>
      <c r="CR4742">
        <v>1</v>
      </c>
      <c r="CW4742">
        <v>11068859</v>
      </c>
      <c r="CY4742">
        <v>1</v>
      </c>
      <c r="CZ4742">
        <v>0</v>
      </c>
      <c r="DA4742">
        <v>1</v>
      </c>
      <c r="DB4742">
        <v>0</v>
      </c>
      <c r="DC4742">
        <v>0</v>
      </c>
      <c r="DD4742">
        <v>1</v>
      </c>
      <c r="DE4742">
        <v>0</v>
      </c>
      <c r="DF4742">
        <v>0</v>
      </c>
      <c r="DG4742">
        <v>0</v>
      </c>
      <c r="DH4742">
        <v>0</v>
      </c>
      <c r="DI4742">
        <v>0</v>
      </c>
    </row>
    <row r="4743" spans="1:113" x14ac:dyDescent="0.3">
      <c r="A4743" t="str">
        <f t="shared" si="2182"/>
        <v>05/12/2020 14:49:39.875</v>
      </c>
      <c r="C4743" t="str">
        <f t="shared" si="2159"/>
        <v>FFDFD3C0</v>
      </c>
      <c r="D4743" t="s">
        <v>138</v>
      </c>
      <c r="E4743">
        <v>2</v>
      </c>
      <c r="H4743">
        <v>8</v>
      </c>
      <c r="I4743" t="s">
        <v>139</v>
      </c>
      <c r="J4743" t="s">
        <v>136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 t="shared" si="2183"/>
        <v>14:49:57.711</v>
      </c>
      <c r="T4743" t="str">
        <f t="shared" si="2184"/>
        <v>14:49:57.311</v>
      </c>
      <c r="U4743" t="str">
        <f t="shared" si="2181"/>
        <v>A9808D</v>
      </c>
      <c r="V4743">
        <v>0</v>
      </c>
      <c r="W4743">
        <v>0</v>
      </c>
      <c r="X4743">
        <v>1</v>
      </c>
      <c r="Z4743">
        <v>0</v>
      </c>
      <c r="AA4743">
        <v>9</v>
      </c>
      <c r="AB4743">
        <v>3</v>
      </c>
      <c r="AC4743">
        <v>0</v>
      </c>
      <c r="AD4743">
        <v>10</v>
      </c>
      <c r="AE4743">
        <v>0</v>
      </c>
      <c r="AF4743">
        <v>3</v>
      </c>
      <c r="AG4743">
        <v>2</v>
      </c>
      <c r="AH4743">
        <v>0</v>
      </c>
      <c r="AI4743" t="s">
        <v>1059</v>
      </c>
      <c r="AJ4743">
        <v>28.241192999999999</v>
      </c>
      <c r="AK4743" t="s">
        <v>1060</v>
      </c>
      <c r="AL4743">
        <v>-82.349845999999999</v>
      </c>
      <c r="AM4743">
        <v>100</v>
      </c>
      <c r="AN4743">
        <v>2100</v>
      </c>
      <c r="AO4743" t="s">
        <v>118</v>
      </c>
      <c r="AP4743">
        <v>-133</v>
      </c>
      <c r="AQ4743">
        <v>-44</v>
      </c>
      <c r="AR4743">
        <v>-128</v>
      </c>
      <c r="AZ4743">
        <v>1200</v>
      </c>
      <c r="BA4743">
        <v>1</v>
      </c>
      <c r="BB4743" t="str">
        <f t="shared" si="2160"/>
        <v xml:space="preserve">N711JA  </v>
      </c>
      <c r="BC4743">
        <v>1</v>
      </c>
      <c r="BE4743">
        <v>0</v>
      </c>
      <c r="BF4743">
        <v>0</v>
      </c>
      <c r="BG4743">
        <v>0</v>
      </c>
      <c r="BH4743">
        <v>2125</v>
      </c>
      <c r="BI4743">
        <v>1</v>
      </c>
      <c r="BJ4743">
        <v>1</v>
      </c>
      <c r="BK4743">
        <v>0</v>
      </c>
      <c r="BL4743">
        <v>0</v>
      </c>
      <c r="BO4743">
        <v>0</v>
      </c>
      <c r="BP4743">
        <v>0</v>
      </c>
      <c r="BW4743" t="str">
        <f t="shared" si="2185"/>
        <v>14:49:57.712</v>
      </c>
      <c r="CJ4743">
        <v>0</v>
      </c>
      <c r="CK4743">
        <v>2</v>
      </c>
      <c r="CL4743">
        <v>0</v>
      </c>
      <c r="CM4743">
        <v>2</v>
      </c>
      <c r="CN4743">
        <v>0</v>
      </c>
      <c r="CO4743">
        <v>7</v>
      </c>
      <c r="CP4743" t="s">
        <v>119</v>
      </c>
      <c r="CQ4743">
        <v>8</v>
      </c>
      <c r="CR4743">
        <v>3</v>
      </c>
      <c r="CW4743">
        <v>9192428</v>
      </c>
      <c r="CY4743">
        <v>1</v>
      </c>
      <c r="CZ4743">
        <v>0</v>
      </c>
      <c r="DA4743">
        <v>1</v>
      </c>
      <c r="DB4743">
        <v>0</v>
      </c>
      <c r="DC4743">
        <v>0</v>
      </c>
      <c r="DD4743">
        <v>1</v>
      </c>
      <c r="DE4743">
        <v>0</v>
      </c>
      <c r="DF4743">
        <v>0</v>
      </c>
      <c r="DG4743">
        <v>0</v>
      </c>
      <c r="DH4743">
        <v>0</v>
      </c>
      <c r="DI4743">
        <v>0</v>
      </c>
    </row>
    <row r="4744" spans="1:113" x14ac:dyDescent="0.3">
      <c r="A4744" t="str">
        <f t="shared" si="2182"/>
        <v>05/12/2020 14:49:39.875</v>
      </c>
      <c r="C4744" t="str">
        <f t="shared" si="2159"/>
        <v>FFDFD3C0</v>
      </c>
      <c r="D4744" t="s">
        <v>113</v>
      </c>
      <c r="E4744">
        <v>3</v>
      </c>
      <c r="H4744">
        <v>164</v>
      </c>
      <c r="I4744" t="s">
        <v>114</v>
      </c>
      <c r="J4744" t="s">
        <v>115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 t="shared" si="2183"/>
        <v>14:49:57.711</v>
      </c>
      <c r="T4744" t="str">
        <f t="shared" si="2184"/>
        <v>14:49:57.311</v>
      </c>
      <c r="U4744" t="str">
        <f t="shared" si="2181"/>
        <v>A9808D</v>
      </c>
      <c r="V4744">
        <v>0</v>
      </c>
      <c r="W4744">
        <v>0</v>
      </c>
      <c r="X4744">
        <v>1</v>
      </c>
      <c r="Z4744">
        <v>0</v>
      </c>
      <c r="AA4744">
        <v>9</v>
      </c>
      <c r="AB4744">
        <v>3</v>
      </c>
      <c r="AC4744">
        <v>0</v>
      </c>
      <c r="AD4744">
        <v>10</v>
      </c>
      <c r="AE4744">
        <v>0</v>
      </c>
      <c r="AF4744">
        <v>3</v>
      </c>
      <c r="AG4744">
        <v>2</v>
      </c>
      <c r="AH4744">
        <v>0</v>
      </c>
      <c r="AI4744" t="s">
        <v>1059</v>
      </c>
      <c r="AJ4744">
        <v>28.241192999999999</v>
      </c>
      <c r="AK4744" t="s">
        <v>1060</v>
      </c>
      <c r="AL4744">
        <v>-82.349845999999999</v>
      </c>
      <c r="AM4744">
        <v>100</v>
      </c>
      <c r="AN4744">
        <v>2100</v>
      </c>
      <c r="AO4744" t="s">
        <v>118</v>
      </c>
      <c r="AP4744">
        <v>-133</v>
      </c>
      <c r="AQ4744">
        <v>-44</v>
      </c>
      <c r="AR4744">
        <v>-128</v>
      </c>
      <c r="AZ4744">
        <v>1200</v>
      </c>
      <c r="BA4744">
        <v>1</v>
      </c>
      <c r="BB4744" t="str">
        <f t="shared" si="2160"/>
        <v xml:space="preserve">N711JA  </v>
      </c>
      <c r="BC4744">
        <v>1</v>
      </c>
      <c r="BE4744">
        <v>0</v>
      </c>
      <c r="BF4744">
        <v>0</v>
      </c>
      <c r="BG4744">
        <v>0</v>
      </c>
      <c r="BH4744">
        <v>2125</v>
      </c>
      <c r="BI4744">
        <v>1</v>
      </c>
      <c r="BJ4744">
        <v>1</v>
      </c>
      <c r="BK4744">
        <v>0</v>
      </c>
      <c r="BL4744">
        <v>0</v>
      </c>
      <c r="BO4744">
        <v>0</v>
      </c>
      <c r="BP4744">
        <v>0</v>
      </c>
      <c r="BW4744" t="str">
        <f t="shared" si="2185"/>
        <v>14:49:57.712</v>
      </c>
      <c r="CJ4744">
        <v>0</v>
      </c>
      <c r="CK4744">
        <v>2</v>
      </c>
      <c r="CL4744">
        <v>0</v>
      </c>
      <c r="CM4744">
        <v>2</v>
      </c>
      <c r="CN4744">
        <v>0</v>
      </c>
      <c r="CO4744">
        <v>7</v>
      </c>
      <c r="CP4744" t="s">
        <v>119</v>
      </c>
      <c r="CQ4744">
        <v>8</v>
      </c>
      <c r="CR4744">
        <v>3</v>
      </c>
      <c r="CW4744">
        <v>9192428</v>
      </c>
      <c r="CY4744">
        <v>1</v>
      </c>
      <c r="CZ4744">
        <v>0</v>
      </c>
      <c r="DA4744">
        <v>1</v>
      </c>
      <c r="DB4744">
        <v>0</v>
      </c>
      <c r="DC4744">
        <v>0</v>
      </c>
      <c r="DD4744">
        <v>1</v>
      </c>
      <c r="DE4744">
        <v>0</v>
      </c>
      <c r="DF4744">
        <v>0</v>
      </c>
      <c r="DG4744">
        <v>0</v>
      </c>
      <c r="DH4744">
        <v>0</v>
      </c>
      <c r="DI4744">
        <v>0</v>
      </c>
    </row>
    <row r="4745" spans="1:113" x14ac:dyDescent="0.3">
      <c r="A4745" t="str">
        <f t="shared" si="2182"/>
        <v>05/12/2020 14:49:39.875</v>
      </c>
      <c r="C4745" t="str">
        <f t="shared" si="2159"/>
        <v>FFDFD3C0</v>
      </c>
      <c r="D4745" t="s">
        <v>138</v>
      </c>
      <c r="E4745">
        <v>3</v>
      </c>
      <c r="H4745">
        <v>9</v>
      </c>
      <c r="I4745" t="s">
        <v>140</v>
      </c>
      <c r="J4745" t="s">
        <v>136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 t="shared" si="2183"/>
        <v>14:49:57.711</v>
      </c>
      <c r="T4745" t="str">
        <f t="shared" si="2184"/>
        <v>14:49:57.311</v>
      </c>
      <c r="U4745" t="str">
        <f t="shared" si="2181"/>
        <v>A9808D</v>
      </c>
      <c r="V4745">
        <v>0</v>
      </c>
      <c r="W4745">
        <v>0</v>
      </c>
      <c r="X4745">
        <v>1</v>
      </c>
      <c r="Z4745">
        <v>0</v>
      </c>
      <c r="AA4745">
        <v>9</v>
      </c>
      <c r="AB4745">
        <v>3</v>
      </c>
      <c r="AC4745">
        <v>0</v>
      </c>
      <c r="AD4745">
        <v>10</v>
      </c>
      <c r="AE4745">
        <v>0</v>
      </c>
      <c r="AF4745">
        <v>3</v>
      </c>
      <c r="AG4745">
        <v>2</v>
      </c>
      <c r="AH4745">
        <v>0</v>
      </c>
      <c r="AI4745" t="s">
        <v>1059</v>
      </c>
      <c r="AJ4745">
        <v>28.241192999999999</v>
      </c>
      <c r="AK4745" t="s">
        <v>1060</v>
      </c>
      <c r="AL4745">
        <v>-82.349845999999999</v>
      </c>
      <c r="AM4745">
        <v>100</v>
      </c>
      <c r="AN4745">
        <v>2100</v>
      </c>
      <c r="AO4745" t="s">
        <v>118</v>
      </c>
      <c r="AP4745">
        <v>-133</v>
      </c>
      <c r="AQ4745">
        <v>-44</v>
      </c>
      <c r="AR4745">
        <v>-128</v>
      </c>
      <c r="AZ4745">
        <v>1200</v>
      </c>
      <c r="BA4745">
        <v>1</v>
      </c>
      <c r="BB4745" t="str">
        <f t="shared" si="2160"/>
        <v xml:space="preserve">N711JA  </v>
      </c>
      <c r="BC4745">
        <v>1</v>
      </c>
      <c r="BE4745">
        <v>0</v>
      </c>
      <c r="BF4745">
        <v>0</v>
      </c>
      <c r="BG4745">
        <v>0</v>
      </c>
      <c r="BH4745">
        <v>2125</v>
      </c>
      <c r="BI4745">
        <v>1</v>
      </c>
      <c r="BJ4745">
        <v>1</v>
      </c>
      <c r="BK4745">
        <v>0</v>
      </c>
      <c r="BL4745">
        <v>0</v>
      </c>
      <c r="BO4745">
        <v>0</v>
      </c>
      <c r="BP4745">
        <v>0</v>
      </c>
      <c r="BW4745" t="str">
        <f t="shared" si="2185"/>
        <v>14:49:57.712</v>
      </c>
      <c r="CJ4745">
        <v>0</v>
      </c>
      <c r="CK4745">
        <v>2</v>
      </c>
      <c r="CL4745">
        <v>0</v>
      </c>
      <c r="CM4745">
        <v>2</v>
      </c>
      <c r="CN4745">
        <v>0</v>
      </c>
      <c r="CO4745">
        <v>7</v>
      </c>
      <c r="CP4745" t="s">
        <v>119</v>
      </c>
      <c r="CQ4745">
        <v>8</v>
      </c>
      <c r="CR4745">
        <v>3</v>
      </c>
      <c r="CW4745">
        <v>9192428</v>
      </c>
      <c r="CY4745">
        <v>1</v>
      </c>
      <c r="CZ4745">
        <v>0</v>
      </c>
      <c r="DA4745">
        <v>1</v>
      </c>
      <c r="DB4745">
        <v>0</v>
      </c>
      <c r="DC4745">
        <v>0</v>
      </c>
      <c r="DD4745">
        <v>1</v>
      </c>
      <c r="DE4745">
        <v>0</v>
      </c>
      <c r="DF4745">
        <v>0</v>
      </c>
      <c r="DG4745">
        <v>0</v>
      </c>
      <c r="DH4745">
        <v>0</v>
      </c>
      <c r="DI4745">
        <v>0</v>
      </c>
    </row>
    <row r="4746" spans="1:113" x14ac:dyDescent="0.3">
      <c r="A4746" t="str">
        <f t="shared" si="2182"/>
        <v>05/12/2020 14:49:39.875</v>
      </c>
      <c r="C4746" t="str">
        <f t="shared" si="2159"/>
        <v>FFDFD3C0</v>
      </c>
      <c r="D4746" t="s">
        <v>126</v>
      </c>
      <c r="E4746">
        <v>6</v>
      </c>
      <c r="F4746">
        <v>1006</v>
      </c>
      <c r="G4746" t="s">
        <v>114</v>
      </c>
      <c r="J4746" t="s">
        <v>128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 t="shared" si="2183"/>
        <v>14:49:57.711</v>
      </c>
      <c r="T4746" t="str">
        <f t="shared" si="2184"/>
        <v>14:49:57.311</v>
      </c>
      <c r="U4746" t="str">
        <f t="shared" si="2181"/>
        <v>A9808D</v>
      </c>
      <c r="V4746">
        <v>0</v>
      </c>
      <c r="W4746">
        <v>0</v>
      </c>
      <c r="X4746">
        <v>1</v>
      </c>
      <c r="Z4746">
        <v>0</v>
      </c>
      <c r="AA4746">
        <v>9</v>
      </c>
      <c r="AB4746">
        <v>3</v>
      </c>
      <c r="AC4746">
        <v>0</v>
      </c>
      <c r="AD4746">
        <v>10</v>
      </c>
      <c r="AE4746">
        <v>0</v>
      </c>
      <c r="AF4746">
        <v>3</v>
      </c>
      <c r="AG4746">
        <v>2</v>
      </c>
      <c r="AH4746">
        <v>0</v>
      </c>
      <c r="AI4746" t="s">
        <v>1059</v>
      </c>
      <c r="AJ4746">
        <v>28.241192999999999</v>
      </c>
      <c r="AK4746" t="s">
        <v>1060</v>
      </c>
      <c r="AL4746">
        <v>-82.349845999999999</v>
      </c>
      <c r="AM4746">
        <v>100</v>
      </c>
      <c r="AN4746">
        <v>2100</v>
      </c>
      <c r="AO4746" t="s">
        <v>118</v>
      </c>
      <c r="AP4746">
        <v>-133</v>
      </c>
      <c r="AQ4746">
        <v>-44</v>
      </c>
      <c r="AR4746">
        <v>-128</v>
      </c>
      <c r="AZ4746">
        <v>1200</v>
      </c>
      <c r="BA4746">
        <v>1</v>
      </c>
      <c r="BB4746" t="str">
        <f t="shared" si="2160"/>
        <v xml:space="preserve">N711JA  </v>
      </c>
      <c r="BC4746">
        <v>1</v>
      </c>
      <c r="BE4746">
        <v>0</v>
      </c>
      <c r="BF4746">
        <v>0</v>
      </c>
      <c r="BG4746">
        <v>0</v>
      </c>
      <c r="BH4746">
        <v>2125</v>
      </c>
      <c r="BI4746">
        <v>1</v>
      </c>
      <c r="BJ4746">
        <v>1</v>
      </c>
      <c r="BK4746">
        <v>0</v>
      </c>
      <c r="BL4746">
        <v>0</v>
      </c>
      <c r="BO4746">
        <v>0</v>
      </c>
      <c r="BP4746">
        <v>0</v>
      </c>
      <c r="BW4746" t="str">
        <f t="shared" si="2185"/>
        <v>14:49:57.712</v>
      </c>
      <c r="CJ4746">
        <v>0</v>
      </c>
      <c r="CK4746">
        <v>2</v>
      </c>
      <c r="CL4746">
        <v>0</v>
      </c>
      <c r="CM4746">
        <v>2</v>
      </c>
      <c r="CN4746">
        <v>0</v>
      </c>
      <c r="CO4746">
        <v>7</v>
      </c>
      <c r="CP4746" t="s">
        <v>119</v>
      </c>
      <c r="CQ4746">
        <v>8</v>
      </c>
      <c r="CR4746">
        <v>3</v>
      </c>
      <c r="CW4746">
        <v>9192428</v>
      </c>
      <c r="CY4746">
        <v>1</v>
      </c>
      <c r="CZ4746">
        <v>0</v>
      </c>
      <c r="DA4746">
        <v>1</v>
      </c>
      <c r="DB4746">
        <v>0</v>
      </c>
      <c r="DC4746">
        <v>0</v>
      </c>
      <c r="DD4746">
        <v>1</v>
      </c>
      <c r="DE4746">
        <v>0</v>
      </c>
      <c r="DF4746">
        <v>0</v>
      </c>
      <c r="DG4746">
        <v>0</v>
      </c>
      <c r="DH4746">
        <v>0</v>
      </c>
      <c r="DI4746">
        <v>0</v>
      </c>
    </row>
    <row r="4747" spans="1:113" x14ac:dyDescent="0.3">
      <c r="A4747" t="str">
        <f t="shared" si="2182"/>
        <v>05/12/2020 14:49:39.875</v>
      </c>
      <c r="C4747" t="str">
        <f t="shared" si="2159"/>
        <v>FFDFD3C0</v>
      </c>
      <c r="D4747" t="s">
        <v>134</v>
      </c>
      <c r="E4747">
        <v>12</v>
      </c>
      <c r="H4747">
        <v>64</v>
      </c>
      <c r="I4747" t="s">
        <v>135</v>
      </c>
      <c r="J4747" t="s">
        <v>136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 t="shared" si="2183"/>
        <v>14:49:57.711</v>
      </c>
      <c r="T4747" t="str">
        <f t="shared" si="2184"/>
        <v>14:49:57.311</v>
      </c>
      <c r="U4747" t="str">
        <f t="shared" si="2181"/>
        <v>A9808D</v>
      </c>
      <c r="V4747">
        <v>0</v>
      </c>
      <c r="W4747">
        <v>0</v>
      </c>
      <c r="X4747">
        <v>1</v>
      </c>
      <c r="Z4747">
        <v>0</v>
      </c>
      <c r="AA4747">
        <v>9</v>
      </c>
      <c r="AB4747">
        <v>3</v>
      </c>
      <c r="AC4747">
        <v>0</v>
      </c>
      <c r="AD4747">
        <v>10</v>
      </c>
      <c r="AE4747">
        <v>0</v>
      </c>
      <c r="AF4747">
        <v>3</v>
      </c>
      <c r="AG4747">
        <v>2</v>
      </c>
      <c r="AH4747">
        <v>0</v>
      </c>
      <c r="AI4747" t="s">
        <v>1059</v>
      </c>
      <c r="AJ4747">
        <v>28.241192999999999</v>
      </c>
      <c r="AK4747" t="s">
        <v>1060</v>
      </c>
      <c r="AL4747">
        <v>-82.349845999999999</v>
      </c>
      <c r="AM4747">
        <v>100</v>
      </c>
      <c r="AN4747">
        <v>2100</v>
      </c>
      <c r="AO4747" t="s">
        <v>118</v>
      </c>
      <c r="AP4747">
        <v>-133</v>
      </c>
      <c r="AQ4747">
        <v>-44</v>
      </c>
      <c r="AR4747">
        <v>-128</v>
      </c>
      <c r="AZ4747">
        <v>1200</v>
      </c>
      <c r="BA4747">
        <v>1</v>
      </c>
      <c r="BB4747" t="str">
        <f t="shared" si="2160"/>
        <v xml:space="preserve">N711JA  </v>
      </c>
      <c r="BC4747">
        <v>1</v>
      </c>
      <c r="BE4747">
        <v>0</v>
      </c>
      <c r="BF4747">
        <v>0</v>
      </c>
      <c r="BG4747">
        <v>0</v>
      </c>
      <c r="BH4747">
        <v>2125</v>
      </c>
      <c r="BI4747">
        <v>1</v>
      </c>
      <c r="BJ4747">
        <v>1</v>
      </c>
      <c r="BK4747">
        <v>0</v>
      </c>
      <c r="BL4747">
        <v>0</v>
      </c>
      <c r="BO4747">
        <v>0</v>
      </c>
      <c r="BP4747">
        <v>0</v>
      </c>
      <c r="BW4747" t="str">
        <f t="shared" si="2185"/>
        <v>14:49:57.712</v>
      </c>
      <c r="CJ4747">
        <v>0</v>
      </c>
      <c r="CK4747">
        <v>2</v>
      </c>
      <c r="CL4747">
        <v>0</v>
      </c>
      <c r="CM4747">
        <v>2</v>
      </c>
      <c r="CN4747">
        <v>0</v>
      </c>
      <c r="CO4747">
        <v>7</v>
      </c>
      <c r="CP4747" t="s">
        <v>119</v>
      </c>
      <c r="CQ4747">
        <v>8</v>
      </c>
      <c r="CR4747">
        <v>3</v>
      </c>
      <c r="CW4747">
        <v>9192428</v>
      </c>
      <c r="CY4747">
        <v>1</v>
      </c>
      <c r="CZ4747">
        <v>0</v>
      </c>
      <c r="DA4747">
        <v>1</v>
      </c>
      <c r="DB4747">
        <v>0</v>
      </c>
      <c r="DC4747">
        <v>0</v>
      </c>
      <c r="DD4747">
        <v>1</v>
      </c>
      <c r="DE4747">
        <v>0</v>
      </c>
      <c r="DF4747">
        <v>0</v>
      </c>
      <c r="DG4747">
        <v>0</v>
      </c>
      <c r="DH4747">
        <v>0</v>
      </c>
      <c r="DI4747">
        <v>0</v>
      </c>
    </row>
    <row r="4748" spans="1:113" x14ac:dyDescent="0.3">
      <c r="A4748" t="str">
        <f t="shared" si="2182"/>
        <v>05/12/2020 14:49:39.875</v>
      </c>
      <c r="C4748" t="str">
        <f t="shared" si="2159"/>
        <v>FFDFD3C0</v>
      </c>
      <c r="D4748" t="s">
        <v>126</v>
      </c>
      <c r="E4748">
        <v>7</v>
      </c>
      <c r="F4748">
        <v>1007</v>
      </c>
      <c r="G4748" t="s">
        <v>127</v>
      </c>
      <c r="J4748" t="s">
        <v>128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 t="shared" si="2183"/>
        <v>14:49:57.711</v>
      </c>
      <c r="T4748" t="str">
        <f t="shared" si="2184"/>
        <v>14:49:57.311</v>
      </c>
      <c r="U4748" t="str">
        <f t="shared" si="2181"/>
        <v>A9808D</v>
      </c>
      <c r="V4748">
        <v>0</v>
      </c>
      <c r="W4748">
        <v>0</v>
      </c>
      <c r="X4748">
        <v>1</v>
      </c>
      <c r="Z4748">
        <v>0</v>
      </c>
      <c r="AA4748">
        <v>9</v>
      </c>
      <c r="AB4748">
        <v>3</v>
      </c>
      <c r="AC4748">
        <v>0</v>
      </c>
      <c r="AD4748">
        <v>10</v>
      </c>
      <c r="AE4748">
        <v>0</v>
      </c>
      <c r="AF4748">
        <v>3</v>
      </c>
      <c r="AG4748">
        <v>2</v>
      </c>
      <c r="AH4748">
        <v>0</v>
      </c>
      <c r="AI4748" t="s">
        <v>1059</v>
      </c>
      <c r="AJ4748">
        <v>28.241192999999999</v>
      </c>
      <c r="AK4748" t="s">
        <v>1060</v>
      </c>
      <c r="AL4748">
        <v>-82.349845999999999</v>
      </c>
      <c r="AM4748">
        <v>100</v>
      </c>
      <c r="AN4748">
        <v>2100</v>
      </c>
      <c r="AO4748" t="s">
        <v>118</v>
      </c>
      <c r="AP4748">
        <v>-133</v>
      </c>
      <c r="AQ4748">
        <v>-44</v>
      </c>
      <c r="AR4748">
        <v>-128</v>
      </c>
      <c r="AZ4748">
        <v>1200</v>
      </c>
      <c r="BA4748">
        <v>1</v>
      </c>
      <c r="BB4748" t="str">
        <f t="shared" si="2160"/>
        <v xml:space="preserve">N711JA  </v>
      </c>
      <c r="BC4748">
        <v>1</v>
      </c>
      <c r="BE4748">
        <v>0</v>
      </c>
      <c r="BF4748">
        <v>0</v>
      </c>
      <c r="BG4748">
        <v>0</v>
      </c>
      <c r="BH4748">
        <v>2125</v>
      </c>
      <c r="BI4748">
        <v>1</v>
      </c>
      <c r="BJ4748">
        <v>1</v>
      </c>
      <c r="BK4748">
        <v>0</v>
      </c>
      <c r="BL4748">
        <v>0</v>
      </c>
      <c r="BO4748">
        <v>0</v>
      </c>
      <c r="BP4748">
        <v>0</v>
      </c>
      <c r="BW4748" t="str">
        <f t="shared" si="2185"/>
        <v>14:49:57.712</v>
      </c>
      <c r="CJ4748">
        <v>0</v>
      </c>
      <c r="CK4748">
        <v>2</v>
      </c>
      <c r="CL4748">
        <v>0</v>
      </c>
      <c r="CM4748">
        <v>2</v>
      </c>
      <c r="CN4748">
        <v>0</v>
      </c>
      <c r="CO4748">
        <v>7</v>
      </c>
      <c r="CP4748" t="s">
        <v>119</v>
      </c>
      <c r="CQ4748">
        <v>8</v>
      </c>
      <c r="CR4748">
        <v>3</v>
      </c>
      <c r="CW4748">
        <v>9192428</v>
      </c>
      <c r="CY4748">
        <v>1</v>
      </c>
      <c r="CZ4748">
        <v>0</v>
      </c>
      <c r="DA4748">
        <v>1</v>
      </c>
      <c r="DB4748">
        <v>0</v>
      </c>
      <c r="DC4748">
        <v>0</v>
      </c>
      <c r="DD4748">
        <v>1</v>
      </c>
      <c r="DE4748">
        <v>0</v>
      </c>
      <c r="DF4748">
        <v>0</v>
      </c>
      <c r="DG4748">
        <v>0</v>
      </c>
      <c r="DH4748">
        <v>0</v>
      </c>
      <c r="DI4748">
        <v>0</v>
      </c>
    </row>
    <row r="4749" spans="1:113" x14ac:dyDescent="0.3">
      <c r="A4749" t="str">
        <f t="shared" ref="A4749:A4757" si="2186">"05/12/2020 14:49:40.932"</f>
        <v>05/12/2020 14:49:40.932</v>
      </c>
      <c r="C4749" t="str">
        <f t="shared" si="2159"/>
        <v>FFDFD3C0</v>
      </c>
      <c r="D4749" t="s">
        <v>131</v>
      </c>
      <c r="E4749">
        <v>10</v>
      </c>
      <c r="F4749">
        <v>2010</v>
      </c>
      <c r="G4749" t="s">
        <v>132</v>
      </c>
      <c r="J4749" t="s">
        <v>133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 t="shared" ref="S4749:T4757" si="2187">"14:49:58.758"</f>
        <v>14:49:58.758</v>
      </c>
      <c r="T4749" t="str">
        <f t="shared" si="2187"/>
        <v>14:49:58.758</v>
      </c>
      <c r="U4749" t="str">
        <f t="shared" si="2181"/>
        <v>A9808D</v>
      </c>
      <c r="V4749">
        <v>0</v>
      </c>
      <c r="W4749">
        <v>0</v>
      </c>
      <c r="X4749">
        <v>1</v>
      </c>
      <c r="Z4749">
        <v>0</v>
      </c>
      <c r="AA4749">
        <v>9</v>
      </c>
      <c r="AB4749">
        <v>3</v>
      </c>
      <c r="AC4749">
        <v>0</v>
      </c>
      <c r="AD4749">
        <v>10</v>
      </c>
      <c r="AE4749">
        <v>0</v>
      </c>
      <c r="AF4749">
        <v>3</v>
      </c>
      <c r="AG4749">
        <v>2</v>
      </c>
      <c r="AH4749">
        <v>0</v>
      </c>
      <c r="AI4749" t="s">
        <v>1061</v>
      </c>
      <c r="AJ4749">
        <v>28.240957000000002</v>
      </c>
      <c r="AK4749" t="s">
        <v>1062</v>
      </c>
      <c r="AL4749">
        <v>-82.350596999999993</v>
      </c>
      <c r="AM4749">
        <v>100</v>
      </c>
      <c r="AN4749">
        <v>2100</v>
      </c>
      <c r="AO4749" t="s">
        <v>118</v>
      </c>
      <c r="AP4749">
        <v>-132</v>
      </c>
      <c r="AQ4749">
        <v>-45</v>
      </c>
      <c r="AR4749">
        <v>64</v>
      </c>
      <c r="AZ4749">
        <v>1200</v>
      </c>
      <c r="BA4749">
        <v>1</v>
      </c>
      <c r="BB4749" t="str">
        <f t="shared" si="2160"/>
        <v xml:space="preserve">N711JA  </v>
      </c>
      <c r="BC4749">
        <v>1</v>
      </c>
      <c r="BE4749">
        <v>0</v>
      </c>
      <c r="BF4749">
        <v>0</v>
      </c>
      <c r="BG4749">
        <v>0</v>
      </c>
      <c r="BH4749">
        <v>2125</v>
      </c>
      <c r="BI4749">
        <v>1</v>
      </c>
      <c r="BJ4749">
        <v>1</v>
      </c>
      <c r="BK4749">
        <v>0</v>
      </c>
      <c r="BL4749">
        <v>0</v>
      </c>
      <c r="BO4749">
        <v>0</v>
      </c>
      <c r="BP4749">
        <v>0</v>
      </c>
      <c r="BW4749" t="str">
        <f t="shared" ref="BW4749:BW4757" si="2188">"14:49:58.758"</f>
        <v>14:49:58.758</v>
      </c>
      <c r="CJ4749">
        <v>0</v>
      </c>
      <c r="CK4749">
        <v>2</v>
      </c>
      <c r="CL4749">
        <v>0</v>
      </c>
      <c r="CM4749">
        <v>2</v>
      </c>
      <c r="CN4749">
        <v>0</v>
      </c>
      <c r="CO4749">
        <v>7</v>
      </c>
      <c r="CP4749" t="s">
        <v>119</v>
      </c>
      <c r="CQ4749">
        <v>8</v>
      </c>
      <c r="CR4749">
        <v>3</v>
      </c>
      <c r="CW4749">
        <v>9193548</v>
      </c>
      <c r="CY4749">
        <v>1</v>
      </c>
      <c r="CZ4749">
        <v>0</v>
      </c>
      <c r="DA4749">
        <v>0</v>
      </c>
      <c r="DB4749">
        <v>0</v>
      </c>
      <c r="DC4749">
        <v>0</v>
      </c>
      <c r="DD4749">
        <v>1</v>
      </c>
      <c r="DE4749">
        <v>0</v>
      </c>
      <c r="DF4749">
        <v>0</v>
      </c>
      <c r="DG4749">
        <v>0</v>
      </c>
      <c r="DH4749">
        <v>0</v>
      </c>
      <c r="DI4749">
        <v>0</v>
      </c>
    </row>
    <row r="4750" spans="1:113" x14ac:dyDescent="0.3">
      <c r="A4750" t="str">
        <f t="shared" si="2186"/>
        <v>05/12/2020 14:49:40.932</v>
      </c>
      <c r="C4750" t="str">
        <f t="shared" si="2159"/>
        <v>FFDFD3C0</v>
      </c>
      <c r="D4750" t="s">
        <v>126</v>
      </c>
      <c r="E4750">
        <v>7</v>
      </c>
      <c r="F4750">
        <v>1007</v>
      </c>
      <c r="G4750" t="s">
        <v>127</v>
      </c>
      <c r="J4750" t="s">
        <v>128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 t="shared" si="2187"/>
        <v>14:49:58.758</v>
      </c>
      <c r="T4750" t="str">
        <f t="shared" si="2187"/>
        <v>14:49:58.758</v>
      </c>
      <c r="U4750" t="str">
        <f t="shared" si="2181"/>
        <v>A9808D</v>
      </c>
      <c r="V4750">
        <v>0</v>
      </c>
      <c r="W4750">
        <v>0</v>
      </c>
      <c r="X4750">
        <v>1</v>
      </c>
      <c r="Z4750">
        <v>0</v>
      </c>
      <c r="AA4750">
        <v>9</v>
      </c>
      <c r="AB4750">
        <v>3</v>
      </c>
      <c r="AC4750">
        <v>0</v>
      </c>
      <c r="AD4750">
        <v>10</v>
      </c>
      <c r="AE4750">
        <v>0</v>
      </c>
      <c r="AF4750">
        <v>3</v>
      </c>
      <c r="AG4750">
        <v>2</v>
      </c>
      <c r="AH4750">
        <v>0</v>
      </c>
      <c r="AI4750" t="s">
        <v>1061</v>
      </c>
      <c r="AJ4750">
        <v>28.240957000000002</v>
      </c>
      <c r="AK4750" t="s">
        <v>1062</v>
      </c>
      <c r="AL4750">
        <v>-82.350596999999993</v>
      </c>
      <c r="AM4750">
        <v>100</v>
      </c>
      <c r="AN4750">
        <v>2100</v>
      </c>
      <c r="AO4750" t="s">
        <v>118</v>
      </c>
      <c r="AP4750">
        <v>-132</v>
      </c>
      <c r="AQ4750">
        <v>-45</v>
      </c>
      <c r="AR4750">
        <v>64</v>
      </c>
      <c r="AZ4750">
        <v>1200</v>
      </c>
      <c r="BA4750">
        <v>1</v>
      </c>
      <c r="BB4750" t="str">
        <f t="shared" si="2160"/>
        <v xml:space="preserve">N711JA  </v>
      </c>
      <c r="BC4750">
        <v>1</v>
      </c>
      <c r="BE4750">
        <v>0</v>
      </c>
      <c r="BF4750">
        <v>0</v>
      </c>
      <c r="BG4750">
        <v>0</v>
      </c>
      <c r="BH4750">
        <v>2125</v>
      </c>
      <c r="BI4750">
        <v>1</v>
      </c>
      <c r="BJ4750">
        <v>1</v>
      </c>
      <c r="BK4750">
        <v>0</v>
      </c>
      <c r="BL4750">
        <v>0</v>
      </c>
      <c r="BO4750">
        <v>0</v>
      </c>
      <c r="BP4750">
        <v>0</v>
      </c>
      <c r="BW4750" t="str">
        <f t="shared" si="2188"/>
        <v>14:49:58.758</v>
      </c>
      <c r="CJ4750">
        <v>0</v>
      </c>
      <c r="CK4750">
        <v>2</v>
      </c>
      <c r="CL4750">
        <v>0</v>
      </c>
      <c r="CM4750">
        <v>2</v>
      </c>
      <c r="CN4750">
        <v>0</v>
      </c>
      <c r="CO4750">
        <v>7</v>
      </c>
      <c r="CP4750" t="s">
        <v>119</v>
      </c>
      <c r="CQ4750">
        <v>8</v>
      </c>
      <c r="CR4750">
        <v>3</v>
      </c>
      <c r="CW4750">
        <v>9193548</v>
      </c>
      <c r="CY4750">
        <v>1</v>
      </c>
      <c r="CZ4750">
        <v>0</v>
      </c>
      <c r="DA4750">
        <v>1</v>
      </c>
      <c r="DB4750">
        <v>0</v>
      </c>
      <c r="DC4750">
        <v>0</v>
      </c>
      <c r="DD4750">
        <v>1</v>
      </c>
      <c r="DE4750">
        <v>0</v>
      </c>
      <c r="DF4750">
        <v>0</v>
      </c>
      <c r="DG4750">
        <v>0</v>
      </c>
      <c r="DH4750">
        <v>0</v>
      </c>
      <c r="DI4750">
        <v>0</v>
      </c>
    </row>
    <row r="4751" spans="1:113" x14ac:dyDescent="0.3">
      <c r="A4751" t="str">
        <f t="shared" si="2186"/>
        <v>05/12/2020 14:49:40.932</v>
      </c>
      <c r="C4751" t="str">
        <f t="shared" si="2159"/>
        <v>FFDFD3C0</v>
      </c>
      <c r="D4751" t="s">
        <v>131</v>
      </c>
      <c r="E4751">
        <v>12</v>
      </c>
      <c r="F4751">
        <v>2012</v>
      </c>
      <c r="G4751" t="s">
        <v>137</v>
      </c>
      <c r="J4751" t="s">
        <v>133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 t="shared" si="2187"/>
        <v>14:49:58.758</v>
      </c>
      <c r="T4751" t="str">
        <f t="shared" si="2187"/>
        <v>14:49:58.758</v>
      </c>
      <c r="U4751" t="str">
        <f t="shared" si="2181"/>
        <v>A9808D</v>
      </c>
      <c r="V4751">
        <v>0</v>
      </c>
      <c r="W4751">
        <v>0</v>
      </c>
      <c r="X4751">
        <v>1</v>
      </c>
      <c r="Z4751">
        <v>0</v>
      </c>
      <c r="AA4751">
        <v>9</v>
      </c>
      <c r="AB4751">
        <v>3</v>
      </c>
      <c r="AC4751">
        <v>0</v>
      </c>
      <c r="AD4751">
        <v>10</v>
      </c>
      <c r="AE4751">
        <v>0</v>
      </c>
      <c r="AF4751">
        <v>3</v>
      </c>
      <c r="AG4751">
        <v>2</v>
      </c>
      <c r="AH4751">
        <v>0</v>
      </c>
      <c r="AI4751" t="s">
        <v>1061</v>
      </c>
      <c r="AJ4751">
        <v>28.240957000000002</v>
      </c>
      <c r="AK4751" t="s">
        <v>1062</v>
      </c>
      <c r="AL4751">
        <v>-82.350596999999993</v>
      </c>
      <c r="AM4751">
        <v>100</v>
      </c>
      <c r="AN4751">
        <v>2100</v>
      </c>
      <c r="AO4751" t="s">
        <v>118</v>
      </c>
      <c r="AP4751">
        <v>-132</v>
      </c>
      <c r="AQ4751">
        <v>-45</v>
      </c>
      <c r="AR4751">
        <v>64</v>
      </c>
      <c r="AZ4751">
        <v>1200</v>
      </c>
      <c r="BA4751">
        <v>1</v>
      </c>
      <c r="BB4751" t="str">
        <f t="shared" si="2160"/>
        <v xml:space="preserve">N711JA  </v>
      </c>
      <c r="BC4751">
        <v>1</v>
      </c>
      <c r="BE4751">
        <v>0</v>
      </c>
      <c r="BF4751">
        <v>0</v>
      </c>
      <c r="BG4751">
        <v>0</v>
      </c>
      <c r="BH4751">
        <v>2125</v>
      </c>
      <c r="BI4751">
        <v>1</v>
      </c>
      <c r="BJ4751">
        <v>1</v>
      </c>
      <c r="BK4751">
        <v>0</v>
      </c>
      <c r="BL4751">
        <v>0</v>
      </c>
      <c r="BO4751">
        <v>0</v>
      </c>
      <c r="BP4751">
        <v>0</v>
      </c>
      <c r="BW4751" t="str">
        <f t="shared" si="2188"/>
        <v>14:49:58.758</v>
      </c>
      <c r="CJ4751">
        <v>0</v>
      </c>
      <c r="CK4751">
        <v>2</v>
      </c>
      <c r="CL4751">
        <v>0</v>
      </c>
      <c r="CM4751">
        <v>2</v>
      </c>
      <c r="CN4751">
        <v>0</v>
      </c>
      <c r="CO4751">
        <v>7</v>
      </c>
      <c r="CP4751" t="s">
        <v>119</v>
      </c>
      <c r="CQ4751">
        <v>8</v>
      </c>
      <c r="CR4751">
        <v>3</v>
      </c>
      <c r="CW4751">
        <v>9193548</v>
      </c>
      <c r="CY4751">
        <v>1</v>
      </c>
      <c r="CZ4751">
        <v>0</v>
      </c>
      <c r="DA4751">
        <v>1</v>
      </c>
      <c r="DB4751">
        <v>0</v>
      </c>
      <c r="DC4751">
        <v>0</v>
      </c>
      <c r="DD4751">
        <v>1</v>
      </c>
      <c r="DE4751">
        <v>0</v>
      </c>
      <c r="DF4751">
        <v>0</v>
      </c>
      <c r="DG4751">
        <v>0</v>
      </c>
      <c r="DH4751">
        <v>0</v>
      </c>
      <c r="DI4751">
        <v>0</v>
      </c>
    </row>
    <row r="4752" spans="1:113" x14ac:dyDescent="0.3">
      <c r="A4752" t="str">
        <f t="shared" si="2186"/>
        <v>05/12/2020 14:49:40.932</v>
      </c>
      <c r="C4752" t="str">
        <f t="shared" si="2159"/>
        <v>FFDFD3C0</v>
      </c>
      <c r="D4752" t="s">
        <v>131</v>
      </c>
      <c r="E4752">
        <v>18</v>
      </c>
      <c r="F4752">
        <v>2018</v>
      </c>
      <c r="G4752" t="s">
        <v>161</v>
      </c>
      <c r="J4752" t="s">
        <v>133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 t="shared" si="2187"/>
        <v>14:49:58.758</v>
      </c>
      <c r="T4752" t="str">
        <f t="shared" si="2187"/>
        <v>14:49:58.758</v>
      </c>
      <c r="U4752" t="str">
        <f t="shared" si="2181"/>
        <v>A9808D</v>
      </c>
      <c r="V4752">
        <v>0</v>
      </c>
      <c r="W4752">
        <v>0</v>
      </c>
      <c r="X4752">
        <v>1</v>
      </c>
      <c r="Z4752">
        <v>0</v>
      </c>
      <c r="AA4752">
        <v>9</v>
      </c>
      <c r="AB4752">
        <v>3</v>
      </c>
      <c r="AC4752">
        <v>0</v>
      </c>
      <c r="AD4752">
        <v>10</v>
      </c>
      <c r="AE4752">
        <v>0</v>
      </c>
      <c r="AF4752">
        <v>3</v>
      </c>
      <c r="AG4752">
        <v>2</v>
      </c>
      <c r="AH4752">
        <v>0</v>
      </c>
      <c r="AI4752" t="s">
        <v>1061</v>
      </c>
      <c r="AJ4752">
        <v>28.240957000000002</v>
      </c>
      <c r="AK4752" t="s">
        <v>1062</v>
      </c>
      <c r="AL4752">
        <v>-82.350596999999993</v>
      </c>
      <c r="AM4752">
        <v>100</v>
      </c>
      <c r="AN4752">
        <v>2100</v>
      </c>
      <c r="AO4752" t="s">
        <v>118</v>
      </c>
      <c r="AP4752">
        <v>-132</v>
      </c>
      <c r="AQ4752">
        <v>-45</v>
      </c>
      <c r="AR4752">
        <v>64</v>
      </c>
      <c r="AZ4752">
        <v>1200</v>
      </c>
      <c r="BA4752">
        <v>1</v>
      </c>
      <c r="BB4752" t="str">
        <f t="shared" si="2160"/>
        <v xml:space="preserve">N711JA  </v>
      </c>
      <c r="BC4752">
        <v>1</v>
      </c>
      <c r="BE4752">
        <v>0</v>
      </c>
      <c r="BF4752">
        <v>0</v>
      </c>
      <c r="BG4752">
        <v>0</v>
      </c>
      <c r="BH4752">
        <v>2125</v>
      </c>
      <c r="BI4752">
        <v>1</v>
      </c>
      <c r="BJ4752">
        <v>1</v>
      </c>
      <c r="BK4752">
        <v>0</v>
      </c>
      <c r="BL4752">
        <v>0</v>
      </c>
      <c r="BO4752">
        <v>0</v>
      </c>
      <c r="BP4752">
        <v>0</v>
      </c>
      <c r="BW4752" t="str">
        <f t="shared" si="2188"/>
        <v>14:49:58.758</v>
      </c>
      <c r="CJ4752">
        <v>0</v>
      </c>
      <c r="CK4752">
        <v>2</v>
      </c>
      <c r="CL4752">
        <v>0</v>
      </c>
      <c r="CM4752">
        <v>2</v>
      </c>
      <c r="CN4752">
        <v>0</v>
      </c>
      <c r="CO4752">
        <v>7</v>
      </c>
      <c r="CP4752" t="s">
        <v>119</v>
      </c>
      <c r="CQ4752">
        <v>343</v>
      </c>
      <c r="CR4752">
        <v>1</v>
      </c>
      <c r="CW4752">
        <v>11069927</v>
      </c>
      <c r="CY4752">
        <v>1</v>
      </c>
      <c r="CZ4752">
        <v>0</v>
      </c>
      <c r="DA4752">
        <v>1</v>
      </c>
      <c r="DB4752">
        <v>0</v>
      </c>
      <c r="DC4752">
        <v>0</v>
      </c>
      <c r="DD4752">
        <v>1</v>
      </c>
      <c r="DE4752">
        <v>0</v>
      </c>
      <c r="DF4752">
        <v>0</v>
      </c>
      <c r="DG4752">
        <v>0</v>
      </c>
      <c r="DH4752">
        <v>0</v>
      </c>
      <c r="DI4752">
        <v>0</v>
      </c>
    </row>
    <row r="4753" spans="1:113" x14ac:dyDescent="0.3">
      <c r="A4753" t="str">
        <f t="shared" si="2186"/>
        <v>05/12/2020 14:49:40.932</v>
      </c>
      <c r="C4753" t="str">
        <f t="shared" si="2159"/>
        <v>FFDFD3C0</v>
      </c>
      <c r="D4753" t="s">
        <v>126</v>
      </c>
      <c r="E4753">
        <v>6</v>
      </c>
      <c r="F4753">
        <v>1006</v>
      </c>
      <c r="G4753" t="s">
        <v>114</v>
      </c>
      <c r="J4753" t="s">
        <v>128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 t="shared" si="2187"/>
        <v>14:49:58.758</v>
      </c>
      <c r="T4753" t="str">
        <f t="shared" si="2187"/>
        <v>14:49:58.758</v>
      </c>
      <c r="U4753" t="str">
        <f t="shared" si="2181"/>
        <v>A9808D</v>
      </c>
      <c r="V4753">
        <v>0</v>
      </c>
      <c r="W4753">
        <v>0</v>
      </c>
      <c r="X4753">
        <v>1</v>
      </c>
      <c r="Z4753">
        <v>0</v>
      </c>
      <c r="AA4753">
        <v>9</v>
      </c>
      <c r="AB4753">
        <v>3</v>
      </c>
      <c r="AC4753">
        <v>0</v>
      </c>
      <c r="AD4753">
        <v>10</v>
      </c>
      <c r="AE4753">
        <v>0</v>
      </c>
      <c r="AF4753">
        <v>3</v>
      </c>
      <c r="AG4753">
        <v>2</v>
      </c>
      <c r="AH4753">
        <v>0</v>
      </c>
      <c r="AI4753" t="s">
        <v>1061</v>
      </c>
      <c r="AJ4753">
        <v>28.240957000000002</v>
      </c>
      <c r="AK4753" t="s">
        <v>1062</v>
      </c>
      <c r="AL4753">
        <v>-82.350596999999993</v>
      </c>
      <c r="AM4753">
        <v>100</v>
      </c>
      <c r="AN4753">
        <v>2100</v>
      </c>
      <c r="AO4753" t="s">
        <v>118</v>
      </c>
      <c r="AP4753">
        <v>-132</v>
      </c>
      <c r="AQ4753">
        <v>-45</v>
      </c>
      <c r="AR4753">
        <v>64</v>
      </c>
      <c r="AZ4753">
        <v>1200</v>
      </c>
      <c r="BA4753">
        <v>1</v>
      </c>
      <c r="BB4753" t="str">
        <f t="shared" si="2160"/>
        <v xml:space="preserve">N711JA  </v>
      </c>
      <c r="BC4753">
        <v>1</v>
      </c>
      <c r="BE4753">
        <v>0</v>
      </c>
      <c r="BF4753">
        <v>0</v>
      </c>
      <c r="BG4753">
        <v>0</v>
      </c>
      <c r="BH4753">
        <v>2125</v>
      </c>
      <c r="BI4753">
        <v>1</v>
      </c>
      <c r="BJ4753">
        <v>1</v>
      </c>
      <c r="BK4753">
        <v>0</v>
      </c>
      <c r="BL4753">
        <v>0</v>
      </c>
      <c r="BO4753">
        <v>0</v>
      </c>
      <c r="BP4753">
        <v>0</v>
      </c>
      <c r="BW4753" t="str">
        <f t="shared" si="2188"/>
        <v>14:49:58.758</v>
      </c>
      <c r="CJ4753">
        <v>0</v>
      </c>
      <c r="CK4753">
        <v>2</v>
      </c>
      <c r="CL4753">
        <v>0</v>
      </c>
      <c r="CM4753">
        <v>2</v>
      </c>
      <c r="CN4753">
        <v>0</v>
      </c>
      <c r="CO4753">
        <v>7</v>
      </c>
      <c r="CP4753" t="s">
        <v>119</v>
      </c>
      <c r="CQ4753">
        <v>8</v>
      </c>
      <c r="CR4753">
        <v>3</v>
      </c>
      <c r="CW4753">
        <v>9193548</v>
      </c>
      <c r="CY4753">
        <v>1</v>
      </c>
      <c r="CZ4753">
        <v>0</v>
      </c>
      <c r="DA4753">
        <v>1</v>
      </c>
      <c r="DB4753">
        <v>0</v>
      </c>
      <c r="DC4753">
        <v>0</v>
      </c>
      <c r="DD4753">
        <v>1</v>
      </c>
      <c r="DE4753">
        <v>0</v>
      </c>
      <c r="DF4753">
        <v>0</v>
      </c>
      <c r="DG4753">
        <v>0</v>
      </c>
      <c r="DH4753">
        <v>0</v>
      </c>
      <c r="DI4753">
        <v>0</v>
      </c>
    </row>
    <row r="4754" spans="1:113" x14ac:dyDescent="0.3">
      <c r="A4754" t="str">
        <f t="shared" si="2186"/>
        <v>05/12/2020 14:49:40.932</v>
      </c>
      <c r="C4754" t="str">
        <f t="shared" si="2159"/>
        <v>FFDFD3C0</v>
      </c>
      <c r="D4754" t="s">
        <v>138</v>
      </c>
      <c r="E4754">
        <v>2</v>
      </c>
      <c r="H4754">
        <v>8</v>
      </c>
      <c r="I4754" t="s">
        <v>139</v>
      </c>
      <c r="J4754" t="s">
        <v>136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t="str">
        <f t="shared" si="2187"/>
        <v>14:49:58.758</v>
      </c>
      <c r="T4754" t="str">
        <f t="shared" si="2187"/>
        <v>14:49:58.758</v>
      </c>
      <c r="U4754" t="str">
        <f t="shared" si="2181"/>
        <v>A9808D</v>
      </c>
      <c r="V4754">
        <v>0</v>
      </c>
      <c r="W4754">
        <v>0</v>
      </c>
      <c r="X4754">
        <v>1</v>
      </c>
      <c r="Z4754">
        <v>0</v>
      </c>
      <c r="AA4754">
        <v>9</v>
      </c>
      <c r="AB4754">
        <v>3</v>
      </c>
      <c r="AC4754">
        <v>0</v>
      </c>
      <c r="AD4754">
        <v>10</v>
      </c>
      <c r="AE4754">
        <v>0</v>
      </c>
      <c r="AF4754">
        <v>3</v>
      </c>
      <c r="AG4754">
        <v>2</v>
      </c>
      <c r="AH4754">
        <v>0</v>
      </c>
      <c r="AI4754" t="s">
        <v>1061</v>
      </c>
      <c r="AJ4754">
        <v>28.240957000000002</v>
      </c>
      <c r="AK4754" t="s">
        <v>1062</v>
      </c>
      <c r="AL4754">
        <v>-82.350596999999993</v>
      </c>
      <c r="AM4754">
        <v>100</v>
      </c>
      <c r="AN4754">
        <v>2100</v>
      </c>
      <c r="AO4754" t="s">
        <v>118</v>
      </c>
      <c r="AP4754">
        <v>-132</v>
      </c>
      <c r="AQ4754">
        <v>-45</v>
      </c>
      <c r="AR4754">
        <v>64</v>
      </c>
      <c r="AZ4754">
        <v>1200</v>
      </c>
      <c r="BA4754">
        <v>1</v>
      </c>
      <c r="BB4754" t="str">
        <f t="shared" si="2160"/>
        <v xml:space="preserve">N711JA  </v>
      </c>
      <c r="BC4754">
        <v>1</v>
      </c>
      <c r="BE4754">
        <v>0</v>
      </c>
      <c r="BF4754">
        <v>0</v>
      </c>
      <c r="BG4754">
        <v>0</v>
      </c>
      <c r="BH4754">
        <v>2125</v>
      </c>
      <c r="BI4754">
        <v>1</v>
      </c>
      <c r="BJ4754">
        <v>1</v>
      </c>
      <c r="BK4754">
        <v>0</v>
      </c>
      <c r="BL4754">
        <v>0</v>
      </c>
      <c r="BO4754">
        <v>0</v>
      </c>
      <c r="BP4754">
        <v>0</v>
      </c>
      <c r="BW4754" t="str">
        <f t="shared" si="2188"/>
        <v>14:49:58.758</v>
      </c>
      <c r="CJ4754">
        <v>0</v>
      </c>
      <c r="CK4754">
        <v>2</v>
      </c>
      <c r="CL4754">
        <v>0</v>
      </c>
      <c r="CM4754">
        <v>2</v>
      </c>
      <c r="CN4754">
        <v>0</v>
      </c>
      <c r="CO4754">
        <v>7</v>
      </c>
      <c r="CP4754" t="s">
        <v>119</v>
      </c>
      <c r="CQ4754">
        <v>8</v>
      </c>
      <c r="CR4754">
        <v>3</v>
      </c>
      <c r="CW4754">
        <v>9193548</v>
      </c>
      <c r="CY4754">
        <v>1</v>
      </c>
      <c r="CZ4754">
        <v>0</v>
      </c>
      <c r="DA4754">
        <v>1</v>
      </c>
      <c r="DB4754">
        <v>0</v>
      </c>
      <c r="DC4754">
        <v>0</v>
      </c>
      <c r="DD4754">
        <v>1</v>
      </c>
      <c r="DE4754">
        <v>0</v>
      </c>
      <c r="DF4754">
        <v>0</v>
      </c>
      <c r="DG4754">
        <v>0</v>
      </c>
      <c r="DH4754">
        <v>0</v>
      </c>
      <c r="DI4754">
        <v>0</v>
      </c>
    </row>
    <row r="4755" spans="1:113" x14ac:dyDescent="0.3">
      <c r="A4755" t="str">
        <f t="shared" si="2186"/>
        <v>05/12/2020 14:49:40.932</v>
      </c>
      <c r="C4755" t="str">
        <f t="shared" si="2159"/>
        <v>FFDFD3C0</v>
      </c>
      <c r="D4755" t="s">
        <v>113</v>
      </c>
      <c r="E4755">
        <v>3</v>
      </c>
      <c r="H4755">
        <v>164</v>
      </c>
      <c r="I4755" t="s">
        <v>114</v>
      </c>
      <c r="J4755" t="s">
        <v>115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t="str">
        <f t="shared" si="2187"/>
        <v>14:49:58.758</v>
      </c>
      <c r="T4755" t="str">
        <f t="shared" si="2187"/>
        <v>14:49:58.758</v>
      </c>
      <c r="U4755" t="str">
        <f t="shared" si="2181"/>
        <v>A9808D</v>
      </c>
      <c r="V4755">
        <v>0</v>
      </c>
      <c r="W4755">
        <v>0</v>
      </c>
      <c r="X4755">
        <v>1</v>
      </c>
      <c r="Z4755">
        <v>0</v>
      </c>
      <c r="AA4755">
        <v>9</v>
      </c>
      <c r="AB4755">
        <v>3</v>
      </c>
      <c r="AC4755">
        <v>0</v>
      </c>
      <c r="AD4755">
        <v>10</v>
      </c>
      <c r="AE4755">
        <v>0</v>
      </c>
      <c r="AF4755">
        <v>3</v>
      </c>
      <c r="AG4755">
        <v>2</v>
      </c>
      <c r="AH4755">
        <v>0</v>
      </c>
      <c r="AI4755" t="s">
        <v>1061</v>
      </c>
      <c r="AJ4755">
        <v>28.240957000000002</v>
      </c>
      <c r="AK4755" t="s">
        <v>1062</v>
      </c>
      <c r="AL4755">
        <v>-82.350596999999993</v>
      </c>
      <c r="AM4755">
        <v>100</v>
      </c>
      <c r="AN4755">
        <v>2100</v>
      </c>
      <c r="AO4755" t="s">
        <v>118</v>
      </c>
      <c r="AP4755">
        <v>-132</v>
      </c>
      <c r="AQ4755">
        <v>-45</v>
      </c>
      <c r="AR4755">
        <v>64</v>
      </c>
      <c r="AZ4755">
        <v>1200</v>
      </c>
      <c r="BA4755">
        <v>1</v>
      </c>
      <c r="BB4755" t="str">
        <f t="shared" si="2160"/>
        <v xml:space="preserve">N711JA  </v>
      </c>
      <c r="BC4755">
        <v>1</v>
      </c>
      <c r="BE4755">
        <v>0</v>
      </c>
      <c r="BF4755">
        <v>0</v>
      </c>
      <c r="BG4755">
        <v>0</v>
      </c>
      <c r="BH4755">
        <v>2125</v>
      </c>
      <c r="BI4755">
        <v>1</v>
      </c>
      <c r="BJ4755">
        <v>1</v>
      </c>
      <c r="BK4755">
        <v>0</v>
      </c>
      <c r="BL4755">
        <v>0</v>
      </c>
      <c r="BO4755">
        <v>0</v>
      </c>
      <c r="BP4755">
        <v>0</v>
      </c>
      <c r="BW4755" t="str">
        <f t="shared" si="2188"/>
        <v>14:49:58.758</v>
      </c>
      <c r="CJ4755">
        <v>0</v>
      </c>
      <c r="CK4755">
        <v>2</v>
      </c>
      <c r="CL4755">
        <v>0</v>
      </c>
      <c r="CM4755">
        <v>2</v>
      </c>
      <c r="CN4755">
        <v>0</v>
      </c>
      <c r="CO4755">
        <v>7</v>
      </c>
      <c r="CP4755" t="s">
        <v>119</v>
      </c>
      <c r="CQ4755">
        <v>8</v>
      </c>
      <c r="CR4755">
        <v>3</v>
      </c>
      <c r="CW4755">
        <v>9193548</v>
      </c>
      <c r="CY4755">
        <v>1</v>
      </c>
      <c r="CZ4755">
        <v>0</v>
      </c>
      <c r="DA4755">
        <v>1</v>
      </c>
      <c r="DB4755">
        <v>0</v>
      </c>
      <c r="DC4755">
        <v>0</v>
      </c>
      <c r="DD4755">
        <v>1</v>
      </c>
      <c r="DE4755">
        <v>0</v>
      </c>
      <c r="DF4755">
        <v>0</v>
      </c>
      <c r="DG4755">
        <v>0</v>
      </c>
      <c r="DH4755">
        <v>0</v>
      </c>
      <c r="DI4755">
        <v>0</v>
      </c>
    </row>
    <row r="4756" spans="1:113" x14ac:dyDescent="0.3">
      <c r="A4756" t="str">
        <f t="shared" si="2186"/>
        <v>05/12/2020 14:49:40.932</v>
      </c>
      <c r="C4756" t="str">
        <f t="shared" si="2159"/>
        <v>FFDFD3C0</v>
      </c>
      <c r="D4756" t="s">
        <v>138</v>
      </c>
      <c r="E4756">
        <v>3</v>
      </c>
      <c r="H4756">
        <v>9</v>
      </c>
      <c r="I4756" t="s">
        <v>140</v>
      </c>
      <c r="J4756" t="s">
        <v>136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t="str">
        <f t="shared" si="2187"/>
        <v>14:49:58.758</v>
      </c>
      <c r="T4756" t="str">
        <f t="shared" si="2187"/>
        <v>14:49:58.758</v>
      </c>
      <c r="U4756" t="str">
        <f t="shared" si="2181"/>
        <v>A9808D</v>
      </c>
      <c r="V4756">
        <v>0</v>
      </c>
      <c r="W4756">
        <v>0</v>
      </c>
      <c r="X4756">
        <v>1</v>
      </c>
      <c r="Z4756">
        <v>0</v>
      </c>
      <c r="AA4756">
        <v>9</v>
      </c>
      <c r="AB4756">
        <v>3</v>
      </c>
      <c r="AC4756">
        <v>0</v>
      </c>
      <c r="AD4756">
        <v>10</v>
      </c>
      <c r="AE4756">
        <v>0</v>
      </c>
      <c r="AF4756">
        <v>3</v>
      </c>
      <c r="AG4756">
        <v>2</v>
      </c>
      <c r="AH4756">
        <v>0</v>
      </c>
      <c r="AI4756" t="s">
        <v>1061</v>
      </c>
      <c r="AJ4756">
        <v>28.240957000000002</v>
      </c>
      <c r="AK4756" t="s">
        <v>1062</v>
      </c>
      <c r="AL4756">
        <v>-82.350596999999993</v>
      </c>
      <c r="AM4756">
        <v>100</v>
      </c>
      <c r="AN4756">
        <v>2100</v>
      </c>
      <c r="AO4756" t="s">
        <v>118</v>
      </c>
      <c r="AP4756">
        <v>-132</v>
      </c>
      <c r="AQ4756">
        <v>-45</v>
      </c>
      <c r="AR4756">
        <v>64</v>
      </c>
      <c r="AZ4756">
        <v>1200</v>
      </c>
      <c r="BA4756">
        <v>1</v>
      </c>
      <c r="BB4756" t="str">
        <f t="shared" si="2160"/>
        <v xml:space="preserve">N711JA  </v>
      </c>
      <c r="BC4756">
        <v>1</v>
      </c>
      <c r="BE4756">
        <v>0</v>
      </c>
      <c r="BF4756">
        <v>0</v>
      </c>
      <c r="BG4756">
        <v>0</v>
      </c>
      <c r="BH4756">
        <v>2125</v>
      </c>
      <c r="BI4756">
        <v>1</v>
      </c>
      <c r="BJ4756">
        <v>1</v>
      </c>
      <c r="BK4756">
        <v>0</v>
      </c>
      <c r="BL4756">
        <v>0</v>
      </c>
      <c r="BO4756">
        <v>0</v>
      </c>
      <c r="BP4756">
        <v>0</v>
      </c>
      <c r="BW4756" t="str">
        <f t="shared" si="2188"/>
        <v>14:49:58.758</v>
      </c>
      <c r="CJ4756">
        <v>0</v>
      </c>
      <c r="CK4756">
        <v>2</v>
      </c>
      <c r="CL4756">
        <v>0</v>
      </c>
      <c r="CM4756">
        <v>2</v>
      </c>
      <c r="CN4756">
        <v>0</v>
      </c>
      <c r="CO4756">
        <v>7</v>
      </c>
      <c r="CP4756" t="s">
        <v>119</v>
      </c>
      <c r="CQ4756">
        <v>8</v>
      </c>
      <c r="CR4756">
        <v>3</v>
      </c>
      <c r="CW4756">
        <v>9193548</v>
      </c>
      <c r="CY4756">
        <v>1</v>
      </c>
      <c r="CZ4756">
        <v>0</v>
      </c>
      <c r="DA4756">
        <v>1</v>
      </c>
      <c r="DB4756">
        <v>0</v>
      </c>
      <c r="DC4756">
        <v>0</v>
      </c>
      <c r="DD4756">
        <v>1</v>
      </c>
      <c r="DE4756">
        <v>0</v>
      </c>
      <c r="DF4756">
        <v>0</v>
      </c>
      <c r="DG4756">
        <v>0</v>
      </c>
      <c r="DH4756">
        <v>0</v>
      </c>
      <c r="DI4756">
        <v>0</v>
      </c>
    </row>
    <row r="4757" spans="1:113" x14ac:dyDescent="0.3">
      <c r="A4757" t="str">
        <f t="shared" si="2186"/>
        <v>05/12/2020 14:49:40.932</v>
      </c>
      <c r="C4757" t="str">
        <f t="shared" si="2159"/>
        <v>FFDFD3C0</v>
      </c>
      <c r="D4757" t="s">
        <v>134</v>
      </c>
      <c r="E4757">
        <v>12</v>
      </c>
      <c r="H4757">
        <v>64</v>
      </c>
      <c r="I4757" t="s">
        <v>135</v>
      </c>
      <c r="J4757" t="s">
        <v>136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t="str">
        <f t="shared" si="2187"/>
        <v>14:49:58.758</v>
      </c>
      <c r="T4757" t="str">
        <f t="shared" si="2187"/>
        <v>14:49:58.758</v>
      </c>
      <c r="U4757" t="str">
        <f t="shared" si="2181"/>
        <v>A9808D</v>
      </c>
      <c r="V4757">
        <v>0</v>
      </c>
      <c r="W4757">
        <v>0</v>
      </c>
      <c r="X4757">
        <v>1</v>
      </c>
      <c r="Z4757">
        <v>0</v>
      </c>
      <c r="AA4757">
        <v>9</v>
      </c>
      <c r="AB4757">
        <v>3</v>
      </c>
      <c r="AC4757">
        <v>0</v>
      </c>
      <c r="AD4757">
        <v>10</v>
      </c>
      <c r="AE4757">
        <v>0</v>
      </c>
      <c r="AF4757">
        <v>3</v>
      </c>
      <c r="AG4757">
        <v>2</v>
      </c>
      <c r="AH4757">
        <v>0</v>
      </c>
      <c r="AI4757" t="s">
        <v>1061</v>
      </c>
      <c r="AJ4757">
        <v>28.240957000000002</v>
      </c>
      <c r="AK4757" t="s">
        <v>1062</v>
      </c>
      <c r="AL4757">
        <v>-82.350596999999993</v>
      </c>
      <c r="AM4757">
        <v>100</v>
      </c>
      <c r="AN4757">
        <v>2100</v>
      </c>
      <c r="AO4757" t="s">
        <v>118</v>
      </c>
      <c r="AP4757">
        <v>-132</v>
      </c>
      <c r="AQ4757">
        <v>-45</v>
      </c>
      <c r="AR4757">
        <v>64</v>
      </c>
      <c r="AZ4757">
        <v>1200</v>
      </c>
      <c r="BA4757">
        <v>1</v>
      </c>
      <c r="BB4757" t="str">
        <f t="shared" si="2160"/>
        <v xml:space="preserve">N711JA  </v>
      </c>
      <c r="BC4757">
        <v>1</v>
      </c>
      <c r="BE4757">
        <v>0</v>
      </c>
      <c r="BF4757">
        <v>0</v>
      </c>
      <c r="BG4757">
        <v>0</v>
      </c>
      <c r="BH4757">
        <v>2125</v>
      </c>
      <c r="BI4757">
        <v>1</v>
      </c>
      <c r="BJ4757">
        <v>1</v>
      </c>
      <c r="BK4757">
        <v>0</v>
      </c>
      <c r="BL4757">
        <v>0</v>
      </c>
      <c r="BO4757">
        <v>0</v>
      </c>
      <c r="BP4757">
        <v>0</v>
      </c>
      <c r="BW4757" t="str">
        <f t="shared" si="2188"/>
        <v>14:49:58.758</v>
      </c>
      <c r="CJ4757">
        <v>0</v>
      </c>
      <c r="CK4757">
        <v>2</v>
      </c>
      <c r="CL4757">
        <v>0</v>
      </c>
      <c r="CM4757">
        <v>2</v>
      </c>
      <c r="CN4757">
        <v>0</v>
      </c>
      <c r="CO4757">
        <v>7</v>
      </c>
      <c r="CP4757" t="s">
        <v>119</v>
      </c>
      <c r="CQ4757">
        <v>8</v>
      </c>
      <c r="CR4757">
        <v>3</v>
      </c>
      <c r="CW4757">
        <v>9193548</v>
      </c>
      <c r="CY4757">
        <v>1</v>
      </c>
      <c r="CZ4757">
        <v>0</v>
      </c>
      <c r="DA4757">
        <v>1</v>
      </c>
      <c r="DB4757">
        <v>0</v>
      </c>
      <c r="DC4757">
        <v>0</v>
      </c>
      <c r="DD4757">
        <v>1</v>
      </c>
      <c r="DE4757">
        <v>0</v>
      </c>
      <c r="DF4757">
        <v>0</v>
      </c>
      <c r="DG4757">
        <v>0</v>
      </c>
      <c r="DH4757">
        <v>0</v>
      </c>
      <c r="DI4757">
        <v>0</v>
      </c>
    </row>
    <row r="4758" spans="1:113" x14ac:dyDescent="0.3">
      <c r="A4758" t="str">
        <f t="shared" ref="A4758:A4766" si="2189">"05/12/2020 14:49:41.988"</f>
        <v>05/12/2020 14:49:41.988</v>
      </c>
      <c r="C4758" t="str">
        <f t="shared" ref="C4758:C4821" si="2190">"FFDFD3C0"</f>
        <v>FFDFD3C0</v>
      </c>
      <c r="D4758" t="s">
        <v>131</v>
      </c>
      <c r="E4758">
        <v>10</v>
      </c>
      <c r="F4758">
        <v>2010</v>
      </c>
      <c r="G4758" t="s">
        <v>132</v>
      </c>
      <c r="J4758" t="s">
        <v>133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t="str">
        <f t="shared" ref="S4758:S4766" si="2191">"14:49:59.836"</f>
        <v>14:49:59.836</v>
      </c>
      <c r="T4758" t="str">
        <f t="shared" ref="T4758:T4766" si="2192">"14:49:59.736"</f>
        <v>14:49:59.736</v>
      </c>
      <c r="U4758" t="str">
        <f t="shared" si="2181"/>
        <v>A9808D</v>
      </c>
      <c r="V4758">
        <v>0</v>
      </c>
      <c r="W4758">
        <v>0</v>
      </c>
      <c r="X4758">
        <v>1</v>
      </c>
      <c r="Z4758">
        <v>0</v>
      </c>
      <c r="AA4758">
        <v>9</v>
      </c>
      <c r="AB4758">
        <v>3</v>
      </c>
      <c r="AC4758">
        <v>0</v>
      </c>
      <c r="AD4758">
        <v>10</v>
      </c>
      <c r="AE4758">
        <v>0</v>
      </c>
      <c r="AF4758">
        <v>3</v>
      </c>
      <c r="AG4758">
        <v>2</v>
      </c>
      <c r="AH4758">
        <v>0</v>
      </c>
      <c r="AI4758" t="s">
        <v>1063</v>
      </c>
      <c r="AJ4758">
        <v>28.240763999999999</v>
      </c>
      <c r="AK4758" t="s">
        <v>1064</v>
      </c>
      <c r="AL4758">
        <v>-82.351304999999996</v>
      </c>
      <c r="AM4758">
        <v>100</v>
      </c>
      <c r="AN4758">
        <v>2100</v>
      </c>
      <c r="AO4758" t="s">
        <v>118</v>
      </c>
      <c r="AP4758">
        <v>-131</v>
      </c>
      <c r="AQ4758">
        <v>-45</v>
      </c>
      <c r="AR4758">
        <v>256</v>
      </c>
      <c r="AZ4758">
        <v>1200</v>
      </c>
      <c r="BA4758">
        <v>1</v>
      </c>
      <c r="BB4758" t="str">
        <f t="shared" ref="BB4758:BB4821" si="2193">"N711JA  "</f>
        <v xml:space="preserve">N711JA  </v>
      </c>
      <c r="BC4758">
        <v>1</v>
      </c>
      <c r="BE4758">
        <v>0</v>
      </c>
      <c r="BF4758">
        <v>0</v>
      </c>
      <c r="BG4758">
        <v>0</v>
      </c>
      <c r="BH4758">
        <v>2125</v>
      </c>
      <c r="BI4758">
        <v>1</v>
      </c>
      <c r="BJ4758">
        <v>1</v>
      </c>
      <c r="BK4758">
        <v>0</v>
      </c>
      <c r="BL4758">
        <v>0</v>
      </c>
      <c r="BO4758">
        <v>0</v>
      </c>
      <c r="BP4758">
        <v>0</v>
      </c>
      <c r="BW4758" t="str">
        <f t="shared" ref="BW4758:BW4766" si="2194">"14:49:59.840"</f>
        <v>14:49:59.840</v>
      </c>
      <c r="CJ4758">
        <v>0</v>
      </c>
      <c r="CK4758">
        <v>2</v>
      </c>
      <c r="CL4758">
        <v>0</v>
      </c>
      <c r="CM4758">
        <v>2</v>
      </c>
      <c r="CN4758">
        <v>0</v>
      </c>
      <c r="CO4758">
        <v>7</v>
      </c>
      <c r="CP4758" t="s">
        <v>119</v>
      </c>
      <c r="CQ4758">
        <v>358</v>
      </c>
      <c r="CR4758">
        <v>0</v>
      </c>
      <c r="CW4758">
        <v>5172605</v>
      </c>
      <c r="CY4758">
        <v>1</v>
      </c>
      <c r="CZ4758">
        <v>0</v>
      </c>
      <c r="DA4758">
        <v>0</v>
      </c>
      <c r="DB4758">
        <v>0</v>
      </c>
      <c r="DC4758">
        <v>0</v>
      </c>
      <c r="DD4758">
        <v>1</v>
      </c>
      <c r="DE4758">
        <v>0</v>
      </c>
      <c r="DF4758">
        <v>0</v>
      </c>
      <c r="DG4758">
        <v>0</v>
      </c>
      <c r="DH4758">
        <v>0</v>
      </c>
      <c r="DI4758">
        <v>0</v>
      </c>
    </row>
    <row r="4759" spans="1:113" x14ac:dyDescent="0.3">
      <c r="A4759" t="str">
        <f t="shared" si="2189"/>
        <v>05/12/2020 14:49:41.988</v>
      </c>
      <c r="C4759" t="str">
        <f t="shared" si="2190"/>
        <v>FFDFD3C0</v>
      </c>
      <c r="D4759" t="s">
        <v>126</v>
      </c>
      <c r="E4759">
        <v>7</v>
      </c>
      <c r="F4759">
        <v>1007</v>
      </c>
      <c r="G4759" t="s">
        <v>127</v>
      </c>
      <c r="J4759" t="s">
        <v>128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t="str">
        <f t="shared" si="2191"/>
        <v>14:49:59.836</v>
      </c>
      <c r="T4759" t="str">
        <f t="shared" si="2192"/>
        <v>14:49:59.736</v>
      </c>
      <c r="U4759" t="str">
        <f t="shared" si="2181"/>
        <v>A9808D</v>
      </c>
      <c r="V4759">
        <v>0</v>
      </c>
      <c r="W4759">
        <v>0</v>
      </c>
      <c r="X4759">
        <v>1</v>
      </c>
      <c r="Z4759">
        <v>0</v>
      </c>
      <c r="AA4759">
        <v>9</v>
      </c>
      <c r="AB4759">
        <v>3</v>
      </c>
      <c r="AC4759">
        <v>0</v>
      </c>
      <c r="AD4759">
        <v>10</v>
      </c>
      <c r="AE4759">
        <v>0</v>
      </c>
      <c r="AF4759">
        <v>3</v>
      </c>
      <c r="AG4759">
        <v>2</v>
      </c>
      <c r="AH4759">
        <v>0</v>
      </c>
      <c r="AI4759" t="s">
        <v>1063</v>
      </c>
      <c r="AJ4759">
        <v>28.240763999999999</v>
      </c>
      <c r="AK4759" t="s">
        <v>1064</v>
      </c>
      <c r="AL4759">
        <v>-82.351304999999996</v>
      </c>
      <c r="AM4759">
        <v>100</v>
      </c>
      <c r="AN4759">
        <v>2100</v>
      </c>
      <c r="AO4759" t="s">
        <v>118</v>
      </c>
      <c r="AP4759">
        <v>-131</v>
      </c>
      <c r="AQ4759">
        <v>-45</v>
      </c>
      <c r="AR4759">
        <v>256</v>
      </c>
      <c r="AZ4759">
        <v>1200</v>
      </c>
      <c r="BA4759">
        <v>1</v>
      </c>
      <c r="BB4759" t="str">
        <f t="shared" si="2193"/>
        <v xml:space="preserve">N711JA  </v>
      </c>
      <c r="BC4759">
        <v>1</v>
      </c>
      <c r="BE4759">
        <v>0</v>
      </c>
      <c r="BF4759">
        <v>0</v>
      </c>
      <c r="BG4759">
        <v>0</v>
      </c>
      <c r="BH4759">
        <v>2125</v>
      </c>
      <c r="BI4759">
        <v>1</v>
      </c>
      <c r="BJ4759">
        <v>1</v>
      </c>
      <c r="BK4759">
        <v>0</v>
      </c>
      <c r="BL4759">
        <v>0</v>
      </c>
      <c r="BO4759">
        <v>0</v>
      </c>
      <c r="BP4759">
        <v>0</v>
      </c>
      <c r="BW4759" t="str">
        <f t="shared" si="2194"/>
        <v>14:49:59.840</v>
      </c>
      <c r="CJ4759">
        <v>0</v>
      </c>
      <c r="CK4759">
        <v>2</v>
      </c>
      <c r="CL4759">
        <v>0</v>
      </c>
      <c r="CM4759">
        <v>2</v>
      </c>
      <c r="CN4759">
        <v>0</v>
      </c>
      <c r="CO4759">
        <v>7</v>
      </c>
      <c r="CP4759" t="s">
        <v>119</v>
      </c>
      <c r="CQ4759">
        <v>358</v>
      </c>
      <c r="CR4759">
        <v>0</v>
      </c>
      <c r="CW4759">
        <v>5172605</v>
      </c>
      <c r="CY4759">
        <v>1</v>
      </c>
      <c r="CZ4759">
        <v>0</v>
      </c>
      <c r="DA4759">
        <v>1</v>
      </c>
      <c r="DB4759">
        <v>0</v>
      </c>
      <c r="DC4759">
        <v>0</v>
      </c>
      <c r="DD4759">
        <v>1</v>
      </c>
      <c r="DE4759">
        <v>0</v>
      </c>
      <c r="DF4759">
        <v>0</v>
      </c>
      <c r="DG4759">
        <v>0</v>
      </c>
      <c r="DH4759">
        <v>0</v>
      </c>
      <c r="DI4759">
        <v>0</v>
      </c>
    </row>
    <row r="4760" spans="1:113" x14ac:dyDescent="0.3">
      <c r="A4760" t="str">
        <f t="shared" si="2189"/>
        <v>05/12/2020 14:49:41.988</v>
      </c>
      <c r="C4760" t="str">
        <f t="shared" si="2190"/>
        <v>FFDFD3C0</v>
      </c>
      <c r="D4760" t="s">
        <v>131</v>
      </c>
      <c r="E4760">
        <v>12</v>
      </c>
      <c r="F4760">
        <v>2012</v>
      </c>
      <c r="G4760" t="s">
        <v>137</v>
      </c>
      <c r="J4760" t="s">
        <v>133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t="str">
        <f t="shared" si="2191"/>
        <v>14:49:59.836</v>
      </c>
      <c r="T4760" t="str">
        <f t="shared" si="2192"/>
        <v>14:49:59.736</v>
      </c>
      <c r="U4760" t="str">
        <f t="shared" si="2181"/>
        <v>A9808D</v>
      </c>
      <c r="V4760">
        <v>0</v>
      </c>
      <c r="W4760">
        <v>0</v>
      </c>
      <c r="X4760">
        <v>1</v>
      </c>
      <c r="Z4760">
        <v>0</v>
      </c>
      <c r="AA4760">
        <v>9</v>
      </c>
      <c r="AB4760">
        <v>3</v>
      </c>
      <c r="AC4760">
        <v>0</v>
      </c>
      <c r="AD4760">
        <v>10</v>
      </c>
      <c r="AE4760">
        <v>0</v>
      </c>
      <c r="AF4760">
        <v>3</v>
      </c>
      <c r="AG4760">
        <v>2</v>
      </c>
      <c r="AH4760">
        <v>0</v>
      </c>
      <c r="AI4760" t="s">
        <v>1063</v>
      </c>
      <c r="AJ4760">
        <v>28.240763999999999</v>
      </c>
      <c r="AK4760" t="s">
        <v>1064</v>
      </c>
      <c r="AL4760">
        <v>-82.351304999999996</v>
      </c>
      <c r="AM4760">
        <v>100</v>
      </c>
      <c r="AN4760">
        <v>2100</v>
      </c>
      <c r="AO4760" t="s">
        <v>118</v>
      </c>
      <c r="AP4760">
        <v>-131</v>
      </c>
      <c r="AQ4760">
        <v>-45</v>
      </c>
      <c r="AR4760">
        <v>256</v>
      </c>
      <c r="AZ4760">
        <v>1200</v>
      </c>
      <c r="BA4760">
        <v>1</v>
      </c>
      <c r="BB4760" t="str">
        <f t="shared" si="2193"/>
        <v xml:space="preserve">N711JA  </v>
      </c>
      <c r="BC4760">
        <v>1</v>
      </c>
      <c r="BE4760">
        <v>0</v>
      </c>
      <c r="BF4760">
        <v>0</v>
      </c>
      <c r="BG4760">
        <v>0</v>
      </c>
      <c r="BH4760">
        <v>2125</v>
      </c>
      <c r="BI4760">
        <v>1</v>
      </c>
      <c r="BJ4760">
        <v>1</v>
      </c>
      <c r="BK4760">
        <v>0</v>
      </c>
      <c r="BL4760">
        <v>0</v>
      </c>
      <c r="BO4760">
        <v>0</v>
      </c>
      <c r="BP4760">
        <v>0</v>
      </c>
      <c r="BW4760" t="str">
        <f t="shared" si="2194"/>
        <v>14:49:59.840</v>
      </c>
      <c r="CJ4760">
        <v>0</v>
      </c>
      <c r="CK4760">
        <v>2</v>
      </c>
      <c r="CL4760">
        <v>0</v>
      </c>
      <c r="CM4760">
        <v>2</v>
      </c>
      <c r="CN4760">
        <v>0</v>
      </c>
      <c r="CO4760">
        <v>7</v>
      </c>
      <c r="CP4760" t="s">
        <v>119</v>
      </c>
      <c r="CQ4760">
        <v>343</v>
      </c>
      <c r="CR4760">
        <v>1</v>
      </c>
      <c r="CW4760">
        <v>11071075</v>
      </c>
      <c r="CY4760">
        <v>1</v>
      </c>
      <c r="CZ4760">
        <v>0</v>
      </c>
      <c r="DA4760">
        <v>1</v>
      </c>
      <c r="DB4760">
        <v>0</v>
      </c>
      <c r="DC4760">
        <v>0</v>
      </c>
      <c r="DD4760">
        <v>1</v>
      </c>
      <c r="DE4760">
        <v>0</v>
      </c>
      <c r="DF4760">
        <v>0</v>
      </c>
      <c r="DG4760">
        <v>0</v>
      </c>
      <c r="DH4760">
        <v>0</v>
      </c>
      <c r="DI4760">
        <v>0</v>
      </c>
    </row>
    <row r="4761" spans="1:113" x14ac:dyDescent="0.3">
      <c r="A4761" t="str">
        <f t="shared" si="2189"/>
        <v>05/12/2020 14:49:41.988</v>
      </c>
      <c r="C4761" t="str">
        <f t="shared" si="2190"/>
        <v>FFDFD3C0</v>
      </c>
      <c r="D4761" t="s">
        <v>131</v>
      </c>
      <c r="E4761">
        <v>18</v>
      </c>
      <c r="F4761">
        <v>2018</v>
      </c>
      <c r="G4761" t="s">
        <v>161</v>
      </c>
      <c r="J4761" t="s">
        <v>133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t="str">
        <f t="shared" si="2191"/>
        <v>14:49:59.836</v>
      </c>
      <c r="T4761" t="str">
        <f t="shared" si="2192"/>
        <v>14:49:59.736</v>
      </c>
      <c r="U4761" t="str">
        <f t="shared" si="2181"/>
        <v>A9808D</v>
      </c>
      <c r="V4761">
        <v>0</v>
      </c>
      <c r="W4761">
        <v>0</v>
      </c>
      <c r="X4761">
        <v>1</v>
      </c>
      <c r="Z4761">
        <v>0</v>
      </c>
      <c r="AA4761">
        <v>9</v>
      </c>
      <c r="AB4761">
        <v>3</v>
      </c>
      <c r="AC4761">
        <v>0</v>
      </c>
      <c r="AD4761">
        <v>10</v>
      </c>
      <c r="AE4761">
        <v>0</v>
      </c>
      <c r="AF4761">
        <v>3</v>
      </c>
      <c r="AG4761">
        <v>2</v>
      </c>
      <c r="AH4761">
        <v>0</v>
      </c>
      <c r="AI4761" t="s">
        <v>1063</v>
      </c>
      <c r="AJ4761">
        <v>28.240763999999999</v>
      </c>
      <c r="AK4761" t="s">
        <v>1064</v>
      </c>
      <c r="AL4761">
        <v>-82.351304999999996</v>
      </c>
      <c r="AM4761">
        <v>100</v>
      </c>
      <c r="AN4761">
        <v>2100</v>
      </c>
      <c r="AO4761" t="s">
        <v>118</v>
      </c>
      <c r="AP4761">
        <v>-131</v>
      </c>
      <c r="AQ4761">
        <v>-45</v>
      </c>
      <c r="AR4761">
        <v>256</v>
      </c>
      <c r="AZ4761">
        <v>1200</v>
      </c>
      <c r="BA4761">
        <v>1</v>
      </c>
      <c r="BB4761" t="str">
        <f t="shared" si="2193"/>
        <v xml:space="preserve">N711JA  </v>
      </c>
      <c r="BC4761">
        <v>1</v>
      </c>
      <c r="BE4761">
        <v>0</v>
      </c>
      <c r="BF4761">
        <v>0</v>
      </c>
      <c r="BG4761">
        <v>0</v>
      </c>
      <c r="BH4761">
        <v>2125</v>
      </c>
      <c r="BI4761">
        <v>1</v>
      </c>
      <c r="BJ4761">
        <v>1</v>
      </c>
      <c r="BK4761">
        <v>0</v>
      </c>
      <c r="BL4761">
        <v>0</v>
      </c>
      <c r="BO4761">
        <v>0</v>
      </c>
      <c r="BP4761">
        <v>0</v>
      </c>
      <c r="BW4761" t="str">
        <f t="shared" si="2194"/>
        <v>14:49:59.840</v>
      </c>
      <c r="CJ4761">
        <v>0</v>
      </c>
      <c r="CK4761">
        <v>2</v>
      </c>
      <c r="CL4761">
        <v>0</v>
      </c>
      <c r="CM4761">
        <v>2</v>
      </c>
      <c r="CN4761">
        <v>0</v>
      </c>
      <c r="CO4761">
        <v>7</v>
      </c>
      <c r="CP4761" t="s">
        <v>119</v>
      </c>
      <c r="CQ4761">
        <v>343</v>
      </c>
      <c r="CR4761">
        <v>1</v>
      </c>
      <c r="CW4761">
        <v>11071075</v>
      </c>
      <c r="CY4761">
        <v>1</v>
      </c>
      <c r="CZ4761">
        <v>0</v>
      </c>
      <c r="DA4761">
        <v>1</v>
      </c>
      <c r="DB4761">
        <v>0</v>
      </c>
      <c r="DC4761">
        <v>0</v>
      </c>
      <c r="DD4761">
        <v>1</v>
      </c>
      <c r="DE4761">
        <v>0</v>
      </c>
      <c r="DF4761">
        <v>0</v>
      </c>
      <c r="DG4761">
        <v>0</v>
      </c>
      <c r="DH4761">
        <v>0</v>
      </c>
      <c r="DI4761">
        <v>0</v>
      </c>
    </row>
    <row r="4762" spans="1:113" x14ac:dyDescent="0.3">
      <c r="A4762" t="str">
        <f t="shared" si="2189"/>
        <v>05/12/2020 14:49:41.988</v>
      </c>
      <c r="C4762" t="str">
        <f t="shared" si="2190"/>
        <v>FFDFD3C0</v>
      </c>
      <c r="D4762" t="s">
        <v>126</v>
      </c>
      <c r="E4762">
        <v>6</v>
      </c>
      <c r="F4762">
        <v>1006</v>
      </c>
      <c r="G4762" t="s">
        <v>114</v>
      </c>
      <c r="J4762" t="s">
        <v>128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t="str">
        <f t="shared" si="2191"/>
        <v>14:49:59.836</v>
      </c>
      <c r="T4762" t="str">
        <f t="shared" si="2192"/>
        <v>14:49:59.736</v>
      </c>
      <c r="U4762" t="str">
        <f t="shared" si="2181"/>
        <v>A9808D</v>
      </c>
      <c r="V4762">
        <v>0</v>
      </c>
      <c r="W4762">
        <v>0</v>
      </c>
      <c r="X4762">
        <v>1</v>
      </c>
      <c r="Z4762">
        <v>0</v>
      </c>
      <c r="AA4762">
        <v>9</v>
      </c>
      <c r="AB4762">
        <v>3</v>
      </c>
      <c r="AC4762">
        <v>0</v>
      </c>
      <c r="AD4762">
        <v>10</v>
      </c>
      <c r="AE4762">
        <v>0</v>
      </c>
      <c r="AF4762">
        <v>3</v>
      </c>
      <c r="AG4762">
        <v>2</v>
      </c>
      <c r="AH4762">
        <v>0</v>
      </c>
      <c r="AI4762" t="s">
        <v>1063</v>
      </c>
      <c r="AJ4762">
        <v>28.240763999999999</v>
      </c>
      <c r="AK4762" t="s">
        <v>1064</v>
      </c>
      <c r="AL4762">
        <v>-82.351304999999996</v>
      </c>
      <c r="AM4762">
        <v>100</v>
      </c>
      <c r="AN4762">
        <v>2100</v>
      </c>
      <c r="AO4762" t="s">
        <v>118</v>
      </c>
      <c r="AP4762">
        <v>-131</v>
      </c>
      <c r="AQ4762">
        <v>-45</v>
      </c>
      <c r="AR4762">
        <v>256</v>
      </c>
      <c r="AZ4762">
        <v>1200</v>
      </c>
      <c r="BA4762">
        <v>1</v>
      </c>
      <c r="BB4762" t="str">
        <f t="shared" si="2193"/>
        <v xml:space="preserve">N711JA  </v>
      </c>
      <c r="BC4762">
        <v>1</v>
      </c>
      <c r="BE4762">
        <v>0</v>
      </c>
      <c r="BF4762">
        <v>0</v>
      </c>
      <c r="BG4762">
        <v>0</v>
      </c>
      <c r="BH4762">
        <v>2125</v>
      </c>
      <c r="BI4762">
        <v>1</v>
      </c>
      <c r="BJ4762">
        <v>1</v>
      </c>
      <c r="BK4762">
        <v>0</v>
      </c>
      <c r="BL4762">
        <v>0</v>
      </c>
      <c r="BO4762">
        <v>0</v>
      </c>
      <c r="BP4762">
        <v>0</v>
      </c>
      <c r="BW4762" t="str">
        <f t="shared" si="2194"/>
        <v>14:49:59.840</v>
      </c>
      <c r="CJ4762">
        <v>0</v>
      </c>
      <c r="CK4762">
        <v>2</v>
      </c>
      <c r="CL4762">
        <v>0</v>
      </c>
      <c r="CM4762">
        <v>2</v>
      </c>
      <c r="CN4762">
        <v>0</v>
      </c>
      <c r="CO4762">
        <v>7</v>
      </c>
      <c r="CP4762" t="s">
        <v>119</v>
      </c>
      <c r="CQ4762">
        <v>358</v>
      </c>
      <c r="CR4762">
        <v>0</v>
      </c>
      <c r="CW4762">
        <v>5172605</v>
      </c>
      <c r="CY4762">
        <v>1</v>
      </c>
      <c r="CZ4762">
        <v>0</v>
      </c>
      <c r="DA4762">
        <v>1</v>
      </c>
      <c r="DB4762">
        <v>0</v>
      </c>
      <c r="DC4762">
        <v>0</v>
      </c>
      <c r="DD4762">
        <v>1</v>
      </c>
      <c r="DE4762">
        <v>0</v>
      </c>
      <c r="DF4762">
        <v>0</v>
      </c>
      <c r="DG4762">
        <v>0</v>
      </c>
      <c r="DH4762">
        <v>0</v>
      </c>
      <c r="DI4762">
        <v>0</v>
      </c>
    </row>
    <row r="4763" spans="1:113" x14ac:dyDescent="0.3">
      <c r="A4763" t="str">
        <f t="shared" si="2189"/>
        <v>05/12/2020 14:49:41.988</v>
      </c>
      <c r="C4763" t="str">
        <f t="shared" si="2190"/>
        <v>FFDFD3C0</v>
      </c>
      <c r="D4763" t="s">
        <v>113</v>
      </c>
      <c r="E4763">
        <v>3</v>
      </c>
      <c r="H4763">
        <v>164</v>
      </c>
      <c r="I4763" t="s">
        <v>114</v>
      </c>
      <c r="J4763" t="s">
        <v>115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t="str">
        <f t="shared" si="2191"/>
        <v>14:49:59.836</v>
      </c>
      <c r="T4763" t="str">
        <f t="shared" si="2192"/>
        <v>14:49:59.736</v>
      </c>
      <c r="U4763" t="str">
        <f t="shared" si="2181"/>
        <v>A9808D</v>
      </c>
      <c r="V4763">
        <v>0</v>
      </c>
      <c r="W4763">
        <v>0</v>
      </c>
      <c r="X4763">
        <v>1</v>
      </c>
      <c r="Z4763">
        <v>0</v>
      </c>
      <c r="AA4763">
        <v>9</v>
      </c>
      <c r="AB4763">
        <v>3</v>
      </c>
      <c r="AC4763">
        <v>0</v>
      </c>
      <c r="AD4763">
        <v>10</v>
      </c>
      <c r="AE4763">
        <v>0</v>
      </c>
      <c r="AF4763">
        <v>3</v>
      </c>
      <c r="AG4763">
        <v>2</v>
      </c>
      <c r="AH4763">
        <v>0</v>
      </c>
      <c r="AI4763" t="s">
        <v>1063</v>
      </c>
      <c r="AJ4763">
        <v>28.240763999999999</v>
      </c>
      <c r="AK4763" t="s">
        <v>1064</v>
      </c>
      <c r="AL4763">
        <v>-82.351304999999996</v>
      </c>
      <c r="AM4763">
        <v>100</v>
      </c>
      <c r="AN4763">
        <v>2100</v>
      </c>
      <c r="AO4763" t="s">
        <v>118</v>
      </c>
      <c r="AP4763">
        <v>-131</v>
      </c>
      <c r="AQ4763">
        <v>-45</v>
      </c>
      <c r="AR4763">
        <v>256</v>
      </c>
      <c r="AZ4763">
        <v>1200</v>
      </c>
      <c r="BA4763">
        <v>1</v>
      </c>
      <c r="BB4763" t="str">
        <f t="shared" si="2193"/>
        <v xml:space="preserve">N711JA  </v>
      </c>
      <c r="BC4763">
        <v>1</v>
      </c>
      <c r="BE4763">
        <v>0</v>
      </c>
      <c r="BF4763">
        <v>0</v>
      </c>
      <c r="BG4763">
        <v>0</v>
      </c>
      <c r="BH4763">
        <v>2125</v>
      </c>
      <c r="BI4763">
        <v>1</v>
      </c>
      <c r="BJ4763">
        <v>1</v>
      </c>
      <c r="BK4763">
        <v>0</v>
      </c>
      <c r="BL4763">
        <v>0</v>
      </c>
      <c r="BO4763">
        <v>0</v>
      </c>
      <c r="BP4763">
        <v>0</v>
      </c>
      <c r="BW4763" t="str">
        <f t="shared" si="2194"/>
        <v>14:49:59.840</v>
      </c>
      <c r="CJ4763">
        <v>0</v>
      </c>
      <c r="CK4763">
        <v>2</v>
      </c>
      <c r="CL4763">
        <v>0</v>
      </c>
      <c r="CM4763">
        <v>2</v>
      </c>
      <c r="CN4763">
        <v>0</v>
      </c>
      <c r="CO4763">
        <v>7</v>
      </c>
      <c r="CP4763" t="s">
        <v>119</v>
      </c>
      <c r="CQ4763">
        <v>343</v>
      </c>
      <c r="CR4763">
        <v>1</v>
      </c>
      <c r="CW4763">
        <v>11071075</v>
      </c>
      <c r="CY4763">
        <v>1</v>
      </c>
      <c r="CZ4763">
        <v>0</v>
      </c>
      <c r="DA4763">
        <v>1</v>
      </c>
      <c r="DB4763">
        <v>0</v>
      </c>
      <c r="DC4763">
        <v>0</v>
      </c>
      <c r="DD4763">
        <v>1</v>
      </c>
      <c r="DE4763">
        <v>0</v>
      </c>
      <c r="DF4763">
        <v>0</v>
      </c>
      <c r="DG4763">
        <v>0</v>
      </c>
      <c r="DH4763">
        <v>0</v>
      </c>
      <c r="DI4763">
        <v>0</v>
      </c>
    </row>
    <row r="4764" spans="1:113" x14ac:dyDescent="0.3">
      <c r="A4764" t="str">
        <f t="shared" si="2189"/>
        <v>05/12/2020 14:49:41.988</v>
      </c>
      <c r="C4764" t="str">
        <f t="shared" si="2190"/>
        <v>FFDFD3C0</v>
      </c>
      <c r="D4764" t="s">
        <v>138</v>
      </c>
      <c r="E4764">
        <v>2</v>
      </c>
      <c r="H4764">
        <v>8</v>
      </c>
      <c r="I4764" t="s">
        <v>139</v>
      </c>
      <c r="J4764" t="s">
        <v>136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t="str">
        <f t="shared" si="2191"/>
        <v>14:49:59.836</v>
      </c>
      <c r="T4764" t="str">
        <f t="shared" si="2192"/>
        <v>14:49:59.736</v>
      </c>
      <c r="U4764" t="str">
        <f t="shared" si="2181"/>
        <v>A9808D</v>
      </c>
      <c r="V4764">
        <v>0</v>
      </c>
      <c r="W4764">
        <v>0</v>
      </c>
      <c r="X4764">
        <v>1</v>
      </c>
      <c r="Z4764">
        <v>0</v>
      </c>
      <c r="AA4764">
        <v>9</v>
      </c>
      <c r="AB4764">
        <v>3</v>
      </c>
      <c r="AC4764">
        <v>0</v>
      </c>
      <c r="AD4764">
        <v>10</v>
      </c>
      <c r="AE4764">
        <v>0</v>
      </c>
      <c r="AF4764">
        <v>3</v>
      </c>
      <c r="AG4764">
        <v>2</v>
      </c>
      <c r="AH4764">
        <v>0</v>
      </c>
      <c r="AI4764" t="s">
        <v>1063</v>
      </c>
      <c r="AJ4764">
        <v>28.240763999999999</v>
      </c>
      <c r="AK4764" t="s">
        <v>1064</v>
      </c>
      <c r="AL4764">
        <v>-82.351304999999996</v>
      </c>
      <c r="AM4764">
        <v>100</v>
      </c>
      <c r="AN4764">
        <v>2100</v>
      </c>
      <c r="AO4764" t="s">
        <v>118</v>
      </c>
      <c r="AP4764">
        <v>-131</v>
      </c>
      <c r="AQ4764">
        <v>-45</v>
      </c>
      <c r="AR4764">
        <v>256</v>
      </c>
      <c r="AZ4764">
        <v>1200</v>
      </c>
      <c r="BA4764">
        <v>1</v>
      </c>
      <c r="BB4764" t="str">
        <f t="shared" si="2193"/>
        <v xml:space="preserve">N711JA  </v>
      </c>
      <c r="BC4764">
        <v>1</v>
      </c>
      <c r="BE4764">
        <v>0</v>
      </c>
      <c r="BF4764">
        <v>0</v>
      </c>
      <c r="BG4764">
        <v>0</v>
      </c>
      <c r="BH4764">
        <v>2125</v>
      </c>
      <c r="BI4764">
        <v>1</v>
      </c>
      <c r="BJ4764">
        <v>1</v>
      </c>
      <c r="BK4764">
        <v>0</v>
      </c>
      <c r="BL4764">
        <v>0</v>
      </c>
      <c r="BO4764">
        <v>0</v>
      </c>
      <c r="BP4764">
        <v>0</v>
      </c>
      <c r="BW4764" t="str">
        <f t="shared" si="2194"/>
        <v>14:49:59.840</v>
      </c>
      <c r="CJ4764">
        <v>0</v>
      </c>
      <c r="CK4764">
        <v>2</v>
      </c>
      <c r="CL4764">
        <v>0</v>
      </c>
      <c r="CM4764">
        <v>2</v>
      </c>
      <c r="CN4764">
        <v>0</v>
      </c>
      <c r="CO4764">
        <v>7</v>
      </c>
      <c r="CP4764" t="s">
        <v>119</v>
      </c>
      <c r="CQ4764">
        <v>343</v>
      </c>
      <c r="CR4764">
        <v>1</v>
      </c>
      <c r="CW4764">
        <v>11071075</v>
      </c>
      <c r="CY4764">
        <v>1</v>
      </c>
      <c r="CZ4764">
        <v>0</v>
      </c>
      <c r="DA4764">
        <v>1</v>
      </c>
      <c r="DB4764">
        <v>0</v>
      </c>
      <c r="DC4764">
        <v>0</v>
      </c>
      <c r="DD4764">
        <v>1</v>
      </c>
      <c r="DE4764">
        <v>0</v>
      </c>
      <c r="DF4764">
        <v>0</v>
      </c>
      <c r="DG4764">
        <v>0</v>
      </c>
      <c r="DH4764">
        <v>0</v>
      </c>
      <c r="DI4764">
        <v>0</v>
      </c>
    </row>
    <row r="4765" spans="1:113" x14ac:dyDescent="0.3">
      <c r="A4765" t="str">
        <f t="shared" si="2189"/>
        <v>05/12/2020 14:49:41.988</v>
      </c>
      <c r="C4765" t="str">
        <f t="shared" si="2190"/>
        <v>FFDFD3C0</v>
      </c>
      <c r="D4765" t="s">
        <v>138</v>
      </c>
      <c r="E4765">
        <v>3</v>
      </c>
      <c r="H4765">
        <v>9</v>
      </c>
      <c r="I4765" t="s">
        <v>140</v>
      </c>
      <c r="J4765" t="s">
        <v>136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t="str">
        <f t="shared" si="2191"/>
        <v>14:49:59.836</v>
      </c>
      <c r="T4765" t="str">
        <f t="shared" si="2192"/>
        <v>14:49:59.736</v>
      </c>
      <c r="U4765" t="str">
        <f t="shared" si="2181"/>
        <v>A9808D</v>
      </c>
      <c r="V4765">
        <v>0</v>
      </c>
      <c r="W4765">
        <v>0</v>
      </c>
      <c r="X4765">
        <v>1</v>
      </c>
      <c r="Z4765">
        <v>0</v>
      </c>
      <c r="AA4765">
        <v>9</v>
      </c>
      <c r="AB4765">
        <v>3</v>
      </c>
      <c r="AC4765">
        <v>0</v>
      </c>
      <c r="AD4765">
        <v>10</v>
      </c>
      <c r="AE4765">
        <v>0</v>
      </c>
      <c r="AF4765">
        <v>3</v>
      </c>
      <c r="AG4765">
        <v>2</v>
      </c>
      <c r="AH4765">
        <v>0</v>
      </c>
      <c r="AI4765" t="s">
        <v>1063</v>
      </c>
      <c r="AJ4765">
        <v>28.240763999999999</v>
      </c>
      <c r="AK4765" t="s">
        <v>1064</v>
      </c>
      <c r="AL4765">
        <v>-82.351304999999996</v>
      </c>
      <c r="AM4765">
        <v>100</v>
      </c>
      <c r="AN4765">
        <v>2100</v>
      </c>
      <c r="AO4765" t="s">
        <v>118</v>
      </c>
      <c r="AP4765">
        <v>-131</v>
      </c>
      <c r="AQ4765">
        <v>-45</v>
      </c>
      <c r="AR4765">
        <v>256</v>
      </c>
      <c r="AZ4765">
        <v>1200</v>
      </c>
      <c r="BA4765">
        <v>1</v>
      </c>
      <c r="BB4765" t="str">
        <f t="shared" si="2193"/>
        <v xml:space="preserve">N711JA  </v>
      </c>
      <c r="BC4765">
        <v>1</v>
      </c>
      <c r="BE4765">
        <v>0</v>
      </c>
      <c r="BF4765">
        <v>0</v>
      </c>
      <c r="BG4765">
        <v>0</v>
      </c>
      <c r="BH4765">
        <v>2125</v>
      </c>
      <c r="BI4765">
        <v>1</v>
      </c>
      <c r="BJ4765">
        <v>1</v>
      </c>
      <c r="BK4765">
        <v>0</v>
      </c>
      <c r="BL4765">
        <v>0</v>
      </c>
      <c r="BO4765">
        <v>0</v>
      </c>
      <c r="BP4765">
        <v>0</v>
      </c>
      <c r="BW4765" t="str">
        <f t="shared" si="2194"/>
        <v>14:49:59.840</v>
      </c>
      <c r="CJ4765">
        <v>0</v>
      </c>
      <c r="CK4765">
        <v>2</v>
      </c>
      <c r="CL4765">
        <v>0</v>
      </c>
      <c r="CM4765">
        <v>2</v>
      </c>
      <c r="CN4765">
        <v>0</v>
      </c>
      <c r="CO4765">
        <v>7</v>
      </c>
      <c r="CP4765" t="s">
        <v>119</v>
      </c>
      <c r="CQ4765">
        <v>358</v>
      </c>
      <c r="CR4765">
        <v>0</v>
      </c>
      <c r="CW4765">
        <v>5172605</v>
      </c>
      <c r="CY4765">
        <v>1</v>
      </c>
      <c r="CZ4765">
        <v>0</v>
      </c>
      <c r="DA4765">
        <v>1</v>
      </c>
      <c r="DB4765">
        <v>0</v>
      </c>
      <c r="DC4765">
        <v>0</v>
      </c>
      <c r="DD4765">
        <v>1</v>
      </c>
      <c r="DE4765">
        <v>0</v>
      </c>
      <c r="DF4765">
        <v>0</v>
      </c>
      <c r="DG4765">
        <v>0</v>
      </c>
      <c r="DH4765">
        <v>0</v>
      </c>
      <c r="DI4765">
        <v>0</v>
      </c>
    </row>
    <row r="4766" spans="1:113" x14ac:dyDescent="0.3">
      <c r="A4766" t="str">
        <f t="shared" si="2189"/>
        <v>05/12/2020 14:49:41.988</v>
      </c>
      <c r="C4766" t="str">
        <f t="shared" si="2190"/>
        <v>FFDFD3C0</v>
      </c>
      <c r="D4766" t="s">
        <v>134</v>
      </c>
      <c r="E4766">
        <v>12</v>
      </c>
      <c r="H4766">
        <v>64</v>
      </c>
      <c r="I4766" t="s">
        <v>135</v>
      </c>
      <c r="J4766" t="s">
        <v>136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t="str">
        <f t="shared" si="2191"/>
        <v>14:49:59.836</v>
      </c>
      <c r="T4766" t="str">
        <f t="shared" si="2192"/>
        <v>14:49:59.736</v>
      </c>
      <c r="U4766" t="str">
        <f t="shared" si="2181"/>
        <v>A9808D</v>
      </c>
      <c r="V4766">
        <v>0</v>
      </c>
      <c r="W4766">
        <v>0</v>
      </c>
      <c r="X4766">
        <v>1</v>
      </c>
      <c r="Z4766">
        <v>0</v>
      </c>
      <c r="AA4766">
        <v>9</v>
      </c>
      <c r="AB4766">
        <v>3</v>
      </c>
      <c r="AC4766">
        <v>0</v>
      </c>
      <c r="AD4766">
        <v>10</v>
      </c>
      <c r="AE4766">
        <v>0</v>
      </c>
      <c r="AF4766">
        <v>3</v>
      </c>
      <c r="AG4766">
        <v>2</v>
      </c>
      <c r="AH4766">
        <v>0</v>
      </c>
      <c r="AI4766" t="s">
        <v>1063</v>
      </c>
      <c r="AJ4766">
        <v>28.240763999999999</v>
      </c>
      <c r="AK4766" t="s">
        <v>1064</v>
      </c>
      <c r="AL4766">
        <v>-82.351304999999996</v>
      </c>
      <c r="AM4766">
        <v>100</v>
      </c>
      <c r="AN4766">
        <v>2100</v>
      </c>
      <c r="AO4766" t="s">
        <v>118</v>
      </c>
      <c r="AP4766">
        <v>-131</v>
      </c>
      <c r="AQ4766">
        <v>-45</v>
      </c>
      <c r="AR4766">
        <v>256</v>
      </c>
      <c r="AZ4766">
        <v>1200</v>
      </c>
      <c r="BA4766">
        <v>1</v>
      </c>
      <c r="BB4766" t="str">
        <f t="shared" si="2193"/>
        <v xml:space="preserve">N711JA  </v>
      </c>
      <c r="BC4766">
        <v>1</v>
      </c>
      <c r="BE4766">
        <v>0</v>
      </c>
      <c r="BF4766">
        <v>0</v>
      </c>
      <c r="BG4766">
        <v>0</v>
      </c>
      <c r="BH4766">
        <v>2125</v>
      </c>
      <c r="BI4766">
        <v>1</v>
      </c>
      <c r="BJ4766">
        <v>1</v>
      </c>
      <c r="BK4766">
        <v>0</v>
      </c>
      <c r="BL4766">
        <v>0</v>
      </c>
      <c r="BO4766">
        <v>0</v>
      </c>
      <c r="BP4766">
        <v>0</v>
      </c>
      <c r="BW4766" t="str">
        <f t="shared" si="2194"/>
        <v>14:49:59.840</v>
      </c>
      <c r="CJ4766">
        <v>0</v>
      </c>
      <c r="CK4766">
        <v>2</v>
      </c>
      <c r="CL4766">
        <v>0</v>
      </c>
      <c r="CM4766">
        <v>2</v>
      </c>
      <c r="CN4766">
        <v>0</v>
      </c>
      <c r="CO4766">
        <v>7</v>
      </c>
      <c r="CP4766" t="s">
        <v>119</v>
      </c>
      <c r="CQ4766">
        <v>358</v>
      </c>
      <c r="CR4766">
        <v>0</v>
      </c>
      <c r="CW4766">
        <v>5172605</v>
      </c>
      <c r="CY4766">
        <v>1</v>
      </c>
      <c r="CZ4766">
        <v>0</v>
      </c>
      <c r="DA4766">
        <v>1</v>
      </c>
      <c r="DB4766">
        <v>0</v>
      </c>
      <c r="DC4766">
        <v>0</v>
      </c>
      <c r="DD4766">
        <v>1</v>
      </c>
      <c r="DE4766">
        <v>0</v>
      </c>
      <c r="DF4766">
        <v>0</v>
      </c>
      <c r="DG4766">
        <v>0</v>
      </c>
      <c r="DH4766">
        <v>0</v>
      </c>
      <c r="DI4766">
        <v>0</v>
      </c>
    </row>
    <row r="4767" spans="1:113" x14ac:dyDescent="0.3">
      <c r="A4767" t="str">
        <f t="shared" ref="A4767:A4775" si="2195">"05/12/2020 14:49:43.047"</f>
        <v>05/12/2020 14:49:43.047</v>
      </c>
      <c r="C4767" t="str">
        <f t="shared" si="2190"/>
        <v>FFDFD3C0</v>
      </c>
      <c r="D4767" t="s">
        <v>131</v>
      </c>
      <c r="E4767">
        <v>10</v>
      </c>
      <c r="F4767">
        <v>2010</v>
      </c>
      <c r="G4767" t="s">
        <v>132</v>
      </c>
      <c r="J4767" t="s">
        <v>133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t="str">
        <f t="shared" ref="S4767:S4775" si="2196">"14:50:00.867"</f>
        <v>14:50:00.867</v>
      </c>
      <c r="T4767" t="str">
        <f t="shared" ref="T4767:T4775" si="2197">"14:50:00.767"</f>
        <v>14:50:00.767</v>
      </c>
      <c r="U4767" t="str">
        <f t="shared" si="2181"/>
        <v>A9808D</v>
      </c>
      <c r="V4767">
        <v>0</v>
      </c>
      <c r="W4767">
        <v>0</v>
      </c>
      <c r="X4767">
        <v>1</v>
      </c>
      <c r="Z4767">
        <v>0</v>
      </c>
      <c r="AA4767">
        <v>9</v>
      </c>
      <c r="AB4767">
        <v>3</v>
      </c>
      <c r="AC4767">
        <v>0</v>
      </c>
      <c r="AD4767">
        <v>10</v>
      </c>
      <c r="AE4767">
        <v>0</v>
      </c>
      <c r="AF4767">
        <v>3</v>
      </c>
      <c r="AG4767">
        <v>2</v>
      </c>
      <c r="AH4767">
        <v>0</v>
      </c>
      <c r="AI4767" t="s">
        <v>1065</v>
      </c>
      <c r="AJ4767">
        <v>28.240549999999999</v>
      </c>
      <c r="AK4767" t="s">
        <v>1066</v>
      </c>
      <c r="AL4767">
        <v>-82.352057000000002</v>
      </c>
      <c r="AM4767">
        <v>100</v>
      </c>
      <c r="AN4767">
        <v>2100</v>
      </c>
      <c r="AO4767" t="s">
        <v>118</v>
      </c>
      <c r="AP4767">
        <v>-130</v>
      </c>
      <c r="AQ4767">
        <v>-45</v>
      </c>
      <c r="AR4767">
        <v>448</v>
      </c>
      <c r="AZ4767">
        <v>1200</v>
      </c>
      <c r="BA4767">
        <v>1</v>
      </c>
      <c r="BB4767" t="str">
        <f t="shared" si="2193"/>
        <v xml:space="preserve">N711JA  </v>
      </c>
      <c r="BC4767">
        <v>1</v>
      </c>
      <c r="BE4767">
        <v>0</v>
      </c>
      <c r="BF4767">
        <v>0</v>
      </c>
      <c r="BG4767">
        <v>0</v>
      </c>
      <c r="BH4767">
        <v>2150</v>
      </c>
      <c r="BI4767">
        <v>1</v>
      </c>
      <c r="BJ4767">
        <v>1</v>
      </c>
      <c r="BK4767">
        <v>0</v>
      </c>
      <c r="BL4767">
        <v>0</v>
      </c>
      <c r="BO4767">
        <v>0</v>
      </c>
      <c r="BP4767">
        <v>0</v>
      </c>
      <c r="BW4767" t="str">
        <f t="shared" ref="BW4767:BW4775" si="2198">"14:50:00.870"</f>
        <v>14:50:00.870</v>
      </c>
      <c r="CJ4767">
        <v>0</v>
      </c>
      <c r="CK4767">
        <v>2</v>
      </c>
      <c r="CL4767">
        <v>0</v>
      </c>
      <c r="CM4767">
        <v>2</v>
      </c>
      <c r="CN4767">
        <v>0</v>
      </c>
      <c r="CO4767">
        <v>7</v>
      </c>
      <c r="CP4767" t="s">
        <v>119</v>
      </c>
      <c r="CQ4767">
        <v>343</v>
      </c>
      <c r="CR4767">
        <v>1</v>
      </c>
      <c r="CW4767">
        <v>11072091</v>
      </c>
      <c r="CY4767">
        <v>1</v>
      </c>
      <c r="CZ4767">
        <v>0</v>
      </c>
      <c r="DA4767">
        <v>0</v>
      </c>
      <c r="DB4767">
        <v>0</v>
      </c>
      <c r="DC4767">
        <v>0</v>
      </c>
      <c r="DD4767">
        <v>1</v>
      </c>
      <c r="DE4767">
        <v>0</v>
      </c>
      <c r="DF4767">
        <v>0</v>
      </c>
      <c r="DG4767">
        <v>0</v>
      </c>
      <c r="DH4767">
        <v>0</v>
      </c>
      <c r="DI4767">
        <v>0</v>
      </c>
    </row>
    <row r="4768" spans="1:113" x14ac:dyDescent="0.3">
      <c r="A4768" t="str">
        <f t="shared" si="2195"/>
        <v>05/12/2020 14:49:43.047</v>
      </c>
      <c r="C4768" t="str">
        <f t="shared" si="2190"/>
        <v>FFDFD3C0</v>
      </c>
      <c r="D4768" t="s">
        <v>126</v>
      </c>
      <c r="E4768">
        <v>7</v>
      </c>
      <c r="F4768">
        <v>1007</v>
      </c>
      <c r="G4768" t="s">
        <v>127</v>
      </c>
      <c r="J4768" t="s">
        <v>128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t="str">
        <f t="shared" si="2196"/>
        <v>14:50:00.867</v>
      </c>
      <c r="T4768" t="str">
        <f t="shared" si="2197"/>
        <v>14:50:00.767</v>
      </c>
      <c r="U4768" t="str">
        <f t="shared" si="2181"/>
        <v>A9808D</v>
      </c>
      <c r="V4768">
        <v>0</v>
      </c>
      <c r="W4768">
        <v>0</v>
      </c>
      <c r="X4768">
        <v>1</v>
      </c>
      <c r="Z4768">
        <v>0</v>
      </c>
      <c r="AA4768">
        <v>9</v>
      </c>
      <c r="AB4768">
        <v>3</v>
      </c>
      <c r="AC4768">
        <v>0</v>
      </c>
      <c r="AD4768">
        <v>10</v>
      </c>
      <c r="AE4768">
        <v>0</v>
      </c>
      <c r="AF4768">
        <v>3</v>
      </c>
      <c r="AG4768">
        <v>2</v>
      </c>
      <c r="AH4768">
        <v>0</v>
      </c>
      <c r="AI4768" t="s">
        <v>1065</v>
      </c>
      <c r="AJ4768">
        <v>28.240549999999999</v>
      </c>
      <c r="AK4768" t="s">
        <v>1066</v>
      </c>
      <c r="AL4768">
        <v>-82.352057000000002</v>
      </c>
      <c r="AM4768">
        <v>100</v>
      </c>
      <c r="AN4768">
        <v>2100</v>
      </c>
      <c r="AO4768" t="s">
        <v>118</v>
      </c>
      <c r="AP4768">
        <v>-130</v>
      </c>
      <c r="AQ4768">
        <v>-45</v>
      </c>
      <c r="AR4768">
        <v>448</v>
      </c>
      <c r="AZ4768">
        <v>1200</v>
      </c>
      <c r="BA4768">
        <v>1</v>
      </c>
      <c r="BB4768" t="str">
        <f t="shared" si="2193"/>
        <v xml:space="preserve">N711JA  </v>
      </c>
      <c r="BC4768">
        <v>1</v>
      </c>
      <c r="BE4768">
        <v>0</v>
      </c>
      <c r="BF4768">
        <v>0</v>
      </c>
      <c r="BG4768">
        <v>0</v>
      </c>
      <c r="BH4768">
        <v>2150</v>
      </c>
      <c r="BI4768">
        <v>1</v>
      </c>
      <c r="BJ4768">
        <v>1</v>
      </c>
      <c r="BK4768">
        <v>0</v>
      </c>
      <c r="BL4768">
        <v>0</v>
      </c>
      <c r="BO4768">
        <v>0</v>
      </c>
      <c r="BP4768">
        <v>0</v>
      </c>
      <c r="BW4768" t="str">
        <f t="shared" si="2198"/>
        <v>14:50:00.870</v>
      </c>
      <c r="CJ4768">
        <v>0</v>
      </c>
      <c r="CK4768">
        <v>2</v>
      </c>
      <c r="CL4768">
        <v>0</v>
      </c>
      <c r="CM4768">
        <v>2</v>
      </c>
      <c r="CN4768">
        <v>0</v>
      </c>
      <c r="CO4768">
        <v>7</v>
      </c>
      <c r="CP4768" t="s">
        <v>119</v>
      </c>
      <c r="CQ4768">
        <v>343</v>
      </c>
      <c r="CR4768">
        <v>1</v>
      </c>
      <c r="CW4768">
        <v>11072091</v>
      </c>
      <c r="CY4768">
        <v>1</v>
      </c>
      <c r="CZ4768">
        <v>0</v>
      </c>
      <c r="DA4768">
        <v>1</v>
      </c>
      <c r="DB4768">
        <v>0</v>
      </c>
      <c r="DC4768">
        <v>0</v>
      </c>
      <c r="DD4768">
        <v>1</v>
      </c>
      <c r="DE4768">
        <v>0</v>
      </c>
      <c r="DF4768">
        <v>0</v>
      </c>
      <c r="DG4768">
        <v>0</v>
      </c>
      <c r="DH4768">
        <v>0</v>
      </c>
      <c r="DI4768">
        <v>0</v>
      </c>
    </row>
    <row r="4769" spans="1:113" x14ac:dyDescent="0.3">
      <c r="A4769" t="str">
        <f t="shared" si="2195"/>
        <v>05/12/2020 14:49:43.047</v>
      </c>
      <c r="C4769" t="str">
        <f t="shared" si="2190"/>
        <v>FFDFD3C0</v>
      </c>
      <c r="D4769" t="s">
        <v>131</v>
      </c>
      <c r="E4769">
        <v>12</v>
      </c>
      <c r="F4769">
        <v>2012</v>
      </c>
      <c r="G4769" t="s">
        <v>137</v>
      </c>
      <c r="J4769" t="s">
        <v>133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t="str">
        <f t="shared" si="2196"/>
        <v>14:50:00.867</v>
      </c>
      <c r="T4769" t="str">
        <f t="shared" si="2197"/>
        <v>14:50:00.767</v>
      </c>
      <c r="U4769" t="str">
        <f t="shared" si="2181"/>
        <v>A9808D</v>
      </c>
      <c r="V4769">
        <v>0</v>
      </c>
      <c r="W4769">
        <v>0</v>
      </c>
      <c r="X4769">
        <v>1</v>
      </c>
      <c r="Z4769">
        <v>0</v>
      </c>
      <c r="AA4769">
        <v>9</v>
      </c>
      <c r="AB4769">
        <v>3</v>
      </c>
      <c r="AC4769">
        <v>0</v>
      </c>
      <c r="AD4769">
        <v>10</v>
      </c>
      <c r="AE4769">
        <v>0</v>
      </c>
      <c r="AF4769">
        <v>3</v>
      </c>
      <c r="AG4769">
        <v>2</v>
      </c>
      <c r="AH4769">
        <v>0</v>
      </c>
      <c r="AI4769" t="s">
        <v>1065</v>
      </c>
      <c r="AJ4769">
        <v>28.240549999999999</v>
      </c>
      <c r="AK4769" t="s">
        <v>1066</v>
      </c>
      <c r="AL4769">
        <v>-82.352057000000002</v>
      </c>
      <c r="AM4769">
        <v>100</v>
      </c>
      <c r="AN4769">
        <v>2100</v>
      </c>
      <c r="AO4769" t="s">
        <v>118</v>
      </c>
      <c r="AP4769">
        <v>-130</v>
      </c>
      <c r="AQ4769">
        <v>-45</v>
      </c>
      <c r="AR4769">
        <v>448</v>
      </c>
      <c r="AZ4769">
        <v>1200</v>
      </c>
      <c r="BA4769">
        <v>1</v>
      </c>
      <c r="BB4769" t="str">
        <f t="shared" si="2193"/>
        <v xml:space="preserve">N711JA  </v>
      </c>
      <c r="BC4769">
        <v>1</v>
      </c>
      <c r="BE4769">
        <v>0</v>
      </c>
      <c r="BF4769">
        <v>0</v>
      </c>
      <c r="BG4769">
        <v>0</v>
      </c>
      <c r="BH4769">
        <v>2150</v>
      </c>
      <c r="BI4769">
        <v>1</v>
      </c>
      <c r="BJ4769">
        <v>1</v>
      </c>
      <c r="BK4769">
        <v>0</v>
      </c>
      <c r="BL4769">
        <v>0</v>
      </c>
      <c r="BO4769">
        <v>0</v>
      </c>
      <c r="BP4769">
        <v>0</v>
      </c>
      <c r="BW4769" t="str">
        <f t="shared" si="2198"/>
        <v>14:50:00.870</v>
      </c>
      <c r="CJ4769">
        <v>0</v>
      </c>
      <c r="CK4769">
        <v>2</v>
      </c>
      <c r="CL4769">
        <v>0</v>
      </c>
      <c r="CM4769">
        <v>2</v>
      </c>
      <c r="CN4769">
        <v>0</v>
      </c>
      <c r="CO4769">
        <v>7</v>
      </c>
      <c r="CP4769" t="s">
        <v>119</v>
      </c>
      <c r="CQ4769">
        <v>343</v>
      </c>
      <c r="CR4769">
        <v>1</v>
      </c>
      <c r="CW4769">
        <v>11072091</v>
      </c>
      <c r="CY4769">
        <v>1</v>
      </c>
      <c r="CZ4769">
        <v>0</v>
      </c>
      <c r="DA4769">
        <v>1</v>
      </c>
      <c r="DB4769">
        <v>0</v>
      </c>
      <c r="DC4769">
        <v>0</v>
      </c>
      <c r="DD4769">
        <v>1</v>
      </c>
      <c r="DE4769">
        <v>0</v>
      </c>
      <c r="DF4769">
        <v>0</v>
      </c>
      <c r="DG4769">
        <v>0</v>
      </c>
      <c r="DH4769">
        <v>0</v>
      </c>
      <c r="DI4769">
        <v>0</v>
      </c>
    </row>
    <row r="4770" spans="1:113" x14ac:dyDescent="0.3">
      <c r="A4770" t="str">
        <f t="shared" si="2195"/>
        <v>05/12/2020 14:49:43.047</v>
      </c>
      <c r="C4770" t="str">
        <f t="shared" si="2190"/>
        <v>FFDFD3C0</v>
      </c>
      <c r="D4770" t="s">
        <v>131</v>
      </c>
      <c r="E4770">
        <v>18</v>
      </c>
      <c r="F4770">
        <v>2018</v>
      </c>
      <c r="G4770" t="s">
        <v>161</v>
      </c>
      <c r="J4770" t="s">
        <v>133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t="str">
        <f t="shared" si="2196"/>
        <v>14:50:00.867</v>
      </c>
      <c r="T4770" t="str">
        <f t="shared" si="2197"/>
        <v>14:50:00.767</v>
      </c>
      <c r="U4770" t="str">
        <f t="shared" si="2181"/>
        <v>A9808D</v>
      </c>
      <c r="V4770">
        <v>0</v>
      </c>
      <c r="W4770">
        <v>0</v>
      </c>
      <c r="X4770">
        <v>1</v>
      </c>
      <c r="Z4770">
        <v>0</v>
      </c>
      <c r="AA4770">
        <v>9</v>
      </c>
      <c r="AB4770">
        <v>3</v>
      </c>
      <c r="AC4770">
        <v>0</v>
      </c>
      <c r="AD4770">
        <v>10</v>
      </c>
      <c r="AE4770">
        <v>0</v>
      </c>
      <c r="AF4770">
        <v>3</v>
      </c>
      <c r="AG4770">
        <v>2</v>
      </c>
      <c r="AH4770">
        <v>0</v>
      </c>
      <c r="AI4770" t="s">
        <v>1065</v>
      </c>
      <c r="AJ4770">
        <v>28.240549999999999</v>
      </c>
      <c r="AK4770" t="s">
        <v>1066</v>
      </c>
      <c r="AL4770">
        <v>-82.352057000000002</v>
      </c>
      <c r="AM4770">
        <v>100</v>
      </c>
      <c r="AN4770">
        <v>2100</v>
      </c>
      <c r="AO4770" t="s">
        <v>118</v>
      </c>
      <c r="AP4770">
        <v>-130</v>
      </c>
      <c r="AQ4770">
        <v>-45</v>
      </c>
      <c r="AR4770">
        <v>448</v>
      </c>
      <c r="AZ4770">
        <v>1200</v>
      </c>
      <c r="BA4770">
        <v>1</v>
      </c>
      <c r="BB4770" t="str">
        <f t="shared" si="2193"/>
        <v xml:space="preserve">N711JA  </v>
      </c>
      <c r="BC4770">
        <v>1</v>
      </c>
      <c r="BE4770">
        <v>0</v>
      </c>
      <c r="BF4770">
        <v>0</v>
      </c>
      <c r="BG4770">
        <v>0</v>
      </c>
      <c r="BH4770">
        <v>2150</v>
      </c>
      <c r="BI4770">
        <v>1</v>
      </c>
      <c r="BJ4770">
        <v>1</v>
      </c>
      <c r="BK4770">
        <v>0</v>
      </c>
      <c r="BL4770">
        <v>0</v>
      </c>
      <c r="BO4770">
        <v>0</v>
      </c>
      <c r="BP4770">
        <v>0</v>
      </c>
      <c r="BW4770" t="str">
        <f t="shared" si="2198"/>
        <v>14:50:00.870</v>
      </c>
      <c r="CJ4770">
        <v>0</v>
      </c>
      <c r="CK4770">
        <v>2</v>
      </c>
      <c r="CL4770">
        <v>0</v>
      </c>
      <c r="CM4770">
        <v>2</v>
      </c>
      <c r="CN4770">
        <v>0</v>
      </c>
      <c r="CO4770">
        <v>7</v>
      </c>
      <c r="CP4770" t="s">
        <v>119</v>
      </c>
      <c r="CQ4770">
        <v>343</v>
      </c>
      <c r="CR4770">
        <v>1</v>
      </c>
      <c r="CW4770">
        <v>11072091</v>
      </c>
      <c r="CY4770">
        <v>1</v>
      </c>
      <c r="CZ4770">
        <v>0</v>
      </c>
      <c r="DA4770">
        <v>1</v>
      </c>
      <c r="DB4770">
        <v>0</v>
      </c>
      <c r="DC4770">
        <v>0</v>
      </c>
      <c r="DD4770">
        <v>1</v>
      </c>
      <c r="DE4770">
        <v>0</v>
      </c>
      <c r="DF4770">
        <v>0</v>
      </c>
      <c r="DG4770">
        <v>0</v>
      </c>
      <c r="DH4770">
        <v>0</v>
      </c>
      <c r="DI4770">
        <v>0</v>
      </c>
    </row>
    <row r="4771" spans="1:113" x14ac:dyDescent="0.3">
      <c r="A4771" t="str">
        <f t="shared" si="2195"/>
        <v>05/12/2020 14:49:43.047</v>
      </c>
      <c r="C4771" t="str">
        <f t="shared" si="2190"/>
        <v>FFDFD3C0</v>
      </c>
      <c r="D4771" t="s">
        <v>126</v>
      </c>
      <c r="E4771">
        <v>6</v>
      </c>
      <c r="F4771">
        <v>1006</v>
      </c>
      <c r="G4771" t="s">
        <v>114</v>
      </c>
      <c r="J4771" t="s">
        <v>128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t="str">
        <f t="shared" si="2196"/>
        <v>14:50:00.867</v>
      </c>
      <c r="T4771" t="str">
        <f t="shared" si="2197"/>
        <v>14:50:00.767</v>
      </c>
      <c r="U4771" t="str">
        <f t="shared" si="2181"/>
        <v>A9808D</v>
      </c>
      <c r="V4771">
        <v>0</v>
      </c>
      <c r="W4771">
        <v>0</v>
      </c>
      <c r="X4771">
        <v>1</v>
      </c>
      <c r="Z4771">
        <v>0</v>
      </c>
      <c r="AA4771">
        <v>9</v>
      </c>
      <c r="AB4771">
        <v>3</v>
      </c>
      <c r="AC4771">
        <v>0</v>
      </c>
      <c r="AD4771">
        <v>10</v>
      </c>
      <c r="AE4771">
        <v>0</v>
      </c>
      <c r="AF4771">
        <v>3</v>
      </c>
      <c r="AG4771">
        <v>2</v>
      </c>
      <c r="AH4771">
        <v>0</v>
      </c>
      <c r="AI4771" t="s">
        <v>1065</v>
      </c>
      <c r="AJ4771">
        <v>28.240549999999999</v>
      </c>
      <c r="AK4771" t="s">
        <v>1066</v>
      </c>
      <c r="AL4771">
        <v>-82.352057000000002</v>
      </c>
      <c r="AM4771">
        <v>100</v>
      </c>
      <c r="AN4771">
        <v>2100</v>
      </c>
      <c r="AO4771" t="s">
        <v>118</v>
      </c>
      <c r="AP4771">
        <v>-130</v>
      </c>
      <c r="AQ4771">
        <v>-45</v>
      </c>
      <c r="AR4771">
        <v>448</v>
      </c>
      <c r="AZ4771">
        <v>1200</v>
      </c>
      <c r="BA4771">
        <v>1</v>
      </c>
      <c r="BB4771" t="str">
        <f t="shared" si="2193"/>
        <v xml:space="preserve">N711JA  </v>
      </c>
      <c r="BC4771">
        <v>1</v>
      </c>
      <c r="BE4771">
        <v>0</v>
      </c>
      <c r="BF4771">
        <v>0</v>
      </c>
      <c r="BG4771">
        <v>0</v>
      </c>
      <c r="BH4771">
        <v>2150</v>
      </c>
      <c r="BI4771">
        <v>1</v>
      </c>
      <c r="BJ4771">
        <v>1</v>
      </c>
      <c r="BK4771">
        <v>0</v>
      </c>
      <c r="BL4771">
        <v>0</v>
      </c>
      <c r="BO4771">
        <v>0</v>
      </c>
      <c r="BP4771">
        <v>0</v>
      </c>
      <c r="BW4771" t="str">
        <f t="shared" si="2198"/>
        <v>14:50:00.870</v>
      </c>
      <c r="CJ4771">
        <v>0</v>
      </c>
      <c r="CK4771">
        <v>2</v>
      </c>
      <c r="CL4771">
        <v>0</v>
      </c>
      <c r="CM4771">
        <v>2</v>
      </c>
      <c r="CN4771">
        <v>0</v>
      </c>
      <c r="CO4771">
        <v>7</v>
      </c>
      <c r="CP4771" t="s">
        <v>119</v>
      </c>
      <c r="CQ4771">
        <v>343</v>
      </c>
      <c r="CR4771">
        <v>1</v>
      </c>
      <c r="CW4771">
        <v>11072091</v>
      </c>
      <c r="CY4771">
        <v>1</v>
      </c>
      <c r="CZ4771">
        <v>0</v>
      </c>
      <c r="DA4771">
        <v>1</v>
      </c>
      <c r="DB4771">
        <v>0</v>
      </c>
      <c r="DC4771">
        <v>0</v>
      </c>
      <c r="DD4771">
        <v>1</v>
      </c>
      <c r="DE4771">
        <v>0</v>
      </c>
      <c r="DF4771">
        <v>0</v>
      </c>
      <c r="DG4771">
        <v>0</v>
      </c>
      <c r="DH4771">
        <v>0</v>
      </c>
      <c r="DI4771">
        <v>0</v>
      </c>
    </row>
    <row r="4772" spans="1:113" x14ac:dyDescent="0.3">
      <c r="A4772" t="str">
        <f t="shared" si="2195"/>
        <v>05/12/2020 14:49:43.047</v>
      </c>
      <c r="C4772" t="str">
        <f t="shared" si="2190"/>
        <v>FFDFD3C0</v>
      </c>
      <c r="D4772" t="s">
        <v>113</v>
      </c>
      <c r="E4772">
        <v>3</v>
      </c>
      <c r="H4772">
        <v>164</v>
      </c>
      <c r="I4772" t="s">
        <v>114</v>
      </c>
      <c r="J4772" t="s">
        <v>115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t="str">
        <f t="shared" si="2196"/>
        <v>14:50:00.867</v>
      </c>
      <c r="T4772" t="str">
        <f t="shared" si="2197"/>
        <v>14:50:00.767</v>
      </c>
      <c r="U4772" t="str">
        <f t="shared" si="2181"/>
        <v>A9808D</v>
      </c>
      <c r="V4772">
        <v>0</v>
      </c>
      <c r="W4772">
        <v>0</v>
      </c>
      <c r="X4772">
        <v>1</v>
      </c>
      <c r="Z4772">
        <v>0</v>
      </c>
      <c r="AA4772">
        <v>9</v>
      </c>
      <c r="AB4772">
        <v>3</v>
      </c>
      <c r="AC4772">
        <v>0</v>
      </c>
      <c r="AD4772">
        <v>10</v>
      </c>
      <c r="AE4772">
        <v>0</v>
      </c>
      <c r="AF4772">
        <v>3</v>
      </c>
      <c r="AG4772">
        <v>2</v>
      </c>
      <c r="AH4772">
        <v>0</v>
      </c>
      <c r="AI4772" t="s">
        <v>1065</v>
      </c>
      <c r="AJ4772">
        <v>28.240549999999999</v>
      </c>
      <c r="AK4772" t="s">
        <v>1066</v>
      </c>
      <c r="AL4772">
        <v>-82.352057000000002</v>
      </c>
      <c r="AM4772">
        <v>100</v>
      </c>
      <c r="AN4772">
        <v>2100</v>
      </c>
      <c r="AO4772" t="s">
        <v>118</v>
      </c>
      <c r="AP4772">
        <v>-130</v>
      </c>
      <c r="AQ4772">
        <v>-45</v>
      </c>
      <c r="AR4772">
        <v>448</v>
      </c>
      <c r="AZ4772">
        <v>1200</v>
      </c>
      <c r="BA4772">
        <v>1</v>
      </c>
      <c r="BB4772" t="str">
        <f t="shared" si="2193"/>
        <v xml:space="preserve">N711JA  </v>
      </c>
      <c r="BC4772">
        <v>1</v>
      </c>
      <c r="BE4772">
        <v>0</v>
      </c>
      <c r="BF4772">
        <v>0</v>
      </c>
      <c r="BG4772">
        <v>0</v>
      </c>
      <c r="BH4772">
        <v>2150</v>
      </c>
      <c r="BI4772">
        <v>1</v>
      </c>
      <c r="BJ4772">
        <v>1</v>
      </c>
      <c r="BK4772">
        <v>0</v>
      </c>
      <c r="BL4772">
        <v>0</v>
      </c>
      <c r="BO4772">
        <v>0</v>
      </c>
      <c r="BP4772">
        <v>0</v>
      </c>
      <c r="BW4772" t="str">
        <f t="shared" si="2198"/>
        <v>14:50:00.870</v>
      </c>
      <c r="CJ4772">
        <v>0</v>
      </c>
      <c r="CK4772">
        <v>2</v>
      </c>
      <c r="CL4772">
        <v>0</v>
      </c>
      <c r="CM4772">
        <v>2</v>
      </c>
      <c r="CN4772">
        <v>0</v>
      </c>
      <c r="CO4772">
        <v>7</v>
      </c>
      <c r="CP4772" t="s">
        <v>119</v>
      </c>
      <c r="CQ4772">
        <v>343</v>
      </c>
      <c r="CR4772">
        <v>1</v>
      </c>
      <c r="CW4772">
        <v>11072091</v>
      </c>
      <c r="CY4772">
        <v>1</v>
      </c>
      <c r="CZ4772">
        <v>0</v>
      </c>
      <c r="DA4772">
        <v>1</v>
      </c>
      <c r="DB4772">
        <v>0</v>
      </c>
      <c r="DC4772">
        <v>0</v>
      </c>
      <c r="DD4772">
        <v>1</v>
      </c>
      <c r="DE4772">
        <v>0</v>
      </c>
      <c r="DF4772">
        <v>0</v>
      </c>
      <c r="DG4772">
        <v>0</v>
      </c>
      <c r="DH4772">
        <v>0</v>
      </c>
      <c r="DI4772">
        <v>0</v>
      </c>
    </row>
    <row r="4773" spans="1:113" x14ac:dyDescent="0.3">
      <c r="A4773" t="str">
        <f t="shared" si="2195"/>
        <v>05/12/2020 14:49:43.047</v>
      </c>
      <c r="C4773" t="str">
        <f t="shared" si="2190"/>
        <v>FFDFD3C0</v>
      </c>
      <c r="D4773" t="s">
        <v>138</v>
      </c>
      <c r="E4773">
        <v>2</v>
      </c>
      <c r="H4773">
        <v>8</v>
      </c>
      <c r="I4773" t="s">
        <v>139</v>
      </c>
      <c r="J4773" t="s">
        <v>136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t="str">
        <f t="shared" si="2196"/>
        <v>14:50:00.867</v>
      </c>
      <c r="T4773" t="str">
        <f t="shared" si="2197"/>
        <v>14:50:00.767</v>
      </c>
      <c r="U4773" t="str">
        <f t="shared" si="2181"/>
        <v>A9808D</v>
      </c>
      <c r="V4773">
        <v>0</v>
      </c>
      <c r="W4773">
        <v>0</v>
      </c>
      <c r="X4773">
        <v>1</v>
      </c>
      <c r="Z4773">
        <v>0</v>
      </c>
      <c r="AA4773">
        <v>9</v>
      </c>
      <c r="AB4773">
        <v>3</v>
      </c>
      <c r="AC4773">
        <v>0</v>
      </c>
      <c r="AD4773">
        <v>10</v>
      </c>
      <c r="AE4773">
        <v>0</v>
      </c>
      <c r="AF4773">
        <v>3</v>
      </c>
      <c r="AG4773">
        <v>2</v>
      </c>
      <c r="AH4773">
        <v>0</v>
      </c>
      <c r="AI4773" t="s">
        <v>1065</v>
      </c>
      <c r="AJ4773">
        <v>28.240549999999999</v>
      </c>
      <c r="AK4773" t="s">
        <v>1066</v>
      </c>
      <c r="AL4773">
        <v>-82.352057000000002</v>
      </c>
      <c r="AM4773">
        <v>100</v>
      </c>
      <c r="AN4773">
        <v>2100</v>
      </c>
      <c r="AO4773" t="s">
        <v>118</v>
      </c>
      <c r="AP4773">
        <v>-130</v>
      </c>
      <c r="AQ4773">
        <v>-45</v>
      </c>
      <c r="AR4773">
        <v>448</v>
      </c>
      <c r="AZ4773">
        <v>1200</v>
      </c>
      <c r="BA4773">
        <v>1</v>
      </c>
      <c r="BB4773" t="str">
        <f t="shared" si="2193"/>
        <v xml:space="preserve">N711JA  </v>
      </c>
      <c r="BC4773">
        <v>1</v>
      </c>
      <c r="BE4773">
        <v>0</v>
      </c>
      <c r="BF4773">
        <v>0</v>
      </c>
      <c r="BG4773">
        <v>0</v>
      </c>
      <c r="BH4773">
        <v>2150</v>
      </c>
      <c r="BI4773">
        <v>1</v>
      </c>
      <c r="BJ4773">
        <v>1</v>
      </c>
      <c r="BK4773">
        <v>0</v>
      </c>
      <c r="BL4773">
        <v>0</v>
      </c>
      <c r="BO4773">
        <v>0</v>
      </c>
      <c r="BP4773">
        <v>0</v>
      </c>
      <c r="BW4773" t="str">
        <f t="shared" si="2198"/>
        <v>14:50:00.870</v>
      </c>
      <c r="CJ4773">
        <v>0</v>
      </c>
      <c r="CK4773">
        <v>2</v>
      </c>
      <c r="CL4773">
        <v>0</v>
      </c>
      <c r="CM4773">
        <v>2</v>
      </c>
      <c r="CN4773">
        <v>0</v>
      </c>
      <c r="CO4773">
        <v>7</v>
      </c>
      <c r="CP4773" t="s">
        <v>119</v>
      </c>
      <c r="CQ4773">
        <v>343</v>
      </c>
      <c r="CR4773">
        <v>1</v>
      </c>
      <c r="CW4773">
        <v>11072091</v>
      </c>
      <c r="CY4773">
        <v>1</v>
      </c>
      <c r="CZ4773">
        <v>0</v>
      </c>
      <c r="DA4773">
        <v>1</v>
      </c>
      <c r="DB4773">
        <v>0</v>
      </c>
      <c r="DC4773">
        <v>0</v>
      </c>
      <c r="DD4773">
        <v>1</v>
      </c>
      <c r="DE4773">
        <v>0</v>
      </c>
      <c r="DF4773">
        <v>0</v>
      </c>
      <c r="DG4773">
        <v>0</v>
      </c>
      <c r="DH4773">
        <v>0</v>
      </c>
      <c r="DI4773">
        <v>0</v>
      </c>
    </row>
    <row r="4774" spans="1:113" x14ac:dyDescent="0.3">
      <c r="A4774" t="str">
        <f t="shared" si="2195"/>
        <v>05/12/2020 14:49:43.047</v>
      </c>
      <c r="C4774" t="str">
        <f t="shared" si="2190"/>
        <v>FFDFD3C0</v>
      </c>
      <c r="D4774" t="s">
        <v>138</v>
      </c>
      <c r="E4774">
        <v>3</v>
      </c>
      <c r="H4774">
        <v>9</v>
      </c>
      <c r="I4774" t="s">
        <v>140</v>
      </c>
      <c r="J4774" t="s">
        <v>136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t="str">
        <f t="shared" si="2196"/>
        <v>14:50:00.867</v>
      </c>
      <c r="T4774" t="str">
        <f t="shared" si="2197"/>
        <v>14:50:00.767</v>
      </c>
      <c r="U4774" t="str">
        <f t="shared" si="2181"/>
        <v>A9808D</v>
      </c>
      <c r="V4774">
        <v>0</v>
      </c>
      <c r="W4774">
        <v>0</v>
      </c>
      <c r="X4774">
        <v>1</v>
      </c>
      <c r="Z4774">
        <v>0</v>
      </c>
      <c r="AA4774">
        <v>9</v>
      </c>
      <c r="AB4774">
        <v>3</v>
      </c>
      <c r="AC4774">
        <v>0</v>
      </c>
      <c r="AD4774">
        <v>10</v>
      </c>
      <c r="AE4774">
        <v>0</v>
      </c>
      <c r="AF4774">
        <v>3</v>
      </c>
      <c r="AG4774">
        <v>2</v>
      </c>
      <c r="AH4774">
        <v>0</v>
      </c>
      <c r="AI4774" t="s">
        <v>1065</v>
      </c>
      <c r="AJ4774">
        <v>28.240549999999999</v>
      </c>
      <c r="AK4774" t="s">
        <v>1066</v>
      </c>
      <c r="AL4774">
        <v>-82.352057000000002</v>
      </c>
      <c r="AM4774">
        <v>100</v>
      </c>
      <c r="AN4774">
        <v>2100</v>
      </c>
      <c r="AO4774" t="s">
        <v>118</v>
      </c>
      <c r="AP4774">
        <v>-130</v>
      </c>
      <c r="AQ4774">
        <v>-45</v>
      </c>
      <c r="AR4774">
        <v>448</v>
      </c>
      <c r="AZ4774">
        <v>1200</v>
      </c>
      <c r="BA4774">
        <v>1</v>
      </c>
      <c r="BB4774" t="str">
        <f t="shared" si="2193"/>
        <v xml:space="preserve">N711JA  </v>
      </c>
      <c r="BC4774">
        <v>1</v>
      </c>
      <c r="BE4774">
        <v>0</v>
      </c>
      <c r="BF4774">
        <v>0</v>
      </c>
      <c r="BG4774">
        <v>0</v>
      </c>
      <c r="BH4774">
        <v>2150</v>
      </c>
      <c r="BI4774">
        <v>1</v>
      </c>
      <c r="BJ4774">
        <v>1</v>
      </c>
      <c r="BK4774">
        <v>0</v>
      </c>
      <c r="BL4774">
        <v>0</v>
      </c>
      <c r="BO4774">
        <v>0</v>
      </c>
      <c r="BP4774">
        <v>0</v>
      </c>
      <c r="BW4774" t="str">
        <f t="shared" si="2198"/>
        <v>14:50:00.870</v>
      </c>
      <c r="CJ4774">
        <v>0</v>
      </c>
      <c r="CK4774">
        <v>2</v>
      </c>
      <c r="CL4774">
        <v>0</v>
      </c>
      <c r="CM4774">
        <v>2</v>
      </c>
      <c r="CN4774">
        <v>0</v>
      </c>
      <c r="CO4774">
        <v>7</v>
      </c>
      <c r="CP4774" t="s">
        <v>119</v>
      </c>
      <c r="CQ4774">
        <v>343</v>
      </c>
      <c r="CR4774">
        <v>1</v>
      </c>
      <c r="CW4774">
        <v>11072091</v>
      </c>
      <c r="CY4774">
        <v>1</v>
      </c>
      <c r="CZ4774">
        <v>0</v>
      </c>
      <c r="DA4774">
        <v>1</v>
      </c>
      <c r="DB4774">
        <v>0</v>
      </c>
      <c r="DC4774">
        <v>0</v>
      </c>
      <c r="DD4774">
        <v>1</v>
      </c>
      <c r="DE4774">
        <v>0</v>
      </c>
      <c r="DF4774">
        <v>0</v>
      </c>
      <c r="DG4774">
        <v>0</v>
      </c>
      <c r="DH4774">
        <v>0</v>
      </c>
      <c r="DI4774">
        <v>0</v>
      </c>
    </row>
    <row r="4775" spans="1:113" x14ac:dyDescent="0.3">
      <c r="A4775" t="str">
        <f t="shared" si="2195"/>
        <v>05/12/2020 14:49:43.047</v>
      </c>
      <c r="C4775" t="str">
        <f t="shared" si="2190"/>
        <v>FFDFD3C0</v>
      </c>
      <c r="D4775" t="s">
        <v>134</v>
      </c>
      <c r="E4775">
        <v>12</v>
      </c>
      <c r="H4775">
        <v>64</v>
      </c>
      <c r="I4775" t="s">
        <v>135</v>
      </c>
      <c r="J4775" t="s">
        <v>136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t="str">
        <f t="shared" si="2196"/>
        <v>14:50:00.867</v>
      </c>
      <c r="T4775" t="str">
        <f t="shared" si="2197"/>
        <v>14:50:00.767</v>
      </c>
      <c r="U4775" t="str">
        <f t="shared" si="2181"/>
        <v>A9808D</v>
      </c>
      <c r="V4775">
        <v>0</v>
      </c>
      <c r="W4775">
        <v>0</v>
      </c>
      <c r="X4775">
        <v>1</v>
      </c>
      <c r="Z4775">
        <v>0</v>
      </c>
      <c r="AA4775">
        <v>9</v>
      </c>
      <c r="AB4775">
        <v>3</v>
      </c>
      <c r="AC4775">
        <v>0</v>
      </c>
      <c r="AD4775">
        <v>10</v>
      </c>
      <c r="AE4775">
        <v>0</v>
      </c>
      <c r="AF4775">
        <v>3</v>
      </c>
      <c r="AG4775">
        <v>2</v>
      </c>
      <c r="AH4775">
        <v>0</v>
      </c>
      <c r="AI4775" t="s">
        <v>1065</v>
      </c>
      <c r="AJ4775">
        <v>28.240549999999999</v>
      </c>
      <c r="AK4775" t="s">
        <v>1066</v>
      </c>
      <c r="AL4775">
        <v>-82.352057000000002</v>
      </c>
      <c r="AM4775">
        <v>100</v>
      </c>
      <c r="AN4775">
        <v>2100</v>
      </c>
      <c r="AO4775" t="s">
        <v>118</v>
      </c>
      <c r="AP4775">
        <v>-130</v>
      </c>
      <c r="AQ4775">
        <v>-45</v>
      </c>
      <c r="AR4775">
        <v>448</v>
      </c>
      <c r="AZ4775">
        <v>1200</v>
      </c>
      <c r="BA4775">
        <v>1</v>
      </c>
      <c r="BB4775" t="str">
        <f t="shared" si="2193"/>
        <v xml:space="preserve">N711JA  </v>
      </c>
      <c r="BC4775">
        <v>1</v>
      </c>
      <c r="BE4775">
        <v>0</v>
      </c>
      <c r="BF4775">
        <v>0</v>
      </c>
      <c r="BG4775">
        <v>0</v>
      </c>
      <c r="BH4775">
        <v>2150</v>
      </c>
      <c r="BI4775">
        <v>1</v>
      </c>
      <c r="BJ4775">
        <v>1</v>
      </c>
      <c r="BK4775">
        <v>0</v>
      </c>
      <c r="BL4775">
        <v>0</v>
      </c>
      <c r="BO4775">
        <v>0</v>
      </c>
      <c r="BP4775">
        <v>0</v>
      </c>
      <c r="BW4775" t="str">
        <f t="shared" si="2198"/>
        <v>14:50:00.870</v>
      </c>
      <c r="CJ4775">
        <v>0</v>
      </c>
      <c r="CK4775">
        <v>2</v>
      </c>
      <c r="CL4775">
        <v>0</v>
      </c>
      <c r="CM4775">
        <v>2</v>
      </c>
      <c r="CN4775">
        <v>0</v>
      </c>
      <c r="CO4775">
        <v>7</v>
      </c>
      <c r="CP4775" t="s">
        <v>119</v>
      </c>
      <c r="CQ4775">
        <v>343</v>
      </c>
      <c r="CR4775">
        <v>1</v>
      </c>
      <c r="CW4775">
        <v>11072091</v>
      </c>
      <c r="CY4775">
        <v>1</v>
      </c>
      <c r="CZ4775">
        <v>0</v>
      </c>
      <c r="DA4775">
        <v>1</v>
      </c>
      <c r="DB4775">
        <v>0</v>
      </c>
      <c r="DC4775">
        <v>0</v>
      </c>
      <c r="DD4775">
        <v>1</v>
      </c>
      <c r="DE4775">
        <v>0</v>
      </c>
      <c r="DF4775">
        <v>0</v>
      </c>
      <c r="DG4775">
        <v>0</v>
      </c>
      <c r="DH4775">
        <v>0</v>
      </c>
      <c r="DI4775">
        <v>0</v>
      </c>
    </row>
    <row r="4776" spans="1:113" x14ac:dyDescent="0.3">
      <c r="A4776" t="str">
        <f t="shared" ref="A4776:A4784" si="2199">"05/12/2020 14:49:44.022"</f>
        <v>05/12/2020 14:49:44.022</v>
      </c>
      <c r="C4776" t="str">
        <f t="shared" si="2190"/>
        <v>FFDFD3C0</v>
      </c>
      <c r="D4776" t="s">
        <v>126</v>
      </c>
      <c r="E4776">
        <v>6</v>
      </c>
      <c r="F4776">
        <v>1006</v>
      </c>
      <c r="G4776" t="s">
        <v>114</v>
      </c>
      <c r="J4776" t="s">
        <v>128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t="str">
        <f t="shared" ref="S4776:T4784" si="2200">"14:50:01.859"</f>
        <v>14:50:01.859</v>
      </c>
      <c r="T4776" t="str">
        <f t="shared" si="2200"/>
        <v>14:50:01.859</v>
      </c>
      <c r="U4776" t="str">
        <f t="shared" si="2181"/>
        <v>A9808D</v>
      </c>
      <c r="V4776">
        <v>0</v>
      </c>
      <c r="W4776">
        <v>0</v>
      </c>
      <c r="X4776">
        <v>1</v>
      </c>
      <c r="Z4776">
        <v>0</v>
      </c>
      <c r="AA4776">
        <v>9</v>
      </c>
      <c r="AB4776">
        <v>3</v>
      </c>
      <c r="AC4776">
        <v>0</v>
      </c>
      <c r="AD4776">
        <v>10</v>
      </c>
      <c r="AE4776">
        <v>0</v>
      </c>
      <c r="AF4776">
        <v>3</v>
      </c>
      <c r="AG4776">
        <v>2</v>
      </c>
      <c r="AH4776">
        <v>0</v>
      </c>
      <c r="AI4776" t="s">
        <v>1067</v>
      </c>
      <c r="AJ4776">
        <v>28.240314000000001</v>
      </c>
      <c r="AK4776" t="s">
        <v>1068</v>
      </c>
      <c r="AL4776">
        <v>-82.352699999999999</v>
      </c>
      <c r="AM4776">
        <v>100</v>
      </c>
      <c r="AN4776">
        <v>2100</v>
      </c>
      <c r="AO4776" t="s">
        <v>118</v>
      </c>
      <c r="AP4776">
        <v>-129</v>
      </c>
      <c r="AQ4776">
        <v>-45</v>
      </c>
      <c r="AR4776">
        <v>512</v>
      </c>
      <c r="AZ4776">
        <v>1200</v>
      </c>
      <c r="BA4776">
        <v>1</v>
      </c>
      <c r="BB4776" t="str">
        <f t="shared" si="2193"/>
        <v xml:space="preserve">N711JA  </v>
      </c>
      <c r="BC4776">
        <v>1</v>
      </c>
      <c r="BE4776">
        <v>0</v>
      </c>
      <c r="BF4776">
        <v>0</v>
      </c>
      <c r="BG4776">
        <v>0</v>
      </c>
      <c r="BH4776">
        <v>2150</v>
      </c>
      <c r="BI4776">
        <v>1</v>
      </c>
      <c r="BJ4776">
        <v>1</v>
      </c>
      <c r="BK4776">
        <v>0</v>
      </c>
      <c r="BL4776">
        <v>0</v>
      </c>
      <c r="BO4776">
        <v>0</v>
      </c>
      <c r="BP4776">
        <v>0</v>
      </c>
      <c r="BW4776" t="str">
        <f t="shared" ref="BW4776:BW4784" si="2201">"14:50:01.865"</f>
        <v>14:50:01.865</v>
      </c>
      <c r="CJ4776">
        <v>0</v>
      </c>
      <c r="CK4776">
        <v>2</v>
      </c>
      <c r="CL4776">
        <v>0</v>
      </c>
      <c r="CM4776">
        <v>2</v>
      </c>
      <c r="CN4776">
        <v>0</v>
      </c>
      <c r="CO4776">
        <v>7</v>
      </c>
      <c r="CP4776" t="s">
        <v>119</v>
      </c>
      <c r="CQ4776">
        <v>343</v>
      </c>
      <c r="CR4776">
        <v>2</v>
      </c>
      <c r="CW4776">
        <v>13348196</v>
      </c>
      <c r="CY4776">
        <v>1</v>
      </c>
      <c r="CZ4776">
        <v>0</v>
      </c>
      <c r="DA4776">
        <v>0</v>
      </c>
      <c r="DB4776">
        <v>0</v>
      </c>
      <c r="DC4776">
        <v>0</v>
      </c>
      <c r="DD4776">
        <v>1</v>
      </c>
      <c r="DE4776">
        <v>0</v>
      </c>
      <c r="DF4776">
        <v>0</v>
      </c>
      <c r="DG4776">
        <v>0</v>
      </c>
      <c r="DH4776">
        <v>0</v>
      </c>
      <c r="DI4776">
        <v>0</v>
      </c>
    </row>
    <row r="4777" spans="1:113" x14ac:dyDescent="0.3">
      <c r="A4777" t="str">
        <f t="shared" si="2199"/>
        <v>05/12/2020 14:49:44.022</v>
      </c>
      <c r="C4777" t="str">
        <f t="shared" si="2190"/>
        <v>FFDFD3C0</v>
      </c>
      <c r="D4777" t="s">
        <v>113</v>
      </c>
      <c r="E4777">
        <v>3</v>
      </c>
      <c r="H4777">
        <v>164</v>
      </c>
      <c r="I4777" t="s">
        <v>114</v>
      </c>
      <c r="J4777" t="s">
        <v>115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t="str">
        <f t="shared" si="2200"/>
        <v>14:50:01.859</v>
      </c>
      <c r="T4777" t="str">
        <f t="shared" si="2200"/>
        <v>14:50:01.859</v>
      </c>
      <c r="U4777" t="str">
        <f t="shared" si="2181"/>
        <v>A9808D</v>
      </c>
      <c r="V4777">
        <v>0</v>
      </c>
      <c r="W4777">
        <v>0</v>
      </c>
      <c r="X4777">
        <v>1</v>
      </c>
      <c r="Z4777">
        <v>0</v>
      </c>
      <c r="AA4777">
        <v>9</v>
      </c>
      <c r="AB4777">
        <v>3</v>
      </c>
      <c r="AC4777">
        <v>0</v>
      </c>
      <c r="AD4777">
        <v>10</v>
      </c>
      <c r="AE4777">
        <v>0</v>
      </c>
      <c r="AF4777">
        <v>3</v>
      </c>
      <c r="AG4777">
        <v>2</v>
      </c>
      <c r="AH4777">
        <v>0</v>
      </c>
      <c r="AI4777" t="s">
        <v>1067</v>
      </c>
      <c r="AJ4777">
        <v>28.240314000000001</v>
      </c>
      <c r="AK4777" t="s">
        <v>1068</v>
      </c>
      <c r="AL4777">
        <v>-82.352699999999999</v>
      </c>
      <c r="AM4777">
        <v>100</v>
      </c>
      <c r="AN4777">
        <v>2100</v>
      </c>
      <c r="AO4777" t="s">
        <v>118</v>
      </c>
      <c r="AP4777">
        <v>-129</v>
      </c>
      <c r="AQ4777">
        <v>-45</v>
      </c>
      <c r="AR4777">
        <v>512</v>
      </c>
      <c r="AZ4777">
        <v>1200</v>
      </c>
      <c r="BA4777">
        <v>1</v>
      </c>
      <c r="BB4777" t="str">
        <f t="shared" si="2193"/>
        <v xml:space="preserve">N711JA  </v>
      </c>
      <c r="BC4777">
        <v>1</v>
      </c>
      <c r="BE4777">
        <v>0</v>
      </c>
      <c r="BF4777">
        <v>0</v>
      </c>
      <c r="BG4777">
        <v>0</v>
      </c>
      <c r="BH4777">
        <v>2150</v>
      </c>
      <c r="BI4777">
        <v>1</v>
      </c>
      <c r="BJ4777">
        <v>1</v>
      </c>
      <c r="BK4777">
        <v>0</v>
      </c>
      <c r="BL4777">
        <v>0</v>
      </c>
      <c r="BO4777">
        <v>0</v>
      </c>
      <c r="BP4777">
        <v>0</v>
      </c>
      <c r="BW4777" t="str">
        <f t="shared" si="2201"/>
        <v>14:50:01.865</v>
      </c>
      <c r="CJ4777">
        <v>0</v>
      </c>
      <c r="CK4777">
        <v>2</v>
      </c>
      <c r="CL4777">
        <v>0</v>
      </c>
      <c r="CM4777">
        <v>2</v>
      </c>
      <c r="CN4777">
        <v>0</v>
      </c>
      <c r="CO4777">
        <v>7</v>
      </c>
      <c r="CP4777" t="s">
        <v>119</v>
      </c>
      <c r="CQ4777">
        <v>343</v>
      </c>
      <c r="CR4777">
        <v>2</v>
      </c>
      <c r="CW4777">
        <v>13348196</v>
      </c>
      <c r="CY4777">
        <v>1</v>
      </c>
      <c r="CZ4777">
        <v>0</v>
      </c>
      <c r="DA4777">
        <v>1</v>
      </c>
      <c r="DB4777">
        <v>0</v>
      </c>
      <c r="DC4777">
        <v>0</v>
      </c>
      <c r="DD4777">
        <v>1</v>
      </c>
      <c r="DE4777">
        <v>0</v>
      </c>
      <c r="DF4777">
        <v>0</v>
      </c>
      <c r="DG4777">
        <v>0</v>
      </c>
      <c r="DH4777">
        <v>0</v>
      </c>
      <c r="DI4777">
        <v>0</v>
      </c>
    </row>
    <row r="4778" spans="1:113" x14ac:dyDescent="0.3">
      <c r="A4778" t="str">
        <f t="shared" si="2199"/>
        <v>05/12/2020 14:49:44.022</v>
      </c>
      <c r="C4778" t="str">
        <f t="shared" si="2190"/>
        <v>FFDFD3C0</v>
      </c>
      <c r="D4778" t="s">
        <v>138</v>
      </c>
      <c r="E4778">
        <v>2</v>
      </c>
      <c r="H4778">
        <v>8</v>
      </c>
      <c r="I4778" t="s">
        <v>139</v>
      </c>
      <c r="J4778" t="s">
        <v>136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t="str">
        <f t="shared" si="2200"/>
        <v>14:50:01.859</v>
      </c>
      <c r="T4778" t="str">
        <f t="shared" si="2200"/>
        <v>14:50:01.859</v>
      </c>
      <c r="U4778" t="str">
        <f t="shared" si="2181"/>
        <v>A9808D</v>
      </c>
      <c r="V4778">
        <v>0</v>
      </c>
      <c r="W4778">
        <v>0</v>
      </c>
      <c r="X4778">
        <v>1</v>
      </c>
      <c r="Z4778">
        <v>0</v>
      </c>
      <c r="AA4778">
        <v>9</v>
      </c>
      <c r="AB4778">
        <v>3</v>
      </c>
      <c r="AC4778">
        <v>0</v>
      </c>
      <c r="AD4778">
        <v>10</v>
      </c>
      <c r="AE4778">
        <v>0</v>
      </c>
      <c r="AF4778">
        <v>3</v>
      </c>
      <c r="AG4778">
        <v>2</v>
      </c>
      <c r="AH4778">
        <v>0</v>
      </c>
      <c r="AI4778" t="s">
        <v>1067</v>
      </c>
      <c r="AJ4778">
        <v>28.240314000000001</v>
      </c>
      <c r="AK4778" t="s">
        <v>1068</v>
      </c>
      <c r="AL4778">
        <v>-82.352699999999999</v>
      </c>
      <c r="AM4778">
        <v>100</v>
      </c>
      <c r="AN4778">
        <v>2100</v>
      </c>
      <c r="AO4778" t="s">
        <v>118</v>
      </c>
      <c r="AP4778">
        <v>-129</v>
      </c>
      <c r="AQ4778">
        <v>-45</v>
      </c>
      <c r="AR4778">
        <v>512</v>
      </c>
      <c r="AZ4778">
        <v>1200</v>
      </c>
      <c r="BA4778">
        <v>1</v>
      </c>
      <c r="BB4778" t="str">
        <f t="shared" si="2193"/>
        <v xml:space="preserve">N711JA  </v>
      </c>
      <c r="BC4778">
        <v>1</v>
      </c>
      <c r="BE4778">
        <v>0</v>
      </c>
      <c r="BF4778">
        <v>0</v>
      </c>
      <c r="BG4778">
        <v>0</v>
      </c>
      <c r="BH4778">
        <v>2150</v>
      </c>
      <c r="BI4778">
        <v>1</v>
      </c>
      <c r="BJ4778">
        <v>1</v>
      </c>
      <c r="BK4778">
        <v>0</v>
      </c>
      <c r="BL4778">
        <v>0</v>
      </c>
      <c r="BO4778">
        <v>0</v>
      </c>
      <c r="BP4778">
        <v>0</v>
      </c>
      <c r="BW4778" t="str">
        <f t="shared" si="2201"/>
        <v>14:50:01.865</v>
      </c>
      <c r="CJ4778">
        <v>0</v>
      </c>
      <c r="CK4778">
        <v>2</v>
      </c>
      <c r="CL4778">
        <v>0</v>
      </c>
      <c r="CM4778">
        <v>2</v>
      </c>
      <c r="CN4778">
        <v>0</v>
      </c>
      <c r="CO4778">
        <v>7</v>
      </c>
      <c r="CP4778" t="s">
        <v>119</v>
      </c>
      <c r="CQ4778">
        <v>343</v>
      </c>
      <c r="CR4778">
        <v>2</v>
      </c>
      <c r="CW4778">
        <v>13348196</v>
      </c>
      <c r="CY4778">
        <v>1</v>
      </c>
      <c r="CZ4778">
        <v>0</v>
      </c>
      <c r="DA4778">
        <v>1</v>
      </c>
      <c r="DB4778">
        <v>0</v>
      </c>
      <c r="DC4778">
        <v>0</v>
      </c>
      <c r="DD4778">
        <v>1</v>
      </c>
      <c r="DE4778">
        <v>0</v>
      </c>
      <c r="DF4778">
        <v>0</v>
      </c>
      <c r="DG4778">
        <v>0</v>
      </c>
      <c r="DH4778">
        <v>0</v>
      </c>
      <c r="DI4778">
        <v>0</v>
      </c>
    </row>
    <row r="4779" spans="1:113" x14ac:dyDescent="0.3">
      <c r="A4779" t="str">
        <f t="shared" si="2199"/>
        <v>05/12/2020 14:49:44.022</v>
      </c>
      <c r="C4779" t="str">
        <f t="shared" si="2190"/>
        <v>FFDFD3C0</v>
      </c>
      <c r="D4779" t="s">
        <v>138</v>
      </c>
      <c r="E4779">
        <v>3</v>
      </c>
      <c r="H4779">
        <v>9</v>
      </c>
      <c r="I4779" t="s">
        <v>140</v>
      </c>
      <c r="J4779" t="s">
        <v>136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t="str">
        <f t="shared" si="2200"/>
        <v>14:50:01.859</v>
      </c>
      <c r="T4779" t="str">
        <f t="shared" si="2200"/>
        <v>14:50:01.859</v>
      </c>
      <c r="U4779" t="str">
        <f t="shared" si="2181"/>
        <v>A9808D</v>
      </c>
      <c r="V4779">
        <v>0</v>
      </c>
      <c r="W4779">
        <v>0</v>
      </c>
      <c r="X4779">
        <v>1</v>
      </c>
      <c r="Z4779">
        <v>0</v>
      </c>
      <c r="AA4779">
        <v>9</v>
      </c>
      <c r="AB4779">
        <v>3</v>
      </c>
      <c r="AC4779">
        <v>0</v>
      </c>
      <c r="AD4779">
        <v>10</v>
      </c>
      <c r="AE4779">
        <v>0</v>
      </c>
      <c r="AF4779">
        <v>3</v>
      </c>
      <c r="AG4779">
        <v>2</v>
      </c>
      <c r="AH4779">
        <v>0</v>
      </c>
      <c r="AI4779" t="s">
        <v>1067</v>
      </c>
      <c r="AJ4779">
        <v>28.240314000000001</v>
      </c>
      <c r="AK4779" t="s">
        <v>1068</v>
      </c>
      <c r="AL4779">
        <v>-82.352699999999999</v>
      </c>
      <c r="AM4779">
        <v>100</v>
      </c>
      <c r="AN4779">
        <v>2100</v>
      </c>
      <c r="AO4779" t="s">
        <v>118</v>
      </c>
      <c r="AP4779">
        <v>-129</v>
      </c>
      <c r="AQ4779">
        <v>-45</v>
      </c>
      <c r="AR4779">
        <v>512</v>
      </c>
      <c r="AZ4779">
        <v>1200</v>
      </c>
      <c r="BA4779">
        <v>1</v>
      </c>
      <c r="BB4779" t="str">
        <f t="shared" si="2193"/>
        <v xml:space="preserve">N711JA  </v>
      </c>
      <c r="BC4779">
        <v>1</v>
      </c>
      <c r="BE4779">
        <v>0</v>
      </c>
      <c r="BF4779">
        <v>0</v>
      </c>
      <c r="BG4779">
        <v>0</v>
      </c>
      <c r="BH4779">
        <v>2150</v>
      </c>
      <c r="BI4779">
        <v>1</v>
      </c>
      <c r="BJ4779">
        <v>1</v>
      </c>
      <c r="BK4779">
        <v>0</v>
      </c>
      <c r="BL4779">
        <v>0</v>
      </c>
      <c r="BO4779">
        <v>0</v>
      </c>
      <c r="BP4779">
        <v>0</v>
      </c>
      <c r="BW4779" t="str">
        <f t="shared" si="2201"/>
        <v>14:50:01.865</v>
      </c>
      <c r="CJ4779">
        <v>0</v>
      </c>
      <c r="CK4779">
        <v>2</v>
      </c>
      <c r="CL4779">
        <v>0</v>
      </c>
      <c r="CM4779">
        <v>2</v>
      </c>
      <c r="CN4779">
        <v>0</v>
      </c>
      <c r="CO4779">
        <v>7</v>
      </c>
      <c r="CP4779" t="s">
        <v>119</v>
      </c>
      <c r="CQ4779">
        <v>343</v>
      </c>
      <c r="CR4779">
        <v>2</v>
      </c>
      <c r="CW4779">
        <v>13348196</v>
      </c>
      <c r="CY4779">
        <v>1</v>
      </c>
      <c r="CZ4779">
        <v>0</v>
      </c>
      <c r="DA4779">
        <v>1</v>
      </c>
      <c r="DB4779">
        <v>0</v>
      </c>
      <c r="DC4779">
        <v>0</v>
      </c>
      <c r="DD4779">
        <v>1</v>
      </c>
      <c r="DE4779">
        <v>0</v>
      </c>
      <c r="DF4779">
        <v>0</v>
      </c>
      <c r="DG4779">
        <v>0</v>
      </c>
      <c r="DH4779">
        <v>0</v>
      </c>
      <c r="DI4779">
        <v>0</v>
      </c>
    </row>
    <row r="4780" spans="1:113" x14ac:dyDescent="0.3">
      <c r="A4780" t="str">
        <f t="shared" si="2199"/>
        <v>05/12/2020 14:49:44.022</v>
      </c>
      <c r="C4780" t="str">
        <f t="shared" si="2190"/>
        <v>FFDFD3C0</v>
      </c>
      <c r="D4780" t="s">
        <v>134</v>
      </c>
      <c r="E4780">
        <v>12</v>
      </c>
      <c r="H4780">
        <v>64</v>
      </c>
      <c r="I4780" t="s">
        <v>135</v>
      </c>
      <c r="J4780" t="s">
        <v>136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t="str">
        <f t="shared" si="2200"/>
        <v>14:50:01.859</v>
      </c>
      <c r="T4780" t="str">
        <f t="shared" si="2200"/>
        <v>14:50:01.859</v>
      </c>
      <c r="U4780" t="str">
        <f t="shared" si="2181"/>
        <v>A9808D</v>
      </c>
      <c r="V4780">
        <v>0</v>
      </c>
      <c r="W4780">
        <v>0</v>
      </c>
      <c r="X4780">
        <v>1</v>
      </c>
      <c r="Z4780">
        <v>0</v>
      </c>
      <c r="AA4780">
        <v>9</v>
      </c>
      <c r="AB4780">
        <v>3</v>
      </c>
      <c r="AC4780">
        <v>0</v>
      </c>
      <c r="AD4780">
        <v>10</v>
      </c>
      <c r="AE4780">
        <v>0</v>
      </c>
      <c r="AF4780">
        <v>3</v>
      </c>
      <c r="AG4780">
        <v>2</v>
      </c>
      <c r="AH4780">
        <v>0</v>
      </c>
      <c r="AI4780" t="s">
        <v>1067</v>
      </c>
      <c r="AJ4780">
        <v>28.240314000000001</v>
      </c>
      <c r="AK4780" t="s">
        <v>1068</v>
      </c>
      <c r="AL4780">
        <v>-82.352699999999999</v>
      </c>
      <c r="AM4780">
        <v>100</v>
      </c>
      <c r="AN4780">
        <v>2100</v>
      </c>
      <c r="AO4780" t="s">
        <v>118</v>
      </c>
      <c r="AP4780">
        <v>-129</v>
      </c>
      <c r="AQ4780">
        <v>-45</v>
      </c>
      <c r="AR4780">
        <v>512</v>
      </c>
      <c r="AZ4780">
        <v>1200</v>
      </c>
      <c r="BA4780">
        <v>1</v>
      </c>
      <c r="BB4780" t="str">
        <f t="shared" si="2193"/>
        <v xml:space="preserve">N711JA  </v>
      </c>
      <c r="BC4780">
        <v>1</v>
      </c>
      <c r="BE4780">
        <v>0</v>
      </c>
      <c r="BF4780">
        <v>0</v>
      </c>
      <c r="BG4780">
        <v>0</v>
      </c>
      <c r="BH4780">
        <v>2150</v>
      </c>
      <c r="BI4780">
        <v>1</v>
      </c>
      <c r="BJ4780">
        <v>1</v>
      </c>
      <c r="BK4780">
        <v>0</v>
      </c>
      <c r="BL4780">
        <v>0</v>
      </c>
      <c r="BO4780">
        <v>0</v>
      </c>
      <c r="BP4780">
        <v>0</v>
      </c>
      <c r="BW4780" t="str">
        <f t="shared" si="2201"/>
        <v>14:50:01.865</v>
      </c>
      <c r="CJ4780">
        <v>0</v>
      </c>
      <c r="CK4780">
        <v>2</v>
      </c>
      <c r="CL4780">
        <v>0</v>
      </c>
      <c r="CM4780">
        <v>2</v>
      </c>
      <c r="CN4780">
        <v>0</v>
      </c>
      <c r="CO4780">
        <v>7</v>
      </c>
      <c r="CP4780" t="s">
        <v>119</v>
      </c>
      <c r="CQ4780">
        <v>343</v>
      </c>
      <c r="CR4780">
        <v>2</v>
      </c>
      <c r="CW4780">
        <v>13348196</v>
      </c>
      <c r="CY4780">
        <v>1</v>
      </c>
      <c r="CZ4780">
        <v>0</v>
      </c>
      <c r="DA4780">
        <v>1</v>
      </c>
      <c r="DB4780">
        <v>0</v>
      </c>
      <c r="DC4780">
        <v>0</v>
      </c>
      <c r="DD4780">
        <v>1</v>
      </c>
      <c r="DE4780">
        <v>0</v>
      </c>
      <c r="DF4780">
        <v>0</v>
      </c>
      <c r="DG4780">
        <v>0</v>
      </c>
      <c r="DH4780">
        <v>0</v>
      </c>
      <c r="DI4780">
        <v>0</v>
      </c>
    </row>
    <row r="4781" spans="1:113" x14ac:dyDescent="0.3">
      <c r="A4781" t="str">
        <f t="shared" si="2199"/>
        <v>05/12/2020 14:49:44.022</v>
      </c>
      <c r="C4781" t="str">
        <f t="shared" si="2190"/>
        <v>FFDFD3C0</v>
      </c>
      <c r="D4781" t="s">
        <v>131</v>
      </c>
      <c r="E4781">
        <v>10</v>
      </c>
      <c r="F4781">
        <v>2010</v>
      </c>
      <c r="G4781" t="s">
        <v>132</v>
      </c>
      <c r="J4781" t="s">
        <v>133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t="str">
        <f t="shared" si="2200"/>
        <v>14:50:01.859</v>
      </c>
      <c r="T4781" t="str">
        <f t="shared" si="2200"/>
        <v>14:50:01.859</v>
      </c>
      <c r="U4781" t="str">
        <f t="shared" si="2181"/>
        <v>A9808D</v>
      </c>
      <c r="V4781">
        <v>0</v>
      </c>
      <c r="W4781">
        <v>0</v>
      </c>
      <c r="X4781">
        <v>1</v>
      </c>
      <c r="Z4781">
        <v>0</v>
      </c>
      <c r="AA4781">
        <v>9</v>
      </c>
      <c r="AB4781">
        <v>3</v>
      </c>
      <c r="AC4781">
        <v>0</v>
      </c>
      <c r="AD4781">
        <v>10</v>
      </c>
      <c r="AE4781">
        <v>0</v>
      </c>
      <c r="AF4781">
        <v>3</v>
      </c>
      <c r="AG4781">
        <v>2</v>
      </c>
      <c r="AH4781">
        <v>0</v>
      </c>
      <c r="AI4781" t="s">
        <v>1067</v>
      </c>
      <c r="AJ4781">
        <v>28.240314000000001</v>
      </c>
      <c r="AK4781" t="s">
        <v>1068</v>
      </c>
      <c r="AL4781">
        <v>-82.352699999999999</v>
      </c>
      <c r="AM4781">
        <v>100</v>
      </c>
      <c r="AN4781">
        <v>2100</v>
      </c>
      <c r="AO4781" t="s">
        <v>118</v>
      </c>
      <c r="AP4781">
        <v>-129</v>
      </c>
      <c r="AQ4781">
        <v>-45</v>
      </c>
      <c r="AR4781">
        <v>512</v>
      </c>
      <c r="AZ4781">
        <v>1200</v>
      </c>
      <c r="BA4781">
        <v>1</v>
      </c>
      <c r="BB4781" t="str">
        <f t="shared" si="2193"/>
        <v xml:space="preserve">N711JA  </v>
      </c>
      <c r="BC4781">
        <v>1</v>
      </c>
      <c r="BE4781">
        <v>0</v>
      </c>
      <c r="BF4781">
        <v>0</v>
      </c>
      <c r="BG4781">
        <v>0</v>
      </c>
      <c r="BH4781">
        <v>2150</v>
      </c>
      <c r="BI4781">
        <v>1</v>
      </c>
      <c r="BJ4781">
        <v>1</v>
      </c>
      <c r="BK4781">
        <v>0</v>
      </c>
      <c r="BL4781">
        <v>0</v>
      </c>
      <c r="BO4781">
        <v>0</v>
      </c>
      <c r="BP4781">
        <v>0</v>
      </c>
      <c r="BW4781" t="str">
        <f t="shared" si="2201"/>
        <v>14:50:01.865</v>
      </c>
      <c r="CJ4781">
        <v>0</v>
      </c>
      <c r="CK4781">
        <v>2</v>
      </c>
      <c r="CL4781">
        <v>0</v>
      </c>
      <c r="CM4781">
        <v>2</v>
      </c>
      <c r="CN4781">
        <v>0</v>
      </c>
      <c r="CO4781">
        <v>7</v>
      </c>
      <c r="CP4781" t="s">
        <v>119</v>
      </c>
      <c r="CQ4781">
        <v>343</v>
      </c>
      <c r="CR4781">
        <v>2</v>
      </c>
      <c r="CW4781">
        <v>13348196</v>
      </c>
      <c r="CY4781">
        <v>1</v>
      </c>
      <c r="CZ4781">
        <v>0</v>
      </c>
      <c r="DA4781">
        <v>1</v>
      </c>
      <c r="DB4781">
        <v>0</v>
      </c>
      <c r="DC4781">
        <v>0</v>
      </c>
      <c r="DD4781">
        <v>1</v>
      </c>
      <c r="DE4781">
        <v>0</v>
      </c>
      <c r="DF4781">
        <v>0</v>
      </c>
      <c r="DG4781">
        <v>0</v>
      </c>
      <c r="DH4781">
        <v>0</v>
      </c>
      <c r="DI4781">
        <v>0</v>
      </c>
    </row>
    <row r="4782" spans="1:113" x14ac:dyDescent="0.3">
      <c r="A4782" t="str">
        <f t="shared" si="2199"/>
        <v>05/12/2020 14:49:44.022</v>
      </c>
      <c r="C4782" t="str">
        <f t="shared" si="2190"/>
        <v>FFDFD3C0</v>
      </c>
      <c r="D4782" t="s">
        <v>126</v>
      </c>
      <c r="E4782">
        <v>7</v>
      </c>
      <c r="F4782">
        <v>1007</v>
      </c>
      <c r="G4782" t="s">
        <v>127</v>
      </c>
      <c r="J4782" t="s">
        <v>128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t="str">
        <f t="shared" si="2200"/>
        <v>14:50:01.859</v>
      </c>
      <c r="T4782" t="str">
        <f t="shared" si="2200"/>
        <v>14:50:01.859</v>
      </c>
      <c r="U4782" t="str">
        <f t="shared" si="2181"/>
        <v>A9808D</v>
      </c>
      <c r="V4782">
        <v>0</v>
      </c>
      <c r="W4782">
        <v>0</v>
      </c>
      <c r="X4782">
        <v>1</v>
      </c>
      <c r="Z4782">
        <v>0</v>
      </c>
      <c r="AA4782">
        <v>9</v>
      </c>
      <c r="AB4782">
        <v>3</v>
      </c>
      <c r="AC4782">
        <v>0</v>
      </c>
      <c r="AD4782">
        <v>10</v>
      </c>
      <c r="AE4782">
        <v>0</v>
      </c>
      <c r="AF4782">
        <v>3</v>
      </c>
      <c r="AG4782">
        <v>2</v>
      </c>
      <c r="AH4782">
        <v>0</v>
      </c>
      <c r="AI4782" t="s">
        <v>1067</v>
      </c>
      <c r="AJ4782">
        <v>28.240314000000001</v>
      </c>
      <c r="AK4782" t="s">
        <v>1068</v>
      </c>
      <c r="AL4782">
        <v>-82.352699999999999</v>
      </c>
      <c r="AM4782">
        <v>100</v>
      </c>
      <c r="AN4782">
        <v>2100</v>
      </c>
      <c r="AO4782" t="s">
        <v>118</v>
      </c>
      <c r="AP4782">
        <v>-129</v>
      </c>
      <c r="AQ4782">
        <v>-45</v>
      </c>
      <c r="AR4782">
        <v>512</v>
      </c>
      <c r="AZ4782">
        <v>1200</v>
      </c>
      <c r="BA4782">
        <v>1</v>
      </c>
      <c r="BB4782" t="str">
        <f t="shared" si="2193"/>
        <v xml:space="preserve">N711JA  </v>
      </c>
      <c r="BC4782">
        <v>1</v>
      </c>
      <c r="BE4782">
        <v>0</v>
      </c>
      <c r="BF4782">
        <v>0</v>
      </c>
      <c r="BG4782">
        <v>0</v>
      </c>
      <c r="BH4782">
        <v>2150</v>
      </c>
      <c r="BI4782">
        <v>1</v>
      </c>
      <c r="BJ4782">
        <v>1</v>
      </c>
      <c r="BK4782">
        <v>0</v>
      </c>
      <c r="BL4782">
        <v>0</v>
      </c>
      <c r="BO4782">
        <v>0</v>
      </c>
      <c r="BP4782">
        <v>0</v>
      </c>
      <c r="BW4782" t="str">
        <f t="shared" si="2201"/>
        <v>14:50:01.865</v>
      </c>
      <c r="CJ4782">
        <v>0</v>
      </c>
      <c r="CK4782">
        <v>2</v>
      </c>
      <c r="CL4782">
        <v>0</v>
      </c>
      <c r="CM4782">
        <v>2</v>
      </c>
      <c r="CN4782">
        <v>0</v>
      </c>
      <c r="CO4782">
        <v>7</v>
      </c>
      <c r="CP4782" t="s">
        <v>119</v>
      </c>
      <c r="CQ4782">
        <v>343</v>
      </c>
      <c r="CR4782">
        <v>2</v>
      </c>
      <c r="CW4782">
        <v>13348196</v>
      </c>
      <c r="CY4782">
        <v>1</v>
      </c>
      <c r="CZ4782">
        <v>0</v>
      </c>
      <c r="DA4782">
        <v>1</v>
      </c>
      <c r="DB4782">
        <v>0</v>
      </c>
      <c r="DC4782">
        <v>0</v>
      </c>
      <c r="DD4782">
        <v>1</v>
      </c>
      <c r="DE4782">
        <v>0</v>
      </c>
      <c r="DF4782">
        <v>0</v>
      </c>
      <c r="DG4782">
        <v>0</v>
      </c>
      <c r="DH4782">
        <v>0</v>
      </c>
      <c r="DI4782">
        <v>0</v>
      </c>
    </row>
    <row r="4783" spans="1:113" x14ac:dyDescent="0.3">
      <c r="A4783" t="str">
        <f t="shared" si="2199"/>
        <v>05/12/2020 14:49:44.022</v>
      </c>
      <c r="C4783" t="str">
        <f t="shared" si="2190"/>
        <v>FFDFD3C0</v>
      </c>
      <c r="D4783" t="s">
        <v>131</v>
      </c>
      <c r="E4783">
        <v>12</v>
      </c>
      <c r="F4783">
        <v>2012</v>
      </c>
      <c r="G4783" t="s">
        <v>137</v>
      </c>
      <c r="J4783" t="s">
        <v>133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t="str">
        <f t="shared" si="2200"/>
        <v>14:50:01.859</v>
      </c>
      <c r="T4783" t="str">
        <f t="shared" si="2200"/>
        <v>14:50:01.859</v>
      </c>
      <c r="U4783" t="str">
        <f t="shared" si="2181"/>
        <v>A9808D</v>
      </c>
      <c r="V4783">
        <v>0</v>
      </c>
      <c r="W4783">
        <v>0</v>
      </c>
      <c r="X4783">
        <v>1</v>
      </c>
      <c r="Z4783">
        <v>0</v>
      </c>
      <c r="AA4783">
        <v>9</v>
      </c>
      <c r="AB4783">
        <v>3</v>
      </c>
      <c r="AC4783">
        <v>0</v>
      </c>
      <c r="AD4783">
        <v>10</v>
      </c>
      <c r="AE4783">
        <v>0</v>
      </c>
      <c r="AF4783">
        <v>3</v>
      </c>
      <c r="AG4783">
        <v>2</v>
      </c>
      <c r="AH4783">
        <v>0</v>
      </c>
      <c r="AI4783" t="s">
        <v>1067</v>
      </c>
      <c r="AJ4783">
        <v>28.240314000000001</v>
      </c>
      <c r="AK4783" t="s">
        <v>1068</v>
      </c>
      <c r="AL4783">
        <v>-82.352699999999999</v>
      </c>
      <c r="AM4783">
        <v>100</v>
      </c>
      <c r="AN4783">
        <v>2100</v>
      </c>
      <c r="AO4783" t="s">
        <v>118</v>
      </c>
      <c r="AP4783">
        <v>-129</v>
      </c>
      <c r="AQ4783">
        <v>-45</v>
      </c>
      <c r="AR4783">
        <v>512</v>
      </c>
      <c r="AZ4783">
        <v>1200</v>
      </c>
      <c r="BA4783">
        <v>1</v>
      </c>
      <c r="BB4783" t="str">
        <f t="shared" si="2193"/>
        <v xml:space="preserve">N711JA  </v>
      </c>
      <c r="BC4783">
        <v>1</v>
      </c>
      <c r="BE4783">
        <v>0</v>
      </c>
      <c r="BF4783">
        <v>0</v>
      </c>
      <c r="BG4783">
        <v>0</v>
      </c>
      <c r="BH4783">
        <v>2150</v>
      </c>
      <c r="BI4783">
        <v>1</v>
      </c>
      <c r="BJ4783">
        <v>1</v>
      </c>
      <c r="BK4783">
        <v>0</v>
      </c>
      <c r="BL4783">
        <v>0</v>
      </c>
      <c r="BO4783">
        <v>0</v>
      </c>
      <c r="BP4783">
        <v>0</v>
      </c>
      <c r="BW4783" t="str">
        <f t="shared" si="2201"/>
        <v>14:50:01.865</v>
      </c>
      <c r="CJ4783">
        <v>0</v>
      </c>
      <c r="CK4783">
        <v>2</v>
      </c>
      <c r="CL4783">
        <v>0</v>
      </c>
      <c r="CM4783">
        <v>2</v>
      </c>
      <c r="CN4783">
        <v>0</v>
      </c>
      <c r="CO4783">
        <v>7</v>
      </c>
      <c r="CP4783" t="s">
        <v>119</v>
      </c>
      <c r="CQ4783">
        <v>343</v>
      </c>
      <c r="CR4783">
        <v>2</v>
      </c>
      <c r="CW4783">
        <v>13348196</v>
      </c>
      <c r="CY4783">
        <v>1</v>
      </c>
      <c r="CZ4783">
        <v>0</v>
      </c>
      <c r="DA4783">
        <v>1</v>
      </c>
      <c r="DB4783">
        <v>0</v>
      </c>
      <c r="DC4783">
        <v>0</v>
      </c>
      <c r="DD4783">
        <v>1</v>
      </c>
      <c r="DE4783">
        <v>0</v>
      </c>
      <c r="DF4783">
        <v>0</v>
      </c>
      <c r="DG4783">
        <v>0</v>
      </c>
      <c r="DH4783">
        <v>0</v>
      </c>
      <c r="DI4783">
        <v>0</v>
      </c>
    </row>
    <row r="4784" spans="1:113" x14ac:dyDescent="0.3">
      <c r="A4784" t="str">
        <f t="shared" si="2199"/>
        <v>05/12/2020 14:49:44.022</v>
      </c>
      <c r="C4784" t="str">
        <f t="shared" si="2190"/>
        <v>FFDFD3C0</v>
      </c>
      <c r="D4784" t="s">
        <v>131</v>
      </c>
      <c r="E4784">
        <v>18</v>
      </c>
      <c r="F4784">
        <v>2018</v>
      </c>
      <c r="G4784" t="s">
        <v>161</v>
      </c>
      <c r="J4784" t="s">
        <v>133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t="str">
        <f t="shared" si="2200"/>
        <v>14:50:01.859</v>
      </c>
      <c r="T4784" t="str">
        <f t="shared" si="2200"/>
        <v>14:50:01.859</v>
      </c>
      <c r="U4784" t="str">
        <f t="shared" si="2181"/>
        <v>A9808D</v>
      </c>
      <c r="V4784">
        <v>0</v>
      </c>
      <c r="W4784">
        <v>0</v>
      </c>
      <c r="X4784">
        <v>1</v>
      </c>
      <c r="Z4784">
        <v>0</v>
      </c>
      <c r="AA4784">
        <v>9</v>
      </c>
      <c r="AB4784">
        <v>3</v>
      </c>
      <c r="AC4784">
        <v>0</v>
      </c>
      <c r="AD4784">
        <v>10</v>
      </c>
      <c r="AE4784">
        <v>0</v>
      </c>
      <c r="AF4784">
        <v>3</v>
      </c>
      <c r="AG4784">
        <v>2</v>
      </c>
      <c r="AH4784">
        <v>0</v>
      </c>
      <c r="AI4784" t="s">
        <v>1067</v>
      </c>
      <c r="AJ4784">
        <v>28.240314000000001</v>
      </c>
      <c r="AK4784" t="s">
        <v>1068</v>
      </c>
      <c r="AL4784">
        <v>-82.352699999999999</v>
      </c>
      <c r="AM4784">
        <v>100</v>
      </c>
      <c r="AN4784">
        <v>2100</v>
      </c>
      <c r="AO4784" t="s">
        <v>118</v>
      </c>
      <c r="AP4784">
        <v>-129</v>
      </c>
      <c r="AQ4784">
        <v>-45</v>
      </c>
      <c r="AR4784">
        <v>512</v>
      </c>
      <c r="AZ4784">
        <v>1200</v>
      </c>
      <c r="BA4784">
        <v>1</v>
      </c>
      <c r="BB4784" t="str">
        <f t="shared" si="2193"/>
        <v xml:space="preserve">N711JA  </v>
      </c>
      <c r="BC4784">
        <v>1</v>
      </c>
      <c r="BE4784">
        <v>0</v>
      </c>
      <c r="BF4784">
        <v>0</v>
      </c>
      <c r="BG4784">
        <v>0</v>
      </c>
      <c r="BH4784">
        <v>2150</v>
      </c>
      <c r="BI4784">
        <v>1</v>
      </c>
      <c r="BJ4784">
        <v>1</v>
      </c>
      <c r="BK4784">
        <v>0</v>
      </c>
      <c r="BL4784">
        <v>0</v>
      </c>
      <c r="BO4784">
        <v>0</v>
      </c>
      <c r="BP4784">
        <v>0</v>
      </c>
      <c r="BW4784" t="str">
        <f t="shared" si="2201"/>
        <v>14:50:01.865</v>
      </c>
      <c r="CJ4784">
        <v>0</v>
      </c>
      <c r="CK4784">
        <v>2</v>
      </c>
      <c r="CL4784">
        <v>0</v>
      </c>
      <c r="CM4784">
        <v>2</v>
      </c>
      <c r="CN4784">
        <v>0</v>
      </c>
      <c r="CO4784">
        <v>7</v>
      </c>
      <c r="CP4784" t="s">
        <v>119</v>
      </c>
      <c r="CQ4784">
        <v>343</v>
      </c>
      <c r="CR4784">
        <v>2</v>
      </c>
      <c r="CW4784">
        <v>13348196</v>
      </c>
      <c r="CY4784">
        <v>1</v>
      </c>
      <c r="CZ4784">
        <v>0</v>
      </c>
      <c r="DA4784">
        <v>1</v>
      </c>
      <c r="DB4784">
        <v>0</v>
      </c>
      <c r="DC4784">
        <v>0</v>
      </c>
      <c r="DD4784">
        <v>1</v>
      </c>
      <c r="DE4784">
        <v>0</v>
      </c>
      <c r="DF4784">
        <v>0</v>
      </c>
      <c r="DG4784">
        <v>0</v>
      </c>
      <c r="DH4784">
        <v>0</v>
      </c>
      <c r="DI4784">
        <v>0</v>
      </c>
    </row>
    <row r="4785" spans="1:113" x14ac:dyDescent="0.3">
      <c r="A4785" t="str">
        <f t="shared" ref="A4785:A4793" si="2202">"05/12/2020 14:49:44.958"</f>
        <v>05/12/2020 14:49:44.958</v>
      </c>
      <c r="C4785" t="str">
        <f t="shared" si="2190"/>
        <v>FFDFD3C0</v>
      </c>
      <c r="D4785" t="s">
        <v>134</v>
      </c>
      <c r="E4785">
        <v>12</v>
      </c>
      <c r="H4785">
        <v>64</v>
      </c>
      <c r="I4785" t="s">
        <v>135</v>
      </c>
      <c r="J4785" t="s">
        <v>136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t="str">
        <f t="shared" ref="S4785:T4793" si="2203">"14:50:02.797"</f>
        <v>14:50:02.797</v>
      </c>
      <c r="T4785" t="str">
        <f t="shared" si="2203"/>
        <v>14:50:02.797</v>
      </c>
      <c r="U4785" t="str">
        <f t="shared" si="2181"/>
        <v>A9808D</v>
      </c>
      <c r="V4785">
        <v>0</v>
      </c>
      <c r="W4785">
        <v>0</v>
      </c>
      <c r="X4785">
        <v>1</v>
      </c>
      <c r="Z4785">
        <v>0</v>
      </c>
      <c r="AA4785">
        <v>9</v>
      </c>
      <c r="AB4785">
        <v>3</v>
      </c>
      <c r="AC4785">
        <v>0</v>
      </c>
      <c r="AD4785">
        <v>10</v>
      </c>
      <c r="AE4785">
        <v>0</v>
      </c>
      <c r="AF4785">
        <v>3</v>
      </c>
      <c r="AG4785">
        <v>2</v>
      </c>
      <c r="AH4785">
        <v>0</v>
      </c>
      <c r="AI4785" t="s">
        <v>1069</v>
      </c>
      <c r="AJ4785">
        <v>28.240120000000001</v>
      </c>
      <c r="AK4785" t="s">
        <v>1070</v>
      </c>
      <c r="AL4785">
        <v>-82.353301000000002</v>
      </c>
      <c r="AM4785">
        <v>100</v>
      </c>
      <c r="AN4785">
        <v>2100</v>
      </c>
      <c r="AO4785" t="s">
        <v>118</v>
      </c>
      <c r="AP4785">
        <v>-128</v>
      </c>
      <c r="AQ4785">
        <v>-45</v>
      </c>
      <c r="AR4785">
        <v>640</v>
      </c>
      <c r="AZ4785">
        <v>1200</v>
      </c>
      <c r="BA4785">
        <v>1</v>
      </c>
      <c r="BB4785" t="str">
        <f t="shared" si="2193"/>
        <v xml:space="preserve">N711JA  </v>
      </c>
      <c r="BC4785">
        <v>1</v>
      </c>
      <c r="BE4785">
        <v>0</v>
      </c>
      <c r="BF4785">
        <v>0</v>
      </c>
      <c r="BG4785">
        <v>0</v>
      </c>
      <c r="BH4785">
        <v>2150</v>
      </c>
      <c r="BI4785">
        <v>1</v>
      </c>
      <c r="BJ4785">
        <v>1</v>
      </c>
      <c r="BK4785">
        <v>0</v>
      </c>
      <c r="BL4785">
        <v>0</v>
      </c>
      <c r="BO4785">
        <v>0</v>
      </c>
      <c r="BP4785">
        <v>0</v>
      </c>
      <c r="BW4785" t="str">
        <f t="shared" ref="BW4785:BW4793" si="2204">"14:50:02.799"</f>
        <v>14:50:02.799</v>
      </c>
      <c r="CJ4785">
        <v>0</v>
      </c>
      <c r="CK4785">
        <v>2</v>
      </c>
      <c r="CL4785">
        <v>0</v>
      </c>
      <c r="CM4785">
        <v>2</v>
      </c>
      <c r="CN4785">
        <v>0</v>
      </c>
      <c r="CO4785">
        <v>7</v>
      </c>
      <c r="CP4785" t="s">
        <v>119</v>
      </c>
      <c r="CQ4785">
        <v>8</v>
      </c>
      <c r="CR4785">
        <v>3</v>
      </c>
      <c r="CW4785">
        <v>9197689</v>
      </c>
      <c r="CY4785">
        <v>1</v>
      </c>
      <c r="CZ4785">
        <v>0</v>
      </c>
      <c r="DA4785">
        <v>0</v>
      </c>
      <c r="DB4785">
        <v>0</v>
      </c>
      <c r="DC4785">
        <v>0</v>
      </c>
      <c r="DD4785">
        <v>1</v>
      </c>
      <c r="DE4785">
        <v>0</v>
      </c>
      <c r="DF4785">
        <v>0</v>
      </c>
      <c r="DG4785">
        <v>0</v>
      </c>
      <c r="DH4785">
        <v>0</v>
      </c>
      <c r="DI4785">
        <v>0</v>
      </c>
    </row>
    <row r="4786" spans="1:113" x14ac:dyDescent="0.3">
      <c r="A4786" t="str">
        <f t="shared" si="2202"/>
        <v>05/12/2020 14:49:44.958</v>
      </c>
      <c r="C4786" t="str">
        <f t="shared" si="2190"/>
        <v>FFDFD3C0</v>
      </c>
      <c r="D4786" t="s">
        <v>138</v>
      </c>
      <c r="E4786">
        <v>3</v>
      </c>
      <c r="H4786">
        <v>9</v>
      </c>
      <c r="I4786" t="s">
        <v>140</v>
      </c>
      <c r="J4786" t="s">
        <v>136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t="str">
        <f t="shared" si="2203"/>
        <v>14:50:02.797</v>
      </c>
      <c r="T4786" t="str">
        <f t="shared" si="2203"/>
        <v>14:50:02.797</v>
      </c>
      <c r="U4786" t="str">
        <f t="shared" si="2181"/>
        <v>A9808D</v>
      </c>
      <c r="V4786">
        <v>0</v>
      </c>
      <c r="W4786">
        <v>0</v>
      </c>
      <c r="X4786">
        <v>1</v>
      </c>
      <c r="Z4786">
        <v>0</v>
      </c>
      <c r="AA4786">
        <v>9</v>
      </c>
      <c r="AB4786">
        <v>3</v>
      </c>
      <c r="AC4786">
        <v>0</v>
      </c>
      <c r="AD4786">
        <v>10</v>
      </c>
      <c r="AE4786">
        <v>0</v>
      </c>
      <c r="AF4786">
        <v>3</v>
      </c>
      <c r="AG4786">
        <v>2</v>
      </c>
      <c r="AH4786">
        <v>0</v>
      </c>
      <c r="AI4786" t="s">
        <v>1069</v>
      </c>
      <c r="AJ4786">
        <v>28.240120000000001</v>
      </c>
      <c r="AK4786" t="s">
        <v>1070</v>
      </c>
      <c r="AL4786">
        <v>-82.353301000000002</v>
      </c>
      <c r="AM4786">
        <v>100</v>
      </c>
      <c r="AN4786">
        <v>2100</v>
      </c>
      <c r="AO4786" t="s">
        <v>118</v>
      </c>
      <c r="AP4786">
        <v>-128</v>
      </c>
      <c r="AQ4786">
        <v>-45</v>
      </c>
      <c r="AR4786">
        <v>640</v>
      </c>
      <c r="AZ4786">
        <v>1200</v>
      </c>
      <c r="BA4786">
        <v>1</v>
      </c>
      <c r="BB4786" t="str">
        <f t="shared" si="2193"/>
        <v xml:space="preserve">N711JA  </v>
      </c>
      <c r="BC4786">
        <v>1</v>
      </c>
      <c r="BE4786">
        <v>0</v>
      </c>
      <c r="BF4786">
        <v>0</v>
      </c>
      <c r="BG4786">
        <v>0</v>
      </c>
      <c r="BH4786">
        <v>2150</v>
      </c>
      <c r="BI4786">
        <v>1</v>
      </c>
      <c r="BJ4786">
        <v>1</v>
      </c>
      <c r="BK4786">
        <v>0</v>
      </c>
      <c r="BL4786">
        <v>0</v>
      </c>
      <c r="BO4786">
        <v>0</v>
      </c>
      <c r="BP4786">
        <v>0</v>
      </c>
      <c r="BW4786" t="str">
        <f t="shared" si="2204"/>
        <v>14:50:02.799</v>
      </c>
      <c r="CJ4786">
        <v>0</v>
      </c>
      <c r="CK4786">
        <v>2</v>
      </c>
      <c r="CL4786">
        <v>0</v>
      </c>
      <c r="CM4786">
        <v>2</v>
      </c>
      <c r="CN4786">
        <v>0</v>
      </c>
      <c r="CO4786">
        <v>7</v>
      </c>
      <c r="CP4786" t="s">
        <v>119</v>
      </c>
      <c r="CQ4786">
        <v>8</v>
      </c>
      <c r="CR4786">
        <v>3</v>
      </c>
      <c r="CW4786">
        <v>9197689</v>
      </c>
      <c r="CY4786">
        <v>1</v>
      </c>
      <c r="CZ4786">
        <v>0</v>
      </c>
      <c r="DA4786">
        <v>1</v>
      </c>
      <c r="DB4786">
        <v>0</v>
      </c>
      <c r="DC4786">
        <v>0</v>
      </c>
      <c r="DD4786">
        <v>1</v>
      </c>
      <c r="DE4786">
        <v>0</v>
      </c>
      <c r="DF4786">
        <v>0</v>
      </c>
      <c r="DG4786">
        <v>0</v>
      </c>
      <c r="DH4786">
        <v>0</v>
      </c>
      <c r="DI4786">
        <v>0</v>
      </c>
    </row>
    <row r="4787" spans="1:113" x14ac:dyDescent="0.3">
      <c r="A4787" t="str">
        <f t="shared" si="2202"/>
        <v>05/12/2020 14:49:44.958</v>
      </c>
      <c r="C4787" t="str">
        <f t="shared" si="2190"/>
        <v>FFDFD3C0</v>
      </c>
      <c r="D4787" t="s">
        <v>138</v>
      </c>
      <c r="E4787">
        <v>2</v>
      </c>
      <c r="H4787">
        <v>8</v>
      </c>
      <c r="I4787" t="s">
        <v>139</v>
      </c>
      <c r="J4787" t="s">
        <v>136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t="str">
        <f t="shared" si="2203"/>
        <v>14:50:02.797</v>
      </c>
      <c r="T4787" t="str">
        <f t="shared" si="2203"/>
        <v>14:50:02.797</v>
      </c>
      <c r="U4787" t="str">
        <f t="shared" si="2181"/>
        <v>A9808D</v>
      </c>
      <c r="V4787">
        <v>0</v>
      </c>
      <c r="W4787">
        <v>0</v>
      </c>
      <c r="X4787">
        <v>1</v>
      </c>
      <c r="Z4787">
        <v>0</v>
      </c>
      <c r="AA4787">
        <v>9</v>
      </c>
      <c r="AB4787">
        <v>3</v>
      </c>
      <c r="AC4787">
        <v>0</v>
      </c>
      <c r="AD4787">
        <v>10</v>
      </c>
      <c r="AE4787">
        <v>0</v>
      </c>
      <c r="AF4787">
        <v>3</v>
      </c>
      <c r="AG4787">
        <v>2</v>
      </c>
      <c r="AH4787">
        <v>0</v>
      </c>
      <c r="AI4787" t="s">
        <v>1069</v>
      </c>
      <c r="AJ4787">
        <v>28.240120000000001</v>
      </c>
      <c r="AK4787" t="s">
        <v>1070</v>
      </c>
      <c r="AL4787">
        <v>-82.353301000000002</v>
      </c>
      <c r="AM4787">
        <v>100</v>
      </c>
      <c r="AN4787">
        <v>2100</v>
      </c>
      <c r="AO4787" t="s">
        <v>118</v>
      </c>
      <c r="AP4787">
        <v>-128</v>
      </c>
      <c r="AQ4787">
        <v>-45</v>
      </c>
      <c r="AR4787">
        <v>640</v>
      </c>
      <c r="AZ4787">
        <v>1200</v>
      </c>
      <c r="BA4787">
        <v>1</v>
      </c>
      <c r="BB4787" t="str">
        <f t="shared" si="2193"/>
        <v xml:space="preserve">N711JA  </v>
      </c>
      <c r="BC4787">
        <v>1</v>
      </c>
      <c r="BE4787">
        <v>0</v>
      </c>
      <c r="BF4787">
        <v>0</v>
      </c>
      <c r="BG4787">
        <v>0</v>
      </c>
      <c r="BH4787">
        <v>2150</v>
      </c>
      <c r="BI4787">
        <v>1</v>
      </c>
      <c r="BJ4787">
        <v>1</v>
      </c>
      <c r="BK4787">
        <v>0</v>
      </c>
      <c r="BL4787">
        <v>0</v>
      </c>
      <c r="BO4787">
        <v>0</v>
      </c>
      <c r="BP4787">
        <v>0</v>
      </c>
      <c r="BW4787" t="str">
        <f t="shared" si="2204"/>
        <v>14:50:02.799</v>
      </c>
      <c r="CJ4787">
        <v>0</v>
      </c>
      <c r="CK4787">
        <v>2</v>
      </c>
      <c r="CL4787">
        <v>0</v>
      </c>
      <c r="CM4787">
        <v>2</v>
      </c>
      <c r="CN4787">
        <v>0</v>
      </c>
      <c r="CO4787">
        <v>7</v>
      </c>
      <c r="CP4787" t="s">
        <v>119</v>
      </c>
      <c r="CQ4787">
        <v>8</v>
      </c>
      <c r="CR4787">
        <v>3</v>
      </c>
      <c r="CW4787">
        <v>9197689</v>
      </c>
      <c r="CY4787">
        <v>1</v>
      </c>
      <c r="CZ4787">
        <v>0</v>
      </c>
      <c r="DA4787">
        <v>1</v>
      </c>
      <c r="DB4787">
        <v>0</v>
      </c>
      <c r="DC4787">
        <v>0</v>
      </c>
      <c r="DD4787">
        <v>1</v>
      </c>
      <c r="DE4787">
        <v>0</v>
      </c>
      <c r="DF4787">
        <v>0</v>
      </c>
      <c r="DG4787">
        <v>0</v>
      </c>
      <c r="DH4787">
        <v>0</v>
      </c>
      <c r="DI4787">
        <v>0</v>
      </c>
    </row>
    <row r="4788" spans="1:113" x14ac:dyDescent="0.3">
      <c r="A4788" t="str">
        <f t="shared" si="2202"/>
        <v>05/12/2020 14:49:44.958</v>
      </c>
      <c r="C4788" t="str">
        <f t="shared" si="2190"/>
        <v>FFDFD3C0</v>
      </c>
      <c r="D4788" t="s">
        <v>131</v>
      </c>
      <c r="E4788">
        <v>10</v>
      </c>
      <c r="F4788">
        <v>2010</v>
      </c>
      <c r="G4788" t="s">
        <v>132</v>
      </c>
      <c r="J4788" t="s">
        <v>133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t="str">
        <f t="shared" si="2203"/>
        <v>14:50:02.797</v>
      </c>
      <c r="T4788" t="str">
        <f t="shared" si="2203"/>
        <v>14:50:02.797</v>
      </c>
      <c r="U4788" t="str">
        <f t="shared" si="2181"/>
        <v>A9808D</v>
      </c>
      <c r="V4788">
        <v>0</v>
      </c>
      <c r="W4788">
        <v>0</v>
      </c>
      <c r="X4788">
        <v>1</v>
      </c>
      <c r="Z4788">
        <v>0</v>
      </c>
      <c r="AA4788">
        <v>9</v>
      </c>
      <c r="AB4788">
        <v>3</v>
      </c>
      <c r="AC4788">
        <v>0</v>
      </c>
      <c r="AD4788">
        <v>10</v>
      </c>
      <c r="AE4788">
        <v>0</v>
      </c>
      <c r="AF4788">
        <v>3</v>
      </c>
      <c r="AG4788">
        <v>2</v>
      </c>
      <c r="AH4788">
        <v>0</v>
      </c>
      <c r="AI4788" t="s">
        <v>1069</v>
      </c>
      <c r="AJ4788">
        <v>28.240120000000001</v>
      </c>
      <c r="AK4788" t="s">
        <v>1070</v>
      </c>
      <c r="AL4788">
        <v>-82.353301000000002</v>
      </c>
      <c r="AM4788">
        <v>100</v>
      </c>
      <c r="AN4788">
        <v>2100</v>
      </c>
      <c r="AO4788" t="s">
        <v>118</v>
      </c>
      <c r="AP4788">
        <v>-128</v>
      </c>
      <c r="AQ4788">
        <v>-45</v>
      </c>
      <c r="AR4788">
        <v>640</v>
      </c>
      <c r="AZ4788">
        <v>1200</v>
      </c>
      <c r="BA4788">
        <v>1</v>
      </c>
      <c r="BB4788" t="str">
        <f t="shared" si="2193"/>
        <v xml:space="preserve">N711JA  </v>
      </c>
      <c r="BC4788">
        <v>1</v>
      </c>
      <c r="BE4788">
        <v>0</v>
      </c>
      <c r="BF4788">
        <v>0</v>
      </c>
      <c r="BG4788">
        <v>0</v>
      </c>
      <c r="BH4788">
        <v>2150</v>
      </c>
      <c r="BI4788">
        <v>1</v>
      </c>
      <c r="BJ4788">
        <v>1</v>
      </c>
      <c r="BK4788">
        <v>0</v>
      </c>
      <c r="BL4788">
        <v>0</v>
      </c>
      <c r="BO4788">
        <v>0</v>
      </c>
      <c r="BP4788">
        <v>0</v>
      </c>
      <c r="BW4788" t="str">
        <f t="shared" si="2204"/>
        <v>14:50:02.799</v>
      </c>
      <c r="CJ4788">
        <v>0</v>
      </c>
      <c r="CK4788">
        <v>2</v>
      </c>
      <c r="CL4788">
        <v>0</v>
      </c>
      <c r="CM4788">
        <v>2</v>
      </c>
      <c r="CN4788">
        <v>0</v>
      </c>
      <c r="CO4788">
        <v>7</v>
      </c>
      <c r="CP4788" t="s">
        <v>119</v>
      </c>
      <c r="CQ4788">
        <v>8</v>
      </c>
      <c r="CR4788">
        <v>3</v>
      </c>
      <c r="CW4788">
        <v>9197689</v>
      </c>
      <c r="CY4788">
        <v>1</v>
      </c>
      <c r="CZ4788">
        <v>0</v>
      </c>
      <c r="DA4788">
        <v>1</v>
      </c>
      <c r="DB4788">
        <v>0</v>
      </c>
      <c r="DC4788">
        <v>0</v>
      </c>
      <c r="DD4788">
        <v>1</v>
      </c>
      <c r="DE4788">
        <v>0</v>
      </c>
      <c r="DF4788">
        <v>0</v>
      </c>
      <c r="DG4788">
        <v>0</v>
      </c>
      <c r="DH4788">
        <v>0</v>
      </c>
      <c r="DI4788">
        <v>0</v>
      </c>
    </row>
    <row r="4789" spans="1:113" x14ac:dyDescent="0.3">
      <c r="A4789" t="str">
        <f t="shared" si="2202"/>
        <v>05/12/2020 14:49:44.958</v>
      </c>
      <c r="C4789" t="str">
        <f t="shared" si="2190"/>
        <v>FFDFD3C0</v>
      </c>
      <c r="D4789" t="s">
        <v>126</v>
      </c>
      <c r="E4789">
        <v>7</v>
      </c>
      <c r="F4789">
        <v>1007</v>
      </c>
      <c r="G4789" t="s">
        <v>127</v>
      </c>
      <c r="J4789" t="s">
        <v>128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t="str">
        <f t="shared" si="2203"/>
        <v>14:50:02.797</v>
      </c>
      <c r="T4789" t="str">
        <f t="shared" si="2203"/>
        <v>14:50:02.797</v>
      </c>
      <c r="U4789" t="str">
        <f t="shared" si="2181"/>
        <v>A9808D</v>
      </c>
      <c r="V4789">
        <v>0</v>
      </c>
      <c r="W4789">
        <v>0</v>
      </c>
      <c r="X4789">
        <v>1</v>
      </c>
      <c r="Z4789">
        <v>0</v>
      </c>
      <c r="AA4789">
        <v>9</v>
      </c>
      <c r="AB4789">
        <v>3</v>
      </c>
      <c r="AC4789">
        <v>0</v>
      </c>
      <c r="AD4789">
        <v>10</v>
      </c>
      <c r="AE4789">
        <v>0</v>
      </c>
      <c r="AF4789">
        <v>3</v>
      </c>
      <c r="AG4789">
        <v>2</v>
      </c>
      <c r="AH4789">
        <v>0</v>
      </c>
      <c r="AI4789" t="s">
        <v>1069</v>
      </c>
      <c r="AJ4789">
        <v>28.240120000000001</v>
      </c>
      <c r="AK4789" t="s">
        <v>1070</v>
      </c>
      <c r="AL4789">
        <v>-82.353301000000002</v>
      </c>
      <c r="AM4789">
        <v>100</v>
      </c>
      <c r="AN4789">
        <v>2100</v>
      </c>
      <c r="AO4789" t="s">
        <v>118</v>
      </c>
      <c r="AP4789">
        <v>-128</v>
      </c>
      <c r="AQ4789">
        <v>-45</v>
      </c>
      <c r="AR4789">
        <v>640</v>
      </c>
      <c r="AZ4789">
        <v>1200</v>
      </c>
      <c r="BA4789">
        <v>1</v>
      </c>
      <c r="BB4789" t="str">
        <f t="shared" si="2193"/>
        <v xml:space="preserve">N711JA  </v>
      </c>
      <c r="BC4789">
        <v>1</v>
      </c>
      <c r="BE4789">
        <v>0</v>
      </c>
      <c r="BF4789">
        <v>0</v>
      </c>
      <c r="BG4789">
        <v>0</v>
      </c>
      <c r="BH4789">
        <v>2150</v>
      </c>
      <c r="BI4789">
        <v>1</v>
      </c>
      <c r="BJ4789">
        <v>1</v>
      </c>
      <c r="BK4789">
        <v>0</v>
      </c>
      <c r="BL4789">
        <v>0</v>
      </c>
      <c r="BO4789">
        <v>0</v>
      </c>
      <c r="BP4789">
        <v>0</v>
      </c>
      <c r="BW4789" t="str">
        <f t="shared" si="2204"/>
        <v>14:50:02.799</v>
      </c>
      <c r="CJ4789">
        <v>0</v>
      </c>
      <c r="CK4789">
        <v>2</v>
      </c>
      <c r="CL4789">
        <v>0</v>
      </c>
      <c r="CM4789">
        <v>2</v>
      </c>
      <c r="CN4789">
        <v>0</v>
      </c>
      <c r="CO4789">
        <v>7</v>
      </c>
      <c r="CP4789" t="s">
        <v>119</v>
      </c>
      <c r="CQ4789">
        <v>8</v>
      </c>
      <c r="CR4789">
        <v>3</v>
      </c>
      <c r="CW4789">
        <v>9197689</v>
      </c>
      <c r="CY4789">
        <v>1</v>
      </c>
      <c r="CZ4789">
        <v>0</v>
      </c>
      <c r="DA4789">
        <v>1</v>
      </c>
      <c r="DB4789">
        <v>0</v>
      </c>
      <c r="DC4789">
        <v>0</v>
      </c>
      <c r="DD4789">
        <v>1</v>
      </c>
      <c r="DE4789">
        <v>0</v>
      </c>
      <c r="DF4789">
        <v>0</v>
      </c>
      <c r="DG4789">
        <v>0</v>
      </c>
      <c r="DH4789">
        <v>0</v>
      </c>
      <c r="DI4789">
        <v>0</v>
      </c>
    </row>
    <row r="4790" spans="1:113" x14ac:dyDescent="0.3">
      <c r="A4790" t="str">
        <f t="shared" si="2202"/>
        <v>05/12/2020 14:49:44.958</v>
      </c>
      <c r="C4790" t="str">
        <f t="shared" si="2190"/>
        <v>FFDFD3C0</v>
      </c>
      <c r="D4790" t="s">
        <v>131</v>
      </c>
      <c r="E4790">
        <v>12</v>
      </c>
      <c r="F4790">
        <v>2012</v>
      </c>
      <c r="G4790" t="s">
        <v>137</v>
      </c>
      <c r="J4790" t="s">
        <v>133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t="str">
        <f t="shared" si="2203"/>
        <v>14:50:02.797</v>
      </c>
      <c r="T4790" t="str">
        <f t="shared" si="2203"/>
        <v>14:50:02.797</v>
      </c>
      <c r="U4790" t="str">
        <f t="shared" si="2181"/>
        <v>A9808D</v>
      </c>
      <c r="V4790">
        <v>0</v>
      </c>
      <c r="W4790">
        <v>0</v>
      </c>
      <c r="X4790">
        <v>1</v>
      </c>
      <c r="Z4790">
        <v>0</v>
      </c>
      <c r="AA4790">
        <v>9</v>
      </c>
      <c r="AB4790">
        <v>3</v>
      </c>
      <c r="AC4790">
        <v>0</v>
      </c>
      <c r="AD4790">
        <v>10</v>
      </c>
      <c r="AE4790">
        <v>0</v>
      </c>
      <c r="AF4790">
        <v>3</v>
      </c>
      <c r="AG4790">
        <v>2</v>
      </c>
      <c r="AH4790">
        <v>0</v>
      </c>
      <c r="AI4790" t="s">
        <v>1069</v>
      </c>
      <c r="AJ4790">
        <v>28.240120000000001</v>
      </c>
      <c r="AK4790" t="s">
        <v>1070</v>
      </c>
      <c r="AL4790">
        <v>-82.353301000000002</v>
      </c>
      <c r="AM4790">
        <v>100</v>
      </c>
      <c r="AN4790">
        <v>2100</v>
      </c>
      <c r="AO4790" t="s">
        <v>118</v>
      </c>
      <c r="AP4790">
        <v>-128</v>
      </c>
      <c r="AQ4790">
        <v>-45</v>
      </c>
      <c r="AR4790">
        <v>640</v>
      </c>
      <c r="AZ4790">
        <v>1200</v>
      </c>
      <c r="BA4790">
        <v>1</v>
      </c>
      <c r="BB4790" t="str">
        <f t="shared" si="2193"/>
        <v xml:space="preserve">N711JA  </v>
      </c>
      <c r="BC4790">
        <v>1</v>
      </c>
      <c r="BE4790">
        <v>0</v>
      </c>
      <c r="BF4790">
        <v>0</v>
      </c>
      <c r="BG4790">
        <v>0</v>
      </c>
      <c r="BH4790">
        <v>2150</v>
      </c>
      <c r="BI4790">
        <v>1</v>
      </c>
      <c r="BJ4790">
        <v>1</v>
      </c>
      <c r="BK4790">
        <v>0</v>
      </c>
      <c r="BL4790">
        <v>0</v>
      </c>
      <c r="BO4790">
        <v>0</v>
      </c>
      <c r="BP4790">
        <v>0</v>
      </c>
      <c r="BW4790" t="str">
        <f t="shared" si="2204"/>
        <v>14:50:02.799</v>
      </c>
      <c r="CJ4790">
        <v>0</v>
      </c>
      <c r="CK4790">
        <v>2</v>
      </c>
      <c r="CL4790">
        <v>0</v>
      </c>
      <c r="CM4790">
        <v>2</v>
      </c>
      <c r="CN4790">
        <v>0</v>
      </c>
      <c r="CO4790">
        <v>7</v>
      </c>
      <c r="CP4790" t="s">
        <v>119</v>
      </c>
      <c r="CQ4790">
        <v>8</v>
      </c>
      <c r="CR4790">
        <v>3</v>
      </c>
      <c r="CW4790">
        <v>9197689</v>
      </c>
      <c r="CY4790">
        <v>1</v>
      </c>
      <c r="CZ4790">
        <v>0</v>
      </c>
      <c r="DA4790">
        <v>1</v>
      </c>
      <c r="DB4790">
        <v>0</v>
      </c>
      <c r="DC4790">
        <v>0</v>
      </c>
      <c r="DD4790">
        <v>1</v>
      </c>
      <c r="DE4790">
        <v>0</v>
      </c>
      <c r="DF4790">
        <v>0</v>
      </c>
      <c r="DG4790">
        <v>0</v>
      </c>
      <c r="DH4790">
        <v>0</v>
      </c>
      <c r="DI4790">
        <v>0</v>
      </c>
    </row>
    <row r="4791" spans="1:113" x14ac:dyDescent="0.3">
      <c r="A4791" t="str">
        <f t="shared" si="2202"/>
        <v>05/12/2020 14:49:44.958</v>
      </c>
      <c r="C4791" t="str">
        <f t="shared" si="2190"/>
        <v>FFDFD3C0</v>
      </c>
      <c r="D4791" t="s">
        <v>131</v>
      </c>
      <c r="E4791">
        <v>18</v>
      </c>
      <c r="F4791">
        <v>2018</v>
      </c>
      <c r="G4791" t="s">
        <v>161</v>
      </c>
      <c r="J4791" t="s">
        <v>133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t="str">
        <f t="shared" si="2203"/>
        <v>14:50:02.797</v>
      </c>
      <c r="T4791" t="str">
        <f t="shared" si="2203"/>
        <v>14:50:02.797</v>
      </c>
      <c r="U4791" t="str">
        <f t="shared" si="2181"/>
        <v>A9808D</v>
      </c>
      <c r="V4791">
        <v>0</v>
      </c>
      <c r="W4791">
        <v>0</v>
      </c>
      <c r="X4791">
        <v>1</v>
      </c>
      <c r="Z4791">
        <v>0</v>
      </c>
      <c r="AA4791">
        <v>9</v>
      </c>
      <c r="AB4791">
        <v>3</v>
      </c>
      <c r="AC4791">
        <v>0</v>
      </c>
      <c r="AD4791">
        <v>10</v>
      </c>
      <c r="AE4791">
        <v>0</v>
      </c>
      <c r="AF4791">
        <v>3</v>
      </c>
      <c r="AG4791">
        <v>2</v>
      </c>
      <c r="AH4791">
        <v>0</v>
      </c>
      <c r="AI4791" t="s">
        <v>1069</v>
      </c>
      <c r="AJ4791">
        <v>28.240120000000001</v>
      </c>
      <c r="AK4791" t="s">
        <v>1070</v>
      </c>
      <c r="AL4791">
        <v>-82.353301000000002</v>
      </c>
      <c r="AM4791">
        <v>100</v>
      </c>
      <c r="AN4791">
        <v>2100</v>
      </c>
      <c r="AO4791" t="s">
        <v>118</v>
      </c>
      <c r="AP4791">
        <v>-128</v>
      </c>
      <c r="AQ4791">
        <v>-45</v>
      </c>
      <c r="AR4791">
        <v>640</v>
      </c>
      <c r="AZ4791">
        <v>1200</v>
      </c>
      <c r="BA4791">
        <v>1</v>
      </c>
      <c r="BB4791" t="str">
        <f t="shared" si="2193"/>
        <v xml:space="preserve">N711JA  </v>
      </c>
      <c r="BC4791">
        <v>1</v>
      </c>
      <c r="BE4791">
        <v>0</v>
      </c>
      <c r="BF4791">
        <v>0</v>
      </c>
      <c r="BG4791">
        <v>0</v>
      </c>
      <c r="BH4791">
        <v>2150</v>
      </c>
      <c r="BI4791">
        <v>1</v>
      </c>
      <c r="BJ4791">
        <v>1</v>
      </c>
      <c r="BK4791">
        <v>0</v>
      </c>
      <c r="BL4791">
        <v>0</v>
      </c>
      <c r="BO4791">
        <v>0</v>
      </c>
      <c r="BP4791">
        <v>0</v>
      </c>
      <c r="BW4791" t="str">
        <f t="shared" si="2204"/>
        <v>14:50:02.799</v>
      </c>
      <c r="CJ4791">
        <v>0</v>
      </c>
      <c r="CK4791">
        <v>2</v>
      </c>
      <c r="CL4791">
        <v>0</v>
      </c>
      <c r="CM4791">
        <v>2</v>
      </c>
      <c r="CN4791">
        <v>0</v>
      </c>
      <c r="CO4791">
        <v>7</v>
      </c>
      <c r="CP4791" t="s">
        <v>119</v>
      </c>
      <c r="CQ4791">
        <v>343</v>
      </c>
      <c r="CR4791">
        <v>1</v>
      </c>
      <c r="CW4791">
        <v>11074031</v>
      </c>
      <c r="CY4791">
        <v>1</v>
      </c>
      <c r="CZ4791">
        <v>0</v>
      </c>
      <c r="DA4791">
        <v>1</v>
      </c>
      <c r="DB4791">
        <v>0</v>
      </c>
      <c r="DC4791">
        <v>0</v>
      </c>
      <c r="DD4791">
        <v>1</v>
      </c>
      <c r="DE4791">
        <v>0</v>
      </c>
      <c r="DF4791">
        <v>0</v>
      </c>
      <c r="DG4791">
        <v>0</v>
      </c>
      <c r="DH4791">
        <v>0</v>
      </c>
      <c r="DI4791">
        <v>0</v>
      </c>
    </row>
    <row r="4792" spans="1:113" x14ac:dyDescent="0.3">
      <c r="A4792" t="str">
        <f t="shared" si="2202"/>
        <v>05/12/2020 14:49:44.958</v>
      </c>
      <c r="C4792" t="str">
        <f t="shared" si="2190"/>
        <v>FFDFD3C0</v>
      </c>
      <c r="D4792" t="s">
        <v>126</v>
      </c>
      <c r="E4792">
        <v>6</v>
      </c>
      <c r="F4792">
        <v>1006</v>
      </c>
      <c r="G4792" t="s">
        <v>114</v>
      </c>
      <c r="J4792" t="s">
        <v>128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t="str">
        <f t="shared" si="2203"/>
        <v>14:50:02.797</v>
      </c>
      <c r="T4792" t="str">
        <f t="shared" si="2203"/>
        <v>14:50:02.797</v>
      </c>
      <c r="U4792" t="str">
        <f t="shared" si="2181"/>
        <v>A9808D</v>
      </c>
      <c r="V4792">
        <v>0</v>
      </c>
      <c r="W4792">
        <v>0</v>
      </c>
      <c r="X4792">
        <v>1</v>
      </c>
      <c r="Z4792">
        <v>0</v>
      </c>
      <c r="AA4792">
        <v>9</v>
      </c>
      <c r="AB4792">
        <v>3</v>
      </c>
      <c r="AC4792">
        <v>0</v>
      </c>
      <c r="AD4792">
        <v>10</v>
      </c>
      <c r="AE4792">
        <v>0</v>
      </c>
      <c r="AF4792">
        <v>3</v>
      </c>
      <c r="AG4792">
        <v>2</v>
      </c>
      <c r="AH4792">
        <v>0</v>
      </c>
      <c r="AI4792" t="s">
        <v>1069</v>
      </c>
      <c r="AJ4792">
        <v>28.240120000000001</v>
      </c>
      <c r="AK4792" t="s">
        <v>1070</v>
      </c>
      <c r="AL4792">
        <v>-82.353301000000002</v>
      </c>
      <c r="AM4792">
        <v>100</v>
      </c>
      <c r="AN4792">
        <v>2100</v>
      </c>
      <c r="AO4792" t="s">
        <v>118</v>
      </c>
      <c r="AP4792">
        <v>-128</v>
      </c>
      <c r="AQ4792">
        <v>-45</v>
      </c>
      <c r="AR4792">
        <v>640</v>
      </c>
      <c r="AZ4792">
        <v>1200</v>
      </c>
      <c r="BA4792">
        <v>1</v>
      </c>
      <c r="BB4792" t="str">
        <f t="shared" si="2193"/>
        <v xml:space="preserve">N711JA  </v>
      </c>
      <c r="BC4792">
        <v>1</v>
      </c>
      <c r="BE4792">
        <v>0</v>
      </c>
      <c r="BF4792">
        <v>0</v>
      </c>
      <c r="BG4792">
        <v>0</v>
      </c>
      <c r="BH4792">
        <v>2150</v>
      </c>
      <c r="BI4792">
        <v>1</v>
      </c>
      <c r="BJ4792">
        <v>1</v>
      </c>
      <c r="BK4792">
        <v>0</v>
      </c>
      <c r="BL4792">
        <v>0</v>
      </c>
      <c r="BO4792">
        <v>0</v>
      </c>
      <c r="BP4792">
        <v>0</v>
      </c>
      <c r="BW4792" t="str">
        <f t="shared" si="2204"/>
        <v>14:50:02.799</v>
      </c>
      <c r="CJ4792">
        <v>0</v>
      </c>
      <c r="CK4792">
        <v>2</v>
      </c>
      <c r="CL4792">
        <v>0</v>
      </c>
      <c r="CM4792">
        <v>2</v>
      </c>
      <c r="CN4792">
        <v>0</v>
      </c>
      <c r="CO4792">
        <v>7</v>
      </c>
      <c r="CP4792" t="s">
        <v>119</v>
      </c>
      <c r="CQ4792">
        <v>8</v>
      </c>
      <c r="CR4792">
        <v>3</v>
      </c>
      <c r="CW4792">
        <v>9197689</v>
      </c>
      <c r="CY4792">
        <v>1</v>
      </c>
      <c r="CZ4792">
        <v>0</v>
      </c>
      <c r="DA4792">
        <v>1</v>
      </c>
      <c r="DB4792">
        <v>0</v>
      </c>
      <c r="DC4792">
        <v>0</v>
      </c>
      <c r="DD4792">
        <v>1</v>
      </c>
      <c r="DE4792">
        <v>0</v>
      </c>
      <c r="DF4792">
        <v>0</v>
      </c>
      <c r="DG4792">
        <v>0</v>
      </c>
      <c r="DH4792">
        <v>0</v>
      </c>
      <c r="DI4792">
        <v>0</v>
      </c>
    </row>
    <row r="4793" spans="1:113" x14ac:dyDescent="0.3">
      <c r="A4793" t="str">
        <f t="shared" si="2202"/>
        <v>05/12/2020 14:49:44.958</v>
      </c>
      <c r="C4793" t="str">
        <f t="shared" si="2190"/>
        <v>FFDFD3C0</v>
      </c>
      <c r="D4793" t="s">
        <v>113</v>
      </c>
      <c r="E4793">
        <v>3</v>
      </c>
      <c r="H4793">
        <v>164</v>
      </c>
      <c r="I4793" t="s">
        <v>114</v>
      </c>
      <c r="J4793" t="s">
        <v>115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t="str">
        <f t="shared" si="2203"/>
        <v>14:50:02.797</v>
      </c>
      <c r="T4793" t="str">
        <f t="shared" si="2203"/>
        <v>14:50:02.797</v>
      </c>
      <c r="U4793" t="str">
        <f t="shared" si="2181"/>
        <v>A9808D</v>
      </c>
      <c r="V4793">
        <v>0</v>
      </c>
      <c r="W4793">
        <v>0</v>
      </c>
      <c r="X4793">
        <v>1</v>
      </c>
      <c r="Z4793">
        <v>0</v>
      </c>
      <c r="AA4793">
        <v>9</v>
      </c>
      <c r="AB4793">
        <v>3</v>
      </c>
      <c r="AC4793">
        <v>0</v>
      </c>
      <c r="AD4793">
        <v>10</v>
      </c>
      <c r="AE4793">
        <v>0</v>
      </c>
      <c r="AF4793">
        <v>3</v>
      </c>
      <c r="AG4793">
        <v>2</v>
      </c>
      <c r="AH4793">
        <v>0</v>
      </c>
      <c r="AI4793" t="s">
        <v>1069</v>
      </c>
      <c r="AJ4793">
        <v>28.240120000000001</v>
      </c>
      <c r="AK4793" t="s">
        <v>1070</v>
      </c>
      <c r="AL4793">
        <v>-82.353301000000002</v>
      </c>
      <c r="AM4793">
        <v>100</v>
      </c>
      <c r="AN4793">
        <v>2100</v>
      </c>
      <c r="AO4793" t="s">
        <v>118</v>
      </c>
      <c r="AP4793">
        <v>-128</v>
      </c>
      <c r="AQ4793">
        <v>-45</v>
      </c>
      <c r="AR4793">
        <v>640</v>
      </c>
      <c r="AZ4793">
        <v>1200</v>
      </c>
      <c r="BA4793">
        <v>1</v>
      </c>
      <c r="BB4793" t="str">
        <f t="shared" si="2193"/>
        <v xml:space="preserve">N711JA  </v>
      </c>
      <c r="BC4793">
        <v>1</v>
      </c>
      <c r="BE4793">
        <v>0</v>
      </c>
      <c r="BF4793">
        <v>0</v>
      </c>
      <c r="BG4793">
        <v>0</v>
      </c>
      <c r="BH4793">
        <v>2150</v>
      </c>
      <c r="BI4793">
        <v>1</v>
      </c>
      <c r="BJ4793">
        <v>1</v>
      </c>
      <c r="BK4793">
        <v>0</v>
      </c>
      <c r="BL4793">
        <v>0</v>
      </c>
      <c r="BO4793">
        <v>0</v>
      </c>
      <c r="BP4793">
        <v>0</v>
      </c>
      <c r="BW4793" t="str">
        <f t="shared" si="2204"/>
        <v>14:50:02.799</v>
      </c>
      <c r="CJ4793">
        <v>0</v>
      </c>
      <c r="CK4793">
        <v>2</v>
      </c>
      <c r="CL4793">
        <v>0</v>
      </c>
      <c r="CM4793">
        <v>2</v>
      </c>
      <c r="CN4793">
        <v>0</v>
      </c>
      <c r="CO4793">
        <v>7</v>
      </c>
      <c r="CP4793" t="s">
        <v>119</v>
      </c>
      <c r="CQ4793">
        <v>8</v>
      </c>
      <c r="CR4793">
        <v>3</v>
      </c>
      <c r="CW4793">
        <v>9197689</v>
      </c>
      <c r="CY4793">
        <v>1</v>
      </c>
      <c r="CZ4793">
        <v>0</v>
      </c>
      <c r="DA4793">
        <v>1</v>
      </c>
      <c r="DB4793">
        <v>0</v>
      </c>
      <c r="DC4793">
        <v>0</v>
      </c>
      <c r="DD4793">
        <v>1</v>
      </c>
      <c r="DE4793">
        <v>0</v>
      </c>
      <c r="DF4793">
        <v>0</v>
      </c>
      <c r="DG4793">
        <v>0</v>
      </c>
      <c r="DH4793">
        <v>0</v>
      </c>
      <c r="DI4793">
        <v>0</v>
      </c>
    </row>
    <row r="4794" spans="1:113" x14ac:dyDescent="0.3">
      <c r="A4794" t="str">
        <f t="shared" ref="A4794:A4802" si="2205">"05/12/2020 14:49:45.868"</f>
        <v>05/12/2020 14:49:45.868</v>
      </c>
      <c r="C4794" t="str">
        <f t="shared" si="2190"/>
        <v>FFDFD3C0</v>
      </c>
      <c r="D4794" t="s">
        <v>131</v>
      </c>
      <c r="E4794">
        <v>10</v>
      </c>
      <c r="F4794">
        <v>2010</v>
      </c>
      <c r="G4794" t="s">
        <v>132</v>
      </c>
      <c r="J4794" t="s">
        <v>133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t="str">
        <f t="shared" ref="S4794:S4802" si="2206">"14:50:03.688"</f>
        <v>14:50:03.688</v>
      </c>
      <c r="T4794" t="str">
        <f t="shared" ref="T4794:T4802" si="2207">"14:50:03.388"</f>
        <v>14:50:03.388</v>
      </c>
      <c r="U4794" t="str">
        <f t="shared" si="2181"/>
        <v>A9808D</v>
      </c>
      <c r="V4794">
        <v>0</v>
      </c>
      <c r="W4794">
        <v>0</v>
      </c>
      <c r="X4794">
        <v>1</v>
      </c>
      <c r="Z4794">
        <v>0</v>
      </c>
      <c r="AA4794">
        <v>9</v>
      </c>
      <c r="AB4794">
        <v>3</v>
      </c>
      <c r="AC4794">
        <v>0</v>
      </c>
      <c r="AD4794">
        <v>10</v>
      </c>
      <c r="AE4794">
        <v>0</v>
      </c>
      <c r="AF4794">
        <v>3</v>
      </c>
      <c r="AG4794">
        <v>2</v>
      </c>
      <c r="AH4794">
        <v>0</v>
      </c>
      <c r="AI4794" t="s">
        <v>1071</v>
      </c>
      <c r="AJ4794">
        <v>28.239927000000002</v>
      </c>
      <c r="AK4794" t="s">
        <v>1072</v>
      </c>
      <c r="AL4794">
        <v>-82.353902000000005</v>
      </c>
      <c r="AM4794">
        <v>100</v>
      </c>
      <c r="AN4794">
        <v>2100</v>
      </c>
      <c r="AO4794" t="s">
        <v>118</v>
      </c>
      <c r="AP4794">
        <v>-127</v>
      </c>
      <c r="AQ4794">
        <v>-45</v>
      </c>
      <c r="AR4794">
        <v>704</v>
      </c>
      <c r="AZ4794">
        <v>1200</v>
      </c>
      <c r="BA4794">
        <v>1</v>
      </c>
      <c r="BB4794" t="str">
        <f t="shared" si="2193"/>
        <v xml:space="preserve">N711JA  </v>
      </c>
      <c r="BC4794">
        <v>1</v>
      </c>
      <c r="BE4794">
        <v>0</v>
      </c>
      <c r="BF4794">
        <v>0</v>
      </c>
      <c r="BG4794">
        <v>0</v>
      </c>
      <c r="BH4794">
        <v>2175</v>
      </c>
      <c r="BI4794">
        <v>1</v>
      </c>
      <c r="BJ4794">
        <v>1</v>
      </c>
      <c r="BK4794">
        <v>0</v>
      </c>
      <c r="BL4794">
        <v>0</v>
      </c>
      <c r="BO4794">
        <v>0</v>
      </c>
      <c r="BP4794">
        <v>0</v>
      </c>
      <c r="BW4794" t="str">
        <f t="shared" ref="BW4794:BW4802" si="2208">"14:50:03.693"</f>
        <v>14:50:03.693</v>
      </c>
      <c r="CJ4794">
        <v>0</v>
      </c>
      <c r="CK4794">
        <v>2</v>
      </c>
      <c r="CL4794">
        <v>0</v>
      </c>
      <c r="CM4794">
        <v>2</v>
      </c>
      <c r="CN4794">
        <v>0</v>
      </c>
      <c r="CO4794">
        <v>7</v>
      </c>
      <c r="CP4794" t="s">
        <v>119</v>
      </c>
      <c r="CQ4794">
        <v>343</v>
      </c>
      <c r="CR4794">
        <v>1</v>
      </c>
      <c r="CW4794">
        <v>11075005</v>
      </c>
      <c r="CY4794">
        <v>1</v>
      </c>
      <c r="CZ4794">
        <v>0</v>
      </c>
      <c r="DA4794">
        <v>0</v>
      </c>
      <c r="DB4794">
        <v>0</v>
      </c>
      <c r="DC4794">
        <v>0</v>
      </c>
      <c r="DD4794">
        <v>1</v>
      </c>
      <c r="DE4794">
        <v>0</v>
      </c>
      <c r="DF4794">
        <v>0</v>
      </c>
      <c r="DG4794">
        <v>0</v>
      </c>
      <c r="DH4794">
        <v>0</v>
      </c>
      <c r="DI4794">
        <v>0</v>
      </c>
    </row>
    <row r="4795" spans="1:113" x14ac:dyDescent="0.3">
      <c r="A4795" t="str">
        <f t="shared" si="2205"/>
        <v>05/12/2020 14:49:45.868</v>
      </c>
      <c r="C4795" t="str">
        <f t="shared" si="2190"/>
        <v>FFDFD3C0</v>
      </c>
      <c r="D4795" t="s">
        <v>126</v>
      </c>
      <c r="E4795">
        <v>7</v>
      </c>
      <c r="F4795">
        <v>1007</v>
      </c>
      <c r="G4795" t="s">
        <v>127</v>
      </c>
      <c r="J4795" t="s">
        <v>128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t="str">
        <f t="shared" si="2206"/>
        <v>14:50:03.688</v>
      </c>
      <c r="T4795" t="str">
        <f t="shared" si="2207"/>
        <v>14:50:03.388</v>
      </c>
      <c r="U4795" t="str">
        <f t="shared" si="2181"/>
        <v>A9808D</v>
      </c>
      <c r="V4795">
        <v>0</v>
      </c>
      <c r="W4795">
        <v>0</v>
      </c>
      <c r="X4795">
        <v>1</v>
      </c>
      <c r="Z4795">
        <v>0</v>
      </c>
      <c r="AA4795">
        <v>9</v>
      </c>
      <c r="AB4795">
        <v>3</v>
      </c>
      <c r="AC4795">
        <v>0</v>
      </c>
      <c r="AD4795">
        <v>10</v>
      </c>
      <c r="AE4795">
        <v>0</v>
      </c>
      <c r="AF4795">
        <v>3</v>
      </c>
      <c r="AG4795">
        <v>2</v>
      </c>
      <c r="AH4795">
        <v>0</v>
      </c>
      <c r="AI4795" t="s">
        <v>1071</v>
      </c>
      <c r="AJ4795">
        <v>28.239927000000002</v>
      </c>
      <c r="AK4795" t="s">
        <v>1072</v>
      </c>
      <c r="AL4795">
        <v>-82.353902000000005</v>
      </c>
      <c r="AM4795">
        <v>100</v>
      </c>
      <c r="AN4795">
        <v>2100</v>
      </c>
      <c r="AO4795" t="s">
        <v>118</v>
      </c>
      <c r="AP4795">
        <v>-127</v>
      </c>
      <c r="AQ4795">
        <v>-45</v>
      </c>
      <c r="AR4795">
        <v>704</v>
      </c>
      <c r="AZ4795">
        <v>1200</v>
      </c>
      <c r="BA4795">
        <v>1</v>
      </c>
      <c r="BB4795" t="str">
        <f t="shared" si="2193"/>
        <v xml:space="preserve">N711JA  </v>
      </c>
      <c r="BC4795">
        <v>1</v>
      </c>
      <c r="BE4795">
        <v>0</v>
      </c>
      <c r="BF4795">
        <v>0</v>
      </c>
      <c r="BG4795">
        <v>0</v>
      </c>
      <c r="BH4795">
        <v>2175</v>
      </c>
      <c r="BI4795">
        <v>1</v>
      </c>
      <c r="BJ4795">
        <v>1</v>
      </c>
      <c r="BK4795">
        <v>0</v>
      </c>
      <c r="BL4795">
        <v>0</v>
      </c>
      <c r="BO4795">
        <v>0</v>
      </c>
      <c r="BP4795">
        <v>0</v>
      </c>
      <c r="BW4795" t="str">
        <f t="shared" si="2208"/>
        <v>14:50:03.693</v>
      </c>
      <c r="CJ4795">
        <v>0</v>
      </c>
      <c r="CK4795">
        <v>2</v>
      </c>
      <c r="CL4795">
        <v>0</v>
      </c>
      <c r="CM4795">
        <v>2</v>
      </c>
      <c r="CN4795">
        <v>0</v>
      </c>
      <c r="CO4795">
        <v>7</v>
      </c>
      <c r="CP4795" t="s">
        <v>119</v>
      </c>
      <c r="CQ4795">
        <v>343</v>
      </c>
      <c r="CR4795">
        <v>1</v>
      </c>
      <c r="CW4795">
        <v>11075005</v>
      </c>
      <c r="CY4795">
        <v>1</v>
      </c>
      <c r="CZ4795">
        <v>0</v>
      </c>
      <c r="DA4795">
        <v>1</v>
      </c>
      <c r="DB4795">
        <v>0</v>
      </c>
      <c r="DC4795">
        <v>0</v>
      </c>
      <c r="DD4795">
        <v>1</v>
      </c>
      <c r="DE4795">
        <v>0</v>
      </c>
      <c r="DF4795">
        <v>0</v>
      </c>
      <c r="DG4795">
        <v>0</v>
      </c>
      <c r="DH4795">
        <v>0</v>
      </c>
      <c r="DI4795">
        <v>0</v>
      </c>
    </row>
    <row r="4796" spans="1:113" x14ac:dyDescent="0.3">
      <c r="A4796" t="str">
        <f t="shared" si="2205"/>
        <v>05/12/2020 14:49:45.868</v>
      </c>
      <c r="C4796" t="str">
        <f t="shared" si="2190"/>
        <v>FFDFD3C0</v>
      </c>
      <c r="D4796" t="s">
        <v>138</v>
      </c>
      <c r="E4796">
        <v>2</v>
      </c>
      <c r="H4796">
        <v>8</v>
      </c>
      <c r="I4796" t="s">
        <v>139</v>
      </c>
      <c r="J4796" t="s">
        <v>136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t="str">
        <f t="shared" si="2206"/>
        <v>14:50:03.688</v>
      </c>
      <c r="T4796" t="str">
        <f t="shared" si="2207"/>
        <v>14:50:03.388</v>
      </c>
      <c r="U4796" t="str">
        <f t="shared" si="2181"/>
        <v>A9808D</v>
      </c>
      <c r="V4796">
        <v>0</v>
      </c>
      <c r="W4796">
        <v>0</v>
      </c>
      <c r="X4796">
        <v>1</v>
      </c>
      <c r="Z4796">
        <v>0</v>
      </c>
      <c r="AA4796">
        <v>9</v>
      </c>
      <c r="AB4796">
        <v>3</v>
      </c>
      <c r="AC4796">
        <v>0</v>
      </c>
      <c r="AD4796">
        <v>10</v>
      </c>
      <c r="AE4796">
        <v>0</v>
      </c>
      <c r="AF4796">
        <v>3</v>
      </c>
      <c r="AG4796">
        <v>2</v>
      </c>
      <c r="AH4796">
        <v>0</v>
      </c>
      <c r="AI4796" t="s">
        <v>1071</v>
      </c>
      <c r="AJ4796">
        <v>28.239927000000002</v>
      </c>
      <c r="AK4796" t="s">
        <v>1072</v>
      </c>
      <c r="AL4796">
        <v>-82.353902000000005</v>
      </c>
      <c r="AM4796">
        <v>100</v>
      </c>
      <c r="AN4796">
        <v>2100</v>
      </c>
      <c r="AO4796" t="s">
        <v>118</v>
      </c>
      <c r="AP4796">
        <v>-127</v>
      </c>
      <c r="AQ4796">
        <v>-45</v>
      </c>
      <c r="AR4796">
        <v>704</v>
      </c>
      <c r="AZ4796">
        <v>1200</v>
      </c>
      <c r="BA4796">
        <v>1</v>
      </c>
      <c r="BB4796" t="str">
        <f t="shared" si="2193"/>
        <v xml:space="preserve">N711JA  </v>
      </c>
      <c r="BC4796">
        <v>1</v>
      </c>
      <c r="BE4796">
        <v>0</v>
      </c>
      <c r="BF4796">
        <v>0</v>
      </c>
      <c r="BG4796">
        <v>0</v>
      </c>
      <c r="BH4796">
        <v>2175</v>
      </c>
      <c r="BI4796">
        <v>1</v>
      </c>
      <c r="BJ4796">
        <v>1</v>
      </c>
      <c r="BK4796">
        <v>0</v>
      </c>
      <c r="BL4796">
        <v>0</v>
      </c>
      <c r="BO4796">
        <v>0</v>
      </c>
      <c r="BP4796">
        <v>0</v>
      </c>
      <c r="BW4796" t="str">
        <f t="shared" si="2208"/>
        <v>14:50:03.693</v>
      </c>
      <c r="CJ4796">
        <v>0</v>
      </c>
      <c r="CK4796">
        <v>2</v>
      </c>
      <c r="CL4796">
        <v>0</v>
      </c>
      <c r="CM4796">
        <v>2</v>
      </c>
      <c r="CN4796">
        <v>0</v>
      </c>
      <c r="CO4796">
        <v>7</v>
      </c>
      <c r="CP4796" t="s">
        <v>119</v>
      </c>
      <c r="CQ4796">
        <v>343</v>
      </c>
      <c r="CR4796">
        <v>1</v>
      </c>
      <c r="CW4796">
        <v>11075005</v>
      </c>
      <c r="CY4796">
        <v>1</v>
      </c>
      <c r="CZ4796">
        <v>0</v>
      </c>
      <c r="DA4796">
        <v>1</v>
      </c>
      <c r="DB4796">
        <v>0</v>
      </c>
      <c r="DC4796">
        <v>0</v>
      </c>
      <c r="DD4796">
        <v>1</v>
      </c>
      <c r="DE4796">
        <v>0</v>
      </c>
      <c r="DF4796">
        <v>0</v>
      </c>
      <c r="DG4796">
        <v>0</v>
      </c>
      <c r="DH4796">
        <v>0</v>
      </c>
      <c r="DI4796">
        <v>0</v>
      </c>
    </row>
    <row r="4797" spans="1:113" x14ac:dyDescent="0.3">
      <c r="A4797" t="str">
        <f t="shared" si="2205"/>
        <v>05/12/2020 14:49:45.868</v>
      </c>
      <c r="C4797" t="str">
        <f t="shared" si="2190"/>
        <v>FFDFD3C0</v>
      </c>
      <c r="D4797" t="s">
        <v>138</v>
      </c>
      <c r="E4797">
        <v>3</v>
      </c>
      <c r="H4797">
        <v>9</v>
      </c>
      <c r="I4797" t="s">
        <v>140</v>
      </c>
      <c r="J4797" t="s">
        <v>136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t="str">
        <f t="shared" si="2206"/>
        <v>14:50:03.688</v>
      </c>
      <c r="T4797" t="str">
        <f t="shared" si="2207"/>
        <v>14:50:03.388</v>
      </c>
      <c r="U4797" t="str">
        <f t="shared" si="2181"/>
        <v>A9808D</v>
      </c>
      <c r="V4797">
        <v>0</v>
      </c>
      <c r="W4797">
        <v>0</v>
      </c>
      <c r="X4797">
        <v>1</v>
      </c>
      <c r="Z4797">
        <v>0</v>
      </c>
      <c r="AA4797">
        <v>9</v>
      </c>
      <c r="AB4797">
        <v>3</v>
      </c>
      <c r="AC4797">
        <v>0</v>
      </c>
      <c r="AD4797">
        <v>10</v>
      </c>
      <c r="AE4797">
        <v>0</v>
      </c>
      <c r="AF4797">
        <v>3</v>
      </c>
      <c r="AG4797">
        <v>2</v>
      </c>
      <c r="AH4797">
        <v>0</v>
      </c>
      <c r="AI4797" t="s">
        <v>1071</v>
      </c>
      <c r="AJ4797">
        <v>28.239927000000002</v>
      </c>
      <c r="AK4797" t="s">
        <v>1072</v>
      </c>
      <c r="AL4797">
        <v>-82.353902000000005</v>
      </c>
      <c r="AM4797">
        <v>100</v>
      </c>
      <c r="AN4797">
        <v>2100</v>
      </c>
      <c r="AO4797" t="s">
        <v>118</v>
      </c>
      <c r="AP4797">
        <v>-127</v>
      </c>
      <c r="AQ4797">
        <v>-45</v>
      </c>
      <c r="AR4797">
        <v>704</v>
      </c>
      <c r="AZ4797">
        <v>1200</v>
      </c>
      <c r="BA4797">
        <v>1</v>
      </c>
      <c r="BB4797" t="str">
        <f t="shared" si="2193"/>
        <v xml:space="preserve">N711JA  </v>
      </c>
      <c r="BC4797">
        <v>1</v>
      </c>
      <c r="BE4797">
        <v>0</v>
      </c>
      <c r="BF4797">
        <v>0</v>
      </c>
      <c r="BG4797">
        <v>0</v>
      </c>
      <c r="BH4797">
        <v>2175</v>
      </c>
      <c r="BI4797">
        <v>1</v>
      </c>
      <c r="BJ4797">
        <v>1</v>
      </c>
      <c r="BK4797">
        <v>0</v>
      </c>
      <c r="BL4797">
        <v>0</v>
      </c>
      <c r="BO4797">
        <v>0</v>
      </c>
      <c r="BP4797">
        <v>0</v>
      </c>
      <c r="BW4797" t="str">
        <f t="shared" si="2208"/>
        <v>14:50:03.693</v>
      </c>
      <c r="CJ4797">
        <v>0</v>
      </c>
      <c r="CK4797">
        <v>2</v>
      </c>
      <c r="CL4797">
        <v>0</v>
      </c>
      <c r="CM4797">
        <v>2</v>
      </c>
      <c r="CN4797">
        <v>0</v>
      </c>
      <c r="CO4797">
        <v>7</v>
      </c>
      <c r="CP4797" t="s">
        <v>119</v>
      </c>
      <c r="CQ4797">
        <v>343</v>
      </c>
      <c r="CR4797">
        <v>1</v>
      </c>
      <c r="CW4797">
        <v>11075005</v>
      </c>
      <c r="CY4797">
        <v>1</v>
      </c>
      <c r="CZ4797">
        <v>0</v>
      </c>
      <c r="DA4797">
        <v>1</v>
      </c>
      <c r="DB4797">
        <v>0</v>
      </c>
      <c r="DC4797">
        <v>0</v>
      </c>
      <c r="DD4797">
        <v>1</v>
      </c>
      <c r="DE4797">
        <v>0</v>
      </c>
      <c r="DF4797">
        <v>0</v>
      </c>
      <c r="DG4797">
        <v>0</v>
      </c>
      <c r="DH4797">
        <v>0</v>
      </c>
      <c r="DI4797">
        <v>0</v>
      </c>
    </row>
    <row r="4798" spans="1:113" x14ac:dyDescent="0.3">
      <c r="A4798" t="str">
        <f t="shared" si="2205"/>
        <v>05/12/2020 14:49:45.868</v>
      </c>
      <c r="C4798" t="str">
        <f t="shared" si="2190"/>
        <v>FFDFD3C0</v>
      </c>
      <c r="D4798" t="s">
        <v>131</v>
      </c>
      <c r="E4798">
        <v>12</v>
      </c>
      <c r="F4798">
        <v>2012</v>
      </c>
      <c r="G4798" t="s">
        <v>137</v>
      </c>
      <c r="J4798" t="s">
        <v>133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t="str">
        <f t="shared" si="2206"/>
        <v>14:50:03.688</v>
      </c>
      <c r="T4798" t="str">
        <f t="shared" si="2207"/>
        <v>14:50:03.388</v>
      </c>
      <c r="U4798" t="str">
        <f t="shared" si="2181"/>
        <v>A9808D</v>
      </c>
      <c r="V4798">
        <v>0</v>
      </c>
      <c r="W4798">
        <v>0</v>
      </c>
      <c r="X4798">
        <v>1</v>
      </c>
      <c r="Z4798">
        <v>0</v>
      </c>
      <c r="AA4798">
        <v>9</v>
      </c>
      <c r="AB4798">
        <v>3</v>
      </c>
      <c r="AC4798">
        <v>0</v>
      </c>
      <c r="AD4798">
        <v>10</v>
      </c>
      <c r="AE4798">
        <v>0</v>
      </c>
      <c r="AF4798">
        <v>3</v>
      </c>
      <c r="AG4798">
        <v>2</v>
      </c>
      <c r="AH4798">
        <v>0</v>
      </c>
      <c r="AI4798" t="s">
        <v>1071</v>
      </c>
      <c r="AJ4798">
        <v>28.239927000000002</v>
      </c>
      <c r="AK4798" t="s">
        <v>1072</v>
      </c>
      <c r="AL4798">
        <v>-82.353902000000005</v>
      </c>
      <c r="AM4798">
        <v>100</v>
      </c>
      <c r="AN4798">
        <v>2100</v>
      </c>
      <c r="AO4798" t="s">
        <v>118</v>
      </c>
      <c r="AP4798">
        <v>-127</v>
      </c>
      <c r="AQ4798">
        <v>-45</v>
      </c>
      <c r="AR4798">
        <v>704</v>
      </c>
      <c r="AZ4798">
        <v>1200</v>
      </c>
      <c r="BA4798">
        <v>1</v>
      </c>
      <c r="BB4798" t="str">
        <f t="shared" si="2193"/>
        <v xml:space="preserve">N711JA  </v>
      </c>
      <c r="BC4798">
        <v>1</v>
      </c>
      <c r="BE4798">
        <v>0</v>
      </c>
      <c r="BF4798">
        <v>0</v>
      </c>
      <c r="BG4798">
        <v>0</v>
      </c>
      <c r="BH4798">
        <v>2175</v>
      </c>
      <c r="BI4798">
        <v>1</v>
      </c>
      <c r="BJ4798">
        <v>1</v>
      </c>
      <c r="BK4798">
        <v>0</v>
      </c>
      <c r="BL4798">
        <v>0</v>
      </c>
      <c r="BO4798">
        <v>0</v>
      </c>
      <c r="BP4798">
        <v>0</v>
      </c>
      <c r="BW4798" t="str">
        <f t="shared" si="2208"/>
        <v>14:50:03.693</v>
      </c>
      <c r="CJ4798">
        <v>0</v>
      </c>
      <c r="CK4798">
        <v>2</v>
      </c>
      <c r="CL4798">
        <v>0</v>
      </c>
      <c r="CM4798">
        <v>2</v>
      </c>
      <c r="CN4798">
        <v>0</v>
      </c>
      <c r="CO4798">
        <v>7</v>
      </c>
      <c r="CP4798" t="s">
        <v>119</v>
      </c>
      <c r="CQ4798">
        <v>343</v>
      </c>
      <c r="CR4798">
        <v>1</v>
      </c>
      <c r="CW4798">
        <v>11075005</v>
      </c>
      <c r="CY4798">
        <v>1</v>
      </c>
      <c r="CZ4798">
        <v>0</v>
      </c>
      <c r="DA4798">
        <v>1</v>
      </c>
      <c r="DB4798">
        <v>0</v>
      </c>
      <c r="DC4798">
        <v>0</v>
      </c>
      <c r="DD4798">
        <v>1</v>
      </c>
      <c r="DE4798">
        <v>0</v>
      </c>
      <c r="DF4798">
        <v>0</v>
      </c>
      <c r="DG4798">
        <v>0</v>
      </c>
      <c r="DH4798">
        <v>0</v>
      </c>
      <c r="DI4798">
        <v>0</v>
      </c>
    </row>
    <row r="4799" spans="1:113" x14ac:dyDescent="0.3">
      <c r="A4799" t="str">
        <f t="shared" si="2205"/>
        <v>05/12/2020 14:49:45.868</v>
      </c>
      <c r="C4799" t="str">
        <f t="shared" si="2190"/>
        <v>FFDFD3C0</v>
      </c>
      <c r="D4799" t="s">
        <v>134</v>
      </c>
      <c r="E4799">
        <v>12</v>
      </c>
      <c r="H4799">
        <v>64</v>
      </c>
      <c r="I4799" t="s">
        <v>135</v>
      </c>
      <c r="J4799" t="s">
        <v>136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t="str">
        <f t="shared" si="2206"/>
        <v>14:50:03.688</v>
      </c>
      <c r="T4799" t="str">
        <f t="shared" si="2207"/>
        <v>14:50:03.388</v>
      </c>
      <c r="U4799" t="str">
        <f t="shared" si="2181"/>
        <v>A9808D</v>
      </c>
      <c r="V4799">
        <v>0</v>
      </c>
      <c r="W4799">
        <v>0</v>
      </c>
      <c r="X4799">
        <v>1</v>
      </c>
      <c r="Z4799">
        <v>0</v>
      </c>
      <c r="AA4799">
        <v>9</v>
      </c>
      <c r="AB4799">
        <v>3</v>
      </c>
      <c r="AC4799">
        <v>0</v>
      </c>
      <c r="AD4799">
        <v>10</v>
      </c>
      <c r="AE4799">
        <v>0</v>
      </c>
      <c r="AF4799">
        <v>3</v>
      </c>
      <c r="AG4799">
        <v>2</v>
      </c>
      <c r="AH4799">
        <v>0</v>
      </c>
      <c r="AI4799" t="s">
        <v>1071</v>
      </c>
      <c r="AJ4799">
        <v>28.239927000000002</v>
      </c>
      <c r="AK4799" t="s">
        <v>1072</v>
      </c>
      <c r="AL4799">
        <v>-82.353902000000005</v>
      </c>
      <c r="AM4799">
        <v>100</v>
      </c>
      <c r="AN4799">
        <v>2100</v>
      </c>
      <c r="AO4799" t="s">
        <v>118</v>
      </c>
      <c r="AP4799">
        <v>-127</v>
      </c>
      <c r="AQ4799">
        <v>-45</v>
      </c>
      <c r="AR4799">
        <v>704</v>
      </c>
      <c r="AZ4799">
        <v>1200</v>
      </c>
      <c r="BA4799">
        <v>1</v>
      </c>
      <c r="BB4799" t="str">
        <f t="shared" si="2193"/>
        <v xml:space="preserve">N711JA  </v>
      </c>
      <c r="BC4799">
        <v>1</v>
      </c>
      <c r="BE4799">
        <v>0</v>
      </c>
      <c r="BF4799">
        <v>0</v>
      </c>
      <c r="BG4799">
        <v>0</v>
      </c>
      <c r="BH4799">
        <v>2175</v>
      </c>
      <c r="BI4799">
        <v>1</v>
      </c>
      <c r="BJ4799">
        <v>1</v>
      </c>
      <c r="BK4799">
        <v>0</v>
      </c>
      <c r="BL4799">
        <v>0</v>
      </c>
      <c r="BO4799">
        <v>0</v>
      </c>
      <c r="BP4799">
        <v>0</v>
      </c>
      <c r="BW4799" t="str">
        <f t="shared" si="2208"/>
        <v>14:50:03.693</v>
      </c>
      <c r="CJ4799">
        <v>0</v>
      </c>
      <c r="CK4799">
        <v>2</v>
      </c>
      <c r="CL4799">
        <v>0</v>
      </c>
      <c r="CM4799">
        <v>2</v>
      </c>
      <c r="CN4799">
        <v>0</v>
      </c>
      <c r="CO4799">
        <v>7</v>
      </c>
      <c r="CP4799" t="s">
        <v>119</v>
      </c>
      <c r="CQ4799">
        <v>343</v>
      </c>
      <c r="CR4799">
        <v>1</v>
      </c>
      <c r="CW4799">
        <v>11075005</v>
      </c>
      <c r="CY4799">
        <v>1</v>
      </c>
      <c r="CZ4799">
        <v>0</v>
      </c>
      <c r="DA4799">
        <v>1</v>
      </c>
      <c r="DB4799">
        <v>0</v>
      </c>
      <c r="DC4799">
        <v>0</v>
      </c>
      <c r="DD4799">
        <v>1</v>
      </c>
      <c r="DE4799">
        <v>0</v>
      </c>
      <c r="DF4799">
        <v>0</v>
      </c>
      <c r="DG4799">
        <v>0</v>
      </c>
      <c r="DH4799">
        <v>0</v>
      </c>
      <c r="DI4799">
        <v>0</v>
      </c>
    </row>
    <row r="4800" spans="1:113" x14ac:dyDescent="0.3">
      <c r="A4800" t="str">
        <f t="shared" si="2205"/>
        <v>05/12/2020 14:49:45.868</v>
      </c>
      <c r="C4800" t="str">
        <f t="shared" si="2190"/>
        <v>FFDFD3C0</v>
      </c>
      <c r="D4800" t="s">
        <v>131</v>
      </c>
      <c r="E4800">
        <v>18</v>
      </c>
      <c r="F4800">
        <v>2018</v>
      </c>
      <c r="G4800" t="s">
        <v>161</v>
      </c>
      <c r="J4800" t="s">
        <v>133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t="str">
        <f t="shared" si="2206"/>
        <v>14:50:03.688</v>
      </c>
      <c r="T4800" t="str">
        <f t="shared" si="2207"/>
        <v>14:50:03.388</v>
      </c>
      <c r="U4800" t="str">
        <f t="shared" si="2181"/>
        <v>A9808D</v>
      </c>
      <c r="V4800">
        <v>0</v>
      </c>
      <c r="W4800">
        <v>0</v>
      </c>
      <c r="X4800">
        <v>1</v>
      </c>
      <c r="Z4800">
        <v>0</v>
      </c>
      <c r="AA4800">
        <v>9</v>
      </c>
      <c r="AB4800">
        <v>3</v>
      </c>
      <c r="AC4800">
        <v>0</v>
      </c>
      <c r="AD4800">
        <v>10</v>
      </c>
      <c r="AE4800">
        <v>0</v>
      </c>
      <c r="AF4800">
        <v>3</v>
      </c>
      <c r="AG4800">
        <v>2</v>
      </c>
      <c r="AH4800">
        <v>0</v>
      </c>
      <c r="AI4800" t="s">
        <v>1071</v>
      </c>
      <c r="AJ4800">
        <v>28.239927000000002</v>
      </c>
      <c r="AK4800" t="s">
        <v>1072</v>
      </c>
      <c r="AL4800">
        <v>-82.353902000000005</v>
      </c>
      <c r="AM4800">
        <v>100</v>
      </c>
      <c r="AN4800">
        <v>2100</v>
      </c>
      <c r="AO4800" t="s">
        <v>118</v>
      </c>
      <c r="AP4800">
        <v>-127</v>
      </c>
      <c r="AQ4800">
        <v>-45</v>
      </c>
      <c r="AR4800">
        <v>704</v>
      </c>
      <c r="AZ4800">
        <v>1200</v>
      </c>
      <c r="BA4800">
        <v>1</v>
      </c>
      <c r="BB4800" t="str">
        <f t="shared" si="2193"/>
        <v xml:space="preserve">N711JA  </v>
      </c>
      <c r="BC4800">
        <v>1</v>
      </c>
      <c r="BE4800">
        <v>0</v>
      </c>
      <c r="BF4800">
        <v>0</v>
      </c>
      <c r="BG4800">
        <v>0</v>
      </c>
      <c r="BH4800">
        <v>2175</v>
      </c>
      <c r="BI4800">
        <v>1</v>
      </c>
      <c r="BJ4800">
        <v>1</v>
      </c>
      <c r="BK4800">
        <v>0</v>
      </c>
      <c r="BL4800">
        <v>0</v>
      </c>
      <c r="BO4800">
        <v>0</v>
      </c>
      <c r="BP4800">
        <v>0</v>
      </c>
      <c r="BW4800" t="str">
        <f t="shared" si="2208"/>
        <v>14:50:03.693</v>
      </c>
      <c r="CJ4800">
        <v>0</v>
      </c>
      <c r="CK4800">
        <v>2</v>
      </c>
      <c r="CL4800">
        <v>0</v>
      </c>
      <c r="CM4800">
        <v>2</v>
      </c>
      <c r="CN4800">
        <v>0</v>
      </c>
      <c r="CO4800">
        <v>7</v>
      </c>
      <c r="CP4800" t="s">
        <v>119</v>
      </c>
      <c r="CQ4800">
        <v>343</v>
      </c>
      <c r="CR4800">
        <v>1</v>
      </c>
      <c r="CW4800">
        <v>11075005</v>
      </c>
      <c r="CY4800">
        <v>1</v>
      </c>
      <c r="CZ4800">
        <v>0</v>
      </c>
      <c r="DA4800">
        <v>1</v>
      </c>
      <c r="DB4800">
        <v>0</v>
      </c>
      <c r="DC4800">
        <v>0</v>
      </c>
      <c r="DD4800">
        <v>1</v>
      </c>
      <c r="DE4800">
        <v>0</v>
      </c>
      <c r="DF4800">
        <v>0</v>
      </c>
      <c r="DG4800">
        <v>0</v>
      </c>
      <c r="DH4800">
        <v>0</v>
      </c>
      <c r="DI4800">
        <v>0</v>
      </c>
    </row>
    <row r="4801" spans="1:113" x14ac:dyDescent="0.3">
      <c r="A4801" t="str">
        <f t="shared" si="2205"/>
        <v>05/12/2020 14:49:45.868</v>
      </c>
      <c r="C4801" t="str">
        <f t="shared" si="2190"/>
        <v>FFDFD3C0</v>
      </c>
      <c r="D4801" t="s">
        <v>126</v>
      </c>
      <c r="E4801">
        <v>6</v>
      </c>
      <c r="F4801">
        <v>1006</v>
      </c>
      <c r="G4801" t="s">
        <v>114</v>
      </c>
      <c r="J4801" t="s">
        <v>128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t="str">
        <f t="shared" si="2206"/>
        <v>14:50:03.688</v>
      </c>
      <c r="T4801" t="str">
        <f t="shared" si="2207"/>
        <v>14:50:03.388</v>
      </c>
      <c r="U4801" t="str">
        <f t="shared" si="2181"/>
        <v>A9808D</v>
      </c>
      <c r="V4801">
        <v>0</v>
      </c>
      <c r="W4801">
        <v>0</v>
      </c>
      <c r="X4801">
        <v>1</v>
      </c>
      <c r="Z4801">
        <v>0</v>
      </c>
      <c r="AA4801">
        <v>9</v>
      </c>
      <c r="AB4801">
        <v>3</v>
      </c>
      <c r="AC4801">
        <v>0</v>
      </c>
      <c r="AD4801">
        <v>10</v>
      </c>
      <c r="AE4801">
        <v>0</v>
      </c>
      <c r="AF4801">
        <v>3</v>
      </c>
      <c r="AG4801">
        <v>2</v>
      </c>
      <c r="AH4801">
        <v>0</v>
      </c>
      <c r="AI4801" t="s">
        <v>1071</v>
      </c>
      <c r="AJ4801">
        <v>28.239927000000002</v>
      </c>
      <c r="AK4801" t="s">
        <v>1072</v>
      </c>
      <c r="AL4801">
        <v>-82.353902000000005</v>
      </c>
      <c r="AM4801">
        <v>100</v>
      </c>
      <c r="AN4801">
        <v>2100</v>
      </c>
      <c r="AO4801" t="s">
        <v>118</v>
      </c>
      <c r="AP4801">
        <v>-127</v>
      </c>
      <c r="AQ4801">
        <v>-45</v>
      </c>
      <c r="AR4801">
        <v>704</v>
      </c>
      <c r="AZ4801">
        <v>1200</v>
      </c>
      <c r="BA4801">
        <v>1</v>
      </c>
      <c r="BB4801" t="str">
        <f t="shared" si="2193"/>
        <v xml:space="preserve">N711JA  </v>
      </c>
      <c r="BC4801">
        <v>1</v>
      </c>
      <c r="BE4801">
        <v>0</v>
      </c>
      <c r="BF4801">
        <v>0</v>
      </c>
      <c r="BG4801">
        <v>0</v>
      </c>
      <c r="BH4801">
        <v>2175</v>
      </c>
      <c r="BI4801">
        <v>1</v>
      </c>
      <c r="BJ4801">
        <v>1</v>
      </c>
      <c r="BK4801">
        <v>0</v>
      </c>
      <c r="BL4801">
        <v>0</v>
      </c>
      <c r="BO4801">
        <v>0</v>
      </c>
      <c r="BP4801">
        <v>0</v>
      </c>
      <c r="BW4801" t="str">
        <f t="shared" si="2208"/>
        <v>14:50:03.693</v>
      </c>
      <c r="CJ4801">
        <v>0</v>
      </c>
      <c r="CK4801">
        <v>2</v>
      </c>
      <c r="CL4801">
        <v>0</v>
      </c>
      <c r="CM4801">
        <v>2</v>
      </c>
      <c r="CN4801">
        <v>0</v>
      </c>
      <c r="CO4801">
        <v>7</v>
      </c>
      <c r="CP4801" t="s">
        <v>119</v>
      </c>
      <c r="CQ4801">
        <v>343</v>
      </c>
      <c r="CR4801">
        <v>1</v>
      </c>
      <c r="CW4801">
        <v>11075005</v>
      </c>
      <c r="CY4801">
        <v>1</v>
      </c>
      <c r="CZ4801">
        <v>0</v>
      </c>
      <c r="DA4801">
        <v>1</v>
      </c>
      <c r="DB4801">
        <v>0</v>
      </c>
      <c r="DC4801">
        <v>0</v>
      </c>
      <c r="DD4801">
        <v>1</v>
      </c>
      <c r="DE4801">
        <v>0</v>
      </c>
      <c r="DF4801">
        <v>0</v>
      </c>
      <c r="DG4801">
        <v>0</v>
      </c>
      <c r="DH4801">
        <v>0</v>
      </c>
      <c r="DI4801">
        <v>0</v>
      </c>
    </row>
    <row r="4802" spans="1:113" x14ac:dyDescent="0.3">
      <c r="A4802" t="str">
        <f t="shared" si="2205"/>
        <v>05/12/2020 14:49:45.868</v>
      </c>
      <c r="C4802" t="str">
        <f t="shared" si="2190"/>
        <v>FFDFD3C0</v>
      </c>
      <c r="D4802" t="s">
        <v>113</v>
      </c>
      <c r="E4802">
        <v>3</v>
      </c>
      <c r="H4802">
        <v>164</v>
      </c>
      <c r="I4802" t="s">
        <v>114</v>
      </c>
      <c r="J4802" t="s">
        <v>115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t="str">
        <f t="shared" si="2206"/>
        <v>14:50:03.688</v>
      </c>
      <c r="T4802" t="str">
        <f t="shared" si="2207"/>
        <v>14:50:03.388</v>
      </c>
      <c r="U4802" t="str">
        <f t="shared" ref="U4802:U4865" si="2209">"A9808D"</f>
        <v>A9808D</v>
      </c>
      <c r="V4802">
        <v>0</v>
      </c>
      <c r="W4802">
        <v>0</v>
      </c>
      <c r="X4802">
        <v>1</v>
      </c>
      <c r="Z4802">
        <v>0</v>
      </c>
      <c r="AA4802">
        <v>9</v>
      </c>
      <c r="AB4802">
        <v>3</v>
      </c>
      <c r="AC4802">
        <v>0</v>
      </c>
      <c r="AD4802">
        <v>10</v>
      </c>
      <c r="AE4802">
        <v>0</v>
      </c>
      <c r="AF4802">
        <v>3</v>
      </c>
      <c r="AG4802">
        <v>2</v>
      </c>
      <c r="AH4802">
        <v>0</v>
      </c>
      <c r="AI4802" t="s">
        <v>1071</v>
      </c>
      <c r="AJ4802">
        <v>28.239927000000002</v>
      </c>
      <c r="AK4802" t="s">
        <v>1072</v>
      </c>
      <c r="AL4802">
        <v>-82.353902000000005</v>
      </c>
      <c r="AM4802">
        <v>100</v>
      </c>
      <c r="AN4802">
        <v>2100</v>
      </c>
      <c r="AO4802" t="s">
        <v>118</v>
      </c>
      <c r="AP4802">
        <v>-127</v>
      </c>
      <c r="AQ4802">
        <v>-45</v>
      </c>
      <c r="AR4802">
        <v>704</v>
      </c>
      <c r="AZ4802">
        <v>1200</v>
      </c>
      <c r="BA4802">
        <v>1</v>
      </c>
      <c r="BB4802" t="str">
        <f t="shared" si="2193"/>
        <v xml:space="preserve">N711JA  </v>
      </c>
      <c r="BC4802">
        <v>1</v>
      </c>
      <c r="BE4802">
        <v>0</v>
      </c>
      <c r="BF4802">
        <v>0</v>
      </c>
      <c r="BG4802">
        <v>0</v>
      </c>
      <c r="BH4802">
        <v>2175</v>
      </c>
      <c r="BI4802">
        <v>1</v>
      </c>
      <c r="BJ4802">
        <v>1</v>
      </c>
      <c r="BK4802">
        <v>0</v>
      </c>
      <c r="BL4802">
        <v>0</v>
      </c>
      <c r="BO4802">
        <v>0</v>
      </c>
      <c r="BP4802">
        <v>0</v>
      </c>
      <c r="BW4802" t="str">
        <f t="shared" si="2208"/>
        <v>14:50:03.693</v>
      </c>
      <c r="CJ4802">
        <v>0</v>
      </c>
      <c r="CK4802">
        <v>2</v>
      </c>
      <c r="CL4802">
        <v>0</v>
      </c>
      <c r="CM4802">
        <v>2</v>
      </c>
      <c r="CN4802">
        <v>0</v>
      </c>
      <c r="CO4802">
        <v>7</v>
      </c>
      <c r="CP4802" t="s">
        <v>119</v>
      </c>
      <c r="CQ4802">
        <v>343</v>
      </c>
      <c r="CR4802">
        <v>1</v>
      </c>
      <c r="CW4802">
        <v>11075005</v>
      </c>
      <c r="CY4802">
        <v>1</v>
      </c>
      <c r="CZ4802">
        <v>0</v>
      </c>
      <c r="DA4802">
        <v>1</v>
      </c>
      <c r="DB4802">
        <v>0</v>
      </c>
      <c r="DC4802">
        <v>0</v>
      </c>
      <c r="DD4802">
        <v>1</v>
      </c>
      <c r="DE4802">
        <v>0</v>
      </c>
      <c r="DF4802">
        <v>0</v>
      </c>
      <c r="DG4802">
        <v>0</v>
      </c>
      <c r="DH4802">
        <v>0</v>
      </c>
      <c r="DI4802">
        <v>0</v>
      </c>
    </row>
    <row r="4803" spans="1:113" x14ac:dyDescent="0.3">
      <c r="A4803" t="str">
        <f t="shared" ref="A4803:A4811" si="2210">"05/12/2020 14:49:47.025"</f>
        <v>05/12/2020 14:49:47.025</v>
      </c>
      <c r="C4803" t="str">
        <f t="shared" si="2190"/>
        <v>FFDFD3C0</v>
      </c>
      <c r="D4803" t="s">
        <v>131</v>
      </c>
      <c r="E4803">
        <v>10</v>
      </c>
      <c r="F4803">
        <v>2010</v>
      </c>
      <c r="G4803" t="s">
        <v>132</v>
      </c>
      <c r="J4803" t="s">
        <v>133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t="str">
        <f t="shared" ref="S4803:S4811" si="2211">"14:50:04.852"</f>
        <v>14:50:04.852</v>
      </c>
      <c r="T4803" t="str">
        <f t="shared" ref="T4803:T4811" si="2212">"14:50:04.352"</f>
        <v>14:50:04.352</v>
      </c>
      <c r="U4803" t="str">
        <f t="shared" si="2209"/>
        <v>A9808D</v>
      </c>
      <c r="V4803">
        <v>0</v>
      </c>
      <c r="W4803">
        <v>0</v>
      </c>
      <c r="X4803">
        <v>1</v>
      </c>
      <c r="Z4803">
        <v>0</v>
      </c>
      <c r="AA4803">
        <v>9</v>
      </c>
      <c r="AB4803">
        <v>3</v>
      </c>
      <c r="AC4803">
        <v>0</v>
      </c>
      <c r="AD4803">
        <v>10</v>
      </c>
      <c r="AE4803">
        <v>0</v>
      </c>
      <c r="AF4803">
        <v>3</v>
      </c>
      <c r="AG4803">
        <v>2</v>
      </c>
      <c r="AH4803">
        <v>0</v>
      </c>
      <c r="AI4803" t="s">
        <v>1073</v>
      </c>
      <c r="AJ4803">
        <v>28.239712999999998</v>
      </c>
      <c r="AK4803" t="s">
        <v>1074</v>
      </c>
      <c r="AL4803">
        <v>-82.354674000000003</v>
      </c>
      <c r="AM4803">
        <v>100</v>
      </c>
      <c r="AN4803">
        <v>2100</v>
      </c>
      <c r="AO4803" t="s">
        <v>118</v>
      </c>
      <c r="AP4803">
        <v>-125</v>
      </c>
      <c r="AQ4803">
        <v>-46</v>
      </c>
      <c r="AR4803">
        <v>704</v>
      </c>
      <c r="AZ4803">
        <v>1200</v>
      </c>
      <c r="BA4803">
        <v>1</v>
      </c>
      <c r="BB4803" t="str">
        <f t="shared" si="2193"/>
        <v xml:space="preserve">N711JA  </v>
      </c>
      <c r="BC4803">
        <v>1</v>
      </c>
      <c r="BE4803">
        <v>0</v>
      </c>
      <c r="BF4803">
        <v>0</v>
      </c>
      <c r="BG4803">
        <v>0</v>
      </c>
      <c r="BH4803">
        <v>2175</v>
      </c>
      <c r="BI4803">
        <v>1</v>
      </c>
      <c r="BJ4803">
        <v>1</v>
      </c>
      <c r="BK4803">
        <v>0</v>
      </c>
      <c r="BL4803">
        <v>0</v>
      </c>
      <c r="BO4803">
        <v>0</v>
      </c>
      <c r="BP4803">
        <v>0</v>
      </c>
      <c r="BW4803" t="str">
        <f t="shared" ref="BW4803:BW4811" si="2213">"14:50:04.853"</f>
        <v>14:50:04.853</v>
      </c>
      <c r="CJ4803">
        <v>0</v>
      </c>
      <c r="CK4803">
        <v>2</v>
      </c>
      <c r="CL4803">
        <v>0</v>
      </c>
      <c r="CM4803">
        <v>2</v>
      </c>
      <c r="CN4803">
        <v>0</v>
      </c>
      <c r="CO4803">
        <v>7</v>
      </c>
      <c r="CP4803" t="s">
        <v>119</v>
      </c>
      <c r="CQ4803">
        <v>343</v>
      </c>
      <c r="CR4803">
        <v>1</v>
      </c>
      <c r="CW4803">
        <v>11076148</v>
      </c>
      <c r="CY4803">
        <v>1</v>
      </c>
      <c r="CZ4803">
        <v>0</v>
      </c>
      <c r="DA4803">
        <v>0</v>
      </c>
      <c r="DB4803">
        <v>0</v>
      </c>
      <c r="DC4803">
        <v>0</v>
      </c>
      <c r="DD4803">
        <v>1</v>
      </c>
      <c r="DE4803">
        <v>0</v>
      </c>
      <c r="DF4803">
        <v>0</v>
      </c>
      <c r="DG4803">
        <v>0</v>
      </c>
      <c r="DH4803">
        <v>0</v>
      </c>
      <c r="DI4803">
        <v>0</v>
      </c>
    </row>
    <row r="4804" spans="1:113" x14ac:dyDescent="0.3">
      <c r="A4804" t="str">
        <f t="shared" si="2210"/>
        <v>05/12/2020 14:49:47.025</v>
      </c>
      <c r="C4804" t="str">
        <f t="shared" si="2190"/>
        <v>FFDFD3C0</v>
      </c>
      <c r="D4804" t="s">
        <v>126</v>
      </c>
      <c r="E4804">
        <v>7</v>
      </c>
      <c r="F4804">
        <v>1007</v>
      </c>
      <c r="G4804" t="s">
        <v>127</v>
      </c>
      <c r="J4804" t="s">
        <v>128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t="str">
        <f t="shared" si="2211"/>
        <v>14:50:04.852</v>
      </c>
      <c r="T4804" t="str">
        <f t="shared" si="2212"/>
        <v>14:50:04.352</v>
      </c>
      <c r="U4804" t="str">
        <f t="shared" si="2209"/>
        <v>A9808D</v>
      </c>
      <c r="V4804">
        <v>0</v>
      </c>
      <c r="W4804">
        <v>0</v>
      </c>
      <c r="X4804">
        <v>1</v>
      </c>
      <c r="Z4804">
        <v>0</v>
      </c>
      <c r="AA4804">
        <v>9</v>
      </c>
      <c r="AB4804">
        <v>3</v>
      </c>
      <c r="AC4804">
        <v>0</v>
      </c>
      <c r="AD4804">
        <v>10</v>
      </c>
      <c r="AE4804">
        <v>0</v>
      </c>
      <c r="AF4804">
        <v>3</v>
      </c>
      <c r="AG4804">
        <v>2</v>
      </c>
      <c r="AH4804">
        <v>0</v>
      </c>
      <c r="AI4804" t="s">
        <v>1073</v>
      </c>
      <c r="AJ4804">
        <v>28.239712999999998</v>
      </c>
      <c r="AK4804" t="s">
        <v>1074</v>
      </c>
      <c r="AL4804">
        <v>-82.354674000000003</v>
      </c>
      <c r="AM4804">
        <v>100</v>
      </c>
      <c r="AN4804">
        <v>2100</v>
      </c>
      <c r="AO4804" t="s">
        <v>118</v>
      </c>
      <c r="AP4804">
        <v>-125</v>
      </c>
      <c r="AQ4804">
        <v>-46</v>
      </c>
      <c r="AR4804">
        <v>704</v>
      </c>
      <c r="AZ4804">
        <v>1200</v>
      </c>
      <c r="BA4804">
        <v>1</v>
      </c>
      <c r="BB4804" t="str">
        <f t="shared" si="2193"/>
        <v xml:space="preserve">N711JA  </v>
      </c>
      <c r="BC4804">
        <v>1</v>
      </c>
      <c r="BE4804">
        <v>0</v>
      </c>
      <c r="BF4804">
        <v>0</v>
      </c>
      <c r="BG4804">
        <v>0</v>
      </c>
      <c r="BH4804">
        <v>2175</v>
      </c>
      <c r="BI4804">
        <v>1</v>
      </c>
      <c r="BJ4804">
        <v>1</v>
      </c>
      <c r="BK4804">
        <v>0</v>
      </c>
      <c r="BL4804">
        <v>0</v>
      </c>
      <c r="BO4804">
        <v>0</v>
      </c>
      <c r="BP4804">
        <v>0</v>
      </c>
      <c r="BW4804" t="str">
        <f t="shared" si="2213"/>
        <v>14:50:04.853</v>
      </c>
      <c r="CJ4804">
        <v>0</v>
      </c>
      <c r="CK4804">
        <v>2</v>
      </c>
      <c r="CL4804">
        <v>0</v>
      </c>
      <c r="CM4804">
        <v>2</v>
      </c>
      <c r="CN4804">
        <v>0</v>
      </c>
      <c r="CO4804">
        <v>7</v>
      </c>
      <c r="CP4804" t="s">
        <v>119</v>
      </c>
      <c r="CQ4804">
        <v>343</v>
      </c>
      <c r="CR4804">
        <v>1</v>
      </c>
      <c r="CW4804">
        <v>11076148</v>
      </c>
      <c r="CY4804">
        <v>1</v>
      </c>
      <c r="CZ4804">
        <v>0</v>
      </c>
      <c r="DA4804">
        <v>1</v>
      </c>
      <c r="DB4804">
        <v>0</v>
      </c>
      <c r="DC4804">
        <v>0</v>
      </c>
      <c r="DD4804">
        <v>1</v>
      </c>
      <c r="DE4804">
        <v>0</v>
      </c>
      <c r="DF4804">
        <v>0</v>
      </c>
      <c r="DG4804">
        <v>0</v>
      </c>
      <c r="DH4804">
        <v>0</v>
      </c>
      <c r="DI4804">
        <v>0</v>
      </c>
    </row>
    <row r="4805" spans="1:113" x14ac:dyDescent="0.3">
      <c r="A4805" t="str">
        <f t="shared" si="2210"/>
        <v>05/12/2020 14:49:47.025</v>
      </c>
      <c r="C4805" t="str">
        <f t="shared" si="2190"/>
        <v>FFDFD3C0</v>
      </c>
      <c r="D4805" t="s">
        <v>113</v>
      </c>
      <c r="E4805">
        <v>3</v>
      </c>
      <c r="H4805">
        <v>164</v>
      </c>
      <c r="I4805" t="s">
        <v>114</v>
      </c>
      <c r="J4805" t="s">
        <v>115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t="str">
        <f t="shared" si="2211"/>
        <v>14:50:04.852</v>
      </c>
      <c r="T4805" t="str">
        <f t="shared" si="2212"/>
        <v>14:50:04.352</v>
      </c>
      <c r="U4805" t="str">
        <f t="shared" si="2209"/>
        <v>A9808D</v>
      </c>
      <c r="V4805">
        <v>0</v>
      </c>
      <c r="W4805">
        <v>0</v>
      </c>
      <c r="X4805">
        <v>1</v>
      </c>
      <c r="Z4805">
        <v>0</v>
      </c>
      <c r="AA4805">
        <v>9</v>
      </c>
      <c r="AB4805">
        <v>3</v>
      </c>
      <c r="AC4805">
        <v>0</v>
      </c>
      <c r="AD4805">
        <v>10</v>
      </c>
      <c r="AE4805">
        <v>0</v>
      </c>
      <c r="AF4805">
        <v>3</v>
      </c>
      <c r="AG4805">
        <v>2</v>
      </c>
      <c r="AH4805">
        <v>0</v>
      </c>
      <c r="AI4805" t="s">
        <v>1073</v>
      </c>
      <c r="AJ4805">
        <v>28.239712999999998</v>
      </c>
      <c r="AK4805" t="s">
        <v>1074</v>
      </c>
      <c r="AL4805">
        <v>-82.354674000000003</v>
      </c>
      <c r="AM4805">
        <v>100</v>
      </c>
      <c r="AN4805">
        <v>2100</v>
      </c>
      <c r="AO4805" t="s">
        <v>118</v>
      </c>
      <c r="AP4805">
        <v>-125</v>
      </c>
      <c r="AQ4805">
        <v>-46</v>
      </c>
      <c r="AR4805">
        <v>704</v>
      </c>
      <c r="AZ4805">
        <v>1200</v>
      </c>
      <c r="BA4805">
        <v>1</v>
      </c>
      <c r="BB4805" t="str">
        <f t="shared" si="2193"/>
        <v xml:space="preserve">N711JA  </v>
      </c>
      <c r="BC4805">
        <v>1</v>
      </c>
      <c r="BE4805">
        <v>0</v>
      </c>
      <c r="BF4805">
        <v>0</v>
      </c>
      <c r="BG4805">
        <v>0</v>
      </c>
      <c r="BH4805">
        <v>2175</v>
      </c>
      <c r="BI4805">
        <v>1</v>
      </c>
      <c r="BJ4805">
        <v>1</v>
      </c>
      <c r="BK4805">
        <v>0</v>
      </c>
      <c r="BL4805">
        <v>0</v>
      </c>
      <c r="BO4805">
        <v>0</v>
      </c>
      <c r="BP4805">
        <v>0</v>
      </c>
      <c r="BW4805" t="str">
        <f t="shared" si="2213"/>
        <v>14:50:04.853</v>
      </c>
      <c r="CJ4805">
        <v>0</v>
      </c>
      <c r="CK4805">
        <v>2</v>
      </c>
      <c r="CL4805">
        <v>0</v>
      </c>
      <c r="CM4805">
        <v>2</v>
      </c>
      <c r="CN4805">
        <v>0</v>
      </c>
      <c r="CO4805">
        <v>7</v>
      </c>
      <c r="CP4805" t="s">
        <v>119</v>
      </c>
      <c r="CQ4805">
        <v>343</v>
      </c>
      <c r="CR4805">
        <v>1</v>
      </c>
      <c r="CW4805">
        <v>11076148</v>
      </c>
      <c r="CY4805">
        <v>1</v>
      </c>
      <c r="CZ4805">
        <v>0</v>
      </c>
      <c r="DA4805">
        <v>1</v>
      </c>
      <c r="DB4805">
        <v>0</v>
      </c>
      <c r="DC4805">
        <v>0</v>
      </c>
      <c r="DD4805">
        <v>1</v>
      </c>
      <c r="DE4805">
        <v>0</v>
      </c>
      <c r="DF4805">
        <v>0</v>
      </c>
      <c r="DG4805">
        <v>0</v>
      </c>
      <c r="DH4805">
        <v>0</v>
      </c>
      <c r="DI4805">
        <v>0</v>
      </c>
    </row>
    <row r="4806" spans="1:113" x14ac:dyDescent="0.3">
      <c r="A4806" t="str">
        <f t="shared" si="2210"/>
        <v>05/12/2020 14:49:47.025</v>
      </c>
      <c r="C4806" t="str">
        <f t="shared" si="2190"/>
        <v>FFDFD3C0</v>
      </c>
      <c r="D4806" t="s">
        <v>131</v>
      </c>
      <c r="E4806">
        <v>12</v>
      </c>
      <c r="F4806">
        <v>2012</v>
      </c>
      <c r="G4806" t="s">
        <v>137</v>
      </c>
      <c r="J4806" t="s">
        <v>133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t="str">
        <f t="shared" si="2211"/>
        <v>14:50:04.852</v>
      </c>
      <c r="T4806" t="str">
        <f t="shared" si="2212"/>
        <v>14:50:04.352</v>
      </c>
      <c r="U4806" t="str">
        <f t="shared" si="2209"/>
        <v>A9808D</v>
      </c>
      <c r="V4806">
        <v>0</v>
      </c>
      <c r="W4806">
        <v>0</v>
      </c>
      <c r="X4806">
        <v>1</v>
      </c>
      <c r="Z4806">
        <v>0</v>
      </c>
      <c r="AA4806">
        <v>9</v>
      </c>
      <c r="AB4806">
        <v>3</v>
      </c>
      <c r="AC4806">
        <v>0</v>
      </c>
      <c r="AD4806">
        <v>10</v>
      </c>
      <c r="AE4806">
        <v>0</v>
      </c>
      <c r="AF4806">
        <v>3</v>
      </c>
      <c r="AG4806">
        <v>2</v>
      </c>
      <c r="AH4806">
        <v>0</v>
      </c>
      <c r="AI4806" t="s">
        <v>1073</v>
      </c>
      <c r="AJ4806">
        <v>28.239712999999998</v>
      </c>
      <c r="AK4806" t="s">
        <v>1074</v>
      </c>
      <c r="AL4806">
        <v>-82.354674000000003</v>
      </c>
      <c r="AM4806">
        <v>100</v>
      </c>
      <c r="AN4806">
        <v>2100</v>
      </c>
      <c r="AO4806" t="s">
        <v>118</v>
      </c>
      <c r="AP4806">
        <v>-125</v>
      </c>
      <c r="AQ4806">
        <v>-46</v>
      </c>
      <c r="AR4806">
        <v>704</v>
      </c>
      <c r="AZ4806">
        <v>1200</v>
      </c>
      <c r="BA4806">
        <v>1</v>
      </c>
      <c r="BB4806" t="str">
        <f t="shared" si="2193"/>
        <v xml:space="preserve">N711JA  </v>
      </c>
      <c r="BC4806">
        <v>1</v>
      </c>
      <c r="BE4806">
        <v>0</v>
      </c>
      <c r="BF4806">
        <v>0</v>
      </c>
      <c r="BG4806">
        <v>0</v>
      </c>
      <c r="BH4806">
        <v>2175</v>
      </c>
      <c r="BI4806">
        <v>1</v>
      </c>
      <c r="BJ4806">
        <v>1</v>
      </c>
      <c r="BK4806">
        <v>0</v>
      </c>
      <c r="BL4806">
        <v>0</v>
      </c>
      <c r="BO4806">
        <v>0</v>
      </c>
      <c r="BP4806">
        <v>0</v>
      </c>
      <c r="BW4806" t="str">
        <f t="shared" si="2213"/>
        <v>14:50:04.853</v>
      </c>
      <c r="CJ4806">
        <v>0</v>
      </c>
      <c r="CK4806">
        <v>2</v>
      </c>
      <c r="CL4806">
        <v>0</v>
      </c>
      <c r="CM4806">
        <v>2</v>
      </c>
      <c r="CN4806">
        <v>0</v>
      </c>
      <c r="CO4806">
        <v>7</v>
      </c>
      <c r="CP4806" t="s">
        <v>119</v>
      </c>
      <c r="CQ4806">
        <v>343</v>
      </c>
      <c r="CR4806">
        <v>1</v>
      </c>
      <c r="CW4806">
        <v>11076148</v>
      </c>
      <c r="CY4806">
        <v>1</v>
      </c>
      <c r="CZ4806">
        <v>0</v>
      </c>
      <c r="DA4806">
        <v>1</v>
      </c>
      <c r="DB4806">
        <v>0</v>
      </c>
      <c r="DC4806">
        <v>0</v>
      </c>
      <c r="DD4806">
        <v>1</v>
      </c>
      <c r="DE4806">
        <v>0</v>
      </c>
      <c r="DF4806">
        <v>0</v>
      </c>
      <c r="DG4806">
        <v>0</v>
      </c>
      <c r="DH4806">
        <v>0</v>
      </c>
      <c r="DI4806">
        <v>0</v>
      </c>
    </row>
    <row r="4807" spans="1:113" x14ac:dyDescent="0.3">
      <c r="A4807" t="str">
        <f t="shared" si="2210"/>
        <v>05/12/2020 14:49:47.025</v>
      </c>
      <c r="C4807" t="str">
        <f t="shared" si="2190"/>
        <v>FFDFD3C0</v>
      </c>
      <c r="D4807" t="s">
        <v>138</v>
      </c>
      <c r="E4807">
        <v>2</v>
      </c>
      <c r="H4807">
        <v>8</v>
      </c>
      <c r="I4807" t="s">
        <v>139</v>
      </c>
      <c r="J4807" t="s">
        <v>136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t="str">
        <f t="shared" si="2211"/>
        <v>14:50:04.852</v>
      </c>
      <c r="T4807" t="str">
        <f t="shared" si="2212"/>
        <v>14:50:04.352</v>
      </c>
      <c r="U4807" t="str">
        <f t="shared" si="2209"/>
        <v>A9808D</v>
      </c>
      <c r="V4807">
        <v>0</v>
      </c>
      <c r="W4807">
        <v>0</v>
      </c>
      <c r="X4807">
        <v>1</v>
      </c>
      <c r="Z4807">
        <v>0</v>
      </c>
      <c r="AA4807">
        <v>9</v>
      </c>
      <c r="AB4807">
        <v>3</v>
      </c>
      <c r="AC4807">
        <v>0</v>
      </c>
      <c r="AD4807">
        <v>10</v>
      </c>
      <c r="AE4807">
        <v>0</v>
      </c>
      <c r="AF4807">
        <v>3</v>
      </c>
      <c r="AG4807">
        <v>2</v>
      </c>
      <c r="AH4807">
        <v>0</v>
      </c>
      <c r="AI4807" t="s">
        <v>1073</v>
      </c>
      <c r="AJ4807">
        <v>28.239712999999998</v>
      </c>
      <c r="AK4807" t="s">
        <v>1074</v>
      </c>
      <c r="AL4807">
        <v>-82.354674000000003</v>
      </c>
      <c r="AM4807">
        <v>100</v>
      </c>
      <c r="AN4807">
        <v>2100</v>
      </c>
      <c r="AO4807" t="s">
        <v>118</v>
      </c>
      <c r="AP4807">
        <v>-125</v>
      </c>
      <c r="AQ4807">
        <v>-46</v>
      </c>
      <c r="AR4807">
        <v>704</v>
      </c>
      <c r="AZ4807">
        <v>1200</v>
      </c>
      <c r="BA4807">
        <v>1</v>
      </c>
      <c r="BB4807" t="str">
        <f t="shared" si="2193"/>
        <v xml:space="preserve">N711JA  </v>
      </c>
      <c r="BC4807">
        <v>1</v>
      </c>
      <c r="BE4807">
        <v>0</v>
      </c>
      <c r="BF4807">
        <v>0</v>
      </c>
      <c r="BG4807">
        <v>0</v>
      </c>
      <c r="BH4807">
        <v>2175</v>
      </c>
      <c r="BI4807">
        <v>1</v>
      </c>
      <c r="BJ4807">
        <v>1</v>
      </c>
      <c r="BK4807">
        <v>0</v>
      </c>
      <c r="BL4807">
        <v>0</v>
      </c>
      <c r="BO4807">
        <v>0</v>
      </c>
      <c r="BP4807">
        <v>0</v>
      </c>
      <c r="BW4807" t="str">
        <f t="shared" si="2213"/>
        <v>14:50:04.853</v>
      </c>
      <c r="CJ4807">
        <v>0</v>
      </c>
      <c r="CK4807">
        <v>2</v>
      </c>
      <c r="CL4807">
        <v>0</v>
      </c>
      <c r="CM4807">
        <v>2</v>
      </c>
      <c r="CN4807">
        <v>0</v>
      </c>
      <c r="CO4807">
        <v>7</v>
      </c>
      <c r="CP4807" t="s">
        <v>119</v>
      </c>
      <c r="CQ4807">
        <v>343</v>
      </c>
      <c r="CR4807">
        <v>1</v>
      </c>
      <c r="CW4807">
        <v>11076148</v>
      </c>
      <c r="CY4807">
        <v>1</v>
      </c>
      <c r="CZ4807">
        <v>0</v>
      </c>
      <c r="DA4807">
        <v>1</v>
      </c>
      <c r="DB4807">
        <v>0</v>
      </c>
      <c r="DC4807">
        <v>0</v>
      </c>
      <c r="DD4807">
        <v>1</v>
      </c>
      <c r="DE4807">
        <v>0</v>
      </c>
      <c r="DF4807">
        <v>0</v>
      </c>
      <c r="DG4807">
        <v>0</v>
      </c>
      <c r="DH4807">
        <v>0</v>
      </c>
      <c r="DI4807">
        <v>0</v>
      </c>
    </row>
    <row r="4808" spans="1:113" x14ac:dyDescent="0.3">
      <c r="A4808" t="str">
        <f t="shared" si="2210"/>
        <v>05/12/2020 14:49:47.025</v>
      </c>
      <c r="C4808" t="str">
        <f t="shared" si="2190"/>
        <v>FFDFD3C0</v>
      </c>
      <c r="D4808" t="s">
        <v>138</v>
      </c>
      <c r="E4808">
        <v>3</v>
      </c>
      <c r="H4808">
        <v>9</v>
      </c>
      <c r="I4808" t="s">
        <v>140</v>
      </c>
      <c r="J4808" t="s">
        <v>136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t="str">
        <f t="shared" si="2211"/>
        <v>14:50:04.852</v>
      </c>
      <c r="T4808" t="str">
        <f t="shared" si="2212"/>
        <v>14:50:04.352</v>
      </c>
      <c r="U4808" t="str">
        <f t="shared" si="2209"/>
        <v>A9808D</v>
      </c>
      <c r="V4808">
        <v>0</v>
      </c>
      <c r="W4808">
        <v>0</v>
      </c>
      <c r="X4808">
        <v>1</v>
      </c>
      <c r="Z4808">
        <v>0</v>
      </c>
      <c r="AA4808">
        <v>9</v>
      </c>
      <c r="AB4808">
        <v>3</v>
      </c>
      <c r="AC4808">
        <v>0</v>
      </c>
      <c r="AD4808">
        <v>10</v>
      </c>
      <c r="AE4808">
        <v>0</v>
      </c>
      <c r="AF4808">
        <v>3</v>
      </c>
      <c r="AG4808">
        <v>2</v>
      </c>
      <c r="AH4808">
        <v>0</v>
      </c>
      <c r="AI4808" t="s">
        <v>1073</v>
      </c>
      <c r="AJ4808">
        <v>28.239712999999998</v>
      </c>
      <c r="AK4808" t="s">
        <v>1074</v>
      </c>
      <c r="AL4808">
        <v>-82.354674000000003</v>
      </c>
      <c r="AM4808">
        <v>100</v>
      </c>
      <c r="AN4808">
        <v>2100</v>
      </c>
      <c r="AO4808" t="s">
        <v>118</v>
      </c>
      <c r="AP4808">
        <v>-125</v>
      </c>
      <c r="AQ4808">
        <v>-46</v>
      </c>
      <c r="AR4808">
        <v>704</v>
      </c>
      <c r="AZ4808">
        <v>1200</v>
      </c>
      <c r="BA4808">
        <v>1</v>
      </c>
      <c r="BB4808" t="str">
        <f t="shared" si="2193"/>
        <v xml:space="preserve">N711JA  </v>
      </c>
      <c r="BC4808">
        <v>1</v>
      </c>
      <c r="BE4808">
        <v>0</v>
      </c>
      <c r="BF4808">
        <v>0</v>
      </c>
      <c r="BG4808">
        <v>0</v>
      </c>
      <c r="BH4808">
        <v>2175</v>
      </c>
      <c r="BI4808">
        <v>1</v>
      </c>
      <c r="BJ4808">
        <v>1</v>
      </c>
      <c r="BK4808">
        <v>0</v>
      </c>
      <c r="BL4808">
        <v>0</v>
      </c>
      <c r="BO4808">
        <v>0</v>
      </c>
      <c r="BP4808">
        <v>0</v>
      </c>
      <c r="BW4808" t="str">
        <f t="shared" si="2213"/>
        <v>14:50:04.853</v>
      </c>
      <c r="CJ4808">
        <v>0</v>
      </c>
      <c r="CK4808">
        <v>2</v>
      </c>
      <c r="CL4808">
        <v>0</v>
      </c>
      <c r="CM4808">
        <v>2</v>
      </c>
      <c r="CN4808">
        <v>0</v>
      </c>
      <c r="CO4808">
        <v>7</v>
      </c>
      <c r="CP4808" t="s">
        <v>119</v>
      </c>
      <c r="CQ4808">
        <v>343</v>
      </c>
      <c r="CR4808">
        <v>1</v>
      </c>
      <c r="CW4808">
        <v>11076148</v>
      </c>
      <c r="CY4808">
        <v>1</v>
      </c>
      <c r="CZ4808">
        <v>0</v>
      </c>
      <c r="DA4808">
        <v>1</v>
      </c>
      <c r="DB4808">
        <v>0</v>
      </c>
      <c r="DC4808">
        <v>0</v>
      </c>
      <c r="DD4808">
        <v>1</v>
      </c>
      <c r="DE4808">
        <v>0</v>
      </c>
      <c r="DF4808">
        <v>0</v>
      </c>
      <c r="DG4808">
        <v>0</v>
      </c>
      <c r="DH4808">
        <v>0</v>
      </c>
      <c r="DI4808">
        <v>0</v>
      </c>
    </row>
    <row r="4809" spans="1:113" x14ac:dyDescent="0.3">
      <c r="A4809" t="str">
        <f t="shared" si="2210"/>
        <v>05/12/2020 14:49:47.025</v>
      </c>
      <c r="C4809" t="str">
        <f t="shared" si="2190"/>
        <v>FFDFD3C0</v>
      </c>
      <c r="D4809" t="s">
        <v>131</v>
      </c>
      <c r="E4809">
        <v>18</v>
      </c>
      <c r="F4809">
        <v>2018</v>
      </c>
      <c r="G4809" t="s">
        <v>161</v>
      </c>
      <c r="J4809" t="s">
        <v>133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t="str">
        <f t="shared" si="2211"/>
        <v>14:50:04.852</v>
      </c>
      <c r="T4809" t="str">
        <f t="shared" si="2212"/>
        <v>14:50:04.352</v>
      </c>
      <c r="U4809" t="str">
        <f t="shared" si="2209"/>
        <v>A9808D</v>
      </c>
      <c r="V4809">
        <v>0</v>
      </c>
      <c r="W4809">
        <v>0</v>
      </c>
      <c r="X4809">
        <v>1</v>
      </c>
      <c r="Z4809">
        <v>0</v>
      </c>
      <c r="AA4809">
        <v>9</v>
      </c>
      <c r="AB4809">
        <v>3</v>
      </c>
      <c r="AC4809">
        <v>0</v>
      </c>
      <c r="AD4809">
        <v>10</v>
      </c>
      <c r="AE4809">
        <v>0</v>
      </c>
      <c r="AF4809">
        <v>3</v>
      </c>
      <c r="AG4809">
        <v>2</v>
      </c>
      <c r="AH4809">
        <v>0</v>
      </c>
      <c r="AI4809" t="s">
        <v>1073</v>
      </c>
      <c r="AJ4809">
        <v>28.239712999999998</v>
      </c>
      <c r="AK4809" t="s">
        <v>1074</v>
      </c>
      <c r="AL4809">
        <v>-82.354674000000003</v>
      </c>
      <c r="AM4809">
        <v>100</v>
      </c>
      <c r="AN4809">
        <v>2100</v>
      </c>
      <c r="AO4809" t="s">
        <v>118</v>
      </c>
      <c r="AP4809">
        <v>-125</v>
      </c>
      <c r="AQ4809">
        <v>-46</v>
      </c>
      <c r="AR4809">
        <v>704</v>
      </c>
      <c r="AZ4809">
        <v>1200</v>
      </c>
      <c r="BA4809">
        <v>1</v>
      </c>
      <c r="BB4809" t="str">
        <f t="shared" si="2193"/>
        <v xml:space="preserve">N711JA  </v>
      </c>
      <c r="BC4809">
        <v>1</v>
      </c>
      <c r="BE4809">
        <v>0</v>
      </c>
      <c r="BF4809">
        <v>0</v>
      </c>
      <c r="BG4809">
        <v>0</v>
      </c>
      <c r="BH4809">
        <v>2175</v>
      </c>
      <c r="BI4809">
        <v>1</v>
      </c>
      <c r="BJ4809">
        <v>1</v>
      </c>
      <c r="BK4809">
        <v>0</v>
      </c>
      <c r="BL4809">
        <v>0</v>
      </c>
      <c r="BO4809">
        <v>0</v>
      </c>
      <c r="BP4809">
        <v>0</v>
      </c>
      <c r="BW4809" t="str">
        <f t="shared" si="2213"/>
        <v>14:50:04.853</v>
      </c>
      <c r="CJ4809">
        <v>0</v>
      </c>
      <c r="CK4809">
        <v>2</v>
      </c>
      <c r="CL4809">
        <v>0</v>
      </c>
      <c r="CM4809">
        <v>2</v>
      </c>
      <c r="CN4809">
        <v>0</v>
      </c>
      <c r="CO4809">
        <v>7</v>
      </c>
      <c r="CP4809" t="s">
        <v>119</v>
      </c>
      <c r="CQ4809">
        <v>343</v>
      </c>
      <c r="CR4809">
        <v>1</v>
      </c>
      <c r="CW4809">
        <v>11076148</v>
      </c>
      <c r="CY4809">
        <v>1</v>
      </c>
      <c r="CZ4809">
        <v>0</v>
      </c>
      <c r="DA4809">
        <v>1</v>
      </c>
      <c r="DB4809">
        <v>0</v>
      </c>
      <c r="DC4809">
        <v>0</v>
      </c>
      <c r="DD4809">
        <v>1</v>
      </c>
      <c r="DE4809">
        <v>0</v>
      </c>
      <c r="DF4809">
        <v>0</v>
      </c>
      <c r="DG4809">
        <v>0</v>
      </c>
      <c r="DH4809">
        <v>0</v>
      </c>
      <c r="DI4809">
        <v>0</v>
      </c>
    </row>
    <row r="4810" spans="1:113" x14ac:dyDescent="0.3">
      <c r="A4810" t="str">
        <f t="shared" si="2210"/>
        <v>05/12/2020 14:49:47.025</v>
      </c>
      <c r="C4810" t="str">
        <f t="shared" si="2190"/>
        <v>FFDFD3C0</v>
      </c>
      <c r="D4810" t="s">
        <v>134</v>
      </c>
      <c r="E4810">
        <v>12</v>
      </c>
      <c r="H4810">
        <v>64</v>
      </c>
      <c r="I4810" t="s">
        <v>135</v>
      </c>
      <c r="J4810" t="s">
        <v>136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t="str">
        <f t="shared" si="2211"/>
        <v>14:50:04.852</v>
      </c>
      <c r="T4810" t="str">
        <f t="shared" si="2212"/>
        <v>14:50:04.352</v>
      </c>
      <c r="U4810" t="str">
        <f t="shared" si="2209"/>
        <v>A9808D</v>
      </c>
      <c r="V4810">
        <v>0</v>
      </c>
      <c r="W4810">
        <v>0</v>
      </c>
      <c r="X4810">
        <v>1</v>
      </c>
      <c r="Z4810">
        <v>0</v>
      </c>
      <c r="AA4810">
        <v>9</v>
      </c>
      <c r="AB4810">
        <v>3</v>
      </c>
      <c r="AC4810">
        <v>0</v>
      </c>
      <c r="AD4810">
        <v>10</v>
      </c>
      <c r="AE4810">
        <v>0</v>
      </c>
      <c r="AF4810">
        <v>3</v>
      </c>
      <c r="AG4810">
        <v>2</v>
      </c>
      <c r="AH4810">
        <v>0</v>
      </c>
      <c r="AI4810" t="s">
        <v>1073</v>
      </c>
      <c r="AJ4810">
        <v>28.239712999999998</v>
      </c>
      <c r="AK4810" t="s">
        <v>1074</v>
      </c>
      <c r="AL4810">
        <v>-82.354674000000003</v>
      </c>
      <c r="AM4810">
        <v>100</v>
      </c>
      <c r="AN4810">
        <v>2100</v>
      </c>
      <c r="AO4810" t="s">
        <v>118</v>
      </c>
      <c r="AP4810">
        <v>-125</v>
      </c>
      <c r="AQ4810">
        <v>-46</v>
      </c>
      <c r="AR4810">
        <v>704</v>
      </c>
      <c r="AZ4810">
        <v>1200</v>
      </c>
      <c r="BA4810">
        <v>1</v>
      </c>
      <c r="BB4810" t="str">
        <f t="shared" si="2193"/>
        <v xml:space="preserve">N711JA  </v>
      </c>
      <c r="BC4810">
        <v>1</v>
      </c>
      <c r="BE4810">
        <v>0</v>
      </c>
      <c r="BF4810">
        <v>0</v>
      </c>
      <c r="BG4810">
        <v>0</v>
      </c>
      <c r="BH4810">
        <v>2175</v>
      </c>
      <c r="BI4810">
        <v>1</v>
      </c>
      <c r="BJ4810">
        <v>1</v>
      </c>
      <c r="BK4810">
        <v>0</v>
      </c>
      <c r="BL4810">
        <v>0</v>
      </c>
      <c r="BO4810">
        <v>0</v>
      </c>
      <c r="BP4810">
        <v>0</v>
      </c>
      <c r="BW4810" t="str">
        <f t="shared" si="2213"/>
        <v>14:50:04.853</v>
      </c>
      <c r="CJ4810">
        <v>0</v>
      </c>
      <c r="CK4810">
        <v>2</v>
      </c>
      <c r="CL4810">
        <v>0</v>
      </c>
      <c r="CM4810">
        <v>2</v>
      </c>
      <c r="CN4810">
        <v>0</v>
      </c>
      <c r="CO4810">
        <v>7</v>
      </c>
      <c r="CP4810" t="s">
        <v>119</v>
      </c>
      <c r="CQ4810">
        <v>343</v>
      </c>
      <c r="CR4810">
        <v>1</v>
      </c>
      <c r="CW4810">
        <v>11076148</v>
      </c>
      <c r="CY4810">
        <v>1</v>
      </c>
      <c r="CZ4810">
        <v>0</v>
      </c>
      <c r="DA4810">
        <v>1</v>
      </c>
      <c r="DB4810">
        <v>0</v>
      </c>
      <c r="DC4810">
        <v>0</v>
      </c>
      <c r="DD4810">
        <v>1</v>
      </c>
      <c r="DE4810">
        <v>0</v>
      </c>
      <c r="DF4810">
        <v>0</v>
      </c>
      <c r="DG4810">
        <v>0</v>
      </c>
      <c r="DH4810">
        <v>0</v>
      </c>
      <c r="DI4810">
        <v>0</v>
      </c>
    </row>
    <row r="4811" spans="1:113" x14ac:dyDescent="0.3">
      <c r="A4811" t="str">
        <f t="shared" si="2210"/>
        <v>05/12/2020 14:49:47.025</v>
      </c>
      <c r="C4811" t="str">
        <f t="shared" si="2190"/>
        <v>FFDFD3C0</v>
      </c>
      <c r="D4811" t="s">
        <v>126</v>
      </c>
      <c r="E4811">
        <v>6</v>
      </c>
      <c r="F4811">
        <v>1006</v>
      </c>
      <c r="G4811" t="s">
        <v>114</v>
      </c>
      <c r="J4811" t="s">
        <v>128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t="str">
        <f t="shared" si="2211"/>
        <v>14:50:04.852</v>
      </c>
      <c r="T4811" t="str">
        <f t="shared" si="2212"/>
        <v>14:50:04.352</v>
      </c>
      <c r="U4811" t="str">
        <f t="shared" si="2209"/>
        <v>A9808D</v>
      </c>
      <c r="V4811">
        <v>0</v>
      </c>
      <c r="W4811">
        <v>0</v>
      </c>
      <c r="X4811">
        <v>1</v>
      </c>
      <c r="Z4811">
        <v>0</v>
      </c>
      <c r="AA4811">
        <v>9</v>
      </c>
      <c r="AB4811">
        <v>3</v>
      </c>
      <c r="AC4811">
        <v>0</v>
      </c>
      <c r="AD4811">
        <v>10</v>
      </c>
      <c r="AE4811">
        <v>0</v>
      </c>
      <c r="AF4811">
        <v>3</v>
      </c>
      <c r="AG4811">
        <v>2</v>
      </c>
      <c r="AH4811">
        <v>0</v>
      </c>
      <c r="AI4811" t="s">
        <v>1073</v>
      </c>
      <c r="AJ4811">
        <v>28.239712999999998</v>
      </c>
      <c r="AK4811" t="s">
        <v>1074</v>
      </c>
      <c r="AL4811">
        <v>-82.354674000000003</v>
      </c>
      <c r="AM4811">
        <v>100</v>
      </c>
      <c r="AN4811">
        <v>2100</v>
      </c>
      <c r="AO4811" t="s">
        <v>118</v>
      </c>
      <c r="AP4811">
        <v>-125</v>
      </c>
      <c r="AQ4811">
        <v>-46</v>
      </c>
      <c r="AR4811">
        <v>704</v>
      </c>
      <c r="AZ4811">
        <v>1200</v>
      </c>
      <c r="BA4811">
        <v>1</v>
      </c>
      <c r="BB4811" t="str">
        <f t="shared" si="2193"/>
        <v xml:space="preserve">N711JA  </v>
      </c>
      <c r="BC4811">
        <v>1</v>
      </c>
      <c r="BE4811">
        <v>0</v>
      </c>
      <c r="BF4811">
        <v>0</v>
      </c>
      <c r="BG4811">
        <v>0</v>
      </c>
      <c r="BH4811">
        <v>2175</v>
      </c>
      <c r="BI4811">
        <v>1</v>
      </c>
      <c r="BJ4811">
        <v>1</v>
      </c>
      <c r="BK4811">
        <v>0</v>
      </c>
      <c r="BL4811">
        <v>0</v>
      </c>
      <c r="BO4811">
        <v>0</v>
      </c>
      <c r="BP4811">
        <v>0</v>
      </c>
      <c r="BW4811" t="str">
        <f t="shared" si="2213"/>
        <v>14:50:04.853</v>
      </c>
      <c r="CJ4811">
        <v>0</v>
      </c>
      <c r="CK4811">
        <v>2</v>
      </c>
      <c r="CL4811">
        <v>0</v>
      </c>
      <c r="CM4811">
        <v>2</v>
      </c>
      <c r="CN4811">
        <v>0</v>
      </c>
      <c r="CO4811">
        <v>7</v>
      </c>
      <c r="CP4811" t="s">
        <v>119</v>
      </c>
      <c r="CQ4811">
        <v>343</v>
      </c>
      <c r="CR4811">
        <v>1</v>
      </c>
      <c r="CW4811">
        <v>11076148</v>
      </c>
      <c r="CY4811">
        <v>1</v>
      </c>
      <c r="CZ4811">
        <v>0</v>
      </c>
      <c r="DA4811">
        <v>1</v>
      </c>
      <c r="DB4811">
        <v>0</v>
      </c>
      <c r="DC4811">
        <v>0</v>
      </c>
      <c r="DD4811">
        <v>1</v>
      </c>
      <c r="DE4811">
        <v>0</v>
      </c>
      <c r="DF4811">
        <v>0</v>
      </c>
      <c r="DG4811">
        <v>0</v>
      </c>
      <c r="DH4811">
        <v>0</v>
      </c>
      <c r="DI4811">
        <v>0</v>
      </c>
    </row>
    <row r="4812" spans="1:113" x14ac:dyDescent="0.3">
      <c r="A4812" t="str">
        <f t="shared" ref="A4812:A4820" si="2214">"05/12/2020 14:49:48.030"</f>
        <v>05/12/2020 14:49:48.030</v>
      </c>
      <c r="C4812" t="str">
        <f t="shared" si="2190"/>
        <v>FFDFD3C0</v>
      </c>
      <c r="D4812" t="s">
        <v>131</v>
      </c>
      <c r="E4812">
        <v>10</v>
      </c>
      <c r="F4812">
        <v>2010</v>
      </c>
      <c r="G4812" t="s">
        <v>132</v>
      </c>
      <c r="J4812" t="s">
        <v>133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t="str">
        <f t="shared" ref="S4812:S4820" si="2215">"14:50:05.844"</f>
        <v>14:50:05.844</v>
      </c>
      <c r="T4812" t="str">
        <f t="shared" ref="T4812:T4820" si="2216">"14:50:05.344"</f>
        <v>14:50:05.344</v>
      </c>
      <c r="U4812" t="str">
        <f t="shared" si="2209"/>
        <v>A9808D</v>
      </c>
      <c r="V4812">
        <v>0</v>
      </c>
      <c r="W4812">
        <v>0</v>
      </c>
      <c r="X4812">
        <v>1</v>
      </c>
      <c r="Z4812">
        <v>0</v>
      </c>
      <c r="AA4812">
        <v>9</v>
      </c>
      <c r="AB4812">
        <v>3</v>
      </c>
      <c r="AC4812">
        <v>0</v>
      </c>
      <c r="AD4812">
        <v>10</v>
      </c>
      <c r="AE4812">
        <v>0</v>
      </c>
      <c r="AF4812">
        <v>3</v>
      </c>
      <c r="AG4812">
        <v>2</v>
      </c>
      <c r="AH4812">
        <v>0</v>
      </c>
      <c r="AI4812" t="s">
        <v>1075</v>
      </c>
      <c r="AJ4812">
        <v>28.239477000000001</v>
      </c>
      <c r="AK4812" t="s">
        <v>1076</v>
      </c>
      <c r="AL4812">
        <v>-82.355317999999997</v>
      </c>
      <c r="AM4812">
        <v>100</v>
      </c>
      <c r="AN4812">
        <v>2100</v>
      </c>
      <c r="AO4812" t="s">
        <v>118</v>
      </c>
      <c r="AP4812">
        <v>-124</v>
      </c>
      <c r="AQ4812">
        <v>-46</v>
      </c>
      <c r="AR4812">
        <v>704</v>
      </c>
      <c r="AZ4812">
        <v>1200</v>
      </c>
      <c r="BA4812">
        <v>1</v>
      </c>
      <c r="BB4812" t="str">
        <f t="shared" si="2193"/>
        <v xml:space="preserve">N711JA  </v>
      </c>
      <c r="BC4812">
        <v>1</v>
      </c>
      <c r="BE4812">
        <v>0</v>
      </c>
      <c r="BF4812">
        <v>0</v>
      </c>
      <c r="BG4812">
        <v>0</v>
      </c>
      <c r="BH4812">
        <v>2200</v>
      </c>
      <c r="BI4812">
        <v>1</v>
      </c>
      <c r="BJ4812">
        <v>1</v>
      </c>
      <c r="BK4812">
        <v>0</v>
      </c>
      <c r="BL4812">
        <v>0</v>
      </c>
      <c r="BO4812">
        <v>0</v>
      </c>
      <c r="BP4812">
        <v>0</v>
      </c>
      <c r="BW4812" t="str">
        <f t="shared" ref="BW4812:BW4820" si="2217">"14:50:05.847"</f>
        <v>14:50:05.847</v>
      </c>
      <c r="CJ4812">
        <v>0</v>
      </c>
      <c r="CK4812">
        <v>2</v>
      </c>
      <c r="CL4812">
        <v>0</v>
      </c>
      <c r="CM4812">
        <v>2</v>
      </c>
      <c r="CN4812">
        <v>0</v>
      </c>
      <c r="CO4812">
        <v>7</v>
      </c>
      <c r="CP4812" t="s">
        <v>119</v>
      </c>
      <c r="CQ4812">
        <v>343</v>
      </c>
      <c r="CR4812">
        <v>1</v>
      </c>
      <c r="CW4812">
        <v>11077170</v>
      </c>
      <c r="CY4812">
        <v>1</v>
      </c>
      <c r="CZ4812">
        <v>0</v>
      </c>
      <c r="DA4812">
        <v>0</v>
      </c>
      <c r="DB4812">
        <v>0</v>
      </c>
      <c r="DC4812">
        <v>0</v>
      </c>
      <c r="DD4812">
        <v>1</v>
      </c>
      <c r="DE4812">
        <v>0</v>
      </c>
      <c r="DF4812">
        <v>0</v>
      </c>
      <c r="DG4812">
        <v>0</v>
      </c>
      <c r="DH4812">
        <v>0</v>
      </c>
      <c r="DI4812">
        <v>0</v>
      </c>
    </row>
    <row r="4813" spans="1:113" x14ac:dyDescent="0.3">
      <c r="A4813" t="str">
        <f t="shared" si="2214"/>
        <v>05/12/2020 14:49:48.030</v>
      </c>
      <c r="C4813" t="str">
        <f t="shared" si="2190"/>
        <v>FFDFD3C0</v>
      </c>
      <c r="D4813" t="s">
        <v>126</v>
      </c>
      <c r="E4813">
        <v>7</v>
      </c>
      <c r="F4813">
        <v>1007</v>
      </c>
      <c r="G4813" t="s">
        <v>127</v>
      </c>
      <c r="J4813" t="s">
        <v>128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t="str">
        <f t="shared" si="2215"/>
        <v>14:50:05.844</v>
      </c>
      <c r="T4813" t="str">
        <f t="shared" si="2216"/>
        <v>14:50:05.344</v>
      </c>
      <c r="U4813" t="str">
        <f t="shared" si="2209"/>
        <v>A9808D</v>
      </c>
      <c r="V4813">
        <v>0</v>
      </c>
      <c r="W4813">
        <v>0</v>
      </c>
      <c r="X4813">
        <v>1</v>
      </c>
      <c r="Z4813">
        <v>0</v>
      </c>
      <c r="AA4813">
        <v>9</v>
      </c>
      <c r="AB4813">
        <v>3</v>
      </c>
      <c r="AC4813">
        <v>0</v>
      </c>
      <c r="AD4813">
        <v>10</v>
      </c>
      <c r="AE4813">
        <v>0</v>
      </c>
      <c r="AF4813">
        <v>3</v>
      </c>
      <c r="AG4813">
        <v>2</v>
      </c>
      <c r="AH4813">
        <v>0</v>
      </c>
      <c r="AI4813" t="s">
        <v>1075</v>
      </c>
      <c r="AJ4813">
        <v>28.239477000000001</v>
      </c>
      <c r="AK4813" t="s">
        <v>1076</v>
      </c>
      <c r="AL4813">
        <v>-82.355317999999997</v>
      </c>
      <c r="AM4813">
        <v>100</v>
      </c>
      <c r="AN4813">
        <v>2100</v>
      </c>
      <c r="AO4813" t="s">
        <v>118</v>
      </c>
      <c r="AP4813">
        <v>-124</v>
      </c>
      <c r="AQ4813">
        <v>-46</v>
      </c>
      <c r="AR4813">
        <v>704</v>
      </c>
      <c r="AZ4813">
        <v>1200</v>
      </c>
      <c r="BA4813">
        <v>1</v>
      </c>
      <c r="BB4813" t="str">
        <f t="shared" si="2193"/>
        <v xml:space="preserve">N711JA  </v>
      </c>
      <c r="BC4813">
        <v>1</v>
      </c>
      <c r="BE4813">
        <v>0</v>
      </c>
      <c r="BF4813">
        <v>0</v>
      </c>
      <c r="BG4813">
        <v>0</v>
      </c>
      <c r="BH4813">
        <v>2200</v>
      </c>
      <c r="BI4813">
        <v>1</v>
      </c>
      <c r="BJ4813">
        <v>1</v>
      </c>
      <c r="BK4813">
        <v>0</v>
      </c>
      <c r="BL4813">
        <v>0</v>
      </c>
      <c r="BO4813">
        <v>0</v>
      </c>
      <c r="BP4813">
        <v>0</v>
      </c>
      <c r="BW4813" t="str">
        <f t="shared" si="2217"/>
        <v>14:50:05.847</v>
      </c>
      <c r="CJ4813">
        <v>0</v>
      </c>
      <c r="CK4813">
        <v>2</v>
      </c>
      <c r="CL4813">
        <v>0</v>
      </c>
      <c r="CM4813">
        <v>2</v>
      </c>
      <c r="CN4813">
        <v>0</v>
      </c>
      <c r="CO4813">
        <v>7</v>
      </c>
      <c r="CP4813" t="s">
        <v>119</v>
      </c>
      <c r="CQ4813">
        <v>343</v>
      </c>
      <c r="CR4813">
        <v>1</v>
      </c>
      <c r="CW4813">
        <v>11077170</v>
      </c>
      <c r="CY4813">
        <v>1</v>
      </c>
      <c r="CZ4813">
        <v>0</v>
      </c>
      <c r="DA4813">
        <v>1</v>
      </c>
      <c r="DB4813">
        <v>0</v>
      </c>
      <c r="DC4813">
        <v>0</v>
      </c>
      <c r="DD4813">
        <v>1</v>
      </c>
      <c r="DE4813">
        <v>0</v>
      </c>
      <c r="DF4813">
        <v>0</v>
      </c>
      <c r="DG4813">
        <v>0</v>
      </c>
      <c r="DH4813">
        <v>0</v>
      </c>
      <c r="DI4813">
        <v>0</v>
      </c>
    </row>
    <row r="4814" spans="1:113" x14ac:dyDescent="0.3">
      <c r="A4814" t="str">
        <f t="shared" si="2214"/>
        <v>05/12/2020 14:49:48.030</v>
      </c>
      <c r="C4814" t="str">
        <f t="shared" si="2190"/>
        <v>FFDFD3C0</v>
      </c>
      <c r="D4814" t="s">
        <v>131</v>
      </c>
      <c r="E4814">
        <v>12</v>
      </c>
      <c r="F4814">
        <v>2012</v>
      </c>
      <c r="G4814" t="s">
        <v>137</v>
      </c>
      <c r="J4814" t="s">
        <v>133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t="str">
        <f t="shared" si="2215"/>
        <v>14:50:05.844</v>
      </c>
      <c r="T4814" t="str">
        <f t="shared" si="2216"/>
        <v>14:50:05.344</v>
      </c>
      <c r="U4814" t="str">
        <f t="shared" si="2209"/>
        <v>A9808D</v>
      </c>
      <c r="V4814">
        <v>0</v>
      </c>
      <c r="W4814">
        <v>0</v>
      </c>
      <c r="X4814">
        <v>1</v>
      </c>
      <c r="Z4814">
        <v>0</v>
      </c>
      <c r="AA4814">
        <v>9</v>
      </c>
      <c r="AB4814">
        <v>3</v>
      </c>
      <c r="AC4814">
        <v>0</v>
      </c>
      <c r="AD4814">
        <v>10</v>
      </c>
      <c r="AE4814">
        <v>0</v>
      </c>
      <c r="AF4814">
        <v>3</v>
      </c>
      <c r="AG4814">
        <v>2</v>
      </c>
      <c r="AH4814">
        <v>0</v>
      </c>
      <c r="AI4814" t="s">
        <v>1075</v>
      </c>
      <c r="AJ4814">
        <v>28.239477000000001</v>
      </c>
      <c r="AK4814" t="s">
        <v>1076</v>
      </c>
      <c r="AL4814">
        <v>-82.355317999999997</v>
      </c>
      <c r="AM4814">
        <v>100</v>
      </c>
      <c r="AN4814">
        <v>2100</v>
      </c>
      <c r="AO4814" t="s">
        <v>118</v>
      </c>
      <c r="AP4814">
        <v>-124</v>
      </c>
      <c r="AQ4814">
        <v>-46</v>
      </c>
      <c r="AR4814">
        <v>704</v>
      </c>
      <c r="AZ4814">
        <v>1200</v>
      </c>
      <c r="BA4814">
        <v>1</v>
      </c>
      <c r="BB4814" t="str">
        <f t="shared" si="2193"/>
        <v xml:space="preserve">N711JA  </v>
      </c>
      <c r="BC4814">
        <v>1</v>
      </c>
      <c r="BE4814">
        <v>0</v>
      </c>
      <c r="BF4814">
        <v>0</v>
      </c>
      <c r="BG4814">
        <v>0</v>
      </c>
      <c r="BH4814">
        <v>2200</v>
      </c>
      <c r="BI4814">
        <v>1</v>
      </c>
      <c r="BJ4814">
        <v>1</v>
      </c>
      <c r="BK4814">
        <v>0</v>
      </c>
      <c r="BL4814">
        <v>0</v>
      </c>
      <c r="BO4814">
        <v>0</v>
      </c>
      <c r="BP4814">
        <v>0</v>
      </c>
      <c r="BW4814" t="str">
        <f t="shared" si="2217"/>
        <v>14:50:05.847</v>
      </c>
      <c r="CJ4814">
        <v>0</v>
      </c>
      <c r="CK4814">
        <v>2</v>
      </c>
      <c r="CL4814">
        <v>0</v>
      </c>
      <c r="CM4814">
        <v>2</v>
      </c>
      <c r="CN4814">
        <v>0</v>
      </c>
      <c r="CO4814">
        <v>7</v>
      </c>
      <c r="CP4814" t="s">
        <v>119</v>
      </c>
      <c r="CQ4814">
        <v>343</v>
      </c>
      <c r="CR4814">
        <v>1</v>
      </c>
      <c r="CW4814">
        <v>11077170</v>
      </c>
      <c r="CY4814">
        <v>1</v>
      </c>
      <c r="CZ4814">
        <v>0</v>
      </c>
      <c r="DA4814">
        <v>1</v>
      </c>
      <c r="DB4814">
        <v>0</v>
      </c>
      <c r="DC4814">
        <v>0</v>
      </c>
      <c r="DD4814">
        <v>1</v>
      </c>
      <c r="DE4814">
        <v>0</v>
      </c>
      <c r="DF4814">
        <v>0</v>
      </c>
      <c r="DG4814">
        <v>0</v>
      </c>
      <c r="DH4814">
        <v>0</v>
      </c>
      <c r="DI4814">
        <v>0</v>
      </c>
    </row>
    <row r="4815" spans="1:113" x14ac:dyDescent="0.3">
      <c r="A4815" t="str">
        <f t="shared" si="2214"/>
        <v>05/12/2020 14:49:48.030</v>
      </c>
      <c r="C4815" t="str">
        <f t="shared" si="2190"/>
        <v>FFDFD3C0</v>
      </c>
      <c r="D4815" t="s">
        <v>131</v>
      </c>
      <c r="E4815">
        <v>18</v>
      </c>
      <c r="F4815">
        <v>2018</v>
      </c>
      <c r="G4815" t="s">
        <v>161</v>
      </c>
      <c r="J4815" t="s">
        <v>133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t="str">
        <f t="shared" si="2215"/>
        <v>14:50:05.844</v>
      </c>
      <c r="T4815" t="str">
        <f t="shared" si="2216"/>
        <v>14:50:05.344</v>
      </c>
      <c r="U4815" t="str">
        <f t="shared" si="2209"/>
        <v>A9808D</v>
      </c>
      <c r="V4815">
        <v>0</v>
      </c>
      <c r="W4815">
        <v>0</v>
      </c>
      <c r="X4815">
        <v>1</v>
      </c>
      <c r="Z4815">
        <v>0</v>
      </c>
      <c r="AA4815">
        <v>9</v>
      </c>
      <c r="AB4815">
        <v>3</v>
      </c>
      <c r="AC4815">
        <v>0</v>
      </c>
      <c r="AD4815">
        <v>10</v>
      </c>
      <c r="AE4815">
        <v>0</v>
      </c>
      <c r="AF4815">
        <v>3</v>
      </c>
      <c r="AG4815">
        <v>2</v>
      </c>
      <c r="AH4815">
        <v>0</v>
      </c>
      <c r="AI4815" t="s">
        <v>1075</v>
      </c>
      <c r="AJ4815">
        <v>28.239477000000001</v>
      </c>
      <c r="AK4815" t="s">
        <v>1076</v>
      </c>
      <c r="AL4815">
        <v>-82.355317999999997</v>
      </c>
      <c r="AM4815">
        <v>100</v>
      </c>
      <c r="AN4815">
        <v>2100</v>
      </c>
      <c r="AO4815" t="s">
        <v>118</v>
      </c>
      <c r="AP4815">
        <v>-124</v>
      </c>
      <c r="AQ4815">
        <v>-46</v>
      </c>
      <c r="AR4815">
        <v>704</v>
      </c>
      <c r="AZ4815">
        <v>1200</v>
      </c>
      <c r="BA4815">
        <v>1</v>
      </c>
      <c r="BB4815" t="str">
        <f t="shared" si="2193"/>
        <v xml:space="preserve">N711JA  </v>
      </c>
      <c r="BC4815">
        <v>1</v>
      </c>
      <c r="BE4815">
        <v>0</v>
      </c>
      <c r="BF4815">
        <v>0</v>
      </c>
      <c r="BG4815">
        <v>0</v>
      </c>
      <c r="BH4815">
        <v>2200</v>
      </c>
      <c r="BI4815">
        <v>1</v>
      </c>
      <c r="BJ4815">
        <v>1</v>
      </c>
      <c r="BK4815">
        <v>0</v>
      </c>
      <c r="BL4815">
        <v>0</v>
      </c>
      <c r="BO4815">
        <v>0</v>
      </c>
      <c r="BP4815">
        <v>0</v>
      </c>
      <c r="BW4815" t="str">
        <f t="shared" si="2217"/>
        <v>14:50:05.847</v>
      </c>
      <c r="CJ4815">
        <v>0</v>
      </c>
      <c r="CK4815">
        <v>2</v>
      </c>
      <c r="CL4815">
        <v>0</v>
      </c>
      <c r="CM4815">
        <v>2</v>
      </c>
      <c r="CN4815">
        <v>0</v>
      </c>
      <c r="CO4815">
        <v>7</v>
      </c>
      <c r="CP4815" t="s">
        <v>119</v>
      </c>
      <c r="CQ4815">
        <v>343</v>
      </c>
      <c r="CR4815">
        <v>1</v>
      </c>
      <c r="CW4815">
        <v>11077170</v>
      </c>
      <c r="CY4815">
        <v>1</v>
      </c>
      <c r="CZ4815">
        <v>0</v>
      </c>
      <c r="DA4815">
        <v>1</v>
      </c>
      <c r="DB4815">
        <v>0</v>
      </c>
      <c r="DC4815">
        <v>0</v>
      </c>
      <c r="DD4815">
        <v>1</v>
      </c>
      <c r="DE4815">
        <v>0</v>
      </c>
      <c r="DF4815">
        <v>0</v>
      </c>
      <c r="DG4815">
        <v>0</v>
      </c>
      <c r="DH4815">
        <v>0</v>
      </c>
      <c r="DI4815">
        <v>0</v>
      </c>
    </row>
    <row r="4816" spans="1:113" x14ac:dyDescent="0.3">
      <c r="A4816" t="str">
        <f t="shared" si="2214"/>
        <v>05/12/2020 14:49:48.030</v>
      </c>
      <c r="C4816" t="str">
        <f t="shared" si="2190"/>
        <v>FFDFD3C0</v>
      </c>
      <c r="D4816" t="s">
        <v>113</v>
      </c>
      <c r="E4816">
        <v>3</v>
      </c>
      <c r="H4816">
        <v>164</v>
      </c>
      <c r="I4816" t="s">
        <v>114</v>
      </c>
      <c r="J4816" t="s">
        <v>115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t="str">
        <f t="shared" si="2215"/>
        <v>14:50:05.844</v>
      </c>
      <c r="T4816" t="str">
        <f t="shared" si="2216"/>
        <v>14:50:05.344</v>
      </c>
      <c r="U4816" t="str">
        <f t="shared" si="2209"/>
        <v>A9808D</v>
      </c>
      <c r="V4816">
        <v>0</v>
      </c>
      <c r="W4816">
        <v>0</v>
      </c>
      <c r="X4816">
        <v>1</v>
      </c>
      <c r="Z4816">
        <v>0</v>
      </c>
      <c r="AA4816">
        <v>9</v>
      </c>
      <c r="AB4816">
        <v>3</v>
      </c>
      <c r="AC4816">
        <v>0</v>
      </c>
      <c r="AD4816">
        <v>10</v>
      </c>
      <c r="AE4816">
        <v>0</v>
      </c>
      <c r="AF4816">
        <v>3</v>
      </c>
      <c r="AG4816">
        <v>2</v>
      </c>
      <c r="AH4816">
        <v>0</v>
      </c>
      <c r="AI4816" t="s">
        <v>1075</v>
      </c>
      <c r="AJ4816">
        <v>28.239477000000001</v>
      </c>
      <c r="AK4816" t="s">
        <v>1076</v>
      </c>
      <c r="AL4816">
        <v>-82.355317999999997</v>
      </c>
      <c r="AM4816">
        <v>100</v>
      </c>
      <c r="AN4816">
        <v>2100</v>
      </c>
      <c r="AO4816" t="s">
        <v>118</v>
      </c>
      <c r="AP4816">
        <v>-124</v>
      </c>
      <c r="AQ4816">
        <v>-46</v>
      </c>
      <c r="AR4816">
        <v>704</v>
      </c>
      <c r="AZ4816">
        <v>1200</v>
      </c>
      <c r="BA4816">
        <v>1</v>
      </c>
      <c r="BB4816" t="str">
        <f t="shared" si="2193"/>
        <v xml:space="preserve">N711JA  </v>
      </c>
      <c r="BC4816">
        <v>1</v>
      </c>
      <c r="BE4816">
        <v>0</v>
      </c>
      <c r="BF4816">
        <v>0</v>
      </c>
      <c r="BG4816">
        <v>0</v>
      </c>
      <c r="BH4816">
        <v>2200</v>
      </c>
      <c r="BI4816">
        <v>1</v>
      </c>
      <c r="BJ4816">
        <v>1</v>
      </c>
      <c r="BK4816">
        <v>0</v>
      </c>
      <c r="BL4816">
        <v>0</v>
      </c>
      <c r="BO4816">
        <v>0</v>
      </c>
      <c r="BP4816">
        <v>0</v>
      </c>
      <c r="BW4816" t="str">
        <f t="shared" si="2217"/>
        <v>14:50:05.847</v>
      </c>
      <c r="CJ4816">
        <v>0</v>
      </c>
      <c r="CK4816">
        <v>2</v>
      </c>
      <c r="CL4816">
        <v>0</v>
      </c>
      <c r="CM4816">
        <v>2</v>
      </c>
      <c r="CN4816">
        <v>0</v>
      </c>
      <c r="CO4816">
        <v>7</v>
      </c>
      <c r="CP4816" t="s">
        <v>119</v>
      </c>
      <c r="CQ4816">
        <v>343</v>
      </c>
      <c r="CR4816">
        <v>1</v>
      </c>
      <c r="CW4816">
        <v>11077170</v>
      </c>
      <c r="CY4816">
        <v>1</v>
      </c>
      <c r="CZ4816">
        <v>0</v>
      </c>
      <c r="DA4816">
        <v>1</v>
      </c>
      <c r="DB4816">
        <v>0</v>
      </c>
      <c r="DC4816">
        <v>0</v>
      </c>
      <c r="DD4816">
        <v>1</v>
      </c>
      <c r="DE4816">
        <v>0</v>
      </c>
      <c r="DF4816">
        <v>0</v>
      </c>
      <c r="DG4816">
        <v>0</v>
      </c>
      <c r="DH4816">
        <v>0</v>
      </c>
      <c r="DI4816">
        <v>0</v>
      </c>
    </row>
    <row r="4817" spans="1:113" x14ac:dyDescent="0.3">
      <c r="A4817" t="str">
        <f t="shared" si="2214"/>
        <v>05/12/2020 14:49:48.030</v>
      </c>
      <c r="C4817" t="str">
        <f t="shared" si="2190"/>
        <v>FFDFD3C0</v>
      </c>
      <c r="D4817" t="s">
        <v>126</v>
      </c>
      <c r="E4817">
        <v>6</v>
      </c>
      <c r="F4817">
        <v>1006</v>
      </c>
      <c r="G4817" t="s">
        <v>114</v>
      </c>
      <c r="J4817" t="s">
        <v>128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t="str">
        <f t="shared" si="2215"/>
        <v>14:50:05.844</v>
      </c>
      <c r="T4817" t="str">
        <f t="shared" si="2216"/>
        <v>14:50:05.344</v>
      </c>
      <c r="U4817" t="str">
        <f t="shared" si="2209"/>
        <v>A9808D</v>
      </c>
      <c r="V4817">
        <v>0</v>
      </c>
      <c r="W4817">
        <v>0</v>
      </c>
      <c r="X4817">
        <v>1</v>
      </c>
      <c r="Z4817">
        <v>0</v>
      </c>
      <c r="AA4817">
        <v>9</v>
      </c>
      <c r="AB4817">
        <v>3</v>
      </c>
      <c r="AC4817">
        <v>0</v>
      </c>
      <c r="AD4817">
        <v>10</v>
      </c>
      <c r="AE4817">
        <v>0</v>
      </c>
      <c r="AF4817">
        <v>3</v>
      </c>
      <c r="AG4817">
        <v>2</v>
      </c>
      <c r="AH4817">
        <v>0</v>
      </c>
      <c r="AI4817" t="s">
        <v>1075</v>
      </c>
      <c r="AJ4817">
        <v>28.239477000000001</v>
      </c>
      <c r="AK4817" t="s">
        <v>1076</v>
      </c>
      <c r="AL4817">
        <v>-82.355317999999997</v>
      </c>
      <c r="AM4817">
        <v>100</v>
      </c>
      <c r="AN4817">
        <v>2100</v>
      </c>
      <c r="AO4817" t="s">
        <v>118</v>
      </c>
      <c r="AP4817">
        <v>-124</v>
      </c>
      <c r="AQ4817">
        <v>-46</v>
      </c>
      <c r="AR4817">
        <v>704</v>
      </c>
      <c r="AZ4817">
        <v>1200</v>
      </c>
      <c r="BA4817">
        <v>1</v>
      </c>
      <c r="BB4817" t="str">
        <f t="shared" si="2193"/>
        <v xml:space="preserve">N711JA  </v>
      </c>
      <c r="BC4817">
        <v>1</v>
      </c>
      <c r="BE4817">
        <v>0</v>
      </c>
      <c r="BF4817">
        <v>0</v>
      </c>
      <c r="BG4817">
        <v>0</v>
      </c>
      <c r="BH4817">
        <v>2200</v>
      </c>
      <c r="BI4817">
        <v>1</v>
      </c>
      <c r="BJ4817">
        <v>1</v>
      </c>
      <c r="BK4817">
        <v>0</v>
      </c>
      <c r="BL4817">
        <v>0</v>
      </c>
      <c r="BO4817">
        <v>0</v>
      </c>
      <c r="BP4817">
        <v>0</v>
      </c>
      <c r="BW4817" t="str">
        <f t="shared" si="2217"/>
        <v>14:50:05.847</v>
      </c>
      <c r="CJ4817">
        <v>0</v>
      </c>
      <c r="CK4817">
        <v>2</v>
      </c>
      <c r="CL4817">
        <v>0</v>
      </c>
      <c r="CM4817">
        <v>2</v>
      </c>
      <c r="CN4817">
        <v>0</v>
      </c>
      <c r="CO4817">
        <v>7</v>
      </c>
      <c r="CP4817" t="s">
        <v>119</v>
      </c>
      <c r="CQ4817">
        <v>343</v>
      </c>
      <c r="CR4817">
        <v>1</v>
      </c>
      <c r="CW4817">
        <v>11077170</v>
      </c>
      <c r="CY4817">
        <v>1</v>
      </c>
      <c r="CZ4817">
        <v>0</v>
      </c>
      <c r="DA4817">
        <v>1</v>
      </c>
      <c r="DB4817">
        <v>0</v>
      </c>
      <c r="DC4817">
        <v>0</v>
      </c>
      <c r="DD4817">
        <v>1</v>
      </c>
      <c r="DE4817">
        <v>0</v>
      </c>
      <c r="DF4817">
        <v>0</v>
      </c>
      <c r="DG4817">
        <v>0</v>
      </c>
      <c r="DH4817">
        <v>0</v>
      </c>
      <c r="DI4817">
        <v>0</v>
      </c>
    </row>
    <row r="4818" spans="1:113" x14ac:dyDescent="0.3">
      <c r="A4818" t="str">
        <f t="shared" si="2214"/>
        <v>05/12/2020 14:49:48.030</v>
      </c>
      <c r="C4818" t="str">
        <f t="shared" si="2190"/>
        <v>FFDFD3C0</v>
      </c>
      <c r="D4818" t="s">
        <v>138</v>
      </c>
      <c r="E4818">
        <v>2</v>
      </c>
      <c r="H4818">
        <v>8</v>
      </c>
      <c r="I4818" t="s">
        <v>139</v>
      </c>
      <c r="J4818" t="s">
        <v>136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t="str">
        <f t="shared" si="2215"/>
        <v>14:50:05.844</v>
      </c>
      <c r="T4818" t="str">
        <f t="shared" si="2216"/>
        <v>14:50:05.344</v>
      </c>
      <c r="U4818" t="str">
        <f t="shared" si="2209"/>
        <v>A9808D</v>
      </c>
      <c r="V4818">
        <v>0</v>
      </c>
      <c r="W4818">
        <v>0</v>
      </c>
      <c r="X4818">
        <v>1</v>
      </c>
      <c r="Z4818">
        <v>0</v>
      </c>
      <c r="AA4818">
        <v>9</v>
      </c>
      <c r="AB4818">
        <v>3</v>
      </c>
      <c r="AC4818">
        <v>0</v>
      </c>
      <c r="AD4818">
        <v>10</v>
      </c>
      <c r="AE4818">
        <v>0</v>
      </c>
      <c r="AF4818">
        <v>3</v>
      </c>
      <c r="AG4818">
        <v>2</v>
      </c>
      <c r="AH4818">
        <v>0</v>
      </c>
      <c r="AI4818" t="s">
        <v>1075</v>
      </c>
      <c r="AJ4818">
        <v>28.239477000000001</v>
      </c>
      <c r="AK4818" t="s">
        <v>1076</v>
      </c>
      <c r="AL4818">
        <v>-82.355317999999997</v>
      </c>
      <c r="AM4818">
        <v>100</v>
      </c>
      <c r="AN4818">
        <v>2100</v>
      </c>
      <c r="AO4818" t="s">
        <v>118</v>
      </c>
      <c r="AP4818">
        <v>-124</v>
      </c>
      <c r="AQ4818">
        <v>-46</v>
      </c>
      <c r="AR4818">
        <v>704</v>
      </c>
      <c r="AZ4818">
        <v>1200</v>
      </c>
      <c r="BA4818">
        <v>1</v>
      </c>
      <c r="BB4818" t="str">
        <f t="shared" si="2193"/>
        <v xml:space="preserve">N711JA  </v>
      </c>
      <c r="BC4818">
        <v>1</v>
      </c>
      <c r="BE4818">
        <v>0</v>
      </c>
      <c r="BF4818">
        <v>0</v>
      </c>
      <c r="BG4818">
        <v>0</v>
      </c>
      <c r="BH4818">
        <v>2200</v>
      </c>
      <c r="BI4818">
        <v>1</v>
      </c>
      <c r="BJ4818">
        <v>1</v>
      </c>
      <c r="BK4818">
        <v>0</v>
      </c>
      <c r="BL4818">
        <v>0</v>
      </c>
      <c r="BO4818">
        <v>0</v>
      </c>
      <c r="BP4818">
        <v>0</v>
      </c>
      <c r="BW4818" t="str">
        <f t="shared" si="2217"/>
        <v>14:50:05.847</v>
      </c>
      <c r="CJ4818">
        <v>0</v>
      </c>
      <c r="CK4818">
        <v>2</v>
      </c>
      <c r="CL4818">
        <v>0</v>
      </c>
      <c r="CM4818">
        <v>2</v>
      </c>
      <c r="CN4818">
        <v>0</v>
      </c>
      <c r="CO4818">
        <v>7</v>
      </c>
      <c r="CP4818" t="s">
        <v>119</v>
      </c>
      <c r="CQ4818">
        <v>343</v>
      </c>
      <c r="CR4818">
        <v>1</v>
      </c>
      <c r="CW4818">
        <v>11077170</v>
      </c>
      <c r="CY4818">
        <v>1</v>
      </c>
      <c r="CZ4818">
        <v>0</v>
      </c>
      <c r="DA4818">
        <v>1</v>
      </c>
      <c r="DB4818">
        <v>0</v>
      </c>
      <c r="DC4818">
        <v>0</v>
      </c>
      <c r="DD4818">
        <v>1</v>
      </c>
      <c r="DE4818">
        <v>0</v>
      </c>
      <c r="DF4818">
        <v>0</v>
      </c>
      <c r="DG4818">
        <v>0</v>
      </c>
      <c r="DH4818">
        <v>0</v>
      </c>
      <c r="DI4818">
        <v>0</v>
      </c>
    </row>
    <row r="4819" spans="1:113" x14ac:dyDescent="0.3">
      <c r="A4819" t="str">
        <f t="shared" si="2214"/>
        <v>05/12/2020 14:49:48.030</v>
      </c>
      <c r="C4819" t="str">
        <f t="shared" si="2190"/>
        <v>FFDFD3C0</v>
      </c>
      <c r="D4819" t="s">
        <v>138</v>
      </c>
      <c r="E4819">
        <v>3</v>
      </c>
      <c r="H4819">
        <v>9</v>
      </c>
      <c r="I4819" t="s">
        <v>140</v>
      </c>
      <c r="J4819" t="s">
        <v>136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t="str">
        <f t="shared" si="2215"/>
        <v>14:50:05.844</v>
      </c>
      <c r="T4819" t="str">
        <f t="shared" si="2216"/>
        <v>14:50:05.344</v>
      </c>
      <c r="U4819" t="str">
        <f t="shared" si="2209"/>
        <v>A9808D</v>
      </c>
      <c r="V4819">
        <v>0</v>
      </c>
      <c r="W4819">
        <v>0</v>
      </c>
      <c r="X4819">
        <v>1</v>
      </c>
      <c r="Z4819">
        <v>0</v>
      </c>
      <c r="AA4819">
        <v>9</v>
      </c>
      <c r="AB4819">
        <v>3</v>
      </c>
      <c r="AC4819">
        <v>0</v>
      </c>
      <c r="AD4819">
        <v>10</v>
      </c>
      <c r="AE4819">
        <v>0</v>
      </c>
      <c r="AF4819">
        <v>3</v>
      </c>
      <c r="AG4819">
        <v>2</v>
      </c>
      <c r="AH4819">
        <v>0</v>
      </c>
      <c r="AI4819" t="s">
        <v>1075</v>
      </c>
      <c r="AJ4819">
        <v>28.239477000000001</v>
      </c>
      <c r="AK4819" t="s">
        <v>1076</v>
      </c>
      <c r="AL4819">
        <v>-82.355317999999997</v>
      </c>
      <c r="AM4819">
        <v>100</v>
      </c>
      <c r="AN4819">
        <v>2100</v>
      </c>
      <c r="AO4819" t="s">
        <v>118</v>
      </c>
      <c r="AP4819">
        <v>-124</v>
      </c>
      <c r="AQ4819">
        <v>-46</v>
      </c>
      <c r="AR4819">
        <v>704</v>
      </c>
      <c r="AZ4819">
        <v>1200</v>
      </c>
      <c r="BA4819">
        <v>1</v>
      </c>
      <c r="BB4819" t="str">
        <f t="shared" si="2193"/>
        <v xml:space="preserve">N711JA  </v>
      </c>
      <c r="BC4819">
        <v>1</v>
      </c>
      <c r="BE4819">
        <v>0</v>
      </c>
      <c r="BF4819">
        <v>0</v>
      </c>
      <c r="BG4819">
        <v>0</v>
      </c>
      <c r="BH4819">
        <v>2200</v>
      </c>
      <c r="BI4819">
        <v>1</v>
      </c>
      <c r="BJ4819">
        <v>1</v>
      </c>
      <c r="BK4819">
        <v>0</v>
      </c>
      <c r="BL4819">
        <v>0</v>
      </c>
      <c r="BO4819">
        <v>0</v>
      </c>
      <c r="BP4819">
        <v>0</v>
      </c>
      <c r="BW4819" t="str">
        <f t="shared" si="2217"/>
        <v>14:50:05.847</v>
      </c>
      <c r="CJ4819">
        <v>0</v>
      </c>
      <c r="CK4819">
        <v>2</v>
      </c>
      <c r="CL4819">
        <v>0</v>
      </c>
      <c r="CM4819">
        <v>2</v>
      </c>
      <c r="CN4819">
        <v>0</v>
      </c>
      <c r="CO4819">
        <v>7</v>
      </c>
      <c r="CP4819" t="s">
        <v>119</v>
      </c>
      <c r="CQ4819">
        <v>343</v>
      </c>
      <c r="CR4819">
        <v>1</v>
      </c>
      <c r="CW4819">
        <v>11077170</v>
      </c>
      <c r="CY4819">
        <v>1</v>
      </c>
      <c r="CZ4819">
        <v>0</v>
      </c>
      <c r="DA4819">
        <v>1</v>
      </c>
      <c r="DB4819">
        <v>0</v>
      </c>
      <c r="DC4819">
        <v>0</v>
      </c>
      <c r="DD4819">
        <v>1</v>
      </c>
      <c r="DE4819">
        <v>0</v>
      </c>
      <c r="DF4819">
        <v>0</v>
      </c>
      <c r="DG4819">
        <v>0</v>
      </c>
      <c r="DH4819">
        <v>0</v>
      </c>
      <c r="DI4819">
        <v>0</v>
      </c>
    </row>
    <row r="4820" spans="1:113" x14ac:dyDescent="0.3">
      <c r="A4820" t="str">
        <f t="shared" si="2214"/>
        <v>05/12/2020 14:49:48.030</v>
      </c>
      <c r="C4820" t="str">
        <f t="shared" si="2190"/>
        <v>FFDFD3C0</v>
      </c>
      <c r="D4820" t="s">
        <v>134</v>
      </c>
      <c r="E4820">
        <v>12</v>
      </c>
      <c r="H4820">
        <v>64</v>
      </c>
      <c r="I4820" t="s">
        <v>135</v>
      </c>
      <c r="J4820" t="s">
        <v>136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t="str">
        <f t="shared" si="2215"/>
        <v>14:50:05.844</v>
      </c>
      <c r="T4820" t="str">
        <f t="shared" si="2216"/>
        <v>14:50:05.344</v>
      </c>
      <c r="U4820" t="str">
        <f t="shared" si="2209"/>
        <v>A9808D</v>
      </c>
      <c r="V4820">
        <v>0</v>
      </c>
      <c r="W4820">
        <v>0</v>
      </c>
      <c r="X4820">
        <v>1</v>
      </c>
      <c r="Z4820">
        <v>0</v>
      </c>
      <c r="AA4820">
        <v>9</v>
      </c>
      <c r="AB4820">
        <v>3</v>
      </c>
      <c r="AC4820">
        <v>0</v>
      </c>
      <c r="AD4820">
        <v>10</v>
      </c>
      <c r="AE4820">
        <v>0</v>
      </c>
      <c r="AF4820">
        <v>3</v>
      </c>
      <c r="AG4820">
        <v>2</v>
      </c>
      <c r="AH4820">
        <v>0</v>
      </c>
      <c r="AI4820" t="s">
        <v>1075</v>
      </c>
      <c r="AJ4820">
        <v>28.239477000000001</v>
      </c>
      <c r="AK4820" t="s">
        <v>1076</v>
      </c>
      <c r="AL4820">
        <v>-82.355317999999997</v>
      </c>
      <c r="AM4820">
        <v>100</v>
      </c>
      <c r="AN4820">
        <v>2100</v>
      </c>
      <c r="AO4820" t="s">
        <v>118</v>
      </c>
      <c r="AP4820">
        <v>-124</v>
      </c>
      <c r="AQ4820">
        <v>-46</v>
      </c>
      <c r="AR4820">
        <v>704</v>
      </c>
      <c r="AZ4820">
        <v>1200</v>
      </c>
      <c r="BA4820">
        <v>1</v>
      </c>
      <c r="BB4820" t="str">
        <f t="shared" si="2193"/>
        <v xml:space="preserve">N711JA  </v>
      </c>
      <c r="BC4820">
        <v>1</v>
      </c>
      <c r="BE4820">
        <v>0</v>
      </c>
      <c r="BF4820">
        <v>0</v>
      </c>
      <c r="BG4820">
        <v>0</v>
      </c>
      <c r="BH4820">
        <v>2200</v>
      </c>
      <c r="BI4820">
        <v>1</v>
      </c>
      <c r="BJ4820">
        <v>1</v>
      </c>
      <c r="BK4820">
        <v>0</v>
      </c>
      <c r="BL4820">
        <v>0</v>
      </c>
      <c r="BO4820">
        <v>0</v>
      </c>
      <c r="BP4820">
        <v>0</v>
      </c>
      <c r="BW4820" t="str">
        <f t="shared" si="2217"/>
        <v>14:50:05.847</v>
      </c>
      <c r="CJ4820">
        <v>0</v>
      </c>
      <c r="CK4820">
        <v>2</v>
      </c>
      <c r="CL4820">
        <v>0</v>
      </c>
      <c r="CM4820">
        <v>2</v>
      </c>
      <c r="CN4820">
        <v>0</v>
      </c>
      <c r="CO4820">
        <v>7</v>
      </c>
      <c r="CP4820" t="s">
        <v>119</v>
      </c>
      <c r="CQ4820">
        <v>343</v>
      </c>
      <c r="CR4820">
        <v>1</v>
      </c>
      <c r="CW4820">
        <v>11077170</v>
      </c>
      <c r="CY4820">
        <v>1</v>
      </c>
      <c r="CZ4820">
        <v>0</v>
      </c>
      <c r="DA4820">
        <v>1</v>
      </c>
      <c r="DB4820">
        <v>0</v>
      </c>
      <c r="DC4820">
        <v>0</v>
      </c>
      <c r="DD4820">
        <v>1</v>
      </c>
      <c r="DE4820">
        <v>0</v>
      </c>
      <c r="DF4820">
        <v>0</v>
      </c>
      <c r="DG4820">
        <v>0</v>
      </c>
      <c r="DH4820">
        <v>0</v>
      </c>
      <c r="DI4820">
        <v>0</v>
      </c>
    </row>
    <row r="4821" spans="1:113" x14ac:dyDescent="0.3">
      <c r="A4821" t="str">
        <f t="shared" ref="A4821:A4829" si="2218">"05/12/2020 14:49:49.162"</f>
        <v>05/12/2020 14:49:49.162</v>
      </c>
      <c r="C4821" t="str">
        <f t="shared" si="2190"/>
        <v>FFDFD3C0</v>
      </c>
      <c r="D4821" t="s">
        <v>134</v>
      </c>
      <c r="E4821">
        <v>12</v>
      </c>
      <c r="H4821">
        <v>64</v>
      </c>
      <c r="I4821" t="s">
        <v>135</v>
      </c>
      <c r="J4821" t="s">
        <v>136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t="str">
        <f t="shared" ref="S4821:S4829" si="2219">"14:50:07.000"</f>
        <v>14:50:07.000</v>
      </c>
      <c r="T4821" t="str">
        <f t="shared" ref="T4821:T4829" si="2220">"14:50:06.900"</f>
        <v>14:50:06.900</v>
      </c>
      <c r="U4821" t="str">
        <f t="shared" si="2209"/>
        <v>A9808D</v>
      </c>
      <c r="V4821">
        <v>0</v>
      </c>
      <c r="W4821">
        <v>0</v>
      </c>
      <c r="X4821">
        <v>1</v>
      </c>
      <c r="Z4821">
        <v>0</v>
      </c>
      <c r="AA4821">
        <v>9</v>
      </c>
      <c r="AB4821">
        <v>3</v>
      </c>
      <c r="AC4821">
        <v>0</v>
      </c>
      <c r="AD4821">
        <v>10</v>
      </c>
      <c r="AE4821">
        <v>0</v>
      </c>
      <c r="AF4821">
        <v>3</v>
      </c>
      <c r="AG4821">
        <v>2</v>
      </c>
      <c r="AH4821">
        <v>0</v>
      </c>
      <c r="AI4821" t="s">
        <v>1077</v>
      </c>
      <c r="AJ4821">
        <v>28.239262</v>
      </c>
      <c r="AK4821" t="s">
        <v>1078</v>
      </c>
      <c r="AL4821">
        <v>-82.356048000000001</v>
      </c>
      <c r="AM4821">
        <v>100</v>
      </c>
      <c r="AN4821">
        <v>2100</v>
      </c>
      <c r="AO4821" t="s">
        <v>118</v>
      </c>
      <c r="AP4821">
        <v>-121</v>
      </c>
      <c r="AQ4821">
        <v>-46</v>
      </c>
      <c r="AR4821">
        <v>960</v>
      </c>
      <c r="AZ4821">
        <v>1200</v>
      </c>
      <c r="BA4821">
        <v>1</v>
      </c>
      <c r="BB4821" t="str">
        <f t="shared" si="2193"/>
        <v xml:space="preserve">N711JA  </v>
      </c>
      <c r="BC4821">
        <v>1</v>
      </c>
      <c r="BE4821">
        <v>0</v>
      </c>
      <c r="BF4821">
        <v>0</v>
      </c>
      <c r="BG4821">
        <v>0</v>
      </c>
      <c r="BH4821">
        <v>2225</v>
      </c>
      <c r="BI4821">
        <v>1</v>
      </c>
      <c r="BJ4821">
        <v>1</v>
      </c>
      <c r="BK4821">
        <v>0</v>
      </c>
      <c r="BL4821">
        <v>0</v>
      </c>
      <c r="BO4821">
        <v>0</v>
      </c>
      <c r="BP4821">
        <v>0</v>
      </c>
      <c r="BW4821" t="str">
        <f t="shared" ref="BW4821:BW4829" si="2221">"14:50:07.002"</f>
        <v>14:50:07.002</v>
      </c>
      <c r="CJ4821">
        <v>0</v>
      </c>
      <c r="CK4821">
        <v>2</v>
      </c>
      <c r="CL4821">
        <v>0</v>
      </c>
      <c r="CM4821">
        <v>2</v>
      </c>
      <c r="CN4821">
        <v>0</v>
      </c>
      <c r="CO4821">
        <v>7</v>
      </c>
      <c r="CP4821" t="s">
        <v>119</v>
      </c>
      <c r="CQ4821">
        <v>8</v>
      </c>
      <c r="CR4821">
        <v>3</v>
      </c>
      <c r="CW4821">
        <v>9202111</v>
      </c>
      <c r="CY4821">
        <v>1</v>
      </c>
      <c r="CZ4821">
        <v>0</v>
      </c>
      <c r="DA4821">
        <v>0</v>
      </c>
      <c r="DB4821">
        <v>0</v>
      </c>
      <c r="DC4821">
        <v>0</v>
      </c>
      <c r="DD4821">
        <v>1</v>
      </c>
      <c r="DE4821">
        <v>0</v>
      </c>
      <c r="DF4821">
        <v>0</v>
      </c>
      <c r="DG4821">
        <v>0</v>
      </c>
      <c r="DH4821">
        <v>0</v>
      </c>
      <c r="DI4821">
        <v>0</v>
      </c>
    </row>
    <row r="4822" spans="1:113" x14ac:dyDescent="0.3">
      <c r="A4822" t="str">
        <f t="shared" si="2218"/>
        <v>05/12/2020 14:49:49.162</v>
      </c>
      <c r="C4822" t="str">
        <f t="shared" ref="C4822:C4885" si="2222">"FFDFD3C0"</f>
        <v>FFDFD3C0</v>
      </c>
      <c r="D4822" t="s">
        <v>131</v>
      </c>
      <c r="E4822">
        <v>10</v>
      </c>
      <c r="F4822">
        <v>2010</v>
      </c>
      <c r="G4822" t="s">
        <v>132</v>
      </c>
      <c r="J4822" t="s">
        <v>133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t="str">
        <f t="shared" si="2219"/>
        <v>14:50:07.000</v>
      </c>
      <c r="T4822" t="str">
        <f t="shared" si="2220"/>
        <v>14:50:06.900</v>
      </c>
      <c r="U4822" t="str">
        <f t="shared" si="2209"/>
        <v>A9808D</v>
      </c>
      <c r="V4822">
        <v>0</v>
      </c>
      <c r="W4822">
        <v>0</v>
      </c>
      <c r="X4822">
        <v>1</v>
      </c>
      <c r="Z4822">
        <v>0</v>
      </c>
      <c r="AA4822">
        <v>9</v>
      </c>
      <c r="AB4822">
        <v>3</v>
      </c>
      <c r="AC4822">
        <v>0</v>
      </c>
      <c r="AD4822">
        <v>10</v>
      </c>
      <c r="AE4822">
        <v>0</v>
      </c>
      <c r="AF4822">
        <v>3</v>
      </c>
      <c r="AG4822">
        <v>2</v>
      </c>
      <c r="AH4822">
        <v>0</v>
      </c>
      <c r="AI4822" t="s">
        <v>1077</v>
      </c>
      <c r="AJ4822">
        <v>28.239262</v>
      </c>
      <c r="AK4822" t="s">
        <v>1078</v>
      </c>
      <c r="AL4822">
        <v>-82.356048000000001</v>
      </c>
      <c r="AM4822">
        <v>100</v>
      </c>
      <c r="AN4822">
        <v>2100</v>
      </c>
      <c r="AO4822" t="s">
        <v>118</v>
      </c>
      <c r="AP4822">
        <v>-121</v>
      </c>
      <c r="AQ4822">
        <v>-46</v>
      </c>
      <c r="AR4822">
        <v>960</v>
      </c>
      <c r="AZ4822">
        <v>1200</v>
      </c>
      <c r="BA4822">
        <v>1</v>
      </c>
      <c r="BB4822" t="str">
        <f t="shared" ref="BB4822:BB4885" si="2223">"N711JA  "</f>
        <v xml:space="preserve">N711JA  </v>
      </c>
      <c r="BC4822">
        <v>1</v>
      </c>
      <c r="BE4822">
        <v>0</v>
      </c>
      <c r="BF4822">
        <v>0</v>
      </c>
      <c r="BG4822">
        <v>0</v>
      </c>
      <c r="BH4822">
        <v>2225</v>
      </c>
      <c r="BI4822">
        <v>1</v>
      </c>
      <c r="BJ4822">
        <v>1</v>
      </c>
      <c r="BK4822">
        <v>0</v>
      </c>
      <c r="BL4822">
        <v>0</v>
      </c>
      <c r="BO4822">
        <v>0</v>
      </c>
      <c r="BP4822">
        <v>0</v>
      </c>
      <c r="BW4822" t="str">
        <f t="shared" si="2221"/>
        <v>14:50:07.002</v>
      </c>
      <c r="CJ4822">
        <v>0</v>
      </c>
      <c r="CK4822">
        <v>2</v>
      </c>
      <c r="CL4822">
        <v>0</v>
      </c>
      <c r="CM4822">
        <v>2</v>
      </c>
      <c r="CN4822">
        <v>0</v>
      </c>
      <c r="CO4822">
        <v>7</v>
      </c>
      <c r="CP4822" t="s">
        <v>119</v>
      </c>
      <c r="CQ4822">
        <v>8</v>
      </c>
      <c r="CR4822">
        <v>3</v>
      </c>
      <c r="CW4822">
        <v>9202111</v>
      </c>
      <c r="CY4822">
        <v>1</v>
      </c>
      <c r="CZ4822">
        <v>0</v>
      </c>
      <c r="DA4822">
        <v>1</v>
      </c>
      <c r="DB4822">
        <v>0</v>
      </c>
      <c r="DC4822">
        <v>0</v>
      </c>
      <c r="DD4822">
        <v>1</v>
      </c>
      <c r="DE4822">
        <v>0</v>
      </c>
      <c r="DF4822">
        <v>0</v>
      </c>
      <c r="DG4822">
        <v>0</v>
      </c>
      <c r="DH4822">
        <v>0</v>
      </c>
      <c r="DI4822">
        <v>0</v>
      </c>
    </row>
    <row r="4823" spans="1:113" x14ac:dyDescent="0.3">
      <c r="A4823" t="str">
        <f t="shared" si="2218"/>
        <v>05/12/2020 14:49:49.162</v>
      </c>
      <c r="C4823" t="str">
        <f t="shared" si="2222"/>
        <v>FFDFD3C0</v>
      </c>
      <c r="D4823" t="s">
        <v>126</v>
      </c>
      <c r="E4823">
        <v>7</v>
      </c>
      <c r="F4823">
        <v>1007</v>
      </c>
      <c r="G4823" t="s">
        <v>127</v>
      </c>
      <c r="J4823" t="s">
        <v>128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t="str">
        <f t="shared" si="2219"/>
        <v>14:50:07.000</v>
      </c>
      <c r="T4823" t="str">
        <f t="shared" si="2220"/>
        <v>14:50:06.900</v>
      </c>
      <c r="U4823" t="str">
        <f t="shared" si="2209"/>
        <v>A9808D</v>
      </c>
      <c r="V4823">
        <v>0</v>
      </c>
      <c r="W4823">
        <v>0</v>
      </c>
      <c r="X4823">
        <v>1</v>
      </c>
      <c r="Z4823">
        <v>0</v>
      </c>
      <c r="AA4823">
        <v>9</v>
      </c>
      <c r="AB4823">
        <v>3</v>
      </c>
      <c r="AC4823">
        <v>0</v>
      </c>
      <c r="AD4823">
        <v>10</v>
      </c>
      <c r="AE4823">
        <v>0</v>
      </c>
      <c r="AF4823">
        <v>3</v>
      </c>
      <c r="AG4823">
        <v>2</v>
      </c>
      <c r="AH4823">
        <v>0</v>
      </c>
      <c r="AI4823" t="s">
        <v>1077</v>
      </c>
      <c r="AJ4823">
        <v>28.239262</v>
      </c>
      <c r="AK4823" t="s">
        <v>1078</v>
      </c>
      <c r="AL4823">
        <v>-82.356048000000001</v>
      </c>
      <c r="AM4823">
        <v>100</v>
      </c>
      <c r="AN4823">
        <v>2100</v>
      </c>
      <c r="AO4823" t="s">
        <v>118</v>
      </c>
      <c r="AP4823">
        <v>-121</v>
      </c>
      <c r="AQ4823">
        <v>-46</v>
      </c>
      <c r="AR4823">
        <v>960</v>
      </c>
      <c r="AZ4823">
        <v>1200</v>
      </c>
      <c r="BA4823">
        <v>1</v>
      </c>
      <c r="BB4823" t="str">
        <f t="shared" si="2223"/>
        <v xml:space="preserve">N711JA  </v>
      </c>
      <c r="BC4823">
        <v>1</v>
      </c>
      <c r="BE4823">
        <v>0</v>
      </c>
      <c r="BF4823">
        <v>0</v>
      </c>
      <c r="BG4823">
        <v>0</v>
      </c>
      <c r="BH4823">
        <v>2225</v>
      </c>
      <c r="BI4823">
        <v>1</v>
      </c>
      <c r="BJ4823">
        <v>1</v>
      </c>
      <c r="BK4823">
        <v>0</v>
      </c>
      <c r="BL4823">
        <v>0</v>
      </c>
      <c r="BO4823">
        <v>0</v>
      </c>
      <c r="BP4823">
        <v>0</v>
      </c>
      <c r="BW4823" t="str">
        <f t="shared" si="2221"/>
        <v>14:50:07.002</v>
      </c>
      <c r="CJ4823">
        <v>0</v>
      </c>
      <c r="CK4823">
        <v>2</v>
      </c>
      <c r="CL4823">
        <v>0</v>
      </c>
      <c r="CM4823">
        <v>2</v>
      </c>
      <c r="CN4823">
        <v>0</v>
      </c>
      <c r="CO4823">
        <v>7</v>
      </c>
      <c r="CP4823" t="s">
        <v>119</v>
      </c>
      <c r="CQ4823">
        <v>8</v>
      </c>
      <c r="CR4823">
        <v>3</v>
      </c>
      <c r="CW4823">
        <v>9202111</v>
      </c>
      <c r="CY4823">
        <v>1</v>
      </c>
      <c r="CZ4823">
        <v>0</v>
      </c>
      <c r="DA4823">
        <v>1</v>
      </c>
      <c r="DB4823">
        <v>0</v>
      </c>
      <c r="DC4823">
        <v>0</v>
      </c>
      <c r="DD4823">
        <v>1</v>
      </c>
      <c r="DE4823">
        <v>0</v>
      </c>
      <c r="DF4823">
        <v>0</v>
      </c>
      <c r="DG4823">
        <v>0</v>
      </c>
      <c r="DH4823">
        <v>0</v>
      </c>
      <c r="DI4823">
        <v>0</v>
      </c>
    </row>
    <row r="4824" spans="1:113" x14ac:dyDescent="0.3">
      <c r="A4824" t="str">
        <f t="shared" si="2218"/>
        <v>05/12/2020 14:49:49.162</v>
      </c>
      <c r="C4824" t="str">
        <f t="shared" si="2222"/>
        <v>FFDFD3C0</v>
      </c>
      <c r="D4824" t="s">
        <v>131</v>
      </c>
      <c r="E4824">
        <v>12</v>
      </c>
      <c r="F4824">
        <v>2012</v>
      </c>
      <c r="G4824" t="s">
        <v>137</v>
      </c>
      <c r="J4824" t="s">
        <v>133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t="str">
        <f t="shared" si="2219"/>
        <v>14:50:07.000</v>
      </c>
      <c r="T4824" t="str">
        <f t="shared" si="2220"/>
        <v>14:50:06.900</v>
      </c>
      <c r="U4824" t="str">
        <f t="shared" si="2209"/>
        <v>A9808D</v>
      </c>
      <c r="V4824">
        <v>0</v>
      </c>
      <c r="W4824">
        <v>0</v>
      </c>
      <c r="X4824">
        <v>1</v>
      </c>
      <c r="Z4824">
        <v>0</v>
      </c>
      <c r="AA4824">
        <v>9</v>
      </c>
      <c r="AB4824">
        <v>3</v>
      </c>
      <c r="AC4824">
        <v>0</v>
      </c>
      <c r="AD4824">
        <v>10</v>
      </c>
      <c r="AE4824">
        <v>0</v>
      </c>
      <c r="AF4824">
        <v>3</v>
      </c>
      <c r="AG4824">
        <v>2</v>
      </c>
      <c r="AH4824">
        <v>0</v>
      </c>
      <c r="AI4824" t="s">
        <v>1077</v>
      </c>
      <c r="AJ4824">
        <v>28.239262</v>
      </c>
      <c r="AK4824" t="s">
        <v>1078</v>
      </c>
      <c r="AL4824">
        <v>-82.356048000000001</v>
      </c>
      <c r="AM4824">
        <v>100</v>
      </c>
      <c r="AN4824">
        <v>2100</v>
      </c>
      <c r="AO4824" t="s">
        <v>118</v>
      </c>
      <c r="AP4824">
        <v>-121</v>
      </c>
      <c r="AQ4824">
        <v>-46</v>
      </c>
      <c r="AR4824">
        <v>960</v>
      </c>
      <c r="AZ4824">
        <v>1200</v>
      </c>
      <c r="BA4824">
        <v>1</v>
      </c>
      <c r="BB4824" t="str">
        <f t="shared" si="2223"/>
        <v xml:space="preserve">N711JA  </v>
      </c>
      <c r="BC4824">
        <v>1</v>
      </c>
      <c r="BE4824">
        <v>0</v>
      </c>
      <c r="BF4824">
        <v>0</v>
      </c>
      <c r="BG4824">
        <v>0</v>
      </c>
      <c r="BH4824">
        <v>2225</v>
      </c>
      <c r="BI4824">
        <v>1</v>
      </c>
      <c r="BJ4824">
        <v>1</v>
      </c>
      <c r="BK4824">
        <v>0</v>
      </c>
      <c r="BL4824">
        <v>0</v>
      </c>
      <c r="BO4824">
        <v>0</v>
      </c>
      <c r="BP4824">
        <v>0</v>
      </c>
      <c r="BW4824" t="str">
        <f t="shared" si="2221"/>
        <v>14:50:07.002</v>
      </c>
      <c r="CJ4824">
        <v>0</v>
      </c>
      <c r="CK4824">
        <v>2</v>
      </c>
      <c r="CL4824">
        <v>0</v>
      </c>
      <c r="CM4824">
        <v>2</v>
      </c>
      <c r="CN4824">
        <v>0</v>
      </c>
      <c r="CO4824">
        <v>7</v>
      </c>
      <c r="CP4824" t="s">
        <v>119</v>
      </c>
      <c r="CQ4824">
        <v>8</v>
      </c>
      <c r="CR4824">
        <v>3</v>
      </c>
      <c r="CW4824">
        <v>9202111</v>
      </c>
      <c r="CY4824">
        <v>1</v>
      </c>
      <c r="CZ4824">
        <v>0</v>
      </c>
      <c r="DA4824">
        <v>1</v>
      </c>
      <c r="DB4824">
        <v>0</v>
      </c>
      <c r="DC4824">
        <v>0</v>
      </c>
      <c r="DD4824">
        <v>1</v>
      </c>
      <c r="DE4824">
        <v>0</v>
      </c>
      <c r="DF4824">
        <v>0</v>
      </c>
      <c r="DG4824">
        <v>0</v>
      </c>
      <c r="DH4824">
        <v>0</v>
      </c>
      <c r="DI4824">
        <v>0</v>
      </c>
    </row>
    <row r="4825" spans="1:113" x14ac:dyDescent="0.3">
      <c r="A4825" t="str">
        <f t="shared" si="2218"/>
        <v>05/12/2020 14:49:49.162</v>
      </c>
      <c r="C4825" t="str">
        <f t="shared" si="2222"/>
        <v>FFDFD3C0</v>
      </c>
      <c r="D4825" t="s">
        <v>131</v>
      </c>
      <c r="E4825">
        <v>18</v>
      </c>
      <c r="F4825">
        <v>2018</v>
      </c>
      <c r="G4825" t="s">
        <v>161</v>
      </c>
      <c r="J4825" t="s">
        <v>133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t="str">
        <f t="shared" si="2219"/>
        <v>14:50:07.000</v>
      </c>
      <c r="T4825" t="str">
        <f t="shared" si="2220"/>
        <v>14:50:06.900</v>
      </c>
      <c r="U4825" t="str">
        <f t="shared" si="2209"/>
        <v>A9808D</v>
      </c>
      <c r="V4825">
        <v>0</v>
      </c>
      <c r="W4825">
        <v>0</v>
      </c>
      <c r="X4825">
        <v>1</v>
      </c>
      <c r="Z4825">
        <v>0</v>
      </c>
      <c r="AA4825">
        <v>9</v>
      </c>
      <c r="AB4825">
        <v>3</v>
      </c>
      <c r="AC4825">
        <v>0</v>
      </c>
      <c r="AD4825">
        <v>10</v>
      </c>
      <c r="AE4825">
        <v>0</v>
      </c>
      <c r="AF4825">
        <v>3</v>
      </c>
      <c r="AG4825">
        <v>2</v>
      </c>
      <c r="AH4825">
        <v>0</v>
      </c>
      <c r="AI4825" t="s">
        <v>1077</v>
      </c>
      <c r="AJ4825">
        <v>28.239262</v>
      </c>
      <c r="AK4825" t="s">
        <v>1078</v>
      </c>
      <c r="AL4825">
        <v>-82.356048000000001</v>
      </c>
      <c r="AM4825">
        <v>100</v>
      </c>
      <c r="AN4825">
        <v>2100</v>
      </c>
      <c r="AO4825" t="s">
        <v>118</v>
      </c>
      <c r="AP4825">
        <v>-121</v>
      </c>
      <c r="AQ4825">
        <v>-46</v>
      </c>
      <c r="AR4825">
        <v>960</v>
      </c>
      <c r="AZ4825">
        <v>1200</v>
      </c>
      <c r="BA4825">
        <v>1</v>
      </c>
      <c r="BB4825" t="str">
        <f t="shared" si="2223"/>
        <v xml:space="preserve">N711JA  </v>
      </c>
      <c r="BC4825">
        <v>1</v>
      </c>
      <c r="BE4825">
        <v>0</v>
      </c>
      <c r="BF4825">
        <v>0</v>
      </c>
      <c r="BG4825">
        <v>0</v>
      </c>
      <c r="BH4825">
        <v>2225</v>
      </c>
      <c r="BI4825">
        <v>1</v>
      </c>
      <c r="BJ4825">
        <v>1</v>
      </c>
      <c r="BK4825">
        <v>0</v>
      </c>
      <c r="BL4825">
        <v>0</v>
      </c>
      <c r="BO4825">
        <v>0</v>
      </c>
      <c r="BP4825">
        <v>0</v>
      </c>
      <c r="BW4825" t="str">
        <f t="shared" si="2221"/>
        <v>14:50:07.002</v>
      </c>
      <c r="CJ4825">
        <v>0</v>
      </c>
      <c r="CK4825">
        <v>2</v>
      </c>
      <c r="CL4825">
        <v>0</v>
      </c>
      <c r="CM4825">
        <v>2</v>
      </c>
      <c r="CN4825">
        <v>0</v>
      </c>
      <c r="CO4825">
        <v>7</v>
      </c>
      <c r="CP4825" t="s">
        <v>119</v>
      </c>
      <c r="CQ4825">
        <v>343</v>
      </c>
      <c r="CR4825">
        <v>1</v>
      </c>
      <c r="CW4825">
        <v>11078290</v>
      </c>
      <c r="CY4825">
        <v>1</v>
      </c>
      <c r="CZ4825">
        <v>0</v>
      </c>
      <c r="DA4825">
        <v>1</v>
      </c>
      <c r="DB4825">
        <v>0</v>
      </c>
      <c r="DC4825">
        <v>0</v>
      </c>
      <c r="DD4825">
        <v>1</v>
      </c>
      <c r="DE4825">
        <v>0</v>
      </c>
      <c r="DF4825">
        <v>0</v>
      </c>
      <c r="DG4825">
        <v>0</v>
      </c>
      <c r="DH4825">
        <v>0</v>
      </c>
      <c r="DI4825">
        <v>0</v>
      </c>
    </row>
    <row r="4826" spans="1:113" x14ac:dyDescent="0.3">
      <c r="A4826" t="str">
        <f t="shared" si="2218"/>
        <v>05/12/2020 14:49:49.162</v>
      </c>
      <c r="C4826" t="str">
        <f t="shared" si="2222"/>
        <v>FFDFD3C0</v>
      </c>
      <c r="D4826" t="s">
        <v>126</v>
      </c>
      <c r="E4826">
        <v>6</v>
      </c>
      <c r="F4826">
        <v>1006</v>
      </c>
      <c r="G4826" t="s">
        <v>114</v>
      </c>
      <c r="J4826" t="s">
        <v>128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t="str">
        <f t="shared" si="2219"/>
        <v>14:50:07.000</v>
      </c>
      <c r="T4826" t="str">
        <f t="shared" si="2220"/>
        <v>14:50:06.900</v>
      </c>
      <c r="U4826" t="str">
        <f t="shared" si="2209"/>
        <v>A9808D</v>
      </c>
      <c r="V4826">
        <v>0</v>
      </c>
      <c r="W4826">
        <v>0</v>
      </c>
      <c r="X4826">
        <v>1</v>
      </c>
      <c r="Z4826">
        <v>0</v>
      </c>
      <c r="AA4826">
        <v>9</v>
      </c>
      <c r="AB4826">
        <v>3</v>
      </c>
      <c r="AC4826">
        <v>0</v>
      </c>
      <c r="AD4826">
        <v>10</v>
      </c>
      <c r="AE4826">
        <v>0</v>
      </c>
      <c r="AF4826">
        <v>3</v>
      </c>
      <c r="AG4826">
        <v>2</v>
      </c>
      <c r="AH4826">
        <v>0</v>
      </c>
      <c r="AI4826" t="s">
        <v>1077</v>
      </c>
      <c r="AJ4826">
        <v>28.239262</v>
      </c>
      <c r="AK4826" t="s">
        <v>1078</v>
      </c>
      <c r="AL4826">
        <v>-82.356048000000001</v>
      </c>
      <c r="AM4826">
        <v>100</v>
      </c>
      <c r="AN4826">
        <v>2100</v>
      </c>
      <c r="AO4826" t="s">
        <v>118</v>
      </c>
      <c r="AP4826">
        <v>-121</v>
      </c>
      <c r="AQ4826">
        <v>-46</v>
      </c>
      <c r="AR4826">
        <v>960</v>
      </c>
      <c r="AZ4826">
        <v>1200</v>
      </c>
      <c r="BA4826">
        <v>1</v>
      </c>
      <c r="BB4826" t="str">
        <f t="shared" si="2223"/>
        <v xml:space="preserve">N711JA  </v>
      </c>
      <c r="BC4826">
        <v>1</v>
      </c>
      <c r="BE4826">
        <v>0</v>
      </c>
      <c r="BF4826">
        <v>0</v>
      </c>
      <c r="BG4826">
        <v>0</v>
      </c>
      <c r="BH4826">
        <v>2225</v>
      </c>
      <c r="BI4826">
        <v>1</v>
      </c>
      <c r="BJ4826">
        <v>1</v>
      </c>
      <c r="BK4826">
        <v>0</v>
      </c>
      <c r="BL4826">
        <v>0</v>
      </c>
      <c r="BO4826">
        <v>0</v>
      </c>
      <c r="BP4826">
        <v>0</v>
      </c>
      <c r="BW4826" t="str">
        <f t="shared" si="2221"/>
        <v>14:50:07.002</v>
      </c>
      <c r="CJ4826">
        <v>0</v>
      </c>
      <c r="CK4826">
        <v>2</v>
      </c>
      <c r="CL4826">
        <v>0</v>
      </c>
      <c r="CM4826">
        <v>2</v>
      </c>
      <c r="CN4826">
        <v>0</v>
      </c>
      <c r="CO4826">
        <v>7</v>
      </c>
      <c r="CP4826" t="s">
        <v>119</v>
      </c>
      <c r="CQ4826">
        <v>8</v>
      </c>
      <c r="CR4826">
        <v>3</v>
      </c>
      <c r="CW4826">
        <v>9202111</v>
      </c>
      <c r="CY4826">
        <v>1</v>
      </c>
      <c r="CZ4826">
        <v>0</v>
      </c>
      <c r="DA4826">
        <v>1</v>
      </c>
      <c r="DB4826">
        <v>0</v>
      </c>
      <c r="DC4826">
        <v>0</v>
      </c>
      <c r="DD4826">
        <v>1</v>
      </c>
      <c r="DE4826">
        <v>0</v>
      </c>
      <c r="DF4826">
        <v>0</v>
      </c>
      <c r="DG4826">
        <v>0</v>
      </c>
      <c r="DH4826">
        <v>0</v>
      </c>
      <c r="DI4826">
        <v>0</v>
      </c>
    </row>
    <row r="4827" spans="1:113" x14ac:dyDescent="0.3">
      <c r="A4827" t="str">
        <f t="shared" si="2218"/>
        <v>05/12/2020 14:49:49.162</v>
      </c>
      <c r="C4827" t="str">
        <f t="shared" si="2222"/>
        <v>FFDFD3C0</v>
      </c>
      <c r="D4827" t="s">
        <v>113</v>
      </c>
      <c r="E4827">
        <v>3</v>
      </c>
      <c r="H4827">
        <v>164</v>
      </c>
      <c r="I4827" t="s">
        <v>114</v>
      </c>
      <c r="J4827" t="s">
        <v>115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t="str">
        <f t="shared" si="2219"/>
        <v>14:50:07.000</v>
      </c>
      <c r="T4827" t="str">
        <f t="shared" si="2220"/>
        <v>14:50:06.900</v>
      </c>
      <c r="U4827" t="str">
        <f t="shared" si="2209"/>
        <v>A9808D</v>
      </c>
      <c r="V4827">
        <v>0</v>
      </c>
      <c r="W4827">
        <v>0</v>
      </c>
      <c r="X4827">
        <v>1</v>
      </c>
      <c r="Z4827">
        <v>0</v>
      </c>
      <c r="AA4827">
        <v>9</v>
      </c>
      <c r="AB4827">
        <v>3</v>
      </c>
      <c r="AC4827">
        <v>0</v>
      </c>
      <c r="AD4827">
        <v>10</v>
      </c>
      <c r="AE4827">
        <v>0</v>
      </c>
      <c r="AF4827">
        <v>3</v>
      </c>
      <c r="AG4827">
        <v>2</v>
      </c>
      <c r="AH4827">
        <v>0</v>
      </c>
      <c r="AI4827" t="s">
        <v>1077</v>
      </c>
      <c r="AJ4827">
        <v>28.239262</v>
      </c>
      <c r="AK4827" t="s">
        <v>1078</v>
      </c>
      <c r="AL4827">
        <v>-82.356048000000001</v>
      </c>
      <c r="AM4827">
        <v>100</v>
      </c>
      <c r="AN4827">
        <v>2100</v>
      </c>
      <c r="AO4827" t="s">
        <v>118</v>
      </c>
      <c r="AP4827">
        <v>-121</v>
      </c>
      <c r="AQ4827">
        <v>-46</v>
      </c>
      <c r="AR4827">
        <v>960</v>
      </c>
      <c r="AZ4827">
        <v>1200</v>
      </c>
      <c r="BA4827">
        <v>1</v>
      </c>
      <c r="BB4827" t="str">
        <f t="shared" si="2223"/>
        <v xml:space="preserve">N711JA  </v>
      </c>
      <c r="BC4827">
        <v>1</v>
      </c>
      <c r="BE4827">
        <v>0</v>
      </c>
      <c r="BF4827">
        <v>0</v>
      </c>
      <c r="BG4827">
        <v>0</v>
      </c>
      <c r="BH4827">
        <v>2225</v>
      </c>
      <c r="BI4827">
        <v>1</v>
      </c>
      <c r="BJ4827">
        <v>1</v>
      </c>
      <c r="BK4827">
        <v>0</v>
      </c>
      <c r="BL4827">
        <v>0</v>
      </c>
      <c r="BO4827">
        <v>0</v>
      </c>
      <c r="BP4827">
        <v>0</v>
      </c>
      <c r="BW4827" t="str">
        <f t="shared" si="2221"/>
        <v>14:50:07.002</v>
      </c>
      <c r="CJ4827">
        <v>0</v>
      </c>
      <c r="CK4827">
        <v>2</v>
      </c>
      <c r="CL4827">
        <v>0</v>
      </c>
      <c r="CM4827">
        <v>2</v>
      </c>
      <c r="CN4827">
        <v>0</v>
      </c>
      <c r="CO4827">
        <v>7</v>
      </c>
      <c r="CP4827" t="s">
        <v>119</v>
      </c>
      <c r="CQ4827">
        <v>8</v>
      </c>
      <c r="CR4827">
        <v>3</v>
      </c>
      <c r="CW4827">
        <v>9202111</v>
      </c>
      <c r="CY4827">
        <v>1</v>
      </c>
      <c r="CZ4827">
        <v>0</v>
      </c>
      <c r="DA4827">
        <v>1</v>
      </c>
      <c r="DB4827">
        <v>0</v>
      </c>
      <c r="DC4827">
        <v>0</v>
      </c>
      <c r="DD4827">
        <v>1</v>
      </c>
      <c r="DE4827">
        <v>0</v>
      </c>
      <c r="DF4827">
        <v>0</v>
      </c>
      <c r="DG4827">
        <v>0</v>
      </c>
      <c r="DH4827">
        <v>0</v>
      </c>
      <c r="DI4827">
        <v>0</v>
      </c>
    </row>
    <row r="4828" spans="1:113" x14ac:dyDescent="0.3">
      <c r="A4828" t="str">
        <f t="shared" si="2218"/>
        <v>05/12/2020 14:49:49.162</v>
      </c>
      <c r="C4828" t="str">
        <f t="shared" si="2222"/>
        <v>FFDFD3C0</v>
      </c>
      <c r="D4828" t="s">
        <v>138</v>
      </c>
      <c r="E4828">
        <v>2</v>
      </c>
      <c r="H4828">
        <v>8</v>
      </c>
      <c r="I4828" t="s">
        <v>139</v>
      </c>
      <c r="J4828" t="s">
        <v>136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t="str">
        <f t="shared" si="2219"/>
        <v>14:50:07.000</v>
      </c>
      <c r="T4828" t="str">
        <f t="shared" si="2220"/>
        <v>14:50:06.900</v>
      </c>
      <c r="U4828" t="str">
        <f t="shared" si="2209"/>
        <v>A9808D</v>
      </c>
      <c r="V4828">
        <v>0</v>
      </c>
      <c r="W4828">
        <v>0</v>
      </c>
      <c r="X4828">
        <v>1</v>
      </c>
      <c r="Z4828">
        <v>0</v>
      </c>
      <c r="AA4828">
        <v>9</v>
      </c>
      <c r="AB4828">
        <v>3</v>
      </c>
      <c r="AC4828">
        <v>0</v>
      </c>
      <c r="AD4828">
        <v>10</v>
      </c>
      <c r="AE4828">
        <v>0</v>
      </c>
      <c r="AF4828">
        <v>3</v>
      </c>
      <c r="AG4828">
        <v>2</v>
      </c>
      <c r="AH4828">
        <v>0</v>
      </c>
      <c r="AI4828" t="s">
        <v>1077</v>
      </c>
      <c r="AJ4828">
        <v>28.239262</v>
      </c>
      <c r="AK4828" t="s">
        <v>1078</v>
      </c>
      <c r="AL4828">
        <v>-82.356048000000001</v>
      </c>
      <c r="AM4828">
        <v>100</v>
      </c>
      <c r="AN4828">
        <v>2100</v>
      </c>
      <c r="AO4828" t="s">
        <v>118</v>
      </c>
      <c r="AP4828">
        <v>-121</v>
      </c>
      <c r="AQ4828">
        <v>-46</v>
      </c>
      <c r="AR4828">
        <v>960</v>
      </c>
      <c r="AZ4828">
        <v>1200</v>
      </c>
      <c r="BA4828">
        <v>1</v>
      </c>
      <c r="BB4828" t="str">
        <f t="shared" si="2223"/>
        <v xml:space="preserve">N711JA  </v>
      </c>
      <c r="BC4828">
        <v>1</v>
      </c>
      <c r="BE4828">
        <v>0</v>
      </c>
      <c r="BF4828">
        <v>0</v>
      </c>
      <c r="BG4828">
        <v>0</v>
      </c>
      <c r="BH4828">
        <v>2225</v>
      </c>
      <c r="BI4828">
        <v>1</v>
      </c>
      <c r="BJ4828">
        <v>1</v>
      </c>
      <c r="BK4828">
        <v>0</v>
      </c>
      <c r="BL4828">
        <v>0</v>
      </c>
      <c r="BO4828">
        <v>0</v>
      </c>
      <c r="BP4828">
        <v>0</v>
      </c>
      <c r="BW4828" t="str">
        <f t="shared" si="2221"/>
        <v>14:50:07.002</v>
      </c>
      <c r="CJ4828">
        <v>0</v>
      </c>
      <c r="CK4828">
        <v>2</v>
      </c>
      <c r="CL4828">
        <v>0</v>
      </c>
      <c r="CM4828">
        <v>2</v>
      </c>
      <c r="CN4828">
        <v>0</v>
      </c>
      <c r="CO4828">
        <v>7</v>
      </c>
      <c r="CP4828" t="s">
        <v>119</v>
      </c>
      <c r="CQ4828">
        <v>8</v>
      </c>
      <c r="CR4828">
        <v>3</v>
      </c>
      <c r="CW4828">
        <v>9202111</v>
      </c>
      <c r="CY4828">
        <v>1</v>
      </c>
      <c r="CZ4828">
        <v>0</v>
      </c>
      <c r="DA4828">
        <v>1</v>
      </c>
      <c r="DB4828">
        <v>0</v>
      </c>
      <c r="DC4828">
        <v>0</v>
      </c>
      <c r="DD4828">
        <v>1</v>
      </c>
      <c r="DE4828">
        <v>0</v>
      </c>
      <c r="DF4828">
        <v>0</v>
      </c>
      <c r="DG4828">
        <v>0</v>
      </c>
      <c r="DH4828">
        <v>0</v>
      </c>
      <c r="DI4828">
        <v>0</v>
      </c>
    </row>
    <row r="4829" spans="1:113" x14ac:dyDescent="0.3">
      <c r="A4829" t="str">
        <f t="shared" si="2218"/>
        <v>05/12/2020 14:49:49.162</v>
      </c>
      <c r="C4829" t="str">
        <f t="shared" si="2222"/>
        <v>FFDFD3C0</v>
      </c>
      <c r="D4829" t="s">
        <v>138</v>
      </c>
      <c r="E4829">
        <v>3</v>
      </c>
      <c r="H4829">
        <v>9</v>
      </c>
      <c r="I4829" t="s">
        <v>140</v>
      </c>
      <c r="J4829" t="s">
        <v>136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t="str">
        <f t="shared" si="2219"/>
        <v>14:50:07.000</v>
      </c>
      <c r="T4829" t="str">
        <f t="shared" si="2220"/>
        <v>14:50:06.900</v>
      </c>
      <c r="U4829" t="str">
        <f t="shared" si="2209"/>
        <v>A9808D</v>
      </c>
      <c r="V4829">
        <v>0</v>
      </c>
      <c r="W4829">
        <v>0</v>
      </c>
      <c r="X4829">
        <v>1</v>
      </c>
      <c r="Z4829">
        <v>0</v>
      </c>
      <c r="AA4829">
        <v>9</v>
      </c>
      <c r="AB4829">
        <v>3</v>
      </c>
      <c r="AC4829">
        <v>0</v>
      </c>
      <c r="AD4829">
        <v>10</v>
      </c>
      <c r="AE4829">
        <v>0</v>
      </c>
      <c r="AF4829">
        <v>3</v>
      </c>
      <c r="AG4829">
        <v>2</v>
      </c>
      <c r="AH4829">
        <v>0</v>
      </c>
      <c r="AI4829" t="s">
        <v>1077</v>
      </c>
      <c r="AJ4829">
        <v>28.239262</v>
      </c>
      <c r="AK4829" t="s">
        <v>1078</v>
      </c>
      <c r="AL4829">
        <v>-82.356048000000001</v>
      </c>
      <c r="AM4829">
        <v>100</v>
      </c>
      <c r="AN4829">
        <v>2100</v>
      </c>
      <c r="AO4829" t="s">
        <v>118</v>
      </c>
      <c r="AP4829">
        <v>-121</v>
      </c>
      <c r="AQ4829">
        <v>-46</v>
      </c>
      <c r="AR4829">
        <v>960</v>
      </c>
      <c r="AZ4829">
        <v>1200</v>
      </c>
      <c r="BA4829">
        <v>1</v>
      </c>
      <c r="BB4829" t="str">
        <f t="shared" si="2223"/>
        <v xml:space="preserve">N711JA  </v>
      </c>
      <c r="BC4829">
        <v>1</v>
      </c>
      <c r="BE4829">
        <v>0</v>
      </c>
      <c r="BF4829">
        <v>0</v>
      </c>
      <c r="BG4829">
        <v>0</v>
      </c>
      <c r="BH4829">
        <v>2225</v>
      </c>
      <c r="BI4829">
        <v>1</v>
      </c>
      <c r="BJ4829">
        <v>1</v>
      </c>
      <c r="BK4829">
        <v>0</v>
      </c>
      <c r="BL4829">
        <v>0</v>
      </c>
      <c r="BO4829">
        <v>0</v>
      </c>
      <c r="BP4829">
        <v>0</v>
      </c>
      <c r="BW4829" t="str">
        <f t="shared" si="2221"/>
        <v>14:50:07.002</v>
      </c>
      <c r="CJ4829">
        <v>0</v>
      </c>
      <c r="CK4829">
        <v>2</v>
      </c>
      <c r="CL4829">
        <v>0</v>
      </c>
      <c r="CM4829">
        <v>2</v>
      </c>
      <c r="CN4829">
        <v>0</v>
      </c>
      <c r="CO4829">
        <v>7</v>
      </c>
      <c r="CP4829" t="s">
        <v>119</v>
      </c>
      <c r="CQ4829">
        <v>8</v>
      </c>
      <c r="CR4829">
        <v>3</v>
      </c>
      <c r="CW4829">
        <v>9202111</v>
      </c>
      <c r="CY4829">
        <v>1</v>
      </c>
      <c r="CZ4829">
        <v>0</v>
      </c>
      <c r="DA4829">
        <v>1</v>
      </c>
      <c r="DB4829">
        <v>0</v>
      </c>
      <c r="DC4829">
        <v>0</v>
      </c>
      <c r="DD4829">
        <v>1</v>
      </c>
      <c r="DE4829">
        <v>0</v>
      </c>
      <c r="DF4829">
        <v>0</v>
      </c>
      <c r="DG4829">
        <v>0</v>
      </c>
      <c r="DH4829">
        <v>0</v>
      </c>
      <c r="DI4829">
        <v>0</v>
      </c>
    </row>
    <row r="4830" spans="1:113" x14ac:dyDescent="0.3">
      <c r="A4830" t="str">
        <f t="shared" ref="A4830:A4838" si="2224">"05/12/2020 14:49:50.106"</f>
        <v>05/12/2020 14:49:50.106</v>
      </c>
      <c r="C4830" t="str">
        <f t="shared" si="2222"/>
        <v>FFDFD3C0</v>
      </c>
      <c r="D4830" t="s">
        <v>126</v>
      </c>
      <c r="E4830">
        <v>6</v>
      </c>
      <c r="F4830">
        <v>1006</v>
      </c>
      <c r="G4830" t="s">
        <v>114</v>
      </c>
      <c r="J4830" t="s">
        <v>128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t="str">
        <f t="shared" ref="S4830:T4838" si="2225">"14:50:07.945"</f>
        <v>14:50:07.945</v>
      </c>
      <c r="T4830" t="str">
        <f t="shared" si="2225"/>
        <v>14:50:07.945</v>
      </c>
      <c r="U4830" t="str">
        <f t="shared" si="2209"/>
        <v>A9808D</v>
      </c>
      <c r="V4830">
        <v>0</v>
      </c>
      <c r="W4830">
        <v>0</v>
      </c>
      <c r="X4830">
        <v>1</v>
      </c>
      <c r="Z4830">
        <v>0</v>
      </c>
      <c r="AA4830">
        <v>9</v>
      </c>
      <c r="AB4830">
        <v>3</v>
      </c>
      <c r="AC4830">
        <v>0</v>
      </c>
      <c r="AD4830">
        <v>10</v>
      </c>
      <c r="AE4830">
        <v>0</v>
      </c>
      <c r="AF4830">
        <v>3</v>
      </c>
      <c r="AG4830">
        <v>2</v>
      </c>
      <c r="AH4830">
        <v>0</v>
      </c>
      <c r="AI4830" t="s">
        <v>1079</v>
      </c>
      <c r="AJ4830">
        <v>28.239048</v>
      </c>
      <c r="AK4830" t="s">
        <v>1080</v>
      </c>
      <c r="AL4830">
        <v>-82.356648000000007</v>
      </c>
      <c r="AM4830">
        <v>100</v>
      </c>
      <c r="AN4830">
        <v>2200</v>
      </c>
      <c r="AO4830" t="s">
        <v>118</v>
      </c>
      <c r="AP4830">
        <v>-118</v>
      </c>
      <c r="AQ4830">
        <v>-47</v>
      </c>
      <c r="AR4830">
        <v>1216</v>
      </c>
      <c r="AZ4830">
        <v>1200</v>
      </c>
      <c r="BA4830">
        <v>1</v>
      </c>
      <c r="BB4830" t="str">
        <f t="shared" si="2223"/>
        <v xml:space="preserve">N711JA  </v>
      </c>
      <c r="BC4830">
        <v>1</v>
      </c>
      <c r="BE4830">
        <v>0</v>
      </c>
      <c r="BF4830">
        <v>0</v>
      </c>
      <c r="BG4830">
        <v>0</v>
      </c>
      <c r="BH4830">
        <v>2125</v>
      </c>
      <c r="BI4830">
        <v>1</v>
      </c>
      <c r="BJ4830">
        <v>1</v>
      </c>
      <c r="BK4830">
        <v>0</v>
      </c>
      <c r="BL4830">
        <v>0</v>
      </c>
      <c r="BO4830">
        <v>0</v>
      </c>
      <c r="BP4830">
        <v>0</v>
      </c>
      <c r="BW4830" t="str">
        <f t="shared" ref="BW4830:BW4838" si="2226">"14:50:07.946"</f>
        <v>14:50:07.946</v>
      </c>
      <c r="CJ4830">
        <v>0</v>
      </c>
      <c r="CK4830">
        <v>2</v>
      </c>
      <c r="CL4830">
        <v>0</v>
      </c>
      <c r="CM4830">
        <v>2</v>
      </c>
      <c r="CN4830">
        <v>0</v>
      </c>
      <c r="CO4830">
        <v>7</v>
      </c>
      <c r="CP4830" t="s">
        <v>119</v>
      </c>
      <c r="CQ4830">
        <v>358</v>
      </c>
      <c r="CR4830">
        <v>0</v>
      </c>
      <c r="CW4830">
        <v>5182202</v>
      </c>
      <c r="CY4830">
        <v>1</v>
      </c>
      <c r="CZ4830">
        <v>0</v>
      </c>
      <c r="DA4830">
        <v>0</v>
      </c>
      <c r="DB4830">
        <v>0</v>
      </c>
      <c r="DC4830">
        <v>0</v>
      </c>
      <c r="DD4830">
        <v>1</v>
      </c>
      <c r="DE4830">
        <v>0</v>
      </c>
      <c r="DF4830">
        <v>0</v>
      </c>
      <c r="DG4830">
        <v>0</v>
      </c>
      <c r="DH4830">
        <v>0</v>
      </c>
      <c r="DI4830">
        <v>0</v>
      </c>
    </row>
    <row r="4831" spans="1:113" x14ac:dyDescent="0.3">
      <c r="A4831" t="str">
        <f t="shared" si="2224"/>
        <v>05/12/2020 14:49:50.106</v>
      </c>
      <c r="C4831" t="str">
        <f t="shared" si="2222"/>
        <v>FFDFD3C0</v>
      </c>
      <c r="D4831" t="s">
        <v>113</v>
      </c>
      <c r="E4831">
        <v>3</v>
      </c>
      <c r="H4831">
        <v>164</v>
      </c>
      <c r="I4831" t="s">
        <v>114</v>
      </c>
      <c r="J4831" t="s">
        <v>115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t="str">
        <f t="shared" si="2225"/>
        <v>14:50:07.945</v>
      </c>
      <c r="T4831" t="str">
        <f t="shared" si="2225"/>
        <v>14:50:07.945</v>
      </c>
      <c r="U4831" t="str">
        <f t="shared" si="2209"/>
        <v>A9808D</v>
      </c>
      <c r="V4831">
        <v>0</v>
      </c>
      <c r="W4831">
        <v>0</v>
      </c>
      <c r="X4831">
        <v>1</v>
      </c>
      <c r="Z4831">
        <v>0</v>
      </c>
      <c r="AA4831">
        <v>9</v>
      </c>
      <c r="AB4831">
        <v>3</v>
      </c>
      <c r="AC4831">
        <v>0</v>
      </c>
      <c r="AD4831">
        <v>10</v>
      </c>
      <c r="AE4831">
        <v>0</v>
      </c>
      <c r="AF4831">
        <v>3</v>
      </c>
      <c r="AG4831">
        <v>2</v>
      </c>
      <c r="AH4831">
        <v>0</v>
      </c>
      <c r="AI4831" t="s">
        <v>1079</v>
      </c>
      <c r="AJ4831">
        <v>28.239048</v>
      </c>
      <c r="AK4831" t="s">
        <v>1080</v>
      </c>
      <c r="AL4831">
        <v>-82.356648000000007</v>
      </c>
      <c r="AM4831">
        <v>100</v>
      </c>
      <c r="AN4831">
        <v>2200</v>
      </c>
      <c r="AO4831" t="s">
        <v>118</v>
      </c>
      <c r="AP4831">
        <v>-118</v>
      </c>
      <c r="AQ4831">
        <v>-47</v>
      </c>
      <c r="AR4831">
        <v>1216</v>
      </c>
      <c r="AZ4831">
        <v>1200</v>
      </c>
      <c r="BA4831">
        <v>1</v>
      </c>
      <c r="BB4831" t="str">
        <f t="shared" si="2223"/>
        <v xml:space="preserve">N711JA  </v>
      </c>
      <c r="BC4831">
        <v>1</v>
      </c>
      <c r="BE4831">
        <v>0</v>
      </c>
      <c r="BF4831">
        <v>0</v>
      </c>
      <c r="BG4831">
        <v>0</v>
      </c>
      <c r="BH4831">
        <v>2125</v>
      </c>
      <c r="BI4831">
        <v>1</v>
      </c>
      <c r="BJ4831">
        <v>1</v>
      </c>
      <c r="BK4831">
        <v>0</v>
      </c>
      <c r="BL4831">
        <v>0</v>
      </c>
      <c r="BO4831">
        <v>0</v>
      </c>
      <c r="BP4831">
        <v>0</v>
      </c>
      <c r="BW4831" t="str">
        <f t="shared" si="2226"/>
        <v>14:50:07.946</v>
      </c>
      <c r="CJ4831">
        <v>0</v>
      </c>
      <c r="CK4831">
        <v>2</v>
      </c>
      <c r="CL4831">
        <v>0</v>
      </c>
      <c r="CM4831">
        <v>2</v>
      </c>
      <c r="CN4831">
        <v>0</v>
      </c>
      <c r="CO4831">
        <v>7</v>
      </c>
      <c r="CP4831" t="s">
        <v>119</v>
      </c>
      <c r="CQ4831">
        <v>8</v>
      </c>
      <c r="CR4831">
        <v>3</v>
      </c>
      <c r="CW4831">
        <v>9203140</v>
      </c>
      <c r="CY4831">
        <v>1</v>
      </c>
      <c r="CZ4831">
        <v>0</v>
      </c>
      <c r="DA4831">
        <v>1</v>
      </c>
      <c r="DB4831">
        <v>0</v>
      </c>
      <c r="DC4831">
        <v>0</v>
      </c>
      <c r="DD4831">
        <v>1</v>
      </c>
      <c r="DE4831">
        <v>0</v>
      </c>
      <c r="DF4831">
        <v>0</v>
      </c>
      <c r="DG4831">
        <v>0</v>
      </c>
      <c r="DH4831">
        <v>0</v>
      </c>
      <c r="DI4831">
        <v>0</v>
      </c>
    </row>
    <row r="4832" spans="1:113" x14ac:dyDescent="0.3">
      <c r="A4832" t="str">
        <f t="shared" si="2224"/>
        <v>05/12/2020 14:49:50.106</v>
      </c>
      <c r="C4832" t="str">
        <f t="shared" si="2222"/>
        <v>FFDFD3C0</v>
      </c>
      <c r="D4832" t="s">
        <v>138</v>
      </c>
      <c r="E4832">
        <v>2</v>
      </c>
      <c r="H4832">
        <v>8</v>
      </c>
      <c r="I4832" t="s">
        <v>139</v>
      </c>
      <c r="J4832" t="s">
        <v>136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t="str">
        <f t="shared" si="2225"/>
        <v>14:50:07.945</v>
      </c>
      <c r="T4832" t="str">
        <f t="shared" si="2225"/>
        <v>14:50:07.945</v>
      </c>
      <c r="U4832" t="str">
        <f t="shared" si="2209"/>
        <v>A9808D</v>
      </c>
      <c r="V4832">
        <v>0</v>
      </c>
      <c r="W4832">
        <v>0</v>
      </c>
      <c r="X4832">
        <v>1</v>
      </c>
      <c r="Z4832">
        <v>0</v>
      </c>
      <c r="AA4832">
        <v>9</v>
      </c>
      <c r="AB4832">
        <v>3</v>
      </c>
      <c r="AC4832">
        <v>0</v>
      </c>
      <c r="AD4832">
        <v>10</v>
      </c>
      <c r="AE4832">
        <v>0</v>
      </c>
      <c r="AF4832">
        <v>3</v>
      </c>
      <c r="AG4832">
        <v>2</v>
      </c>
      <c r="AH4832">
        <v>0</v>
      </c>
      <c r="AI4832" t="s">
        <v>1079</v>
      </c>
      <c r="AJ4832">
        <v>28.239048</v>
      </c>
      <c r="AK4832" t="s">
        <v>1080</v>
      </c>
      <c r="AL4832">
        <v>-82.356648000000007</v>
      </c>
      <c r="AM4832">
        <v>100</v>
      </c>
      <c r="AN4832">
        <v>2200</v>
      </c>
      <c r="AO4832" t="s">
        <v>118</v>
      </c>
      <c r="AP4832">
        <v>-118</v>
      </c>
      <c r="AQ4832">
        <v>-47</v>
      </c>
      <c r="AR4832">
        <v>1216</v>
      </c>
      <c r="AZ4832">
        <v>1200</v>
      </c>
      <c r="BA4832">
        <v>1</v>
      </c>
      <c r="BB4832" t="str">
        <f t="shared" si="2223"/>
        <v xml:space="preserve">N711JA  </v>
      </c>
      <c r="BC4832">
        <v>1</v>
      </c>
      <c r="BE4832">
        <v>0</v>
      </c>
      <c r="BF4832">
        <v>0</v>
      </c>
      <c r="BG4832">
        <v>0</v>
      </c>
      <c r="BH4832">
        <v>2125</v>
      </c>
      <c r="BI4832">
        <v>1</v>
      </c>
      <c r="BJ4832">
        <v>1</v>
      </c>
      <c r="BK4832">
        <v>0</v>
      </c>
      <c r="BL4832">
        <v>0</v>
      </c>
      <c r="BO4832">
        <v>0</v>
      </c>
      <c r="BP4832">
        <v>0</v>
      </c>
      <c r="BW4832" t="str">
        <f t="shared" si="2226"/>
        <v>14:50:07.946</v>
      </c>
      <c r="CJ4832">
        <v>0</v>
      </c>
      <c r="CK4832">
        <v>2</v>
      </c>
      <c r="CL4832">
        <v>0</v>
      </c>
      <c r="CM4832">
        <v>2</v>
      </c>
      <c r="CN4832">
        <v>0</v>
      </c>
      <c r="CO4832">
        <v>7</v>
      </c>
      <c r="CP4832" t="s">
        <v>119</v>
      </c>
      <c r="CQ4832">
        <v>8</v>
      </c>
      <c r="CR4832">
        <v>3</v>
      </c>
      <c r="CW4832">
        <v>9203140</v>
      </c>
      <c r="CY4832">
        <v>1</v>
      </c>
      <c r="CZ4832">
        <v>0</v>
      </c>
      <c r="DA4832">
        <v>1</v>
      </c>
      <c r="DB4832">
        <v>0</v>
      </c>
      <c r="DC4832">
        <v>0</v>
      </c>
      <c r="DD4832">
        <v>1</v>
      </c>
      <c r="DE4832">
        <v>0</v>
      </c>
      <c r="DF4832">
        <v>0</v>
      </c>
      <c r="DG4832">
        <v>0</v>
      </c>
      <c r="DH4832">
        <v>0</v>
      </c>
      <c r="DI4832">
        <v>0</v>
      </c>
    </row>
    <row r="4833" spans="1:113" x14ac:dyDescent="0.3">
      <c r="A4833" t="str">
        <f t="shared" si="2224"/>
        <v>05/12/2020 14:49:50.106</v>
      </c>
      <c r="C4833" t="str">
        <f t="shared" si="2222"/>
        <v>FFDFD3C0</v>
      </c>
      <c r="D4833" t="s">
        <v>138</v>
      </c>
      <c r="E4833">
        <v>3</v>
      </c>
      <c r="H4833">
        <v>9</v>
      </c>
      <c r="I4833" t="s">
        <v>140</v>
      </c>
      <c r="J4833" t="s">
        <v>136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t="str">
        <f t="shared" si="2225"/>
        <v>14:50:07.945</v>
      </c>
      <c r="T4833" t="str">
        <f t="shared" si="2225"/>
        <v>14:50:07.945</v>
      </c>
      <c r="U4833" t="str">
        <f t="shared" si="2209"/>
        <v>A9808D</v>
      </c>
      <c r="V4833">
        <v>0</v>
      </c>
      <c r="W4833">
        <v>0</v>
      </c>
      <c r="X4833">
        <v>1</v>
      </c>
      <c r="Z4833">
        <v>0</v>
      </c>
      <c r="AA4833">
        <v>9</v>
      </c>
      <c r="AB4833">
        <v>3</v>
      </c>
      <c r="AC4833">
        <v>0</v>
      </c>
      <c r="AD4833">
        <v>10</v>
      </c>
      <c r="AE4833">
        <v>0</v>
      </c>
      <c r="AF4833">
        <v>3</v>
      </c>
      <c r="AG4833">
        <v>2</v>
      </c>
      <c r="AH4833">
        <v>0</v>
      </c>
      <c r="AI4833" t="s">
        <v>1079</v>
      </c>
      <c r="AJ4833">
        <v>28.239048</v>
      </c>
      <c r="AK4833" t="s">
        <v>1080</v>
      </c>
      <c r="AL4833">
        <v>-82.356648000000007</v>
      </c>
      <c r="AM4833">
        <v>100</v>
      </c>
      <c r="AN4833">
        <v>2200</v>
      </c>
      <c r="AO4833" t="s">
        <v>118</v>
      </c>
      <c r="AP4833">
        <v>-118</v>
      </c>
      <c r="AQ4833">
        <v>-47</v>
      </c>
      <c r="AR4833">
        <v>1216</v>
      </c>
      <c r="AZ4833">
        <v>1200</v>
      </c>
      <c r="BA4833">
        <v>1</v>
      </c>
      <c r="BB4833" t="str">
        <f t="shared" si="2223"/>
        <v xml:space="preserve">N711JA  </v>
      </c>
      <c r="BC4833">
        <v>1</v>
      </c>
      <c r="BE4833">
        <v>0</v>
      </c>
      <c r="BF4833">
        <v>0</v>
      </c>
      <c r="BG4833">
        <v>0</v>
      </c>
      <c r="BH4833">
        <v>2125</v>
      </c>
      <c r="BI4833">
        <v>1</v>
      </c>
      <c r="BJ4833">
        <v>1</v>
      </c>
      <c r="BK4833">
        <v>0</v>
      </c>
      <c r="BL4833">
        <v>0</v>
      </c>
      <c r="BO4833">
        <v>0</v>
      </c>
      <c r="BP4833">
        <v>0</v>
      </c>
      <c r="BW4833" t="str">
        <f t="shared" si="2226"/>
        <v>14:50:07.946</v>
      </c>
      <c r="CJ4833">
        <v>0</v>
      </c>
      <c r="CK4833">
        <v>2</v>
      </c>
      <c r="CL4833">
        <v>0</v>
      </c>
      <c r="CM4833">
        <v>2</v>
      </c>
      <c r="CN4833">
        <v>0</v>
      </c>
      <c r="CO4833">
        <v>7</v>
      </c>
      <c r="CP4833" t="s">
        <v>119</v>
      </c>
      <c r="CQ4833">
        <v>358</v>
      </c>
      <c r="CR4833">
        <v>0</v>
      </c>
      <c r="CW4833">
        <v>5182202</v>
      </c>
      <c r="CY4833">
        <v>1</v>
      </c>
      <c r="CZ4833">
        <v>0</v>
      </c>
      <c r="DA4833">
        <v>1</v>
      </c>
      <c r="DB4833">
        <v>0</v>
      </c>
      <c r="DC4833">
        <v>0</v>
      </c>
      <c r="DD4833">
        <v>1</v>
      </c>
      <c r="DE4833">
        <v>0</v>
      </c>
      <c r="DF4833">
        <v>0</v>
      </c>
      <c r="DG4833">
        <v>0</v>
      </c>
      <c r="DH4833">
        <v>0</v>
      </c>
      <c r="DI4833">
        <v>0</v>
      </c>
    </row>
    <row r="4834" spans="1:113" x14ac:dyDescent="0.3">
      <c r="A4834" t="str">
        <f t="shared" si="2224"/>
        <v>05/12/2020 14:49:50.106</v>
      </c>
      <c r="C4834" t="str">
        <f t="shared" si="2222"/>
        <v>FFDFD3C0</v>
      </c>
      <c r="D4834" t="s">
        <v>134</v>
      </c>
      <c r="E4834">
        <v>12</v>
      </c>
      <c r="H4834">
        <v>64</v>
      </c>
      <c r="I4834" t="s">
        <v>135</v>
      </c>
      <c r="J4834" t="s">
        <v>136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t="str">
        <f t="shared" si="2225"/>
        <v>14:50:07.945</v>
      </c>
      <c r="T4834" t="str">
        <f t="shared" si="2225"/>
        <v>14:50:07.945</v>
      </c>
      <c r="U4834" t="str">
        <f t="shared" si="2209"/>
        <v>A9808D</v>
      </c>
      <c r="V4834">
        <v>0</v>
      </c>
      <c r="W4834">
        <v>0</v>
      </c>
      <c r="X4834">
        <v>1</v>
      </c>
      <c r="Z4834">
        <v>0</v>
      </c>
      <c r="AA4834">
        <v>9</v>
      </c>
      <c r="AB4834">
        <v>3</v>
      </c>
      <c r="AC4834">
        <v>0</v>
      </c>
      <c r="AD4834">
        <v>10</v>
      </c>
      <c r="AE4834">
        <v>0</v>
      </c>
      <c r="AF4834">
        <v>3</v>
      </c>
      <c r="AG4834">
        <v>2</v>
      </c>
      <c r="AH4834">
        <v>0</v>
      </c>
      <c r="AI4834" t="s">
        <v>1079</v>
      </c>
      <c r="AJ4834">
        <v>28.239048</v>
      </c>
      <c r="AK4834" t="s">
        <v>1080</v>
      </c>
      <c r="AL4834">
        <v>-82.356648000000007</v>
      </c>
      <c r="AM4834">
        <v>100</v>
      </c>
      <c r="AN4834">
        <v>2200</v>
      </c>
      <c r="AO4834" t="s">
        <v>118</v>
      </c>
      <c r="AP4834">
        <v>-118</v>
      </c>
      <c r="AQ4834">
        <v>-47</v>
      </c>
      <c r="AR4834">
        <v>1216</v>
      </c>
      <c r="AZ4834">
        <v>1200</v>
      </c>
      <c r="BA4834">
        <v>1</v>
      </c>
      <c r="BB4834" t="str">
        <f t="shared" si="2223"/>
        <v xml:space="preserve">N711JA  </v>
      </c>
      <c r="BC4834">
        <v>1</v>
      </c>
      <c r="BE4834">
        <v>0</v>
      </c>
      <c r="BF4834">
        <v>0</v>
      </c>
      <c r="BG4834">
        <v>0</v>
      </c>
      <c r="BH4834">
        <v>2125</v>
      </c>
      <c r="BI4834">
        <v>1</v>
      </c>
      <c r="BJ4834">
        <v>1</v>
      </c>
      <c r="BK4834">
        <v>0</v>
      </c>
      <c r="BL4834">
        <v>0</v>
      </c>
      <c r="BO4834">
        <v>0</v>
      </c>
      <c r="BP4834">
        <v>0</v>
      </c>
      <c r="BW4834" t="str">
        <f t="shared" si="2226"/>
        <v>14:50:07.946</v>
      </c>
      <c r="CJ4834">
        <v>0</v>
      </c>
      <c r="CK4834">
        <v>2</v>
      </c>
      <c r="CL4834">
        <v>0</v>
      </c>
      <c r="CM4834">
        <v>2</v>
      </c>
      <c r="CN4834">
        <v>0</v>
      </c>
      <c r="CO4834">
        <v>7</v>
      </c>
      <c r="CP4834" t="s">
        <v>119</v>
      </c>
      <c r="CQ4834">
        <v>358</v>
      </c>
      <c r="CR4834">
        <v>0</v>
      </c>
      <c r="CW4834">
        <v>5182202</v>
      </c>
      <c r="CY4834">
        <v>1</v>
      </c>
      <c r="CZ4834">
        <v>0</v>
      </c>
      <c r="DA4834">
        <v>1</v>
      </c>
      <c r="DB4834">
        <v>0</v>
      </c>
      <c r="DC4834">
        <v>0</v>
      </c>
      <c r="DD4834">
        <v>1</v>
      </c>
      <c r="DE4834">
        <v>0</v>
      </c>
      <c r="DF4834">
        <v>0</v>
      </c>
      <c r="DG4834">
        <v>0</v>
      </c>
      <c r="DH4834">
        <v>0</v>
      </c>
      <c r="DI4834">
        <v>0</v>
      </c>
    </row>
    <row r="4835" spans="1:113" x14ac:dyDescent="0.3">
      <c r="A4835" t="str">
        <f t="shared" si="2224"/>
        <v>05/12/2020 14:49:50.106</v>
      </c>
      <c r="C4835" t="str">
        <f t="shared" si="2222"/>
        <v>FFDFD3C0</v>
      </c>
      <c r="D4835" t="s">
        <v>131</v>
      </c>
      <c r="E4835">
        <v>10</v>
      </c>
      <c r="F4835">
        <v>2010</v>
      </c>
      <c r="G4835" t="s">
        <v>132</v>
      </c>
      <c r="J4835" t="s">
        <v>133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t="str">
        <f t="shared" si="2225"/>
        <v>14:50:07.945</v>
      </c>
      <c r="T4835" t="str">
        <f t="shared" si="2225"/>
        <v>14:50:07.945</v>
      </c>
      <c r="U4835" t="str">
        <f t="shared" si="2209"/>
        <v>A9808D</v>
      </c>
      <c r="V4835">
        <v>0</v>
      </c>
      <c r="W4835">
        <v>0</v>
      </c>
      <c r="X4835">
        <v>1</v>
      </c>
      <c r="Z4835">
        <v>0</v>
      </c>
      <c r="AA4835">
        <v>9</v>
      </c>
      <c r="AB4835">
        <v>3</v>
      </c>
      <c r="AC4835">
        <v>0</v>
      </c>
      <c r="AD4835">
        <v>10</v>
      </c>
      <c r="AE4835">
        <v>0</v>
      </c>
      <c r="AF4835">
        <v>3</v>
      </c>
      <c r="AG4835">
        <v>2</v>
      </c>
      <c r="AH4835">
        <v>0</v>
      </c>
      <c r="AI4835" t="s">
        <v>1079</v>
      </c>
      <c r="AJ4835">
        <v>28.239048</v>
      </c>
      <c r="AK4835" t="s">
        <v>1080</v>
      </c>
      <c r="AL4835">
        <v>-82.356648000000007</v>
      </c>
      <c r="AM4835">
        <v>100</v>
      </c>
      <c r="AN4835">
        <v>2200</v>
      </c>
      <c r="AO4835" t="s">
        <v>118</v>
      </c>
      <c r="AP4835">
        <v>-118</v>
      </c>
      <c r="AQ4835">
        <v>-47</v>
      </c>
      <c r="AR4835">
        <v>1216</v>
      </c>
      <c r="AZ4835">
        <v>1200</v>
      </c>
      <c r="BA4835">
        <v>1</v>
      </c>
      <c r="BB4835" t="str">
        <f t="shared" si="2223"/>
        <v xml:space="preserve">N711JA  </v>
      </c>
      <c r="BC4835">
        <v>1</v>
      </c>
      <c r="BE4835">
        <v>0</v>
      </c>
      <c r="BF4835">
        <v>0</v>
      </c>
      <c r="BG4835">
        <v>0</v>
      </c>
      <c r="BH4835">
        <v>2125</v>
      </c>
      <c r="BI4835">
        <v>1</v>
      </c>
      <c r="BJ4835">
        <v>1</v>
      </c>
      <c r="BK4835">
        <v>0</v>
      </c>
      <c r="BL4835">
        <v>0</v>
      </c>
      <c r="BO4835">
        <v>0</v>
      </c>
      <c r="BP4835">
        <v>0</v>
      </c>
      <c r="BW4835" t="str">
        <f t="shared" si="2226"/>
        <v>14:50:07.946</v>
      </c>
      <c r="CJ4835">
        <v>0</v>
      </c>
      <c r="CK4835">
        <v>2</v>
      </c>
      <c r="CL4835">
        <v>0</v>
      </c>
      <c r="CM4835">
        <v>2</v>
      </c>
      <c r="CN4835">
        <v>0</v>
      </c>
      <c r="CO4835">
        <v>7</v>
      </c>
      <c r="CP4835" t="s">
        <v>119</v>
      </c>
      <c r="CQ4835">
        <v>358</v>
      </c>
      <c r="CR4835">
        <v>0</v>
      </c>
      <c r="CW4835">
        <v>5182202</v>
      </c>
      <c r="CY4835">
        <v>1</v>
      </c>
      <c r="CZ4835">
        <v>0</v>
      </c>
      <c r="DA4835">
        <v>1</v>
      </c>
      <c r="DB4835">
        <v>0</v>
      </c>
      <c r="DC4835">
        <v>0</v>
      </c>
      <c r="DD4835">
        <v>1</v>
      </c>
      <c r="DE4835">
        <v>0</v>
      </c>
      <c r="DF4835">
        <v>0</v>
      </c>
      <c r="DG4835">
        <v>0</v>
      </c>
      <c r="DH4835">
        <v>0</v>
      </c>
      <c r="DI4835">
        <v>0</v>
      </c>
    </row>
    <row r="4836" spans="1:113" x14ac:dyDescent="0.3">
      <c r="A4836" t="str">
        <f t="shared" si="2224"/>
        <v>05/12/2020 14:49:50.106</v>
      </c>
      <c r="C4836" t="str">
        <f t="shared" si="2222"/>
        <v>FFDFD3C0</v>
      </c>
      <c r="D4836" t="s">
        <v>126</v>
      </c>
      <c r="E4836">
        <v>7</v>
      </c>
      <c r="F4836">
        <v>1007</v>
      </c>
      <c r="G4836" t="s">
        <v>127</v>
      </c>
      <c r="J4836" t="s">
        <v>128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t="str">
        <f t="shared" si="2225"/>
        <v>14:50:07.945</v>
      </c>
      <c r="T4836" t="str">
        <f t="shared" si="2225"/>
        <v>14:50:07.945</v>
      </c>
      <c r="U4836" t="str">
        <f t="shared" si="2209"/>
        <v>A9808D</v>
      </c>
      <c r="V4836">
        <v>0</v>
      </c>
      <c r="W4836">
        <v>0</v>
      </c>
      <c r="X4836">
        <v>1</v>
      </c>
      <c r="Z4836">
        <v>0</v>
      </c>
      <c r="AA4836">
        <v>9</v>
      </c>
      <c r="AB4836">
        <v>3</v>
      </c>
      <c r="AC4836">
        <v>0</v>
      </c>
      <c r="AD4836">
        <v>10</v>
      </c>
      <c r="AE4836">
        <v>0</v>
      </c>
      <c r="AF4836">
        <v>3</v>
      </c>
      <c r="AG4836">
        <v>2</v>
      </c>
      <c r="AH4836">
        <v>0</v>
      </c>
      <c r="AI4836" t="s">
        <v>1079</v>
      </c>
      <c r="AJ4836">
        <v>28.239048</v>
      </c>
      <c r="AK4836" t="s">
        <v>1080</v>
      </c>
      <c r="AL4836">
        <v>-82.356648000000007</v>
      </c>
      <c r="AM4836">
        <v>100</v>
      </c>
      <c r="AN4836">
        <v>2200</v>
      </c>
      <c r="AO4836" t="s">
        <v>118</v>
      </c>
      <c r="AP4836">
        <v>-118</v>
      </c>
      <c r="AQ4836">
        <v>-47</v>
      </c>
      <c r="AR4836">
        <v>1216</v>
      </c>
      <c r="AZ4836">
        <v>1200</v>
      </c>
      <c r="BA4836">
        <v>1</v>
      </c>
      <c r="BB4836" t="str">
        <f t="shared" si="2223"/>
        <v xml:space="preserve">N711JA  </v>
      </c>
      <c r="BC4836">
        <v>1</v>
      </c>
      <c r="BE4836">
        <v>0</v>
      </c>
      <c r="BF4836">
        <v>0</v>
      </c>
      <c r="BG4836">
        <v>0</v>
      </c>
      <c r="BH4836">
        <v>2125</v>
      </c>
      <c r="BI4836">
        <v>1</v>
      </c>
      <c r="BJ4836">
        <v>1</v>
      </c>
      <c r="BK4836">
        <v>0</v>
      </c>
      <c r="BL4836">
        <v>0</v>
      </c>
      <c r="BO4836">
        <v>0</v>
      </c>
      <c r="BP4836">
        <v>0</v>
      </c>
      <c r="BW4836" t="str">
        <f t="shared" si="2226"/>
        <v>14:50:07.946</v>
      </c>
      <c r="CJ4836">
        <v>0</v>
      </c>
      <c r="CK4836">
        <v>2</v>
      </c>
      <c r="CL4836">
        <v>0</v>
      </c>
      <c r="CM4836">
        <v>2</v>
      </c>
      <c r="CN4836">
        <v>0</v>
      </c>
      <c r="CO4836">
        <v>7</v>
      </c>
      <c r="CP4836" t="s">
        <v>119</v>
      </c>
      <c r="CQ4836">
        <v>358</v>
      </c>
      <c r="CR4836">
        <v>0</v>
      </c>
      <c r="CW4836">
        <v>5182202</v>
      </c>
      <c r="CY4836">
        <v>1</v>
      </c>
      <c r="CZ4836">
        <v>0</v>
      </c>
      <c r="DA4836">
        <v>1</v>
      </c>
      <c r="DB4836">
        <v>0</v>
      </c>
      <c r="DC4836">
        <v>0</v>
      </c>
      <c r="DD4836">
        <v>1</v>
      </c>
      <c r="DE4836">
        <v>0</v>
      </c>
      <c r="DF4836">
        <v>0</v>
      </c>
      <c r="DG4836">
        <v>0</v>
      </c>
      <c r="DH4836">
        <v>0</v>
      </c>
      <c r="DI4836">
        <v>0</v>
      </c>
    </row>
    <row r="4837" spans="1:113" x14ac:dyDescent="0.3">
      <c r="A4837" t="str">
        <f t="shared" si="2224"/>
        <v>05/12/2020 14:49:50.106</v>
      </c>
      <c r="C4837" t="str">
        <f t="shared" si="2222"/>
        <v>FFDFD3C0</v>
      </c>
      <c r="D4837" t="s">
        <v>131</v>
      </c>
      <c r="E4837">
        <v>12</v>
      </c>
      <c r="F4837">
        <v>2012</v>
      </c>
      <c r="G4837" t="s">
        <v>137</v>
      </c>
      <c r="J4837" t="s">
        <v>133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t="str">
        <f t="shared" si="2225"/>
        <v>14:50:07.945</v>
      </c>
      <c r="T4837" t="str">
        <f t="shared" si="2225"/>
        <v>14:50:07.945</v>
      </c>
      <c r="U4837" t="str">
        <f t="shared" si="2209"/>
        <v>A9808D</v>
      </c>
      <c r="V4837">
        <v>0</v>
      </c>
      <c r="W4837">
        <v>0</v>
      </c>
      <c r="X4837">
        <v>1</v>
      </c>
      <c r="Z4837">
        <v>0</v>
      </c>
      <c r="AA4837">
        <v>9</v>
      </c>
      <c r="AB4837">
        <v>3</v>
      </c>
      <c r="AC4837">
        <v>0</v>
      </c>
      <c r="AD4837">
        <v>10</v>
      </c>
      <c r="AE4837">
        <v>0</v>
      </c>
      <c r="AF4837">
        <v>3</v>
      </c>
      <c r="AG4837">
        <v>2</v>
      </c>
      <c r="AH4837">
        <v>0</v>
      </c>
      <c r="AI4837" t="s">
        <v>1079</v>
      </c>
      <c r="AJ4837">
        <v>28.239048</v>
      </c>
      <c r="AK4837" t="s">
        <v>1080</v>
      </c>
      <c r="AL4837">
        <v>-82.356648000000007</v>
      </c>
      <c r="AM4837">
        <v>100</v>
      </c>
      <c r="AN4837">
        <v>2200</v>
      </c>
      <c r="AO4837" t="s">
        <v>118</v>
      </c>
      <c r="AP4837">
        <v>-118</v>
      </c>
      <c r="AQ4837">
        <v>-47</v>
      </c>
      <c r="AR4837">
        <v>1216</v>
      </c>
      <c r="AZ4837">
        <v>1200</v>
      </c>
      <c r="BA4837">
        <v>1</v>
      </c>
      <c r="BB4837" t="str">
        <f t="shared" si="2223"/>
        <v xml:space="preserve">N711JA  </v>
      </c>
      <c r="BC4837">
        <v>1</v>
      </c>
      <c r="BE4837">
        <v>0</v>
      </c>
      <c r="BF4837">
        <v>0</v>
      </c>
      <c r="BG4837">
        <v>0</v>
      </c>
      <c r="BH4837">
        <v>2125</v>
      </c>
      <c r="BI4837">
        <v>1</v>
      </c>
      <c r="BJ4837">
        <v>1</v>
      </c>
      <c r="BK4837">
        <v>0</v>
      </c>
      <c r="BL4837">
        <v>0</v>
      </c>
      <c r="BO4837">
        <v>0</v>
      </c>
      <c r="BP4837">
        <v>0</v>
      </c>
      <c r="BW4837" t="str">
        <f t="shared" si="2226"/>
        <v>14:50:07.946</v>
      </c>
      <c r="CJ4837">
        <v>0</v>
      </c>
      <c r="CK4837">
        <v>2</v>
      </c>
      <c r="CL4837">
        <v>0</v>
      </c>
      <c r="CM4837">
        <v>2</v>
      </c>
      <c r="CN4837">
        <v>0</v>
      </c>
      <c r="CO4837">
        <v>7</v>
      </c>
      <c r="CP4837" t="s">
        <v>119</v>
      </c>
      <c r="CQ4837">
        <v>8</v>
      </c>
      <c r="CR4837">
        <v>3</v>
      </c>
      <c r="CW4837">
        <v>9203140</v>
      </c>
      <c r="CY4837">
        <v>1</v>
      </c>
      <c r="CZ4837">
        <v>0</v>
      </c>
      <c r="DA4837">
        <v>1</v>
      </c>
      <c r="DB4837">
        <v>0</v>
      </c>
      <c r="DC4837">
        <v>0</v>
      </c>
      <c r="DD4837">
        <v>1</v>
      </c>
      <c r="DE4837">
        <v>0</v>
      </c>
      <c r="DF4837">
        <v>0</v>
      </c>
      <c r="DG4837">
        <v>0</v>
      </c>
      <c r="DH4837">
        <v>0</v>
      </c>
      <c r="DI4837">
        <v>0</v>
      </c>
    </row>
    <row r="4838" spans="1:113" x14ac:dyDescent="0.3">
      <c r="A4838" t="str">
        <f t="shared" si="2224"/>
        <v>05/12/2020 14:49:50.106</v>
      </c>
      <c r="C4838" t="str">
        <f t="shared" si="2222"/>
        <v>FFDFD3C0</v>
      </c>
      <c r="D4838" t="s">
        <v>131</v>
      </c>
      <c r="E4838">
        <v>18</v>
      </c>
      <c r="F4838">
        <v>2018</v>
      </c>
      <c r="G4838" t="s">
        <v>161</v>
      </c>
      <c r="J4838" t="s">
        <v>133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t="str">
        <f t="shared" si="2225"/>
        <v>14:50:07.945</v>
      </c>
      <c r="T4838" t="str">
        <f t="shared" si="2225"/>
        <v>14:50:07.945</v>
      </c>
      <c r="U4838" t="str">
        <f t="shared" si="2209"/>
        <v>A9808D</v>
      </c>
      <c r="V4838">
        <v>0</v>
      </c>
      <c r="W4838">
        <v>0</v>
      </c>
      <c r="X4838">
        <v>1</v>
      </c>
      <c r="Z4838">
        <v>0</v>
      </c>
      <c r="AA4838">
        <v>9</v>
      </c>
      <c r="AB4838">
        <v>3</v>
      </c>
      <c r="AC4838">
        <v>0</v>
      </c>
      <c r="AD4838">
        <v>10</v>
      </c>
      <c r="AE4838">
        <v>0</v>
      </c>
      <c r="AF4838">
        <v>3</v>
      </c>
      <c r="AG4838">
        <v>2</v>
      </c>
      <c r="AH4838">
        <v>0</v>
      </c>
      <c r="AI4838" t="s">
        <v>1079</v>
      </c>
      <c r="AJ4838">
        <v>28.239048</v>
      </c>
      <c r="AK4838" t="s">
        <v>1080</v>
      </c>
      <c r="AL4838">
        <v>-82.356648000000007</v>
      </c>
      <c r="AM4838">
        <v>100</v>
      </c>
      <c r="AN4838">
        <v>2200</v>
      </c>
      <c r="AO4838" t="s">
        <v>118</v>
      </c>
      <c r="AP4838">
        <v>-118</v>
      </c>
      <c r="AQ4838">
        <v>-47</v>
      </c>
      <c r="AR4838">
        <v>1216</v>
      </c>
      <c r="AZ4838">
        <v>1200</v>
      </c>
      <c r="BA4838">
        <v>1</v>
      </c>
      <c r="BB4838" t="str">
        <f t="shared" si="2223"/>
        <v xml:space="preserve">N711JA  </v>
      </c>
      <c r="BC4838">
        <v>1</v>
      </c>
      <c r="BE4838">
        <v>0</v>
      </c>
      <c r="BF4838">
        <v>0</v>
      </c>
      <c r="BG4838">
        <v>0</v>
      </c>
      <c r="BH4838">
        <v>2125</v>
      </c>
      <c r="BI4838">
        <v>1</v>
      </c>
      <c r="BJ4838">
        <v>1</v>
      </c>
      <c r="BK4838">
        <v>0</v>
      </c>
      <c r="BL4838">
        <v>0</v>
      </c>
      <c r="BO4838">
        <v>0</v>
      </c>
      <c r="BP4838">
        <v>0</v>
      </c>
      <c r="BW4838" t="str">
        <f t="shared" si="2226"/>
        <v>14:50:07.946</v>
      </c>
      <c r="CJ4838">
        <v>0</v>
      </c>
      <c r="CK4838">
        <v>2</v>
      </c>
      <c r="CL4838">
        <v>0</v>
      </c>
      <c r="CM4838">
        <v>2</v>
      </c>
      <c r="CN4838">
        <v>0</v>
      </c>
      <c r="CO4838">
        <v>7</v>
      </c>
      <c r="CP4838" t="s">
        <v>119</v>
      </c>
      <c r="CQ4838">
        <v>343</v>
      </c>
      <c r="CR4838">
        <v>1</v>
      </c>
      <c r="CW4838">
        <v>11079207</v>
      </c>
      <c r="CY4838">
        <v>1</v>
      </c>
      <c r="CZ4838">
        <v>0</v>
      </c>
      <c r="DA4838">
        <v>1</v>
      </c>
      <c r="DB4838">
        <v>0</v>
      </c>
      <c r="DC4838">
        <v>0</v>
      </c>
      <c r="DD4838">
        <v>1</v>
      </c>
      <c r="DE4838">
        <v>0</v>
      </c>
      <c r="DF4838">
        <v>0</v>
      </c>
      <c r="DG4838">
        <v>0</v>
      </c>
      <c r="DH4838">
        <v>0</v>
      </c>
      <c r="DI4838">
        <v>0</v>
      </c>
    </row>
    <row r="4839" spans="1:113" x14ac:dyDescent="0.3">
      <c r="A4839" t="str">
        <f t="shared" ref="A4839:A4847" si="2227">"05/12/2020 14:49:51.137"</f>
        <v>05/12/2020 14:49:51.137</v>
      </c>
      <c r="C4839" t="str">
        <f t="shared" si="2222"/>
        <v>FFDFD3C0</v>
      </c>
      <c r="D4839" t="s">
        <v>134</v>
      </c>
      <c r="E4839">
        <v>12</v>
      </c>
      <c r="H4839">
        <v>64</v>
      </c>
      <c r="I4839" t="s">
        <v>135</v>
      </c>
      <c r="J4839" t="s">
        <v>136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t="str">
        <f t="shared" ref="S4839:S4847" si="2228">"14:50:08.977"</f>
        <v>14:50:08.977</v>
      </c>
      <c r="T4839" t="str">
        <f t="shared" ref="T4839:T4847" si="2229">"14:50:08.877"</f>
        <v>14:50:08.877</v>
      </c>
      <c r="U4839" t="str">
        <f t="shared" si="2209"/>
        <v>A9808D</v>
      </c>
      <c r="V4839">
        <v>0</v>
      </c>
      <c r="W4839">
        <v>0</v>
      </c>
      <c r="X4839">
        <v>1</v>
      </c>
      <c r="Z4839">
        <v>0</v>
      </c>
      <c r="AA4839">
        <v>9</v>
      </c>
      <c r="AB4839">
        <v>3</v>
      </c>
      <c r="AC4839">
        <v>0</v>
      </c>
      <c r="AD4839">
        <v>10</v>
      </c>
      <c r="AE4839">
        <v>0</v>
      </c>
      <c r="AF4839">
        <v>3</v>
      </c>
      <c r="AG4839">
        <v>2</v>
      </c>
      <c r="AH4839">
        <v>0</v>
      </c>
      <c r="AI4839" t="s">
        <v>1081</v>
      </c>
      <c r="AJ4839">
        <v>28.238790000000002</v>
      </c>
      <c r="AK4839" t="s">
        <v>1082</v>
      </c>
      <c r="AL4839">
        <v>-82.357270999999997</v>
      </c>
      <c r="AM4839">
        <v>100</v>
      </c>
      <c r="AN4839">
        <v>2200</v>
      </c>
      <c r="AO4839" t="s">
        <v>118</v>
      </c>
      <c r="AP4839">
        <v>-116</v>
      </c>
      <c r="AQ4839">
        <v>-46</v>
      </c>
      <c r="AR4839">
        <v>1280</v>
      </c>
      <c r="AZ4839">
        <v>1200</v>
      </c>
      <c r="BA4839">
        <v>1</v>
      </c>
      <c r="BB4839" t="str">
        <f t="shared" si="2223"/>
        <v xml:space="preserve">N711JA  </v>
      </c>
      <c r="BC4839">
        <v>1</v>
      </c>
      <c r="BE4839">
        <v>0</v>
      </c>
      <c r="BF4839">
        <v>0</v>
      </c>
      <c r="BG4839">
        <v>0</v>
      </c>
      <c r="BH4839">
        <v>2250</v>
      </c>
      <c r="BI4839">
        <v>1</v>
      </c>
      <c r="BJ4839">
        <v>1</v>
      </c>
      <c r="BK4839">
        <v>0</v>
      </c>
      <c r="BL4839">
        <v>0</v>
      </c>
      <c r="BO4839">
        <v>0</v>
      </c>
      <c r="BP4839">
        <v>0</v>
      </c>
      <c r="BW4839" t="str">
        <f t="shared" ref="BW4839:BW4847" si="2230">"14:50:08.984"</f>
        <v>14:50:08.984</v>
      </c>
      <c r="CJ4839">
        <v>0</v>
      </c>
      <c r="CK4839">
        <v>2</v>
      </c>
      <c r="CL4839">
        <v>0</v>
      </c>
      <c r="CM4839">
        <v>2</v>
      </c>
      <c r="CN4839">
        <v>0</v>
      </c>
      <c r="CO4839">
        <v>7</v>
      </c>
      <c r="CP4839" t="s">
        <v>119</v>
      </c>
      <c r="CQ4839">
        <v>343</v>
      </c>
      <c r="CR4839">
        <v>2</v>
      </c>
      <c r="CW4839">
        <v>13353773</v>
      </c>
      <c r="CY4839">
        <v>1</v>
      </c>
      <c r="CZ4839">
        <v>0</v>
      </c>
      <c r="DA4839">
        <v>0</v>
      </c>
      <c r="DB4839">
        <v>0</v>
      </c>
      <c r="DC4839">
        <v>0</v>
      </c>
      <c r="DD4839">
        <v>1</v>
      </c>
      <c r="DE4839">
        <v>0</v>
      </c>
      <c r="DF4839">
        <v>0</v>
      </c>
      <c r="DG4839">
        <v>0</v>
      </c>
      <c r="DH4839">
        <v>0</v>
      </c>
      <c r="DI4839">
        <v>0</v>
      </c>
    </row>
    <row r="4840" spans="1:113" x14ac:dyDescent="0.3">
      <c r="A4840" t="str">
        <f t="shared" si="2227"/>
        <v>05/12/2020 14:49:51.137</v>
      </c>
      <c r="C4840" t="str">
        <f t="shared" si="2222"/>
        <v>FFDFD3C0</v>
      </c>
      <c r="D4840" t="s">
        <v>126</v>
      </c>
      <c r="E4840">
        <v>7</v>
      </c>
      <c r="F4840">
        <v>1007</v>
      </c>
      <c r="G4840" t="s">
        <v>127</v>
      </c>
      <c r="J4840" t="s">
        <v>128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t="str">
        <f t="shared" si="2228"/>
        <v>14:50:08.977</v>
      </c>
      <c r="T4840" t="str">
        <f t="shared" si="2229"/>
        <v>14:50:08.877</v>
      </c>
      <c r="U4840" t="str">
        <f t="shared" si="2209"/>
        <v>A9808D</v>
      </c>
      <c r="V4840">
        <v>0</v>
      </c>
      <c r="W4840">
        <v>0</v>
      </c>
      <c r="X4840">
        <v>1</v>
      </c>
      <c r="Z4840">
        <v>0</v>
      </c>
      <c r="AA4840">
        <v>9</v>
      </c>
      <c r="AB4840">
        <v>3</v>
      </c>
      <c r="AC4840">
        <v>0</v>
      </c>
      <c r="AD4840">
        <v>10</v>
      </c>
      <c r="AE4840">
        <v>0</v>
      </c>
      <c r="AF4840">
        <v>3</v>
      </c>
      <c r="AG4840">
        <v>2</v>
      </c>
      <c r="AH4840">
        <v>0</v>
      </c>
      <c r="AI4840" t="s">
        <v>1081</v>
      </c>
      <c r="AJ4840">
        <v>28.238790000000002</v>
      </c>
      <c r="AK4840" t="s">
        <v>1082</v>
      </c>
      <c r="AL4840">
        <v>-82.357270999999997</v>
      </c>
      <c r="AM4840">
        <v>100</v>
      </c>
      <c r="AN4840">
        <v>2200</v>
      </c>
      <c r="AO4840" t="s">
        <v>118</v>
      </c>
      <c r="AP4840">
        <v>-116</v>
      </c>
      <c r="AQ4840">
        <v>-46</v>
      </c>
      <c r="AR4840">
        <v>1280</v>
      </c>
      <c r="AZ4840">
        <v>1200</v>
      </c>
      <c r="BA4840">
        <v>1</v>
      </c>
      <c r="BB4840" t="str">
        <f t="shared" si="2223"/>
        <v xml:space="preserve">N711JA  </v>
      </c>
      <c r="BC4840">
        <v>1</v>
      </c>
      <c r="BE4840">
        <v>0</v>
      </c>
      <c r="BF4840">
        <v>0</v>
      </c>
      <c r="BG4840">
        <v>0</v>
      </c>
      <c r="BH4840">
        <v>2250</v>
      </c>
      <c r="BI4840">
        <v>1</v>
      </c>
      <c r="BJ4840">
        <v>1</v>
      </c>
      <c r="BK4840">
        <v>0</v>
      </c>
      <c r="BL4840">
        <v>0</v>
      </c>
      <c r="BO4840">
        <v>0</v>
      </c>
      <c r="BP4840">
        <v>0</v>
      </c>
      <c r="BW4840" t="str">
        <f t="shared" si="2230"/>
        <v>14:50:08.984</v>
      </c>
      <c r="CJ4840">
        <v>0</v>
      </c>
      <c r="CK4840">
        <v>2</v>
      </c>
      <c r="CL4840">
        <v>0</v>
      </c>
      <c r="CM4840">
        <v>2</v>
      </c>
      <c r="CN4840">
        <v>0</v>
      </c>
      <c r="CO4840">
        <v>7</v>
      </c>
      <c r="CP4840" t="s">
        <v>119</v>
      </c>
      <c r="CQ4840">
        <v>343</v>
      </c>
      <c r="CR4840">
        <v>2</v>
      </c>
      <c r="CW4840">
        <v>13353773</v>
      </c>
      <c r="CY4840">
        <v>1</v>
      </c>
      <c r="CZ4840">
        <v>0</v>
      </c>
      <c r="DA4840">
        <v>1</v>
      </c>
      <c r="DB4840">
        <v>0</v>
      </c>
      <c r="DC4840">
        <v>0</v>
      </c>
      <c r="DD4840">
        <v>1</v>
      </c>
      <c r="DE4840">
        <v>0</v>
      </c>
      <c r="DF4840">
        <v>0</v>
      </c>
      <c r="DG4840">
        <v>0</v>
      </c>
      <c r="DH4840">
        <v>0</v>
      </c>
      <c r="DI4840">
        <v>0</v>
      </c>
    </row>
    <row r="4841" spans="1:113" x14ac:dyDescent="0.3">
      <c r="A4841" t="str">
        <f t="shared" si="2227"/>
        <v>05/12/2020 14:49:51.137</v>
      </c>
      <c r="C4841" t="str">
        <f t="shared" si="2222"/>
        <v>FFDFD3C0</v>
      </c>
      <c r="D4841" t="s">
        <v>131</v>
      </c>
      <c r="E4841">
        <v>10</v>
      </c>
      <c r="F4841">
        <v>2010</v>
      </c>
      <c r="G4841" t="s">
        <v>132</v>
      </c>
      <c r="J4841" t="s">
        <v>133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t="str">
        <f t="shared" si="2228"/>
        <v>14:50:08.977</v>
      </c>
      <c r="T4841" t="str">
        <f t="shared" si="2229"/>
        <v>14:50:08.877</v>
      </c>
      <c r="U4841" t="str">
        <f t="shared" si="2209"/>
        <v>A9808D</v>
      </c>
      <c r="V4841">
        <v>0</v>
      </c>
      <c r="W4841">
        <v>0</v>
      </c>
      <c r="X4841">
        <v>1</v>
      </c>
      <c r="Z4841">
        <v>0</v>
      </c>
      <c r="AA4841">
        <v>9</v>
      </c>
      <c r="AB4841">
        <v>3</v>
      </c>
      <c r="AC4841">
        <v>0</v>
      </c>
      <c r="AD4841">
        <v>10</v>
      </c>
      <c r="AE4841">
        <v>0</v>
      </c>
      <c r="AF4841">
        <v>3</v>
      </c>
      <c r="AG4841">
        <v>2</v>
      </c>
      <c r="AH4841">
        <v>0</v>
      </c>
      <c r="AI4841" t="s">
        <v>1081</v>
      </c>
      <c r="AJ4841">
        <v>28.238790000000002</v>
      </c>
      <c r="AK4841" t="s">
        <v>1082</v>
      </c>
      <c r="AL4841">
        <v>-82.357270999999997</v>
      </c>
      <c r="AM4841">
        <v>100</v>
      </c>
      <c r="AN4841">
        <v>2200</v>
      </c>
      <c r="AO4841" t="s">
        <v>118</v>
      </c>
      <c r="AP4841">
        <v>-116</v>
      </c>
      <c r="AQ4841">
        <v>-46</v>
      </c>
      <c r="AR4841">
        <v>1280</v>
      </c>
      <c r="AZ4841">
        <v>1200</v>
      </c>
      <c r="BA4841">
        <v>1</v>
      </c>
      <c r="BB4841" t="str">
        <f t="shared" si="2223"/>
        <v xml:space="preserve">N711JA  </v>
      </c>
      <c r="BC4841">
        <v>1</v>
      </c>
      <c r="BE4841">
        <v>0</v>
      </c>
      <c r="BF4841">
        <v>0</v>
      </c>
      <c r="BG4841">
        <v>0</v>
      </c>
      <c r="BH4841">
        <v>2250</v>
      </c>
      <c r="BI4841">
        <v>1</v>
      </c>
      <c r="BJ4841">
        <v>1</v>
      </c>
      <c r="BK4841">
        <v>0</v>
      </c>
      <c r="BL4841">
        <v>0</v>
      </c>
      <c r="BO4841">
        <v>0</v>
      </c>
      <c r="BP4841">
        <v>0</v>
      </c>
      <c r="BW4841" t="str">
        <f t="shared" si="2230"/>
        <v>14:50:08.984</v>
      </c>
      <c r="CJ4841">
        <v>0</v>
      </c>
      <c r="CK4841">
        <v>2</v>
      </c>
      <c r="CL4841">
        <v>0</v>
      </c>
      <c r="CM4841">
        <v>2</v>
      </c>
      <c r="CN4841">
        <v>0</v>
      </c>
      <c r="CO4841">
        <v>7</v>
      </c>
      <c r="CP4841" t="s">
        <v>119</v>
      </c>
      <c r="CQ4841">
        <v>343</v>
      </c>
      <c r="CR4841">
        <v>2</v>
      </c>
      <c r="CW4841">
        <v>13353773</v>
      </c>
      <c r="CY4841">
        <v>1</v>
      </c>
      <c r="CZ4841">
        <v>0</v>
      </c>
      <c r="DA4841">
        <v>1</v>
      </c>
      <c r="DB4841">
        <v>0</v>
      </c>
      <c r="DC4841">
        <v>0</v>
      </c>
      <c r="DD4841">
        <v>1</v>
      </c>
      <c r="DE4841">
        <v>0</v>
      </c>
      <c r="DF4841">
        <v>0</v>
      </c>
      <c r="DG4841">
        <v>0</v>
      </c>
      <c r="DH4841">
        <v>0</v>
      </c>
      <c r="DI4841">
        <v>0</v>
      </c>
    </row>
    <row r="4842" spans="1:113" x14ac:dyDescent="0.3">
      <c r="A4842" t="str">
        <f t="shared" si="2227"/>
        <v>05/12/2020 14:49:51.137</v>
      </c>
      <c r="C4842" t="str">
        <f t="shared" si="2222"/>
        <v>FFDFD3C0</v>
      </c>
      <c r="D4842" t="s">
        <v>131</v>
      </c>
      <c r="E4842">
        <v>12</v>
      </c>
      <c r="F4842">
        <v>2012</v>
      </c>
      <c r="G4842" t="s">
        <v>137</v>
      </c>
      <c r="J4842" t="s">
        <v>133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t="str">
        <f t="shared" si="2228"/>
        <v>14:50:08.977</v>
      </c>
      <c r="T4842" t="str">
        <f t="shared" si="2229"/>
        <v>14:50:08.877</v>
      </c>
      <c r="U4842" t="str">
        <f t="shared" si="2209"/>
        <v>A9808D</v>
      </c>
      <c r="V4842">
        <v>0</v>
      </c>
      <c r="W4842">
        <v>0</v>
      </c>
      <c r="X4842">
        <v>1</v>
      </c>
      <c r="Z4842">
        <v>0</v>
      </c>
      <c r="AA4842">
        <v>9</v>
      </c>
      <c r="AB4842">
        <v>3</v>
      </c>
      <c r="AC4842">
        <v>0</v>
      </c>
      <c r="AD4842">
        <v>10</v>
      </c>
      <c r="AE4842">
        <v>0</v>
      </c>
      <c r="AF4842">
        <v>3</v>
      </c>
      <c r="AG4842">
        <v>2</v>
      </c>
      <c r="AH4842">
        <v>0</v>
      </c>
      <c r="AI4842" t="s">
        <v>1081</v>
      </c>
      <c r="AJ4842">
        <v>28.238790000000002</v>
      </c>
      <c r="AK4842" t="s">
        <v>1082</v>
      </c>
      <c r="AL4842">
        <v>-82.357270999999997</v>
      </c>
      <c r="AM4842">
        <v>100</v>
      </c>
      <c r="AN4842">
        <v>2200</v>
      </c>
      <c r="AO4842" t="s">
        <v>118</v>
      </c>
      <c r="AP4842">
        <v>-116</v>
      </c>
      <c r="AQ4842">
        <v>-46</v>
      </c>
      <c r="AR4842">
        <v>1280</v>
      </c>
      <c r="AZ4842">
        <v>1200</v>
      </c>
      <c r="BA4842">
        <v>1</v>
      </c>
      <c r="BB4842" t="str">
        <f t="shared" si="2223"/>
        <v xml:space="preserve">N711JA  </v>
      </c>
      <c r="BC4842">
        <v>1</v>
      </c>
      <c r="BE4842">
        <v>0</v>
      </c>
      <c r="BF4842">
        <v>0</v>
      </c>
      <c r="BG4842">
        <v>0</v>
      </c>
      <c r="BH4842">
        <v>2250</v>
      </c>
      <c r="BI4842">
        <v>1</v>
      </c>
      <c r="BJ4842">
        <v>1</v>
      </c>
      <c r="BK4842">
        <v>0</v>
      </c>
      <c r="BL4842">
        <v>0</v>
      </c>
      <c r="BO4842">
        <v>0</v>
      </c>
      <c r="BP4842">
        <v>0</v>
      </c>
      <c r="BW4842" t="str">
        <f t="shared" si="2230"/>
        <v>14:50:08.984</v>
      </c>
      <c r="CJ4842">
        <v>0</v>
      </c>
      <c r="CK4842">
        <v>2</v>
      </c>
      <c r="CL4842">
        <v>0</v>
      </c>
      <c r="CM4842">
        <v>2</v>
      </c>
      <c r="CN4842">
        <v>0</v>
      </c>
      <c r="CO4842">
        <v>7</v>
      </c>
      <c r="CP4842" t="s">
        <v>119</v>
      </c>
      <c r="CQ4842">
        <v>343</v>
      </c>
      <c r="CR4842">
        <v>2</v>
      </c>
      <c r="CW4842">
        <v>13353773</v>
      </c>
      <c r="CY4842">
        <v>1</v>
      </c>
      <c r="CZ4842">
        <v>0</v>
      </c>
      <c r="DA4842">
        <v>1</v>
      </c>
      <c r="DB4842">
        <v>0</v>
      </c>
      <c r="DC4842">
        <v>0</v>
      </c>
      <c r="DD4842">
        <v>1</v>
      </c>
      <c r="DE4842">
        <v>0</v>
      </c>
      <c r="DF4842">
        <v>0</v>
      </c>
      <c r="DG4842">
        <v>0</v>
      </c>
      <c r="DH4842">
        <v>0</v>
      </c>
      <c r="DI4842">
        <v>0</v>
      </c>
    </row>
    <row r="4843" spans="1:113" x14ac:dyDescent="0.3">
      <c r="A4843" t="str">
        <f t="shared" si="2227"/>
        <v>05/12/2020 14:49:51.137</v>
      </c>
      <c r="C4843" t="str">
        <f t="shared" si="2222"/>
        <v>FFDFD3C0</v>
      </c>
      <c r="D4843" t="s">
        <v>131</v>
      </c>
      <c r="E4843">
        <v>18</v>
      </c>
      <c r="F4843">
        <v>2018</v>
      </c>
      <c r="G4843" t="s">
        <v>161</v>
      </c>
      <c r="J4843" t="s">
        <v>133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t="str">
        <f t="shared" si="2228"/>
        <v>14:50:08.977</v>
      </c>
      <c r="T4843" t="str">
        <f t="shared" si="2229"/>
        <v>14:50:08.877</v>
      </c>
      <c r="U4843" t="str">
        <f t="shared" si="2209"/>
        <v>A9808D</v>
      </c>
      <c r="V4843">
        <v>0</v>
      </c>
      <c r="W4843">
        <v>0</v>
      </c>
      <c r="X4843">
        <v>1</v>
      </c>
      <c r="Z4843">
        <v>0</v>
      </c>
      <c r="AA4843">
        <v>9</v>
      </c>
      <c r="AB4843">
        <v>3</v>
      </c>
      <c r="AC4843">
        <v>0</v>
      </c>
      <c r="AD4843">
        <v>10</v>
      </c>
      <c r="AE4843">
        <v>0</v>
      </c>
      <c r="AF4843">
        <v>3</v>
      </c>
      <c r="AG4843">
        <v>2</v>
      </c>
      <c r="AH4843">
        <v>0</v>
      </c>
      <c r="AI4843" t="s">
        <v>1081</v>
      </c>
      <c r="AJ4843">
        <v>28.238790000000002</v>
      </c>
      <c r="AK4843" t="s">
        <v>1082</v>
      </c>
      <c r="AL4843">
        <v>-82.357270999999997</v>
      </c>
      <c r="AM4843">
        <v>100</v>
      </c>
      <c r="AN4843">
        <v>2200</v>
      </c>
      <c r="AO4843" t="s">
        <v>118</v>
      </c>
      <c r="AP4843">
        <v>-116</v>
      </c>
      <c r="AQ4843">
        <v>-46</v>
      </c>
      <c r="AR4843">
        <v>1280</v>
      </c>
      <c r="AZ4843">
        <v>1200</v>
      </c>
      <c r="BA4843">
        <v>1</v>
      </c>
      <c r="BB4843" t="str">
        <f t="shared" si="2223"/>
        <v xml:space="preserve">N711JA  </v>
      </c>
      <c r="BC4843">
        <v>1</v>
      </c>
      <c r="BE4843">
        <v>0</v>
      </c>
      <c r="BF4843">
        <v>0</v>
      </c>
      <c r="BG4843">
        <v>0</v>
      </c>
      <c r="BH4843">
        <v>2250</v>
      </c>
      <c r="BI4843">
        <v>1</v>
      </c>
      <c r="BJ4843">
        <v>1</v>
      </c>
      <c r="BK4843">
        <v>0</v>
      </c>
      <c r="BL4843">
        <v>0</v>
      </c>
      <c r="BO4843">
        <v>0</v>
      </c>
      <c r="BP4843">
        <v>0</v>
      </c>
      <c r="BW4843" t="str">
        <f t="shared" si="2230"/>
        <v>14:50:08.984</v>
      </c>
      <c r="CJ4843">
        <v>0</v>
      </c>
      <c r="CK4843">
        <v>2</v>
      </c>
      <c r="CL4843">
        <v>0</v>
      </c>
      <c r="CM4843">
        <v>2</v>
      </c>
      <c r="CN4843">
        <v>0</v>
      </c>
      <c r="CO4843">
        <v>7</v>
      </c>
      <c r="CP4843" t="s">
        <v>119</v>
      </c>
      <c r="CQ4843">
        <v>343</v>
      </c>
      <c r="CR4843">
        <v>2</v>
      </c>
      <c r="CW4843">
        <v>13353773</v>
      </c>
      <c r="CY4843">
        <v>1</v>
      </c>
      <c r="CZ4843">
        <v>0</v>
      </c>
      <c r="DA4843">
        <v>1</v>
      </c>
      <c r="DB4843">
        <v>0</v>
      </c>
      <c r="DC4843">
        <v>0</v>
      </c>
      <c r="DD4843">
        <v>1</v>
      </c>
      <c r="DE4843">
        <v>0</v>
      </c>
      <c r="DF4843">
        <v>0</v>
      </c>
      <c r="DG4843">
        <v>0</v>
      </c>
      <c r="DH4843">
        <v>0</v>
      </c>
      <c r="DI4843">
        <v>0</v>
      </c>
    </row>
    <row r="4844" spans="1:113" x14ac:dyDescent="0.3">
      <c r="A4844" t="str">
        <f t="shared" si="2227"/>
        <v>05/12/2020 14:49:51.137</v>
      </c>
      <c r="C4844" t="str">
        <f t="shared" si="2222"/>
        <v>FFDFD3C0</v>
      </c>
      <c r="D4844" t="s">
        <v>126</v>
      </c>
      <c r="E4844">
        <v>6</v>
      </c>
      <c r="F4844">
        <v>1006</v>
      </c>
      <c r="G4844" t="s">
        <v>114</v>
      </c>
      <c r="J4844" t="s">
        <v>128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t="str">
        <f t="shared" si="2228"/>
        <v>14:50:08.977</v>
      </c>
      <c r="T4844" t="str">
        <f t="shared" si="2229"/>
        <v>14:50:08.877</v>
      </c>
      <c r="U4844" t="str">
        <f t="shared" si="2209"/>
        <v>A9808D</v>
      </c>
      <c r="V4844">
        <v>0</v>
      </c>
      <c r="W4844">
        <v>0</v>
      </c>
      <c r="X4844">
        <v>1</v>
      </c>
      <c r="Z4844">
        <v>0</v>
      </c>
      <c r="AA4844">
        <v>9</v>
      </c>
      <c r="AB4844">
        <v>3</v>
      </c>
      <c r="AC4844">
        <v>0</v>
      </c>
      <c r="AD4844">
        <v>10</v>
      </c>
      <c r="AE4844">
        <v>0</v>
      </c>
      <c r="AF4844">
        <v>3</v>
      </c>
      <c r="AG4844">
        <v>2</v>
      </c>
      <c r="AH4844">
        <v>0</v>
      </c>
      <c r="AI4844" t="s">
        <v>1081</v>
      </c>
      <c r="AJ4844">
        <v>28.238790000000002</v>
      </c>
      <c r="AK4844" t="s">
        <v>1082</v>
      </c>
      <c r="AL4844">
        <v>-82.357270999999997</v>
      </c>
      <c r="AM4844">
        <v>100</v>
      </c>
      <c r="AN4844">
        <v>2200</v>
      </c>
      <c r="AO4844" t="s">
        <v>118</v>
      </c>
      <c r="AP4844">
        <v>-116</v>
      </c>
      <c r="AQ4844">
        <v>-46</v>
      </c>
      <c r="AR4844">
        <v>1280</v>
      </c>
      <c r="AZ4844">
        <v>1200</v>
      </c>
      <c r="BA4844">
        <v>1</v>
      </c>
      <c r="BB4844" t="str">
        <f t="shared" si="2223"/>
        <v xml:space="preserve">N711JA  </v>
      </c>
      <c r="BC4844">
        <v>1</v>
      </c>
      <c r="BE4844">
        <v>0</v>
      </c>
      <c r="BF4844">
        <v>0</v>
      </c>
      <c r="BG4844">
        <v>0</v>
      </c>
      <c r="BH4844">
        <v>2250</v>
      </c>
      <c r="BI4844">
        <v>1</v>
      </c>
      <c r="BJ4844">
        <v>1</v>
      </c>
      <c r="BK4844">
        <v>0</v>
      </c>
      <c r="BL4844">
        <v>0</v>
      </c>
      <c r="BO4844">
        <v>0</v>
      </c>
      <c r="BP4844">
        <v>0</v>
      </c>
      <c r="BW4844" t="str">
        <f t="shared" si="2230"/>
        <v>14:50:08.984</v>
      </c>
      <c r="CJ4844">
        <v>0</v>
      </c>
      <c r="CK4844">
        <v>2</v>
      </c>
      <c r="CL4844">
        <v>0</v>
      </c>
      <c r="CM4844">
        <v>2</v>
      </c>
      <c r="CN4844">
        <v>0</v>
      </c>
      <c r="CO4844">
        <v>7</v>
      </c>
      <c r="CP4844" t="s">
        <v>119</v>
      </c>
      <c r="CQ4844">
        <v>343</v>
      </c>
      <c r="CR4844">
        <v>2</v>
      </c>
      <c r="CW4844">
        <v>13353773</v>
      </c>
      <c r="CY4844">
        <v>1</v>
      </c>
      <c r="CZ4844">
        <v>0</v>
      </c>
      <c r="DA4844">
        <v>1</v>
      </c>
      <c r="DB4844">
        <v>0</v>
      </c>
      <c r="DC4844">
        <v>0</v>
      </c>
      <c r="DD4844">
        <v>1</v>
      </c>
      <c r="DE4844">
        <v>0</v>
      </c>
      <c r="DF4844">
        <v>0</v>
      </c>
      <c r="DG4844">
        <v>0</v>
      </c>
      <c r="DH4844">
        <v>0</v>
      </c>
      <c r="DI4844">
        <v>0</v>
      </c>
    </row>
    <row r="4845" spans="1:113" x14ac:dyDescent="0.3">
      <c r="A4845" t="str">
        <f t="shared" si="2227"/>
        <v>05/12/2020 14:49:51.137</v>
      </c>
      <c r="C4845" t="str">
        <f t="shared" si="2222"/>
        <v>FFDFD3C0</v>
      </c>
      <c r="D4845" t="s">
        <v>113</v>
      </c>
      <c r="E4845">
        <v>3</v>
      </c>
      <c r="H4845">
        <v>164</v>
      </c>
      <c r="I4845" t="s">
        <v>114</v>
      </c>
      <c r="J4845" t="s">
        <v>115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t="str">
        <f t="shared" si="2228"/>
        <v>14:50:08.977</v>
      </c>
      <c r="T4845" t="str">
        <f t="shared" si="2229"/>
        <v>14:50:08.877</v>
      </c>
      <c r="U4845" t="str">
        <f t="shared" si="2209"/>
        <v>A9808D</v>
      </c>
      <c r="V4845">
        <v>0</v>
      </c>
      <c r="W4845">
        <v>0</v>
      </c>
      <c r="X4845">
        <v>1</v>
      </c>
      <c r="Z4845">
        <v>0</v>
      </c>
      <c r="AA4845">
        <v>9</v>
      </c>
      <c r="AB4845">
        <v>3</v>
      </c>
      <c r="AC4845">
        <v>0</v>
      </c>
      <c r="AD4845">
        <v>10</v>
      </c>
      <c r="AE4845">
        <v>0</v>
      </c>
      <c r="AF4845">
        <v>3</v>
      </c>
      <c r="AG4845">
        <v>2</v>
      </c>
      <c r="AH4845">
        <v>0</v>
      </c>
      <c r="AI4845" t="s">
        <v>1081</v>
      </c>
      <c r="AJ4845">
        <v>28.238790000000002</v>
      </c>
      <c r="AK4845" t="s">
        <v>1082</v>
      </c>
      <c r="AL4845">
        <v>-82.357270999999997</v>
      </c>
      <c r="AM4845">
        <v>100</v>
      </c>
      <c r="AN4845">
        <v>2200</v>
      </c>
      <c r="AO4845" t="s">
        <v>118</v>
      </c>
      <c r="AP4845">
        <v>-116</v>
      </c>
      <c r="AQ4845">
        <v>-46</v>
      </c>
      <c r="AR4845">
        <v>1280</v>
      </c>
      <c r="AZ4845">
        <v>1200</v>
      </c>
      <c r="BA4845">
        <v>1</v>
      </c>
      <c r="BB4845" t="str">
        <f t="shared" si="2223"/>
        <v xml:space="preserve">N711JA  </v>
      </c>
      <c r="BC4845">
        <v>1</v>
      </c>
      <c r="BE4845">
        <v>0</v>
      </c>
      <c r="BF4845">
        <v>0</v>
      </c>
      <c r="BG4845">
        <v>0</v>
      </c>
      <c r="BH4845">
        <v>2250</v>
      </c>
      <c r="BI4845">
        <v>1</v>
      </c>
      <c r="BJ4845">
        <v>1</v>
      </c>
      <c r="BK4845">
        <v>0</v>
      </c>
      <c r="BL4845">
        <v>0</v>
      </c>
      <c r="BO4845">
        <v>0</v>
      </c>
      <c r="BP4845">
        <v>0</v>
      </c>
      <c r="BW4845" t="str">
        <f t="shared" si="2230"/>
        <v>14:50:08.984</v>
      </c>
      <c r="CJ4845">
        <v>0</v>
      </c>
      <c r="CK4845">
        <v>2</v>
      </c>
      <c r="CL4845">
        <v>0</v>
      </c>
      <c r="CM4845">
        <v>2</v>
      </c>
      <c r="CN4845">
        <v>0</v>
      </c>
      <c r="CO4845">
        <v>7</v>
      </c>
      <c r="CP4845" t="s">
        <v>119</v>
      </c>
      <c r="CQ4845">
        <v>343</v>
      </c>
      <c r="CR4845">
        <v>2</v>
      </c>
      <c r="CW4845">
        <v>13353773</v>
      </c>
      <c r="CY4845">
        <v>1</v>
      </c>
      <c r="CZ4845">
        <v>0</v>
      </c>
      <c r="DA4845">
        <v>1</v>
      </c>
      <c r="DB4845">
        <v>0</v>
      </c>
      <c r="DC4845">
        <v>0</v>
      </c>
      <c r="DD4845">
        <v>1</v>
      </c>
      <c r="DE4845">
        <v>0</v>
      </c>
      <c r="DF4845">
        <v>0</v>
      </c>
      <c r="DG4845">
        <v>0</v>
      </c>
      <c r="DH4845">
        <v>0</v>
      </c>
      <c r="DI4845">
        <v>0</v>
      </c>
    </row>
    <row r="4846" spans="1:113" x14ac:dyDescent="0.3">
      <c r="A4846" t="str">
        <f t="shared" si="2227"/>
        <v>05/12/2020 14:49:51.137</v>
      </c>
      <c r="C4846" t="str">
        <f t="shared" si="2222"/>
        <v>FFDFD3C0</v>
      </c>
      <c r="D4846" t="s">
        <v>138</v>
      </c>
      <c r="E4846">
        <v>2</v>
      </c>
      <c r="H4846">
        <v>8</v>
      </c>
      <c r="I4846" t="s">
        <v>139</v>
      </c>
      <c r="J4846" t="s">
        <v>136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t="str">
        <f t="shared" si="2228"/>
        <v>14:50:08.977</v>
      </c>
      <c r="T4846" t="str">
        <f t="shared" si="2229"/>
        <v>14:50:08.877</v>
      </c>
      <c r="U4846" t="str">
        <f t="shared" si="2209"/>
        <v>A9808D</v>
      </c>
      <c r="V4846">
        <v>0</v>
      </c>
      <c r="W4846">
        <v>0</v>
      </c>
      <c r="X4846">
        <v>1</v>
      </c>
      <c r="Z4846">
        <v>0</v>
      </c>
      <c r="AA4846">
        <v>9</v>
      </c>
      <c r="AB4846">
        <v>3</v>
      </c>
      <c r="AC4846">
        <v>0</v>
      </c>
      <c r="AD4846">
        <v>10</v>
      </c>
      <c r="AE4846">
        <v>0</v>
      </c>
      <c r="AF4846">
        <v>3</v>
      </c>
      <c r="AG4846">
        <v>2</v>
      </c>
      <c r="AH4846">
        <v>0</v>
      </c>
      <c r="AI4846" t="s">
        <v>1081</v>
      </c>
      <c r="AJ4846">
        <v>28.238790000000002</v>
      </c>
      <c r="AK4846" t="s">
        <v>1082</v>
      </c>
      <c r="AL4846">
        <v>-82.357270999999997</v>
      </c>
      <c r="AM4846">
        <v>100</v>
      </c>
      <c r="AN4846">
        <v>2200</v>
      </c>
      <c r="AO4846" t="s">
        <v>118</v>
      </c>
      <c r="AP4846">
        <v>-116</v>
      </c>
      <c r="AQ4846">
        <v>-46</v>
      </c>
      <c r="AR4846">
        <v>1280</v>
      </c>
      <c r="AZ4846">
        <v>1200</v>
      </c>
      <c r="BA4846">
        <v>1</v>
      </c>
      <c r="BB4846" t="str">
        <f t="shared" si="2223"/>
        <v xml:space="preserve">N711JA  </v>
      </c>
      <c r="BC4846">
        <v>1</v>
      </c>
      <c r="BE4846">
        <v>0</v>
      </c>
      <c r="BF4846">
        <v>0</v>
      </c>
      <c r="BG4846">
        <v>0</v>
      </c>
      <c r="BH4846">
        <v>2250</v>
      </c>
      <c r="BI4846">
        <v>1</v>
      </c>
      <c r="BJ4846">
        <v>1</v>
      </c>
      <c r="BK4846">
        <v>0</v>
      </c>
      <c r="BL4846">
        <v>0</v>
      </c>
      <c r="BO4846">
        <v>0</v>
      </c>
      <c r="BP4846">
        <v>0</v>
      </c>
      <c r="BW4846" t="str">
        <f t="shared" si="2230"/>
        <v>14:50:08.984</v>
      </c>
      <c r="CJ4846">
        <v>0</v>
      </c>
      <c r="CK4846">
        <v>2</v>
      </c>
      <c r="CL4846">
        <v>0</v>
      </c>
      <c r="CM4846">
        <v>2</v>
      </c>
      <c r="CN4846">
        <v>0</v>
      </c>
      <c r="CO4846">
        <v>7</v>
      </c>
      <c r="CP4846" t="s">
        <v>119</v>
      </c>
      <c r="CQ4846">
        <v>343</v>
      </c>
      <c r="CR4846">
        <v>2</v>
      </c>
      <c r="CW4846">
        <v>13353773</v>
      </c>
      <c r="CY4846">
        <v>1</v>
      </c>
      <c r="CZ4846">
        <v>0</v>
      </c>
      <c r="DA4846">
        <v>1</v>
      </c>
      <c r="DB4846">
        <v>0</v>
      </c>
      <c r="DC4846">
        <v>0</v>
      </c>
      <c r="DD4846">
        <v>1</v>
      </c>
      <c r="DE4846">
        <v>0</v>
      </c>
      <c r="DF4846">
        <v>0</v>
      </c>
      <c r="DG4846">
        <v>0</v>
      </c>
      <c r="DH4846">
        <v>0</v>
      </c>
      <c r="DI4846">
        <v>0</v>
      </c>
    </row>
    <row r="4847" spans="1:113" x14ac:dyDescent="0.3">
      <c r="A4847" t="str">
        <f t="shared" si="2227"/>
        <v>05/12/2020 14:49:51.137</v>
      </c>
      <c r="C4847" t="str">
        <f t="shared" si="2222"/>
        <v>FFDFD3C0</v>
      </c>
      <c r="D4847" t="s">
        <v>138</v>
      </c>
      <c r="E4847">
        <v>3</v>
      </c>
      <c r="H4847">
        <v>9</v>
      </c>
      <c r="I4847" t="s">
        <v>140</v>
      </c>
      <c r="J4847" t="s">
        <v>136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t="str">
        <f t="shared" si="2228"/>
        <v>14:50:08.977</v>
      </c>
      <c r="T4847" t="str">
        <f t="shared" si="2229"/>
        <v>14:50:08.877</v>
      </c>
      <c r="U4847" t="str">
        <f t="shared" si="2209"/>
        <v>A9808D</v>
      </c>
      <c r="V4847">
        <v>0</v>
      </c>
      <c r="W4847">
        <v>0</v>
      </c>
      <c r="X4847">
        <v>1</v>
      </c>
      <c r="Z4847">
        <v>0</v>
      </c>
      <c r="AA4847">
        <v>9</v>
      </c>
      <c r="AB4847">
        <v>3</v>
      </c>
      <c r="AC4847">
        <v>0</v>
      </c>
      <c r="AD4847">
        <v>10</v>
      </c>
      <c r="AE4847">
        <v>0</v>
      </c>
      <c r="AF4847">
        <v>3</v>
      </c>
      <c r="AG4847">
        <v>2</v>
      </c>
      <c r="AH4847">
        <v>0</v>
      </c>
      <c r="AI4847" t="s">
        <v>1081</v>
      </c>
      <c r="AJ4847">
        <v>28.238790000000002</v>
      </c>
      <c r="AK4847" t="s">
        <v>1082</v>
      </c>
      <c r="AL4847">
        <v>-82.357270999999997</v>
      </c>
      <c r="AM4847">
        <v>100</v>
      </c>
      <c r="AN4847">
        <v>2200</v>
      </c>
      <c r="AO4847" t="s">
        <v>118</v>
      </c>
      <c r="AP4847">
        <v>-116</v>
      </c>
      <c r="AQ4847">
        <v>-46</v>
      </c>
      <c r="AR4847">
        <v>1280</v>
      </c>
      <c r="AZ4847">
        <v>1200</v>
      </c>
      <c r="BA4847">
        <v>1</v>
      </c>
      <c r="BB4847" t="str">
        <f t="shared" si="2223"/>
        <v xml:space="preserve">N711JA  </v>
      </c>
      <c r="BC4847">
        <v>1</v>
      </c>
      <c r="BE4847">
        <v>0</v>
      </c>
      <c r="BF4847">
        <v>0</v>
      </c>
      <c r="BG4847">
        <v>0</v>
      </c>
      <c r="BH4847">
        <v>2250</v>
      </c>
      <c r="BI4847">
        <v>1</v>
      </c>
      <c r="BJ4847">
        <v>1</v>
      </c>
      <c r="BK4847">
        <v>0</v>
      </c>
      <c r="BL4847">
        <v>0</v>
      </c>
      <c r="BO4847">
        <v>0</v>
      </c>
      <c r="BP4847">
        <v>0</v>
      </c>
      <c r="BW4847" t="str">
        <f t="shared" si="2230"/>
        <v>14:50:08.984</v>
      </c>
      <c r="CJ4847">
        <v>0</v>
      </c>
      <c r="CK4847">
        <v>2</v>
      </c>
      <c r="CL4847">
        <v>0</v>
      </c>
      <c r="CM4847">
        <v>2</v>
      </c>
      <c r="CN4847">
        <v>0</v>
      </c>
      <c r="CO4847">
        <v>7</v>
      </c>
      <c r="CP4847" t="s">
        <v>119</v>
      </c>
      <c r="CQ4847">
        <v>343</v>
      </c>
      <c r="CR4847">
        <v>2</v>
      </c>
      <c r="CW4847">
        <v>13353773</v>
      </c>
      <c r="CY4847">
        <v>1</v>
      </c>
      <c r="CZ4847">
        <v>0</v>
      </c>
      <c r="DA4847">
        <v>1</v>
      </c>
      <c r="DB4847">
        <v>0</v>
      </c>
      <c r="DC4847">
        <v>0</v>
      </c>
      <c r="DD4847">
        <v>1</v>
      </c>
      <c r="DE4847">
        <v>0</v>
      </c>
      <c r="DF4847">
        <v>0</v>
      </c>
      <c r="DG4847">
        <v>0</v>
      </c>
      <c r="DH4847">
        <v>0</v>
      </c>
      <c r="DI4847">
        <v>0</v>
      </c>
    </row>
    <row r="4848" spans="1:113" x14ac:dyDescent="0.3">
      <c r="A4848" t="str">
        <f t="shared" ref="A4848:A4856" si="2231">"05/12/2020 14:49:52.238"</f>
        <v>05/12/2020 14:49:52.238</v>
      </c>
      <c r="C4848" t="str">
        <f t="shared" si="2222"/>
        <v>FFDFD3C0</v>
      </c>
      <c r="D4848" t="s">
        <v>113</v>
      </c>
      <c r="E4848">
        <v>3</v>
      </c>
      <c r="H4848">
        <v>164</v>
      </c>
      <c r="I4848" t="s">
        <v>114</v>
      </c>
      <c r="J4848" t="s">
        <v>115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t="str">
        <f t="shared" ref="S4848:S4856" si="2232">"14:50:10.063"</f>
        <v>14:50:10.063</v>
      </c>
      <c r="T4848" t="str">
        <f t="shared" ref="T4848:T4856" si="2233">"14:50:09.963"</f>
        <v>14:50:09.963</v>
      </c>
      <c r="U4848" t="str">
        <f t="shared" si="2209"/>
        <v>A9808D</v>
      </c>
      <c r="V4848">
        <v>0</v>
      </c>
      <c r="W4848">
        <v>0</v>
      </c>
      <c r="X4848">
        <v>1</v>
      </c>
      <c r="Z4848">
        <v>0</v>
      </c>
      <c r="AA4848">
        <v>9</v>
      </c>
      <c r="AB4848">
        <v>3</v>
      </c>
      <c r="AC4848">
        <v>0</v>
      </c>
      <c r="AD4848">
        <v>10</v>
      </c>
      <c r="AE4848">
        <v>0</v>
      </c>
      <c r="AF4848">
        <v>3</v>
      </c>
      <c r="AG4848">
        <v>2</v>
      </c>
      <c r="AH4848">
        <v>0</v>
      </c>
      <c r="AI4848" t="s">
        <v>1083</v>
      </c>
      <c r="AJ4848">
        <v>28.238596999999999</v>
      </c>
      <c r="AK4848" t="s">
        <v>1084</v>
      </c>
      <c r="AL4848">
        <v>-82.357935999999995</v>
      </c>
      <c r="AM4848">
        <v>100</v>
      </c>
      <c r="AN4848">
        <v>2200</v>
      </c>
      <c r="AO4848" t="s">
        <v>118</v>
      </c>
      <c r="AP4848">
        <v>-113</v>
      </c>
      <c r="AQ4848">
        <v>-46</v>
      </c>
      <c r="AR4848">
        <v>1280</v>
      </c>
      <c r="AZ4848">
        <v>1200</v>
      </c>
      <c r="BA4848">
        <v>1</v>
      </c>
      <c r="BB4848" t="str">
        <f t="shared" si="2223"/>
        <v xml:space="preserve">N711JA  </v>
      </c>
      <c r="BC4848">
        <v>1</v>
      </c>
      <c r="BE4848">
        <v>0</v>
      </c>
      <c r="BF4848">
        <v>0</v>
      </c>
      <c r="BG4848">
        <v>0</v>
      </c>
      <c r="BH4848">
        <v>2275</v>
      </c>
      <c r="BI4848">
        <v>1</v>
      </c>
      <c r="BJ4848">
        <v>1</v>
      </c>
      <c r="BK4848">
        <v>0</v>
      </c>
      <c r="BL4848">
        <v>0</v>
      </c>
      <c r="BO4848">
        <v>0</v>
      </c>
      <c r="BP4848">
        <v>0</v>
      </c>
      <c r="BW4848" t="str">
        <f t="shared" ref="BW4848:BW4856" si="2234">"14:50:10.070"</f>
        <v>14:50:10.070</v>
      </c>
      <c r="CJ4848">
        <v>0</v>
      </c>
      <c r="CK4848">
        <v>2</v>
      </c>
      <c r="CL4848">
        <v>0</v>
      </c>
      <c r="CM4848">
        <v>2</v>
      </c>
      <c r="CN4848">
        <v>0</v>
      </c>
      <c r="CO4848">
        <v>7</v>
      </c>
      <c r="CP4848" t="s">
        <v>119</v>
      </c>
      <c r="CQ4848">
        <v>343</v>
      </c>
      <c r="CR4848">
        <v>2</v>
      </c>
      <c r="CW4848">
        <v>13354668</v>
      </c>
      <c r="CY4848">
        <v>1</v>
      </c>
      <c r="CZ4848">
        <v>0</v>
      </c>
      <c r="DA4848">
        <v>0</v>
      </c>
      <c r="DB4848">
        <v>0</v>
      </c>
      <c r="DC4848">
        <v>0</v>
      </c>
      <c r="DD4848">
        <v>1</v>
      </c>
      <c r="DE4848">
        <v>0</v>
      </c>
      <c r="DF4848">
        <v>0</v>
      </c>
      <c r="DG4848">
        <v>0</v>
      </c>
      <c r="DH4848">
        <v>0</v>
      </c>
      <c r="DI4848">
        <v>0</v>
      </c>
    </row>
    <row r="4849" spans="1:113" x14ac:dyDescent="0.3">
      <c r="A4849" t="str">
        <f t="shared" si="2231"/>
        <v>05/12/2020 14:49:52.238</v>
      </c>
      <c r="C4849" t="str">
        <f t="shared" si="2222"/>
        <v>FFDFD3C0</v>
      </c>
      <c r="D4849" t="s">
        <v>138</v>
      </c>
      <c r="E4849">
        <v>2</v>
      </c>
      <c r="H4849">
        <v>8</v>
      </c>
      <c r="I4849" t="s">
        <v>139</v>
      </c>
      <c r="J4849" t="s">
        <v>136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t="str">
        <f t="shared" si="2232"/>
        <v>14:50:10.063</v>
      </c>
      <c r="T4849" t="str">
        <f t="shared" si="2233"/>
        <v>14:50:09.963</v>
      </c>
      <c r="U4849" t="str">
        <f t="shared" si="2209"/>
        <v>A9808D</v>
      </c>
      <c r="V4849">
        <v>0</v>
      </c>
      <c r="W4849">
        <v>0</v>
      </c>
      <c r="X4849">
        <v>1</v>
      </c>
      <c r="Z4849">
        <v>0</v>
      </c>
      <c r="AA4849">
        <v>9</v>
      </c>
      <c r="AB4849">
        <v>3</v>
      </c>
      <c r="AC4849">
        <v>0</v>
      </c>
      <c r="AD4849">
        <v>10</v>
      </c>
      <c r="AE4849">
        <v>0</v>
      </c>
      <c r="AF4849">
        <v>3</v>
      </c>
      <c r="AG4849">
        <v>2</v>
      </c>
      <c r="AH4849">
        <v>0</v>
      </c>
      <c r="AI4849" t="s">
        <v>1083</v>
      </c>
      <c r="AJ4849">
        <v>28.238596999999999</v>
      </c>
      <c r="AK4849" t="s">
        <v>1084</v>
      </c>
      <c r="AL4849">
        <v>-82.357935999999995</v>
      </c>
      <c r="AM4849">
        <v>100</v>
      </c>
      <c r="AN4849">
        <v>2200</v>
      </c>
      <c r="AO4849" t="s">
        <v>118</v>
      </c>
      <c r="AP4849">
        <v>-113</v>
      </c>
      <c r="AQ4849">
        <v>-46</v>
      </c>
      <c r="AR4849">
        <v>1280</v>
      </c>
      <c r="AZ4849">
        <v>1200</v>
      </c>
      <c r="BA4849">
        <v>1</v>
      </c>
      <c r="BB4849" t="str">
        <f t="shared" si="2223"/>
        <v xml:space="preserve">N711JA  </v>
      </c>
      <c r="BC4849">
        <v>1</v>
      </c>
      <c r="BE4849">
        <v>0</v>
      </c>
      <c r="BF4849">
        <v>0</v>
      </c>
      <c r="BG4849">
        <v>0</v>
      </c>
      <c r="BH4849">
        <v>2275</v>
      </c>
      <c r="BI4849">
        <v>1</v>
      </c>
      <c r="BJ4849">
        <v>1</v>
      </c>
      <c r="BK4849">
        <v>0</v>
      </c>
      <c r="BL4849">
        <v>0</v>
      </c>
      <c r="BO4849">
        <v>0</v>
      </c>
      <c r="BP4849">
        <v>0</v>
      </c>
      <c r="BW4849" t="str">
        <f t="shared" si="2234"/>
        <v>14:50:10.070</v>
      </c>
      <c r="CJ4849">
        <v>0</v>
      </c>
      <c r="CK4849">
        <v>2</v>
      </c>
      <c r="CL4849">
        <v>0</v>
      </c>
      <c r="CM4849">
        <v>2</v>
      </c>
      <c r="CN4849">
        <v>0</v>
      </c>
      <c r="CO4849">
        <v>7</v>
      </c>
      <c r="CP4849" t="s">
        <v>119</v>
      </c>
      <c r="CQ4849">
        <v>343</v>
      </c>
      <c r="CR4849">
        <v>2</v>
      </c>
      <c r="CW4849">
        <v>13354668</v>
      </c>
      <c r="CY4849">
        <v>1</v>
      </c>
      <c r="CZ4849">
        <v>0</v>
      </c>
      <c r="DA4849">
        <v>1</v>
      </c>
      <c r="DB4849">
        <v>0</v>
      </c>
      <c r="DC4849">
        <v>0</v>
      </c>
      <c r="DD4849">
        <v>1</v>
      </c>
      <c r="DE4849">
        <v>0</v>
      </c>
      <c r="DF4849">
        <v>0</v>
      </c>
      <c r="DG4849">
        <v>0</v>
      </c>
      <c r="DH4849">
        <v>0</v>
      </c>
      <c r="DI4849">
        <v>0</v>
      </c>
    </row>
    <row r="4850" spans="1:113" x14ac:dyDescent="0.3">
      <c r="A4850" t="str">
        <f t="shared" si="2231"/>
        <v>05/12/2020 14:49:52.238</v>
      </c>
      <c r="C4850" t="str">
        <f t="shared" si="2222"/>
        <v>FFDFD3C0</v>
      </c>
      <c r="D4850" t="s">
        <v>138</v>
      </c>
      <c r="E4850">
        <v>3</v>
      </c>
      <c r="H4850">
        <v>9</v>
      </c>
      <c r="I4850" t="s">
        <v>140</v>
      </c>
      <c r="J4850" t="s">
        <v>136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t="str">
        <f t="shared" si="2232"/>
        <v>14:50:10.063</v>
      </c>
      <c r="T4850" t="str">
        <f t="shared" si="2233"/>
        <v>14:50:09.963</v>
      </c>
      <c r="U4850" t="str">
        <f t="shared" si="2209"/>
        <v>A9808D</v>
      </c>
      <c r="V4850">
        <v>0</v>
      </c>
      <c r="W4850">
        <v>0</v>
      </c>
      <c r="X4850">
        <v>1</v>
      </c>
      <c r="Z4850">
        <v>0</v>
      </c>
      <c r="AA4850">
        <v>9</v>
      </c>
      <c r="AB4850">
        <v>3</v>
      </c>
      <c r="AC4850">
        <v>0</v>
      </c>
      <c r="AD4850">
        <v>10</v>
      </c>
      <c r="AE4850">
        <v>0</v>
      </c>
      <c r="AF4850">
        <v>3</v>
      </c>
      <c r="AG4850">
        <v>2</v>
      </c>
      <c r="AH4850">
        <v>0</v>
      </c>
      <c r="AI4850" t="s">
        <v>1083</v>
      </c>
      <c r="AJ4850">
        <v>28.238596999999999</v>
      </c>
      <c r="AK4850" t="s">
        <v>1084</v>
      </c>
      <c r="AL4850">
        <v>-82.357935999999995</v>
      </c>
      <c r="AM4850">
        <v>100</v>
      </c>
      <c r="AN4850">
        <v>2200</v>
      </c>
      <c r="AO4850" t="s">
        <v>118</v>
      </c>
      <c r="AP4850">
        <v>-113</v>
      </c>
      <c r="AQ4850">
        <v>-46</v>
      </c>
      <c r="AR4850">
        <v>1280</v>
      </c>
      <c r="AZ4850">
        <v>1200</v>
      </c>
      <c r="BA4850">
        <v>1</v>
      </c>
      <c r="BB4850" t="str">
        <f t="shared" si="2223"/>
        <v xml:space="preserve">N711JA  </v>
      </c>
      <c r="BC4850">
        <v>1</v>
      </c>
      <c r="BE4850">
        <v>0</v>
      </c>
      <c r="BF4850">
        <v>0</v>
      </c>
      <c r="BG4850">
        <v>0</v>
      </c>
      <c r="BH4850">
        <v>2275</v>
      </c>
      <c r="BI4850">
        <v>1</v>
      </c>
      <c r="BJ4850">
        <v>1</v>
      </c>
      <c r="BK4850">
        <v>0</v>
      </c>
      <c r="BL4850">
        <v>0</v>
      </c>
      <c r="BO4850">
        <v>0</v>
      </c>
      <c r="BP4850">
        <v>0</v>
      </c>
      <c r="BW4850" t="str">
        <f t="shared" si="2234"/>
        <v>14:50:10.070</v>
      </c>
      <c r="CJ4850">
        <v>0</v>
      </c>
      <c r="CK4850">
        <v>2</v>
      </c>
      <c r="CL4850">
        <v>0</v>
      </c>
      <c r="CM4850">
        <v>2</v>
      </c>
      <c r="CN4850">
        <v>0</v>
      </c>
      <c r="CO4850">
        <v>7</v>
      </c>
      <c r="CP4850" t="s">
        <v>119</v>
      </c>
      <c r="CQ4850">
        <v>343</v>
      </c>
      <c r="CR4850">
        <v>2</v>
      </c>
      <c r="CW4850">
        <v>13354668</v>
      </c>
      <c r="CY4850">
        <v>1</v>
      </c>
      <c r="CZ4850">
        <v>0</v>
      </c>
      <c r="DA4850">
        <v>1</v>
      </c>
      <c r="DB4850">
        <v>0</v>
      </c>
      <c r="DC4850">
        <v>0</v>
      </c>
      <c r="DD4850">
        <v>1</v>
      </c>
      <c r="DE4850">
        <v>0</v>
      </c>
      <c r="DF4850">
        <v>0</v>
      </c>
      <c r="DG4850">
        <v>0</v>
      </c>
      <c r="DH4850">
        <v>0</v>
      </c>
      <c r="DI4850">
        <v>0</v>
      </c>
    </row>
    <row r="4851" spans="1:113" x14ac:dyDescent="0.3">
      <c r="A4851" t="str">
        <f t="shared" si="2231"/>
        <v>05/12/2020 14:49:52.238</v>
      </c>
      <c r="C4851" t="str">
        <f t="shared" si="2222"/>
        <v>FFDFD3C0</v>
      </c>
      <c r="D4851" t="s">
        <v>134</v>
      </c>
      <c r="E4851">
        <v>12</v>
      </c>
      <c r="H4851">
        <v>64</v>
      </c>
      <c r="I4851" t="s">
        <v>135</v>
      </c>
      <c r="J4851" t="s">
        <v>136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t="str">
        <f t="shared" si="2232"/>
        <v>14:50:10.063</v>
      </c>
      <c r="T4851" t="str">
        <f t="shared" si="2233"/>
        <v>14:50:09.963</v>
      </c>
      <c r="U4851" t="str">
        <f t="shared" si="2209"/>
        <v>A9808D</v>
      </c>
      <c r="V4851">
        <v>0</v>
      </c>
      <c r="W4851">
        <v>0</v>
      </c>
      <c r="X4851">
        <v>1</v>
      </c>
      <c r="Z4851">
        <v>0</v>
      </c>
      <c r="AA4851">
        <v>9</v>
      </c>
      <c r="AB4851">
        <v>3</v>
      </c>
      <c r="AC4851">
        <v>0</v>
      </c>
      <c r="AD4851">
        <v>10</v>
      </c>
      <c r="AE4851">
        <v>0</v>
      </c>
      <c r="AF4851">
        <v>3</v>
      </c>
      <c r="AG4851">
        <v>2</v>
      </c>
      <c r="AH4851">
        <v>0</v>
      </c>
      <c r="AI4851" t="s">
        <v>1083</v>
      </c>
      <c r="AJ4851">
        <v>28.238596999999999</v>
      </c>
      <c r="AK4851" t="s">
        <v>1084</v>
      </c>
      <c r="AL4851">
        <v>-82.357935999999995</v>
      </c>
      <c r="AM4851">
        <v>100</v>
      </c>
      <c r="AN4851">
        <v>2200</v>
      </c>
      <c r="AO4851" t="s">
        <v>118</v>
      </c>
      <c r="AP4851">
        <v>-113</v>
      </c>
      <c r="AQ4851">
        <v>-46</v>
      </c>
      <c r="AR4851">
        <v>1280</v>
      </c>
      <c r="AZ4851">
        <v>1200</v>
      </c>
      <c r="BA4851">
        <v>1</v>
      </c>
      <c r="BB4851" t="str">
        <f t="shared" si="2223"/>
        <v xml:space="preserve">N711JA  </v>
      </c>
      <c r="BC4851">
        <v>1</v>
      </c>
      <c r="BE4851">
        <v>0</v>
      </c>
      <c r="BF4851">
        <v>0</v>
      </c>
      <c r="BG4851">
        <v>0</v>
      </c>
      <c r="BH4851">
        <v>2275</v>
      </c>
      <c r="BI4851">
        <v>1</v>
      </c>
      <c r="BJ4851">
        <v>1</v>
      </c>
      <c r="BK4851">
        <v>0</v>
      </c>
      <c r="BL4851">
        <v>0</v>
      </c>
      <c r="BO4851">
        <v>0</v>
      </c>
      <c r="BP4851">
        <v>0</v>
      </c>
      <c r="BW4851" t="str">
        <f t="shared" si="2234"/>
        <v>14:50:10.070</v>
      </c>
      <c r="CJ4851">
        <v>0</v>
      </c>
      <c r="CK4851">
        <v>2</v>
      </c>
      <c r="CL4851">
        <v>0</v>
      </c>
      <c r="CM4851">
        <v>2</v>
      </c>
      <c r="CN4851">
        <v>0</v>
      </c>
      <c r="CO4851">
        <v>7</v>
      </c>
      <c r="CP4851" t="s">
        <v>119</v>
      </c>
      <c r="CQ4851">
        <v>343</v>
      </c>
      <c r="CR4851">
        <v>2</v>
      </c>
      <c r="CW4851">
        <v>13354668</v>
      </c>
      <c r="CY4851">
        <v>1</v>
      </c>
      <c r="CZ4851">
        <v>0</v>
      </c>
      <c r="DA4851">
        <v>1</v>
      </c>
      <c r="DB4851">
        <v>0</v>
      </c>
      <c r="DC4851">
        <v>0</v>
      </c>
      <c r="DD4851">
        <v>1</v>
      </c>
      <c r="DE4851">
        <v>0</v>
      </c>
      <c r="DF4851">
        <v>0</v>
      </c>
      <c r="DG4851">
        <v>0</v>
      </c>
      <c r="DH4851">
        <v>0</v>
      </c>
      <c r="DI4851">
        <v>0</v>
      </c>
    </row>
    <row r="4852" spans="1:113" x14ac:dyDescent="0.3">
      <c r="A4852" t="str">
        <f t="shared" si="2231"/>
        <v>05/12/2020 14:49:52.238</v>
      </c>
      <c r="C4852" t="str">
        <f t="shared" si="2222"/>
        <v>FFDFD3C0</v>
      </c>
      <c r="D4852" t="s">
        <v>126</v>
      </c>
      <c r="E4852">
        <v>7</v>
      </c>
      <c r="F4852">
        <v>1007</v>
      </c>
      <c r="G4852" t="s">
        <v>127</v>
      </c>
      <c r="J4852" t="s">
        <v>128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t="str">
        <f t="shared" si="2232"/>
        <v>14:50:10.063</v>
      </c>
      <c r="T4852" t="str">
        <f t="shared" si="2233"/>
        <v>14:50:09.963</v>
      </c>
      <c r="U4852" t="str">
        <f t="shared" si="2209"/>
        <v>A9808D</v>
      </c>
      <c r="V4852">
        <v>0</v>
      </c>
      <c r="W4852">
        <v>0</v>
      </c>
      <c r="X4852">
        <v>1</v>
      </c>
      <c r="Z4852">
        <v>0</v>
      </c>
      <c r="AA4852">
        <v>9</v>
      </c>
      <c r="AB4852">
        <v>3</v>
      </c>
      <c r="AC4852">
        <v>0</v>
      </c>
      <c r="AD4852">
        <v>10</v>
      </c>
      <c r="AE4852">
        <v>0</v>
      </c>
      <c r="AF4852">
        <v>3</v>
      </c>
      <c r="AG4852">
        <v>2</v>
      </c>
      <c r="AH4852">
        <v>0</v>
      </c>
      <c r="AI4852" t="s">
        <v>1083</v>
      </c>
      <c r="AJ4852">
        <v>28.238596999999999</v>
      </c>
      <c r="AK4852" t="s">
        <v>1084</v>
      </c>
      <c r="AL4852">
        <v>-82.357935999999995</v>
      </c>
      <c r="AM4852">
        <v>100</v>
      </c>
      <c r="AN4852">
        <v>2200</v>
      </c>
      <c r="AO4852" t="s">
        <v>118</v>
      </c>
      <c r="AP4852">
        <v>-113</v>
      </c>
      <c r="AQ4852">
        <v>-46</v>
      </c>
      <c r="AR4852">
        <v>1280</v>
      </c>
      <c r="AZ4852">
        <v>1200</v>
      </c>
      <c r="BA4852">
        <v>1</v>
      </c>
      <c r="BB4852" t="str">
        <f t="shared" si="2223"/>
        <v xml:space="preserve">N711JA  </v>
      </c>
      <c r="BC4852">
        <v>1</v>
      </c>
      <c r="BE4852">
        <v>0</v>
      </c>
      <c r="BF4852">
        <v>0</v>
      </c>
      <c r="BG4852">
        <v>0</v>
      </c>
      <c r="BH4852">
        <v>2275</v>
      </c>
      <c r="BI4852">
        <v>1</v>
      </c>
      <c r="BJ4852">
        <v>1</v>
      </c>
      <c r="BK4852">
        <v>0</v>
      </c>
      <c r="BL4852">
        <v>0</v>
      </c>
      <c r="BO4852">
        <v>0</v>
      </c>
      <c r="BP4852">
        <v>0</v>
      </c>
      <c r="BW4852" t="str">
        <f t="shared" si="2234"/>
        <v>14:50:10.070</v>
      </c>
      <c r="CJ4852">
        <v>0</v>
      </c>
      <c r="CK4852">
        <v>2</v>
      </c>
      <c r="CL4852">
        <v>0</v>
      </c>
      <c r="CM4852">
        <v>2</v>
      </c>
      <c r="CN4852">
        <v>0</v>
      </c>
      <c r="CO4852">
        <v>7</v>
      </c>
      <c r="CP4852" t="s">
        <v>119</v>
      </c>
      <c r="CQ4852">
        <v>343</v>
      </c>
      <c r="CR4852">
        <v>2</v>
      </c>
      <c r="CW4852">
        <v>13354668</v>
      </c>
      <c r="CY4852">
        <v>1</v>
      </c>
      <c r="CZ4852">
        <v>0</v>
      </c>
      <c r="DA4852">
        <v>1</v>
      </c>
      <c r="DB4852">
        <v>0</v>
      </c>
      <c r="DC4852">
        <v>0</v>
      </c>
      <c r="DD4852">
        <v>1</v>
      </c>
      <c r="DE4852">
        <v>0</v>
      </c>
      <c r="DF4852">
        <v>0</v>
      </c>
      <c r="DG4852">
        <v>0</v>
      </c>
      <c r="DH4852">
        <v>0</v>
      </c>
      <c r="DI4852">
        <v>0</v>
      </c>
    </row>
    <row r="4853" spans="1:113" x14ac:dyDescent="0.3">
      <c r="A4853" t="str">
        <f t="shared" si="2231"/>
        <v>05/12/2020 14:49:52.238</v>
      </c>
      <c r="C4853" t="str">
        <f t="shared" si="2222"/>
        <v>FFDFD3C0</v>
      </c>
      <c r="D4853" t="s">
        <v>131</v>
      </c>
      <c r="E4853">
        <v>10</v>
      </c>
      <c r="F4853">
        <v>2010</v>
      </c>
      <c r="G4853" t="s">
        <v>132</v>
      </c>
      <c r="J4853" t="s">
        <v>133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t="str">
        <f t="shared" si="2232"/>
        <v>14:50:10.063</v>
      </c>
      <c r="T4853" t="str">
        <f t="shared" si="2233"/>
        <v>14:50:09.963</v>
      </c>
      <c r="U4853" t="str">
        <f t="shared" si="2209"/>
        <v>A9808D</v>
      </c>
      <c r="V4853">
        <v>0</v>
      </c>
      <c r="W4853">
        <v>0</v>
      </c>
      <c r="X4853">
        <v>1</v>
      </c>
      <c r="Z4853">
        <v>0</v>
      </c>
      <c r="AA4853">
        <v>9</v>
      </c>
      <c r="AB4853">
        <v>3</v>
      </c>
      <c r="AC4853">
        <v>0</v>
      </c>
      <c r="AD4853">
        <v>10</v>
      </c>
      <c r="AE4853">
        <v>0</v>
      </c>
      <c r="AF4853">
        <v>3</v>
      </c>
      <c r="AG4853">
        <v>2</v>
      </c>
      <c r="AH4853">
        <v>0</v>
      </c>
      <c r="AI4853" t="s">
        <v>1083</v>
      </c>
      <c r="AJ4853">
        <v>28.238596999999999</v>
      </c>
      <c r="AK4853" t="s">
        <v>1084</v>
      </c>
      <c r="AL4853">
        <v>-82.357935999999995</v>
      </c>
      <c r="AM4853">
        <v>100</v>
      </c>
      <c r="AN4853">
        <v>2200</v>
      </c>
      <c r="AO4853" t="s">
        <v>118</v>
      </c>
      <c r="AP4853">
        <v>-113</v>
      </c>
      <c r="AQ4853">
        <v>-46</v>
      </c>
      <c r="AR4853">
        <v>1280</v>
      </c>
      <c r="AZ4853">
        <v>1200</v>
      </c>
      <c r="BA4853">
        <v>1</v>
      </c>
      <c r="BB4853" t="str">
        <f t="shared" si="2223"/>
        <v xml:space="preserve">N711JA  </v>
      </c>
      <c r="BC4853">
        <v>1</v>
      </c>
      <c r="BE4853">
        <v>0</v>
      </c>
      <c r="BF4853">
        <v>0</v>
      </c>
      <c r="BG4853">
        <v>0</v>
      </c>
      <c r="BH4853">
        <v>2275</v>
      </c>
      <c r="BI4853">
        <v>1</v>
      </c>
      <c r="BJ4853">
        <v>1</v>
      </c>
      <c r="BK4853">
        <v>0</v>
      </c>
      <c r="BL4853">
        <v>0</v>
      </c>
      <c r="BO4853">
        <v>0</v>
      </c>
      <c r="BP4853">
        <v>0</v>
      </c>
      <c r="BW4853" t="str">
        <f t="shared" si="2234"/>
        <v>14:50:10.070</v>
      </c>
      <c r="CJ4853">
        <v>0</v>
      </c>
      <c r="CK4853">
        <v>2</v>
      </c>
      <c r="CL4853">
        <v>0</v>
      </c>
      <c r="CM4853">
        <v>2</v>
      </c>
      <c r="CN4853">
        <v>0</v>
      </c>
      <c r="CO4853">
        <v>7</v>
      </c>
      <c r="CP4853" t="s">
        <v>119</v>
      </c>
      <c r="CQ4853">
        <v>343</v>
      </c>
      <c r="CR4853">
        <v>2</v>
      </c>
      <c r="CW4853">
        <v>13354668</v>
      </c>
      <c r="CY4853">
        <v>1</v>
      </c>
      <c r="CZ4853">
        <v>0</v>
      </c>
      <c r="DA4853">
        <v>1</v>
      </c>
      <c r="DB4853">
        <v>0</v>
      </c>
      <c r="DC4853">
        <v>0</v>
      </c>
      <c r="DD4853">
        <v>1</v>
      </c>
      <c r="DE4853">
        <v>0</v>
      </c>
      <c r="DF4853">
        <v>0</v>
      </c>
      <c r="DG4853">
        <v>0</v>
      </c>
      <c r="DH4853">
        <v>0</v>
      </c>
      <c r="DI4853">
        <v>0</v>
      </c>
    </row>
    <row r="4854" spans="1:113" x14ac:dyDescent="0.3">
      <c r="A4854" t="str">
        <f t="shared" si="2231"/>
        <v>05/12/2020 14:49:52.238</v>
      </c>
      <c r="C4854" t="str">
        <f t="shared" si="2222"/>
        <v>FFDFD3C0</v>
      </c>
      <c r="D4854" t="s">
        <v>131</v>
      </c>
      <c r="E4854">
        <v>12</v>
      </c>
      <c r="F4854">
        <v>2012</v>
      </c>
      <c r="G4854" t="s">
        <v>137</v>
      </c>
      <c r="J4854" t="s">
        <v>133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t="str">
        <f t="shared" si="2232"/>
        <v>14:50:10.063</v>
      </c>
      <c r="T4854" t="str">
        <f t="shared" si="2233"/>
        <v>14:50:09.963</v>
      </c>
      <c r="U4854" t="str">
        <f t="shared" si="2209"/>
        <v>A9808D</v>
      </c>
      <c r="V4854">
        <v>0</v>
      </c>
      <c r="W4854">
        <v>0</v>
      </c>
      <c r="X4854">
        <v>1</v>
      </c>
      <c r="Z4854">
        <v>0</v>
      </c>
      <c r="AA4854">
        <v>9</v>
      </c>
      <c r="AB4854">
        <v>3</v>
      </c>
      <c r="AC4854">
        <v>0</v>
      </c>
      <c r="AD4854">
        <v>10</v>
      </c>
      <c r="AE4854">
        <v>0</v>
      </c>
      <c r="AF4854">
        <v>3</v>
      </c>
      <c r="AG4854">
        <v>2</v>
      </c>
      <c r="AH4854">
        <v>0</v>
      </c>
      <c r="AI4854" t="s">
        <v>1083</v>
      </c>
      <c r="AJ4854">
        <v>28.238596999999999</v>
      </c>
      <c r="AK4854" t="s">
        <v>1084</v>
      </c>
      <c r="AL4854">
        <v>-82.357935999999995</v>
      </c>
      <c r="AM4854">
        <v>100</v>
      </c>
      <c r="AN4854">
        <v>2200</v>
      </c>
      <c r="AO4854" t="s">
        <v>118</v>
      </c>
      <c r="AP4854">
        <v>-113</v>
      </c>
      <c r="AQ4854">
        <v>-46</v>
      </c>
      <c r="AR4854">
        <v>1280</v>
      </c>
      <c r="AZ4854">
        <v>1200</v>
      </c>
      <c r="BA4854">
        <v>1</v>
      </c>
      <c r="BB4854" t="str">
        <f t="shared" si="2223"/>
        <v xml:space="preserve">N711JA  </v>
      </c>
      <c r="BC4854">
        <v>1</v>
      </c>
      <c r="BE4854">
        <v>0</v>
      </c>
      <c r="BF4854">
        <v>0</v>
      </c>
      <c r="BG4854">
        <v>0</v>
      </c>
      <c r="BH4854">
        <v>2275</v>
      </c>
      <c r="BI4854">
        <v>1</v>
      </c>
      <c r="BJ4854">
        <v>1</v>
      </c>
      <c r="BK4854">
        <v>0</v>
      </c>
      <c r="BL4854">
        <v>0</v>
      </c>
      <c r="BO4854">
        <v>0</v>
      </c>
      <c r="BP4854">
        <v>0</v>
      </c>
      <c r="BW4854" t="str">
        <f t="shared" si="2234"/>
        <v>14:50:10.070</v>
      </c>
      <c r="CJ4854">
        <v>0</v>
      </c>
      <c r="CK4854">
        <v>2</v>
      </c>
      <c r="CL4854">
        <v>0</v>
      </c>
      <c r="CM4854">
        <v>2</v>
      </c>
      <c r="CN4854">
        <v>0</v>
      </c>
      <c r="CO4854">
        <v>7</v>
      </c>
      <c r="CP4854" t="s">
        <v>119</v>
      </c>
      <c r="CQ4854">
        <v>343</v>
      </c>
      <c r="CR4854">
        <v>2</v>
      </c>
      <c r="CW4854">
        <v>13354668</v>
      </c>
      <c r="CY4854">
        <v>1</v>
      </c>
      <c r="CZ4854">
        <v>0</v>
      </c>
      <c r="DA4854">
        <v>1</v>
      </c>
      <c r="DB4854">
        <v>0</v>
      </c>
      <c r="DC4854">
        <v>0</v>
      </c>
      <c r="DD4854">
        <v>1</v>
      </c>
      <c r="DE4854">
        <v>0</v>
      </c>
      <c r="DF4854">
        <v>0</v>
      </c>
      <c r="DG4854">
        <v>0</v>
      </c>
      <c r="DH4854">
        <v>0</v>
      </c>
      <c r="DI4854">
        <v>0</v>
      </c>
    </row>
    <row r="4855" spans="1:113" x14ac:dyDescent="0.3">
      <c r="A4855" t="str">
        <f t="shared" si="2231"/>
        <v>05/12/2020 14:49:52.238</v>
      </c>
      <c r="C4855" t="str">
        <f t="shared" si="2222"/>
        <v>FFDFD3C0</v>
      </c>
      <c r="D4855" t="s">
        <v>131</v>
      </c>
      <c r="E4855">
        <v>18</v>
      </c>
      <c r="F4855">
        <v>2018</v>
      </c>
      <c r="G4855" t="s">
        <v>161</v>
      </c>
      <c r="J4855" t="s">
        <v>133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t="str">
        <f t="shared" si="2232"/>
        <v>14:50:10.063</v>
      </c>
      <c r="T4855" t="str">
        <f t="shared" si="2233"/>
        <v>14:50:09.963</v>
      </c>
      <c r="U4855" t="str">
        <f t="shared" si="2209"/>
        <v>A9808D</v>
      </c>
      <c r="V4855">
        <v>0</v>
      </c>
      <c r="W4855">
        <v>0</v>
      </c>
      <c r="X4855">
        <v>1</v>
      </c>
      <c r="Z4855">
        <v>0</v>
      </c>
      <c r="AA4855">
        <v>9</v>
      </c>
      <c r="AB4855">
        <v>3</v>
      </c>
      <c r="AC4855">
        <v>0</v>
      </c>
      <c r="AD4855">
        <v>10</v>
      </c>
      <c r="AE4855">
        <v>0</v>
      </c>
      <c r="AF4855">
        <v>3</v>
      </c>
      <c r="AG4855">
        <v>2</v>
      </c>
      <c r="AH4855">
        <v>0</v>
      </c>
      <c r="AI4855" t="s">
        <v>1083</v>
      </c>
      <c r="AJ4855">
        <v>28.238596999999999</v>
      </c>
      <c r="AK4855" t="s">
        <v>1084</v>
      </c>
      <c r="AL4855">
        <v>-82.357935999999995</v>
      </c>
      <c r="AM4855">
        <v>100</v>
      </c>
      <c r="AN4855">
        <v>2200</v>
      </c>
      <c r="AO4855" t="s">
        <v>118</v>
      </c>
      <c r="AP4855">
        <v>-113</v>
      </c>
      <c r="AQ4855">
        <v>-46</v>
      </c>
      <c r="AR4855">
        <v>1280</v>
      </c>
      <c r="AZ4855">
        <v>1200</v>
      </c>
      <c r="BA4855">
        <v>1</v>
      </c>
      <c r="BB4855" t="str">
        <f t="shared" si="2223"/>
        <v xml:space="preserve">N711JA  </v>
      </c>
      <c r="BC4855">
        <v>1</v>
      </c>
      <c r="BE4855">
        <v>0</v>
      </c>
      <c r="BF4855">
        <v>0</v>
      </c>
      <c r="BG4855">
        <v>0</v>
      </c>
      <c r="BH4855">
        <v>2275</v>
      </c>
      <c r="BI4855">
        <v>1</v>
      </c>
      <c r="BJ4855">
        <v>1</v>
      </c>
      <c r="BK4855">
        <v>0</v>
      </c>
      <c r="BL4855">
        <v>0</v>
      </c>
      <c r="BO4855">
        <v>0</v>
      </c>
      <c r="BP4855">
        <v>0</v>
      </c>
      <c r="BW4855" t="str">
        <f t="shared" si="2234"/>
        <v>14:50:10.070</v>
      </c>
      <c r="CJ4855">
        <v>0</v>
      </c>
      <c r="CK4855">
        <v>2</v>
      </c>
      <c r="CL4855">
        <v>0</v>
      </c>
      <c r="CM4855">
        <v>2</v>
      </c>
      <c r="CN4855">
        <v>0</v>
      </c>
      <c r="CO4855">
        <v>7</v>
      </c>
      <c r="CP4855" t="s">
        <v>119</v>
      </c>
      <c r="CQ4855">
        <v>343</v>
      </c>
      <c r="CR4855">
        <v>2</v>
      </c>
      <c r="CW4855">
        <v>13354668</v>
      </c>
      <c r="CY4855">
        <v>1</v>
      </c>
      <c r="CZ4855">
        <v>0</v>
      </c>
      <c r="DA4855">
        <v>1</v>
      </c>
      <c r="DB4855">
        <v>0</v>
      </c>
      <c r="DC4855">
        <v>0</v>
      </c>
      <c r="DD4855">
        <v>1</v>
      </c>
      <c r="DE4855">
        <v>0</v>
      </c>
      <c r="DF4855">
        <v>0</v>
      </c>
      <c r="DG4855">
        <v>0</v>
      </c>
      <c r="DH4855">
        <v>0</v>
      </c>
      <c r="DI4855">
        <v>0</v>
      </c>
    </row>
    <row r="4856" spans="1:113" x14ac:dyDescent="0.3">
      <c r="A4856" t="str">
        <f t="shared" si="2231"/>
        <v>05/12/2020 14:49:52.238</v>
      </c>
      <c r="C4856" t="str">
        <f t="shared" si="2222"/>
        <v>FFDFD3C0</v>
      </c>
      <c r="D4856" t="s">
        <v>126</v>
      </c>
      <c r="E4856">
        <v>6</v>
      </c>
      <c r="F4856">
        <v>1006</v>
      </c>
      <c r="G4856" t="s">
        <v>114</v>
      </c>
      <c r="J4856" t="s">
        <v>128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t="str">
        <f t="shared" si="2232"/>
        <v>14:50:10.063</v>
      </c>
      <c r="T4856" t="str">
        <f t="shared" si="2233"/>
        <v>14:50:09.963</v>
      </c>
      <c r="U4856" t="str">
        <f t="shared" si="2209"/>
        <v>A9808D</v>
      </c>
      <c r="V4856">
        <v>0</v>
      </c>
      <c r="W4856">
        <v>0</v>
      </c>
      <c r="X4856">
        <v>1</v>
      </c>
      <c r="Z4856">
        <v>0</v>
      </c>
      <c r="AA4856">
        <v>9</v>
      </c>
      <c r="AB4856">
        <v>3</v>
      </c>
      <c r="AC4856">
        <v>0</v>
      </c>
      <c r="AD4856">
        <v>10</v>
      </c>
      <c r="AE4856">
        <v>0</v>
      </c>
      <c r="AF4856">
        <v>3</v>
      </c>
      <c r="AG4856">
        <v>2</v>
      </c>
      <c r="AH4856">
        <v>0</v>
      </c>
      <c r="AI4856" t="s">
        <v>1083</v>
      </c>
      <c r="AJ4856">
        <v>28.238596999999999</v>
      </c>
      <c r="AK4856" t="s">
        <v>1084</v>
      </c>
      <c r="AL4856">
        <v>-82.357935999999995</v>
      </c>
      <c r="AM4856">
        <v>100</v>
      </c>
      <c r="AN4856">
        <v>2200</v>
      </c>
      <c r="AO4856" t="s">
        <v>118</v>
      </c>
      <c r="AP4856">
        <v>-113</v>
      </c>
      <c r="AQ4856">
        <v>-46</v>
      </c>
      <c r="AR4856">
        <v>1280</v>
      </c>
      <c r="AZ4856">
        <v>1200</v>
      </c>
      <c r="BA4856">
        <v>1</v>
      </c>
      <c r="BB4856" t="str">
        <f t="shared" si="2223"/>
        <v xml:space="preserve">N711JA  </v>
      </c>
      <c r="BC4856">
        <v>1</v>
      </c>
      <c r="BE4856">
        <v>0</v>
      </c>
      <c r="BF4856">
        <v>0</v>
      </c>
      <c r="BG4856">
        <v>0</v>
      </c>
      <c r="BH4856">
        <v>2275</v>
      </c>
      <c r="BI4856">
        <v>1</v>
      </c>
      <c r="BJ4856">
        <v>1</v>
      </c>
      <c r="BK4856">
        <v>0</v>
      </c>
      <c r="BL4856">
        <v>0</v>
      </c>
      <c r="BO4856">
        <v>0</v>
      </c>
      <c r="BP4856">
        <v>0</v>
      </c>
      <c r="BW4856" t="str">
        <f t="shared" si="2234"/>
        <v>14:50:10.070</v>
      </c>
      <c r="CJ4856">
        <v>0</v>
      </c>
      <c r="CK4856">
        <v>2</v>
      </c>
      <c r="CL4856">
        <v>0</v>
      </c>
      <c r="CM4856">
        <v>2</v>
      </c>
      <c r="CN4856">
        <v>0</v>
      </c>
      <c r="CO4856">
        <v>7</v>
      </c>
      <c r="CP4856" t="s">
        <v>119</v>
      </c>
      <c r="CQ4856">
        <v>343</v>
      </c>
      <c r="CR4856">
        <v>2</v>
      </c>
      <c r="CW4856">
        <v>13354668</v>
      </c>
      <c r="CY4856">
        <v>1</v>
      </c>
      <c r="CZ4856">
        <v>0</v>
      </c>
      <c r="DA4856">
        <v>1</v>
      </c>
      <c r="DB4856">
        <v>0</v>
      </c>
      <c r="DC4856">
        <v>0</v>
      </c>
      <c r="DD4856">
        <v>1</v>
      </c>
      <c r="DE4856">
        <v>0</v>
      </c>
      <c r="DF4856">
        <v>0</v>
      </c>
      <c r="DG4856">
        <v>0</v>
      </c>
      <c r="DH4856">
        <v>0</v>
      </c>
      <c r="DI4856">
        <v>0</v>
      </c>
    </row>
    <row r="4857" spans="1:113" x14ac:dyDescent="0.3">
      <c r="A4857" t="str">
        <f t="shared" ref="A4857:A4865" si="2235">"05/12/2020 14:49:53.200"</f>
        <v>05/12/2020 14:49:53.200</v>
      </c>
      <c r="C4857" t="str">
        <f t="shared" si="2222"/>
        <v>FFDFD3C0</v>
      </c>
      <c r="D4857" t="s">
        <v>113</v>
      </c>
      <c r="E4857">
        <v>3</v>
      </c>
      <c r="H4857">
        <v>164</v>
      </c>
      <c r="I4857" t="s">
        <v>114</v>
      </c>
      <c r="J4857" t="s">
        <v>115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t="str">
        <f t="shared" ref="S4857:S4865" si="2236">"14:50:10.992"</f>
        <v>14:50:10.992</v>
      </c>
      <c r="T4857" t="str">
        <f t="shared" ref="T4857:T4865" si="2237">"14:50:10.492"</f>
        <v>14:50:10.492</v>
      </c>
      <c r="U4857" t="str">
        <f t="shared" si="2209"/>
        <v>A9808D</v>
      </c>
      <c r="V4857">
        <v>0</v>
      </c>
      <c r="W4857">
        <v>0</v>
      </c>
      <c r="X4857">
        <v>1</v>
      </c>
      <c r="Z4857">
        <v>0</v>
      </c>
      <c r="AA4857">
        <v>9</v>
      </c>
      <c r="AB4857">
        <v>3</v>
      </c>
      <c r="AC4857">
        <v>0</v>
      </c>
      <c r="AD4857">
        <v>10</v>
      </c>
      <c r="AE4857">
        <v>0</v>
      </c>
      <c r="AF4857">
        <v>3</v>
      </c>
      <c r="AG4857">
        <v>2</v>
      </c>
      <c r="AH4857">
        <v>0</v>
      </c>
      <c r="AI4857" t="s">
        <v>1085</v>
      </c>
      <c r="AJ4857">
        <v>28.238382000000001</v>
      </c>
      <c r="AK4857" t="s">
        <v>1086</v>
      </c>
      <c r="AL4857">
        <v>-82.358429000000001</v>
      </c>
      <c r="AM4857">
        <v>100</v>
      </c>
      <c r="AN4857">
        <v>2200</v>
      </c>
      <c r="AO4857" t="s">
        <v>118</v>
      </c>
      <c r="AP4857">
        <v>-113</v>
      </c>
      <c r="AQ4857">
        <v>-45</v>
      </c>
      <c r="AR4857">
        <v>1280</v>
      </c>
      <c r="AZ4857">
        <v>1200</v>
      </c>
      <c r="BA4857">
        <v>1</v>
      </c>
      <c r="BB4857" t="str">
        <f t="shared" si="2223"/>
        <v xml:space="preserve">N711JA  </v>
      </c>
      <c r="BC4857">
        <v>1</v>
      </c>
      <c r="BE4857">
        <v>0</v>
      </c>
      <c r="BF4857">
        <v>0</v>
      </c>
      <c r="BG4857">
        <v>0</v>
      </c>
      <c r="BH4857">
        <v>2275</v>
      </c>
      <c r="BI4857">
        <v>1</v>
      </c>
      <c r="BJ4857">
        <v>1</v>
      </c>
      <c r="BK4857">
        <v>0</v>
      </c>
      <c r="BL4857">
        <v>0</v>
      </c>
      <c r="BO4857">
        <v>0</v>
      </c>
      <c r="BP4857">
        <v>0</v>
      </c>
      <c r="BW4857" t="str">
        <f t="shared" ref="BW4857:BW4865" si="2238">"14:50:10.995"</f>
        <v>14:50:10.995</v>
      </c>
      <c r="CJ4857">
        <v>0</v>
      </c>
      <c r="CK4857">
        <v>2</v>
      </c>
      <c r="CL4857">
        <v>0</v>
      </c>
      <c r="CM4857">
        <v>2</v>
      </c>
      <c r="CN4857">
        <v>0</v>
      </c>
      <c r="CO4857">
        <v>7</v>
      </c>
      <c r="CP4857" t="s">
        <v>119</v>
      </c>
      <c r="CQ4857">
        <v>343</v>
      </c>
      <c r="CR4857">
        <v>2</v>
      </c>
      <c r="CW4857">
        <v>13355464</v>
      </c>
      <c r="CY4857">
        <v>1</v>
      </c>
      <c r="CZ4857">
        <v>0</v>
      </c>
      <c r="DA4857">
        <v>0</v>
      </c>
      <c r="DB4857">
        <v>0</v>
      </c>
      <c r="DC4857">
        <v>0</v>
      </c>
      <c r="DD4857">
        <v>1</v>
      </c>
      <c r="DE4857">
        <v>0</v>
      </c>
      <c r="DF4857">
        <v>0</v>
      </c>
      <c r="DG4857">
        <v>0</v>
      </c>
      <c r="DH4857">
        <v>0</v>
      </c>
      <c r="DI4857">
        <v>0</v>
      </c>
    </row>
    <row r="4858" spans="1:113" x14ac:dyDescent="0.3">
      <c r="A4858" t="str">
        <f t="shared" si="2235"/>
        <v>05/12/2020 14:49:53.200</v>
      </c>
      <c r="C4858" t="str">
        <f t="shared" si="2222"/>
        <v>FFDFD3C0</v>
      </c>
      <c r="D4858" t="s">
        <v>138</v>
      </c>
      <c r="E4858">
        <v>2</v>
      </c>
      <c r="H4858">
        <v>8</v>
      </c>
      <c r="I4858" t="s">
        <v>139</v>
      </c>
      <c r="J4858" t="s">
        <v>136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t="str">
        <f t="shared" si="2236"/>
        <v>14:50:10.992</v>
      </c>
      <c r="T4858" t="str">
        <f t="shared" si="2237"/>
        <v>14:50:10.492</v>
      </c>
      <c r="U4858" t="str">
        <f t="shared" si="2209"/>
        <v>A9808D</v>
      </c>
      <c r="V4858">
        <v>0</v>
      </c>
      <c r="W4858">
        <v>0</v>
      </c>
      <c r="X4858">
        <v>1</v>
      </c>
      <c r="Z4858">
        <v>0</v>
      </c>
      <c r="AA4858">
        <v>9</v>
      </c>
      <c r="AB4858">
        <v>3</v>
      </c>
      <c r="AC4858">
        <v>0</v>
      </c>
      <c r="AD4858">
        <v>10</v>
      </c>
      <c r="AE4858">
        <v>0</v>
      </c>
      <c r="AF4858">
        <v>3</v>
      </c>
      <c r="AG4858">
        <v>2</v>
      </c>
      <c r="AH4858">
        <v>0</v>
      </c>
      <c r="AI4858" t="s">
        <v>1085</v>
      </c>
      <c r="AJ4858">
        <v>28.238382000000001</v>
      </c>
      <c r="AK4858" t="s">
        <v>1086</v>
      </c>
      <c r="AL4858">
        <v>-82.358429000000001</v>
      </c>
      <c r="AM4858">
        <v>100</v>
      </c>
      <c r="AN4858">
        <v>2200</v>
      </c>
      <c r="AO4858" t="s">
        <v>118</v>
      </c>
      <c r="AP4858">
        <v>-113</v>
      </c>
      <c r="AQ4858">
        <v>-45</v>
      </c>
      <c r="AR4858">
        <v>1280</v>
      </c>
      <c r="AZ4858">
        <v>1200</v>
      </c>
      <c r="BA4858">
        <v>1</v>
      </c>
      <c r="BB4858" t="str">
        <f t="shared" si="2223"/>
        <v xml:space="preserve">N711JA  </v>
      </c>
      <c r="BC4858">
        <v>1</v>
      </c>
      <c r="BE4858">
        <v>0</v>
      </c>
      <c r="BF4858">
        <v>0</v>
      </c>
      <c r="BG4858">
        <v>0</v>
      </c>
      <c r="BH4858">
        <v>2275</v>
      </c>
      <c r="BI4858">
        <v>1</v>
      </c>
      <c r="BJ4858">
        <v>1</v>
      </c>
      <c r="BK4858">
        <v>0</v>
      </c>
      <c r="BL4858">
        <v>0</v>
      </c>
      <c r="BO4858">
        <v>0</v>
      </c>
      <c r="BP4858">
        <v>0</v>
      </c>
      <c r="BW4858" t="str">
        <f t="shared" si="2238"/>
        <v>14:50:10.995</v>
      </c>
      <c r="CJ4858">
        <v>0</v>
      </c>
      <c r="CK4858">
        <v>2</v>
      </c>
      <c r="CL4858">
        <v>0</v>
      </c>
      <c r="CM4858">
        <v>2</v>
      </c>
      <c r="CN4858">
        <v>0</v>
      </c>
      <c r="CO4858">
        <v>7</v>
      </c>
      <c r="CP4858" t="s">
        <v>119</v>
      </c>
      <c r="CQ4858">
        <v>343</v>
      </c>
      <c r="CR4858">
        <v>2</v>
      </c>
      <c r="CW4858">
        <v>13355464</v>
      </c>
      <c r="CY4858">
        <v>1</v>
      </c>
      <c r="CZ4858">
        <v>0</v>
      </c>
      <c r="DA4858">
        <v>1</v>
      </c>
      <c r="DB4858">
        <v>0</v>
      </c>
      <c r="DC4858">
        <v>0</v>
      </c>
      <c r="DD4858">
        <v>1</v>
      </c>
      <c r="DE4858">
        <v>0</v>
      </c>
      <c r="DF4858">
        <v>0</v>
      </c>
      <c r="DG4858">
        <v>0</v>
      </c>
      <c r="DH4858">
        <v>0</v>
      </c>
      <c r="DI4858">
        <v>0</v>
      </c>
    </row>
    <row r="4859" spans="1:113" x14ac:dyDescent="0.3">
      <c r="A4859" t="str">
        <f t="shared" si="2235"/>
        <v>05/12/2020 14:49:53.200</v>
      </c>
      <c r="C4859" t="str">
        <f t="shared" si="2222"/>
        <v>FFDFD3C0</v>
      </c>
      <c r="D4859" t="s">
        <v>138</v>
      </c>
      <c r="E4859">
        <v>3</v>
      </c>
      <c r="H4859">
        <v>9</v>
      </c>
      <c r="I4859" t="s">
        <v>140</v>
      </c>
      <c r="J4859" t="s">
        <v>136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t="str">
        <f t="shared" si="2236"/>
        <v>14:50:10.992</v>
      </c>
      <c r="T4859" t="str">
        <f t="shared" si="2237"/>
        <v>14:50:10.492</v>
      </c>
      <c r="U4859" t="str">
        <f t="shared" si="2209"/>
        <v>A9808D</v>
      </c>
      <c r="V4859">
        <v>0</v>
      </c>
      <c r="W4859">
        <v>0</v>
      </c>
      <c r="X4859">
        <v>1</v>
      </c>
      <c r="Z4859">
        <v>0</v>
      </c>
      <c r="AA4859">
        <v>9</v>
      </c>
      <c r="AB4859">
        <v>3</v>
      </c>
      <c r="AC4859">
        <v>0</v>
      </c>
      <c r="AD4859">
        <v>10</v>
      </c>
      <c r="AE4859">
        <v>0</v>
      </c>
      <c r="AF4859">
        <v>3</v>
      </c>
      <c r="AG4859">
        <v>2</v>
      </c>
      <c r="AH4859">
        <v>0</v>
      </c>
      <c r="AI4859" t="s">
        <v>1085</v>
      </c>
      <c r="AJ4859">
        <v>28.238382000000001</v>
      </c>
      <c r="AK4859" t="s">
        <v>1086</v>
      </c>
      <c r="AL4859">
        <v>-82.358429000000001</v>
      </c>
      <c r="AM4859">
        <v>100</v>
      </c>
      <c r="AN4859">
        <v>2200</v>
      </c>
      <c r="AO4859" t="s">
        <v>118</v>
      </c>
      <c r="AP4859">
        <v>-113</v>
      </c>
      <c r="AQ4859">
        <v>-45</v>
      </c>
      <c r="AR4859">
        <v>1280</v>
      </c>
      <c r="AZ4859">
        <v>1200</v>
      </c>
      <c r="BA4859">
        <v>1</v>
      </c>
      <c r="BB4859" t="str">
        <f t="shared" si="2223"/>
        <v xml:space="preserve">N711JA  </v>
      </c>
      <c r="BC4859">
        <v>1</v>
      </c>
      <c r="BE4859">
        <v>0</v>
      </c>
      <c r="BF4859">
        <v>0</v>
      </c>
      <c r="BG4859">
        <v>0</v>
      </c>
      <c r="BH4859">
        <v>2275</v>
      </c>
      <c r="BI4859">
        <v>1</v>
      </c>
      <c r="BJ4859">
        <v>1</v>
      </c>
      <c r="BK4859">
        <v>0</v>
      </c>
      <c r="BL4859">
        <v>0</v>
      </c>
      <c r="BO4859">
        <v>0</v>
      </c>
      <c r="BP4859">
        <v>0</v>
      </c>
      <c r="BW4859" t="str">
        <f t="shared" si="2238"/>
        <v>14:50:10.995</v>
      </c>
      <c r="CJ4859">
        <v>0</v>
      </c>
      <c r="CK4859">
        <v>2</v>
      </c>
      <c r="CL4859">
        <v>0</v>
      </c>
      <c r="CM4859">
        <v>2</v>
      </c>
      <c r="CN4859">
        <v>0</v>
      </c>
      <c r="CO4859">
        <v>7</v>
      </c>
      <c r="CP4859" t="s">
        <v>119</v>
      </c>
      <c r="CQ4859">
        <v>343</v>
      </c>
      <c r="CR4859">
        <v>2</v>
      </c>
      <c r="CW4859">
        <v>13355464</v>
      </c>
      <c r="CY4859">
        <v>1</v>
      </c>
      <c r="CZ4859">
        <v>0</v>
      </c>
      <c r="DA4859">
        <v>1</v>
      </c>
      <c r="DB4859">
        <v>0</v>
      </c>
      <c r="DC4859">
        <v>0</v>
      </c>
      <c r="DD4859">
        <v>1</v>
      </c>
      <c r="DE4859">
        <v>0</v>
      </c>
      <c r="DF4859">
        <v>0</v>
      </c>
      <c r="DG4859">
        <v>0</v>
      </c>
      <c r="DH4859">
        <v>0</v>
      </c>
      <c r="DI4859">
        <v>0</v>
      </c>
    </row>
    <row r="4860" spans="1:113" x14ac:dyDescent="0.3">
      <c r="A4860" t="str">
        <f t="shared" si="2235"/>
        <v>05/12/2020 14:49:53.200</v>
      </c>
      <c r="C4860" t="str">
        <f t="shared" si="2222"/>
        <v>FFDFD3C0</v>
      </c>
      <c r="D4860" t="s">
        <v>131</v>
      </c>
      <c r="E4860">
        <v>10</v>
      </c>
      <c r="F4860">
        <v>2010</v>
      </c>
      <c r="G4860" t="s">
        <v>132</v>
      </c>
      <c r="J4860" t="s">
        <v>133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t="str">
        <f t="shared" si="2236"/>
        <v>14:50:10.992</v>
      </c>
      <c r="T4860" t="str">
        <f t="shared" si="2237"/>
        <v>14:50:10.492</v>
      </c>
      <c r="U4860" t="str">
        <f t="shared" si="2209"/>
        <v>A9808D</v>
      </c>
      <c r="V4860">
        <v>0</v>
      </c>
      <c r="W4860">
        <v>0</v>
      </c>
      <c r="X4860">
        <v>1</v>
      </c>
      <c r="Z4860">
        <v>0</v>
      </c>
      <c r="AA4860">
        <v>9</v>
      </c>
      <c r="AB4860">
        <v>3</v>
      </c>
      <c r="AC4860">
        <v>0</v>
      </c>
      <c r="AD4860">
        <v>10</v>
      </c>
      <c r="AE4860">
        <v>0</v>
      </c>
      <c r="AF4860">
        <v>3</v>
      </c>
      <c r="AG4860">
        <v>2</v>
      </c>
      <c r="AH4860">
        <v>0</v>
      </c>
      <c r="AI4860" t="s">
        <v>1085</v>
      </c>
      <c r="AJ4860">
        <v>28.238382000000001</v>
      </c>
      <c r="AK4860" t="s">
        <v>1086</v>
      </c>
      <c r="AL4860">
        <v>-82.358429000000001</v>
      </c>
      <c r="AM4860">
        <v>100</v>
      </c>
      <c r="AN4860">
        <v>2200</v>
      </c>
      <c r="AO4860" t="s">
        <v>118</v>
      </c>
      <c r="AP4860">
        <v>-113</v>
      </c>
      <c r="AQ4860">
        <v>-45</v>
      </c>
      <c r="AR4860">
        <v>1280</v>
      </c>
      <c r="AZ4860">
        <v>1200</v>
      </c>
      <c r="BA4860">
        <v>1</v>
      </c>
      <c r="BB4860" t="str">
        <f t="shared" si="2223"/>
        <v xml:space="preserve">N711JA  </v>
      </c>
      <c r="BC4860">
        <v>1</v>
      </c>
      <c r="BE4860">
        <v>0</v>
      </c>
      <c r="BF4860">
        <v>0</v>
      </c>
      <c r="BG4860">
        <v>0</v>
      </c>
      <c r="BH4860">
        <v>2275</v>
      </c>
      <c r="BI4860">
        <v>1</v>
      </c>
      <c r="BJ4860">
        <v>1</v>
      </c>
      <c r="BK4860">
        <v>0</v>
      </c>
      <c r="BL4860">
        <v>0</v>
      </c>
      <c r="BO4860">
        <v>0</v>
      </c>
      <c r="BP4860">
        <v>0</v>
      </c>
      <c r="BW4860" t="str">
        <f t="shared" si="2238"/>
        <v>14:50:10.995</v>
      </c>
      <c r="CJ4860">
        <v>0</v>
      </c>
      <c r="CK4860">
        <v>2</v>
      </c>
      <c r="CL4860">
        <v>0</v>
      </c>
      <c r="CM4860">
        <v>2</v>
      </c>
      <c r="CN4860">
        <v>0</v>
      </c>
      <c r="CO4860">
        <v>7</v>
      </c>
      <c r="CP4860" t="s">
        <v>119</v>
      </c>
      <c r="CQ4860">
        <v>343</v>
      </c>
      <c r="CR4860">
        <v>2</v>
      </c>
      <c r="CW4860">
        <v>13355464</v>
      </c>
      <c r="CY4860">
        <v>1</v>
      </c>
      <c r="CZ4860">
        <v>0</v>
      </c>
      <c r="DA4860">
        <v>1</v>
      </c>
      <c r="DB4860">
        <v>0</v>
      </c>
      <c r="DC4860">
        <v>0</v>
      </c>
      <c r="DD4860">
        <v>1</v>
      </c>
      <c r="DE4860">
        <v>0</v>
      </c>
      <c r="DF4860">
        <v>0</v>
      </c>
      <c r="DG4860">
        <v>0</v>
      </c>
      <c r="DH4860">
        <v>0</v>
      </c>
      <c r="DI4860">
        <v>0</v>
      </c>
    </row>
    <row r="4861" spans="1:113" x14ac:dyDescent="0.3">
      <c r="A4861" t="str">
        <f t="shared" si="2235"/>
        <v>05/12/2020 14:49:53.200</v>
      </c>
      <c r="C4861" t="str">
        <f t="shared" si="2222"/>
        <v>FFDFD3C0</v>
      </c>
      <c r="D4861" t="s">
        <v>126</v>
      </c>
      <c r="E4861">
        <v>7</v>
      </c>
      <c r="F4861">
        <v>1007</v>
      </c>
      <c r="G4861" t="s">
        <v>127</v>
      </c>
      <c r="J4861" t="s">
        <v>128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t="str">
        <f t="shared" si="2236"/>
        <v>14:50:10.992</v>
      </c>
      <c r="T4861" t="str">
        <f t="shared" si="2237"/>
        <v>14:50:10.492</v>
      </c>
      <c r="U4861" t="str">
        <f t="shared" si="2209"/>
        <v>A9808D</v>
      </c>
      <c r="V4861">
        <v>0</v>
      </c>
      <c r="W4861">
        <v>0</v>
      </c>
      <c r="X4861">
        <v>1</v>
      </c>
      <c r="Z4861">
        <v>0</v>
      </c>
      <c r="AA4861">
        <v>9</v>
      </c>
      <c r="AB4861">
        <v>3</v>
      </c>
      <c r="AC4861">
        <v>0</v>
      </c>
      <c r="AD4861">
        <v>10</v>
      </c>
      <c r="AE4861">
        <v>0</v>
      </c>
      <c r="AF4861">
        <v>3</v>
      </c>
      <c r="AG4861">
        <v>2</v>
      </c>
      <c r="AH4861">
        <v>0</v>
      </c>
      <c r="AI4861" t="s">
        <v>1085</v>
      </c>
      <c r="AJ4861">
        <v>28.238382000000001</v>
      </c>
      <c r="AK4861" t="s">
        <v>1086</v>
      </c>
      <c r="AL4861">
        <v>-82.358429000000001</v>
      </c>
      <c r="AM4861">
        <v>100</v>
      </c>
      <c r="AN4861">
        <v>2200</v>
      </c>
      <c r="AO4861" t="s">
        <v>118</v>
      </c>
      <c r="AP4861">
        <v>-113</v>
      </c>
      <c r="AQ4861">
        <v>-45</v>
      </c>
      <c r="AR4861">
        <v>1280</v>
      </c>
      <c r="AZ4861">
        <v>1200</v>
      </c>
      <c r="BA4861">
        <v>1</v>
      </c>
      <c r="BB4861" t="str">
        <f t="shared" si="2223"/>
        <v xml:space="preserve">N711JA  </v>
      </c>
      <c r="BC4861">
        <v>1</v>
      </c>
      <c r="BE4861">
        <v>0</v>
      </c>
      <c r="BF4861">
        <v>0</v>
      </c>
      <c r="BG4861">
        <v>0</v>
      </c>
      <c r="BH4861">
        <v>2275</v>
      </c>
      <c r="BI4861">
        <v>1</v>
      </c>
      <c r="BJ4861">
        <v>1</v>
      </c>
      <c r="BK4861">
        <v>0</v>
      </c>
      <c r="BL4861">
        <v>0</v>
      </c>
      <c r="BO4861">
        <v>0</v>
      </c>
      <c r="BP4861">
        <v>0</v>
      </c>
      <c r="BW4861" t="str">
        <f t="shared" si="2238"/>
        <v>14:50:10.995</v>
      </c>
      <c r="CJ4861">
        <v>0</v>
      </c>
      <c r="CK4861">
        <v>2</v>
      </c>
      <c r="CL4861">
        <v>0</v>
      </c>
      <c r="CM4861">
        <v>2</v>
      </c>
      <c r="CN4861">
        <v>0</v>
      </c>
      <c r="CO4861">
        <v>7</v>
      </c>
      <c r="CP4861" t="s">
        <v>119</v>
      </c>
      <c r="CQ4861">
        <v>343</v>
      </c>
      <c r="CR4861">
        <v>2</v>
      </c>
      <c r="CW4861">
        <v>13355464</v>
      </c>
      <c r="CY4861">
        <v>1</v>
      </c>
      <c r="CZ4861">
        <v>0</v>
      </c>
      <c r="DA4861">
        <v>1</v>
      </c>
      <c r="DB4861">
        <v>0</v>
      </c>
      <c r="DC4861">
        <v>0</v>
      </c>
      <c r="DD4861">
        <v>1</v>
      </c>
      <c r="DE4861">
        <v>0</v>
      </c>
      <c r="DF4861">
        <v>0</v>
      </c>
      <c r="DG4861">
        <v>0</v>
      </c>
      <c r="DH4861">
        <v>0</v>
      </c>
      <c r="DI4861">
        <v>0</v>
      </c>
    </row>
    <row r="4862" spans="1:113" x14ac:dyDescent="0.3">
      <c r="A4862" t="str">
        <f t="shared" si="2235"/>
        <v>05/12/2020 14:49:53.200</v>
      </c>
      <c r="C4862" t="str">
        <f t="shared" si="2222"/>
        <v>FFDFD3C0</v>
      </c>
      <c r="D4862" t="s">
        <v>131</v>
      </c>
      <c r="E4862">
        <v>12</v>
      </c>
      <c r="F4862">
        <v>2012</v>
      </c>
      <c r="G4862" t="s">
        <v>137</v>
      </c>
      <c r="J4862" t="s">
        <v>133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t="str">
        <f t="shared" si="2236"/>
        <v>14:50:10.992</v>
      </c>
      <c r="T4862" t="str">
        <f t="shared" si="2237"/>
        <v>14:50:10.492</v>
      </c>
      <c r="U4862" t="str">
        <f t="shared" si="2209"/>
        <v>A9808D</v>
      </c>
      <c r="V4862">
        <v>0</v>
      </c>
      <c r="W4862">
        <v>0</v>
      </c>
      <c r="X4862">
        <v>1</v>
      </c>
      <c r="Z4862">
        <v>0</v>
      </c>
      <c r="AA4862">
        <v>9</v>
      </c>
      <c r="AB4862">
        <v>3</v>
      </c>
      <c r="AC4862">
        <v>0</v>
      </c>
      <c r="AD4862">
        <v>10</v>
      </c>
      <c r="AE4862">
        <v>0</v>
      </c>
      <c r="AF4862">
        <v>3</v>
      </c>
      <c r="AG4862">
        <v>2</v>
      </c>
      <c r="AH4862">
        <v>0</v>
      </c>
      <c r="AI4862" t="s">
        <v>1085</v>
      </c>
      <c r="AJ4862">
        <v>28.238382000000001</v>
      </c>
      <c r="AK4862" t="s">
        <v>1086</v>
      </c>
      <c r="AL4862">
        <v>-82.358429000000001</v>
      </c>
      <c r="AM4862">
        <v>100</v>
      </c>
      <c r="AN4862">
        <v>2200</v>
      </c>
      <c r="AO4862" t="s">
        <v>118</v>
      </c>
      <c r="AP4862">
        <v>-113</v>
      </c>
      <c r="AQ4862">
        <v>-45</v>
      </c>
      <c r="AR4862">
        <v>1280</v>
      </c>
      <c r="AZ4862">
        <v>1200</v>
      </c>
      <c r="BA4862">
        <v>1</v>
      </c>
      <c r="BB4862" t="str">
        <f t="shared" si="2223"/>
        <v xml:space="preserve">N711JA  </v>
      </c>
      <c r="BC4862">
        <v>1</v>
      </c>
      <c r="BE4862">
        <v>0</v>
      </c>
      <c r="BF4862">
        <v>0</v>
      </c>
      <c r="BG4862">
        <v>0</v>
      </c>
      <c r="BH4862">
        <v>2275</v>
      </c>
      <c r="BI4862">
        <v>1</v>
      </c>
      <c r="BJ4862">
        <v>1</v>
      </c>
      <c r="BK4862">
        <v>0</v>
      </c>
      <c r="BL4862">
        <v>0</v>
      </c>
      <c r="BO4862">
        <v>0</v>
      </c>
      <c r="BP4862">
        <v>0</v>
      </c>
      <c r="BW4862" t="str">
        <f t="shared" si="2238"/>
        <v>14:50:10.995</v>
      </c>
      <c r="CJ4862">
        <v>0</v>
      </c>
      <c r="CK4862">
        <v>2</v>
      </c>
      <c r="CL4862">
        <v>0</v>
      </c>
      <c r="CM4862">
        <v>2</v>
      </c>
      <c r="CN4862">
        <v>0</v>
      </c>
      <c r="CO4862">
        <v>7</v>
      </c>
      <c r="CP4862" t="s">
        <v>119</v>
      </c>
      <c r="CQ4862">
        <v>343</v>
      </c>
      <c r="CR4862">
        <v>2</v>
      </c>
      <c r="CW4862">
        <v>13355464</v>
      </c>
      <c r="CY4862">
        <v>1</v>
      </c>
      <c r="CZ4862">
        <v>0</v>
      </c>
      <c r="DA4862">
        <v>1</v>
      </c>
      <c r="DB4862">
        <v>0</v>
      </c>
      <c r="DC4862">
        <v>0</v>
      </c>
      <c r="DD4862">
        <v>1</v>
      </c>
      <c r="DE4862">
        <v>0</v>
      </c>
      <c r="DF4862">
        <v>0</v>
      </c>
      <c r="DG4862">
        <v>0</v>
      </c>
      <c r="DH4862">
        <v>0</v>
      </c>
      <c r="DI4862">
        <v>0</v>
      </c>
    </row>
    <row r="4863" spans="1:113" x14ac:dyDescent="0.3">
      <c r="A4863" t="str">
        <f t="shared" si="2235"/>
        <v>05/12/2020 14:49:53.200</v>
      </c>
      <c r="C4863" t="str">
        <f t="shared" si="2222"/>
        <v>FFDFD3C0</v>
      </c>
      <c r="D4863" t="s">
        <v>134</v>
      </c>
      <c r="E4863">
        <v>12</v>
      </c>
      <c r="H4863">
        <v>64</v>
      </c>
      <c r="I4863" t="s">
        <v>135</v>
      </c>
      <c r="J4863" t="s">
        <v>136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t="str">
        <f t="shared" si="2236"/>
        <v>14:50:10.992</v>
      </c>
      <c r="T4863" t="str">
        <f t="shared" si="2237"/>
        <v>14:50:10.492</v>
      </c>
      <c r="U4863" t="str">
        <f t="shared" si="2209"/>
        <v>A9808D</v>
      </c>
      <c r="V4863">
        <v>0</v>
      </c>
      <c r="W4863">
        <v>0</v>
      </c>
      <c r="X4863">
        <v>1</v>
      </c>
      <c r="Z4863">
        <v>0</v>
      </c>
      <c r="AA4863">
        <v>9</v>
      </c>
      <c r="AB4863">
        <v>3</v>
      </c>
      <c r="AC4863">
        <v>0</v>
      </c>
      <c r="AD4863">
        <v>10</v>
      </c>
      <c r="AE4863">
        <v>0</v>
      </c>
      <c r="AF4863">
        <v>3</v>
      </c>
      <c r="AG4863">
        <v>2</v>
      </c>
      <c r="AH4863">
        <v>0</v>
      </c>
      <c r="AI4863" t="s">
        <v>1085</v>
      </c>
      <c r="AJ4863">
        <v>28.238382000000001</v>
      </c>
      <c r="AK4863" t="s">
        <v>1086</v>
      </c>
      <c r="AL4863">
        <v>-82.358429000000001</v>
      </c>
      <c r="AM4863">
        <v>100</v>
      </c>
      <c r="AN4863">
        <v>2200</v>
      </c>
      <c r="AO4863" t="s">
        <v>118</v>
      </c>
      <c r="AP4863">
        <v>-113</v>
      </c>
      <c r="AQ4863">
        <v>-45</v>
      </c>
      <c r="AR4863">
        <v>1280</v>
      </c>
      <c r="AZ4863">
        <v>1200</v>
      </c>
      <c r="BA4863">
        <v>1</v>
      </c>
      <c r="BB4863" t="str">
        <f t="shared" si="2223"/>
        <v xml:space="preserve">N711JA  </v>
      </c>
      <c r="BC4863">
        <v>1</v>
      </c>
      <c r="BE4863">
        <v>0</v>
      </c>
      <c r="BF4863">
        <v>0</v>
      </c>
      <c r="BG4863">
        <v>0</v>
      </c>
      <c r="BH4863">
        <v>2275</v>
      </c>
      <c r="BI4863">
        <v>1</v>
      </c>
      <c r="BJ4863">
        <v>1</v>
      </c>
      <c r="BK4863">
        <v>0</v>
      </c>
      <c r="BL4863">
        <v>0</v>
      </c>
      <c r="BO4863">
        <v>0</v>
      </c>
      <c r="BP4863">
        <v>0</v>
      </c>
      <c r="BW4863" t="str">
        <f t="shared" si="2238"/>
        <v>14:50:10.995</v>
      </c>
      <c r="CJ4863">
        <v>0</v>
      </c>
      <c r="CK4863">
        <v>2</v>
      </c>
      <c r="CL4863">
        <v>0</v>
      </c>
      <c r="CM4863">
        <v>2</v>
      </c>
      <c r="CN4863">
        <v>0</v>
      </c>
      <c r="CO4863">
        <v>7</v>
      </c>
      <c r="CP4863" t="s">
        <v>119</v>
      </c>
      <c r="CQ4863">
        <v>343</v>
      </c>
      <c r="CR4863">
        <v>2</v>
      </c>
      <c r="CW4863">
        <v>13355464</v>
      </c>
      <c r="CY4863">
        <v>1</v>
      </c>
      <c r="CZ4863">
        <v>0</v>
      </c>
      <c r="DA4863">
        <v>1</v>
      </c>
      <c r="DB4863">
        <v>0</v>
      </c>
      <c r="DC4863">
        <v>0</v>
      </c>
      <c r="DD4863">
        <v>1</v>
      </c>
      <c r="DE4863">
        <v>0</v>
      </c>
      <c r="DF4863">
        <v>0</v>
      </c>
      <c r="DG4863">
        <v>0</v>
      </c>
      <c r="DH4863">
        <v>0</v>
      </c>
      <c r="DI4863">
        <v>0</v>
      </c>
    </row>
    <row r="4864" spans="1:113" x14ac:dyDescent="0.3">
      <c r="A4864" t="str">
        <f t="shared" si="2235"/>
        <v>05/12/2020 14:49:53.200</v>
      </c>
      <c r="C4864" t="str">
        <f t="shared" si="2222"/>
        <v>FFDFD3C0</v>
      </c>
      <c r="D4864" t="s">
        <v>131</v>
      </c>
      <c r="E4864">
        <v>18</v>
      </c>
      <c r="F4864">
        <v>2018</v>
      </c>
      <c r="G4864" t="s">
        <v>161</v>
      </c>
      <c r="J4864" t="s">
        <v>133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t="str">
        <f t="shared" si="2236"/>
        <v>14:50:10.992</v>
      </c>
      <c r="T4864" t="str">
        <f t="shared" si="2237"/>
        <v>14:50:10.492</v>
      </c>
      <c r="U4864" t="str">
        <f t="shared" si="2209"/>
        <v>A9808D</v>
      </c>
      <c r="V4864">
        <v>0</v>
      </c>
      <c r="W4864">
        <v>0</v>
      </c>
      <c r="X4864">
        <v>1</v>
      </c>
      <c r="Z4864">
        <v>0</v>
      </c>
      <c r="AA4864">
        <v>9</v>
      </c>
      <c r="AB4864">
        <v>3</v>
      </c>
      <c r="AC4864">
        <v>0</v>
      </c>
      <c r="AD4864">
        <v>10</v>
      </c>
      <c r="AE4864">
        <v>0</v>
      </c>
      <c r="AF4864">
        <v>3</v>
      </c>
      <c r="AG4864">
        <v>2</v>
      </c>
      <c r="AH4864">
        <v>0</v>
      </c>
      <c r="AI4864" t="s">
        <v>1085</v>
      </c>
      <c r="AJ4864">
        <v>28.238382000000001</v>
      </c>
      <c r="AK4864" t="s">
        <v>1086</v>
      </c>
      <c r="AL4864">
        <v>-82.358429000000001</v>
      </c>
      <c r="AM4864">
        <v>100</v>
      </c>
      <c r="AN4864">
        <v>2200</v>
      </c>
      <c r="AO4864" t="s">
        <v>118</v>
      </c>
      <c r="AP4864">
        <v>-113</v>
      </c>
      <c r="AQ4864">
        <v>-45</v>
      </c>
      <c r="AR4864">
        <v>1280</v>
      </c>
      <c r="AZ4864">
        <v>1200</v>
      </c>
      <c r="BA4864">
        <v>1</v>
      </c>
      <c r="BB4864" t="str">
        <f t="shared" si="2223"/>
        <v xml:space="preserve">N711JA  </v>
      </c>
      <c r="BC4864">
        <v>1</v>
      </c>
      <c r="BE4864">
        <v>0</v>
      </c>
      <c r="BF4864">
        <v>0</v>
      </c>
      <c r="BG4864">
        <v>0</v>
      </c>
      <c r="BH4864">
        <v>2275</v>
      </c>
      <c r="BI4864">
        <v>1</v>
      </c>
      <c r="BJ4864">
        <v>1</v>
      </c>
      <c r="BK4864">
        <v>0</v>
      </c>
      <c r="BL4864">
        <v>0</v>
      </c>
      <c r="BO4864">
        <v>0</v>
      </c>
      <c r="BP4864">
        <v>0</v>
      </c>
      <c r="BW4864" t="str">
        <f t="shared" si="2238"/>
        <v>14:50:10.995</v>
      </c>
      <c r="CJ4864">
        <v>0</v>
      </c>
      <c r="CK4864">
        <v>2</v>
      </c>
      <c r="CL4864">
        <v>0</v>
      </c>
      <c r="CM4864">
        <v>2</v>
      </c>
      <c r="CN4864">
        <v>0</v>
      </c>
      <c r="CO4864">
        <v>7</v>
      </c>
      <c r="CP4864" t="s">
        <v>119</v>
      </c>
      <c r="CQ4864">
        <v>343</v>
      </c>
      <c r="CR4864">
        <v>2</v>
      </c>
      <c r="CW4864">
        <v>13355464</v>
      </c>
      <c r="CY4864">
        <v>1</v>
      </c>
      <c r="CZ4864">
        <v>0</v>
      </c>
      <c r="DA4864">
        <v>1</v>
      </c>
      <c r="DB4864">
        <v>0</v>
      </c>
      <c r="DC4864">
        <v>0</v>
      </c>
      <c r="DD4864">
        <v>1</v>
      </c>
      <c r="DE4864">
        <v>0</v>
      </c>
      <c r="DF4864">
        <v>0</v>
      </c>
      <c r="DG4864">
        <v>0</v>
      </c>
      <c r="DH4864">
        <v>0</v>
      </c>
      <c r="DI4864">
        <v>0</v>
      </c>
    </row>
    <row r="4865" spans="1:113" x14ac:dyDescent="0.3">
      <c r="A4865" t="str">
        <f t="shared" si="2235"/>
        <v>05/12/2020 14:49:53.200</v>
      </c>
      <c r="C4865" t="str">
        <f t="shared" si="2222"/>
        <v>FFDFD3C0</v>
      </c>
      <c r="D4865" t="s">
        <v>126</v>
      </c>
      <c r="E4865">
        <v>6</v>
      </c>
      <c r="F4865">
        <v>1006</v>
      </c>
      <c r="G4865" t="s">
        <v>114</v>
      </c>
      <c r="J4865" t="s">
        <v>128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t="str">
        <f t="shared" si="2236"/>
        <v>14:50:10.992</v>
      </c>
      <c r="T4865" t="str">
        <f t="shared" si="2237"/>
        <v>14:50:10.492</v>
      </c>
      <c r="U4865" t="str">
        <f t="shared" si="2209"/>
        <v>A9808D</v>
      </c>
      <c r="V4865">
        <v>0</v>
      </c>
      <c r="W4865">
        <v>0</v>
      </c>
      <c r="X4865">
        <v>1</v>
      </c>
      <c r="Z4865">
        <v>0</v>
      </c>
      <c r="AA4865">
        <v>9</v>
      </c>
      <c r="AB4865">
        <v>3</v>
      </c>
      <c r="AC4865">
        <v>0</v>
      </c>
      <c r="AD4865">
        <v>10</v>
      </c>
      <c r="AE4865">
        <v>0</v>
      </c>
      <c r="AF4865">
        <v>3</v>
      </c>
      <c r="AG4865">
        <v>2</v>
      </c>
      <c r="AH4865">
        <v>0</v>
      </c>
      <c r="AI4865" t="s">
        <v>1085</v>
      </c>
      <c r="AJ4865">
        <v>28.238382000000001</v>
      </c>
      <c r="AK4865" t="s">
        <v>1086</v>
      </c>
      <c r="AL4865">
        <v>-82.358429000000001</v>
      </c>
      <c r="AM4865">
        <v>100</v>
      </c>
      <c r="AN4865">
        <v>2200</v>
      </c>
      <c r="AO4865" t="s">
        <v>118</v>
      </c>
      <c r="AP4865">
        <v>-113</v>
      </c>
      <c r="AQ4865">
        <v>-45</v>
      </c>
      <c r="AR4865">
        <v>1280</v>
      </c>
      <c r="AZ4865">
        <v>1200</v>
      </c>
      <c r="BA4865">
        <v>1</v>
      </c>
      <c r="BB4865" t="str">
        <f t="shared" si="2223"/>
        <v xml:space="preserve">N711JA  </v>
      </c>
      <c r="BC4865">
        <v>1</v>
      </c>
      <c r="BE4865">
        <v>0</v>
      </c>
      <c r="BF4865">
        <v>0</v>
      </c>
      <c r="BG4865">
        <v>0</v>
      </c>
      <c r="BH4865">
        <v>2275</v>
      </c>
      <c r="BI4865">
        <v>1</v>
      </c>
      <c r="BJ4865">
        <v>1</v>
      </c>
      <c r="BK4865">
        <v>0</v>
      </c>
      <c r="BL4865">
        <v>0</v>
      </c>
      <c r="BO4865">
        <v>0</v>
      </c>
      <c r="BP4865">
        <v>0</v>
      </c>
      <c r="BW4865" t="str">
        <f t="shared" si="2238"/>
        <v>14:50:10.995</v>
      </c>
      <c r="CJ4865">
        <v>0</v>
      </c>
      <c r="CK4865">
        <v>2</v>
      </c>
      <c r="CL4865">
        <v>0</v>
      </c>
      <c r="CM4865">
        <v>2</v>
      </c>
      <c r="CN4865">
        <v>0</v>
      </c>
      <c r="CO4865">
        <v>7</v>
      </c>
      <c r="CP4865" t="s">
        <v>119</v>
      </c>
      <c r="CQ4865">
        <v>343</v>
      </c>
      <c r="CR4865">
        <v>2</v>
      </c>
      <c r="CW4865">
        <v>13355464</v>
      </c>
      <c r="CY4865">
        <v>1</v>
      </c>
      <c r="CZ4865">
        <v>0</v>
      </c>
      <c r="DA4865">
        <v>1</v>
      </c>
      <c r="DB4865">
        <v>0</v>
      </c>
      <c r="DC4865">
        <v>0</v>
      </c>
      <c r="DD4865">
        <v>1</v>
      </c>
      <c r="DE4865">
        <v>0</v>
      </c>
      <c r="DF4865">
        <v>0</v>
      </c>
      <c r="DG4865">
        <v>0</v>
      </c>
      <c r="DH4865">
        <v>0</v>
      </c>
      <c r="DI4865">
        <v>0</v>
      </c>
    </row>
    <row r="4866" spans="1:113" x14ac:dyDescent="0.3">
      <c r="A4866" t="str">
        <f t="shared" ref="A4866:A4874" si="2239">"05/12/2020 14:49:54.265"</f>
        <v>05/12/2020 14:49:54.265</v>
      </c>
      <c r="C4866" t="str">
        <f t="shared" si="2222"/>
        <v>FFDFD3C0</v>
      </c>
      <c r="D4866" t="s">
        <v>113</v>
      </c>
      <c r="E4866">
        <v>3</v>
      </c>
      <c r="H4866">
        <v>164</v>
      </c>
      <c r="I4866" t="s">
        <v>114</v>
      </c>
      <c r="J4866" t="s">
        <v>115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t="str">
        <f t="shared" ref="S4866:S4874" si="2240">"14:50:12.102"</f>
        <v>14:50:12.102</v>
      </c>
      <c r="T4866" t="str">
        <f t="shared" ref="T4866:T4874" si="2241">"14:50:11.902"</f>
        <v>14:50:11.902</v>
      </c>
      <c r="U4866" t="str">
        <f t="shared" ref="U4866:U4929" si="2242">"A9808D"</f>
        <v>A9808D</v>
      </c>
      <c r="V4866">
        <v>0</v>
      </c>
      <c r="W4866">
        <v>0</v>
      </c>
      <c r="X4866">
        <v>1</v>
      </c>
      <c r="Z4866">
        <v>0</v>
      </c>
      <c r="AA4866">
        <v>9</v>
      </c>
      <c r="AB4866">
        <v>3</v>
      </c>
      <c r="AC4866">
        <v>0</v>
      </c>
      <c r="AD4866">
        <v>10</v>
      </c>
      <c r="AE4866">
        <v>0</v>
      </c>
      <c r="AF4866">
        <v>3</v>
      </c>
      <c r="AG4866">
        <v>2</v>
      </c>
      <c r="AH4866">
        <v>0</v>
      </c>
      <c r="AI4866" t="s">
        <v>191</v>
      </c>
      <c r="AJ4866">
        <v>28.238168000000002</v>
      </c>
      <c r="AK4866" t="s">
        <v>1087</v>
      </c>
      <c r="AL4866">
        <v>-82.359072999999995</v>
      </c>
      <c r="AM4866">
        <v>100</v>
      </c>
      <c r="AN4866">
        <v>2200</v>
      </c>
      <c r="AO4866" t="s">
        <v>118</v>
      </c>
      <c r="AP4866">
        <v>-110</v>
      </c>
      <c r="AQ4866">
        <v>-45</v>
      </c>
      <c r="AR4866">
        <v>1088</v>
      </c>
      <c r="AZ4866">
        <v>1200</v>
      </c>
      <c r="BA4866">
        <v>1</v>
      </c>
      <c r="BB4866" t="str">
        <f t="shared" si="2223"/>
        <v xml:space="preserve">N711JA  </v>
      </c>
      <c r="BC4866">
        <v>1</v>
      </c>
      <c r="BE4866">
        <v>0</v>
      </c>
      <c r="BF4866">
        <v>0</v>
      </c>
      <c r="BG4866">
        <v>0</v>
      </c>
      <c r="BH4866">
        <v>2325</v>
      </c>
      <c r="BI4866">
        <v>1</v>
      </c>
      <c r="BJ4866">
        <v>1</v>
      </c>
      <c r="BK4866">
        <v>0</v>
      </c>
      <c r="BL4866">
        <v>0</v>
      </c>
      <c r="BO4866">
        <v>0</v>
      </c>
      <c r="BP4866">
        <v>0</v>
      </c>
      <c r="BW4866" t="str">
        <f t="shared" ref="BW4866:BW4874" si="2243">"14:50:12.105"</f>
        <v>14:50:12.105</v>
      </c>
      <c r="CJ4866">
        <v>0</v>
      </c>
      <c r="CK4866">
        <v>2</v>
      </c>
      <c r="CL4866">
        <v>0</v>
      </c>
      <c r="CM4866">
        <v>2</v>
      </c>
      <c r="CN4866">
        <v>0</v>
      </c>
      <c r="CO4866">
        <v>7</v>
      </c>
      <c r="CP4866" t="s">
        <v>119</v>
      </c>
      <c r="CQ4866">
        <v>343</v>
      </c>
      <c r="CR4866">
        <v>1</v>
      </c>
      <c r="CW4866">
        <v>11083499</v>
      </c>
      <c r="CY4866">
        <v>1</v>
      </c>
      <c r="CZ4866">
        <v>0</v>
      </c>
      <c r="DA4866">
        <v>0</v>
      </c>
      <c r="DB4866">
        <v>0</v>
      </c>
      <c r="DC4866">
        <v>0</v>
      </c>
      <c r="DD4866">
        <v>1</v>
      </c>
      <c r="DE4866">
        <v>0</v>
      </c>
      <c r="DF4866">
        <v>0</v>
      </c>
      <c r="DG4866">
        <v>0</v>
      </c>
      <c r="DH4866">
        <v>0</v>
      </c>
      <c r="DI4866">
        <v>0</v>
      </c>
    </row>
    <row r="4867" spans="1:113" x14ac:dyDescent="0.3">
      <c r="A4867" t="str">
        <f t="shared" si="2239"/>
        <v>05/12/2020 14:49:54.265</v>
      </c>
      <c r="C4867" t="str">
        <f t="shared" si="2222"/>
        <v>FFDFD3C0</v>
      </c>
      <c r="D4867" t="s">
        <v>126</v>
      </c>
      <c r="E4867">
        <v>7</v>
      </c>
      <c r="F4867">
        <v>1007</v>
      </c>
      <c r="G4867" t="s">
        <v>127</v>
      </c>
      <c r="J4867" t="s">
        <v>128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t="str">
        <f t="shared" si="2240"/>
        <v>14:50:12.102</v>
      </c>
      <c r="T4867" t="str">
        <f t="shared" si="2241"/>
        <v>14:50:11.902</v>
      </c>
      <c r="U4867" t="str">
        <f t="shared" si="2242"/>
        <v>A9808D</v>
      </c>
      <c r="V4867">
        <v>0</v>
      </c>
      <c r="W4867">
        <v>0</v>
      </c>
      <c r="X4867">
        <v>1</v>
      </c>
      <c r="Z4867">
        <v>0</v>
      </c>
      <c r="AA4867">
        <v>9</v>
      </c>
      <c r="AB4867">
        <v>3</v>
      </c>
      <c r="AC4867">
        <v>0</v>
      </c>
      <c r="AD4867">
        <v>10</v>
      </c>
      <c r="AE4867">
        <v>0</v>
      </c>
      <c r="AF4867">
        <v>3</v>
      </c>
      <c r="AG4867">
        <v>2</v>
      </c>
      <c r="AH4867">
        <v>0</v>
      </c>
      <c r="AI4867" t="s">
        <v>191</v>
      </c>
      <c r="AJ4867">
        <v>28.238168000000002</v>
      </c>
      <c r="AK4867" t="s">
        <v>1087</v>
      </c>
      <c r="AL4867">
        <v>-82.359072999999995</v>
      </c>
      <c r="AM4867">
        <v>100</v>
      </c>
      <c r="AN4867">
        <v>2200</v>
      </c>
      <c r="AO4867" t="s">
        <v>118</v>
      </c>
      <c r="AP4867">
        <v>-110</v>
      </c>
      <c r="AQ4867">
        <v>-45</v>
      </c>
      <c r="AR4867">
        <v>1088</v>
      </c>
      <c r="AZ4867">
        <v>1200</v>
      </c>
      <c r="BA4867">
        <v>1</v>
      </c>
      <c r="BB4867" t="str">
        <f t="shared" si="2223"/>
        <v xml:space="preserve">N711JA  </v>
      </c>
      <c r="BC4867">
        <v>1</v>
      </c>
      <c r="BE4867">
        <v>0</v>
      </c>
      <c r="BF4867">
        <v>0</v>
      </c>
      <c r="BG4867">
        <v>0</v>
      </c>
      <c r="BH4867">
        <v>2325</v>
      </c>
      <c r="BI4867">
        <v>1</v>
      </c>
      <c r="BJ4867">
        <v>1</v>
      </c>
      <c r="BK4867">
        <v>0</v>
      </c>
      <c r="BL4867">
        <v>0</v>
      </c>
      <c r="BO4867">
        <v>0</v>
      </c>
      <c r="BP4867">
        <v>0</v>
      </c>
      <c r="BW4867" t="str">
        <f t="shared" si="2243"/>
        <v>14:50:12.105</v>
      </c>
      <c r="CJ4867">
        <v>0</v>
      </c>
      <c r="CK4867">
        <v>2</v>
      </c>
      <c r="CL4867">
        <v>0</v>
      </c>
      <c r="CM4867">
        <v>2</v>
      </c>
      <c r="CN4867">
        <v>0</v>
      </c>
      <c r="CO4867">
        <v>7</v>
      </c>
      <c r="CP4867" t="s">
        <v>119</v>
      </c>
      <c r="CQ4867">
        <v>343</v>
      </c>
      <c r="CR4867">
        <v>1</v>
      </c>
      <c r="CW4867">
        <v>11083499</v>
      </c>
      <c r="CY4867">
        <v>1</v>
      </c>
      <c r="CZ4867">
        <v>0</v>
      </c>
      <c r="DA4867">
        <v>1</v>
      </c>
      <c r="DB4867">
        <v>0</v>
      </c>
      <c r="DC4867">
        <v>0</v>
      </c>
      <c r="DD4867">
        <v>1</v>
      </c>
      <c r="DE4867">
        <v>0</v>
      </c>
      <c r="DF4867">
        <v>0</v>
      </c>
      <c r="DG4867">
        <v>0</v>
      </c>
      <c r="DH4867">
        <v>0</v>
      </c>
      <c r="DI4867">
        <v>0</v>
      </c>
    </row>
    <row r="4868" spans="1:113" x14ac:dyDescent="0.3">
      <c r="A4868" t="str">
        <f t="shared" si="2239"/>
        <v>05/12/2020 14:49:54.265</v>
      </c>
      <c r="C4868" t="str">
        <f t="shared" si="2222"/>
        <v>FFDFD3C0</v>
      </c>
      <c r="D4868" t="s">
        <v>131</v>
      </c>
      <c r="E4868">
        <v>10</v>
      </c>
      <c r="F4868">
        <v>2010</v>
      </c>
      <c r="G4868" t="s">
        <v>132</v>
      </c>
      <c r="J4868" t="s">
        <v>133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t="str">
        <f t="shared" si="2240"/>
        <v>14:50:12.102</v>
      </c>
      <c r="T4868" t="str">
        <f t="shared" si="2241"/>
        <v>14:50:11.902</v>
      </c>
      <c r="U4868" t="str">
        <f t="shared" si="2242"/>
        <v>A9808D</v>
      </c>
      <c r="V4868">
        <v>0</v>
      </c>
      <c r="W4868">
        <v>0</v>
      </c>
      <c r="X4868">
        <v>1</v>
      </c>
      <c r="Z4868">
        <v>0</v>
      </c>
      <c r="AA4868">
        <v>9</v>
      </c>
      <c r="AB4868">
        <v>3</v>
      </c>
      <c r="AC4868">
        <v>0</v>
      </c>
      <c r="AD4868">
        <v>10</v>
      </c>
      <c r="AE4868">
        <v>0</v>
      </c>
      <c r="AF4868">
        <v>3</v>
      </c>
      <c r="AG4868">
        <v>2</v>
      </c>
      <c r="AH4868">
        <v>0</v>
      </c>
      <c r="AI4868" t="s">
        <v>191</v>
      </c>
      <c r="AJ4868">
        <v>28.238168000000002</v>
      </c>
      <c r="AK4868" t="s">
        <v>1087</v>
      </c>
      <c r="AL4868">
        <v>-82.359072999999995</v>
      </c>
      <c r="AM4868">
        <v>100</v>
      </c>
      <c r="AN4868">
        <v>2200</v>
      </c>
      <c r="AO4868" t="s">
        <v>118</v>
      </c>
      <c r="AP4868">
        <v>-110</v>
      </c>
      <c r="AQ4868">
        <v>-45</v>
      </c>
      <c r="AR4868">
        <v>1088</v>
      </c>
      <c r="AZ4868">
        <v>1200</v>
      </c>
      <c r="BA4868">
        <v>1</v>
      </c>
      <c r="BB4868" t="str">
        <f t="shared" si="2223"/>
        <v xml:space="preserve">N711JA  </v>
      </c>
      <c r="BC4868">
        <v>1</v>
      </c>
      <c r="BE4868">
        <v>0</v>
      </c>
      <c r="BF4868">
        <v>0</v>
      </c>
      <c r="BG4868">
        <v>0</v>
      </c>
      <c r="BH4868">
        <v>2325</v>
      </c>
      <c r="BI4868">
        <v>1</v>
      </c>
      <c r="BJ4868">
        <v>1</v>
      </c>
      <c r="BK4868">
        <v>0</v>
      </c>
      <c r="BL4868">
        <v>0</v>
      </c>
      <c r="BO4868">
        <v>0</v>
      </c>
      <c r="BP4868">
        <v>0</v>
      </c>
      <c r="BW4868" t="str">
        <f t="shared" si="2243"/>
        <v>14:50:12.105</v>
      </c>
      <c r="CJ4868">
        <v>0</v>
      </c>
      <c r="CK4868">
        <v>2</v>
      </c>
      <c r="CL4868">
        <v>0</v>
      </c>
      <c r="CM4868">
        <v>2</v>
      </c>
      <c r="CN4868">
        <v>0</v>
      </c>
      <c r="CO4868">
        <v>7</v>
      </c>
      <c r="CP4868" t="s">
        <v>119</v>
      </c>
      <c r="CQ4868">
        <v>343</v>
      </c>
      <c r="CR4868">
        <v>1</v>
      </c>
      <c r="CW4868">
        <v>11083499</v>
      </c>
      <c r="CY4868">
        <v>1</v>
      </c>
      <c r="CZ4868">
        <v>0</v>
      </c>
      <c r="DA4868">
        <v>1</v>
      </c>
      <c r="DB4868">
        <v>0</v>
      </c>
      <c r="DC4868">
        <v>0</v>
      </c>
      <c r="DD4868">
        <v>1</v>
      </c>
      <c r="DE4868">
        <v>0</v>
      </c>
      <c r="DF4868">
        <v>0</v>
      </c>
      <c r="DG4868">
        <v>0</v>
      </c>
      <c r="DH4868">
        <v>0</v>
      </c>
      <c r="DI4868">
        <v>0</v>
      </c>
    </row>
    <row r="4869" spans="1:113" x14ac:dyDescent="0.3">
      <c r="A4869" t="str">
        <f t="shared" si="2239"/>
        <v>05/12/2020 14:49:54.265</v>
      </c>
      <c r="C4869" t="str">
        <f t="shared" si="2222"/>
        <v>FFDFD3C0</v>
      </c>
      <c r="D4869" t="s">
        <v>138</v>
      </c>
      <c r="E4869">
        <v>2</v>
      </c>
      <c r="H4869">
        <v>8</v>
      </c>
      <c r="I4869" t="s">
        <v>139</v>
      </c>
      <c r="J4869" t="s">
        <v>136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t="str">
        <f t="shared" si="2240"/>
        <v>14:50:12.102</v>
      </c>
      <c r="T4869" t="str">
        <f t="shared" si="2241"/>
        <v>14:50:11.902</v>
      </c>
      <c r="U4869" t="str">
        <f t="shared" si="2242"/>
        <v>A9808D</v>
      </c>
      <c r="V4869">
        <v>0</v>
      </c>
      <c r="W4869">
        <v>0</v>
      </c>
      <c r="X4869">
        <v>1</v>
      </c>
      <c r="Z4869">
        <v>0</v>
      </c>
      <c r="AA4869">
        <v>9</v>
      </c>
      <c r="AB4869">
        <v>3</v>
      </c>
      <c r="AC4869">
        <v>0</v>
      </c>
      <c r="AD4869">
        <v>10</v>
      </c>
      <c r="AE4869">
        <v>0</v>
      </c>
      <c r="AF4869">
        <v>3</v>
      </c>
      <c r="AG4869">
        <v>2</v>
      </c>
      <c r="AH4869">
        <v>0</v>
      </c>
      <c r="AI4869" t="s">
        <v>191</v>
      </c>
      <c r="AJ4869">
        <v>28.238168000000002</v>
      </c>
      <c r="AK4869" t="s">
        <v>1087</v>
      </c>
      <c r="AL4869">
        <v>-82.359072999999995</v>
      </c>
      <c r="AM4869">
        <v>100</v>
      </c>
      <c r="AN4869">
        <v>2200</v>
      </c>
      <c r="AO4869" t="s">
        <v>118</v>
      </c>
      <c r="AP4869">
        <v>-110</v>
      </c>
      <c r="AQ4869">
        <v>-45</v>
      </c>
      <c r="AR4869">
        <v>1088</v>
      </c>
      <c r="AZ4869">
        <v>1200</v>
      </c>
      <c r="BA4869">
        <v>1</v>
      </c>
      <c r="BB4869" t="str">
        <f t="shared" si="2223"/>
        <v xml:space="preserve">N711JA  </v>
      </c>
      <c r="BC4869">
        <v>1</v>
      </c>
      <c r="BE4869">
        <v>0</v>
      </c>
      <c r="BF4869">
        <v>0</v>
      </c>
      <c r="BG4869">
        <v>0</v>
      </c>
      <c r="BH4869">
        <v>2325</v>
      </c>
      <c r="BI4869">
        <v>1</v>
      </c>
      <c r="BJ4869">
        <v>1</v>
      </c>
      <c r="BK4869">
        <v>0</v>
      </c>
      <c r="BL4869">
        <v>0</v>
      </c>
      <c r="BO4869">
        <v>0</v>
      </c>
      <c r="BP4869">
        <v>0</v>
      </c>
      <c r="BW4869" t="str">
        <f t="shared" si="2243"/>
        <v>14:50:12.105</v>
      </c>
      <c r="CJ4869">
        <v>0</v>
      </c>
      <c r="CK4869">
        <v>2</v>
      </c>
      <c r="CL4869">
        <v>0</v>
      </c>
      <c r="CM4869">
        <v>2</v>
      </c>
      <c r="CN4869">
        <v>0</v>
      </c>
      <c r="CO4869">
        <v>7</v>
      </c>
      <c r="CP4869" t="s">
        <v>119</v>
      </c>
      <c r="CQ4869">
        <v>343</v>
      </c>
      <c r="CR4869">
        <v>1</v>
      </c>
      <c r="CW4869">
        <v>11083499</v>
      </c>
      <c r="CY4869">
        <v>1</v>
      </c>
      <c r="CZ4869">
        <v>0</v>
      </c>
      <c r="DA4869">
        <v>1</v>
      </c>
      <c r="DB4869">
        <v>0</v>
      </c>
      <c r="DC4869">
        <v>0</v>
      </c>
      <c r="DD4869">
        <v>1</v>
      </c>
      <c r="DE4869">
        <v>0</v>
      </c>
      <c r="DF4869">
        <v>0</v>
      </c>
      <c r="DG4869">
        <v>0</v>
      </c>
      <c r="DH4869">
        <v>0</v>
      </c>
      <c r="DI4869">
        <v>0</v>
      </c>
    </row>
    <row r="4870" spans="1:113" x14ac:dyDescent="0.3">
      <c r="A4870" t="str">
        <f t="shared" si="2239"/>
        <v>05/12/2020 14:49:54.265</v>
      </c>
      <c r="C4870" t="str">
        <f t="shared" si="2222"/>
        <v>FFDFD3C0</v>
      </c>
      <c r="D4870" t="s">
        <v>131</v>
      </c>
      <c r="E4870">
        <v>12</v>
      </c>
      <c r="F4870">
        <v>2012</v>
      </c>
      <c r="G4870" t="s">
        <v>137</v>
      </c>
      <c r="J4870" t="s">
        <v>133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t="str">
        <f t="shared" si="2240"/>
        <v>14:50:12.102</v>
      </c>
      <c r="T4870" t="str">
        <f t="shared" si="2241"/>
        <v>14:50:11.902</v>
      </c>
      <c r="U4870" t="str">
        <f t="shared" si="2242"/>
        <v>A9808D</v>
      </c>
      <c r="V4870">
        <v>0</v>
      </c>
      <c r="W4870">
        <v>0</v>
      </c>
      <c r="X4870">
        <v>1</v>
      </c>
      <c r="Z4870">
        <v>0</v>
      </c>
      <c r="AA4870">
        <v>9</v>
      </c>
      <c r="AB4870">
        <v>3</v>
      </c>
      <c r="AC4870">
        <v>0</v>
      </c>
      <c r="AD4870">
        <v>10</v>
      </c>
      <c r="AE4870">
        <v>0</v>
      </c>
      <c r="AF4870">
        <v>3</v>
      </c>
      <c r="AG4870">
        <v>2</v>
      </c>
      <c r="AH4870">
        <v>0</v>
      </c>
      <c r="AI4870" t="s">
        <v>191</v>
      </c>
      <c r="AJ4870">
        <v>28.238168000000002</v>
      </c>
      <c r="AK4870" t="s">
        <v>1087</v>
      </c>
      <c r="AL4870">
        <v>-82.359072999999995</v>
      </c>
      <c r="AM4870">
        <v>100</v>
      </c>
      <c r="AN4870">
        <v>2200</v>
      </c>
      <c r="AO4870" t="s">
        <v>118</v>
      </c>
      <c r="AP4870">
        <v>-110</v>
      </c>
      <c r="AQ4870">
        <v>-45</v>
      </c>
      <c r="AR4870">
        <v>1088</v>
      </c>
      <c r="AZ4870">
        <v>1200</v>
      </c>
      <c r="BA4870">
        <v>1</v>
      </c>
      <c r="BB4870" t="str">
        <f t="shared" si="2223"/>
        <v xml:space="preserve">N711JA  </v>
      </c>
      <c r="BC4870">
        <v>1</v>
      </c>
      <c r="BE4870">
        <v>0</v>
      </c>
      <c r="BF4870">
        <v>0</v>
      </c>
      <c r="BG4870">
        <v>0</v>
      </c>
      <c r="BH4870">
        <v>2325</v>
      </c>
      <c r="BI4870">
        <v>1</v>
      </c>
      <c r="BJ4870">
        <v>1</v>
      </c>
      <c r="BK4870">
        <v>0</v>
      </c>
      <c r="BL4870">
        <v>0</v>
      </c>
      <c r="BO4870">
        <v>0</v>
      </c>
      <c r="BP4870">
        <v>0</v>
      </c>
      <c r="BW4870" t="str">
        <f t="shared" si="2243"/>
        <v>14:50:12.105</v>
      </c>
      <c r="CJ4870">
        <v>0</v>
      </c>
      <c r="CK4870">
        <v>2</v>
      </c>
      <c r="CL4870">
        <v>0</v>
      </c>
      <c r="CM4870">
        <v>2</v>
      </c>
      <c r="CN4870">
        <v>0</v>
      </c>
      <c r="CO4870">
        <v>7</v>
      </c>
      <c r="CP4870" t="s">
        <v>119</v>
      </c>
      <c r="CQ4870">
        <v>343</v>
      </c>
      <c r="CR4870">
        <v>1</v>
      </c>
      <c r="CW4870">
        <v>11083499</v>
      </c>
      <c r="CY4870">
        <v>1</v>
      </c>
      <c r="CZ4870">
        <v>0</v>
      </c>
      <c r="DA4870">
        <v>1</v>
      </c>
      <c r="DB4870">
        <v>0</v>
      </c>
      <c r="DC4870">
        <v>0</v>
      </c>
      <c r="DD4870">
        <v>1</v>
      </c>
      <c r="DE4870">
        <v>0</v>
      </c>
      <c r="DF4870">
        <v>0</v>
      </c>
      <c r="DG4870">
        <v>0</v>
      </c>
      <c r="DH4870">
        <v>0</v>
      </c>
      <c r="DI4870">
        <v>0</v>
      </c>
    </row>
    <row r="4871" spans="1:113" x14ac:dyDescent="0.3">
      <c r="A4871" t="str">
        <f t="shared" si="2239"/>
        <v>05/12/2020 14:49:54.265</v>
      </c>
      <c r="C4871" t="str">
        <f t="shared" si="2222"/>
        <v>FFDFD3C0</v>
      </c>
      <c r="D4871" t="s">
        <v>131</v>
      </c>
      <c r="E4871">
        <v>18</v>
      </c>
      <c r="F4871">
        <v>2018</v>
      </c>
      <c r="G4871" t="s">
        <v>161</v>
      </c>
      <c r="J4871" t="s">
        <v>133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t="str">
        <f t="shared" si="2240"/>
        <v>14:50:12.102</v>
      </c>
      <c r="T4871" t="str">
        <f t="shared" si="2241"/>
        <v>14:50:11.902</v>
      </c>
      <c r="U4871" t="str">
        <f t="shared" si="2242"/>
        <v>A9808D</v>
      </c>
      <c r="V4871">
        <v>0</v>
      </c>
      <c r="W4871">
        <v>0</v>
      </c>
      <c r="X4871">
        <v>1</v>
      </c>
      <c r="Z4871">
        <v>0</v>
      </c>
      <c r="AA4871">
        <v>9</v>
      </c>
      <c r="AB4871">
        <v>3</v>
      </c>
      <c r="AC4871">
        <v>0</v>
      </c>
      <c r="AD4871">
        <v>10</v>
      </c>
      <c r="AE4871">
        <v>0</v>
      </c>
      <c r="AF4871">
        <v>3</v>
      </c>
      <c r="AG4871">
        <v>2</v>
      </c>
      <c r="AH4871">
        <v>0</v>
      </c>
      <c r="AI4871" t="s">
        <v>191</v>
      </c>
      <c r="AJ4871">
        <v>28.238168000000002</v>
      </c>
      <c r="AK4871" t="s">
        <v>1087</v>
      </c>
      <c r="AL4871">
        <v>-82.359072999999995</v>
      </c>
      <c r="AM4871">
        <v>100</v>
      </c>
      <c r="AN4871">
        <v>2200</v>
      </c>
      <c r="AO4871" t="s">
        <v>118</v>
      </c>
      <c r="AP4871">
        <v>-110</v>
      </c>
      <c r="AQ4871">
        <v>-45</v>
      </c>
      <c r="AR4871">
        <v>1088</v>
      </c>
      <c r="AZ4871">
        <v>1200</v>
      </c>
      <c r="BA4871">
        <v>1</v>
      </c>
      <c r="BB4871" t="str">
        <f t="shared" si="2223"/>
        <v xml:space="preserve">N711JA  </v>
      </c>
      <c r="BC4871">
        <v>1</v>
      </c>
      <c r="BE4871">
        <v>0</v>
      </c>
      <c r="BF4871">
        <v>0</v>
      </c>
      <c r="BG4871">
        <v>0</v>
      </c>
      <c r="BH4871">
        <v>2325</v>
      </c>
      <c r="BI4871">
        <v>1</v>
      </c>
      <c r="BJ4871">
        <v>1</v>
      </c>
      <c r="BK4871">
        <v>0</v>
      </c>
      <c r="BL4871">
        <v>0</v>
      </c>
      <c r="BO4871">
        <v>0</v>
      </c>
      <c r="BP4871">
        <v>0</v>
      </c>
      <c r="BW4871" t="str">
        <f t="shared" si="2243"/>
        <v>14:50:12.105</v>
      </c>
      <c r="CJ4871">
        <v>0</v>
      </c>
      <c r="CK4871">
        <v>2</v>
      </c>
      <c r="CL4871">
        <v>0</v>
      </c>
      <c r="CM4871">
        <v>2</v>
      </c>
      <c r="CN4871">
        <v>0</v>
      </c>
      <c r="CO4871">
        <v>7</v>
      </c>
      <c r="CP4871" t="s">
        <v>119</v>
      </c>
      <c r="CQ4871">
        <v>343</v>
      </c>
      <c r="CR4871">
        <v>1</v>
      </c>
      <c r="CW4871">
        <v>11083499</v>
      </c>
      <c r="CY4871">
        <v>1</v>
      </c>
      <c r="CZ4871">
        <v>0</v>
      </c>
      <c r="DA4871">
        <v>1</v>
      </c>
      <c r="DB4871">
        <v>0</v>
      </c>
      <c r="DC4871">
        <v>0</v>
      </c>
      <c r="DD4871">
        <v>1</v>
      </c>
      <c r="DE4871">
        <v>0</v>
      </c>
      <c r="DF4871">
        <v>0</v>
      </c>
      <c r="DG4871">
        <v>0</v>
      </c>
      <c r="DH4871">
        <v>0</v>
      </c>
      <c r="DI4871">
        <v>0</v>
      </c>
    </row>
    <row r="4872" spans="1:113" x14ac:dyDescent="0.3">
      <c r="A4872" t="str">
        <f t="shared" si="2239"/>
        <v>05/12/2020 14:49:54.265</v>
      </c>
      <c r="C4872" t="str">
        <f t="shared" si="2222"/>
        <v>FFDFD3C0</v>
      </c>
      <c r="D4872" t="s">
        <v>138</v>
      </c>
      <c r="E4872">
        <v>3</v>
      </c>
      <c r="H4872">
        <v>9</v>
      </c>
      <c r="I4872" t="s">
        <v>140</v>
      </c>
      <c r="J4872" t="s">
        <v>136</v>
      </c>
      <c r="K4872">
        <v>0</v>
      </c>
      <c r="L4872">
        <v>3</v>
      </c>
      <c r="M4872">
        <v>0</v>
      </c>
      <c r="N4872">
        <v>2</v>
      </c>
      <c r="O4872">
        <v>1</v>
      </c>
      <c r="P4872">
        <v>0</v>
      </c>
      <c r="Q4872">
        <v>0</v>
      </c>
      <c r="S4872" t="str">
        <f t="shared" si="2240"/>
        <v>14:50:12.102</v>
      </c>
      <c r="T4872" t="str">
        <f t="shared" si="2241"/>
        <v>14:50:11.902</v>
      </c>
      <c r="U4872" t="str">
        <f t="shared" si="2242"/>
        <v>A9808D</v>
      </c>
      <c r="V4872">
        <v>0</v>
      </c>
      <c r="W4872">
        <v>0</v>
      </c>
      <c r="X4872">
        <v>1</v>
      </c>
      <c r="Z4872">
        <v>0</v>
      </c>
      <c r="AA4872">
        <v>9</v>
      </c>
      <c r="AB4872">
        <v>3</v>
      </c>
      <c r="AC4872">
        <v>0</v>
      </c>
      <c r="AD4872">
        <v>10</v>
      </c>
      <c r="AE4872">
        <v>0</v>
      </c>
      <c r="AF4872">
        <v>3</v>
      </c>
      <c r="AG4872">
        <v>2</v>
      </c>
      <c r="AH4872">
        <v>0</v>
      </c>
      <c r="AI4872" t="s">
        <v>191</v>
      </c>
      <c r="AJ4872">
        <v>28.238168000000002</v>
      </c>
      <c r="AK4872" t="s">
        <v>1087</v>
      </c>
      <c r="AL4872">
        <v>-82.359072999999995</v>
      </c>
      <c r="AM4872">
        <v>100</v>
      </c>
      <c r="AN4872">
        <v>2200</v>
      </c>
      <c r="AO4872" t="s">
        <v>118</v>
      </c>
      <c r="AP4872">
        <v>-110</v>
      </c>
      <c r="AQ4872">
        <v>-45</v>
      </c>
      <c r="AR4872">
        <v>1088</v>
      </c>
      <c r="AZ4872">
        <v>1200</v>
      </c>
      <c r="BA4872">
        <v>1</v>
      </c>
      <c r="BB4872" t="str">
        <f t="shared" si="2223"/>
        <v xml:space="preserve">N711JA  </v>
      </c>
      <c r="BC4872">
        <v>1</v>
      </c>
      <c r="BE4872">
        <v>0</v>
      </c>
      <c r="BF4872">
        <v>0</v>
      </c>
      <c r="BG4872">
        <v>0</v>
      </c>
      <c r="BH4872">
        <v>2325</v>
      </c>
      <c r="BI4872">
        <v>1</v>
      </c>
      <c r="BJ4872">
        <v>1</v>
      </c>
      <c r="BK4872">
        <v>0</v>
      </c>
      <c r="BL4872">
        <v>0</v>
      </c>
      <c r="BO4872">
        <v>0</v>
      </c>
      <c r="BP4872">
        <v>0</v>
      </c>
      <c r="BW4872" t="str">
        <f t="shared" si="2243"/>
        <v>14:50:12.105</v>
      </c>
      <c r="CJ4872">
        <v>0</v>
      </c>
      <c r="CK4872">
        <v>2</v>
      </c>
      <c r="CL4872">
        <v>0</v>
      </c>
      <c r="CM4872">
        <v>2</v>
      </c>
      <c r="CN4872">
        <v>0</v>
      </c>
      <c r="CO4872">
        <v>7</v>
      </c>
      <c r="CP4872" t="s">
        <v>119</v>
      </c>
      <c r="CQ4872">
        <v>343</v>
      </c>
      <c r="CR4872">
        <v>1</v>
      </c>
      <c r="CW4872">
        <v>11083499</v>
      </c>
      <c r="CY4872">
        <v>1</v>
      </c>
      <c r="CZ4872">
        <v>0</v>
      </c>
      <c r="DA4872">
        <v>1</v>
      </c>
      <c r="DB4872">
        <v>0</v>
      </c>
      <c r="DC4872">
        <v>0</v>
      </c>
      <c r="DD4872">
        <v>1</v>
      </c>
      <c r="DE4872">
        <v>0</v>
      </c>
      <c r="DF4872">
        <v>0</v>
      </c>
      <c r="DG4872">
        <v>0</v>
      </c>
      <c r="DH4872">
        <v>0</v>
      </c>
      <c r="DI4872">
        <v>0</v>
      </c>
    </row>
    <row r="4873" spans="1:113" x14ac:dyDescent="0.3">
      <c r="A4873" t="str">
        <f t="shared" si="2239"/>
        <v>05/12/2020 14:49:54.265</v>
      </c>
      <c r="C4873" t="str">
        <f t="shared" si="2222"/>
        <v>FFDFD3C0</v>
      </c>
      <c r="D4873" t="s">
        <v>134</v>
      </c>
      <c r="E4873">
        <v>12</v>
      </c>
      <c r="H4873">
        <v>64</v>
      </c>
      <c r="I4873" t="s">
        <v>135</v>
      </c>
      <c r="J4873" t="s">
        <v>136</v>
      </c>
      <c r="K4873">
        <v>0</v>
      </c>
      <c r="L4873">
        <v>3</v>
      </c>
      <c r="M4873">
        <v>0</v>
      </c>
      <c r="N4873">
        <v>2</v>
      </c>
      <c r="O4873">
        <v>1</v>
      </c>
      <c r="P4873">
        <v>0</v>
      </c>
      <c r="Q4873">
        <v>0</v>
      </c>
      <c r="S4873" t="str">
        <f t="shared" si="2240"/>
        <v>14:50:12.102</v>
      </c>
      <c r="T4873" t="str">
        <f t="shared" si="2241"/>
        <v>14:50:11.902</v>
      </c>
      <c r="U4873" t="str">
        <f t="shared" si="2242"/>
        <v>A9808D</v>
      </c>
      <c r="V4873">
        <v>0</v>
      </c>
      <c r="W4873">
        <v>0</v>
      </c>
      <c r="X4873">
        <v>1</v>
      </c>
      <c r="Z4873">
        <v>0</v>
      </c>
      <c r="AA4873">
        <v>9</v>
      </c>
      <c r="AB4873">
        <v>3</v>
      </c>
      <c r="AC4873">
        <v>0</v>
      </c>
      <c r="AD4873">
        <v>10</v>
      </c>
      <c r="AE4873">
        <v>0</v>
      </c>
      <c r="AF4873">
        <v>3</v>
      </c>
      <c r="AG4873">
        <v>2</v>
      </c>
      <c r="AH4873">
        <v>0</v>
      </c>
      <c r="AI4873" t="s">
        <v>191</v>
      </c>
      <c r="AJ4873">
        <v>28.238168000000002</v>
      </c>
      <c r="AK4873" t="s">
        <v>1087</v>
      </c>
      <c r="AL4873">
        <v>-82.359072999999995</v>
      </c>
      <c r="AM4873">
        <v>100</v>
      </c>
      <c r="AN4873">
        <v>2200</v>
      </c>
      <c r="AO4873" t="s">
        <v>118</v>
      </c>
      <c r="AP4873">
        <v>-110</v>
      </c>
      <c r="AQ4873">
        <v>-45</v>
      </c>
      <c r="AR4873">
        <v>1088</v>
      </c>
      <c r="AZ4873">
        <v>1200</v>
      </c>
      <c r="BA4873">
        <v>1</v>
      </c>
      <c r="BB4873" t="str">
        <f t="shared" si="2223"/>
        <v xml:space="preserve">N711JA  </v>
      </c>
      <c r="BC4873">
        <v>1</v>
      </c>
      <c r="BE4873">
        <v>0</v>
      </c>
      <c r="BF4873">
        <v>0</v>
      </c>
      <c r="BG4873">
        <v>0</v>
      </c>
      <c r="BH4873">
        <v>2325</v>
      </c>
      <c r="BI4873">
        <v>1</v>
      </c>
      <c r="BJ4873">
        <v>1</v>
      </c>
      <c r="BK4873">
        <v>0</v>
      </c>
      <c r="BL4873">
        <v>0</v>
      </c>
      <c r="BO4873">
        <v>0</v>
      </c>
      <c r="BP4873">
        <v>0</v>
      </c>
      <c r="BW4873" t="str">
        <f t="shared" si="2243"/>
        <v>14:50:12.105</v>
      </c>
      <c r="CJ4873">
        <v>0</v>
      </c>
      <c r="CK4873">
        <v>2</v>
      </c>
      <c r="CL4873">
        <v>0</v>
      </c>
      <c r="CM4873">
        <v>2</v>
      </c>
      <c r="CN4873">
        <v>0</v>
      </c>
      <c r="CO4873">
        <v>7</v>
      </c>
      <c r="CP4873" t="s">
        <v>119</v>
      </c>
      <c r="CQ4873">
        <v>343</v>
      </c>
      <c r="CR4873">
        <v>1</v>
      </c>
      <c r="CW4873">
        <v>11083499</v>
      </c>
      <c r="CY4873">
        <v>1</v>
      </c>
      <c r="CZ4873">
        <v>0</v>
      </c>
      <c r="DA4873">
        <v>1</v>
      </c>
      <c r="DB4873">
        <v>0</v>
      </c>
      <c r="DC4873">
        <v>0</v>
      </c>
      <c r="DD4873">
        <v>1</v>
      </c>
      <c r="DE4873">
        <v>0</v>
      </c>
      <c r="DF4873">
        <v>0</v>
      </c>
      <c r="DG4873">
        <v>0</v>
      </c>
      <c r="DH4873">
        <v>0</v>
      </c>
      <c r="DI4873">
        <v>0</v>
      </c>
    </row>
    <row r="4874" spans="1:113" x14ac:dyDescent="0.3">
      <c r="A4874" t="str">
        <f t="shared" si="2239"/>
        <v>05/12/2020 14:49:54.265</v>
      </c>
      <c r="C4874" t="str">
        <f t="shared" si="2222"/>
        <v>FFDFD3C0</v>
      </c>
      <c r="D4874" t="s">
        <v>126</v>
      </c>
      <c r="E4874">
        <v>6</v>
      </c>
      <c r="F4874">
        <v>1006</v>
      </c>
      <c r="G4874" t="s">
        <v>114</v>
      </c>
      <c r="J4874" t="s">
        <v>128</v>
      </c>
      <c r="K4874">
        <v>0</v>
      </c>
      <c r="L4874">
        <v>3</v>
      </c>
      <c r="M4874">
        <v>0</v>
      </c>
      <c r="N4874">
        <v>2</v>
      </c>
      <c r="O4874">
        <v>1</v>
      </c>
      <c r="P4874">
        <v>0</v>
      </c>
      <c r="Q4874">
        <v>0</v>
      </c>
      <c r="S4874" t="str">
        <f t="shared" si="2240"/>
        <v>14:50:12.102</v>
      </c>
      <c r="T4874" t="str">
        <f t="shared" si="2241"/>
        <v>14:50:11.902</v>
      </c>
      <c r="U4874" t="str">
        <f t="shared" si="2242"/>
        <v>A9808D</v>
      </c>
      <c r="V4874">
        <v>0</v>
      </c>
      <c r="W4874">
        <v>0</v>
      </c>
      <c r="X4874">
        <v>1</v>
      </c>
      <c r="Z4874">
        <v>0</v>
      </c>
      <c r="AA4874">
        <v>9</v>
      </c>
      <c r="AB4874">
        <v>3</v>
      </c>
      <c r="AC4874">
        <v>0</v>
      </c>
      <c r="AD4874">
        <v>10</v>
      </c>
      <c r="AE4874">
        <v>0</v>
      </c>
      <c r="AF4874">
        <v>3</v>
      </c>
      <c r="AG4874">
        <v>2</v>
      </c>
      <c r="AH4874">
        <v>0</v>
      </c>
      <c r="AI4874" t="s">
        <v>191</v>
      </c>
      <c r="AJ4874">
        <v>28.238168000000002</v>
      </c>
      <c r="AK4874" t="s">
        <v>1087</v>
      </c>
      <c r="AL4874">
        <v>-82.359072999999995</v>
      </c>
      <c r="AM4874">
        <v>100</v>
      </c>
      <c r="AN4874">
        <v>2200</v>
      </c>
      <c r="AO4874" t="s">
        <v>118</v>
      </c>
      <c r="AP4874">
        <v>-110</v>
      </c>
      <c r="AQ4874">
        <v>-45</v>
      </c>
      <c r="AR4874">
        <v>1088</v>
      </c>
      <c r="AZ4874">
        <v>1200</v>
      </c>
      <c r="BA4874">
        <v>1</v>
      </c>
      <c r="BB4874" t="str">
        <f t="shared" si="2223"/>
        <v xml:space="preserve">N711JA  </v>
      </c>
      <c r="BC4874">
        <v>1</v>
      </c>
      <c r="BE4874">
        <v>0</v>
      </c>
      <c r="BF4874">
        <v>0</v>
      </c>
      <c r="BG4874">
        <v>0</v>
      </c>
      <c r="BH4874">
        <v>2325</v>
      </c>
      <c r="BI4874">
        <v>1</v>
      </c>
      <c r="BJ4874">
        <v>1</v>
      </c>
      <c r="BK4874">
        <v>0</v>
      </c>
      <c r="BL4874">
        <v>0</v>
      </c>
      <c r="BO4874">
        <v>0</v>
      </c>
      <c r="BP4874">
        <v>0</v>
      </c>
      <c r="BW4874" t="str">
        <f t="shared" si="2243"/>
        <v>14:50:12.105</v>
      </c>
      <c r="CJ4874">
        <v>0</v>
      </c>
      <c r="CK4874">
        <v>2</v>
      </c>
      <c r="CL4874">
        <v>0</v>
      </c>
      <c r="CM4874">
        <v>2</v>
      </c>
      <c r="CN4874">
        <v>0</v>
      </c>
      <c r="CO4874">
        <v>7</v>
      </c>
      <c r="CP4874" t="s">
        <v>119</v>
      </c>
      <c r="CQ4874">
        <v>343</v>
      </c>
      <c r="CR4874">
        <v>1</v>
      </c>
      <c r="CW4874">
        <v>11083499</v>
      </c>
      <c r="CY4874">
        <v>1</v>
      </c>
      <c r="CZ4874">
        <v>0</v>
      </c>
      <c r="DA4874">
        <v>1</v>
      </c>
      <c r="DB4874">
        <v>0</v>
      </c>
      <c r="DC4874">
        <v>0</v>
      </c>
      <c r="DD4874">
        <v>1</v>
      </c>
      <c r="DE4874">
        <v>0</v>
      </c>
      <c r="DF4874">
        <v>0</v>
      </c>
      <c r="DG4874">
        <v>0</v>
      </c>
      <c r="DH4874">
        <v>0</v>
      </c>
      <c r="DI4874">
        <v>0</v>
      </c>
    </row>
    <row r="4875" spans="1:113" x14ac:dyDescent="0.3">
      <c r="A4875" t="str">
        <f t="shared" ref="A4875:A4883" si="2244">"05/12/2020 14:49:55.223"</f>
        <v>05/12/2020 14:49:55.223</v>
      </c>
      <c r="C4875" t="str">
        <f t="shared" si="2222"/>
        <v>FFDFD3C0</v>
      </c>
      <c r="D4875" t="s">
        <v>126</v>
      </c>
      <c r="E4875">
        <v>7</v>
      </c>
      <c r="F4875">
        <v>1007</v>
      </c>
      <c r="G4875" t="s">
        <v>127</v>
      </c>
      <c r="J4875" t="s">
        <v>128</v>
      </c>
      <c r="K4875">
        <v>0</v>
      </c>
      <c r="L4875">
        <v>3</v>
      </c>
      <c r="M4875">
        <v>0</v>
      </c>
      <c r="N4875">
        <v>2</v>
      </c>
      <c r="O4875">
        <v>1</v>
      </c>
      <c r="P4875">
        <v>0</v>
      </c>
      <c r="Q4875">
        <v>0</v>
      </c>
      <c r="S4875" t="str">
        <f t="shared" ref="S4875:T4883" si="2245">"14:50:13.039"</f>
        <v>14:50:13.039</v>
      </c>
      <c r="T4875" t="str">
        <f t="shared" si="2245"/>
        <v>14:50:13.039</v>
      </c>
      <c r="U4875" t="str">
        <f t="shared" si="2242"/>
        <v>A9808D</v>
      </c>
      <c r="V4875">
        <v>0</v>
      </c>
      <c r="W4875">
        <v>0</v>
      </c>
      <c r="X4875">
        <v>1</v>
      </c>
      <c r="Z4875">
        <v>0</v>
      </c>
      <c r="AA4875">
        <v>9</v>
      </c>
      <c r="AB4875">
        <v>3</v>
      </c>
      <c r="AC4875">
        <v>0</v>
      </c>
      <c r="AD4875">
        <v>10</v>
      </c>
      <c r="AE4875">
        <v>0</v>
      </c>
      <c r="AF4875">
        <v>3</v>
      </c>
      <c r="AG4875">
        <v>2</v>
      </c>
      <c r="AH4875">
        <v>0</v>
      </c>
      <c r="AI4875" t="s">
        <v>1088</v>
      </c>
      <c r="AJ4875">
        <v>28.237974999999999</v>
      </c>
      <c r="AK4875" t="s">
        <v>478</v>
      </c>
      <c r="AL4875">
        <v>-82.359588000000002</v>
      </c>
      <c r="AM4875">
        <v>100</v>
      </c>
      <c r="AN4875">
        <v>2200</v>
      </c>
      <c r="AO4875" t="s">
        <v>118</v>
      </c>
      <c r="AP4875">
        <v>-108</v>
      </c>
      <c r="AQ4875">
        <v>-45</v>
      </c>
      <c r="AR4875">
        <v>960</v>
      </c>
      <c r="AZ4875">
        <v>1200</v>
      </c>
      <c r="BA4875">
        <v>1</v>
      </c>
      <c r="BB4875" t="str">
        <f t="shared" si="2223"/>
        <v xml:space="preserve">N711JA  </v>
      </c>
      <c r="BC4875">
        <v>1</v>
      </c>
      <c r="BE4875">
        <v>0</v>
      </c>
      <c r="BF4875">
        <v>0</v>
      </c>
      <c r="BG4875">
        <v>0</v>
      </c>
      <c r="BH4875">
        <v>2325</v>
      </c>
      <c r="BI4875">
        <v>1</v>
      </c>
      <c r="BJ4875">
        <v>1</v>
      </c>
      <c r="BK4875">
        <v>0</v>
      </c>
      <c r="BL4875">
        <v>0</v>
      </c>
      <c r="BO4875">
        <v>0</v>
      </c>
      <c r="BP4875">
        <v>0</v>
      </c>
      <c r="BW4875" t="str">
        <f t="shared" ref="BW4875:BW4883" si="2246">"14:50:13.041"</f>
        <v>14:50:13.041</v>
      </c>
      <c r="CJ4875">
        <v>0</v>
      </c>
      <c r="CK4875">
        <v>2</v>
      </c>
      <c r="CL4875">
        <v>0</v>
      </c>
      <c r="CM4875">
        <v>2</v>
      </c>
      <c r="CN4875">
        <v>0</v>
      </c>
      <c r="CO4875">
        <v>7</v>
      </c>
      <c r="CP4875" t="s">
        <v>119</v>
      </c>
      <c r="CQ4875">
        <v>343</v>
      </c>
      <c r="CR4875">
        <v>1</v>
      </c>
      <c r="CW4875">
        <v>11084493</v>
      </c>
      <c r="CY4875">
        <v>1</v>
      </c>
      <c r="CZ4875">
        <v>0</v>
      </c>
      <c r="DA4875">
        <v>0</v>
      </c>
      <c r="DB4875">
        <v>0</v>
      </c>
      <c r="DC4875">
        <v>0</v>
      </c>
      <c r="DD4875">
        <v>1</v>
      </c>
      <c r="DE4875">
        <v>0</v>
      </c>
      <c r="DF4875">
        <v>0</v>
      </c>
      <c r="DG4875">
        <v>0</v>
      </c>
      <c r="DH4875">
        <v>0</v>
      </c>
      <c r="DI4875">
        <v>0</v>
      </c>
    </row>
    <row r="4876" spans="1:113" x14ac:dyDescent="0.3">
      <c r="A4876" t="str">
        <f t="shared" si="2244"/>
        <v>05/12/2020 14:49:55.223</v>
      </c>
      <c r="C4876" t="str">
        <f t="shared" si="2222"/>
        <v>FFDFD3C0</v>
      </c>
      <c r="D4876" t="s">
        <v>131</v>
      </c>
      <c r="E4876">
        <v>10</v>
      </c>
      <c r="F4876">
        <v>2010</v>
      </c>
      <c r="G4876" t="s">
        <v>132</v>
      </c>
      <c r="J4876" t="s">
        <v>133</v>
      </c>
      <c r="K4876">
        <v>0</v>
      </c>
      <c r="L4876">
        <v>3</v>
      </c>
      <c r="M4876">
        <v>0</v>
      </c>
      <c r="N4876">
        <v>2</v>
      </c>
      <c r="O4876">
        <v>1</v>
      </c>
      <c r="P4876">
        <v>0</v>
      </c>
      <c r="Q4876">
        <v>0</v>
      </c>
      <c r="S4876" t="str">
        <f t="shared" si="2245"/>
        <v>14:50:13.039</v>
      </c>
      <c r="T4876" t="str">
        <f t="shared" si="2245"/>
        <v>14:50:13.039</v>
      </c>
      <c r="U4876" t="str">
        <f t="shared" si="2242"/>
        <v>A9808D</v>
      </c>
      <c r="V4876">
        <v>0</v>
      </c>
      <c r="W4876">
        <v>0</v>
      </c>
      <c r="X4876">
        <v>1</v>
      </c>
      <c r="Z4876">
        <v>0</v>
      </c>
      <c r="AA4876">
        <v>9</v>
      </c>
      <c r="AB4876">
        <v>3</v>
      </c>
      <c r="AC4876">
        <v>0</v>
      </c>
      <c r="AD4876">
        <v>10</v>
      </c>
      <c r="AE4876">
        <v>0</v>
      </c>
      <c r="AF4876">
        <v>3</v>
      </c>
      <c r="AG4876">
        <v>2</v>
      </c>
      <c r="AH4876">
        <v>0</v>
      </c>
      <c r="AI4876" t="s">
        <v>1088</v>
      </c>
      <c r="AJ4876">
        <v>28.237974999999999</v>
      </c>
      <c r="AK4876" t="s">
        <v>478</v>
      </c>
      <c r="AL4876">
        <v>-82.359588000000002</v>
      </c>
      <c r="AM4876">
        <v>100</v>
      </c>
      <c r="AN4876">
        <v>2200</v>
      </c>
      <c r="AO4876" t="s">
        <v>118</v>
      </c>
      <c r="AP4876">
        <v>-108</v>
      </c>
      <c r="AQ4876">
        <v>-45</v>
      </c>
      <c r="AR4876">
        <v>960</v>
      </c>
      <c r="AZ4876">
        <v>1200</v>
      </c>
      <c r="BA4876">
        <v>1</v>
      </c>
      <c r="BB4876" t="str">
        <f t="shared" si="2223"/>
        <v xml:space="preserve">N711JA  </v>
      </c>
      <c r="BC4876">
        <v>1</v>
      </c>
      <c r="BE4876">
        <v>0</v>
      </c>
      <c r="BF4876">
        <v>0</v>
      </c>
      <c r="BG4876">
        <v>0</v>
      </c>
      <c r="BH4876">
        <v>2325</v>
      </c>
      <c r="BI4876">
        <v>1</v>
      </c>
      <c r="BJ4876">
        <v>1</v>
      </c>
      <c r="BK4876">
        <v>0</v>
      </c>
      <c r="BL4876">
        <v>0</v>
      </c>
      <c r="BO4876">
        <v>0</v>
      </c>
      <c r="BP4876">
        <v>0</v>
      </c>
      <c r="BW4876" t="str">
        <f t="shared" si="2246"/>
        <v>14:50:13.041</v>
      </c>
      <c r="CJ4876">
        <v>0</v>
      </c>
      <c r="CK4876">
        <v>2</v>
      </c>
      <c r="CL4876">
        <v>0</v>
      </c>
      <c r="CM4876">
        <v>2</v>
      </c>
      <c r="CN4876">
        <v>0</v>
      </c>
      <c r="CO4876">
        <v>7</v>
      </c>
      <c r="CP4876" t="s">
        <v>119</v>
      </c>
      <c r="CQ4876">
        <v>343</v>
      </c>
      <c r="CR4876">
        <v>1</v>
      </c>
      <c r="CW4876">
        <v>11084493</v>
      </c>
      <c r="CY4876">
        <v>1</v>
      </c>
      <c r="CZ4876">
        <v>0</v>
      </c>
      <c r="DA4876">
        <v>1</v>
      </c>
      <c r="DB4876">
        <v>0</v>
      </c>
      <c r="DC4876">
        <v>0</v>
      </c>
      <c r="DD4876">
        <v>1</v>
      </c>
      <c r="DE4876">
        <v>0</v>
      </c>
      <c r="DF4876">
        <v>0</v>
      </c>
      <c r="DG4876">
        <v>0</v>
      </c>
      <c r="DH4876">
        <v>0</v>
      </c>
      <c r="DI4876">
        <v>0</v>
      </c>
    </row>
    <row r="4877" spans="1:113" x14ac:dyDescent="0.3">
      <c r="A4877" t="str">
        <f t="shared" si="2244"/>
        <v>05/12/2020 14:49:55.223</v>
      </c>
      <c r="C4877" t="str">
        <f t="shared" si="2222"/>
        <v>FFDFD3C0</v>
      </c>
      <c r="D4877" t="s">
        <v>131</v>
      </c>
      <c r="E4877">
        <v>12</v>
      </c>
      <c r="F4877">
        <v>2012</v>
      </c>
      <c r="G4877" t="s">
        <v>137</v>
      </c>
      <c r="J4877" t="s">
        <v>133</v>
      </c>
      <c r="K4877">
        <v>0</v>
      </c>
      <c r="L4877">
        <v>3</v>
      </c>
      <c r="M4877">
        <v>0</v>
      </c>
      <c r="N4877">
        <v>2</v>
      </c>
      <c r="O4877">
        <v>1</v>
      </c>
      <c r="P4877">
        <v>0</v>
      </c>
      <c r="Q4877">
        <v>0</v>
      </c>
      <c r="S4877" t="str">
        <f t="shared" si="2245"/>
        <v>14:50:13.039</v>
      </c>
      <c r="T4877" t="str">
        <f t="shared" si="2245"/>
        <v>14:50:13.039</v>
      </c>
      <c r="U4877" t="str">
        <f t="shared" si="2242"/>
        <v>A9808D</v>
      </c>
      <c r="V4877">
        <v>0</v>
      </c>
      <c r="W4877">
        <v>0</v>
      </c>
      <c r="X4877">
        <v>1</v>
      </c>
      <c r="Z4877">
        <v>0</v>
      </c>
      <c r="AA4877">
        <v>9</v>
      </c>
      <c r="AB4877">
        <v>3</v>
      </c>
      <c r="AC4877">
        <v>0</v>
      </c>
      <c r="AD4877">
        <v>10</v>
      </c>
      <c r="AE4877">
        <v>0</v>
      </c>
      <c r="AF4877">
        <v>3</v>
      </c>
      <c r="AG4877">
        <v>2</v>
      </c>
      <c r="AH4877">
        <v>0</v>
      </c>
      <c r="AI4877" t="s">
        <v>1088</v>
      </c>
      <c r="AJ4877">
        <v>28.237974999999999</v>
      </c>
      <c r="AK4877" t="s">
        <v>478</v>
      </c>
      <c r="AL4877">
        <v>-82.359588000000002</v>
      </c>
      <c r="AM4877">
        <v>100</v>
      </c>
      <c r="AN4877">
        <v>2200</v>
      </c>
      <c r="AO4877" t="s">
        <v>118</v>
      </c>
      <c r="AP4877">
        <v>-108</v>
      </c>
      <c r="AQ4877">
        <v>-45</v>
      </c>
      <c r="AR4877">
        <v>960</v>
      </c>
      <c r="AZ4877">
        <v>1200</v>
      </c>
      <c r="BA4877">
        <v>1</v>
      </c>
      <c r="BB4877" t="str">
        <f t="shared" si="2223"/>
        <v xml:space="preserve">N711JA  </v>
      </c>
      <c r="BC4877">
        <v>1</v>
      </c>
      <c r="BE4877">
        <v>0</v>
      </c>
      <c r="BF4877">
        <v>0</v>
      </c>
      <c r="BG4877">
        <v>0</v>
      </c>
      <c r="BH4877">
        <v>2325</v>
      </c>
      <c r="BI4877">
        <v>1</v>
      </c>
      <c r="BJ4877">
        <v>1</v>
      </c>
      <c r="BK4877">
        <v>0</v>
      </c>
      <c r="BL4877">
        <v>0</v>
      </c>
      <c r="BO4877">
        <v>0</v>
      </c>
      <c r="BP4877">
        <v>0</v>
      </c>
      <c r="BW4877" t="str">
        <f t="shared" si="2246"/>
        <v>14:50:13.041</v>
      </c>
      <c r="CJ4877">
        <v>0</v>
      </c>
      <c r="CK4877">
        <v>2</v>
      </c>
      <c r="CL4877">
        <v>0</v>
      </c>
      <c r="CM4877">
        <v>2</v>
      </c>
      <c r="CN4877">
        <v>0</v>
      </c>
      <c r="CO4877">
        <v>7</v>
      </c>
      <c r="CP4877" t="s">
        <v>119</v>
      </c>
      <c r="CQ4877">
        <v>343</v>
      </c>
      <c r="CR4877">
        <v>1</v>
      </c>
      <c r="CW4877">
        <v>11084493</v>
      </c>
      <c r="CY4877">
        <v>1</v>
      </c>
      <c r="CZ4877">
        <v>0</v>
      </c>
      <c r="DA4877">
        <v>1</v>
      </c>
      <c r="DB4877">
        <v>0</v>
      </c>
      <c r="DC4877">
        <v>0</v>
      </c>
      <c r="DD4877">
        <v>1</v>
      </c>
      <c r="DE4877">
        <v>0</v>
      </c>
      <c r="DF4877">
        <v>0</v>
      </c>
      <c r="DG4877">
        <v>0</v>
      </c>
      <c r="DH4877">
        <v>0</v>
      </c>
      <c r="DI4877">
        <v>0</v>
      </c>
    </row>
    <row r="4878" spans="1:113" x14ac:dyDescent="0.3">
      <c r="A4878" t="str">
        <f t="shared" si="2244"/>
        <v>05/12/2020 14:49:55.223</v>
      </c>
      <c r="C4878" t="str">
        <f t="shared" si="2222"/>
        <v>FFDFD3C0</v>
      </c>
      <c r="D4878" t="s">
        <v>131</v>
      </c>
      <c r="E4878">
        <v>18</v>
      </c>
      <c r="F4878">
        <v>2018</v>
      </c>
      <c r="G4878" t="s">
        <v>161</v>
      </c>
      <c r="J4878" t="s">
        <v>133</v>
      </c>
      <c r="K4878">
        <v>0</v>
      </c>
      <c r="L4878">
        <v>3</v>
      </c>
      <c r="M4878">
        <v>0</v>
      </c>
      <c r="N4878">
        <v>2</v>
      </c>
      <c r="O4878">
        <v>1</v>
      </c>
      <c r="P4878">
        <v>0</v>
      </c>
      <c r="Q4878">
        <v>0</v>
      </c>
      <c r="S4878" t="str">
        <f t="shared" si="2245"/>
        <v>14:50:13.039</v>
      </c>
      <c r="T4878" t="str">
        <f t="shared" si="2245"/>
        <v>14:50:13.039</v>
      </c>
      <c r="U4878" t="str">
        <f t="shared" si="2242"/>
        <v>A9808D</v>
      </c>
      <c r="V4878">
        <v>0</v>
      </c>
      <c r="W4878">
        <v>0</v>
      </c>
      <c r="X4878">
        <v>1</v>
      </c>
      <c r="Z4878">
        <v>0</v>
      </c>
      <c r="AA4878">
        <v>9</v>
      </c>
      <c r="AB4878">
        <v>3</v>
      </c>
      <c r="AC4878">
        <v>0</v>
      </c>
      <c r="AD4878">
        <v>10</v>
      </c>
      <c r="AE4878">
        <v>0</v>
      </c>
      <c r="AF4878">
        <v>3</v>
      </c>
      <c r="AG4878">
        <v>2</v>
      </c>
      <c r="AH4878">
        <v>0</v>
      </c>
      <c r="AI4878" t="s">
        <v>1088</v>
      </c>
      <c r="AJ4878">
        <v>28.237974999999999</v>
      </c>
      <c r="AK4878" t="s">
        <v>478</v>
      </c>
      <c r="AL4878">
        <v>-82.359588000000002</v>
      </c>
      <c r="AM4878">
        <v>100</v>
      </c>
      <c r="AN4878">
        <v>2200</v>
      </c>
      <c r="AO4878" t="s">
        <v>118</v>
      </c>
      <c r="AP4878">
        <v>-108</v>
      </c>
      <c r="AQ4878">
        <v>-45</v>
      </c>
      <c r="AR4878">
        <v>960</v>
      </c>
      <c r="AZ4878">
        <v>1200</v>
      </c>
      <c r="BA4878">
        <v>1</v>
      </c>
      <c r="BB4878" t="str">
        <f t="shared" si="2223"/>
        <v xml:space="preserve">N711JA  </v>
      </c>
      <c r="BC4878">
        <v>1</v>
      </c>
      <c r="BE4878">
        <v>0</v>
      </c>
      <c r="BF4878">
        <v>0</v>
      </c>
      <c r="BG4878">
        <v>0</v>
      </c>
      <c r="BH4878">
        <v>2325</v>
      </c>
      <c r="BI4878">
        <v>1</v>
      </c>
      <c r="BJ4878">
        <v>1</v>
      </c>
      <c r="BK4878">
        <v>0</v>
      </c>
      <c r="BL4878">
        <v>0</v>
      </c>
      <c r="BO4878">
        <v>0</v>
      </c>
      <c r="BP4878">
        <v>0</v>
      </c>
      <c r="BW4878" t="str">
        <f t="shared" si="2246"/>
        <v>14:50:13.041</v>
      </c>
      <c r="CJ4878">
        <v>0</v>
      </c>
      <c r="CK4878">
        <v>2</v>
      </c>
      <c r="CL4878">
        <v>0</v>
      </c>
      <c r="CM4878">
        <v>2</v>
      </c>
      <c r="CN4878">
        <v>0</v>
      </c>
      <c r="CO4878">
        <v>7</v>
      </c>
      <c r="CP4878" t="s">
        <v>119</v>
      </c>
      <c r="CQ4878">
        <v>343</v>
      </c>
      <c r="CR4878">
        <v>1</v>
      </c>
      <c r="CW4878">
        <v>11084493</v>
      </c>
      <c r="CY4878">
        <v>1</v>
      </c>
      <c r="CZ4878">
        <v>0</v>
      </c>
      <c r="DA4878">
        <v>1</v>
      </c>
      <c r="DB4878">
        <v>0</v>
      </c>
      <c r="DC4878">
        <v>0</v>
      </c>
      <c r="DD4878">
        <v>1</v>
      </c>
      <c r="DE4878">
        <v>0</v>
      </c>
      <c r="DF4878">
        <v>0</v>
      </c>
      <c r="DG4878">
        <v>0</v>
      </c>
      <c r="DH4878">
        <v>0</v>
      </c>
      <c r="DI4878">
        <v>0</v>
      </c>
    </row>
    <row r="4879" spans="1:113" x14ac:dyDescent="0.3">
      <c r="A4879" t="str">
        <f t="shared" si="2244"/>
        <v>05/12/2020 14:49:55.223</v>
      </c>
      <c r="C4879" t="str">
        <f t="shared" si="2222"/>
        <v>FFDFD3C0</v>
      </c>
      <c r="D4879" t="s">
        <v>113</v>
      </c>
      <c r="E4879">
        <v>3</v>
      </c>
      <c r="H4879">
        <v>164</v>
      </c>
      <c r="I4879" t="s">
        <v>114</v>
      </c>
      <c r="J4879" t="s">
        <v>115</v>
      </c>
      <c r="K4879">
        <v>0</v>
      </c>
      <c r="L4879">
        <v>3</v>
      </c>
      <c r="M4879">
        <v>0</v>
      </c>
      <c r="N4879">
        <v>2</v>
      </c>
      <c r="O4879">
        <v>1</v>
      </c>
      <c r="P4879">
        <v>0</v>
      </c>
      <c r="Q4879">
        <v>0</v>
      </c>
      <c r="S4879" t="str">
        <f t="shared" si="2245"/>
        <v>14:50:13.039</v>
      </c>
      <c r="T4879" t="str">
        <f t="shared" si="2245"/>
        <v>14:50:13.039</v>
      </c>
      <c r="U4879" t="str">
        <f t="shared" si="2242"/>
        <v>A9808D</v>
      </c>
      <c r="V4879">
        <v>0</v>
      </c>
      <c r="W4879">
        <v>0</v>
      </c>
      <c r="X4879">
        <v>1</v>
      </c>
      <c r="Z4879">
        <v>0</v>
      </c>
      <c r="AA4879">
        <v>9</v>
      </c>
      <c r="AB4879">
        <v>3</v>
      </c>
      <c r="AC4879">
        <v>0</v>
      </c>
      <c r="AD4879">
        <v>10</v>
      </c>
      <c r="AE4879">
        <v>0</v>
      </c>
      <c r="AF4879">
        <v>3</v>
      </c>
      <c r="AG4879">
        <v>2</v>
      </c>
      <c r="AH4879">
        <v>0</v>
      </c>
      <c r="AI4879" t="s">
        <v>1088</v>
      </c>
      <c r="AJ4879">
        <v>28.237974999999999</v>
      </c>
      <c r="AK4879" t="s">
        <v>478</v>
      </c>
      <c r="AL4879">
        <v>-82.359588000000002</v>
      </c>
      <c r="AM4879">
        <v>100</v>
      </c>
      <c r="AN4879">
        <v>2200</v>
      </c>
      <c r="AO4879" t="s">
        <v>118</v>
      </c>
      <c r="AP4879">
        <v>-108</v>
      </c>
      <c r="AQ4879">
        <v>-45</v>
      </c>
      <c r="AR4879">
        <v>960</v>
      </c>
      <c r="AZ4879">
        <v>1200</v>
      </c>
      <c r="BA4879">
        <v>1</v>
      </c>
      <c r="BB4879" t="str">
        <f t="shared" si="2223"/>
        <v xml:space="preserve">N711JA  </v>
      </c>
      <c r="BC4879">
        <v>1</v>
      </c>
      <c r="BE4879">
        <v>0</v>
      </c>
      <c r="BF4879">
        <v>0</v>
      </c>
      <c r="BG4879">
        <v>0</v>
      </c>
      <c r="BH4879">
        <v>2325</v>
      </c>
      <c r="BI4879">
        <v>1</v>
      </c>
      <c r="BJ4879">
        <v>1</v>
      </c>
      <c r="BK4879">
        <v>0</v>
      </c>
      <c r="BL4879">
        <v>0</v>
      </c>
      <c r="BO4879">
        <v>0</v>
      </c>
      <c r="BP4879">
        <v>0</v>
      </c>
      <c r="BW4879" t="str">
        <f t="shared" si="2246"/>
        <v>14:50:13.041</v>
      </c>
      <c r="CJ4879">
        <v>0</v>
      </c>
      <c r="CK4879">
        <v>2</v>
      </c>
      <c r="CL4879">
        <v>0</v>
      </c>
      <c r="CM4879">
        <v>2</v>
      </c>
      <c r="CN4879">
        <v>0</v>
      </c>
      <c r="CO4879">
        <v>7</v>
      </c>
      <c r="CP4879" t="s">
        <v>119</v>
      </c>
      <c r="CQ4879">
        <v>343</v>
      </c>
      <c r="CR4879">
        <v>1</v>
      </c>
      <c r="CW4879">
        <v>11084493</v>
      </c>
      <c r="CY4879">
        <v>1</v>
      </c>
      <c r="CZ4879">
        <v>0</v>
      </c>
      <c r="DA4879">
        <v>1</v>
      </c>
      <c r="DB4879">
        <v>0</v>
      </c>
      <c r="DC4879">
        <v>0</v>
      </c>
      <c r="DD4879">
        <v>1</v>
      </c>
      <c r="DE4879">
        <v>0</v>
      </c>
      <c r="DF4879">
        <v>0</v>
      </c>
      <c r="DG4879">
        <v>0</v>
      </c>
      <c r="DH4879">
        <v>0</v>
      </c>
      <c r="DI4879">
        <v>0</v>
      </c>
    </row>
    <row r="4880" spans="1:113" x14ac:dyDescent="0.3">
      <c r="A4880" t="str">
        <f t="shared" si="2244"/>
        <v>05/12/2020 14:49:55.223</v>
      </c>
      <c r="C4880" t="str">
        <f t="shared" si="2222"/>
        <v>FFDFD3C0</v>
      </c>
      <c r="D4880" t="s">
        <v>138</v>
      </c>
      <c r="E4880">
        <v>2</v>
      </c>
      <c r="H4880">
        <v>8</v>
      </c>
      <c r="I4880" t="s">
        <v>139</v>
      </c>
      <c r="J4880" t="s">
        <v>136</v>
      </c>
      <c r="K4880">
        <v>0</v>
      </c>
      <c r="L4880">
        <v>3</v>
      </c>
      <c r="M4880">
        <v>0</v>
      </c>
      <c r="N4880">
        <v>2</v>
      </c>
      <c r="O4880">
        <v>1</v>
      </c>
      <c r="P4880">
        <v>0</v>
      </c>
      <c r="Q4880">
        <v>0</v>
      </c>
      <c r="S4880" t="str">
        <f t="shared" si="2245"/>
        <v>14:50:13.039</v>
      </c>
      <c r="T4880" t="str">
        <f t="shared" si="2245"/>
        <v>14:50:13.039</v>
      </c>
      <c r="U4880" t="str">
        <f t="shared" si="2242"/>
        <v>A9808D</v>
      </c>
      <c r="V4880">
        <v>0</v>
      </c>
      <c r="W4880">
        <v>0</v>
      </c>
      <c r="X4880">
        <v>1</v>
      </c>
      <c r="Z4880">
        <v>0</v>
      </c>
      <c r="AA4880">
        <v>9</v>
      </c>
      <c r="AB4880">
        <v>3</v>
      </c>
      <c r="AC4880">
        <v>0</v>
      </c>
      <c r="AD4880">
        <v>10</v>
      </c>
      <c r="AE4880">
        <v>0</v>
      </c>
      <c r="AF4880">
        <v>3</v>
      </c>
      <c r="AG4880">
        <v>2</v>
      </c>
      <c r="AH4880">
        <v>0</v>
      </c>
      <c r="AI4880" t="s">
        <v>1088</v>
      </c>
      <c r="AJ4880">
        <v>28.237974999999999</v>
      </c>
      <c r="AK4880" t="s">
        <v>478</v>
      </c>
      <c r="AL4880">
        <v>-82.359588000000002</v>
      </c>
      <c r="AM4880">
        <v>100</v>
      </c>
      <c r="AN4880">
        <v>2200</v>
      </c>
      <c r="AO4880" t="s">
        <v>118</v>
      </c>
      <c r="AP4880">
        <v>-108</v>
      </c>
      <c r="AQ4880">
        <v>-45</v>
      </c>
      <c r="AR4880">
        <v>960</v>
      </c>
      <c r="AZ4880">
        <v>1200</v>
      </c>
      <c r="BA4880">
        <v>1</v>
      </c>
      <c r="BB4880" t="str">
        <f t="shared" si="2223"/>
        <v xml:space="preserve">N711JA  </v>
      </c>
      <c r="BC4880">
        <v>1</v>
      </c>
      <c r="BE4880">
        <v>0</v>
      </c>
      <c r="BF4880">
        <v>0</v>
      </c>
      <c r="BG4880">
        <v>0</v>
      </c>
      <c r="BH4880">
        <v>2325</v>
      </c>
      <c r="BI4880">
        <v>1</v>
      </c>
      <c r="BJ4880">
        <v>1</v>
      </c>
      <c r="BK4880">
        <v>0</v>
      </c>
      <c r="BL4880">
        <v>0</v>
      </c>
      <c r="BO4880">
        <v>0</v>
      </c>
      <c r="BP4880">
        <v>0</v>
      </c>
      <c r="BW4880" t="str">
        <f t="shared" si="2246"/>
        <v>14:50:13.041</v>
      </c>
      <c r="CJ4880">
        <v>0</v>
      </c>
      <c r="CK4880">
        <v>2</v>
      </c>
      <c r="CL4880">
        <v>0</v>
      </c>
      <c r="CM4880">
        <v>2</v>
      </c>
      <c r="CN4880">
        <v>0</v>
      </c>
      <c r="CO4880">
        <v>7</v>
      </c>
      <c r="CP4880" t="s">
        <v>119</v>
      </c>
      <c r="CQ4880">
        <v>343</v>
      </c>
      <c r="CR4880">
        <v>1</v>
      </c>
      <c r="CW4880">
        <v>11084493</v>
      </c>
      <c r="CY4880">
        <v>1</v>
      </c>
      <c r="CZ4880">
        <v>0</v>
      </c>
      <c r="DA4880">
        <v>1</v>
      </c>
      <c r="DB4880">
        <v>0</v>
      </c>
      <c r="DC4880">
        <v>0</v>
      </c>
      <c r="DD4880">
        <v>1</v>
      </c>
      <c r="DE4880">
        <v>0</v>
      </c>
      <c r="DF4880">
        <v>0</v>
      </c>
      <c r="DG4880">
        <v>0</v>
      </c>
      <c r="DH4880">
        <v>0</v>
      </c>
      <c r="DI4880">
        <v>0</v>
      </c>
    </row>
    <row r="4881" spans="1:113" x14ac:dyDescent="0.3">
      <c r="A4881" t="str">
        <f t="shared" si="2244"/>
        <v>05/12/2020 14:49:55.223</v>
      </c>
      <c r="C4881" t="str">
        <f t="shared" si="2222"/>
        <v>FFDFD3C0</v>
      </c>
      <c r="D4881" t="s">
        <v>138</v>
      </c>
      <c r="E4881">
        <v>3</v>
      </c>
      <c r="H4881">
        <v>9</v>
      </c>
      <c r="I4881" t="s">
        <v>140</v>
      </c>
      <c r="J4881" t="s">
        <v>136</v>
      </c>
      <c r="K4881">
        <v>0</v>
      </c>
      <c r="L4881">
        <v>3</v>
      </c>
      <c r="M4881">
        <v>0</v>
      </c>
      <c r="N4881">
        <v>2</v>
      </c>
      <c r="O4881">
        <v>1</v>
      </c>
      <c r="P4881">
        <v>0</v>
      </c>
      <c r="Q4881">
        <v>0</v>
      </c>
      <c r="S4881" t="str">
        <f t="shared" si="2245"/>
        <v>14:50:13.039</v>
      </c>
      <c r="T4881" t="str">
        <f t="shared" si="2245"/>
        <v>14:50:13.039</v>
      </c>
      <c r="U4881" t="str">
        <f t="shared" si="2242"/>
        <v>A9808D</v>
      </c>
      <c r="V4881">
        <v>0</v>
      </c>
      <c r="W4881">
        <v>0</v>
      </c>
      <c r="X4881">
        <v>1</v>
      </c>
      <c r="Z4881">
        <v>0</v>
      </c>
      <c r="AA4881">
        <v>9</v>
      </c>
      <c r="AB4881">
        <v>3</v>
      </c>
      <c r="AC4881">
        <v>0</v>
      </c>
      <c r="AD4881">
        <v>10</v>
      </c>
      <c r="AE4881">
        <v>0</v>
      </c>
      <c r="AF4881">
        <v>3</v>
      </c>
      <c r="AG4881">
        <v>2</v>
      </c>
      <c r="AH4881">
        <v>0</v>
      </c>
      <c r="AI4881" t="s">
        <v>1088</v>
      </c>
      <c r="AJ4881">
        <v>28.237974999999999</v>
      </c>
      <c r="AK4881" t="s">
        <v>478</v>
      </c>
      <c r="AL4881">
        <v>-82.359588000000002</v>
      </c>
      <c r="AM4881">
        <v>100</v>
      </c>
      <c r="AN4881">
        <v>2200</v>
      </c>
      <c r="AO4881" t="s">
        <v>118</v>
      </c>
      <c r="AP4881">
        <v>-108</v>
      </c>
      <c r="AQ4881">
        <v>-45</v>
      </c>
      <c r="AR4881">
        <v>960</v>
      </c>
      <c r="AZ4881">
        <v>1200</v>
      </c>
      <c r="BA4881">
        <v>1</v>
      </c>
      <c r="BB4881" t="str">
        <f t="shared" si="2223"/>
        <v xml:space="preserve">N711JA  </v>
      </c>
      <c r="BC4881">
        <v>1</v>
      </c>
      <c r="BE4881">
        <v>0</v>
      </c>
      <c r="BF4881">
        <v>0</v>
      </c>
      <c r="BG4881">
        <v>0</v>
      </c>
      <c r="BH4881">
        <v>2325</v>
      </c>
      <c r="BI4881">
        <v>1</v>
      </c>
      <c r="BJ4881">
        <v>1</v>
      </c>
      <c r="BK4881">
        <v>0</v>
      </c>
      <c r="BL4881">
        <v>0</v>
      </c>
      <c r="BO4881">
        <v>0</v>
      </c>
      <c r="BP4881">
        <v>0</v>
      </c>
      <c r="BW4881" t="str">
        <f t="shared" si="2246"/>
        <v>14:50:13.041</v>
      </c>
      <c r="CJ4881">
        <v>0</v>
      </c>
      <c r="CK4881">
        <v>2</v>
      </c>
      <c r="CL4881">
        <v>0</v>
      </c>
      <c r="CM4881">
        <v>2</v>
      </c>
      <c r="CN4881">
        <v>0</v>
      </c>
      <c r="CO4881">
        <v>7</v>
      </c>
      <c r="CP4881" t="s">
        <v>119</v>
      </c>
      <c r="CQ4881">
        <v>343</v>
      </c>
      <c r="CR4881">
        <v>1</v>
      </c>
      <c r="CW4881">
        <v>11084493</v>
      </c>
      <c r="CY4881">
        <v>1</v>
      </c>
      <c r="CZ4881">
        <v>0</v>
      </c>
      <c r="DA4881">
        <v>1</v>
      </c>
      <c r="DB4881">
        <v>0</v>
      </c>
      <c r="DC4881">
        <v>0</v>
      </c>
      <c r="DD4881">
        <v>1</v>
      </c>
      <c r="DE4881">
        <v>0</v>
      </c>
      <c r="DF4881">
        <v>0</v>
      </c>
      <c r="DG4881">
        <v>0</v>
      </c>
      <c r="DH4881">
        <v>0</v>
      </c>
      <c r="DI4881">
        <v>0</v>
      </c>
    </row>
    <row r="4882" spans="1:113" x14ac:dyDescent="0.3">
      <c r="A4882" t="str">
        <f t="shared" si="2244"/>
        <v>05/12/2020 14:49:55.223</v>
      </c>
      <c r="C4882" t="str">
        <f t="shared" si="2222"/>
        <v>FFDFD3C0</v>
      </c>
      <c r="D4882" t="s">
        <v>134</v>
      </c>
      <c r="E4882">
        <v>12</v>
      </c>
      <c r="H4882">
        <v>64</v>
      </c>
      <c r="I4882" t="s">
        <v>135</v>
      </c>
      <c r="J4882" t="s">
        <v>136</v>
      </c>
      <c r="K4882">
        <v>0</v>
      </c>
      <c r="L4882">
        <v>3</v>
      </c>
      <c r="M4882">
        <v>0</v>
      </c>
      <c r="N4882">
        <v>2</v>
      </c>
      <c r="O4882">
        <v>1</v>
      </c>
      <c r="P4882">
        <v>0</v>
      </c>
      <c r="Q4882">
        <v>0</v>
      </c>
      <c r="S4882" t="str">
        <f t="shared" si="2245"/>
        <v>14:50:13.039</v>
      </c>
      <c r="T4882" t="str">
        <f t="shared" si="2245"/>
        <v>14:50:13.039</v>
      </c>
      <c r="U4882" t="str">
        <f t="shared" si="2242"/>
        <v>A9808D</v>
      </c>
      <c r="V4882">
        <v>0</v>
      </c>
      <c r="W4882">
        <v>0</v>
      </c>
      <c r="X4882">
        <v>1</v>
      </c>
      <c r="Z4882">
        <v>0</v>
      </c>
      <c r="AA4882">
        <v>9</v>
      </c>
      <c r="AB4882">
        <v>3</v>
      </c>
      <c r="AC4882">
        <v>0</v>
      </c>
      <c r="AD4882">
        <v>10</v>
      </c>
      <c r="AE4882">
        <v>0</v>
      </c>
      <c r="AF4882">
        <v>3</v>
      </c>
      <c r="AG4882">
        <v>2</v>
      </c>
      <c r="AH4882">
        <v>0</v>
      </c>
      <c r="AI4882" t="s">
        <v>1088</v>
      </c>
      <c r="AJ4882">
        <v>28.237974999999999</v>
      </c>
      <c r="AK4882" t="s">
        <v>478</v>
      </c>
      <c r="AL4882">
        <v>-82.359588000000002</v>
      </c>
      <c r="AM4882">
        <v>100</v>
      </c>
      <c r="AN4882">
        <v>2200</v>
      </c>
      <c r="AO4882" t="s">
        <v>118</v>
      </c>
      <c r="AP4882">
        <v>-108</v>
      </c>
      <c r="AQ4882">
        <v>-45</v>
      </c>
      <c r="AR4882">
        <v>960</v>
      </c>
      <c r="AZ4882">
        <v>1200</v>
      </c>
      <c r="BA4882">
        <v>1</v>
      </c>
      <c r="BB4882" t="str">
        <f t="shared" si="2223"/>
        <v xml:space="preserve">N711JA  </v>
      </c>
      <c r="BC4882">
        <v>1</v>
      </c>
      <c r="BE4882">
        <v>0</v>
      </c>
      <c r="BF4882">
        <v>0</v>
      </c>
      <c r="BG4882">
        <v>0</v>
      </c>
      <c r="BH4882">
        <v>2325</v>
      </c>
      <c r="BI4882">
        <v>1</v>
      </c>
      <c r="BJ4882">
        <v>1</v>
      </c>
      <c r="BK4882">
        <v>0</v>
      </c>
      <c r="BL4882">
        <v>0</v>
      </c>
      <c r="BO4882">
        <v>0</v>
      </c>
      <c r="BP4882">
        <v>0</v>
      </c>
      <c r="BW4882" t="str">
        <f t="shared" si="2246"/>
        <v>14:50:13.041</v>
      </c>
      <c r="CJ4882">
        <v>0</v>
      </c>
      <c r="CK4882">
        <v>2</v>
      </c>
      <c r="CL4882">
        <v>0</v>
      </c>
      <c r="CM4882">
        <v>2</v>
      </c>
      <c r="CN4882">
        <v>0</v>
      </c>
      <c r="CO4882">
        <v>7</v>
      </c>
      <c r="CP4882" t="s">
        <v>119</v>
      </c>
      <c r="CQ4882">
        <v>343</v>
      </c>
      <c r="CR4882">
        <v>1</v>
      </c>
      <c r="CW4882">
        <v>11084493</v>
      </c>
      <c r="CY4882">
        <v>1</v>
      </c>
      <c r="CZ4882">
        <v>0</v>
      </c>
      <c r="DA4882">
        <v>1</v>
      </c>
      <c r="DB4882">
        <v>0</v>
      </c>
      <c r="DC4882">
        <v>0</v>
      </c>
      <c r="DD4882">
        <v>1</v>
      </c>
      <c r="DE4882">
        <v>0</v>
      </c>
      <c r="DF4882">
        <v>0</v>
      </c>
      <c r="DG4882">
        <v>0</v>
      </c>
      <c r="DH4882">
        <v>0</v>
      </c>
      <c r="DI4882">
        <v>0</v>
      </c>
    </row>
    <row r="4883" spans="1:113" x14ac:dyDescent="0.3">
      <c r="A4883" t="str">
        <f t="shared" si="2244"/>
        <v>05/12/2020 14:49:55.223</v>
      </c>
      <c r="C4883" t="str">
        <f t="shared" si="2222"/>
        <v>FFDFD3C0</v>
      </c>
      <c r="D4883" t="s">
        <v>126</v>
      </c>
      <c r="E4883">
        <v>6</v>
      </c>
      <c r="F4883">
        <v>1006</v>
      </c>
      <c r="G4883" t="s">
        <v>114</v>
      </c>
      <c r="J4883" t="s">
        <v>128</v>
      </c>
      <c r="K4883">
        <v>0</v>
      </c>
      <c r="L4883">
        <v>3</v>
      </c>
      <c r="M4883">
        <v>0</v>
      </c>
      <c r="N4883">
        <v>2</v>
      </c>
      <c r="O4883">
        <v>1</v>
      </c>
      <c r="P4883">
        <v>0</v>
      </c>
      <c r="Q4883">
        <v>0</v>
      </c>
      <c r="S4883" t="str">
        <f t="shared" si="2245"/>
        <v>14:50:13.039</v>
      </c>
      <c r="T4883" t="str">
        <f t="shared" si="2245"/>
        <v>14:50:13.039</v>
      </c>
      <c r="U4883" t="str">
        <f t="shared" si="2242"/>
        <v>A9808D</v>
      </c>
      <c r="V4883">
        <v>0</v>
      </c>
      <c r="W4883">
        <v>0</v>
      </c>
      <c r="X4883">
        <v>1</v>
      </c>
      <c r="Z4883">
        <v>0</v>
      </c>
      <c r="AA4883">
        <v>9</v>
      </c>
      <c r="AB4883">
        <v>3</v>
      </c>
      <c r="AC4883">
        <v>0</v>
      </c>
      <c r="AD4883">
        <v>10</v>
      </c>
      <c r="AE4883">
        <v>0</v>
      </c>
      <c r="AF4883">
        <v>3</v>
      </c>
      <c r="AG4883">
        <v>2</v>
      </c>
      <c r="AH4883">
        <v>0</v>
      </c>
      <c r="AI4883" t="s">
        <v>1088</v>
      </c>
      <c r="AJ4883">
        <v>28.237974999999999</v>
      </c>
      <c r="AK4883" t="s">
        <v>478</v>
      </c>
      <c r="AL4883">
        <v>-82.359588000000002</v>
      </c>
      <c r="AM4883">
        <v>100</v>
      </c>
      <c r="AN4883">
        <v>2200</v>
      </c>
      <c r="AO4883" t="s">
        <v>118</v>
      </c>
      <c r="AP4883">
        <v>-108</v>
      </c>
      <c r="AQ4883">
        <v>-45</v>
      </c>
      <c r="AR4883">
        <v>960</v>
      </c>
      <c r="AZ4883">
        <v>1200</v>
      </c>
      <c r="BA4883">
        <v>1</v>
      </c>
      <c r="BB4883" t="str">
        <f t="shared" si="2223"/>
        <v xml:space="preserve">N711JA  </v>
      </c>
      <c r="BC4883">
        <v>1</v>
      </c>
      <c r="BE4883">
        <v>0</v>
      </c>
      <c r="BF4883">
        <v>0</v>
      </c>
      <c r="BG4883">
        <v>0</v>
      </c>
      <c r="BH4883">
        <v>2325</v>
      </c>
      <c r="BI4883">
        <v>1</v>
      </c>
      <c r="BJ4883">
        <v>1</v>
      </c>
      <c r="BK4883">
        <v>0</v>
      </c>
      <c r="BL4883">
        <v>0</v>
      </c>
      <c r="BO4883">
        <v>0</v>
      </c>
      <c r="BP4883">
        <v>0</v>
      </c>
      <c r="BW4883" t="str">
        <f t="shared" si="2246"/>
        <v>14:50:13.041</v>
      </c>
      <c r="CJ4883">
        <v>0</v>
      </c>
      <c r="CK4883">
        <v>2</v>
      </c>
      <c r="CL4883">
        <v>0</v>
      </c>
      <c r="CM4883">
        <v>2</v>
      </c>
      <c r="CN4883">
        <v>0</v>
      </c>
      <c r="CO4883">
        <v>7</v>
      </c>
      <c r="CP4883" t="s">
        <v>119</v>
      </c>
      <c r="CQ4883">
        <v>343</v>
      </c>
      <c r="CR4883">
        <v>1</v>
      </c>
      <c r="CW4883">
        <v>11084493</v>
      </c>
      <c r="CY4883">
        <v>1</v>
      </c>
      <c r="CZ4883">
        <v>0</v>
      </c>
      <c r="DA4883">
        <v>1</v>
      </c>
      <c r="DB4883">
        <v>0</v>
      </c>
      <c r="DC4883">
        <v>0</v>
      </c>
      <c r="DD4883">
        <v>1</v>
      </c>
      <c r="DE4883">
        <v>0</v>
      </c>
      <c r="DF4883">
        <v>0</v>
      </c>
      <c r="DG4883">
        <v>0</v>
      </c>
      <c r="DH4883">
        <v>0</v>
      </c>
      <c r="DI4883">
        <v>0</v>
      </c>
    </row>
    <row r="4884" spans="1:113" x14ac:dyDescent="0.3">
      <c r="A4884" t="str">
        <f t="shared" ref="A4884:A4889" si="2247">"05/12/2020 14:49:56.177"</f>
        <v>05/12/2020 14:49:56.177</v>
      </c>
      <c r="C4884" t="str">
        <f t="shared" si="2222"/>
        <v>FFDFD3C0</v>
      </c>
      <c r="D4884" t="s">
        <v>126</v>
      </c>
      <c r="E4884">
        <v>7</v>
      </c>
      <c r="F4884">
        <v>1007</v>
      </c>
      <c r="G4884" t="s">
        <v>127</v>
      </c>
      <c r="J4884" t="s">
        <v>128</v>
      </c>
      <c r="K4884">
        <v>0</v>
      </c>
      <c r="L4884">
        <v>3</v>
      </c>
      <c r="M4884">
        <v>0</v>
      </c>
      <c r="N4884">
        <v>2</v>
      </c>
      <c r="O4884">
        <v>1</v>
      </c>
      <c r="P4884">
        <v>0</v>
      </c>
      <c r="Q4884">
        <v>0</v>
      </c>
      <c r="S4884" t="str">
        <f t="shared" ref="S4884:S4889" si="2248">"14:50:14.008"</f>
        <v>14:50:14.008</v>
      </c>
      <c r="T4884" t="str">
        <f t="shared" ref="T4884:T4889" si="2249">"14:50:13.808"</f>
        <v>14:50:13.808</v>
      </c>
      <c r="U4884" t="str">
        <f t="shared" si="2242"/>
        <v>A9808D</v>
      </c>
      <c r="V4884">
        <v>0</v>
      </c>
      <c r="W4884">
        <v>0</v>
      </c>
      <c r="X4884">
        <v>1</v>
      </c>
      <c r="Z4884">
        <v>0</v>
      </c>
      <c r="AA4884">
        <v>9</v>
      </c>
      <c r="AB4884">
        <v>3</v>
      </c>
      <c r="AC4884">
        <v>0</v>
      </c>
      <c r="AD4884">
        <v>10</v>
      </c>
      <c r="AE4884">
        <v>0</v>
      </c>
      <c r="AF4884">
        <v>3</v>
      </c>
      <c r="AG4884">
        <v>2</v>
      </c>
      <c r="AH4884">
        <v>0</v>
      </c>
      <c r="AI4884" t="s">
        <v>1089</v>
      </c>
      <c r="AJ4884">
        <v>28.237739000000001</v>
      </c>
      <c r="AK4884" t="s">
        <v>1090</v>
      </c>
      <c r="AL4884">
        <v>-82.360124999999996</v>
      </c>
      <c r="AM4884">
        <v>100</v>
      </c>
      <c r="AN4884">
        <v>2200</v>
      </c>
      <c r="AO4884" t="s">
        <v>118</v>
      </c>
      <c r="AP4884">
        <v>-106</v>
      </c>
      <c r="AQ4884">
        <v>-45</v>
      </c>
      <c r="AR4884">
        <v>832</v>
      </c>
      <c r="AZ4884">
        <v>1200</v>
      </c>
      <c r="BA4884">
        <v>1</v>
      </c>
      <c r="BB4884" t="str">
        <f t="shared" si="2223"/>
        <v xml:space="preserve">N711JA  </v>
      </c>
      <c r="BC4884">
        <v>1</v>
      </c>
      <c r="BE4884">
        <v>0</v>
      </c>
      <c r="BF4884">
        <v>0</v>
      </c>
      <c r="BG4884">
        <v>0</v>
      </c>
      <c r="BH4884">
        <v>2350</v>
      </c>
      <c r="BI4884">
        <v>1</v>
      </c>
      <c r="BJ4884">
        <v>1</v>
      </c>
      <c r="BK4884">
        <v>0</v>
      </c>
      <c r="BL4884">
        <v>0</v>
      </c>
      <c r="BO4884">
        <v>0</v>
      </c>
      <c r="BP4884">
        <v>0</v>
      </c>
      <c r="BW4884" t="str">
        <f t="shared" ref="BW4884:BW4889" si="2250">"14:50:14.013"</f>
        <v>14:50:14.013</v>
      </c>
      <c r="CJ4884">
        <v>0</v>
      </c>
      <c r="CK4884">
        <v>2</v>
      </c>
      <c r="CL4884">
        <v>0</v>
      </c>
      <c r="CM4884">
        <v>2</v>
      </c>
      <c r="CN4884">
        <v>0</v>
      </c>
      <c r="CO4884">
        <v>6</v>
      </c>
      <c r="CP4884" t="s">
        <v>119</v>
      </c>
      <c r="CQ4884">
        <v>9</v>
      </c>
      <c r="CR4884">
        <v>0</v>
      </c>
      <c r="CW4884">
        <v>13045702</v>
      </c>
      <c r="CY4884">
        <v>1</v>
      </c>
      <c r="CZ4884">
        <v>0</v>
      </c>
      <c r="DA4884">
        <v>0</v>
      </c>
      <c r="DB4884">
        <v>0</v>
      </c>
      <c r="DC4884">
        <v>0</v>
      </c>
      <c r="DD4884">
        <v>1</v>
      </c>
      <c r="DE4884">
        <v>0</v>
      </c>
      <c r="DF4884">
        <v>0</v>
      </c>
      <c r="DG4884">
        <v>0</v>
      </c>
      <c r="DH4884">
        <v>0</v>
      </c>
      <c r="DI4884">
        <v>0</v>
      </c>
    </row>
    <row r="4885" spans="1:113" x14ac:dyDescent="0.3">
      <c r="A4885" t="str">
        <f t="shared" si="2247"/>
        <v>05/12/2020 14:49:56.177</v>
      </c>
      <c r="C4885" t="str">
        <f t="shared" si="2222"/>
        <v>FFDFD3C0</v>
      </c>
      <c r="D4885" t="s">
        <v>131</v>
      </c>
      <c r="E4885">
        <v>10</v>
      </c>
      <c r="F4885">
        <v>2010</v>
      </c>
      <c r="G4885" t="s">
        <v>132</v>
      </c>
      <c r="J4885" t="s">
        <v>133</v>
      </c>
      <c r="K4885">
        <v>0</v>
      </c>
      <c r="L4885">
        <v>3</v>
      </c>
      <c r="M4885">
        <v>0</v>
      </c>
      <c r="N4885">
        <v>2</v>
      </c>
      <c r="O4885">
        <v>1</v>
      </c>
      <c r="P4885">
        <v>0</v>
      </c>
      <c r="Q4885">
        <v>0</v>
      </c>
      <c r="S4885" t="str">
        <f t="shared" si="2248"/>
        <v>14:50:14.008</v>
      </c>
      <c r="T4885" t="str">
        <f t="shared" si="2249"/>
        <v>14:50:13.808</v>
      </c>
      <c r="U4885" t="str">
        <f t="shared" si="2242"/>
        <v>A9808D</v>
      </c>
      <c r="V4885">
        <v>0</v>
      </c>
      <c r="W4885">
        <v>0</v>
      </c>
      <c r="X4885">
        <v>1</v>
      </c>
      <c r="Z4885">
        <v>0</v>
      </c>
      <c r="AA4885">
        <v>9</v>
      </c>
      <c r="AB4885">
        <v>3</v>
      </c>
      <c r="AC4885">
        <v>0</v>
      </c>
      <c r="AD4885">
        <v>10</v>
      </c>
      <c r="AE4885">
        <v>0</v>
      </c>
      <c r="AF4885">
        <v>3</v>
      </c>
      <c r="AG4885">
        <v>2</v>
      </c>
      <c r="AH4885">
        <v>0</v>
      </c>
      <c r="AI4885" t="s">
        <v>1089</v>
      </c>
      <c r="AJ4885">
        <v>28.237739000000001</v>
      </c>
      <c r="AK4885" t="s">
        <v>1090</v>
      </c>
      <c r="AL4885">
        <v>-82.360124999999996</v>
      </c>
      <c r="AM4885">
        <v>100</v>
      </c>
      <c r="AN4885">
        <v>2200</v>
      </c>
      <c r="AO4885" t="s">
        <v>118</v>
      </c>
      <c r="AP4885">
        <v>-106</v>
      </c>
      <c r="AQ4885">
        <v>-45</v>
      </c>
      <c r="AR4885">
        <v>832</v>
      </c>
      <c r="AZ4885">
        <v>1200</v>
      </c>
      <c r="BA4885">
        <v>1</v>
      </c>
      <c r="BB4885" t="str">
        <f t="shared" si="2223"/>
        <v xml:space="preserve">N711JA  </v>
      </c>
      <c r="BC4885">
        <v>1</v>
      </c>
      <c r="BE4885">
        <v>0</v>
      </c>
      <c r="BF4885">
        <v>0</v>
      </c>
      <c r="BG4885">
        <v>0</v>
      </c>
      <c r="BH4885">
        <v>2350</v>
      </c>
      <c r="BI4885">
        <v>1</v>
      </c>
      <c r="BJ4885">
        <v>1</v>
      </c>
      <c r="BK4885">
        <v>0</v>
      </c>
      <c r="BL4885">
        <v>0</v>
      </c>
      <c r="BO4885">
        <v>0</v>
      </c>
      <c r="BP4885">
        <v>0</v>
      </c>
      <c r="BW4885" t="str">
        <f t="shared" si="2250"/>
        <v>14:50:14.013</v>
      </c>
      <c r="CJ4885">
        <v>0</v>
      </c>
      <c r="CK4885">
        <v>2</v>
      </c>
      <c r="CL4885">
        <v>0</v>
      </c>
      <c r="CM4885">
        <v>2</v>
      </c>
      <c r="CN4885">
        <v>0</v>
      </c>
      <c r="CO4885">
        <v>6</v>
      </c>
      <c r="CP4885" t="s">
        <v>119</v>
      </c>
      <c r="CQ4885">
        <v>9</v>
      </c>
      <c r="CR4885">
        <v>0</v>
      </c>
      <c r="CW4885">
        <v>13045702</v>
      </c>
      <c r="CY4885">
        <v>1</v>
      </c>
      <c r="CZ4885">
        <v>0</v>
      </c>
      <c r="DA4885">
        <v>1</v>
      </c>
      <c r="DB4885">
        <v>0</v>
      </c>
      <c r="DC4885">
        <v>0</v>
      </c>
      <c r="DD4885">
        <v>1</v>
      </c>
      <c r="DE4885">
        <v>0</v>
      </c>
      <c r="DF4885">
        <v>0</v>
      </c>
      <c r="DG4885">
        <v>0</v>
      </c>
      <c r="DH4885">
        <v>0</v>
      </c>
      <c r="DI4885">
        <v>0</v>
      </c>
    </row>
    <row r="4886" spans="1:113" x14ac:dyDescent="0.3">
      <c r="A4886" t="str">
        <f t="shared" si="2247"/>
        <v>05/12/2020 14:49:56.177</v>
      </c>
      <c r="C4886" t="str">
        <f t="shared" ref="C4886:C4949" si="2251">"FFDFD3C0"</f>
        <v>FFDFD3C0</v>
      </c>
      <c r="D4886" t="s">
        <v>113</v>
      </c>
      <c r="E4886">
        <v>3</v>
      </c>
      <c r="H4886">
        <v>164</v>
      </c>
      <c r="I4886" t="s">
        <v>114</v>
      </c>
      <c r="J4886" t="s">
        <v>115</v>
      </c>
      <c r="K4886">
        <v>0</v>
      </c>
      <c r="L4886">
        <v>3</v>
      </c>
      <c r="M4886">
        <v>0</v>
      </c>
      <c r="N4886">
        <v>2</v>
      </c>
      <c r="O4886">
        <v>1</v>
      </c>
      <c r="P4886">
        <v>0</v>
      </c>
      <c r="Q4886">
        <v>0</v>
      </c>
      <c r="S4886" t="str">
        <f t="shared" si="2248"/>
        <v>14:50:14.008</v>
      </c>
      <c r="T4886" t="str">
        <f t="shared" si="2249"/>
        <v>14:50:13.808</v>
      </c>
      <c r="U4886" t="str">
        <f t="shared" si="2242"/>
        <v>A9808D</v>
      </c>
      <c r="V4886">
        <v>0</v>
      </c>
      <c r="W4886">
        <v>0</v>
      </c>
      <c r="X4886">
        <v>1</v>
      </c>
      <c r="Z4886">
        <v>0</v>
      </c>
      <c r="AA4886">
        <v>9</v>
      </c>
      <c r="AB4886">
        <v>3</v>
      </c>
      <c r="AC4886">
        <v>0</v>
      </c>
      <c r="AD4886">
        <v>10</v>
      </c>
      <c r="AE4886">
        <v>0</v>
      </c>
      <c r="AF4886">
        <v>3</v>
      </c>
      <c r="AG4886">
        <v>2</v>
      </c>
      <c r="AH4886">
        <v>0</v>
      </c>
      <c r="AI4886" t="s">
        <v>1089</v>
      </c>
      <c r="AJ4886">
        <v>28.237739000000001</v>
      </c>
      <c r="AK4886" t="s">
        <v>1090</v>
      </c>
      <c r="AL4886">
        <v>-82.360124999999996</v>
      </c>
      <c r="AM4886">
        <v>100</v>
      </c>
      <c r="AN4886">
        <v>2200</v>
      </c>
      <c r="AO4886" t="s">
        <v>118</v>
      </c>
      <c r="AP4886">
        <v>-106</v>
      </c>
      <c r="AQ4886">
        <v>-45</v>
      </c>
      <c r="AR4886">
        <v>832</v>
      </c>
      <c r="AZ4886">
        <v>1200</v>
      </c>
      <c r="BA4886">
        <v>1</v>
      </c>
      <c r="BB4886" t="str">
        <f t="shared" ref="BB4886:BB4949" si="2252">"N711JA  "</f>
        <v xml:space="preserve">N711JA  </v>
      </c>
      <c r="BC4886">
        <v>1</v>
      </c>
      <c r="BE4886">
        <v>0</v>
      </c>
      <c r="BF4886">
        <v>0</v>
      </c>
      <c r="BG4886">
        <v>0</v>
      </c>
      <c r="BH4886">
        <v>2350</v>
      </c>
      <c r="BI4886">
        <v>1</v>
      </c>
      <c r="BJ4886">
        <v>1</v>
      </c>
      <c r="BK4886">
        <v>0</v>
      </c>
      <c r="BL4886">
        <v>0</v>
      </c>
      <c r="BO4886">
        <v>0</v>
      </c>
      <c r="BP4886">
        <v>0</v>
      </c>
      <c r="BW4886" t="str">
        <f t="shared" si="2250"/>
        <v>14:50:14.013</v>
      </c>
      <c r="CJ4886">
        <v>0</v>
      </c>
      <c r="CK4886">
        <v>2</v>
      </c>
      <c r="CL4886">
        <v>0</v>
      </c>
      <c r="CM4886">
        <v>2</v>
      </c>
      <c r="CN4886">
        <v>0</v>
      </c>
      <c r="CO4886">
        <v>6</v>
      </c>
      <c r="CP4886" t="s">
        <v>119</v>
      </c>
      <c r="CQ4886">
        <v>9</v>
      </c>
      <c r="CR4886">
        <v>0</v>
      </c>
      <c r="CW4886">
        <v>13045702</v>
      </c>
      <c r="CY4886">
        <v>1</v>
      </c>
      <c r="CZ4886">
        <v>0</v>
      </c>
      <c r="DA4886">
        <v>1</v>
      </c>
      <c r="DB4886">
        <v>0</v>
      </c>
      <c r="DC4886">
        <v>0</v>
      </c>
      <c r="DD4886">
        <v>1</v>
      </c>
      <c r="DE4886">
        <v>0</v>
      </c>
      <c r="DF4886">
        <v>0</v>
      </c>
      <c r="DG4886">
        <v>0</v>
      </c>
      <c r="DH4886">
        <v>0</v>
      </c>
      <c r="DI4886">
        <v>0</v>
      </c>
    </row>
    <row r="4887" spans="1:113" x14ac:dyDescent="0.3">
      <c r="A4887" t="str">
        <f t="shared" si="2247"/>
        <v>05/12/2020 14:49:56.177</v>
      </c>
      <c r="C4887" t="str">
        <f t="shared" si="2251"/>
        <v>FFDFD3C0</v>
      </c>
      <c r="D4887" t="s">
        <v>138</v>
      </c>
      <c r="E4887">
        <v>3</v>
      </c>
      <c r="H4887">
        <v>9</v>
      </c>
      <c r="I4887" t="s">
        <v>140</v>
      </c>
      <c r="J4887" t="s">
        <v>136</v>
      </c>
      <c r="K4887">
        <v>0</v>
      </c>
      <c r="L4887">
        <v>3</v>
      </c>
      <c r="M4887">
        <v>0</v>
      </c>
      <c r="N4887">
        <v>2</v>
      </c>
      <c r="O4887">
        <v>1</v>
      </c>
      <c r="P4887">
        <v>0</v>
      </c>
      <c r="Q4887">
        <v>0</v>
      </c>
      <c r="S4887" t="str">
        <f t="shared" si="2248"/>
        <v>14:50:14.008</v>
      </c>
      <c r="T4887" t="str">
        <f t="shared" si="2249"/>
        <v>14:50:13.808</v>
      </c>
      <c r="U4887" t="str">
        <f t="shared" si="2242"/>
        <v>A9808D</v>
      </c>
      <c r="V4887">
        <v>0</v>
      </c>
      <c r="W4887">
        <v>0</v>
      </c>
      <c r="X4887">
        <v>1</v>
      </c>
      <c r="Z4887">
        <v>0</v>
      </c>
      <c r="AA4887">
        <v>9</v>
      </c>
      <c r="AB4887">
        <v>3</v>
      </c>
      <c r="AC4887">
        <v>0</v>
      </c>
      <c r="AD4887">
        <v>10</v>
      </c>
      <c r="AE4887">
        <v>0</v>
      </c>
      <c r="AF4887">
        <v>3</v>
      </c>
      <c r="AG4887">
        <v>2</v>
      </c>
      <c r="AH4887">
        <v>0</v>
      </c>
      <c r="AI4887" t="s">
        <v>1089</v>
      </c>
      <c r="AJ4887">
        <v>28.237739000000001</v>
      </c>
      <c r="AK4887" t="s">
        <v>1090</v>
      </c>
      <c r="AL4887">
        <v>-82.360124999999996</v>
      </c>
      <c r="AM4887">
        <v>100</v>
      </c>
      <c r="AN4887">
        <v>2200</v>
      </c>
      <c r="AO4887" t="s">
        <v>118</v>
      </c>
      <c r="AP4887">
        <v>-106</v>
      </c>
      <c r="AQ4887">
        <v>-45</v>
      </c>
      <c r="AR4887">
        <v>832</v>
      </c>
      <c r="AZ4887">
        <v>1200</v>
      </c>
      <c r="BA4887">
        <v>1</v>
      </c>
      <c r="BB4887" t="str">
        <f t="shared" si="2252"/>
        <v xml:space="preserve">N711JA  </v>
      </c>
      <c r="BC4887">
        <v>1</v>
      </c>
      <c r="BE4887">
        <v>0</v>
      </c>
      <c r="BF4887">
        <v>0</v>
      </c>
      <c r="BG4887">
        <v>0</v>
      </c>
      <c r="BH4887">
        <v>2350</v>
      </c>
      <c r="BI4887">
        <v>1</v>
      </c>
      <c r="BJ4887">
        <v>1</v>
      </c>
      <c r="BK4887">
        <v>0</v>
      </c>
      <c r="BL4887">
        <v>0</v>
      </c>
      <c r="BO4887">
        <v>0</v>
      </c>
      <c r="BP4887">
        <v>0</v>
      </c>
      <c r="BW4887" t="str">
        <f t="shared" si="2250"/>
        <v>14:50:14.013</v>
      </c>
      <c r="CJ4887">
        <v>0</v>
      </c>
      <c r="CK4887">
        <v>2</v>
      </c>
      <c r="CL4887">
        <v>0</v>
      </c>
      <c r="CM4887">
        <v>2</v>
      </c>
      <c r="CN4887">
        <v>0</v>
      </c>
      <c r="CO4887">
        <v>6</v>
      </c>
      <c r="CP4887" t="s">
        <v>119</v>
      </c>
      <c r="CQ4887">
        <v>9</v>
      </c>
      <c r="CR4887">
        <v>0</v>
      </c>
      <c r="CW4887">
        <v>13045702</v>
      </c>
      <c r="CY4887">
        <v>1</v>
      </c>
      <c r="CZ4887">
        <v>0</v>
      </c>
      <c r="DA4887">
        <v>1</v>
      </c>
      <c r="DB4887">
        <v>0</v>
      </c>
      <c r="DC4887">
        <v>0</v>
      </c>
      <c r="DD4887">
        <v>1</v>
      </c>
      <c r="DE4887">
        <v>0</v>
      </c>
      <c r="DF4887">
        <v>0</v>
      </c>
      <c r="DG4887">
        <v>0</v>
      </c>
      <c r="DH4887">
        <v>0</v>
      </c>
      <c r="DI4887">
        <v>0</v>
      </c>
    </row>
    <row r="4888" spans="1:113" x14ac:dyDescent="0.3">
      <c r="A4888" t="str">
        <f t="shared" si="2247"/>
        <v>05/12/2020 14:49:56.177</v>
      </c>
      <c r="C4888" t="str">
        <f t="shared" si="2251"/>
        <v>FFDFD3C0</v>
      </c>
      <c r="D4888" t="s">
        <v>126</v>
      </c>
      <c r="E4888">
        <v>6</v>
      </c>
      <c r="F4888">
        <v>1006</v>
      </c>
      <c r="G4888" t="s">
        <v>114</v>
      </c>
      <c r="J4888" t="s">
        <v>128</v>
      </c>
      <c r="K4888">
        <v>0</v>
      </c>
      <c r="L4888">
        <v>3</v>
      </c>
      <c r="M4888">
        <v>0</v>
      </c>
      <c r="N4888">
        <v>2</v>
      </c>
      <c r="O4888">
        <v>1</v>
      </c>
      <c r="P4888">
        <v>0</v>
      </c>
      <c r="Q4888">
        <v>0</v>
      </c>
      <c r="S4888" t="str">
        <f t="shared" si="2248"/>
        <v>14:50:14.008</v>
      </c>
      <c r="T4888" t="str">
        <f t="shared" si="2249"/>
        <v>14:50:13.808</v>
      </c>
      <c r="U4888" t="str">
        <f t="shared" si="2242"/>
        <v>A9808D</v>
      </c>
      <c r="V4888">
        <v>0</v>
      </c>
      <c r="W4888">
        <v>0</v>
      </c>
      <c r="X4888">
        <v>1</v>
      </c>
      <c r="Z4888">
        <v>0</v>
      </c>
      <c r="AA4888">
        <v>9</v>
      </c>
      <c r="AB4888">
        <v>3</v>
      </c>
      <c r="AC4888">
        <v>0</v>
      </c>
      <c r="AD4888">
        <v>10</v>
      </c>
      <c r="AE4888">
        <v>0</v>
      </c>
      <c r="AF4888">
        <v>3</v>
      </c>
      <c r="AG4888">
        <v>2</v>
      </c>
      <c r="AH4888">
        <v>0</v>
      </c>
      <c r="AI4888" t="s">
        <v>1089</v>
      </c>
      <c r="AJ4888">
        <v>28.237739000000001</v>
      </c>
      <c r="AK4888" t="s">
        <v>1090</v>
      </c>
      <c r="AL4888">
        <v>-82.360124999999996</v>
      </c>
      <c r="AM4888">
        <v>100</v>
      </c>
      <c r="AN4888">
        <v>2200</v>
      </c>
      <c r="AO4888" t="s">
        <v>118</v>
      </c>
      <c r="AP4888">
        <v>-106</v>
      </c>
      <c r="AQ4888">
        <v>-45</v>
      </c>
      <c r="AR4888">
        <v>832</v>
      </c>
      <c r="AZ4888">
        <v>1200</v>
      </c>
      <c r="BA4888">
        <v>1</v>
      </c>
      <c r="BB4888" t="str">
        <f t="shared" si="2252"/>
        <v xml:space="preserve">N711JA  </v>
      </c>
      <c r="BC4888">
        <v>1</v>
      </c>
      <c r="BE4888">
        <v>0</v>
      </c>
      <c r="BF4888">
        <v>0</v>
      </c>
      <c r="BG4888">
        <v>0</v>
      </c>
      <c r="BH4888">
        <v>2350</v>
      </c>
      <c r="BI4888">
        <v>1</v>
      </c>
      <c r="BJ4888">
        <v>1</v>
      </c>
      <c r="BK4888">
        <v>0</v>
      </c>
      <c r="BL4888">
        <v>0</v>
      </c>
      <c r="BO4888">
        <v>0</v>
      </c>
      <c r="BP4888">
        <v>0</v>
      </c>
      <c r="BW4888" t="str">
        <f t="shared" si="2250"/>
        <v>14:50:14.013</v>
      </c>
      <c r="CJ4888">
        <v>0</v>
      </c>
      <c r="CK4888">
        <v>2</v>
      </c>
      <c r="CL4888">
        <v>0</v>
      </c>
      <c r="CM4888">
        <v>2</v>
      </c>
      <c r="CN4888">
        <v>0</v>
      </c>
      <c r="CO4888">
        <v>6</v>
      </c>
      <c r="CP4888" t="s">
        <v>119</v>
      </c>
      <c r="CQ4888">
        <v>9</v>
      </c>
      <c r="CR4888">
        <v>0</v>
      </c>
      <c r="CW4888">
        <v>13045702</v>
      </c>
      <c r="CY4888">
        <v>1</v>
      </c>
      <c r="CZ4888">
        <v>0</v>
      </c>
      <c r="DA4888">
        <v>1</v>
      </c>
      <c r="DB4888">
        <v>0</v>
      </c>
      <c r="DC4888">
        <v>0</v>
      </c>
      <c r="DD4888">
        <v>1</v>
      </c>
      <c r="DE4888">
        <v>0</v>
      </c>
      <c r="DF4888">
        <v>0</v>
      </c>
      <c r="DG4888">
        <v>0</v>
      </c>
      <c r="DH4888">
        <v>0</v>
      </c>
      <c r="DI4888">
        <v>0</v>
      </c>
    </row>
    <row r="4889" spans="1:113" x14ac:dyDescent="0.3">
      <c r="A4889" t="str">
        <f t="shared" si="2247"/>
        <v>05/12/2020 14:49:56.177</v>
      </c>
      <c r="C4889" t="str">
        <f t="shared" si="2251"/>
        <v>FFDFD3C0</v>
      </c>
      <c r="D4889" t="s">
        <v>134</v>
      </c>
      <c r="E4889">
        <v>12</v>
      </c>
      <c r="H4889">
        <v>64</v>
      </c>
      <c r="I4889" t="s">
        <v>135</v>
      </c>
      <c r="J4889" t="s">
        <v>136</v>
      </c>
      <c r="K4889">
        <v>0</v>
      </c>
      <c r="L4889">
        <v>3</v>
      </c>
      <c r="M4889">
        <v>0</v>
      </c>
      <c r="N4889">
        <v>2</v>
      </c>
      <c r="O4889">
        <v>1</v>
      </c>
      <c r="P4889">
        <v>0</v>
      </c>
      <c r="Q4889">
        <v>0</v>
      </c>
      <c r="S4889" t="str">
        <f t="shared" si="2248"/>
        <v>14:50:14.008</v>
      </c>
      <c r="T4889" t="str">
        <f t="shared" si="2249"/>
        <v>14:50:13.808</v>
      </c>
      <c r="U4889" t="str">
        <f t="shared" si="2242"/>
        <v>A9808D</v>
      </c>
      <c r="V4889">
        <v>0</v>
      </c>
      <c r="W4889">
        <v>0</v>
      </c>
      <c r="X4889">
        <v>1</v>
      </c>
      <c r="Z4889">
        <v>0</v>
      </c>
      <c r="AA4889">
        <v>9</v>
      </c>
      <c r="AB4889">
        <v>3</v>
      </c>
      <c r="AC4889">
        <v>0</v>
      </c>
      <c r="AD4889">
        <v>10</v>
      </c>
      <c r="AE4889">
        <v>0</v>
      </c>
      <c r="AF4889">
        <v>3</v>
      </c>
      <c r="AG4889">
        <v>2</v>
      </c>
      <c r="AH4889">
        <v>0</v>
      </c>
      <c r="AI4889" t="s">
        <v>1089</v>
      </c>
      <c r="AJ4889">
        <v>28.237739000000001</v>
      </c>
      <c r="AK4889" t="s">
        <v>1090</v>
      </c>
      <c r="AL4889">
        <v>-82.360124999999996</v>
      </c>
      <c r="AM4889">
        <v>100</v>
      </c>
      <c r="AN4889">
        <v>2200</v>
      </c>
      <c r="AO4889" t="s">
        <v>118</v>
      </c>
      <c r="AP4889">
        <v>-106</v>
      </c>
      <c r="AQ4889">
        <v>-45</v>
      </c>
      <c r="AR4889">
        <v>832</v>
      </c>
      <c r="AZ4889">
        <v>1200</v>
      </c>
      <c r="BA4889">
        <v>1</v>
      </c>
      <c r="BB4889" t="str">
        <f t="shared" si="2252"/>
        <v xml:space="preserve">N711JA  </v>
      </c>
      <c r="BC4889">
        <v>1</v>
      </c>
      <c r="BE4889">
        <v>0</v>
      </c>
      <c r="BF4889">
        <v>0</v>
      </c>
      <c r="BG4889">
        <v>0</v>
      </c>
      <c r="BH4889">
        <v>2350</v>
      </c>
      <c r="BI4889">
        <v>1</v>
      </c>
      <c r="BJ4889">
        <v>1</v>
      </c>
      <c r="BK4889">
        <v>0</v>
      </c>
      <c r="BL4889">
        <v>0</v>
      </c>
      <c r="BO4889">
        <v>0</v>
      </c>
      <c r="BP4889">
        <v>0</v>
      </c>
      <c r="BW4889" t="str">
        <f t="shared" si="2250"/>
        <v>14:50:14.013</v>
      </c>
      <c r="CJ4889">
        <v>0</v>
      </c>
      <c r="CK4889">
        <v>2</v>
      </c>
      <c r="CL4889">
        <v>0</v>
      </c>
      <c r="CM4889">
        <v>2</v>
      </c>
      <c r="CN4889">
        <v>0</v>
      </c>
      <c r="CO4889">
        <v>6</v>
      </c>
      <c r="CP4889" t="s">
        <v>119</v>
      </c>
      <c r="CQ4889">
        <v>9</v>
      </c>
      <c r="CR4889">
        <v>0</v>
      </c>
      <c r="CW4889">
        <v>13045702</v>
      </c>
      <c r="CY4889">
        <v>1</v>
      </c>
      <c r="CZ4889">
        <v>0</v>
      </c>
      <c r="DA4889">
        <v>1</v>
      </c>
      <c r="DB4889">
        <v>0</v>
      </c>
      <c r="DC4889">
        <v>0</v>
      </c>
      <c r="DD4889">
        <v>1</v>
      </c>
      <c r="DE4889">
        <v>0</v>
      </c>
      <c r="DF4889">
        <v>0</v>
      </c>
      <c r="DG4889">
        <v>0</v>
      </c>
      <c r="DH4889">
        <v>0</v>
      </c>
      <c r="DI4889">
        <v>0</v>
      </c>
    </row>
    <row r="4890" spans="1:113" x14ac:dyDescent="0.3">
      <c r="A4890" t="str">
        <f t="shared" ref="A4890:A4898" si="2253">"05/12/2020 14:49:57.233"</f>
        <v>05/12/2020 14:49:57.233</v>
      </c>
      <c r="C4890" t="str">
        <f t="shared" si="2251"/>
        <v>FFDFD3C0</v>
      </c>
      <c r="D4890" t="s">
        <v>131</v>
      </c>
      <c r="E4890">
        <v>10</v>
      </c>
      <c r="F4890">
        <v>2010</v>
      </c>
      <c r="G4890" t="s">
        <v>132</v>
      </c>
      <c r="J4890" t="s">
        <v>133</v>
      </c>
      <c r="K4890">
        <v>0</v>
      </c>
      <c r="L4890">
        <v>3</v>
      </c>
      <c r="M4890">
        <v>0</v>
      </c>
      <c r="N4890">
        <v>2</v>
      </c>
      <c r="O4890">
        <v>1</v>
      </c>
      <c r="P4890">
        <v>0</v>
      </c>
      <c r="Q4890">
        <v>0</v>
      </c>
      <c r="S4890" t="str">
        <f t="shared" ref="S4890:S4898" si="2254">"14:50:15.039"</f>
        <v>14:50:15.039</v>
      </c>
      <c r="T4890" t="str">
        <f t="shared" ref="T4890:T4898" si="2255">"14:50:14.839"</f>
        <v>14:50:14.839</v>
      </c>
      <c r="U4890" t="str">
        <f t="shared" si="2242"/>
        <v>A9808D</v>
      </c>
      <c r="V4890">
        <v>0</v>
      </c>
      <c r="W4890">
        <v>0</v>
      </c>
      <c r="X4890">
        <v>1</v>
      </c>
      <c r="Z4890">
        <v>0</v>
      </c>
      <c r="AA4890">
        <v>9</v>
      </c>
      <c r="AB4890">
        <v>3</v>
      </c>
      <c r="AC4890">
        <v>0</v>
      </c>
      <c r="AD4890">
        <v>10</v>
      </c>
      <c r="AE4890">
        <v>0</v>
      </c>
      <c r="AF4890">
        <v>3</v>
      </c>
      <c r="AG4890">
        <v>2</v>
      </c>
      <c r="AH4890">
        <v>0</v>
      </c>
      <c r="AI4890" t="s">
        <v>1091</v>
      </c>
      <c r="AJ4890">
        <v>28.237566999999999</v>
      </c>
      <c r="AK4890" t="s">
        <v>1092</v>
      </c>
      <c r="AL4890">
        <v>-82.360747000000003</v>
      </c>
      <c r="AM4890">
        <v>100</v>
      </c>
      <c r="AN4890">
        <v>2300</v>
      </c>
      <c r="AO4890" t="s">
        <v>118</v>
      </c>
      <c r="AP4890">
        <v>-104</v>
      </c>
      <c r="AQ4890">
        <v>-44</v>
      </c>
      <c r="AR4890">
        <v>832</v>
      </c>
      <c r="AZ4890">
        <v>1200</v>
      </c>
      <c r="BA4890">
        <v>1</v>
      </c>
      <c r="BB4890" t="str">
        <f t="shared" si="2252"/>
        <v xml:space="preserve">N711JA  </v>
      </c>
      <c r="BC4890">
        <v>1</v>
      </c>
      <c r="BE4890">
        <v>0</v>
      </c>
      <c r="BF4890">
        <v>0</v>
      </c>
      <c r="BG4890">
        <v>0</v>
      </c>
      <c r="BH4890">
        <v>2350</v>
      </c>
      <c r="BI4890">
        <v>1</v>
      </c>
      <c r="BJ4890">
        <v>1</v>
      </c>
      <c r="BK4890">
        <v>0</v>
      </c>
      <c r="BL4890">
        <v>0</v>
      </c>
      <c r="BO4890">
        <v>0</v>
      </c>
      <c r="BP4890">
        <v>0</v>
      </c>
      <c r="BW4890" t="str">
        <f>"14:50:15.045"</f>
        <v>14:50:15.045</v>
      </c>
      <c r="CJ4890">
        <v>0</v>
      </c>
      <c r="CK4890">
        <v>2</v>
      </c>
      <c r="CL4890">
        <v>0</v>
      </c>
      <c r="CM4890">
        <v>2</v>
      </c>
      <c r="CN4890">
        <v>0</v>
      </c>
      <c r="CO4890">
        <v>6</v>
      </c>
      <c r="CP4890" t="s">
        <v>119</v>
      </c>
      <c r="CQ4890">
        <v>9</v>
      </c>
      <c r="CR4890">
        <v>0</v>
      </c>
      <c r="CW4890">
        <v>13047000</v>
      </c>
      <c r="CY4890">
        <v>1</v>
      </c>
      <c r="CZ4890">
        <v>0</v>
      </c>
      <c r="DA4890">
        <v>0</v>
      </c>
      <c r="DB4890">
        <v>0</v>
      </c>
      <c r="DC4890">
        <v>0</v>
      </c>
      <c r="DD4890">
        <v>1</v>
      </c>
      <c r="DE4890">
        <v>0</v>
      </c>
      <c r="DF4890">
        <v>0</v>
      </c>
      <c r="DG4890">
        <v>0</v>
      </c>
      <c r="DH4890">
        <v>0</v>
      </c>
      <c r="DI4890">
        <v>0</v>
      </c>
    </row>
    <row r="4891" spans="1:113" x14ac:dyDescent="0.3">
      <c r="A4891" t="str">
        <f t="shared" si="2253"/>
        <v>05/12/2020 14:49:57.233</v>
      </c>
      <c r="C4891" t="str">
        <f t="shared" si="2251"/>
        <v>FFDFD3C0</v>
      </c>
      <c r="D4891" t="s">
        <v>131</v>
      </c>
      <c r="E4891">
        <v>12</v>
      </c>
      <c r="F4891">
        <v>2012</v>
      </c>
      <c r="G4891" t="s">
        <v>137</v>
      </c>
      <c r="J4891" t="s">
        <v>133</v>
      </c>
      <c r="K4891">
        <v>0</v>
      </c>
      <c r="L4891">
        <v>3</v>
      </c>
      <c r="M4891">
        <v>0</v>
      </c>
      <c r="N4891">
        <v>2</v>
      </c>
      <c r="O4891">
        <v>1</v>
      </c>
      <c r="P4891">
        <v>0</v>
      </c>
      <c r="Q4891">
        <v>0</v>
      </c>
      <c r="S4891" t="str">
        <f t="shared" si="2254"/>
        <v>14:50:15.039</v>
      </c>
      <c r="T4891" t="str">
        <f t="shared" si="2255"/>
        <v>14:50:14.839</v>
      </c>
      <c r="U4891" t="str">
        <f t="shared" si="2242"/>
        <v>A9808D</v>
      </c>
      <c r="V4891">
        <v>0</v>
      </c>
      <c r="W4891">
        <v>0</v>
      </c>
      <c r="X4891">
        <v>1</v>
      </c>
      <c r="Z4891">
        <v>0</v>
      </c>
      <c r="AA4891">
        <v>9</v>
      </c>
      <c r="AB4891">
        <v>3</v>
      </c>
      <c r="AC4891">
        <v>0</v>
      </c>
      <c r="AD4891">
        <v>10</v>
      </c>
      <c r="AE4891">
        <v>0</v>
      </c>
      <c r="AF4891">
        <v>3</v>
      </c>
      <c r="AG4891">
        <v>2</v>
      </c>
      <c r="AH4891">
        <v>0</v>
      </c>
      <c r="AI4891" t="s">
        <v>1091</v>
      </c>
      <c r="AJ4891">
        <v>28.237566999999999</v>
      </c>
      <c r="AK4891" t="s">
        <v>1092</v>
      </c>
      <c r="AL4891">
        <v>-82.360747000000003</v>
      </c>
      <c r="AM4891">
        <v>100</v>
      </c>
      <c r="AN4891">
        <v>2300</v>
      </c>
      <c r="AO4891" t="s">
        <v>118</v>
      </c>
      <c r="AP4891">
        <v>-104</v>
      </c>
      <c r="AQ4891">
        <v>-44</v>
      </c>
      <c r="AR4891">
        <v>832</v>
      </c>
      <c r="AZ4891">
        <v>1200</v>
      </c>
      <c r="BA4891">
        <v>1</v>
      </c>
      <c r="BB4891" t="str">
        <f t="shared" si="2252"/>
        <v xml:space="preserve">N711JA  </v>
      </c>
      <c r="BC4891">
        <v>1</v>
      </c>
      <c r="BE4891">
        <v>0</v>
      </c>
      <c r="BF4891">
        <v>0</v>
      </c>
      <c r="BG4891">
        <v>0</v>
      </c>
      <c r="BH4891">
        <v>2350</v>
      </c>
      <c r="BI4891">
        <v>1</v>
      </c>
      <c r="BJ4891">
        <v>1</v>
      </c>
      <c r="BK4891">
        <v>0</v>
      </c>
      <c r="BL4891">
        <v>0</v>
      </c>
      <c r="BO4891">
        <v>0</v>
      </c>
      <c r="BP4891">
        <v>0</v>
      </c>
      <c r="BW4891" t="str">
        <f>"14:50:15.044"</f>
        <v>14:50:15.044</v>
      </c>
      <c r="CJ4891">
        <v>0</v>
      </c>
      <c r="CK4891">
        <v>2</v>
      </c>
      <c r="CL4891">
        <v>0</v>
      </c>
      <c r="CM4891">
        <v>2</v>
      </c>
      <c r="CN4891">
        <v>0</v>
      </c>
      <c r="CO4891">
        <v>6</v>
      </c>
      <c r="CP4891" t="s">
        <v>119</v>
      </c>
      <c r="CQ4891">
        <v>343</v>
      </c>
      <c r="CR4891">
        <v>1</v>
      </c>
      <c r="CW4891">
        <v>11086649</v>
      </c>
      <c r="CY4891">
        <v>1</v>
      </c>
      <c r="CZ4891">
        <v>0</v>
      </c>
      <c r="DA4891">
        <v>1</v>
      </c>
      <c r="DB4891">
        <v>0</v>
      </c>
      <c r="DC4891">
        <v>0</v>
      </c>
      <c r="DD4891">
        <v>1</v>
      </c>
      <c r="DE4891">
        <v>0</v>
      </c>
      <c r="DF4891">
        <v>0</v>
      </c>
      <c r="DG4891">
        <v>0</v>
      </c>
      <c r="DH4891">
        <v>0</v>
      </c>
      <c r="DI4891">
        <v>0</v>
      </c>
    </row>
    <row r="4892" spans="1:113" x14ac:dyDescent="0.3">
      <c r="A4892" t="str">
        <f t="shared" si="2253"/>
        <v>05/12/2020 14:49:57.233</v>
      </c>
      <c r="C4892" t="str">
        <f t="shared" si="2251"/>
        <v>FFDFD3C0</v>
      </c>
      <c r="D4892" t="s">
        <v>126</v>
      </c>
      <c r="E4892">
        <v>7</v>
      </c>
      <c r="F4892">
        <v>1007</v>
      </c>
      <c r="G4892" t="s">
        <v>127</v>
      </c>
      <c r="J4892" t="s">
        <v>128</v>
      </c>
      <c r="K4892">
        <v>0</v>
      </c>
      <c r="L4892">
        <v>3</v>
      </c>
      <c r="M4892">
        <v>0</v>
      </c>
      <c r="N4892">
        <v>2</v>
      </c>
      <c r="O4892">
        <v>1</v>
      </c>
      <c r="P4892">
        <v>0</v>
      </c>
      <c r="Q4892">
        <v>0</v>
      </c>
      <c r="S4892" t="str">
        <f t="shared" si="2254"/>
        <v>14:50:15.039</v>
      </c>
      <c r="T4892" t="str">
        <f t="shared" si="2255"/>
        <v>14:50:14.839</v>
      </c>
      <c r="U4892" t="str">
        <f t="shared" si="2242"/>
        <v>A9808D</v>
      </c>
      <c r="V4892">
        <v>0</v>
      </c>
      <c r="W4892">
        <v>0</v>
      </c>
      <c r="X4892">
        <v>1</v>
      </c>
      <c r="Z4892">
        <v>0</v>
      </c>
      <c r="AA4892">
        <v>9</v>
      </c>
      <c r="AB4892">
        <v>3</v>
      </c>
      <c r="AC4892">
        <v>0</v>
      </c>
      <c r="AD4892">
        <v>10</v>
      </c>
      <c r="AE4892">
        <v>0</v>
      </c>
      <c r="AF4892">
        <v>3</v>
      </c>
      <c r="AG4892">
        <v>2</v>
      </c>
      <c r="AH4892">
        <v>0</v>
      </c>
      <c r="AI4892" t="s">
        <v>1091</v>
      </c>
      <c r="AJ4892">
        <v>28.237566999999999</v>
      </c>
      <c r="AK4892" t="s">
        <v>1092</v>
      </c>
      <c r="AL4892">
        <v>-82.360747000000003</v>
      </c>
      <c r="AM4892">
        <v>100</v>
      </c>
      <c r="AN4892">
        <v>2300</v>
      </c>
      <c r="AO4892" t="s">
        <v>118</v>
      </c>
      <c r="AP4892">
        <v>-104</v>
      </c>
      <c r="AQ4892">
        <v>-44</v>
      </c>
      <c r="AR4892">
        <v>832</v>
      </c>
      <c r="AZ4892">
        <v>1200</v>
      </c>
      <c r="BA4892">
        <v>1</v>
      </c>
      <c r="BB4892" t="str">
        <f t="shared" si="2252"/>
        <v xml:space="preserve">N711JA  </v>
      </c>
      <c r="BC4892">
        <v>1</v>
      </c>
      <c r="BE4892">
        <v>0</v>
      </c>
      <c r="BF4892">
        <v>0</v>
      </c>
      <c r="BG4892">
        <v>0</v>
      </c>
      <c r="BH4892">
        <v>2350</v>
      </c>
      <c r="BI4892">
        <v>1</v>
      </c>
      <c r="BJ4892">
        <v>1</v>
      </c>
      <c r="BK4892">
        <v>0</v>
      </c>
      <c r="BL4892">
        <v>0</v>
      </c>
      <c r="BO4892">
        <v>0</v>
      </c>
      <c r="BP4892">
        <v>0</v>
      </c>
      <c r="BW4892" t="str">
        <f>"14:50:15.045"</f>
        <v>14:50:15.045</v>
      </c>
      <c r="CJ4892">
        <v>0</v>
      </c>
      <c r="CK4892">
        <v>2</v>
      </c>
      <c r="CL4892">
        <v>0</v>
      </c>
      <c r="CM4892">
        <v>2</v>
      </c>
      <c r="CN4892">
        <v>0</v>
      </c>
      <c r="CO4892">
        <v>6</v>
      </c>
      <c r="CP4892" t="s">
        <v>119</v>
      </c>
      <c r="CQ4892">
        <v>9</v>
      </c>
      <c r="CR4892">
        <v>0</v>
      </c>
      <c r="CW4892">
        <v>13047000</v>
      </c>
      <c r="CY4892">
        <v>1</v>
      </c>
      <c r="CZ4892">
        <v>0</v>
      </c>
      <c r="DA4892">
        <v>1</v>
      </c>
      <c r="DB4892">
        <v>0</v>
      </c>
      <c r="DC4892">
        <v>0</v>
      </c>
      <c r="DD4892">
        <v>1</v>
      </c>
      <c r="DE4892">
        <v>0</v>
      </c>
      <c r="DF4892">
        <v>0</v>
      </c>
      <c r="DG4892">
        <v>0</v>
      </c>
      <c r="DH4892">
        <v>0</v>
      </c>
      <c r="DI4892">
        <v>0</v>
      </c>
    </row>
    <row r="4893" spans="1:113" x14ac:dyDescent="0.3">
      <c r="A4893" t="str">
        <f t="shared" si="2253"/>
        <v>05/12/2020 14:49:57.233</v>
      </c>
      <c r="C4893" t="str">
        <f t="shared" si="2251"/>
        <v>FFDFD3C0</v>
      </c>
      <c r="D4893" t="s">
        <v>131</v>
      </c>
      <c r="E4893">
        <v>18</v>
      </c>
      <c r="F4893">
        <v>2018</v>
      </c>
      <c r="G4893" t="s">
        <v>161</v>
      </c>
      <c r="J4893" t="s">
        <v>133</v>
      </c>
      <c r="K4893">
        <v>0</v>
      </c>
      <c r="L4893">
        <v>3</v>
      </c>
      <c r="M4893">
        <v>0</v>
      </c>
      <c r="N4893">
        <v>2</v>
      </c>
      <c r="O4893">
        <v>1</v>
      </c>
      <c r="P4893">
        <v>0</v>
      </c>
      <c r="Q4893">
        <v>0</v>
      </c>
      <c r="S4893" t="str">
        <f t="shared" si="2254"/>
        <v>14:50:15.039</v>
      </c>
      <c r="T4893" t="str">
        <f t="shared" si="2255"/>
        <v>14:50:14.839</v>
      </c>
      <c r="U4893" t="str">
        <f t="shared" si="2242"/>
        <v>A9808D</v>
      </c>
      <c r="V4893">
        <v>0</v>
      </c>
      <c r="W4893">
        <v>0</v>
      </c>
      <c r="X4893">
        <v>1</v>
      </c>
      <c r="Z4893">
        <v>0</v>
      </c>
      <c r="AA4893">
        <v>9</v>
      </c>
      <c r="AB4893">
        <v>3</v>
      </c>
      <c r="AC4893">
        <v>0</v>
      </c>
      <c r="AD4893">
        <v>10</v>
      </c>
      <c r="AE4893">
        <v>0</v>
      </c>
      <c r="AF4893">
        <v>3</v>
      </c>
      <c r="AG4893">
        <v>2</v>
      </c>
      <c r="AH4893">
        <v>0</v>
      </c>
      <c r="AI4893" t="s">
        <v>1091</v>
      </c>
      <c r="AJ4893">
        <v>28.237566999999999</v>
      </c>
      <c r="AK4893" t="s">
        <v>1092</v>
      </c>
      <c r="AL4893">
        <v>-82.360747000000003</v>
      </c>
      <c r="AM4893">
        <v>100</v>
      </c>
      <c r="AN4893">
        <v>2300</v>
      </c>
      <c r="AO4893" t="s">
        <v>118</v>
      </c>
      <c r="AP4893">
        <v>-104</v>
      </c>
      <c r="AQ4893">
        <v>-44</v>
      </c>
      <c r="AR4893">
        <v>832</v>
      </c>
      <c r="AZ4893">
        <v>1200</v>
      </c>
      <c r="BA4893">
        <v>1</v>
      </c>
      <c r="BB4893" t="str">
        <f t="shared" si="2252"/>
        <v xml:space="preserve">N711JA  </v>
      </c>
      <c r="BC4893">
        <v>1</v>
      </c>
      <c r="BE4893">
        <v>0</v>
      </c>
      <c r="BF4893">
        <v>0</v>
      </c>
      <c r="BG4893">
        <v>0</v>
      </c>
      <c r="BH4893">
        <v>2350</v>
      </c>
      <c r="BI4893">
        <v>1</v>
      </c>
      <c r="BJ4893">
        <v>1</v>
      </c>
      <c r="BK4893">
        <v>0</v>
      </c>
      <c r="BL4893">
        <v>0</v>
      </c>
      <c r="BO4893">
        <v>0</v>
      </c>
      <c r="BP4893">
        <v>0</v>
      </c>
      <c r="BW4893" t="str">
        <f>"14:50:15.044"</f>
        <v>14:50:15.044</v>
      </c>
      <c r="CJ4893">
        <v>0</v>
      </c>
      <c r="CK4893">
        <v>2</v>
      </c>
      <c r="CL4893">
        <v>0</v>
      </c>
      <c r="CM4893">
        <v>2</v>
      </c>
      <c r="CN4893">
        <v>0</v>
      </c>
      <c r="CO4893">
        <v>6</v>
      </c>
      <c r="CP4893" t="s">
        <v>119</v>
      </c>
      <c r="CQ4893">
        <v>343</v>
      </c>
      <c r="CR4893">
        <v>1</v>
      </c>
      <c r="CW4893">
        <v>11086649</v>
      </c>
      <c r="CY4893">
        <v>1</v>
      </c>
      <c r="CZ4893">
        <v>0</v>
      </c>
      <c r="DA4893">
        <v>1</v>
      </c>
      <c r="DB4893">
        <v>0</v>
      </c>
      <c r="DC4893">
        <v>0</v>
      </c>
      <c r="DD4893">
        <v>1</v>
      </c>
      <c r="DE4893">
        <v>0</v>
      </c>
      <c r="DF4893">
        <v>0</v>
      </c>
      <c r="DG4893">
        <v>0</v>
      </c>
      <c r="DH4893">
        <v>0</v>
      </c>
      <c r="DI4893">
        <v>0</v>
      </c>
    </row>
    <row r="4894" spans="1:113" x14ac:dyDescent="0.3">
      <c r="A4894" t="str">
        <f t="shared" si="2253"/>
        <v>05/12/2020 14:49:57.233</v>
      </c>
      <c r="C4894" t="str">
        <f t="shared" si="2251"/>
        <v>FFDFD3C0</v>
      </c>
      <c r="D4894" t="s">
        <v>113</v>
      </c>
      <c r="E4894">
        <v>3</v>
      </c>
      <c r="H4894">
        <v>164</v>
      </c>
      <c r="I4894" t="s">
        <v>114</v>
      </c>
      <c r="J4894" t="s">
        <v>115</v>
      </c>
      <c r="K4894">
        <v>0</v>
      </c>
      <c r="L4894">
        <v>3</v>
      </c>
      <c r="M4894">
        <v>0</v>
      </c>
      <c r="N4894">
        <v>2</v>
      </c>
      <c r="O4894">
        <v>1</v>
      </c>
      <c r="P4894">
        <v>0</v>
      </c>
      <c r="Q4894">
        <v>0</v>
      </c>
      <c r="S4894" t="str">
        <f t="shared" si="2254"/>
        <v>14:50:15.039</v>
      </c>
      <c r="T4894" t="str">
        <f t="shared" si="2255"/>
        <v>14:50:14.839</v>
      </c>
      <c r="U4894" t="str">
        <f t="shared" si="2242"/>
        <v>A9808D</v>
      </c>
      <c r="V4894">
        <v>0</v>
      </c>
      <c r="W4894">
        <v>0</v>
      </c>
      <c r="X4894">
        <v>1</v>
      </c>
      <c r="Z4894">
        <v>0</v>
      </c>
      <c r="AA4894">
        <v>9</v>
      </c>
      <c r="AB4894">
        <v>3</v>
      </c>
      <c r="AC4894">
        <v>0</v>
      </c>
      <c r="AD4894">
        <v>10</v>
      </c>
      <c r="AE4894">
        <v>0</v>
      </c>
      <c r="AF4894">
        <v>3</v>
      </c>
      <c r="AG4894">
        <v>2</v>
      </c>
      <c r="AH4894">
        <v>0</v>
      </c>
      <c r="AI4894" t="s">
        <v>1091</v>
      </c>
      <c r="AJ4894">
        <v>28.237566999999999</v>
      </c>
      <c r="AK4894" t="s">
        <v>1092</v>
      </c>
      <c r="AL4894">
        <v>-82.360747000000003</v>
      </c>
      <c r="AM4894">
        <v>100</v>
      </c>
      <c r="AN4894">
        <v>2300</v>
      </c>
      <c r="AO4894" t="s">
        <v>118</v>
      </c>
      <c r="AP4894">
        <v>-104</v>
      </c>
      <c r="AQ4894">
        <v>-44</v>
      </c>
      <c r="AR4894">
        <v>832</v>
      </c>
      <c r="AZ4894">
        <v>1200</v>
      </c>
      <c r="BA4894">
        <v>1</v>
      </c>
      <c r="BB4894" t="str">
        <f t="shared" si="2252"/>
        <v xml:space="preserve">N711JA  </v>
      </c>
      <c r="BC4894">
        <v>1</v>
      </c>
      <c r="BE4894">
        <v>0</v>
      </c>
      <c r="BF4894">
        <v>0</v>
      </c>
      <c r="BG4894">
        <v>0</v>
      </c>
      <c r="BH4894">
        <v>2350</v>
      </c>
      <c r="BI4894">
        <v>1</v>
      </c>
      <c r="BJ4894">
        <v>1</v>
      </c>
      <c r="BK4894">
        <v>0</v>
      </c>
      <c r="BL4894">
        <v>0</v>
      </c>
      <c r="BO4894">
        <v>0</v>
      </c>
      <c r="BP4894">
        <v>0</v>
      </c>
      <c r="BW4894" t="str">
        <f>"14:50:15.045"</f>
        <v>14:50:15.045</v>
      </c>
      <c r="CJ4894">
        <v>0</v>
      </c>
      <c r="CK4894">
        <v>2</v>
      </c>
      <c r="CL4894">
        <v>0</v>
      </c>
      <c r="CM4894">
        <v>2</v>
      </c>
      <c r="CN4894">
        <v>0</v>
      </c>
      <c r="CO4894">
        <v>6</v>
      </c>
      <c r="CP4894" t="s">
        <v>119</v>
      </c>
      <c r="CQ4894">
        <v>9</v>
      </c>
      <c r="CR4894">
        <v>0</v>
      </c>
      <c r="CW4894">
        <v>13047000</v>
      </c>
      <c r="CY4894">
        <v>1</v>
      </c>
      <c r="CZ4894">
        <v>0</v>
      </c>
      <c r="DA4894">
        <v>1</v>
      </c>
      <c r="DB4894">
        <v>0</v>
      </c>
      <c r="DC4894">
        <v>0</v>
      </c>
      <c r="DD4894">
        <v>1</v>
      </c>
      <c r="DE4894">
        <v>0</v>
      </c>
      <c r="DF4894">
        <v>0</v>
      </c>
      <c r="DG4894">
        <v>0</v>
      </c>
      <c r="DH4894">
        <v>0</v>
      </c>
      <c r="DI4894">
        <v>0</v>
      </c>
    </row>
    <row r="4895" spans="1:113" x14ac:dyDescent="0.3">
      <c r="A4895" t="str">
        <f t="shared" si="2253"/>
        <v>05/12/2020 14:49:57.233</v>
      </c>
      <c r="C4895" t="str">
        <f t="shared" si="2251"/>
        <v>FFDFD3C0</v>
      </c>
      <c r="D4895" t="s">
        <v>126</v>
      </c>
      <c r="E4895">
        <v>6</v>
      </c>
      <c r="F4895">
        <v>1006</v>
      </c>
      <c r="G4895" t="s">
        <v>114</v>
      </c>
      <c r="J4895" t="s">
        <v>128</v>
      </c>
      <c r="K4895">
        <v>0</v>
      </c>
      <c r="L4895">
        <v>3</v>
      </c>
      <c r="M4895">
        <v>0</v>
      </c>
      <c r="N4895">
        <v>2</v>
      </c>
      <c r="O4895">
        <v>1</v>
      </c>
      <c r="P4895">
        <v>0</v>
      </c>
      <c r="Q4895">
        <v>0</v>
      </c>
      <c r="S4895" t="str">
        <f t="shared" si="2254"/>
        <v>14:50:15.039</v>
      </c>
      <c r="T4895" t="str">
        <f t="shared" si="2255"/>
        <v>14:50:14.839</v>
      </c>
      <c r="U4895" t="str">
        <f t="shared" si="2242"/>
        <v>A9808D</v>
      </c>
      <c r="V4895">
        <v>0</v>
      </c>
      <c r="W4895">
        <v>0</v>
      </c>
      <c r="X4895">
        <v>1</v>
      </c>
      <c r="Z4895">
        <v>0</v>
      </c>
      <c r="AA4895">
        <v>9</v>
      </c>
      <c r="AB4895">
        <v>3</v>
      </c>
      <c r="AC4895">
        <v>0</v>
      </c>
      <c r="AD4895">
        <v>10</v>
      </c>
      <c r="AE4895">
        <v>0</v>
      </c>
      <c r="AF4895">
        <v>3</v>
      </c>
      <c r="AG4895">
        <v>2</v>
      </c>
      <c r="AH4895">
        <v>0</v>
      </c>
      <c r="AI4895" t="s">
        <v>1091</v>
      </c>
      <c r="AJ4895">
        <v>28.237566999999999</v>
      </c>
      <c r="AK4895" t="s">
        <v>1092</v>
      </c>
      <c r="AL4895">
        <v>-82.360747000000003</v>
      </c>
      <c r="AM4895">
        <v>100</v>
      </c>
      <c r="AN4895">
        <v>2300</v>
      </c>
      <c r="AO4895" t="s">
        <v>118</v>
      </c>
      <c r="AP4895">
        <v>-104</v>
      </c>
      <c r="AQ4895">
        <v>-44</v>
      </c>
      <c r="AR4895">
        <v>832</v>
      </c>
      <c r="AZ4895">
        <v>1200</v>
      </c>
      <c r="BA4895">
        <v>1</v>
      </c>
      <c r="BB4895" t="str">
        <f t="shared" si="2252"/>
        <v xml:space="preserve">N711JA  </v>
      </c>
      <c r="BC4895">
        <v>1</v>
      </c>
      <c r="BE4895">
        <v>0</v>
      </c>
      <c r="BF4895">
        <v>0</v>
      </c>
      <c r="BG4895">
        <v>0</v>
      </c>
      <c r="BH4895">
        <v>2350</v>
      </c>
      <c r="BI4895">
        <v>1</v>
      </c>
      <c r="BJ4895">
        <v>1</v>
      </c>
      <c r="BK4895">
        <v>0</v>
      </c>
      <c r="BL4895">
        <v>0</v>
      </c>
      <c r="BO4895">
        <v>0</v>
      </c>
      <c r="BP4895">
        <v>0</v>
      </c>
      <c r="BW4895" t="str">
        <f>"14:50:15.045"</f>
        <v>14:50:15.045</v>
      </c>
      <c r="CJ4895">
        <v>0</v>
      </c>
      <c r="CK4895">
        <v>2</v>
      </c>
      <c r="CL4895">
        <v>0</v>
      </c>
      <c r="CM4895">
        <v>2</v>
      </c>
      <c r="CN4895">
        <v>0</v>
      </c>
      <c r="CO4895">
        <v>6</v>
      </c>
      <c r="CP4895" t="s">
        <v>119</v>
      </c>
      <c r="CQ4895">
        <v>9</v>
      </c>
      <c r="CR4895">
        <v>0</v>
      </c>
      <c r="CW4895">
        <v>13047000</v>
      </c>
      <c r="CY4895">
        <v>1</v>
      </c>
      <c r="CZ4895">
        <v>0</v>
      </c>
      <c r="DA4895">
        <v>1</v>
      </c>
      <c r="DB4895">
        <v>0</v>
      </c>
      <c r="DC4895">
        <v>0</v>
      </c>
      <c r="DD4895">
        <v>1</v>
      </c>
      <c r="DE4895">
        <v>0</v>
      </c>
      <c r="DF4895">
        <v>0</v>
      </c>
      <c r="DG4895">
        <v>0</v>
      </c>
      <c r="DH4895">
        <v>0</v>
      </c>
      <c r="DI4895">
        <v>0</v>
      </c>
    </row>
    <row r="4896" spans="1:113" x14ac:dyDescent="0.3">
      <c r="A4896" t="str">
        <f t="shared" si="2253"/>
        <v>05/12/2020 14:49:57.233</v>
      </c>
      <c r="C4896" t="str">
        <f t="shared" si="2251"/>
        <v>FFDFD3C0</v>
      </c>
      <c r="D4896" t="s">
        <v>138</v>
      </c>
      <c r="E4896">
        <v>2</v>
      </c>
      <c r="H4896">
        <v>8</v>
      </c>
      <c r="I4896" t="s">
        <v>139</v>
      </c>
      <c r="J4896" t="s">
        <v>136</v>
      </c>
      <c r="K4896">
        <v>0</v>
      </c>
      <c r="L4896">
        <v>3</v>
      </c>
      <c r="M4896">
        <v>0</v>
      </c>
      <c r="N4896">
        <v>2</v>
      </c>
      <c r="O4896">
        <v>1</v>
      </c>
      <c r="P4896">
        <v>0</v>
      </c>
      <c r="Q4896">
        <v>0</v>
      </c>
      <c r="S4896" t="str">
        <f t="shared" si="2254"/>
        <v>14:50:15.039</v>
      </c>
      <c r="T4896" t="str">
        <f t="shared" si="2255"/>
        <v>14:50:14.839</v>
      </c>
      <c r="U4896" t="str">
        <f t="shared" si="2242"/>
        <v>A9808D</v>
      </c>
      <c r="V4896">
        <v>0</v>
      </c>
      <c r="W4896">
        <v>0</v>
      </c>
      <c r="X4896">
        <v>1</v>
      </c>
      <c r="Z4896">
        <v>0</v>
      </c>
      <c r="AA4896">
        <v>9</v>
      </c>
      <c r="AB4896">
        <v>3</v>
      </c>
      <c r="AC4896">
        <v>0</v>
      </c>
      <c r="AD4896">
        <v>10</v>
      </c>
      <c r="AE4896">
        <v>0</v>
      </c>
      <c r="AF4896">
        <v>3</v>
      </c>
      <c r="AG4896">
        <v>2</v>
      </c>
      <c r="AH4896">
        <v>0</v>
      </c>
      <c r="AI4896" t="s">
        <v>1091</v>
      </c>
      <c r="AJ4896">
        <v>28.237566999999999</v>
      </c>
      <c r="AK4896" t="s">
        <v>1092</v>
      </c>
      <c r="AL4896">
        <v>-82.360747000000003</v>
      </c>
      <c r="AM4896">
        <v>100</v>
      </c>
      <c r="AN4896">
        <v>2300</v>
      </c>
      <c r="AO4896" t="s">
        <v>118</v>
      </c>
      <c r="AP4896">
        <v>-104</v>
      </c>
      <c r="AQ4896">
        <v>-44</v>
      </c>
      <c r="AR4896">
        <v>832</v>
      </c>
      <c r="AZ4896">
        <v>1200</v>
      </c>
      <c r="BA4896">
        <v>1</v>
      </c>
      <c r="BB4896" t="str">
        <f t="shared" si="2252"/>
        <v xml:space="preserve">N711JA  </v>
      </c>
      <c r="BC4896">
        <v>1</v>
      </c>
      <c r="BE4896">
        <v>0</v>
      </c>
      <c r="BF4896">
        <v>0</v>
      </c>
      <c r="BG4896">
        <v>0</v>
      </c>
      <c r="BH4896">
        <v>2350</v>
      </c>
      <c r="BI4896">
        <v>1</v>
      </c>
      <c r="BJ4896">
        <v>1</v>
      </c>
      <c r="BK4896">
        <v>0</v>
      </c>
      <c r="BL4896">
        <v>0</v>
      </c>
      <c r="BO4896">
        <v>0</v>
      </c>
      <c r="BP4896">
        <v>0</v>
      </c>
      <c r="BW4896" t="str">
        <f>"14:50:15.044"</f>
        <v>14:50:15.044</v>
      </c>
      <c r="CJ4896">
        <v>0</v>
      </c>
      <c r="CK4896">
        <v>2</v>
      </c>
      <c r="CL4896">
        <v>0</v>
      </c>
      <c r="CM4896">
        <v>2</v>
      </c>
      <c r="CN4896">
        <v>0</v>
      </c>
      <c r="CO4896">
        <v>6</v>
      </c>
      <c r="CP4896" t="s">
        <v>119</v>
      </c>
      <c r="CQ4896">
        <v>343</v>
      </c>
      <c r="CR4896">
        <v>1</v>
      </c>
      <c r="CW4896">
        <v>11086649</v>
      </c>
      <c r="CY4896">
        <v>1</v>
      </c>
      <c r="CZ4896">
        <v>0</v>
      </c>
      <c r="DA4896">
        <v>1</v>
      </c>
      <c r="DB4896">
        <v>0</v>
      </c>
      <c r="DC4896">
        <v>0</v>
      </c>
      <c r="DD4896">
        <v>1</v>
      </c>
      <c r="DE4896">
        <v>0</v>
      </c>
      <c r="DF4896">
        <v>0</v>
      </c>
      <c r="DG4896">
        <v>0</v>
      </c>
      <c r="DH4896">
        <v>0</v>
      </c>
      <c r="DI4896">
        <v>0</v>
      </c>
    </row>
    <row r="4897" spans="1:113" x14ac:dyDescent="0.3">
      <c r="A4897" t="str">
        <f t="shared" si="2253"/>
        <v>05/12/2020 14:49:57.233</v>
      </c>
      <c r="C4897" t="str">
        <f t="shared" si="2251"/>
        <v>FFDFD3C0</v>
      </c>
      <c r="D4897" t="s">
        <v>138</v>
      </c>
      <c r="E4897">
        <v>3</v>
      </c>
      <c r="H4897">
        <v>9</v>
      </c>
      <c r="I4897" t="s">
        <v>140</v>
      </c>
      <c r="J4897" t="s">
        <v>136</v>
      </c>
      <c r="K4897">
        <v>0</v>
      </c>
      <c r="L4897">
        <v>3</v>
      </c>
      <c r="M4897">
        <v>0</v>
      </c>
      <c r="N4897">
        <v>2</v>
      </c>
      <c r="O4897">
        <v>1</v>
      </c>
      <c r="P4897">
        <v>0</v>
      </c>
      <c r="Q4897">
        <v>0</v>
      </c>
      <c r="S4897" t="str">
        <f t="shared" si="2254"/>
        <v>14:50:15.039</v>
      </c>
      <c r="T4897" t="str">
        <f t="shared" si="2255"/>
        <v>14:50:14.839</v>
      </c>
      <c r="U4897" t="str">
        <f t="shared" si="2242"/>
        <v>A9808D</v>
      </c>
      <c r="V4897">
        <v>0</v>
      </c>
      <c r="W4897">
        <v>0</v>
      </c>
      <c r="X4897">
        <v>1</v>
      </c>
      <c r="Z4897">
        <v>0</v>
      </c>
      <c r="AA4897">
        <v>9</v>
      </c>
      <c r="AB4897">
        <v>3</v>
      </c>
      <c r="AC4897">
        <v>0</v>
      </c>
      <c r="AD4897">
        <v>10</v>
      </c>
      <c r="AE4897">
        <v>0</v>
      </c>
      <c r="AF4897">
        <v>3</v>
      </c>
      <c r="AG4897">
        <v>2</v>
      </c>
      <c r="AH4897">
        <v>0</v>
      </c>
      <c r="AI4897" t="s">
        <v>1091</v>
      </c>
      <c r="AJ4897">
        <v>28.237566999999999</v>
      </c>
      <c r="AK4897" t="s">
        <v>1092</v>
      </c>
      <c r="AL4897">
        <v>-82.360747000000003</v>
      </c>
      <c r="AM4897">
        <v>100</v>
      </c>
      <c r="AN4897">
        <v>2300</v>
      </c>
      <c r="AO4897" t="s">
        <v>118</v>
      </c>
      <c r="AP4897">
        <v>-104</v>
      </c>
      <c r="AQ4897">
        <v>-44</v>
      </c>
      <c r="AR4897">
        <v>832</v>
      </c>
      <c r="AZ4897">
        <v>1200</v>
      </c>
      <c r="BA4897">
        <v>1</v>
      </c>
      <c r="BB4897" t="str">
        <f t="shared" si="2252"/>
        <v xml:space="preserve">N711JA  </v>
      </c>
      <c r="BC4897">
        <v>1</v>
      </c>
      <c r="BE4897">
        <v>0</v>
      </c>
      <c r="BF4897">
        <v>0</v>
      </c>
      <c r="BG4897">
        <v>0</v>
      </c>
      <c r="BH4897">
        <v>2350</v>
      </c>
      <c r="BI4897">
        <v>1</v>
      </c>
      <c r="BJ4897">
        <v>1</v>
      </c>
      <c r="BK4897">
        <v>0</v>
      </c>
      <c r="BL4897">
        <v>0</v>
      </c>
      <c r="BO4897">
        <v>0</v>
      </c>
      <c r="BP4897">
        <v>0</v>
      </c>
      <c r="BW4897" t="str">
        <f>"14:50:15.045"</f>
        <v>14:50:15.045</v>
      </c>
      <c r="CJ4897">
        <v>0</v>
      </c>
      <c r="CK4897">
        <v>2</v>
      </c>
      <c r="CL4897">
        <v>0</v>
      </c>
      <c r="CM4897">
        <v>2</v>
      </c>
      <c r="CN4897">
        <v>0</v>
      </c>
      <c r="CO4897">
        <v>6</v>
      </c>
      <c r="CP4897" t="s">
        <v>119</v>
      </c>
      <c r="CQ4897">
        <v>9</v>
      </c>
      <c r="CR4897">
        <v>0</v>
      </c>
      <c r="CW4897">
        <v>13047000</v>
      </c>
      <c r="CY4897">
        <v>1</v>
      </c>
      <c r="CZ4897">
        <v>0</v>
      </c>
      <c r="DA4897">
        <v>1</v>
      </c>
      <c r="DB4897">
        <v>0</v>
      </c>
      <c r="DC4897">
        <v>0</v>
      </c>
      <c r="DD4897">
        <v>1</v>
      </c>
      <c r="DE4897">
        <v>0</v>
      </c>
      <c r="DF4897">
        <v>0</v>
      </c>
      <c r="DG4897">
        <v>0</v>
      </c>
      <c r="DH4897">
        <v>0</v>
      </c>
      <c r="DI4897">
        <v>0</v>
      </c>
    </row>
    <row r="4898" spans="1:113" x14ac:dyDescent="0.3">
      <c r="A4898" t="str">
        <f t="shared" si="2253"/>
        <v>05/12/2020 14:49:57.233</v>
      </c>
      <c r="C4898" t="str">
        <f t="shared" si="2251"/>
        <v>FFDFD3C0</v>
      </c>
      <c r="D4898" t="s">
        <v>134</v>
      </c>
      <c r="E4898">
        <v>12</v>
      </c>
      <c r="H4898">
        <v>64</v>
      </c>
      <c r="I4898" t="s">
        <v>135</v>
      </c>
      <c r="J4898" t="s">
        <v>136</v>
      </c>
      <c r="K4898">
        <v>0</v>
      </c>
      <c r="L4898">
        <v>3</v>
      </c>
      <c r="M4898">
        <v>0</v>
      </c>
      <c r="N4898">
        <v>2</v>
      </c>
      <c r="O4898">
        <v>1</v>
      </c>
      <c r="P4898">
        <v>0</v>
      </c>
      <c r="Q4898">
        <v>0</v>
      </c>
      <c r="S4898" t="str">
        <f t="shared" si="2254"/>
        <v>14:50:15.039</v>
      </c>
      <c r="T4898" t="str">
        <f t="shared" si="2255"/>
        <v>14:50:14.839</v>
      </c>
      <c r="U4898" t="str">
        <f t="shared" si="2242"/>
        <v>A9808D</v>
      </c>
      <c r="V4898">
        <v>0</v>
      </c>
      <c r="W4898">
        <v>0</v>
      </c>
      <c r="X4898">
        <v>1</v>
      </c>
      <c r="Z4898">
        <v>0</v>
      </c>
      <c r="AA4898">
        <v>9</v>
      </c>
      <c r="AB4898">
        <v>3</v>
      </c>
      <c r="AC4898">
        <v>0</v>
      </c>
      <c r="AD4898">
        <v>10</v>
      </c>
      <c r="AE4898">
        <v>0</v>
      </c>
      <c r="AF4898">
        <v>3</v>
      </c>
      <c r="AG4898">
        <v>2</v>
      </c>
      <c r="AH4898">
        <v>0</v>
      </c>
      <c r="AI4898" t="s">
        <v>1091</v>
      </c>
      <c r="AJ4898">
        <v>28.237566999999999</v>
      </c>
      <c r="AK4898" t="s">
        <v>1092</v>
      </c>
      <c r="AL4898">
        <v>-82.360747000000003</v>
      </c>
      <c r="AM4898">
        <v>100</v>
      </c>
      <c r="AN4898">
        <v>2300</v>
      </c>
      <c r="AO4898" t="s">
        <v>118</v>
      </c>
      <c r="AP4898">
        <v>-104</v>
      </c>
      <c r="AQ4898">
        <v>-44</v>
      </c>
      <c r="AR4898">
        <v>832</v>
      </c>
      <c r="AZ4898">
        <v>1200</v>
      </c>
      <c r="BA4898">
        <v>1</v>
      </c>
      <c r="BB4898" t="str">
        <f t="shared" si="2252"/>
        <v xml:space="preserve">N711JA  </v>
      </c>
      <c r="BC4898">
        <v>1</v>
      </c>
      <c r="BE4898">
        <v>0</v>
      </c>
      <c r="BF4898">
        <v>0</v>
      </c>
      <c r="BG4898">
        <v>0</v>
      </c>
      <c r="BH4898">
        <v>2350</v>
      </c>
      <c r="BI4898">
        <v>1</v>
      </c>
      <c r="BJ4898">
        <v>1</v>
      </c>
      <c r="BK4898">
        <v>0</v>
      </c>
      <c r="BL4898">
        <v>0</v>
      </c>
      <c r="BO4898">
        <v>0</v>
      </c>
      <c r="BP4898">
        <v>0</v>
      </c>
      <c r="BW4898" t="str">
        <f>"14:50:15.045"</f>
        <v>14:50:15.045</v>
      </c>
      <c r="CJ4898">
        <v>0</v>
      </c>
      <c r="CK4898">
        <v>2</v>
      </c>
      <c r="CL4898">
        <v>0</v>
      </c>
      <c r="CM4898">
        <v>2</v>
      </c>
      <c r="CN4898">
        <v>0</v>
      </c>
      <c r="CO4898">
        <v>6</v>
      </c>
      <c r="CP4898" t="s">
        <v>119</v>
      </c>
      <c r="CQ4898">
        <v>9</v>
      </c>
      <c r="CR4898">
        <v>0</v>
      </c>
      <c r="CW4898">
        <v>13047000</v>
      </c>
      <c r="CY4898">
        <v>1</v>
      </c>
      <c r="CZ4898">
        <v>0</v>
      </c>
      <c r="DA4898">
        <v>1</v>
      </c>
      <c r="DB4898">
        <v>0</v>
      </c>
      <c r="DC4898">
        <v>0</v>
      </c>
      <c r="DD4898">
        <v>1</v>
      </c>
      <c r="DE4898">
        <v>0</v>
      </c>
      <c r="DF4898">
        <v>0</v>
      </c>
      <c r="DG4898">
        <v>0</v>
      </c>
      <c r="DH4898">
        <v>0</v>
      </c>
      <c r="DI4898">
        <v>0</v>
      </c>
    </row>
    <row r="4899" spans="1:113" x14ac:dyDescent="0.3">
      <c r="A4899" t="str">
        <f t="shared" ref="A4899:A4907" si="2256">"05/12/2020 14:49:58.175"</f>
        <v>05/12/2020 14:49:58.175</v>
      </c>
      <c r="C4899" t="str">
        <f t="shared" si="2251"/>
        <v>FFDFD3C0</v>
      </c>
      <c r="D4899" t="s">
        <v>134</v>
      </c>
      <c r="E4899">
        <v>12</v>
      </c>
      <c r="H4899">
        <v>64</v>
      </c>
      <c r="I4899" t="s">
        <v>135</v>
      </c>
      <c r="J4899" t="s">
        <v>136</v>
      </c>
      <c r="K4899">
        <v>0</v>
      </c>
      <c r="L4899">
        <v>3</v>
      </c>
      <c r="M4899">
        <v>0</v>
      </c>
      <c r="N4899">
        <v>2</v>
      </c>
      <c r="O4899">
        <v>1</v>
      </c>
      <c r="P4899">
        <v>0</v>
      </c>
      <c r="Q4899">
        <v>0</v>
      </c>
      <c r="S4899" t="str">
        <f t="shared" ref="S4899:S4907" si="2257">"14:50:16.023"</f>
        <v>14:50:16.023</v>
      </c>
      <c r="T4899" t="str">
        <f t="shared" ref="T4899:T4907" si="2258">"14:50:15.823"</f>
        <v>14:50:15.823</v>
      </c>
      <c r="U4899" t="str">
        <f t="shared" si="2242"/>
        <v>A9808D</v>
      </c>
      <c r="V4899">
        <v>0</v>
      </c>
      <c r="W4899">
        <v>0</v>
      </c>
      <c r="X4899">
        <v>1</v>
      </c>
      <c r="Z4899">
        <v>0</v>
      </c>
      <c r="AA4899">
        <v>9</v>
      </c>
      <c r="AB4899">
        <v>3</v>
      </c>
      <c r="AC4899">
        <v>0</v>
      </c>
      <c r="AD4899">
        <v>10</v>
      </c>
      <c r="AE4899">
        <v>0</v>
      </c>
      <c r="AF4899">
        <v>3</v>
      </c>
      <c r="AG4899">
        <v>2</v>
      </c>
      <c r="AH4899">
        <v>0</v>
      </c>
      <c r="AI4899" t="s">
        <v>1093</v>
      </c>
      <c r="AJ4899">
        <v>28.237373999999999</v>
      </c>
      <c r="AK4899" t="s">
        <v>1094</v>
      </c>
      <c r="AL4899">
        <v>-82.361219000000006</v>
      </c>
      <c r="AM4899">
        <v>100</v>
      </c>
      <c r="AN4899">
        <v>2300</v>
      </c>
      <c r="AO4899" t="s">
        <v>118</v>
      </c>
      <c r="AP4899">
        <v>-102</v>
      </c>
      <c r="AQ4899">
        <v>-44</v>
      </c>
      <c r="AR4899">
        <v>704</v>
      </c>
      <c r="AZ4899">
        <v>1200</v>
      </c>
      <c r="BA4899">
        <v>1</v>
      </c>
      <c r="BB4899" t="str">
        <f t="shared" si="2252"/>
        <v xml:space="preserve">N711JA  </v>
      </c>
      <c r="BC4899">
        <v>1</v>
      </c>
      <c r="BE4899">
        <v>0</v>
      </c>
      <c r="BF4899">
        <v>0</v>
      </c>
      <c r="BG4899">
        <v>0</v>
      </c>
      <c r="BH4899">
        <v>2375</v>
      </c>
      <c r="BI4899">
        <v>1</v>
      </c>
      <c r="BJ4899">
        <v>1</v>
      </c>
      <c r="BK4899">
        <v>0</v>
      </c>
      <c r="BL4899">
        <v>0</v>
      </c>
      <c r="BO4899">
        <v>0</v>
      </c>
      <c r="BP4899">
        <v>0</v>
      </c>
      <c r="BW4899" t="str">
        <f t="shared" ref="BW4899:BW4907" si="2259">"14:50:16.024"</f>
        <v>14:50:16.024</v>
      </c>
      <c r="CJ4899">
        <v>0</v>
      </c>
      <c r="CK4899">
        <v>2</v>
      </c>
      <c r="CL4899">
        <v>0</v>
      </c>
      <c r="CM4899">
        <v>2</v>
      </c>
      <c r="CN4899">
        <v>0</v>
      </c>
      <c r="CO4899">
        <v>6</v>
      </c>
      <c r="CP4899" t="s">
        <v>119</v>
      </c>
      <c r="CQ4899">
        <v>9</v>
      </c>
      <c r="CR4899">
        <v>0</v>
      </c>
      <c r="CW4899">
        <v>13048232</v>
      </c>
      <c r="CY4899">
        <v>1</v>
      </c>
      <c r="CZ4899">
        <v>0</v>
      </c>
      <c r="DA4899">
        <v>0</v>
      </c>
      <c r="DB4899">
        <v>0</v>
      </c>
      <c r="DC4899">
        <v>0</v>
      </c>
      <c r="DD4899">
        <v>1</v>
      </c>
      <c r="DE4899">
        <v>0</v>
      </c>
      <c r="DF4899">
        <v>0</v>
      </c>
      <c r="DG4899">
        <v>0</v>
      </c>
      <c r="DH4899">
        <v>0</v>
      </c>
      <c r="DI4899">
        <v>0</v>
      </c>
    </row>
    <row r="4900" spans="1:113" x14ac:dyDescent="0.3">
      <c r="A4900" t="str">
        <f t="shared" si="2256"/>
        <v>05/12/2020 14:49:58.175</v>
      </c>
      <c r="C4900" t="str">
        <f t="shared" si="2251"/>
        <v>FFDFD3C0</v>
      </c>
      <c r="D4900" t="s">
        <v>131</v>
      </c>
      <c r="E4900">
        <v>10</v>
      </c>
      <c r="F4900">
        <v>2010</v>
      </c>
      <c r="G4900" t="s">
        <v>132</v>
      </c>
      <c r="J4900" t="s">
        <v>133</v>
      </c>
      <c r="K4900">
        <v>0</v>
      </c>
      <c r="L4900">
        <v>3</v>
      </c>
      <c r="M4900">
        <v>0</v>
      </c>
      <c r="N4900">
        <v>2</v>
      </c>
      <c r="O4900">
        <v>1</v>
      </c>
      <c r="P4900">
        <v>0</v>
      </c>
      <c r="Q4900">
        <v>0</v>
      </c>
      <c r="S4900" t="str">
        <f t="shared" si="2257"/>
        <v>14:50:16.023</v>
      </c>
      <c r="T4900" t="str">
        <f t="shared" si="2258"/>
        <v>14:50:15.823</v>
      </c>
      <c r="U4900" t="str">
        <f t="shared" si="2242"/>
        <v>A9808D</v>
      </c>
      <c r="V4900">
        <v>0</v>
      </c>
      <c r="W4900">
        <v>0</v>
      </c>
      <c r="X4900">
        <v>1</v>
      </c>
      <c r="Z4900">
        <v>0</v>
      </c>
      <c r="AA4900">
        <v>9</v>
      </c>
      <c r="AB4900">
        <v>3</v>
      </c>
      <c r="AC4900">
        <v>0</v>
      </c>
      <c r="AD4900">
        <v>10</v>
      </c>
      <c r="AE4900">
        <v>0</v>
      </c>
      <c r="AF4900">
        <v>3</v>
      </c>
      <c r="AG4900">
        <v>2</v>
      </c>
      <c r="AH4900">
        <v>0</v>
      </c>
      <c r="AI4900" t="s">
        <v>1093</v>
      </c>
      <c r="AJ4900">
        <v>28.237373999999999</v>
      </c>
      <c r="AK4900" t="s">
        <v>1094</v>
      </c>
      <c r="AL4900">
        <v>-82.361219000000006</v>
      </c>
      <c r="AM4900">
        <v>100</v>
      </c>
      <c r="AN4900">
        <v>2300</v>
      </c>
      <c r="AO4900" t="s">
        <v>118</v>
      </c>
      <c r="AP4900">
        <v>-102</v>
      </c>
      <c r="AQ4900">
        <v>-44</v>
      </c>
      <c r="AR4900">
        <v>704</v>
      </c>
      <c r="AZ4900">
        <v>1200</v>
      </c>
      <c r="BA4900">
        <v>1</v>
      </c>
      <c r="BB4900" t="str">
        <f t="shared" si="2252"/>
        <v xml:space="preserve">N711JA  </v>
      </c>
      <c r="BC4900">
        <v>1</v>
      </c>
      <c r="BE4900">
        <v>0</v>
      </c>
      <c r="BF4900">
        <v>0</v>
      </c>
      <c r="BG4900">
        <v>0</v>
      </c>
      <c r="BH4900">
        <v>2375</v>
      </c>
      <c r="BI4900">
        <v>1</v>
      </c>
      <c r="BJ4900">
        <v>1</v>
      </c>
      <c r="BK4900">
        <v>0</v>
      </c>
      <c r="BL4900">
        <v>0</v>
      </c>
      <c r="BO4900">
        <v>0</v>
      </c>
      <c r="BP4900">
        <v>0</v>
      </c>
      <c r="BW4900" t="str">
        <f t="shared" si="2259"/>
        <v>14:50:16.024</v>
      </c>
      <c r="CJ4900">
        <v>0</v>
      </c>
      <c r="CK4900">
        <v>2</v>
      </c>
      <c r="CL4900">
        <v>0</v>
      </c>
      <c r="CM4900">
        <v>2</v>
      </c>
      <c r="CN4900">
        <v>0</v>
      </c>
      <c r="CO4900">
        <v>6</v>
      </c>
      <c r="CP4900" t="s">
        <v>119</v>
      </c>
      <c r="CQ4900">
        <v>9</v>
      </c>
      <c r="CR4900">
        <v>0</v>
      </c>
      <c r="CW4900">
        <v>13048232</v>
      </c>
      <c r="CY4900">
        <v>1</v>
      </c>
      <c r="CZ4900">
        <v>0</v>
      </c>
      <c r="DA4900">
        <v>1</v>
      </c>
      <c r="DB4900">
        <v>0</v>
      </c>
      <c r="DC4900">
        <v>0</v>
      </c>
      <c r="DD4900">
        <v>1</v>
      </c>
      <c r="DE4900">
        <v>0</v>
      </c>
      <c r="DF4900">
        <v>0</v>
      </c>
      <c r="DG4900">
        <v>0</v>
      </c>
      <c r="DH4900">
        <v>0</v>
      </c>
      <c r="DI4900">
        <v>0</v>
      </c>
    </row>
    <row r="4901" spans="1:113" x14ac:dyDescent="0.3">
      <c r="A4901" t="str">
        <f t="shared" si="2256"/>
        <v>05/12/2020 14:49:58.175</v>
      </c>
      <c r="C4901" t="str">
        <f t="shared" si="2251"/>
        <v>FFDFD3C0</v>
      </c>
      <c r="D4901" t="s">
        <v>126</v>
      </c>
      <c r="E4901">
        <v>7</v>
      </c>
      <c r="F4901">
        <v>1007</v>
      </c>
      <c r="G4901" t="s">
        <v>127</v>
      </c>
      <c r="J4901" t="s">
        <v>128</v>
      </c>
      <c r="K4901">
        <v>0</v>
      </c>
      <c r="L4901">
        <v>3</v>
      </c>
      <c r="M4901">
        <v>0</v>
      </c>
      <c r="N4901">
        <v>2</v>
      </c>
      <c r="O4901">
        <v>1</v>
      </c>
      <c r="P4901">
        <v>0</v>
      </c>
      <c r="Q4901">
        <v>0</v>
      </c>
      <c r="S4901" t="str">
        <f t="shared" si="2257"/>
        <v>14:50:16.023</v>
      </c>
      <c r="T4901" t="str">
        <f t="shared" si="2258"/>
        <v>14:50:15.823</v>
      </c>
      <c r="U4901" t="str">
        <f t="shared" si="2242"/>
        <v>A9808D</v>
      </c>
      <c r="V4901">
        <v>0</v>
      </c>
      <c r="W4901">
        <v>0</v>
      </c>
      <c r="X4901">
        <v>1</v>
      </c>
      <c r="Z4901">
        <v>0</v>
      </c>
      <c r="AA4901">
        <v>9</v>
      </c>
      <c r="AB4901">
        <v>3</v>
      </c>
      <c r="AC4901">
        <v>0</v>
      </c>
      <c r="AD4901">
        <v>10</v>
      </c>
      <c r="AE4901">
        <v>0</v>
      </c>
      <c r="AF4901">
        <v>3</v>
      </c>
      <c r="AG4901">
        <v>2</v>
      </c>
      <c r="AH4901">
        <v>0</v>
      </c>
      <c r="AI4901" t="s">
        <v>1093</v>
      </c>
      <c r="AJ4901">
        <v>28.237373999999999</v>
      </c>
      <c r="AK4901" t="s">
        <v>1094</v>
      </c>
      <c r="AL4901">
        <v>-82.361219000000006</v>
      </c>
      <c r="AM4901">
        <v>100</v>
      </c>
      <c r="AN4901">
        <v>2300</v>
      </c>
      <c r="AO4901" t="s">
        <v>118</v>
      </c>
      <c r="AP4901">
        <v>-102</v>
      </c>
      <c r="AQ4901">
        <v>-44</v>
      </c>
      <c r="AR4901">
        <v>704</v>
      </c>
      <c r="AZ4901">
        <v>1200</v>
      </c>
      <c r="BA4901">
        <v>1</v>
      </c>
      <c r="BB4901" t="str">
        <f t="shared" si="2252"/>
        <v xml:space="preserve">N711JA  </v>
      </c>
      <c r="BC4901">
        <v>1</v>
      </c>
      <c r="BE4901">
        <v>0</v>
      </c>
      <c r="BF4901">
        <v>0</v>
      </c>
      <c r="BG4901">
        <v>0</v>
      </c>
      <c r="BH4901">
        <v>2375</v>
      </c>
      <c r="BI4901">
        <v>1</v>
      </c>
      <c r="BJ4901">
        <v>1</v>
      </c>
      <c r="BK4901">
        <v>0</v>
      </c>
      <c r="BL4901">
        <v>0</v>
      </c>
      <c r="BO4901">
        <v>0</v>
      </c>
      <c r="BP4901">
        <v>0</v>
      </c>
      <c r="BW4901" t="str">
        <f t="shared" si="2259"/>
        <v>14:50:16.024</v>
      </c>
      <c r="CJ4901">
        <v>0</v>
      </c>
      <c r="CK4901">
        <v>2</v>
      </c>
      <c r="CL4901">
        <v>0</v>
      </c>
      <c r="CM4901">
        <v>2</v>
      </c>
      <c r="CN4901">
        <v>0</v>
      </c>
      <c r="CO4901">
        <v>6</v>
      </c>
      <c r="CP4901" t="s">
        <v>119</v>
      </c>
      <c r="CQ4901">
        <v>9</v>
      </c>
      <c r="CR4901">
        <v>0</v>
      </c>
      <c r="CW4901">
        <v>13048232</v>
      </c>
      <c r="CY4901">
        <v>1</v>
      </c>
      <c r="CZ4901">
        <v>0</v>
      </c>
      <c r="DA4901">
        <v>1</v>
      </c>
      <c r="DB4901">
        <v>0</v>
      </c>
      <c r="DC4901">
        <v>0</v>
      </c>
      <c r="DD4901">
        <v>1</v>
      </c>
      <c r="DE4901">
        <v>0</v>
      </c>
      <c r="DF4901">
        <v>0</v>
      </c>
      <c r="DG4901">
        <v>0</v>
      </c>
      <c r="DH4901">
        <v>0</v>
      </c>
      <c r="DI4901">
        <v>0</v>
      </c>
    </row>
    <row r="4902" spans="1:113" x14ac:dyDescent="0.3">
      <c r="A4902" t="str">
        <f t="shared" si="2256"/>
        <v>05/12/2020 14:49:58.175</v>
      </c>
      <c r="C4902" t="str">
        <f t="shared" si="2251"/>
        <v>FFDFD3C0</v>
      </c>
      <c r="D4902" t="s">
        <v>131</v>
      </c>
      <c r="E4902">
        <v>12</v>
      </c>
      <c r="F4902">
        <v>2012</v>
      </c>
      <c r="G4902" t="s">
        <v>137</v>
      </c>
      <c r="J4902" t="s">
        <v>133</v>
      </c>
      <c r="K4902">
        <v>0</v>
      </c>
      <c r="L4902">
        <v>3</v>
      </c>
      <c r="M4902">
        <v>0</v>
      </c>
      <c r="N4902">
        <v>2</v>
      </c>
      <c r="O4902">
        <v>1</v>
      </c>
      <c r="P4902">
        <v>0</v>
      </c>
      <c r="Q4902">
        <v>0</v>
      </c>
      <c r="S4902" t="str">
        <f t="shared" si="2257"/>
        <v>14:50:16.023</v>
      </c>
      <c r="T4902" t="str">
        <f t="shared" si="2258"/>
        <v>14:50:15.823</v>
      </c>
      <c r="U4902" t="str">
        <f t="shared" si="2242"/>
        <v>A9808D</v>
      </c>
      <c r="V4902">
        <v>0</v>
      </c>
      <c r="W4902">
        <v>0</v>
      </c>
      <c r="X4902">
        <v>1</v>
      </c>
      <c r="Z4902">
        <v>0</v>
      </c>
      <c r="AA4902">
        <v>9</v>
      </c>
      <c r="AB4902">
        <v>3</v>
      </c>
      <c r="AC4902">
        <v>0</v>
      </c>
      <c r="AD4902">
        <v>10</v>
      </c>
      <c r="AE4902">
        <v>0</v>
      </c>
      <c r="AF4902">
        <v>3</v>
      </c>
      <c r="AG4902">
        <v>2</v>
      </c>
      <c r="AH4902">
        <v>0</v>
      </c>
      <c r="AI4902" t="s">
        <v>1093</v>
      </c>
      <c r="AJ4902">
        <v>28.237373999999999</v>
      </c>
      <c r="AK4902" t="s">
        <v>1094</v>
      </c>
      <c r="AL4902">
        <v>-82.361219000000006</v>
      </c>
      <c r="AM4902">
        <v>100</v>
      </c>
      <c r="AN4902">
        <v>2300</v>
      </c>
      <c r="AO4902" t="s">
        <v>118</v>
      </c>
      <c r="AP4902">
        <v>-102</v>
      </c>
      <c r="AQ4902">
        <v>-44</v>
      </c>
      <c r="AR4902">
        <v>704</v>
      </c>
      <c r="AZ4902">
        <v>1200</v>
      </c>
      <c r="BA4902">
        <v>1</v>
      </c>
      <c r="BB4902" t="str">
        <f t="shared" si="2252"/>
        <v xml:space="preserve">N711JA  </v>
      </c>
      <c r="BC4902">
        <v>1</v>
      </c>
      <c r="BE4902">
        <v>0</v>
      </c>
      <c r="BF4902">
        <v>0</v>
      </c>
      <c r="BG4902">
        <v>0</v>
      </c>
      <c r="BH4902">
        <v>2375</v>
      </c>
      <c r="BI4902">
        <v>1</v>
      </c>
      <c r="BJ4902">
        <v>1</v>
      </c>
      <c r="BK4902">
        <v>0</v>
      </c>
      <c r="BL4902">
        <v>0</v>
      </c>
      <c r="BO4902">
        <v>0</v>
      </c>
      <c r="BP4902">
        <v>0</v>
      </c>
      <c r="BW4902" t="str">
        <f t="shared" si="2259"/>
        <v>14:50:16.024</v>
      </c>
      <c r="CJ4902">
        <v>0</v>
      </c>
      <c r="CK4902">
        <v>2</v>
      </c>
      <c r="CL4902">
        <v>0</v>
      </c>
      <c r="CM4902">
        <v>2</v>
      </c>
      <c r="CN4902">
        <v>0</v>
      </c>
      <c r="CO4902">
        <v>6</v>
      </c>
      <c r="CP4902" t="s">
        <v>119</v>
      </c>
      <c r="CQ4902">
        <v>343</v>
      </c>
      <c r="CR4902">
        <v>1</v>
      </c>
      <c r="CW4902">
        <v>11087624</v>
      </c>
      <c r="CY4902">
        <v>1</v>
      </c>
      <c r="CZ4902">
        <v>0</v>
      </c>
      <c r="DA4902">
        <v>1</v>
      </c>
      <c r="DB4902">
        <v>0</v>
      </c>
      <c r="DC4902">
        <v>0</v>
      </c>
      <c r="DD4902">
        <v>1</v>
      </c>
      <c r="DE4902">
        <v>0</v>
      </c>
      <c r="DF4902">
        <v>0</v>
      </c>
      <c r="DG4902">
        <v>0</v>
      </c>
      <c r="DH4902">
        <v>0</v>
      </c>
      <c r="DI4902">
        <v>0</v>
      </c>
    </row>
    <row r="4903" spans="1:113" x14ac:dyDescent="0.3">
      <c r="A4903" t="str">
        <f t="shared" si="2256"/>
        <v>05/12/2020 14:49:58.175</v>
      </c>
      <c r="C4903" t="str">
        <f t="shared" si="2251"/>
        <v>FFDFD3C0</v>
      </c>
      <c r="D4903" t="s">
        <v>131</v>
      </c>
      <c r="E4903">
        <v>18</v>
      </c>
      <c r="F4903">
        <v>2018</v>
      </c>
      <c r="G4903" t="s">
        <v>161</v>
      </c>
      <c r="J4903" t="s">
        <v>133</v>
      </c>
      <c r="K4903">
        <v>0</v>
      </c>
      <c r="L4903">
        <v>3</v>
      </c>
      <c r="M4903">
        <v>0</v>
      </c>
      <c r="N4903">
        <v>2</v>
      </c>
      <c r="O4903">
        <v>1</v>
      </c>
      <c r="P4903">
        <v>0</v>
      </c>
      <c r="Q4903">
        <v>0</v>
      </c>
      <c r="S4903" t="str">
        <f t="shared" si="2257"/>
        <v>14:50:16.023</v>
      </c>
      <c r="T4903" t="str">
        <f t="shared" si="2258"/>
        <v>14:50:15.823</v>
      </c>
      <c r="U4903" t="str">
        <f t="shared" si="2242"/>
        <v>A9808D</v>
      </c>
      <c r="V4903">
        <v>0</v>
      </c>
      <c r="W4903">
        <v>0</v>
      </c>
      <c r="X4903">
        <v>1</v>
      </c>
      <c r="Z4903">
        <v>0</v>
      </c>
      <c r="AA4903">
        <v>9</v>
      </c>
      <c r="AB4903">
        <v>3</v>
      </c>
      <c r="AC4903">
        <v>0</v>
      </c>
      <c r="AD4903">
        <v>10</v>
      </c>
      <c r="AE4903">
        <v>0</v>
      </c>
      <c r="AF4903">
        <v>3</v>
      </c>
      <c r="AG4903">
        <v>2</v>
      </c>
      <c r="AH4903">
        <v>0</v>
      </c>
      <c r="AI4903" t="s">
        <v>1093</v>
      </c>
      <c r="AJ4903">
        <v>28.237373999999999</v>
      </c>
      <c r="AK4903" t="s">
        <v>1094</v>
      </c>
      <c r="AL4903">
        <v>-82.361219000000006</v>
      </c>
      <c r="AM4903">
        <v>100</v>
      </c>
      <c r="AN4903">
        <v>2300</v>
      </c>
      <c r="AO4903" t="s">
        <v>118</v>
      </c>
      <c r="AP4903">
        <v>-102</v>
      </c>
      <c r="AQ4903">
        <v>-44</v>
      </c>
      <c r="AR4903">
        <v>704</v>
      </c>
      <c r="AZ4903">
        <v>1200</v>
      </c>
      <c r="BA4903">
        <v>1</v>
      </c>
      <c r="BB4903" t="str">
        <f t="shared" si="2252"/>
        <v xml:space="preserve">N711JA  </v>
      </c>
      <c r="BC4903">
        <v>1</v>
      </c>
      <c r="BE4903">
        <v>0</v>
      </c>
      <c r="BF4903">
        <v>0</v>
      </c>
      <c r="BG4903">
        <v>0</v>
      </c>
      <c r="BH4903">
        <v>2375</v>
      </c>
      <c r="BI4903">
        <v>1</v>
      </c>
      <c r="BJ4903">
        <v>1</v>
      </c>
      <c r="BK4903">
        <v>0</v>
      </c>
      <c r="BL4903">
        <v>0</v>
      </c>
      <c r="BO4903">
        <v>0</v>
      </c>
      <c r="BP4903">
        <v>0</v>
      </c>
      <c r="BW4903" t="str">
        <f t="shared" si="2259"/>
        <v>14:50:16.024</v>
      </c>
      <c r="CJ4903">
        <v>0</v>
      </c>
      <c r="CK4903">
        <v>2</v>
      </c>
      <c r="CL4903">
        <v>0</v>
      </c>
      <c r="CM4903">
        <v>2</v>
      </c>
      <c r="CN4903">
        <v>0</v>
      </c>
      <c r="CO4903">
        <v>6</v>
      </c>
      <c r="CP4903" t="s">
        <v>119</v>
      </c>
      <c r="CQ4903">
        <v>343</v>
      </c>
      <c r="CR4903">
        <v>1</v>
      </c>
      <c r="CW4903">
        <v>11087624</v>
      </c>
      <c r="CY4903">
        <v>1</v>
      </c>
      <c r="CZ4903">
        <v>0</v>
      </c>
      <c r="DA4903">
        <v>1</v>
      </c>
      <c r="DB4903">
        <v>0</v>
      </c>
      <c r="DC4903">
        <v>0</v>
      </c>
      <c r="DD4903">
        <v>1</v>
      </c>
      <c r="DE4903">
        <v>0</v>
      </c>
      <c r="DF4903">
        <v>0</v>
      </c>
      <c r="DG4903">
        <v>0</v>
      </c>
      <c r="DH4903">
        <v>0</v>
      </c>
      <c r="DI4903">
        <v>0</v>
      </c>
    </row>
    <row r="4904" spans="1:113" x14ac:dyDescent="0.3">
      <c r="A4904" t="str">
        <f t="shared" si="2256"/>
        <v>05/12/2020 14:49:58.175</v>
      </c>
      <c r="C4904" t="str">
        <f t="shared" si="2251"/>
        <v>FFDFD3C0</v>
      </c>
      <c r="D4904" t="s">
        <v>126</v>
      </c>
      <c r="E4904">
        <v>6</v>
      </c>
      <c r="F4904">
        <v>1006</v>
      </c>
      <c r="G4904" t="s">
        <v>114</v>
      </c>
      <c r="J4904" t="s">
        <v>128</v>
      </c>
      <c r="K4904">
        <v>0</v>
      </c>
      <c r="L4904">
        <v>3</v>
      </c>
      <c r="M4904">
        <v>0</v>
      </c>
      <c r="N4904">
        <v>2</v>
      </c>
      <c r="O4904">
        <v>1</v>
      </c>
      <c r="P4904">
        <v>0</v>
      </c>
      <c r="Q4904">
        <v>0</v>
      </c>
      <c r="S4904" t="str">
        <f t="shared" si="2257"/>
        <v>14:50:16.023</v>
      </c>
      <c r="T4904" t="str">
        <f t="shared" si="2258"/>
        <v>14:50:15.823</v>
      </c>
      <c r="U4904" t="str">
        <f t="shared" si="2242"/>
        <v>A9808D</v>
      </c>
      <c r="V4904">
        <v>0</v>
      </c>
      <c r="W4904">
        <v>0</v>
      </c>
      <c r="X4904">
        <v>1</v>
      </c>
      <c r="Z4904">
        <v>0</v>
      </c>
      <c r="AA4904">
        <v>9</v>
      </c>
      <c r="AB4904">
        <v>3</v>
      </c>
      <c r="AC4904">
        <v>0</v>
      </c>
      <c r="AD4904">
        <v>10</v>
      </c>
      <c r="AE4904">
        <v>0</v>
      </c>
      <c r="AF4904">
        <v>3</v>
      </c>
      <c r="AG4904">
        <v>2</v>
      </c>
      <c r="AH4904">
        <v>0</v>
      </c>
      <c r="AI4904" t="s">
        <v>1093</v>
      </c>
      <c r="AJ4904">
        <v>28.237373999999999</v>
      </c>
      <c r="AK4904" t="s">
        <v>1094</v>
      </c>
      <c r="AL4904">
        <v>-82.361219000000006</v>
      </c>
      <c r="AM4904">
        <v>100</v>
      </c>
      <c r="AN4904">
        <v>2300</v>
      </c>
      <c r="AO4904" t="s">
        <v>118</v>
      </c>
      <c r="AP4904">
        <v>-102</v>
      </c>
      <c r="AQ4904">
        <v>-44</v>
      </c>
      <c r="AR4904">
        <v>704</v>
      </c>
      <c r="AZ4904">
        <v>1200</v>
      </c>
      <c r="BA4904">
        <v>1</v>
      </c>
      <c r="BB4904" t="str">
        <f t="shared" si="2252"/>
        <v xml:space="preserve">N711JA  </v>
      </c>
      <c r="BC4904">
        <v>1</v>
      </c>
      <c r="BE4904">
        <v>0</v>
      </c>
      <c r="BF4904">
        <v>0</v>
      </c>
      <c r="BG4904">
        <v>0</v>
      </c>
      <c r="BH4904">
        <v>2375</v>
      </c>
      <c r="BI4904">
        <v>1</v>
      </c>
      <c r="BJ4904">
        <v>1</v>
      </c>
      <c r="BK4904">
        <v>0</v>
      </c>
      <c r="BL4904">
        <v>0</v>
      </c>
      <c r="BO4904">
        <v>0</v>
      </c>
      <c r="BP4904">
        <v>0</v>
      </c>
      <c r="BW4904" t="str">
        <f t="shared" si="2259"/>
        <v>14:50:16.024</v>
      </c>
      <c r="CJ4904">
        <v>0</v>
      </c>
      <c r="CK4904">
        <v>2</v>
      </c>
      <c r="CL4904">
        <v>0</v>
      </c>
      <c r="CM4904">
        <v>2</v>
      </c>
      <c r="CN4904">
        <v>0</v>
      </c>
      <c r="CO4904">
        <v>6</v>
      </c>
      <c r="CP4904" t="s">
        <v>119</v>
      </c>
      <c r="CQ4904">
        <v>9</v>
      </c>
      <c r="CR4904">
        <v>0</v>
      </c>
      <c r="CW4904">
        <v>13048232</v>
      </c>
      <c r="CY4904">
        <v>1</v>
      </c>
      <c r="CZ4904">
        <v>0</v>
      </c>
      <c r="DA4904">
        <v>1</v>
      </c>
      <c r="DB4904">
        <v>0</v>
      </c>
      <c r="DC4904">
        <v>0</v>
      </c>
      <c r="DD4904">
        <v>1</v>
      </c>
      <c r="DE4904">
        <v>0</v>
      </c>
      <c r="DF4904">
        <v>0</v>
      </c>
      <c r="DG4904">
        <v>0</v>
      </c>
      <c r="DH4904">
        <v>0</v>
      </c>
      <c r="DI4904">
        <v>0</v>
      </c>
    </row>
    <row r="4905" spans="1:113" x14ac:dyDescent="0.3">
      <c r="A4905" t="str">
        <f t="shared" si="2256"/>
        <v>05/12/2020 14:49:58.175</v>
      </c>
      <c r="C4905" t="str">
        <f t="shared" si="2251"/>
        <v>FFDFD3C0</v>
      </c>
      <c r="D4905" t="s">
        <v>113</v>
      </c>
      <c r="E4905">
        <v>3</v>
      </c>
      <c r="H4905">
        <v>164</v>
      </c>
      <c r="I4905" t="s">
        <v>114</v>
      </c>
      <c r="J4905" t="s">
        <v>115</v>
      </c>
      <c r="K4905">
        <v>0</v>
      </c>
      <c r="L4905">
        <v>3</v>
      </c>
      <c r="M4905">
        <v>0</v>
      </c>
      <c r="N4905">
        <v>2</v>
      </c>
      <c r="O4905">
        <v>1</v>
      </c>
      <c r="P4905">
        <v>0</v>
      </c>
      <c r="Q4905">
        <v>0</v>
      </c>
      <c r="S4905" t="str">
        <f t="shared" si="2257"/>
        <v>14:50:16.023</v>
      </c>
      <c r="T4905" t="str">
        <f t="shared" si="2258"/>
        <v>14:50:15.823</v>
      </c>
      <c r="U4905" t="str">
        <f t="shared" si="2242"/>
        <v>A9808D</v>
      </c>
      <c r="V4905">
        <v>0</v>
      </c>
      <c r="W4905">
        <v>0</v>
      </c>
      <c r="X4905">
        <v>1</v>
      </c>
      <c r="Z4905">
        <v>0</v>
      </c>
      <c r="AA4905">
        <v>9</v>
      </c>
      <c r="AB4905">
        <v>3</v>
      </c>
      <c r="AC4905">
        <v>0</v>
      </c>
      <c r="AD4905">
        <v>10</v>
      </c>
      <c r="AE4905">
        <v>0</v>
      </c>
      <c r="AF4905">
        <v>3</v>
      </c>
      <c r="AG4905">
        <v>2</v>
      </c>
      <c r="AH4905">
        <v>0</v>
      </c>
      <c r="AI4905" t="s">
        <v>1093</v>
      </c>
      <c r="AJ4905">
        <v>28.237373999999999</v>
      </c>
      <c r="AK4905" t="s">
        <v>1094</v>
      </c>
      <c r="AL4905">
        <v>-82.361219000000006</v>
      </c>
      <c r="AM4905">
        <v>100</v>
      </c>
      <c r="AN4905">
        <v>2300</v>
      </c>
      <c r="AO4905" t="s">
        <v>118</v>
      </c>
      <c r="AP4905">
        <v>-102</v>
      </c>
      <c r="AQ4905">
        <v>-44</v>
      </c>
      <c r="AR4905">
        <v>704</v>
      </c>
      <c r="AZ4905">
        <v>1200</v>
      </c>
      <c r="BA4905">
        <v>1</v>
      </c>
      <c r="BB4905" t="str">
        <f t="shared" si="2252"/>
        <v xml:space="preserve">N711JA  </v>
      </c>
      <c r="BC4905">
        <v>1</v>
      </c>
      <c r="BE4905">
        <v>0</v>
      </c>
      <c r="BF4905">
        <v>0</v>
      </c>
      <c r="BG4905">
        <v>0</v>
      </c>
      <c r="BH4905">
        <v>2375</v>
      </c>
      <c r="BI4905">
        <v>1</v>
      </c>
      <c r="BJ4905">
        <v>1</v>
      </c>
      <c r="BK4905">
        <v>0</v>
      </c>
      <c r="BL4905">
        <v>0</v>
      </c>
      <c r="BO4905">
        <v>0</v>
      </c>
      <c r="BP4905">
        <v>0</v>
      </c>
      <c r="BW4905" t="str">
        <f t="shared" si="2259"/>
        <v>14:50:16.024</v>
      </c>
      <c r="CJ4905">
        <v>0</v>
      </c>
      <c r="CK4905">
        <v>2</v>
      </c>
      <c r="CL4905">
        <v>0</v>
      </c>
      <c r="CM4905">
        <v>2</v>
      </c>
      <c r="CN4905">
        <v>0</v>
      </c>
      <c r="CO4905">
        <v>6</v>
      </c>
      <c r="CP4905" t="s">
        <v>119</v>
      </c>
      <c r="CQ4905">
        <v>9</v>
      </c>
      <c r="CR4905">
        <v>0</v>
      </c>
      <c r="CW4905">
        <v>13048232</v>
      </c>
      <c r="CY4905">
        <v>1</v>
      </c>
      <c r="CZ4905">
        <v>0</v>
      </c>
      <c r="DA4905">
        <v>1</v>
      </c>
      <c r="DB4905">
        <v>0</v>
      </c>
      <c r="DC4905">
        <v>0</v>
      </c>
      <c r="DD4905">
        <v>1</v>
      </c>
      <c r="DE4905">
        <v>0</v>
      </c>
      <c r="DF4905">
        <v>0</v>
      </c>
      <c r="DG4905">
        <v>0</v>
      </c>
      <c r="DH4905">
        <v>0</v>
      </c>
      <c r="DI4905">
        <v>0</v>
      </c>
    </row>
    <row r="4906" spans="1:113" x14ac:dyDescent="0.3">
      <c r="A4906" t="str">
        <f t="shared" si="2256"/>
        <v>05/12/2020 14:49:58.175</v>
      </c>
      <c r="C4906" t="str">
        <f t="shared" si="2251"/>
        <v>FFDFD3C0</v>
      </c>
      <c r="D4906" t="s">
        <v>138</v>
      </c>
      <c r="E4906">
        <v>2</v>
      </c>
      <c r="H4906">
        <v>8</v>
      </c>
      <c r="I4906" t="s">
        <v>139</v>
      </c>
      <c r="J4906" t="s">
        <v>136</v>
      </c>
      <c r="K4906">
        <v>0</v>
      </c>
      <c r="L4906">
        <v>3</v>
      </c>
      <c r="M4906">
        <v>0</v>
      </c>
      <c r="N4906">
        <v>2</v>
      </c>
      <c r="O4906">
        <v>1</v>
      </c>
      <c r="P4906">
        <v>0</v>
      </c>
      <c r="Q4906">
        <v>0</v>
      </c>
      <c r="S4906" t="str">
        <f t="shared" si="2257"/>
        <v>14:50:16.023</v>
      </c>
      <c r="T4906" t="str">
        <f t="shared" si="2258"/>
        <v>14:50:15.823</v>
      </c>
      <c r="U4906" t="str">
        <f t="shared" si="2242"/>
        <v>A9808D</v>
      </c>
      <c r="V4906">
        <v>0</v>
      </c>
      <c r="W4906">
        <v>0</v>
      </c>
      <c r="X4906">
        <v>1</v>
      </c>
      <c r="Z4906">
        <v>0</v>
      </c>
      <c r="AA4906">
        <v>9</v>
      </c>
      <c r="AB4906">
        <v>3</v>
      </c>
      <c r="AC4906">
        <v>0</v>
      </c>
      <c r="AD4906">
        <v>10</v>
      </c>
      <c r="AE4906">
        <v>0</v>
      </c>
      <c r="AF4906">
        <v>3</v>
      </c>
      <c r="AG4906">
        <v>2</v>
      </c>
      <c r="AH4906">
        <v>0</v>
      </c>
      <c r="AI4906" t="s">
        <v>1093</v>
      </c>
      <c r="AJ4906">
        <v>28.237373999999999</v>
      </c>
      <c r="AK4906" t="s">
        <v>1094</v>
      </c>
      <c r="AL4906">
        <v>-82.361219000000006</v>
      </c>
      <c r="AM4906">
        <v>100</v>
      </c>
      <c r="AN4906">
        <v>2300</v>
      </c>
      <c r="AO4906" t="s">
        <v>118</v>
      </c>
      <c r="AP4906">
        <v>-102</v>
      </c>
      <c r="AQ4906">
        <v>-44</v>
      </c>
      <c r="AR4906">
        <v>704</v>
      </c>
      <c r="AZ4906">
        <v>1200</v>
      </c>
      <c r="BA4906">
        <v>1</v>
      </c>
      <c r="BB4906" t="str">
        <f t="shared" si="2252"/>
        <v xml:space="preserve">N711JA  </v>
      </c>
      <c r="BC4906">
        <v>1</v>
      </c>
      <c r="BE4906">
        <v>0</v>
      </c>
      <c r="BF4906">
        <v>0</v>
      </c>
      <c r="BG4906">
        <v>0</v>
      </c>
      <c r="BH4906">
        <v>2375</v>
      </c>
      <c r="BI4906">
        <v>1</v>
      </c>
      <c r="BJ4906">
        <v>1</v>
      </c>
      <c r="BK4906">
        <v>0</v>
      </c>
      <c r="BL4906">
        <v>0</v>
      </c>
      <c r="BO4906">
        <v>0</v>
      </c>
      <c r="BP4906">
        <v>0</v>
      </c>
      <c r="BW4906" t="str">
        <f t="shared" si="2259"/>
        <v>14:50:16.024</v>
      </c>
      <c r="CJ4906">
        <v>0</v>
      </c>
      <c r="CK4906">
        <v>2</v>
      </c>
      <c r="CL4906">
        <v>0</v>
      </c>
      <c r="CM4906">
        <v>2</v>
      </c>
      <c r="CN4906">
        <v>0</v>
      </c>
      <c r="CO4906">
        <v>6</v>
      </c>
      <c r="CP4906" t="s">
        <v>119</v>
      </c>
      <c r="CQ4906">
        <v>343</v>
      </c>
      <c r="CR4906">
        <v>1</v>
      </c>
      <c r="CW4906">
        <v>11087624</v>
      </c>
      <c r="CY4906">
        <v>1</v>
      </c>
      <c r="CZ4906">
        <v>0</v>
      </c>
      <c r="DA4906">
        <v>1</v>
      </c>
      <c r="DB4906">
        <v>0</v>
      </c>
      <c r="DC4906">
        <v>0</v>
      </c>
      <c r="DD4906">
        <v>1</v>
      </c>
      <c r="DE4906">
        <v>0</v>
      </c>
      <c r="DF4906">
        <v>0</v>
      </c>
      <c r="DG4906">
        <v>0</v>
      </c>
      <c r="DH4906">
        <v>0</v>
      </c>
      <c r="DI4906">
        <v>0</v>
      </c>
    </row>
    <row r="4907" spans="1:113" x14ac:dyDescent="0.3">
      <c r="A4907" t="str">
        <f t="shared" si="2256"/>
        <v>05/12/2020 14:49:58.175</v>
      </c>
      <c r="C4907" t="str">
        <f t="shared" si="2251"/>
        <v>FFDFD3C0</v>
      </c>
      <c r="D4907" t="s">
        <v>138</v>
      </c>
      <c r="E4907">
        <v>3</v>
      </c>
      <c r="H4907">
        <v>9</v>
      </c>
      <c r="I4907" t="s">
        <v>140</v>
      </c>
      <c r="J4907" t="s">
        <v>136</v>
      </c>
      <c r="K4907">
        <v>0</v>
      </c>
      <c r="L4907">
        <v>3</v>
      </c>
      <c r="M4907">
        <v>0</v>
      </c>
      <c r="N4907">
        <v>2</v>
      </c>
      <c r="O4907">
        <v>1</v>
      </c>
      <c r="P4907">
        <v>0</v>
      </c>
      <c r="Q4907">
        <v>0</v>
      </c>
      <c r="S4907" t="str">
        <f t="shared" si="2257"/>
        <v>14:50:16.023</v>
      </c>
      <c r="T4907" t="str">
        <f t="shared" si="2258"/>
        <v>14:50:15.823</v>
      </c>
      <c r="U4907" t="str">
        <f t="shared" si="2242"/>
        <v>A9808D</v>
      </c>
      <c r="V4907">
        <v>0</v>
      </c>
      <c r="W4907">
        <v>0</v>
      </c>
      <c r="X4907">
        <v>1</v>
      </c>
      <c r="Z4907">
        <v>0</v>
      </c>
      <c r="AA4907">
        <v>9</v>
      </c>
      <c r="AB4907">
        <v>3</v>
      </c>
      <c r="AC4907">
        <v>0</v>
      </c>
      <c r="AD4907">
        <v>10</v>
      </c>
      <c r="AE4907">
        <v>0</v>
      </c>
      <c r="AF4907">
        <v>3</v>
      </c>
      <c r="AG4907">
        <v>2</v>
      </c>
      <c r="AH4907">
        <v>0</v>
      </c>
      <c r="AI4907" t="s">
        <v>1093</v>
      </c>
      <c r="AJ4907">
        <v>28.237373999999999</v>
      </c>
      <c r="AK4907" t="s">
        <v>1094</v>
      </c>
      <c r="AL4907">
        <v>-82.361219000000006</v>
      </c>
      <c r="AM4907">
        <v>100</v>
      </c>
      <c r="AN4907">
        <v>2300</v>
      </c>
      <c r="AO4907" t="s">
        <v>118</v>
      </c>
      <c r="AP4907">
        <v>-102</v>
      </c>
      <c r="AQ4907">
        <v>-44</v>
      </c>
      <c r="AR4907">
        <v>704</v>
      </c>
      <c r="AZ4907">
        <v>1200</v>
      </c>
      <c r="BA4907">
        <v>1</v>
      </c>
      <c r="BB4907" t="str">
        <f t="shared" si="2252"/>
        <v xml:space="preserve">N711JA  </v>
      </c>
      <c r="BC4907">
        <v>1</v>
      </c>
      <c r="BE4907">
        <v>0</v>
      </c>
      <c r="BF4907">
        <v>0</v>
      </c>
      <c r="BG4907">
        <v>0</v>
      </c>
      <c r="BH4907">
        <v>2375</v>
      </c>
      <c r="BI4907">
        <v>1</v>
      </c>
      <c r="BJ4907">
        <v>1</v>
      </c>
      <c r="BK4907">
        <v>0</v>
      </c>
      <c r="BL4907">
        <v>0</v>
      </c>
      <c r="BO4907">
        <v>0</v>
      </c>
      <c r="BP4907">
        <v>0</v>
      </c>
      <c r="BW4907" t="str">
        <f t="shared" si="2259"/>
        <v>14:50:16.024</v>
      </c>
      <c r="CJ4907">
        <v>0</v>
      </c>
      <c r="CK4907">
        <v>2</v>
      </c>
      <c r="CL4907">
        <v>0</v>
      </c>
      <c r="CM4907">
        <v>2</v>
      </c>
      <c r="CN4907">
        <v>0</v>
      </c>
      <c r="CO4907">
        <v>6</v>
      </c>
      <c r="CP4907" t="s">
        <v>119</v>
      </c>
      <c r="CQ4907">
        <v>9</v>
      </c>
      <c r="CR4907">
        <v>0</v>
      </c>
      <c r="CW4907">
        <v>13048232</v>
      </c>
      <c r="CY4907">
        <v>1</v>
      </c>
      <c r="CZ4907">
        <v>0</v>
      </c>
      <c r="DA4907">
        <v>1</v>
      </c>
      <c r="DB4907">
        <v>0</v>
      </c>
      <c r="DC4907">
        <v>0</v>
      </c>
      <c r="DD4907">
        <v>1</v>
      </c>
      <c r="DE4907">
        <v>0</v>
      </c>
      <c r="DF4907">
        <v>0</v>
      </c>
      <c r="DG4907">
        <v>0</v>
      </c>
      <c r="DH4907">
        <v>0</v>
      </c>
      <c r="DI4907">
        <v>0</v>
      </c>
    </row>
    <row r="4908" spans="1:113" x14ac:dyDescent="0.3">
      <c r="A4908" t="str">
        <f t="shared" ref="A4908:A4916" si="2260">"05/12/2020 14:49:59.290"</f>
        <v>05/12/2020 14:49:59.290</v>
      </c>
      <c r="C4908" t="str">
        <f t="shared" si="2251"/>
        <v>FFDFD3C0</v>
      </c>
      <c r="D4908" t="s">
        <v>134</v>
      </c>
      <c r="E4908">
        <v>12</v>
      </c>
      <c r="H4908">
        <v>64</v>
      </c>
      <c r="I4908" t="s">
        <v>135</v>
      </c>
      <c r="J4908" t="s">
        <v>136</v>
      </c>
      <c r="K4908">
        <v>0</v>
      </c>
      <c r="L4908">
        <v>3</v>
      </c>
      <c r="M4908">
        <v>0</v>
      </c>
      <c r="N4908">
        <v>2</v>
      </c>
      <c r="O4908">
        <v>1</v>
      </c>
      <c r="P4908">
        <v>0</v>
      </c>
      <c r="Q4908">
        <v>0</v>
      </c>
      <c r="S4908" t="str">
        <f t="shared" ref="S4908:S4916" si="2261">"14:50:17.133"</f>
        <v>14:50:17.133</v>
      </c>
      <c r="T4908" t="str">
        <f t="shared" ref="T4908:T4916" si="2262">"14:50:16.833"</f>
        <v>14:50:16.833</v>
      </c>
      <c r="U4908" t="str">
        <f t="shared" si="2242"/>
        <v>A9808D</v>
      </c>
      <c r="V4908">
        <v>0</v>
      </c>
      <c r="W4908">
        <v>0</v>
      </c>
      <c r="X4908">
        <v>1</v>
      </c>
      <c r="Z4908">
        <v>0</v>
      </c>
      <c r="AA4908">
        <v>9</v>
      </c>
      <c r="AB4908">
        <v>3</v>
      </c>
      <c r="AC4908">
        <v>0</v>
      </c>
      <c r="AD4908">
        <v>10</v>
      </c>
      <c r="AE4908">
        <v>0</v>
      </c>
      <c r="AF4908">
        <v>3</v>
      </c>
      <c r="AG4908">
        <v>2</v>
      </c>
      <c r="AH4908">
        <v>0</v>
      </c>
      <c r="AI4908" t="s">
        <v>1095</v>
      </c>
      <c r="AJ4908">
        <v>28.237138000000002</v>
      </c>
      <c r="AK4908" t="s">
        <v>466</v>
      </c>
      <c r="AL4908">
        <v>-82.361819999999994</v>
      </c>
      <c r="AM4908">
        <v>100</v>
      </c>
      <c r="AN4908">
        <v>2300</v>
      </c>
      <c r="AO4908" t="s">
        <v>118</v>
      </c>
      <c r="AP4908">
        <v>-101</v>
      </c>
      <c r="AQ4908">
        <v>-44</v>
      </c>
      <c r="AR4908">
        <v>256</v>
      </c>
      <c r="AZ4908">
        <v>1200</v>
      </c>
      <c r="BA4908">
        <v>1</v>
      </c>
      <c r="BB4908" t="str">
        <f t="shared" si="2252"/>
        <v xml:space="preserve">N711JA  </v>
      </c>
      <c r="BC4908">
        <v>1</v>
      </c>
      <c r="BE4908">
        <v>0</v>
      </c>
      <c r="BF4908">
        <v>0</v>
      </c>
      <c r="BG4908">
        <v>0</v>
      </c>
      <c r="BH4908">
        <v>2375</v>
      </c>
      <c r="BI4908">
        <v>1</v>
      </c>
      <c r="BJ4908">
        <v>1</v>
      </c>
      <c r="BK4908">
        <v>0</v>
      </c>
      <c r="BL4908">
        <v>0</v>
      </c>
      <c r="BO4908">
        <v>0</v>
      </c>
      <c r="BP4908">
        <v>0</v>
      </c>
      <c r="BW4908" t="str">
        <f t="shared" ref="BW4908:BW4916" si="2263">"14:50:17.134"</f>
        <v>14:50:17.134</v>
      </c>
      <c r="CJ4908">
        <v>0</v>
      </c>
      <c r="CK4908">
        <v>2</v>
      </c>
      <c r="CL4908">
        <v>0</v>
      </c>
      <c r="CM4908">
        <v>2</v>
      </c>
      <c r="CN4908">
        <v>0</v>
      </c>
      <c r="CO4908">
        <v>6</v>
      </c>
      <c r="CP4908" t="s">
        <v>119</v>
      </c>
      <c r="CQ4908">
        <v>8</v>
      </c>
      <c r="CR4908">
        <v>1</v>
      </c>
      <c r="CW4908">
        <v>10466670</v>
      </c>
      <c r="CY4908">
        <v>1</v>
      </c>
      <c r="CZ4908">
        <v>0</v>
      </c>
      <c r="DA4908">
        <v>0</v>
      </c>
      <c r="DB4908">
        <v>0</v>
      </c>
      <c r="DC4908">
        <v>0</v>
      </c>
      <c r="DD4908">
        <v>1</v>
      </c>
      <c r="DE4908">
        <v>0</v>
      </c>
      <c r="DF4908">
        <v>0</v>
      </c>
      <c r="DG4908">
        <v>0</v>
      </c>
      <c r="DH4908">
        <v>0</v>
      </c>
      <c r="DI4908">
        <v>0</v>
      </c>
    </row>
    <row r="4909" spans="1:113" x14ac:dyDescent="0.3">
      <c r="A4909" t="str">
        <f t="shared" si="2260"/>
        <v>05/12/2020 14:49:59.290</v>
      </c>
      <c r="C4909" t="str">
        <f t="shared" si="2251"/>
        <v>FFDFD3C0</v>
      </c>
      <c r="D4909" t="s">
        <v>126</v>
      </c>
      <c r="E4909">
        <v>7</v>
      </c>
      <c r="F4909">
        <v>1007</v>
      </c>
      <c r="G4909" t="s">
        <v>127</v>
      </c>
      <c r="J4909" t="s">
        <v>128</v>
      </c>
      <c r="K4909">
        <v>0</v>
      </c>
      <c r="L4909">
        <v>3</v>
      </c>
      <c r="M4909">
        <v>0</v>
      </c>
      <c r="N4909">
        <v>2</v>
      </c>
      <c r="O4909">
        <v>1</v>
      </c>
      <c r="P4909">
        <v>0</v>
      </c>
      <c r="Q4909">
        <v>0</v>
      </c>
      <c r="S4909" t="str">
        <f t="shared" si="2261"/>
        <v>14:50:17.133</v>
      </c>
      <c r="T4909" t="str">
        <f t="shared" si="2262"/>
        <v>14:50:16.833</v>
      </c>
      <c r="U4909" t="str">
        <f t="shared" si="2242"/>
        <v>A9808D</v>
      </c>
      <c r="V4909">
        <v>0</v>
      </c>
      <c r="W4909">
        <v>0</v>
      </c>
      <c r="X4909">
        <v>1</v>
      </c>
      <c r="Z4909">
        <v>0</v>
      </c>
      <c r="AA4909">
        <v>9</v>
      </c>
      <c r="AB4909">
        <v>3</v>
      </c>
      <c r="AC4909">
        <v>0</v>
      </c>
      <c r="AD4909">
        <v>10</v>
      </c>
      <c r="AE4909">
        <v>0</v>
      </c>
      <c r="AF4909">
        <v>3</v>
      </c>
      <c r="AG4909">
        <v>2</v>
      </c>
      <c r="AH4909">
        <v>0</v>
      </c>
      <c r="AI4909" t="s">
        <v>1095</v>
      </c>
      <c r="AJ4909">
        <v>28.237138000000002</v>
      </c>
      <c r="AK4909" t="s">
        <v>466</v>
      </c>
      <c r="AL4909">
        <v>-82.361819999999994</v>
      </c>
      <c r="AM4909">
        <v>100</v>
      </c>
      <c r="AN4909">
        <v>2300</v>
      </c>
      <c r="AO4909" t="s">
        <v>118</v>
      </c>
      <c r="AP4909">
        <v>-101</v>
      </c>
      <c r="AQ4909">
        <v>-44</v>
      </c>
      <c r="AR4909">
        <v>256</v>
      </c>
      <c r="AZ4909">
        <v>1200</v>
      </c>
      <c r="BA4909">
        <v>1</v>
      </c>
      <c r="BB4909" t="str">
        <f t="shared" si="2252"/>
        <v xml:space="preserve">N711JA  </v>
      </c>
      <c r="BC4909">
        <v>1</v>
      </c>
      <c r="BE4909">
        <v>0</v>
      </c>
      <c r="BF4909">
        <v>0</v>
      </c>
      <c r="BG4909">
        <v>0</v>
      </c>
      <c r="BH4909">
        <v>2375</v>
      </c>
      <c r="BI4909">
        <v>1</v>
      </c>
      <c r="BJ4909">
        <v>1</v>
      </c>
      <c r="BK4909">
        <v>0</v>
      </c>
      <c r="BL4909">
        <v>0</v>
      </c>
      <c r="BO4909">
        <v>0</v>
      </c>
      <c r="BP4909">
        <v>0</v>
      </c>
      <c r="BW4909" t="str">
        <f t="shared" si="2263"/>
        <v>14:50:17.134</v>
      </c>
      <c r="CJ4909">
        <v>0</v>
      </c>
      <c r="CK4909">
        <v>2</v>
      </c>
      <c r="CL4909">
        <v>0</v>
      </c>
      <c r="CM4909">
        <v>2</v>
      </c>
      <c r="CN4909">
        <v>0</v>
      </c>
      <c r="CO4909">
        <v>6</v>
      </c>
      <c r="CP4909" t="s">
        <v>119</v>
      </c>
      <c r="CQ4909">
        <v>8</v>
      </c>
      <c r="CR4909">
        <v>1</v>
      </c>
      <c r="CW4909">
        <v>10466670</v>
      </c>
      <c r="CY4909">
        <v>1</v>
      </c>
      <c r="CZ4909">
        <v>0</v>
      </c>
      <c r="DA4909">
        <v>1</v>
      </c>
      <c r="DB4909">
        <v>0</v>
      </c>
      <c r="DC4909">
        <v>0</v>
      </c>
      <c r="DD4909">
        <v>1</v>
      </c>
      <c r="DE4909">
        <v>0</v>
      </c>
      <c r="DF4909">
        <v>0</v>
      </c>
      <c r="DG4909">
        <v>0</v>
      </c>
      <c r="DH4909">
        <v>0</v>
      </c>
      <c r="DI4909">
        <v>0</v>
      </c>
    </row>
    <row r="4910" spans="1:113" x14ac:dyDescent="0.3">
      <c r="A4910" t="str">
        <f t="shared" si="2260"/>
        <v>05/12/2020 14:49:59.290</v>
      </c>
      <c r="C4910" t="str">
        <f t="shared" si="2251"/>
        <v>FFDFD3C0</v>
      </c>
      <c r="D4910" t="s">
        <v>131</v>
      </c>
      <c r="E4910">
        <v>10</v>
      </c>
      <c r="F4910">
        <v>2010</v>
      </c>
      <c r="G4910" t="s">
        <v>132</v>
      </c>
      <c r="J4910" t="s">
        <v>133</v>
      </c>
      <c r="K4910">
        <v>0</v>
      </c>
      <c r="L4910">
        <v>3</v>
      </c>
      <c r="M4910">
        <v>0</v>
      </c>
      <c r="N4910">
        <v>2</v>
      </c>
      <c r="O4910">
        <v>1</v>
      </c>
      <c r="P4910">
        <v>0</v>
      </c>
      <c r="Q4910">
        <v>0</v>
      </c>
      <c r="S4910" t="str">
        <f t="shared" si="2261"/>
        <v>14:50:17.133</v>
      </c>
      <c r="T4910" t="str">
        <f t="shared" si="2262"/>
        <v>14:50:16.833</v>
      </c>
      <c r="U4910" t="str">
        <f t="shared" si="2242"/>
        <v>A9808D</v>
      </c>
      <c r="V4910">
        <v>0</v>
      </c>
      <c r="W4910">
        <v>0</v>
      </c>
      <c r="X4910">
        <v>1</v>
      </c>
      <c r="Z4910">
        <v>0</v>
      </c>
      <c r="AA4910">
        <v>9</v>
      </c>
      <c r="AB4910">
        <v>3</v>
      </c>
      <c r="AC4910">
        <v>0</v>
      </c>
      <c r="AD4910">
        <v>10</v>
      </c>
      <c r="AE4910">
        <v>0</v>
      </c>
      <c r="AF4910">
        <v>3</v>
      </c>
      <c r="AG4910">
        <v>2</v>
      </c>
      <c r="AH4910">
        <v>0</v>
      </c>
      <c r="AI4910" t="s">
        <v>1095</v>
      </c>
      <c r="AJ4910">
        <v>28.237138000000002</v>
      </c>
      <c r="AK4910" t="s">
        <v>466</v>
      </c>
      <c r="AL4910">
        <v>-82.361819999999994</v>
      </c>
      <c r="AM4910">
        <v>100</v>
      </c>
      <c r="AN4910">
        <v>2300</v>
      </c>
      <c r="AO4910" t="s">
        <v>118</v>
      </c>
      <c r="AP4910">
        <v>-101</v>
      </c>
      <c r="AQ4910">
        <v>-44</v>
      </c>
      <c r="AR4910">
        <v>256</v>
      </c>
      <c r="AZ4910">
        <v>1200</v>
      </c>
      <c r="BA4910">
        <v>1</v>
      </c>
      <c r="BB4910" t="str">
        <f t="shared" si="2252"/>
        <v xml:space="preserve">N711JA  </v>
      </c>
      <c r="BC4910">
        <v>1</v>
      </c>
      <c r="BE4910">
        <v>0</v>
      </c>
      <c r="BF4910">
        <v>0</v>
      </c>
      <c r="BG4910">
        <v>0</v>
      </c>
      <c r="BH4910">
        <v>2375</v>
      </c>
      <c r="BI4910">
        <v>1</v>
      </c>
      <c r="BJ4910">
        <v>1</v>
      </c>
      <c r="BK4910">
        <v>0</v>
      </c>
      <c r="BL4910">
        <v>0</v>
      </c>
      <c r="BO4910">
        <v>0</v>
      </c>
      <c r="BP4910">
        <v>0</v>
      </c>
      <c r="BW4910" t="str">
        <f t="shared" si="2263"/>
        <v>14:50:17.134</v>
      </c>
      <c r="CJ4910">
        <v>0</v>
      </c>
      <c r="CK4910">
        <v>2</v>
      </c>
      <c r="CL4910">
        <v>0</v>
      </c>
      <c r="CM4910">
        <v>2</v>
      </c>
      <c r="CN4910">
        <v>0</v>
      </c>
      <c r="CO4910">
        <v>6</v>
      </c>
      <c r="CP4910" t="s">
        <v>119</v>
      </c>
      <c r="CQ4910">
        <v>8</v>
      </c>
      <c r="CR4910">
        <v>1</v>
      </c>
      <c r="CW4910">
        <v>10466670</v>
      </c>
      <c r="CY4910">
        <v>1</v>
      </c>
      <c r="CZ4910">
        <v>0</v>
      </c>
      <c r="DA4910">
        <v>1</v>
      </c>
      <c r="DB4910">
        <v>0</v>
      </c>
      <c r="DC4910">
        <v>0</v>
      </c>
      <c r="DD4910">
        <v>1</v>
      </c>
      <c r="DE4910">
        <v>0</v>
      </c>
      <c r="DF4910">
        <v>0</v>
      </c>
      <c r="DG4910">
        <v>0</v>
      </c>
      <c r="DH4910">
        <v>0</v>
      </c>
      <c r="DI4910">
        <v>0</v>
      </c>
    </row>
    <row r="4911" spans="1:113" x14ac:dyDescent="0.3">
      <c r="A4911" t="str">
        <f t="shared" si="2260"/>
        <v>05/12/2020 14:49:59.290</v>
      </c>
      <c r="C4911" t="str">
        <f t="shared" si="2251"/>
        <v>FFDFD3C0</v>
      </c>
      <c r="D4911" t="s">
        <v>131</v>
      </c>
      <c r="E4911">
        <v>12</v>
      </c>
      <c r="F4911">
        <v>2012</v>
      </c>
      <c r="G4911" t="s">
        <v>137</v>
      </c>
      <c r="J4911" t="s">
        <v>133</v>
      </c>
      <c r="K4911">
        <v>0</v>
      </c>
      <c r="L4911">
        <v>3</v>
      </c>
      <c r="M4911">
        <v>0</v>
      </c>
      <c r="N4911">
        <v>2</v>
      </c>
      <c r="O4911">
        <v>1</v>
      </c>
      <c r="P4911">
        <v>0</v>
      </c>
      <c r="Q4911">
        <v>0</v>
      </c>
      <c r="S4911" t="str">
        <f t="shared" si="2261"/>
        <v>14:50:17.133</v>
      </c>
      <c r="T4911" t="str">
        <f t="shared" si="2262"/>
        <v>14:50:16.833</v>
      </c>
      <c r="U4911" t="str">
        <f t="shared" si="2242"/>
        <v>A9808D</v>
      </c>
      <c r="V4911">
        <v>0</v>
      </c>
      <c r="W4911">
        <v>0</v>
      </c>
      <c r="X4911">
        <v>1</v>
      </c>
      <c r="Z4911">
        <v>0</v>
      </c>
      <c r="AA4911">
        <v>9</v>
      </c>
      <c r="AB4911">
        <v>3</v>
      </c>
      <c r="AC4911">
        <v>0</v>
      </c>
      <c r="AD4911">
        <v>10</v>
      </c>
      <c r="AE4911">
        <v>0</v>
      </c>
      <c r="AF4911">
        <v>3</v>
      </c>
      <c r="AG4911">
        <v>2</v>
      </c>
      <c r="AH4911">
        <v>0</v>
      </c>
      <c r="AI4911" t="s">
        <v>1095</v>
      </c>
      <c r="AJ4911">
        <v>28.237138000000002</v>
      </c>
      <c r="AK4911" t="s">
        <v>466</v>
      </c>
      <c r="AL4911">
        <v>-82.361819999999994</v>
      </c>
      <c r="AM4911">
        <v>100</v>
      </c>
      <c r="AN4911">
        <v>2300</v>
      </c>
      <c r="AO4911" t="s">
        <v>118</v>
      </c>
      <c r="AP4911">
        <v>-101</v>
      </c>
      <c r="AQ4911">
        <v>-44</v>
      </c>
      <c r="AR4911">
        <v>256</v>
      </c>
      <c r="AZ4911">
        <v>1200</v>
      </c>
      <c r="BA4911">
        <v>1</v>
      </c>
      <c r="BB4911" t="str">
        <f t="shared" si="2252"/>
        <v xml:space="preserve">N711JA  </v>
      </c>
      <c r="BC4911">
        <v>1</v>
      </c>
      <c r="BE4911">
        <v>0</v>
      </c>
      <c r="BF4911">
        <v>0</v>
      </c>
      <c r="BG4911">
        <v>0</v>
      </c>
      <c r="BH4911">
        <v>2375</v>
      </c>
      <c r="BI4911">
        <v>1</v>
      </c>
      <c r="BJ4911">
        <v>1</v>
      </c>
      <c r="BK4911">
        <v>0</v>
      </c>
      <c r="BL4911">
        <v>0</v>
      </c>
      <c r="BO4911">
        <v>0</v>
      </c>
      <c r="BP4911">
        <v>0</v>
      </c>
      <c r="BW4911" t="str">
        <f t="shared" si="2263"/>
        <v>14:50:17.134</v>
      </c>
      <c r="CJ4911">
        <v>0</v>
      </c>
      <c r="CK4911">
        <v>2</v>
      </c>
      <c r="CL4911">
        <v>0</v>
      </c>
      <c r="CM4911">
        <v>2</v>
      </c>
      <c r="CN4911">
        <v>0</v>
      </c>
      <c r="CO4911">
        <v>6</v>
      </c>
      <c r="CP4911" t="s">
        <v>119</v>
      </c>
      <c r="CQ4911">
        <v>8</v>
      </c>
      <c r="CR4911">
        <v>1</v>
      </c>
      <c r="CW4911">
        <v>10466670</v>
      </c>
      <c r="CY4911">
        <v>1</v>
      </c>
      <c r="CZ4911">
        <v>0</v>
      </c>
      <c r="DA4911">
        <v>1</v>
      </c>
      <c r="DB4911">
        <v>0</v>
      </c>
      <c r="DC4911">
        <v>0</v>
      </c>
      <c r="DD4911">
        <v>1</v>
      </c>
      <c r="DE4911">
        <v>0</v>
      </c>
      <c r="DF4911">
        <v>0</v>
      </c>
      <c r="DG4911">
        <v>0</v>
      </c>
      <c r="DH4911">
        <v>0</v>
      </c>
      <c r="DI4911">
        <v>0</v>
      </c>
    </row>
    <row r="4912" spans="1:113" x14ac:dyDescent="0.3">
      <c r="A4912" t="str">
        <f t="shared" si="2260"/>
        <v>05/12/2020 14:49:59.290</v>
      </c>
      <c r="C4912" t="str">
        <f t="shared" si="2251"/>
        <v>FFDFD3C0</v>
      </c>
      <c r="D4912" t="s">
        <v>131</v>
      </c>
      <c r="E4912">
        <v>18</v>
      </c>
      <c r="F4912">
        <v>2018</v>
      </c>
      <c r="G4912" t="s">
        <v>161</v>
      </c>
      <c r="J4912" t="s">
        <v>133</v>
      </c>
      <c r="K4912">
        <v>0</v>
      </c>
      <c r="L4912">
        <v>3</v>
      </c>
      <c r="M4912">
        <v>0</v>
      </c>
      <c r="N4912">
        <v>2</v>
      </c>
      <c r="O4912">
        <v>1</v>
      </c>
      <c r="P4912">
        <v>0</v>
      </c>
      <c r="Q4912">
        <v>0</v>
      </c>
      <c r="S4912" t="str">
        <f t="shared" si="2261"/>
        <v>14:50:17.133</v>
      </c>
      <c r="T4912" t="str">
        <f t="shared" si="2262"/>
        <v>14:50:16.833</v>
      </c>
      <c r="U4912" t="str">
        <f t="shared" si="2242"/>
        <v>A9808D</v>
      </c>
      <c r="V4912">
        <v>0</v>
      </c>
      <c r="W4912">
        <v>0</v>
      </c>
      <c r="X4912">
        <v>1</v>
      </c>
      <c r="Z4912">
        <v>0</v>
      </c>
      <c r="AA4912">
        <v>9</v>
      </c>
      <c r="AB4912">
        <v>3</v>
      </c>
      <c r="AC4912">
        <v>0</v>
      </c>
      <c r="AD4912">
        <v>10</v>
      </c>
      <c r="AE4912">
        <v>0</v>
      </c>
      <c r="AF4912">
        <v>3</v>
      </c>
      <c r="AG4912">
        <v>2</v>
      </c>
      <c r="AH4912">
        <v>0</v>
      </c>
      <c r="AI4912" t="s">
        <v>1095</v>
      </c>
      <c r="AJ4912">
        <v>28.237138000000002</v>
      </c>
      <c r="AK4912" t="s">
        <v>466</v>
      </c>
      <c r="AL4912">
        <v>-82.361819999999994</v>
      </c>
      <c r="AM4912">
        <v>100</v>
      </c>
      <c r="AN4912">
        <v>2300</v>
      </c>
      <c r="AO4912" t="s">
        <v>118</v>
      </c>
      <c r="AP4912">
        <v>-101</v>
      </c>
      <c r="AQ4912">
        <v>-44</v>
      </c>
      <c r="AR4912">
        <v>256</v>
      </c>
      <c r="AZ4912">
        <v>1200</v>
      </c>
      <c r="BA4912">
        <v>1</v>
      </c>
      <c r="BB4912" t="str">
        <f t="shared" si="2252"/>
        <v xml:space="preserve">N711JA  </v>
      </c>
      <c r="BC4912">
        <v>1</v>
      </c>
      <c r="BE4912">
        <v>0</v>
      </c>
      <c r="BF4912">
        <v>0</v>
      </c>
      <c r="BG4912">
        <v>0</v>
      </c>
      <c r="BH4912">
        <v>2375</v>
      </c>
      <c r="BI4912">
        <v>1</v>
      </c>
      <c r="BJ4912">
        <v>1</v>
      </c>
      <c r="BK4912">
        <v>0</v>
      </c>
      <c r="BL4912">
        <v>0</v>
      </c>
      <c r="BO4912">
        <v>0</v>
      </c>
      <c r="BP4912">
        <v>0</v>
      </c>
      <c r="BW4912" t="str">
        <f t="shared" si="2263"/>
        <v>14:50:17.134</v>
      </c>
      <c r="CJ4912">
        <v>0</v>
      </c>
      <c r="CK4912">
        <v>2</v>
      </c>
      <c r="CL4912">
        <v>0</v>
      </c>
      <c r="CM4912">
        <v>2</v>
      </c>
      <c r="CN4912">
        <v>0</v>
      </c>
      <c r="CO4912">
        <v>4</v>
      </c>
      <c r="CP4912" t="s">
        <v>119</v>
      </c>
      <c r="CQ4912">
        <v>62</v>
      </c>
      <c r="CR4912">
        <v>1</v>
      </c>
      <c r="CW4912">
        <v>13109254</v>
      </c>
      <c r="CY4912">
        <v>1</v>
      </c>
      <c r="CZ4912">
        <v>0</v>
      </c>
      <c r="DA4912">
        <v>1</v>
      </c>
      <c r="DB4912">
        <v>0</v>
      </c>
      <c r="DC4912">
        <v>0</v>
      </c>
      <c r="DD4912">
        <v>1</v>
      </c>
      <c r="DE4912">
        <v>0</v>
      </c>
      <c r="DF4912">
        <v>0</v>
      </c>
      <c r="DG4912">
        <v>0</v>
      </c>
      <c r="DH4912">
        <v>0</v>
      </c>
      <c r="DI4912">
        <v>0</v>
      </c>
    </row>
    <row r="4913" spans="1:113" x14ac:dyDescent="0.3">
      <c r="A4913" t="str">
        <f t="shared" si="2260"/>
        <v>05/12/2020 14:49:59.290</v>
      </c>
      <c r="C4913" t="str">
        <f t="shared" si="2251"/>
        <v>FFDFD3C0</v>
      </c>
      <c r="D4913" t="s">
        <v>126</v>
      </c>
      <c r="E4913">
        <v>6</v>
      </c>
      <c r="F4913">
        <v>1006</v>
      </c>
      <c r="G4913" t="s">
        <v>114</v>
      </c>
      <c r="J4913" t="s">
        <v>128</v>
      </c>
      <c r="K4913">
        <v>0</v>
      </c>
      <c r="L4913">
        <v>3</v>
      </c>
      <c r="M4913">
        <v>0</v>
      </c>
      <c r="N4913">
        <v>2</v>
      </c>
      <c r="O4913">
        <v>1</v>
      </c>
      <c r="P4913">
        <v>0</v>
      </c>
      <c r="Q4913">
        <v>0</v>
      </c>
      <c r="S4913" t="str">
        <f t="shared" si="2261"/>
        <v>14:50:17.133</v>
      </c>
      <c r="T4913" t="str">
        <f t="shared" si="2262"/>
        <v>14:50:16.833</v>
      </c>
      <c r="U4913" t="str">
        <f t="shared" si="2242"/>
        <v>A9808D</v>
      </c>
      <c r="V4913">
        <v>0</v>
      </c>
      <c r="W4913">
        <v>0</v>
      </c>
      <c r="X4913">
        <v>1</v>
      </c>
      <c r="Z4913">
        <v>0</v>
      </c>
      <c r="AA4913">
        <v>9</v>
      </c>
      <c r="AB4913">
        <v>3</v>
      </c>
      <c r="AC4913">
        <v>0</v>
      </c>
      <c r="AD4913">
        <v>10</v>
      </c>
      <c r="AE4913">
        <v>0</v>
      </c>
      <c r="AF4913">
        <v>3</v>
      </c>
      <c r="AG4913">
        <v>2</v>
      </c>
      <c r="AH4913">
        <v>0</v>
      </c>
      <c r="AI4913" t="s">
        <v>1095</v>
      </c>
      <c r="AJ4913">
        <v>28.237138000000002</v>
      </c>
      <c r="AK4913" t="s">
        <v>466</v>
      </c>
      <c r="AL4913">
        <v>-82.361819999999994</v>
      </c>
      <c r="AM4913">
        <v>100</v>
      </c>
      <c r="AN4913">
        <v>2300</v>
      </c>
      <c r="AO4913" t="s">
        <v>118</v>
      </c>
      <c r="AP4913">
        <v>-101</v>
      </c>
      <c r="AQ4913">
        <v>-44</v>
      </c>
      <c r="AR4913">
        <v>256</v>
      </c>
      <c r="AZ4913">
        <v>1200</v>
      </c>
      <c r="BA4913">
        <v>1</v>
      </c>
      <c r="BB4913" t="str">
        <f t="shared" si="2252"/>
        <v xml:space="preserve">N711JA  </v>
      </c>
      <c r="BC4913">
        <v>1</v>
      </c>
      <c r="BE4913">
        <v>0</v>
      </c>
      <c r="BF4913">
        <v>0</v>
      </c>
      <c r="BG4913">
        <v>0</v>
      </c>
      <c r="BH4913">
        <v>2375</v>
      </c>
      <c r="BI4913">
        <v>1</v>
      </c>
      <c r="BJ4913">
        <v>1</v>
      </c>
      <c r="BK4913">
        <v>0</v>
      </c>
      <c r="BL4913">
        <v>0</v>
      </c>
      <c r="BO4913">
        <v>0</v>
      </c>
      <c r="BP4913">
        <v>0</v>
      </c>
      <c r="BW4913" t="str">
        <f t="shared" si="2263"/>
        <v>14:50:17.134</v>
      </c>
      <c r="CJ4913">
        <v>0</v>
      </c>
      <c r="CK4913">
        <v>2</v>
      </c>
      <c r="CL4913">
        <v>0</v>
      </c>
      <c r="CM4913">
        <v>2</v>
      </c>
      <c r="CN4913">
        <v>0</v>
      </c>
      <c r="CO4913">
        <v>6</v>
      </c>
      <c r="CP4913" t="s">
        <v>119</v>
      </c>
      <c r="CQ4913">
        <v>8</v>
      </c>
      <c r="CR4913">
        <v>1</v>
      </c>
      <c r="CW4913">
        <v>10466670</v>
      </c>
      <c r="CY4913">
        <v>1</v>
      </c>
      <c r="CZ4913">
        <v>0</v>
      </c>
      <c r="DA4913">
        <v>1</v>
      </c>
      <c r="DB4913">
        <v>0</v>
      </c>
      <c r="DC4913">
        <v>0</v>
      </c>
      <c r="DD4913">
        <v>1</v>
      </c>
      <c r="DE4913">
        <v>0</v>
      </c>
      <c r="DF4913">
        <v>0</v>
      </c>
      <c r="DG4913">
        <v>0</v>
      </c>
      <c r="DH4913">
        <v>0</v>
      </c>
      <c r="DI4913">
        <v>0</v>
      </c>
    </row>
    <row r="4914" spans="1:113" x14ac:dyDescent="0.3">
      <c r="A4914" t="str">
        <f t="shared" si="2260"/>
        <v>05/12/2020 14:49:59.290</v>
      </c>
      <c r="C4914" t="str">
        <f t="shared" si="2251"/>
        <v>FFDFD3C0</v>
      </c>
      <c r="D4914" t="s">
        <v>113</v>
      </c>
      <c r="E4914">
        <v>3</v>
      </c>
      <c r="H4914">
        <v>164</v>
      </c>
      <c r="I4914" t="s">
        <v>114</v>
      </c>
      <c r="J4914" t="s">
        <v>115</v>
      </c>
      <c r="K4914">
        <v>0</v>
      </c>
      <c r="L4914">
        <v>3</v>
      </c>
      <c r="M4914">
        <v>0</v>
      </c>
      <c r="N4914">
        <v>2</v>
      </c>
      <c r="O4914">
        <v>1</v>
      </c>
      <c r="P4914">
        <v>0</v>
      </c>
      <c r="Q4914">
        <v>0</v>
      </c>
      <c r="S4914" t="str">
        <f t="shared" si="2261"/>
        <v>14:50:17.133</v>
      </c>
      <c r="T4914" t="str">
        <f t="shared" si="2262"/>
        <v>14:50:16.833</v>
      </c>
      <c r="U4914" t="str">
        <f t="shared" si="2242"/>
        <v>A9808D</v>
      </c>
      <c r="V4914">
        <v>0</v>
      </c>
      <c r="W4914">
        <v>0</v>
      </c>
      <c r="X4914">
        <v>1</v>
      </c>
      <c r="Z4914">
        <v>0</v>
      </c>
      <c r="AA4914">
        <v>9</v>
      </c>
      <c r="AB4914">
        <v>3</v>
      </c>
      <c r="AC4914">
        <v>0</v>
      </c>
      <c r="AD4914">
        <v>10</v>
      </c>
      <c r="AE4914">
        <v>0</v>
      </c>
      <c r="AF4914">
        <v>3</v>
      </c>
      <c r="AG4914">
        <v>2</v>
      </c>
      <c r="AH4914">
        <v>0</v>
      </c>
      <c r="AI4914" t="s">
        <v>1095</v>
      </c>
      <c r="AJ4914">
        <v>28.237138000000002</v>
      </c>
      <c r="AK4914" t="s">
        <v>466</v>
      </c>
      <c r="AL4914">
        <v>-82.361819999999994</v>
      </c>
      <c r="AM4914">
        <v>100</v>
      </c>
      <c r="AN4914">
        <v>2300</v>
      </c>
      <c r="AO4914" t="s">
        <v>118</v>
      </c>
      <c r="AP4914">
        <v>-101</v>
      </c>
      <c r="AQ4914">
        <v>-44</v>
      </c>
      <c r="AR4914">
        <v>256</v>
      </c>
      <c r="AZ4914">
        <v>1200</v>
      </c>
      <c r="BA4914">
        <v>1</v>
      </c>
      <c r="BB4914" t="str">
        <f t="shared" si="2252"/>
        <v xml:space="preserve">N711JA  </v>
      </c>
      <c r="BC4914">
        <v>1</v>
      </c>
      <c r="BE4914">
        <v>0</v>
      </c>
      <c r="BF4914">
        <v>0</v>
      </c>
      <c r="BG4914">
        <v>0</v>
      </c>
      <c r="BH4914">
        <v>2375</v>
      </c>
      <c r="BI4914">
        <v>1</v>
      </c>
      <c r="BJ4914">
        <v>1</v>
      </c>
      <c r="BK4914">
        <v>0</v>
      </c>
      <c r="BL4914">
        <v>0</v>
      </c>
      <c r="BO4914">
        <v>0</v>
      </c>
      <c r="BP4914">
        <v>0</v>
      </c>
      <c r="BW4914" t="str">
        <f t="shared" si="2263"/>
        <v>14:50:17.134</v>
      </c>
      <c r="CJ4914">
        <v>0</v>
      </c>
      <c r="CK4914">
        <v>2</v>
      </c>
      <c r="CL4914">
        <v>0</v>
      </c>
      <c r="CM4914">
        <v>2</v>
      </c>
      <c r="CN4914">
        <v>0</v>
      </c>
      <c r="CO4914">
        <v>6</v>
      </c>
      <c r="CP4914" t="s">
        <v>119</v>
      </c>
      <c r="CQ4914">
        <v>8</v>
      </c>
      <c r="CR4914">
        <v>1</v>
      </c>
      <c r="CW4914">
        <v>10466670</v>
      </c>
      <c r="CY4914">
        <v>1</v>
      </c>
      <c r="CZ4914">
        <v>0</v>
      </c>
      <c r="DA4914">
        <v>1</v>
      </c>
      <c r="DB4914">
        <v>0</v>
      </c>
      <c r="DC4914">
        <v>0</v>
      </c>
      <c r="DD4914">
        <v>1</v>
      </c>
      <c r="DE4914">
        <v>0</v>
      </c>
      <c r="DF4914">
        <v>0</v>
      </c>
      <c r="DG4914">
        <v>0</v>
      </c>
      <c r="DH4914">
        <v>0</v>
      </c>
      <c r="DI4914">
        <v>0</v>
      </c>
    </row>
    <row r="4915" spans="1:113" x14ac:dyDescent="0.3">
      <c r="A4915" t="str">
        <f t="shared" si="2260"/>
        <v>05/12/2020 14:49:59.290</v>
      </c>
      <c r="C4915" t="str">
        <f t="shared" si="2251"/>
        <v>FFDFD3C0</v>
      </c>
      <c r="D4915" t="s">
        <v>138</v>
      </c>
      <c r="E4915">
        <v>2</v>
      </c>
      <c r="H4915">
        <v>8</v>
      </c>
      <c r="I4915" t="s">
        <v>139</v>
      </c>
      <c r="J4915" t="s">
        <v>136</v>
      </c>
      <c r="K4915">
        <v>0</v>
      </c>
      <c r="L4915">
        <v>3</v>
      </c>
      <c r="M4915">
        <v>0</v>
      </c>
      <c r="N4915">
        <v>2</v>
      </c>
      <c r="O4915">
        <v>1</v>
      </c>
      <c r="P4915">
        <v>0</v>
      </c>
      <c r="Q4915">
        <v>0</v>
      </c>
      <c r="S4915" t="str">
        <f t="shared" si="2261"/>
        <v>14:50:17.133</v>
      </c>
      <c r="T4915" t="str">
        <f t="shared" si="2262"/>
        <v>14:50:16.833</v>
      </c>
      <c r="U4915" t="str">
        <f t="shared" si="2242"/>
        <v>A9808D</v>
      </c>
      <c r="V4915">
        <v>0</v>
      </c>
      <c r="W4915">
        <v>0</v>
      </c>
      <c r="X4915">
        <v>1</v>
      </c>
      <c r="Z4915">
        <v>0</v>
      </c>
      <c r="AA4915">
        <v>9</v>
      </c>
      <c r="AB4915">
        <v>3</v>
      </c>
      <c r="AC4915">
        <v>0</v>
      </c>
      <c r="AD4915">
        <v>10</v>
      </c>
      <c r="AE4915">
        <v>0</v>
      </c>
      <c r="AF4915">
        <v>3</v>
      </c>
      <c r="AG4915">
        <v>2</v>
      </c>
      <c r="AH4915">
        <v>0</v>
      </c>
      <c r="AI4915" t="s">
        <v>1095</v>
      </c>
      <c r="AJ4915">
        <v>28.237138000000002</v>
      </c>
      <c r="AK4915" t="s">
        <v>466</v>
      </c>
      <c r="AL4915">
        <v>-82.361819999999994</v>
      </c>
      <c r="AM4915">
        <v>100</v>
      </c>
      <c r="AN4915">
        <v>2300</v>
      </c>
      <c r="AO4915" t="s">
        <v>118</v>
      </c>
      <c r="AP4915">
        <v>-101</v>
      </c>
      <c r="AQ4915">
        <v>-44</v>
      </c>
      <c r="AR4915">
        <v>256</v>
      </c>
      <c r="AZ4915">
        <v>1200</v>
      </c>
      <c r="BA4915">
        <v>1</v>
      </c>
      <c r="BB4915" t="str">
        <f t="shared" si="2252"/>
        <v xml:space="preserve">N711JA  </v>
      </c>
      <c r="BC4915">
        <v>1</v>
      </c>
      <c r="BE4915">
        <v>0</v>
      </c>
      <c r="BF4915">
        <v>0</v>
      </c>
      <c r="BG4915">
        <v>0</v>
      </c>
      <c r="BH4915">
        <v>2375</v>
      </c>
      <c r="BI4915">
        <v>1</v>
      </c>
      <c r="BJ4915">
        <v>1</v>
      </c>
      <c r="BK4915">
        <v>0</v>
      </c>
      <c r="BL4915">
        <v>0</v>
      </c>
      <c r="BO4915">
        <v>0</v>
      </c>
      <c r="BP4915">
        <v>0</v>
      </c>
      <c r="BW4915" t="str">
        <f t="shared" si="2263"/>
        <v>14:50:17.134</v>
      </c>
      <c r="CJ4915">
        <v>0</v>
      </c>
      <c r="CK4915">
        <v>2</v>
      </c>
      <c r="CL4915">
        <v>0</v>
      </c>
      <c r="CM4915">
        <v>2</v>
      </c>
      <c r="CN4915">
        <v>0</v>
      </c>
      <c r="CO4915">
        <v>6</v>
      </c>
      <c r="CP4915" t="s">
        <v>119</v>
      </c>
      <c r="CQ4915">
        <v>8</v>
      </c>
      <c r="CR4915">
        <v>1</v>
      </c>
      <c r="CW4915">
        <v>10466670</v>
      </c>
      <c r="CY4915">
        <v>1</v>
      </c>
      <c r="CZ4915">
        <v>0</v>
      </c>
      <c r="DA4915">
        <v>1</v>
      </c>
      <c r="DB4915">
        <v>0</v>
      </c>
      <c r="DC4915">
        <v>0</v>
      </c>
      <c r="DD4915">
        <v>1</v>
      </c>
      <c r="DE4915">
        <v>0</v>
      </c>
      <c r="DF4915">
        <v>0</v>
      </c>
      <c r="DG4915">
        <v>0</v>
      </c>
      <c r="DH4915">
        <v>0</v>
      </c>
      <c r="DI4915">
        <v>0</v>
      </c>
    </row>
    <row r="4916" spans="1:113" x14ac:dyDescent="0.3">
      <c r="A4916" t="str">
        <f t="shared" si="2260"/>
        <v>05/12/2020 14:49:59.290</v>
      </c>
      <c r="C4916" t="str">
        <f t="shared" si="2251"/>
        <v>FFDFD3C0</v>
      </c>
      <c r="D4916" t="s">
        <v>138</v>
      </c>
      <c r="E4916">
        <v>3</v>
      </c>
      <c r="H4916">
        <v>9</v>
      </c>
      <c r="I4916" t="s">
        <v>140</v>
      </c>
      <c r="J4916" t="s">
        <v>136</v>
      </c>
      <c r="K4916">
        <v>0</v>
      </c>
      <c r="L4916">
        <v>3</v>
      </c>
      <c r="M4916">
        <v>0</v>
      </c>
      <c r="N4916">
        <v>2</v>
      </c>
      <c r="O4916">
        <v>1</v>
      </c>
      <c r="P4916">
        <v>0</v>
      </c>
      <c r="Q4916">
        <v>0</v>
      </c>
      <c r="S4916" t="str">
        <f t="shared" si="2261"/>
        <v>14:50:17.133</v>
      </c>
      <c r="T4916" t="str">
        <f t="shared" si="2262"/>
        <v>14:50:16.833</v>
      </c>
      <c r="U4916" t="str">
        <f t="shared" si="2242"/>
        <v>A9808D</v>
      </c>
      <c r="V4916">
        <v>0</v>
      </c>
      <c r="W4916">
        <v>0</v>
      </c>
      <c r="X4916">
        <v>1</v>
      </c>
      <c r="Z4916">
        <v>0</v>
      </c>
      <c r="AA4916">
        <v>9</v>
      </c>
      <c r="AB4916">
        <v>3</v>
      </c>
      <c r="AC4916">
        <v>0</v>
      </c>
      <c r="AD4916">
        <v>10</v>
      </c>
      <c r="AE4916">
        <v>0</v>
      </c>
      <c r="AF4916">
        <v>3</v>
      </c>
      <c r="AG4916">
        <v>2</v>
      </c>
      <c r="AH4916">
        <v>0</v>
      </c>
      <c r="AI4916" t="s">
        <v>1095</v>
      </c>
      <c r="AJ4916">
        <v>28.237138000000002</v>
      </c>
      <c r="AK4916" t="s">
        <v>466</v>
      </c>
      <c r="AL4916">
        <v>-82.361819999999994</v>
      </c>
      <c r="AM4916">
        <v>100</v>
      </c>
      <c r="AN4916">
        <v>2300</v>
      </c>
      <c r="AO4916" t="s">
        <v>118</v>
      </c>
      <c r="AP4916">
        <v>-101</v>
      </c>
      <c r="AQ4916">
        <v>-44</v>
      </c>
      <c r="AR4916">
        <v>256</v>
      </c>
      <c r="AZ4916">
        <v>1200</v>
      </c>
      <c r="BA4916">
        <v>1</v>
      </c>
      <c r="BB4916" t="str">
        <f t="shared" si="2252"/>
        <v xml:space="preserve">N711JA  </v>
      </c>
      <c r="BC4916">
        <v>1</v>
      </c>
      <c r="BE4916">
        <v>0</v>
      </c>
      <c r="BF4916">
        <v>0</v>
      </c>
      <c r="BG4916">
        <v>0</v>
      </c>
      <c r="BH4916">
        <v>2375</v>
      </c>
      <c r="BI4916">
        <v>1</v>
      </c>
      <c r="BJ4916">
        <v>1</v>
      </c>
      <c r="BK4916">
        <v>0</v>
      </c>
      <c r="BL4916">
        <v>0</v>
      </c>
      <c r="BO4916">
        <v>0</v>
      </c>
      <c r="BP4916">
        <v>0</v>
      </c>
      <c r="BW4916" t="str">
        <f t="shared" si="2263"/>
        <v>14:50:17.134</v>
      </c>
      <c r="CJ4916">
        <v>0</v>
      </c>
      <c r="CK4916">
        <v>2</v>
      </c>
      <c r="CL4916">
        <v>0</v>
      </c>
      <c r="CM4916">
        <v>2</v>
      </c>
      <c r="CN4916">
        <v>0</v>
      </c>
      <c r="CO4916">
        <v>6</v>
      </c>
      <c r="CP4916" t="s">
        <v>119</v>
      </c>
      <c r="CQ4916">
        <v>8</v>
      </c>
      <c r="CR4916">
        <v>1</v>
      </c>
      <c r="CW4916">
        <v>10466670</v>
      </c>
      <c r="CY4916">
        <v>1</v>
      </c>
      <c r="CZ4916">
        <v>0</v>
      </c>
      <c r="DA4916">
        <v>1</v>
      </c>
      <c r="DB4916">
        <v>0</v>
      </c>
      <c r="DC4916">
        <v>0</v>
      </c>
      <c r="DD4916">
        <v>1</v>
      </c>
      <c r="DE4916">
        <v>0</v>
      </c>
      <c r="DF4916">
        <v>0</v>
      </c>
      <c r="DG4916">
        <v>0</v>
      </c>
      <c r="DH4916">
        <v>0</v>
      </c>
      <c r="DI4916">
        <v>0</v>
      </c>
    </row>
    <row r="4917" spans="1:113" x14ac:dyDescent="0.3">
      <c r="A4917" t="str">
        <f t="shared" ref="A4917:A4925" si="2264">"05/12/2020 14:50:00.438"</f>
        <v>05/12/2020 14:50:00.438</v>
      </c>
      <c r="C4917" t="str">
        <f t="shared" si="2251"/>
        <v>FFDFD3C0</v>
      </c>
      <c r="D4917" t="s">
        <v>113</v>
      </c>
      <c r="E4917">
        <v>3</v>
      </c>
      <c r="H4917">
        <v>164</v>
      </c>
      <c r="I4917" t="s">
        <v>114</v>
      </c>
      <c r="J4917" t="s">
        <v>115</v>
      </c>
      <c r="K4917">
        <v>0</v>
      </c>
      <c r="L4917">
        <v>3</v>
      </c>
      <c r="M4917">
        <v>0</v>
      </c>
      <c r="N4917">
        <v>2</v>
      </c>
      <c r="O4917">
        <v>1</v>
      </c>
      <c r="P4917">
        <v>0</v>
      </c>
      <c r="Q4917">
        <v>0</v>
      </c>
      <c r="S4917" t="str">
        <f t="shared" ref="S4917:S4925" si="2265">"14:50:18.273"</f>
        <v>14:50:18.273</v>
      </c>
      <c r="T4917" t="str">
        <f t="shared" ref="T4917:T4925" si="2266">"14:50:17.973"</f>
        <v>14:50:17.973</v>
      </c>
      <c r="U4917" t="str">
        <f t="shared" si="2242"/>
        <v>A9808D</v>
      </c>
      <c r="V4917">
        <v>0</v>
      </c>
      <c r="W4917">
        <v>0</v>
      </c>
      <c r="X4917">
        <v>1</v>
      </c>
      <c r="Z4917">
        <v>0</v>
      </c>
      <c r="AA4917">
        <v>9</v>
      </c>
      <c r="AB4917">
        <v>3</v>
      </c>
      <c r="AC4917">
        <v>0</v>
      </c>
      <c r="AD4917">
        <v>10</v>
      </c>
      <c r="AE4917">
        <v>0</v>
      </c>
      <c r="AF4917">
        <v>3</v>
      </c>
      <c r="AG4917">
        <v>2</v>
      </c>
      <c r="AH4917">
        <v>0</v>
      </c>
      <c r="AI4917" t="s">
        <v>1096</v>
      </c>
      <c r="AJ4917">
        <v>28.236902000000001</v>
      </c>
      <c r="AK4917" t="s">
        <v>1097</v>
      </c>
      <c r="AL4917">
        <v>-82.362398999999996</v>
      </c>
      <c r="AM4917">
        <v>100</v>
      </c>
      <c r="AN4917">
        <v>2300</v>
      </c>
      <c r="AO4917" t="s">
        <v>118</v>
      </c>
      <c r="AP4917">
        <v>-100</v>
      </c>
      <c r="AQ4917">
        <v>-44</v>
      </c>
      <c r="AR4917">
        <v>-64</v>
      </c>
      <c r="AZ4917">
        <v>1200</v>
      </c>
      <c r="BA4917">
        <v>1</v>
      </c>
      <c r="BB4917" t="str">
        <f t="shared" si="2252"/>
        <v xml:space="preserve">N711JA  </v>
      </c>
      <c r="BC4917">
        <v>1</v>
      </c>
      <c r="BE4917">
        <v>0</v>
      </c>
      <c r="BF4917">
        <v>0</v>
      </c>
      <c r="BG4917">
        <v>0</v>
      </c>
      <c r="BH4917">
        <v>2375</v>
      </c>
      <c r="BI4917">
        <v>1</v>
      </c>
      <c r="BJ4917">
        <v>1</v>
      </c>
      <c r="BK4917">
        <v>0</v>
      </c>
      <c r="BL4917">
        <v>0</v>
      </c>
      <c r="BO4917">
        <v>0</v>
      </c>
      <c r="BP4917">
        <v>0</v>
      </c>
      <c r="BW4917" t="str">
        <f t="shared" ref="BW4917:BW4925" si="2267">"14:50:18.280"</f>
        <v>14:50:18.280</v>
      </c>
      <c r="CJ4917">
        <v>0</v>
      </c>
      <c r="CK4917">
        <v>2</v>
      </c>
      <c r="CL4917">
        <v>0</v>
      </c>
      <c r="CM4917">
        <v>2</v>
      </c>
      <c r="CN4917">
        <v>0</v>
      </c>
      <c r="CO4917">
        <v>6</v>
      </c>
      <c r="CP4917" t="s">
        <v>119</v>
      </c>
      <c r="CQ4917">
        <v>8</v>
      </c>
      <c r="CR4917">
        <v>3</v>
      </c>
      <c r="CW4917">
        <v>9213809</v>
      </c>
      <c r="CY4917">
        <v>1</v>
      </c>
      <c r="CZ4917">
        <v>0</v>
      </c>
      <c r="DA4917">
        <v>0</v>
      </c>
      <c r="DB4917">
        <v>0</v>
      </c>
      <c r="DC4917">
        <v>0</v>
      </c>
      <c r="DD4917">
        <v>1</v>
      </c>
      <c r="DE4917">
        <v>0</v>
      </c>
      <c r="DF4917">
        <v>0</v>
      </c>
      <c r="DG4917">
        <v>0</v>
      </c>
      <c r="DH4917">
        <v>0</v>
      </c>
      <c r="DI4917">
        <v>0</v>
      </c>
    </row>
    <row r="4918" spans="1:113" x14ac:dyDescent="0.3">
      <c r="A4918" t="str">
        <f t="shared" si="2264"/>
        <v>05/12/2020 14:50:00.438</v>
      </c>
      <c r="C4918" t="str">
        <f t="shared" si="2251"/>
        <v>FFDFD3C0</v>
      </c>
      <c r="D4918" t="s">
        <v>138</v>
      </c>
      <c r="E4918">
        <v>2</v>
      </c>
      <c r="H4918">
        <v>8</v>
      </c>
      <c r="I4918" t="s">
        <v>139</v>
      </c>
      <c r="J4918" t="s">
        <v>136</v>
      </c>
      <c r="K4918">
        <v>0</v>
      </c>
      <c r="L4918">
        <v>3</v>
      </c>
      <c r="M4918">
        <v>0</v>
      </c>
      <c r="N4918">
        <v>2</v>
      </c>
      <c r="O4918">
        <v>1</v>
      </c>
      <c r="P4918">
        <v>0</v>
      </c>
      <c r="Q4918">
        <v>0</v>
      </c>
      <c r="S4918" t="str">
        <f t="shared" si="2265"/>
        <v>14:50:18.273</v>
      </c>
      <c r="T4918" t="str">
        <f t="shared" si="2266"/>
        <v>14:50:17.973</v>
      </c>
      <c r="U4918" t="str">
        <f t="shared" si="2242"/>
        <v>A9808D</v>
      </c>
      <c r="V4918">
        <v>0</v>
      </c>
      <c r="W4918">
        <v>0</v>
      </c>
      <c r="X4918">
        <v>1</v>
      </c>
      <c r="Z4918">
        <v>0</v>
      </c>
      <c r="AA4918">
        <v>9</v>
      </c>
      <c r="AB4918">
        <v>3</v>
      </c>
      <c r="AC4918">
        <v>0</v>
      </c>
      <c r="AD4918">
        <v>10</v>
      </c>
      <c r="AE4918">
        <v>0</v>
      </c>
      <c r="AF4918">
        <v>3</v>
      </c>
      <c r="AG4918">
        <v>2</v>
      </c>
      <c r="AH4918">
        <v>0</v>
      </c>
      <c r="AI4918" t="s">
        <v>1096</v>
      </c>
      <c r="AJ4918">
        <v>28.236902000000001</v>
      </c>
      <c r="AK4918" t="s">
        <v>1097</v>
      </c>
      <c r="AL4918">
        <v>-82.362398999999996</v>
      </c>
      <c r="AM4918">
        <v>100</v>
      </c>
      <c r="AN4918">
        <v>2300</v>
      </c>
      <c r="AO4918" t="s">
        <v>118</v>
      </c>
      <c r="AP4918">
        <v>-100</v>
      </c>
      <c r="AQ4918">
        <v>-44</v>
      </c>
      <c r="AR4918">
        <v>-64</v>
      </c>
      <c r="AZ4918">
        <v>1200</v>
      </c>
      <c r="BA4918">
        <v>1</v>
      </c>
      <c r="BB4918" t="str">
        <f t="shared" si="2252"/>
        <v xml:space="preserve">N711JA  </v>
      </c>
      <c r="BC4918">
        <v>1</v>
      </c>
      <c r="BE4918">
        <v>0</v>
      </c>
      <c r="BF4918">
        <v>0</v>
      </c>
      <c r="BG4918">
        <v>0</v>
      </c>
      <c r="BH4918">
        <v>2375</v>
      </c>
      <c r="BI4918">
        <v>1</v>
      </c>
      <c r="BJ4918">
        <v>1</v>
      </c>
      <c r="BK4918">
        <v>0</v>
      </c>
      <c r="BL4918">
        <v>0</v>
      </c>
      <c r="BO4918">
        <v>0</v>
      </c>
      <c r="BP4918">
        <v>0</v>
      </c>
      <c r="BW4918" t="str">
        <f t="shared" si="2267"/>
        <v>14:50:18.280</v>
      </c>
      <c r="CJ4918">
        <v>0</v>
      </c>
      <c r="CK4918">
        <v>2</v>
      </c>
      <c r="CL4918">
        <v>0</v>
      </c>
      <c r="CM4918">
        <v>2</v>
      </c>
      <c r="CN4918">
        <v>0</v>
      </c>
      <c r="CO4918">
        <v>6</v>
      </c>
      <c r="CP4918" t="s">
        <v>119</v>
      </c>
      <c r="CQ4918">
        <v>8</v>
      </c>
      <c r="CR4918">
        <v>3</v>
      </c>
      <c r="CW4918">
        <v>9213809</v>
      </c>
      <c r="CY4918">
        <v>1</v>
      </c>
      <c r="CZ4918">
        <v>0</v>
      </c>
      <c r="DA4918">
        <v>1</v>
      </c>
      <c r="DB4918">
        <v>0</v>
      </c>
      <c r="DC4918">
        <v>0</v>
      </c>
      <c r="DD4918">
        <v>1</v>
      </c>
      <c r="DE4918">
        <v>0</v>
      </c>
      <c r="DF4918">
        <v>0</v>
      </c>
      <c r="DG4918">
        <v>0</v>
      </c>
      <c r="DH4918">
        <v>0</v>
      </c>
      <c r="DI4918">
        <v>0</v>
      </c>
    </row>
    <row r="4919" spans="1:113" x14ac:dyDescent="0.3">
      <c r="A4919" t="str">
        <f t="shared" si="2264"/>
        <v>05/12/2020 14:50:00.438</v>
      </c>
      <c r="C4919" t="str">
        <f t="shared" si="2251"/>
        <v>FFDFD3C0</v>
      </c>
      <c r="D4919" t="s">
        <v>138</v>
      </c>
      <c r="E4919">
        <v>3</v>
      </c>
      <c r="H4919">
        <v>9</v>
      </c>
      <c r="I4919" t="s">
        <v>140</v>
      </c>
      <c r="J4919" t="s">
        <v>136</v>
      </c>
      <c r="K4919">
        <v>0</v>
      </c>
      <c r="L4919">
        <v>3</v>
      </c>
      <c r="M4919">
        <v>0</v>
      </c>
      <c r="N4919">
        <v>2</v>
      </c>
      <c r="O4919">
        <v>1</v>
      </c>
      <c r="P4919">
        <v>0</v>
      </c>
      <c r="Q4919">
        <v>0</v>
      </c>
      <c r="S4919" t="str">
        <f t="shared" si="2265"/>
        <v>14:50:18.273</v>
      </c>
      <c r="T4919" t="str">
        <f t="shared" si="2266"/>
        <v>14:50:17.973</v>
      </c>
      <c r="U4919" t="str">
        <f t="shared" si="2242"/>
        <v>A9808D</v>
      </c>
      <c r="V4919">
        <v>0</v>
      </c>
      <c r="W4919">
        <v>0</v>
      </c>
      <c r="X4919">
        <v>1</v>
      </c>
      <c r="Z4919">
        <v>0</v>
      </c>
      <c r="AA4919">
        <v>9</v>
      </c>
      <c r="AB4919">
        <v>3</v>
      </c>
      <c r="AC4919">
        <v>0</v>
      </c>
      <c r="AD4919">
        <v>10</v>
      </c>
      <c r="AE4919">
        <v>0</v>
      </c>
      <c r="AF4919">
        <v>3</v>
      </c>
      <c r="AG4919">
        <v>2</v>
      </c>
      <c r="AH4919">
        <v>0</v>
      </c>
      <c r="AI4919" t="s">
        <v>1096</v>
      </c>
      <c r="AJ4919">
        <v>28.236902000000001</v>
      </c>
      <c r="AK4919" t="s">
        <v>1097</v>
      </c>
      <c r="AL4919">
        <v>-82.362398999999996</v>
      </c>
      <c r="AM4919">
        <v>100</v>
      </c>
      <c r="AN4919">
        <v>2300</v>
      </c>
      <c r="AO4919" t="s">
        <v>118</v>
      </c>
      <c r="AP4919">
        <v>-100</v>
      </c>
      <c r="AQ4919">
        <v>-44</v>
      </c>
      <c r="AR4919">
        <v>-64</v>
      </c>
      <c r="AZ4919">
        <v>1200</v>
      </c>
      <c r="BA4919">
        <v>1</v>
      </c>
      <c r="BB4919" t="str">
        <f t="shared" si="2252"/>
        <v xml:space="preserve">N711JA  </v>
      </c>
      <c r="BC4919">
        <v>1</v>
      </c>
      <c r="BE4919">
        <v>0</v>
      </c>
      <c r="BF4919">
        <v>0</v>
      </c>
      <c r="BG4919">
        <v>0</v>
      </c>
      <c r="BH4919">
        <v>2375</v>
      </c>
      <c r="BI4919">
        <v>1</v>
      </c>
      <c r="BJ4919">
        <v>1</v>
      </c>
      <c r="BK4919">
        <v>0</v>
      </c>
      <c r="BL4919">
        <v>0</v>
      </c>
      <c r="BO4919">
        <v>0</v>
      </c>
      <c r="BP4919">
        <v>0</v>
      </c>
      <c r="BW4919" t="str">
        <f t="shared" si="2267"/>
        <v>14:50:18.280</v>
      </c>
      <c r="CJ4919">
        <v>0</v>
      </c>
      <c r="CK4919">
        <v>2</v>
      </c>
      <c r="CL4919">
        <v>0</v>
      </c>
      <c r="CM4919">
        <v>2</v>
      </c>
      <c r="CN4919">
        <v>0</v>
      </c>
      <c r="CO4919">
        <v>6</v>
      </c>
      <c r="CP4919" t="s">
        <v>119</v>
      </c>
      <c r="CQ4919">
        <v>358</v>
      </c>
      <c r="CR4919">
        <v>0</v>
      </c>
      <c r="CW4919">
        <v>5194545</v>
      </c>
      <c r="CY4919">
        <v>1</v>
      </c>
      <c r="CZ4919">
        <v>0</v>
      </c>
      <c r="DA4919">
        <v>1</v>
      </c>
      <c r="DB4919">
        <v>0</v>
      </c>
      <c r="DC4919">
        <v>0</v>
      </c>
      <c r="DD4919">
        <v>1</v>
      </c>
      <c r="DE4919">
        <v>0</v>
      </c>
      <c r="DF4919">
        <v>0</v>
      </c>
      <c r="DG4919">
        <v>0</v>
      </c>
      <c r="DH4919">
        <v>0</v>
      </c>
      <c r="DI4919">
        <v>0</v>
      </c>
    </row>
    <row r="4920" spans="1:113" x14ac:dyDescent="0.3">
      <c r="A4920" t="str">
        <f t="shared" si="2264"/>
        <v>05/12/2020 14:50:00.438</v>
      </c>
      <c r="C4920" t="str">
        <f t="shared" si="2251"/>
        <v>FFDFD3C0</v>
      </c>
      <c r="D4920" t="s">
        <v>131</v>
      </c>
      <c r="E4920">
        <v>10</v>
      </c>
      <c r="F4920">
        <v>2010</v>
      </c>
      <c r="G4920" t="s">
        <v>132</v>
      </c>
      <c r="J4920" t="s">
        <v>133</v>
      </c>
      <c r="K4920">
        <v>0</v>
      </c>
      <c r="L4920">
        <v>3</v>
      </c>
      <c r="M4920">
        <v>0</v>
      </c>
      <c r="N4920">
        <v>2</v>
      </c>
      <c r="O4920">
        <v>1</v>
      </c>
      <c r="P4920">
        <v>0</v>
      </c>
      <c r="Q4920">
        <v>0</v>
      </c>
      <c r="S4920" t="str">
        <f t="shared" si="2265"/>
        <v>14:50:18.273</v>
      </c>
      <c r="T4920" t="str">
        <f t="shared" si="2266"/>
        <v>14:50:17.973</v>
      </c>
      <c r="U4920" t="str">
        <f t="shared" si="2242"/>
        <v>A9808D</v>
      </c>
      <c r="V4920">
        <v>0</v>
      </c>
      <c r="W4920">
        <v>0</v>
      </c>
      <c r="X4920">
        <v>1</v>
      </c>
      <c r="Z4920">
        <v>0</v>
      </c>
      <c r="AA4920">
        <v>9</v>
      </c>
      <c r="AB4920">
        <v>3</v>
      </c>
      <c r="AC4920">
        <v>0</v>
      </c>
      <c r="AD4920">
        <v>10</v>
      </c>
      <c r="AE4920">
        <v>0</v>
      </c>
      <c r="AF4920">
        <v>3</v>
      </c>
      <c r="AG4920">
        <v>2</v>
      </c>
      <c r="AH4920">
        <v>0</v>
      </c>
      <c r="AI4920" t="s">
        <v>1096</v>
      </c>
      <c r="AJ4920">
        <v>28.236902000000001</v>
      </c>
      <c r="AK4920" t="s">
        <v>1097</v>
      </c>
      <c r="AL4920">
        <v>-82.362398999999996</v>
      </c>
      <c r="AM4920">
        <v>100</v>
      </c>
      <c r="AN4920">
        <v>2300</v>
      </c>
      <c r="AO4920" t="s">
        <v>118</v>
      </c>
      <c r="AP4920">
        <v>-100</v>
      </c>
      <c r="AQ4920">
        <v>-44</v>
      </c>
      <c r="AR4920">
        <v>-64</v>
      </c>
      <c r="AZ4920">
        <v>1200</v>
      </c>
      <c r="BA4920">
        <v>1</v>
      </c>
      <c r="BB4920" t="str">
        <f t="shared" si="2252"/>
        <v xml:space="preserve">N711JA  </v>
      </c>
      <c r="BC4920">
        <v>1</v>
      </c>
      <c r="BE4920">
        <v>0</v>
      </c>
      <c r="BF4920">
        <v>0</v>
      </c>
      <c r="BG4920">
        <v>0</v>
      </c>
      <c r="BH4920">
        <v>2375</v>
      </c>
      <c r="BI4920">
        <v>1</v>
      </c>
      <c r="BJ4920">
        <v>1</v>
      </c>
      <c r="BK4920">
        <v>0</v>
      </c>
      <c r="BL4920">
        <v>0</v>
      </c>
      <c r="BO4920">
        <v>0</v>
      </c>
      <c r="BP4920">
        <v>0</v>
      </c>
      <c r="BW4920" t="str">
        <f t="shared" si="2267"/>
        <v>14:50:18.280</v>
      </c>
      <c r="CJ4920">
        <v>0</v>
      </c>
      <c r="CK4920">
        <v>2</v>
      </c>
      <c r="CL4920">
        <v>0</v>
      </c>
      <c r="CM4920">
        <v>2</v>
      </c>
      <c r="CN4920">
        <v>0</v>
      </c>
      <c r="CO4920">
        <v>6</v>
      </c>
      <c r="CP4920" t="s">
        <v>119</v>
      </c>
      <c r="CQ4920">
        <v>358</v>
      </c>
      <c r="CR4920">
        <v>0</v>
      </c>
      <c r="CW4920">
        <v>5194545</v>
      </c>
      <c r="CY4920">
        <v>1</v>
      </c>
      <c r="CZ4920">
        <v>0</v>
      </c>
      <c r="DA4920">
        <v>1</v>
      </c>
      <c r="DB4920">
        <v>0</v>
      </c>
      <c r="DC4920">
        <v>0</v>
      </c>
      <c r="DD4920">
        <v>1</v>
      </c>
      <c r="DE4920">
        <v>0</v>
      </c>
      <c r="DF4920">
        <v>0</v>
      </c>
      <c r="DG4920">
        <v>0</v>
      </c>
      <c r="DH4920">
        <v>0</v>
      </c>
      <c r="DI4920">
        <v>0</v>
      </c>
    </row>
    <row r="4921" spans="1:113" x14ac:dyDescent="0.3">
      <c r="A4921" t="str">
        <f t="shared" si="2264"/>
        <v>05/12/2020 14:50:00.438</v>
      </c>
      <c r="C4921" t="str">
        <f t="shared" si="2251"/>
        <v>FFDFD3C0</v>
      </c>
      <c r="D4921" t="s">
        <v>134</v>
      </c>
      <c r="E4921">
        <v>12</v>
      </c>
      <c r="H4921">
        <v>64</v>
      </c>
      <c r="I4921" t="s">
        <v>135</v>
      </c>
      <c r="J4921" t="s">
        <v>136</v>
      </c>
      <c r="K4921">
        <v>0</v>
      </c>
      <c r="L4921">
        <v>3</v>
      </c>
      <c r="M4921">
        <v>0</v>
      </c>
      <c r="N4921">
        <v>2</v>
      </c>
      <c r="O4921">
        <v>1</v>
      </c>
      <c r="P4921">
        <v>0</v>
      </c>
      <c r="Q4921">
        <v>0</v>
      </c>
      <c r="S4921" t="str">
        <f t="shared" si="2265"/>
        <v>14:50:18.273</v>
      </c>
      <c r="T4921" t="str">
        <f t="shared" si="2266"/>
        <v>14:50:17.973</v>
      </c>
      <c r="U4921" t="str">
        <f t="shared" si="2242"/>
        <v>A9808D</v>
      </c>
      <c r="V4921">
        <v>0</v>
      </c>
      <c r="W4921">
        <v>0</v>
      </c>
      <c r="X4921">
        <v>1</v>
      </c>
      <c r="Z4921">
        <v>0</v>
      </c>
      <c r="AA4921">
        <v>9</v>
      </c>
      <c r="AB4921">
        <v>3</v>
      </c>
      <c r="AC4921">
        <v>0</v>
      </c>
      <c r="AD4921">
        <v>10</v>
      </c>
      <c r="AE4921">
        <v>0</v>
      </c>
      <c r="AF4921">
        <v>3</v>
      </c>
      <c r="AG4921">
        <v>2</v>
      </c>
      <c r="AH4921">
        <v>0</v>
      </c>
      <c r="AI4921" t="s">
        <v>1096</v>
      </c>
      <c r="AJ4921">
        <v>28.236902000000001</v>
      </c>
      <c r="AK4921" t="s">
        <v>1097</v>
      </c>
      <c r="AL4921">
        <v>-82.362398999999996</v>
      </c>
      <c r="AM4921">
        <v>100</v>
      </c>
      <c r="AN4921">
        <v>2300</v>
      </c>
      <c r="AO4921" t="s">
        <v>118</v>
      </c>
      <c r="AP4921">
        <v>-100</v>
      </c>
      <c r="AQ4921">
        <v>-44</v>
      </c>
      <c r="AR4921">
        <v>-64</v>
      </c>
      <c r="AZ4921">
        <v>1200</v>
      </c>
      <c r="BA4921">
        <v>1</v>
      </c>
      <c r="BB4921" t="str">
        <f t="shared" si="2252"/>
        <v xml:space="preserve">N711JA  </v>
      </c>
      <c r="BC4921">
        <v>1</v>
      </c>
      <c r="BE4921">
        <v>0</v>
      </c>
      <c r="BF4921">
        <v>0</v>
      </c>
      <c r="BG4921">
        <v>0</v>
      </c>
      <c r="BH4921">
        <v>2375</v>
      </c>
      <c r="BI4921">
        <v>1</v>
      </c>
      <c r="BJ4921">
        <v>1</v>
      </c>
      <c r="BK4921">
        <v>0</v>
      </c>
      <c r="BL4921">
        <v>0</v>
      </c>
      <c r="BO4921">
        <v>0</v>
      </c>
      <c r="BP4921">
        <v>0</v>
      </c>
      <c r="BW4921" t="str">
        <f t="shared" si="2267"/>
        <v>14:50:18.280</v>
      </c>
      <c r="CJ4921">
        <v>0</v>
      </c>
      <c r="CK4921">
        <v>2</v>
      </c>
      <c r="CL4921">
        <v>0</v>
      </c>
      <c r="CM4921">
        <v>2</v>
      </c>
      <c r="CN4921">
        <v>0</v>
      </c>
      <c r="CO4921">
        <v>6</v>
      </c>
      <c r="CP4921" t="s">
        <v>119</v>
      </c>
      <c r="CQ4921">
        <v>358</v>
      </c>
      <c r="CR4921">
        <v>0</v>
      </c>
      <c r="CW4921">
        <v>5194545</v>
      </c>
      <c r="CY4921">
        <v>1</v>
      </c>
      <c r="CZ4921">
        <v>0</v>
      </c>
      <c r="DA4921">
        <v>1</v>
      </c>
      <c r="DB4921">
        <v>0</v>
      </c>
      <c r="DC4921">
        <v>0</v>
      </c>
      <c r="DD4921">
        <v>1</v>
      </c>
      <c r="DE4921">
        <v>0</v>
      </c>
      <c r="DF4921">
        <v>0</v>
      </c>
      <c r="DG4921">
        <v>0</v>
      </c>
      <c r="DH4921">
        <v>0</v>
      </c>
      <c r="DI4921">
        <v>0</v>
      </c>
    </row>
    <row r="4922" spans="1:113" x14ac:dyDescent="0.3">
      <c r="A4922" t="str">
        <f t="shared" si="2264"/>
        <v>05/12/2020 14:50:00.438</v>
      </c>
      <c r="C4922" t="str">
        <f t="shared" si="2251"/>
        <v>FFDFD3C0</v>
      </c>
      <c r="D4922" t="s">
        <v>126</v>
      </c>
      <c r="E4922">
        <v>7</v>
      </c>
      <c r="F4922">
        <v>1007</v>
      </c>
      <c r="G4922" t="s">
        <v>127</v>
      </c>
      <c r="J4922" t="s">
        <v>128</v>
      </c>
      <c r="K4922">
        <v>0</v>
      </c>
      <c r="L4922">
        <v>3</v>
      </c>
      <c r="M4922">
        <v>0</v>
      </c>
      <c r="N4922">
        <v>2</v>
      </c>
      <c r="O4922">
        <v>1</v>
      </c>
      <c r="P4922">
        <v>0</v>
      </c>
      <c r="Q4922">
        <v>0</v>
      </c>
      <c r="S4922" t="str">
        <f t="shared" si="2265"/>
        <v>14:50:18.273</v>
      </c>
      <c r="T4922" t="str">
        <f t="shared" si="2266"/>
        <v>14:50:17.973</v>
      </c>
      <c r="U4922" t="str">
        <f t="shared" si="2242"/>
        <v>A9808D</v>
      </c>
      <c r="V4922">
        <v>0</v>
      </c>
      <c r="W4922">
        <v>0</v>
      </c>
      <c r="X4922">
        <v>1</v>
      </c>
      <c r="Z4922">
        <v>0</v>
      </c>
      <c r="AA4922">
        <v>9</v>
      </c>
      <c r="AB4922">
        <v>3</v>
      </c>
      <c r="AC4922">
        <v>0</v>
      </c>
      <c r="AD4922">
        <v>10</v>
      </c>
      <c r="AE4922">
        <v>0</v>
      </c>
      <c r="AF4922">
        <v>3</v>
      </c>
      <c r="AG4922">
        <v>2</v>
      </c>
      <c r="AH4922">
        <v>0</v>
      </c>
      <c r="AI4922" t="s">
        <v>1096</v>
      </c>
      <c r="AJ4922">
        <v>28.236902000000001</v>
      </c>
      <c r="AK4922" t="s">
        <v>1097</v>
      </c>
      <c r="AL4922">
        <v>-82.362398999999996</v>
      </c>
      <c r="AM4922">
        <v>100</v>
      </c>
      <c r="AN4922">
        <v>2300</v>
      </c>
      <c r="AO4922" t="s">
        <v>118</v>
      </c>
      <c r="AP4922">
        <v>-100</v>
      </c>
      <c r="AQ4922">
        <v>-44</v>
      </c>
      <c r="AR4922">
        <v>-64</v>
      </c>
      <c r="AZ4922">
        <v>1200</v>
      </c>
      <c r="BA4922">
        <v>1</v>
      </c>
      <c r="BB4922" t="str">
        <f t="shared" si="2252"/>
        <v xml:space="preserve">N711JA  </v>
      </c>
      <c r="BC4922">
        <v>1</v>
      </c>
      <c r="BE4922">
        <v>0</v>
      </c>
      <c r="BF4922">
        <v>0</v>
      </c>
      <c r="BG4922">
        <v>0</v>
      </c>
      <c r="BH4922">
        <v>2375</v>
      </c>
      <c r="BI4922">
        <v>1</v>
      </c>
      <c r="BJ4922">
        <v>1</v>
      </c>
      <c r="BK4922">
        <v>0</v>
      </c>
      <c r="BL4922">
        <v>0</v>
      </c>
      <c r="BO4922">
        <v>0</v>
      </c>
      <c r="BP4922">
        <v>0</v>
      </c>
      <c r="BW4922" t="str">
        <f t="shared" si="2267"/>
        <v>14:50:18.280</v>
      </c>
      <c r="CJ4922">
        <v>0</v>
      </c>
      <c r="CK4922">
        <v>2</v>
      </c>
      <c r="CL4922">
        <v>0</v>
      </c>
      <c r="CM4922">
        <v>2</v>
      </c>
      <c r="CN4922">
        <v>0</v>
      </c>
      <c r="CO4922">
        <v>6</v>
      </c>
      <c r="CP4922" t="s">
        <v>119</v>
      </c>
      <c r="CQ4922">
        <v>358</v>
      </c>
      <c r="CR4922">
        <v>0</v>
      </c>
      <c r="CW4922">
        <v>5194545</v>
      </c>
      <c r="CY4922">
        <v>1</v>
      </c>
      <c r="CZ4922">
        <v>0</v>
      </c>
      <c r="DA4922">
        <v>1</v>
      </c>
      <c r="DB4922">
        <v>0</v>
      </c>
      <c r="DC4922">
        <v>0</v>
      </c>
      <c r="DD4922">
        <v>1</v>
      </c>
      <c r="DE4922">
        <v>0</v>
      </c>
      <c r="DF4922">
        <v>0</v>
      </c>
      <c r="DG4922">
        <v>0</v>
      </c>
      <c r="DH4922">
        <v>0</v>
      </c>
      <c r="DI4922">
        <v>0</v>
      </c>
    </row>
    <row r="4923" spans="1:113" x14ac:dyDescent="0.3">
      <c r="A4923" t="str">
        <f t="shared" si="2264"/>
        <v>05/12/2020 14:50:00.438</v>
      </c>
      <c r="C4923" t="str">
        <f t="shared" si="2251"/>
        <v>FFDFD3C0</v>
      </c>
      <c r="D4923" t="s">
        <v>131</v>
      </c>
      <c r="E4923">
        <v>12</v>
      </c>
      <c r="F4923">
        <v>2012</v>
      </c>
      <c r="G4923" t="s">
        <v>137</v>
      </c>
      <c r="J4923" t="s">
        <v>133</v>
      </c>
      <c r="K4923">
        <v>0</v>
      </c>
      <c r="L4923">
        <v>3</v>
      </c>
      <c r="M4923">
        <v>0</v>
      </c>
      <c r="N4923">
        <v>2</v>
      </c>
      <c r="O4923">
        <v>1</v>
      </c>
      <c r="P4923">
        <v>0</v>
      </c>
      <c r="Q4923">
        <v>0</v>
      </c>
      <c r="S4923" t="str">
        <f t="shared" si="2265"/>
        <v>14:50:18.273</v>
      </c>
      <c r="T4923" t="str">
        <f t="shared" si="2266"/>
        <v>14:50:17.973</v>
      </c>
      <c r="U4923" t="str">
        <f t="shared" si="2242"/>
        <v>A9808D</v>
      </c>
      <c r="V4923">
        <v>0</v>
      </c>
      <c r="W4923">
        <v>0</v>
      </c>
      <c r="X4923">
        <v>1</v>
      </c>
      <c r="Z4923">
        <v>0</v>
      </c>
      <c r="AA4923">
        <v>9</v>
      </c>
      <c r="AB4923">
        <v>3</v>
      </c>
      <c r="AC4923">
        <v>0</v>
      </c>
      <c r="AD4923">
        <v>10</v>
      </c>
      <c r="AE4923">
        <v>0</v>
      </c>
      <c r="AF4923">
        <v>3</v>
      </c>
      <c r="AG4923">
        <v>2</v>
      </c>
      <c r="AH4923">
        <v>0</v>
      </c>
      <c r="AI4923" t="s">
        <v>1096</v>
      </c>
      <c r="AJ4923">
        <v>28.236902000000001</v>
      </c>
      <c r="AK4923" t="s">
        <v>1097</v>
      </c>
      <c r="AL4923">
        <v>-82.362398999999996</v>
      </c>
      <c r="AM4923">
        <v>100</v>
      </c>
      <c r="AN4923">
        <v>2300</v>
      </c>
      <c r="AO4923" t="s">
        <v>118</v>
      </c>
      <c r="AP4923">
        <v>-100</v>
      </c>
      <c r="AQ4923">
        <v>-44</v>
      </c>
      <c r="AR4923">
        <v>-64</v>
      </c>
      <c r="AZ4923">
        <v>1200</v>
      </c>
      <c r="BA4923">
        <v>1</v>
      </c>
      <c r="BB4923" t="str">
        <f t="shared" si="2252"/>
        <v xml:space="preserve">N711JA  </v>
      </c>
      <c r="BC4923">
        <v>1</v>
      </c>
      <c r="BE4923">
        <v>0</v>
      </c>
      <c r="BF4923">
        <v>0</v>
      </c>
      <c r="BG4923">
        <v>0</v>
      </c>
      <c r="BH4923">
        <v>2375</v>
      </c>
      <c r="BI4923">
        <v>1</v>
      </c>
      <c r="BJ4923">
        <v>1</v>
      </c>
      <c r="BK4923">
        <v>0</v>
      </c>
      <c r="BL4923">
        <v>0</v>
      </c>
      <c r="BO4923">
        <v>0</v>
      </c>
      <c r="BP4923">
        <v>0</v>
      </c>
      <c r="BW4923" t="str">
        <f t="shared" si="2267"/>
        <v>14:50:18.280</v>
      </c>
      <c r="CJ4923">
        <v>0</v>
      </c>
      <c r="CK4923">
        <v>2</v>
      </c>
      <c r="CL4923">
        <v>0</v>
      </c>
      <c r="CM4923">
        <v>2</v>
      </c>
      <c r="CN4923">
        <v>0</v>
      </c>
      <c r="CO4923">
        <v>6</v>
      </c>
      <c r="CP4923" t="s">
        <v>119</v>
      </c>
      <c r="CQ4923">
        <v>8</v>
      </c>
      <c r="CR4923">
        <v>3</v>
      </c>
      <c r="CW4923">
        <v>9213809</v>
      </c>
      <c r="CY4923">
        <v>1</v>
      </c>
      <c r="CZ4923">
        <v>0</v>
      </c>
      <c r="DA4923">
        <v>1</v>
      </c>
      <c r="DB4923">
        <v>0</v>
      </c>
      <c r="DC4923">
        <v>0</v>
      </c>
      <c r="DD4923">
        <v>1</v>
      </c>
      <c r="DE4923">
        <v>0</v>
      </c>
      <c r="DF4923">
        <v>0</v>
      </c>
      <c r="DG4923">
        <v>0</v>
      </c>
      <c r="DH4923">
        <v>0</v>
      </c>
      <c r="DI4923">
        <v>0</v>
      </c>
    </row>
    <row r="4924" spans="1:113" x14ac:dyDescent="0.3">
      <c r="A4924" t="str">
        <f t="shared" si="2264"/>
        <v>05/12/2020 14:50:00.438</v>
      </c>
      <c r="C4924" t="str">
        <f t="shared" si="2251"/>
        <v>FFDFD3C0</v>
      </c>
      <c r="D4924" t="s">
        <v>131</v>
      </c>
      <c r="E4924">
        <v>18</v>
      </c>
      <c r="F4924">
        <v>2018</v>
      </c>
      <c r="G4924" t="s">
        <v>161</v>
      </c>
      <c r="J4924" t="s">
        <v>133</v>
      </c>
      <c r="K4924">
        <v>0</v>
      </c>
      <c r="L4924">
        <v>3</v>
      </c>
      <c r="M4924">
        <v>0</v>
      </c>
      <c r="N4924">
        <v>2</v>
      </c>
      <c r="O4924">
        <v>1</v>
      </c>
      <c r="P4924">
        <v>0</v>
      </c>
      <c r="Q4924">
        <v>0</v>
      </c>
      <c r="S4924" t="str">
        <f t="shared" si="2265"/>
        <v>14:50:18.273</v>
      </c>
      <c r="T4924" t="str">
        <f t="shared" si="2266"/>
        <v>14:50:17.973</v>
      </c>
      <c r="U4924" t="str">
        <f t="shared" si="2242"/>
        <v>A9808D</v>
      </c>
      <c r="V4924">
        <v>0</v>
      </c>
      <c r="W4924">
        <v>0</v>
      </c>
      <c r="X4924">
        <v>1</v>
      </c>
      <c r="Z4924">
        <v>0</v>
      </c>
      <c r="AA4924">
        <v>9</v>
      </c>
      <c r="AB4924">
        <v>3</v>
      </c>
      <c r="AC4924">
        <v>0</v>
      </c>
      <c r="AD4924">
        <v>10</v>
      </c>
      <c r="AE4924">
        <v>0</v>
      </c>
      <c r="AF4924">
        <v>3</v>
      </c>
      <c r="AG4924">
        <v>2</v>
      </c>
      <c r="AH4924">
        <v>0</v>
      </c>
      <c r="AI4924" t="s">
        <v>1096</v>
      </c>
      <c r="AJ4924">
        <v>28.236902000000001</v>
      </c>
      <c r="AK4924" t="s">
        <v>1097</v>
      </c>
      <c r="AL4924">
        <v>-82.362398999999996</v>
      </c>
      <c r="AM4924">
        <v>100</v>
      </c>
      <c r="AN4924">
        <v>2300</v>
      </c>
      <c r="AO4924" t="s">
        <v>118</v>
      </c>
      <c r="AP4924">
        <v>-100</v>
      </c>
      <c r="AQ4924">
        <v>-44</v>
      </c>
      <c r="AR4924">
        <v>-64</v>
      </c>
      <c r="AZ4924">
        <v>1200</v>
      </c>
      <c r="BA4924">
        <v>1</v>
      </c>
      <c r="BB4924" t="str">
        <f t="shared" si="2252"/>
        <v xml:space="preserve">N711JA  </v>
      </c>
      <c r="BC4924">
        <v>1</v>
      </c>
      <c r="BE4924">
        <v>0</v>
      </c>
      <c r="BF4924">
        <v>0</v>
      </c>
      <c r="BG4924">
        <v>0</v>
      </c>
      <c r="BH4924">
        <v>2375</v>
      </c>
      <c r="BI4924">
        <v>1</v>
      </c>
      <c r="BJ4924">
        <v>1</v>
      </c>
      <c r="BK4924">
        <v>0</v>
      </c>
      <c r="BL4924">
        <v>0</v>
      </c>
      <c r="BO4924">
        <v>0</v>
      </c>
      <c r="BP4924">
        <v>0</v>
      </c>
      <c r="BW4924" t="str">
        <f t="shared" si="2267"/>
        <v>14:50:18.280</v>
      </c>
      <c r="CJ4924">
        <v>0</v>
      </c>
      <c r="CK4924">
        <v>2</v>
      </c>
      <c r="CL4924">
        <v>0</v>
      </c>
      <c r="CM4924">
        <v>2</v>
      </c>
      <c r="CN4924">
        <v>0</v>
      </c>
      <c r="CO4924">
        <v>4</v>
      </c>
      <c r="CP4924" t="s">
        <v>119</v>
      </c>
      <c r="CQ4924">
        <v>62</v>
      </c>
      <c r="CR4924">
        <v>1</v>
      </c>
      <c r="CW4924">
        <v>13110545</v>
      </c>
      <c r="CY4924">
        <v>1</v>
      </c>
      <c r="CZ4924">
        <v>0</v>
      </c>
      <c r="DA4924">
        <v>1</v>
      </c>
      <c r="DB4924">
        <v>0</v>
      </c>
      <c r="DC4924">
        <v>0</v>
      </c>
      <c r="DD4924">
        <v>1</v>
      </c>
      <c r="DE4924">
        <v>0</v>
      </c>
      <c r="DF4924">
        <v>0</v>
      </c>
      <c r="DG4924">
        <v>0</v>
      </c>
      <c r="DH4924">
        <v>0</v>
      </c>
      <c r="DI4924">
        <v>0</v>
      </c>
    </row>
    <row r="4925" spans="1:113" x14ac:dyDescent="0.3">
      <c r="A4925" t="str">
        <f t="shared" si="2264"/>
        <v>05/12/2020 14:50:00.438</v>
      </c>
      <c r="C4925" t="str">
        <f t="shared" si="2251"/>
        <v>FFDFD3C0</v>
      </c>
      <c r="D4925" t="s">
        <v>126</v>
      </c>
      <c r="E4925">
        <v>6</v>
      </c>
      <c r="F4925">
        <v>1006</v>
      </c>
      <c r="G4925" t="s">
        <v>114</v>
      </c>
      <c r="J4925" t="s">
        <v>128</v>
      </c>
      <c r="K4925">
        <v>0</v>
      </c>
      <c r="L4925">
        <v>3</v>
      </c>
      <c r="M4925">
        <v>0</v>
      </c>
      <c r="N4925">
        <v>2</v>
      </c>
      <c r="O4925">
        <v>1</v>
      </c>
      <c r="P4925">
        <v>0</v>
      </c>
      <c r="Q4925">
        <v>0</v>
      </c>
      <c r="S4925" t="str">
        <f t="shared" si="2265"/>
        <v>14:50:18.273</v>
      </c>
      <c r="T4925" t="str">
        <f t="shared" si="2266"/>
        <v>14:50:17.973</v>
      </c>
      <c r="U4925" t="str">
        <f t="shared" si="2242"/>
        <v>A9808D</v>
      </c>
      <c r="V4925">
        <v>0</v>
      </c>
      <c r="W4925">
        <v>0</v>
      </c>
      <c r="X4925">
        <v>1</v>
      </c>
      <c r="Z4925">
        <v>0</v>
      </c>
      <c r="AA4925">
        <v>9</v>
      </c>
      <c r="AB4925">
        <v>3</v>
      </c>
      <c r="AC4925">
        <v>0</v>
      </c>
      <c r="AD4925">
        <v>10</v>
      </c>
      <c r="AE4925">
        <v>0</v>
      </c>
      <c r="AF4925">
        <v>3</v>
      </c>
      <c r="AG4925">
        <v>2</v>
      </c>
      <c r="AH4925">
        <v>0</v>
      </c>
      <c r="AI4925" t="s">
        <v>1096</v>
      </c>
      <c r="AJ4925">
        <v>28.236902000000001</v>
      </c>
      <c r="AK4925" t="s">
        <v>1097</v>
      </c>
      <c r="AL4925">
        <v>-82.362398999999996</v>
      </c>
      <c r="AM4925">
        <v>100</v>
      </c>
      <c r="AN4925">
        <v>2300</v>
      </c>
      <c r="AO4925" t="s">
        <v>118</v>
      </c>
      <c r="AP4925">
        <v>-100</v>
      </c>
      <c r="AQ4925">
        <v>-44</v>
      </c>
      <c r="AR4925">
        <v>-64</v>
      </c>
      <c r="AZ4925">
        <v>1200</v>
      </c>
      <c r="BA4925">
        <v>1</v>
      </c>
      <c r="BB4925" t="str">
        <f t="shared" si="2252"/>
        <v xml:space="preserve">N711JA  </v>
      </c>
      <c r="BC4925">
        <v>1</v>
      </c>
      <c r="BE4925">
        <v>0</v>
      </c>
      <c r="BF4925">
        <v>0</v>
      </c>
      <c r="BG4925">
        <v>0</v>
      </c>
      <c r="BH4925">
        <v>2375</v>
      </c>
      <c r="BI4925">
        <v>1</v>
      </c>
      <c r="BJ4925">
        <v>1</v>
      </c>
      <c r="BK4925">
        <v>0</v>
      </c>
      <c r="BL4925">
        <v>0</v>
      </c>
      <c r="BO4925">
        <v>0</v>
      </c>
      <c r="BP4925">
        <v>0</v>
      </c>
      <c r="BW4925" t="str">
        <f t="shared" si="2267"/>
        <v>14:50:18.280</v>
      </c>
      <c r="CJ4925">
        <v>0</v>
      </c>
      <c r="CK4925">
        <v>2</v>
      </c>
      <c r="CL4925">
        <v>0</v>
      </c>
      <c r="CM4925">
        <v>2</v>
      </c>
      <c r="CN4925">
        <v>0</v>
      </c>
      <c r="CO4925">
        <v>6</v>
      </c>
      <c r="CP4925" t="s">
        <v>119</v>
      </c>
      <c r="CQ4925">
        <v>358</v>
      </c>
      <c r="CR4925">
        <v>0</v>
      </c>
      <c r="CW4925">
        <v>5194545</v>
      </c>
      <c r="CY4925">
        <v>1</v>
      </c>
      <c r="CZ4925">
        <v>0</v>
      </c>
      <c r="DA4925">
        <v>1</v>
      </c>
      <c r="DB4925">
        <v>0</v>
      </c>
      <c r="DC4925">
        <v>0</v>
      </c>
      <c r="DD4925">
        <v>1</v>
      </c>
      <c r="DE4925">
        <v>0</v>
      </c>
      <c r="DF4925">
        <v>0</v>
      </c>
      <c r="DG4925">
        <v>0</v>
      </c>
      <c r="DH4925">
        <v>0</v>
      </c>
      <c r="DI4925">
        <v>0</v>
      </c>
    </row>
    <row r="4926" spans="1:113" x14ac:dyDescent="0.3">
      <c r="A4926" t="str">
        <f t="shared" ref="A4926:A4933" si="2268">"05/12/2020 14:50:01.450"</f>
        <v>05/12/2020 14:50:01.450</v>
      </c>
      <c r="C4926" t="str">
        <f t="shared" si="2251"/>
        <v>FFDFD3C0</v>
      </c>
      <c r="D4926" t="s">
        <v>113</v>
      </c>
      <c r="E4926">
        <v>3</v>
      </c>
      <c r="H4926">
        <v>164</v>
      </c>
      <c r="I4926" t="s">
        <v>114</v>
      </c>
      <c r="J4926" t="s">
        <v>115</v>
      </c>
      <c r="K4926">
        <v>0</v>
      </c>
      <c r="L4926">
        <v>3</v>
      </c>
      <c r="M4926">
        <v>0</v>
      </c>
      <c r="N4926">
        <v>2</v>
      </c>
      <c r="O4926">
        <v>1</v>
      </c>
      <c r="P4926">
        <v>0</v>
      </c>
      <c r="Q4926">
        <v>0</v>
      </c>
      <c r="S4926" t="str">
        <f t="shared" ref="S4926:S4933" si="2269">"14:50:19.281"</f>
        <v>14:50:19.281</v>
      </c>
      <c r="T4926" t="str">
        <f t="shared" ref="T4926:T4933" si="2270">"14:50:18.981"</f>
        <v>14:50:18.981</v>
      </c>
      <c r="U4926" t="str">
        <f t="shared" si="2242"/>
        <v>A9808D</v>
      </c>
      <c r="V4926">
        <v>0</v>
      </c>
      <c r="W4926">
        <v>0</v>
      </c>
      <c r="X4926">
        <v>1</v>
      </c>
      <c r="Z4926">
        <v>0</v>
      </c>
      <c r="AA4926">
        <v>9</v>
      </c>
      <c r="AB4926">
        <v>3</v>
      </c>
      <c r="AC4926">
        <v>0</v>
      </c>
      <c r="AD4926">
        <v>10</v>
      </c>
      <c r="AE4926">
        <v>0</v>
      </c>
      <c r="AF4926">
        <v>3</v>
      </c>
      <c r="AG4926">
        <v>2</v>
      </c>
      <c r="AH4926">
        <v>0</v>
      </c>
      <c r="AI4926" t="s">
        <v>1098</v>
      </c>
      <c r="AJ4926">
        <v>28.236687</v>
      </c>
      <c r="AK4926" t="s">
        <v>1099</v>
      </c>
      <c r="AL4926">
        <v>-82.362936000000005</v>
      </c>
      <c r="AM4926">
        <v>100</v>
      </c>
      <c r="AN4926">
        <v>2300</v>
      </c>
      <c r="AO4926" t="s">
        <v>118</v>
      </c>
      <c r="AP4926">
        <v>-99</v>
      </c>
      <c r="AQ4926">
        <v>-44</v>
      </c>
      <c r="AR4926">
        <v>-256</v>
      </c>
      <c r="AZ4926">
        <v>1200</v>
      </c>
      <c r="BA4926">
        <v>1</v>
      </c>
      <c r="BB4926" t="str">
        <f t="shared" si="2252"/>
        <v xml:space="preserve">N711JA  </v>
      </c>
      <c r="BC4926">
        <v>1</v>
      </c>
      <c r="BE4926">
        <v>0</v>
      </c>
      <c r="BF4926">
        <v>0</v>
      </c>
      <c r="BG4926">
        <v>0</v>
      </c>
      <c r="BH4926">
        <v>2375</v>
      </c>
      <c r="BI4926">
        <v>1</v>
      </c>
      <c r="BJ4926">
        <v>1</v>
      </c>
      <c r="BK4926">
        <v>0</v>
      </c>
      <c r="BL4926">
        <v>0</v>
      </c>
      <c r="BO4926">
        <v>0</v>
      </c>
      <c r="BP4926">
        <v>0</v>
      </c>
      <c r="BW4926" t="str">
        <f t="shared" ref="BW4926:BW4933" si="2271">"14:50:19.287"</f>
        <v>14:50:19.287</v>
      </c>
      <c r="CJ4926">
        <v>0</v>
      </c>
      <c r="CK4926">
        <v>2</v>
      </c>
      <c r="CL4926">
        <v>0</v>
      </c>
      <c r="CM4926">
        <v>2</v>
      </c>
      <c r="CN4926">
        <v>0</v>
      </c>
      <c r="CO4926">
        <v>6</v>
      </c>
      <c r="CP4926" t="s">
        <v>119</v>
      </c>
      <c r="CQ4926">
        <v>8</v>
      </c>
      <c r="CR4926">
        <v>3</v>
      </c>
      <c r="CW4926">
        <v>9214857</v>
      </c>
      <c r="CY4926">
        <v>1</v>
      </c>
      <c r="CZ4926">
        <v>0</v>
      </c>
      <c r="DA4926">
        <v>0</v>
      </c>
      <c r="DB4926">
        <v>0</v>
      </c>
      <c r="DC4926">
        <v>0</v>
      </c>
      <c r="DD4926">
        <v>1</v>
      </c>
      <c r="DE4926">
        <v>0</v>
      </c>
      <c r="DF4926">
        <v>0</v>
      </c>
      <c r="DG4926">
        <v>0</v>
      </c>
      <c r="DH4926">
        <v>0</v>
      </c>
      <c r="DI4926">
        <v>0</v>
      </c>
    </row>
    <row r="4927" spans="1:113" x14ac:dyDescent="0.3">
      <c r="A4927" t="str">
        <f t="shared" si="2268"/>
        <v>05/12/2020 14:50:01.450</v>
      </c>
      <c r="C4927" t="str">
        <f t="shared" si="2251"/>
        <v>FFDFD3C0</v>
      </c>
      <c r="D4927" t="s">
        <v>138</v>
      </c>
      <c r="E4927">
        <v>2</v>
      </c>
      <c r="H4927">
        <v>8</v>
      </c>
      <c r="I4927" t="s">
        <v>139</v>
      </c>
      <c r="J4927" t="s">
        <v>136</v>
      </c>
      <c r="K4927">
        <v>0</v>
      </c>
      <c r="L4927">
        <v>3</v>
      </c>
      <c r="M4927">
        <v>0</v>
      </c>
      <c r="N4927">
        <v>2</v>
      </c>
      <c r="O4927">
        <v>1</v>
      </c>
      <c r="P4927">
        <v>0</v>
      </c>
      <c r="Q4927">
        <v>0</v>
      </c>
      <c r="S4927" t="str">
        <f t="shared" si="2269"/>
        <v>14:50:19.281</v>
      </c>
      <c r="T4927" t="str">
        <f t="shared" si="2270"/>
        <v>14:50:18.981</v>
      </c>
      <c r="U4927" t="str">
        <f t="shared" si="2242"/>
        <v>A9808D</v>
      </c>
      <c r="V4927">
        <v>0</v>
      </c>
      <c r="W4927">
        <v>0</v>
      </c>
      <c r="X4927">
        <v>1</v>
      </c>
      <c r="Z4927">
        <v>0</v>
      </c>
      <c r="AA4927">
        <v>9</v>
      </c>
      <c r="AB4927">
        <v>3</v>
      </c>
      <c r="AC4927">
        <v>0</v>
      </c>
      <c r="AD4927">
        <v>10</v>
      </c>
      <c r="AE4927">
        <v>0</v>
      </c>
      <c r="AF4927">
        <v>3</v>
      </c>
      <c r="AG4927">
        <v>2</v>
      </c>
      <c r="AH4927">
        <v>0</v>
      </c>
      <c r="AI4927" t="s">
        <v>1098</v>
      </c>
      <c r="AJ4927">
        <v>28.236687</v>
      </c>
      <c r="AK4927" t="s">
        <v>1099</v>
      </c>
      <c r="AL4927">
        <v>-82.362936000000005</v>
      </c>
      <c r="AM4927">
        <v>100</v>
      </c>
      <c r="AN4927">
        <v>2300</v>
      </c>
      <c r="AO4927" t="s">
        <v>118</v>
      </c>
      <c r="AP4927">
        <v>-99</v>
      </c>
      <c r="AQ4927">
        <v>-44</v>
      </c>
      <c r="AR4927">
        <v>-256</v>
      </c>
      <c r="AZ4927">
        <v>1200</v>
      </c>
      <c r="BA4927">
        <v>1</v>
      </c>
      <c r="BB4927" t="str">
        <f t="shared" si="2252"/>
        <v xml:space="preserve">N711JA  </v>
      </c>
      <c r="BC4927">
        <v>1</v>
      </c>
      <c r="BE4927">
        <v>0</v>
      </c>
      <c r="BF4927">
        <v>0</v>
      </c>
      <c r="BG4927">
        <v>0</v>
      </c>
      <c r="BH4927">
        <v>2375</v>
      </c>
      <c r="BI4927">
        <v>1</v>
      </c>
      <c r="BJ4927">
        <v>1</v>
      </c>
      <c r="BK4927">
        <v>0</v>
      </c>
      <c r="BL4927">
        <v>0</v>
      </c>
      <c r="BO4927">
        <v>0</v>
      </c>
      <c r="BP4927">
        <v>0</v>
      </c>
      <c r="BW4927" t="str">
        <f t="shared" si="2271"/>
        <v>14:50:19.287</v>
      </c>
      <c r="CJ4927">
        <v>0</v>
      </c>
      <c r="CK4927">
        <v>2</v>
      </c>
      <c r="CL4927">
        <v>0</v>
      </c>
      <c r="CM4927">
        <v>2</v>
      </c>
      <c r="CN4927">
        <v>0</v>
      </c>
      <c r="CO4927">
        <v>6</v>
      </c>
      <c r="CP4927" t="s">
        <v>119</v>
      </c>
      <c r="CQ4927">
        <v>8</v>
      </c>
      <c r="CR4927">
        <v>3</v>
      </c>
      <c r="CW4927">
        <v>9214857</v>
      </c>
      <c r="CY4927">
        <v>1</v>
      </c>
      <c r="CZ4927">
        <v>0</v>
      </c>
      <c r="DA4927">
        <v>1</v>
      </c>
      <c r="DB4927">
        <v>0</v>
      </c>
      <c r="DC4927">
        <v>0</v>
      </c>
      <c r="DD4927">
        <v>1</v>
      </c>
      <c r="DE4927">
        <v>0</v>
      </c>
      <c r="DF4927">
        <v>0</v>
      </c>
      <c r="DG4927">
        <v>0</v>
      </c>
      <c r="DH4927">
        <v>0</v>
      </c>
      <c r="DI4927">
        <v>0</v>
      </c>
    </row>
    <row r="4928" spans="1:113" x14ac:dyDescent="0.3">
      <c r="A4928" t="str">
        <f t="shared" si="2268"/>
        <v>05/12/2020 14:50:01.450</v>
      </c>
      <c r="C4928" t="str">
        <f t="shared" si="2251"/>
        <v>FFDFD3C0</v>
      </c>
      <c r="D4928" t="s">
        <v>138</v>
      </c>
      <c r="E4928">
        <v>3</v>
      </c>
      <c r="H4928">
        <v>9</v>
      </c>
      <c r="I4928" t="s">
        <v>140</v>
      </c>
      <c r="J4928" t="s">
        <v>136</v>
      </c>
      <c r="K4928">
        <v>0</v>
      </c>
      <c r="L4928">
        <v>3</v>
      </c>
      <c r="M4928">
        <v>0</v>
      </c>
      <c r="N4928">
        <v>2</v>
      </c>
      <c r="O4928">
        <v>1</v>
      </c>
      <c r="P4928">
        <v>0</v>
      </c>
      <c r="Q4928">
        <v>0</v>
      </c>
      <c r="S4928" t="str">
        <f t="shared" si="2269"/>
        <v>14:50:19.281</v>
      </c>
      <c r="T4928" t="str">
        <f t="shared" si="2270"/>
        <v>14:50:18.981</v>
      </c>
      <c r="U4928" t="str">
        <f t="shared" si="2242"/>
        <v>A9808D</v>
      </c>
      <c r="V4928">
        <v>0</v>
      </c>
      <c r="W4928">
        <v>0</v>
      </c>
      <c r="X4928">
        <v>1</v>
      </c>
      <c r="Z4928">
        <v>0</v>
      </c>
      <c r="AA4928">
        <v>9</v>
      </c>
      <c r="AB4928">
        <v>3</v>
      </c>
      <c r="AC4928">
        <v>0</v>
      </c>
      <c r="AD4928">
        <v>10</v>
      </c>
      <c r="AE4928">
        <v>0</v>
      </c>
      <c r="AF4928">
        <v>3</v>
      </c>
      <c r="AG4928">
        <v>2</v>
      </c>
      <c r="AH4928">
        <v>0</v>
      </c>
      <c r="AI4928" t="s">
        <v>1098</v>
      </c>
      <c r="AJ4928">
        <v>28.236687</v>
      </c>
      <c r="AK4928" t="s">
        <v>1099</v>
      </c>
      <c r="AL4928">
        <v>-82.362936000000005</v>
      </c>
      <c r="AM4928">
        <v>100</v>
      </c>
      <c r="AN4928">
        <v>2300</v>
      </c>
      <c r="AO4928" t="s">
        <v>118</v>
      </c>
      <c r="AP4928">
        <v>-99</v>
      </c>
      <c r="AQ4928">
        <v>-44</v>
      </c>
      <c r="AR4928">
        <v>-256</v>
      </c>
      <c r="AZ4928">
        <v>1200</v>
      </c>
      <c r="BA4928">
        <v>1</v>
      </c>
      <c r="BB4928" t="str">
        <f t="shared" si="2252"/>
        <v xml:space="preserve">N711JA  </v>
      </c>
      <c r="BC4928">
        <v>1</v>
      </c>
      <c r="BE4928">
        <v>0</v>
      </c>
      <c r="BF4928">
        <v>0</v>
      </c>
      <c r="BG4928">
        <v>0</v>
      </c>
      <c r="BH4928">
        <v>2375</v>
      </c>
      <c r="BI4928">
        <v>1</v>
      </c>
      <c r="BJ4928">
        <v>1</v>
      </c>
      <c r="BK4928">
        <v>0</v>
      </c>
      <c r="BL4928">
        <v>0</v>
      </c>
      <c r="BO4928">
        <v>0</v>
      </c>
      <c r="BP4928">
        <v>0</v>
      </c>
      <c r="BW4928" t="str">
        <f t="shared" si="2271"/>
        <v>14:50:19.287</v>
      </c>
      <c r="CJ4928">
        <v>0</v>
      </c>
      <c r="CK4928">
        <v>2</v>
      </c>
      <c r="CL4928">
        <v>0</v>
      </c>
      <c r="CM4928">
        <v>2</v>
      </c>
      <c r="CN4928">
        <v>0</v>
      </c>
      <c r="CO4928">
        <v>6</v>
      </c>
      <c r="CP4928" t="s">
        <v>119</v>
      </c>
      <c r="CQ4928">
        <v>8</v>
      </c>
      <c r="CR4928">
        <v>3</v>
      </c>
      <c r="CW4928">
        <v>9214857</v>
      </c>
      <c r="CY4928">
        <v>1</v>
      </c>
      <c r="CZ4928">
        <v>0</v>
      </c>
      <c r="DA4928">
        <v>1</v>
      </c>
      <c r="DB4928">
        <v>0</v>
      </c>
      <c r="DC4928">
        <v>0</v>
      </c>
      <c r="DD4928">
        <v>1</v>
      </c>
      <c r="DE4928">
        <v>0</v>
      </c>
      <c r="DF4928">
        <v>0</v>
      </c>
      <c r="DG4928">
        <v>0</v>
      </c>
      <c r="DH4928">
        <v>0</v>
      </c>
      <c r="DI4928">
        <v>0</v>
      </c>
    </row>
    <row r="4929" spans="1:113" x14ac:dyDescent="0.3">
      <c r="A4929" t="str">
        <f t="shared" si="2268"/>
        <v>05/12/2020 14:50:01.450</v>
      </c>
      <c r="C4929" t="str">
        <f t="shared" si="2251"/>
        <v>FFDFD3C0</v>
      </c>
      <c r="D4929" t="s">
        <v>126</v>
      </c>
      <c r="E4929">
        <v>7</v>
      </c>
      <c r="F4929">
        <v>1007</v>
      </c>
      <c r="G4929" t="s">
        <v>127</v>
      </c>
      <c r="J4929" t="s">
        <v>128</v>
      </c>
      <c r="K4929">
        <v>0</v>
      </c>
      <c r="L4929">
        <v>3</v>
      </c>
      <c r="M4929">
        <v>0</v>
      </c>
      <c r="N4929">
        <v>2</v>
      </c>
      <c r="O4929">
        <v>1</v>
      </c>
      <c r="P4929">
        <v>0</v>
      </c>
      <c r="Q4929">
        <v>0</v>
      </c>
      <c r="S4929" t="str">
        <f t="shared" si="2269"/>
        <v>14:50:19.281</v>
      </c>
      <c r="T4929" t="str">
        <f t="shared" si="2270"/>
        <v>14:50:18.981</v>
      </c>
      <c r="U4929" t="str">
        <f t="shared" si="2242"/>
        <v>A9808D</v>
      </c>
      <c r="V4929">
        <v>0</v>
      </c>
      <c r="W4929">
        <v>0</v>
      </c>
      <c r="X4929">
        <v>1</v>
      </c>
      <c r="Z4929">
        <v>0</v>
      </c>
      <c r="AA4929">
        <v>9</v>
      </c>
      <c r="AB4929">
        <v>3</v>
      </c>
      <c r="AC4929">
        <v>0</v>
      </c>
      <c r="AD4929">
        <v>10</v>
      </c>
      <c r="AE4929">
        <v>0</v>
      </c>
      <c r="AF4929">
        <v>3</v>
      </c>
      <c r="AG4929">
        <v>2</v>
      </c>
      <c r="AH4929">
        <v>0</v>
      </c>
      <c r="AI4929" t="s">
        <v>1098</v>
      </c>
      <c r="AJ4929">
        <v>28.236687</v>
      </c>
      <c r="AK4929" t="s">
        <v>1099</v>
      </c>
      <c r="AL4929">
        <v>-82.362936000000005</v>
      </c>
      <c r="AM4929">
        <v>100</v>
      </c>
      <c r="AN4929">
        <v>2300</v>
      </c>
      <c r="AO4929" t="s">
        <v>118</v>
      </c>
      <c r="AP4929">
        <v>-99</v>
      </c>
      <c r="AQ4929">
        <v>-44</v>
      </c>
      <c r="AR4929">
        <v>-256</v>
      </c>
      <c r="AZ4929">
        <v>1200</v>
      </c>
      <c r="BA4929">
        <v>1</v>
      </c>
      <c r="BB4929" t="str">
        <f t="shared" si="2252"/>
        <v xml:space="preserve">N711JA  </v>
      </c>
      <c r="BC4929">
        <v>1</v>
      </c>
      <c r="BE4929">
        <v>0</v>
      </c>
      <c r="BF4929">
        <v>0</v>
      </c>
      <c r="BG4929">
        <v>0</v>
      </c>
      <c r="BH4929">
        <v>2375</v>
      </c>
      <c r="BI4929">
        <v>1</v>
      </c>
      <c r="BJ4929">
        <v>1</v>
      </c>
      <c r="BK4929">
        <v>0</v>
      </c>
      <c r="BL4929">
        <v>0</v>
      </c>
      <c r="BO4929">
        <v>0</v>
      </c>
      <c r="BP4929">
        <v>0</v>
      </c>
      <c r="BW4929" t="str">
        <f t="shared" si="2271"/>
        <v>14:50:19.287</v>
      </c>
      <c r="CJ4929">
        <v>0</v>
      </c>
      <c r="CK4929">
        <v>2</v>
      </c>
      <c r="CL4929">
        <v>0</v>
      </c>
      <c r="CM4929">
        <v>2</v>
      </c>
      <c r="CN4929">
        <v>0</v>
      </c>
      <c r="CO4929">
        <v>6</v>
      </c>
      <c r="CP4929" t="s">
        <v>119</v>
      </c>
      <c r="CQ4929">
        <v>8</v>
      </c>
      <c r="CR4929">
        <v>3</v>
      </c>
      <c r="CW4929">
        <v>9214857</v>
      </c>
      <c r="CY4929">
        <v>1</v>
      </c>
      <c r="CZ4929">
        <v>0</v>
      </c>
      <c r="DA4929">
        <v>1</v>
      </c>
      <c r="DB4929">
        <v>0</v>
      </c>
      <c r="DC4929">
        <v>0</v>
      </c>
      <c r="DD4929">
        <v>1</v>
      </c>
      <c r="DE4929">
        <v>0</v>
      </c>
      <c r="DF4929">
        <v>0</v>
      </c>
      <c r="DG4929">
        <v>0</v>
      </c>
      <c r="DH4929">
        <v>0</v>
      </c>
      <c r="DI4929">
        <v>0</v>
      </c>
    </row>
    <row r="4930" spans="1:113" x14ac:dyDescent="0.3">
      <c r="A4930" t="str">
        <f t="shared" si="2268"/>
        <v>05/12/2020 14:50:01.450</v>
      </c>
      <c r="C4930" t="str">
        <f t="shared" si="2251"/>
        <v>FFDFD3C0</v>
      </c>
      <c r="D4930" t="s">
        <v>131</v>
      </c>
      <c r="E4930">
        <v>12</v>
      </c>
      <c r="F4930">
        <v>2012</v>
      </c>
      <c r="G4930" t="s">
        <v>137</v>
      </c>
      <c r="J4930" t="s">
        <v>133</v>
      </c>
      <c r="K4930">
        <v>0</v>
      </c>
      <c r="L4930">
        <v>3</v>
      </c>
      <c r="M4930">
        <v>0</v>
      </c>
      <c r="N4930">
        <v>2</v>
      </c>
      <c r="O4930">
        <v>1</v>
      </c>
      <c r="P4930">
        <v>0</v>
      </c>
      <c r="Q4930">
        <v>0</v>
      </c>
      <c r="S4930" t="str">
        <f t="shared" si="2269"/>
        <v>14:50:19.281</v>
      </c>
      <c r="T4930" t="str">
        <f t="shared" si="2270"/>
        <v>14:50:18.981</v>
      </c>
      <c r="U4930" t="str">
        <f t="shared" ref="U4930:U4993" si="2272">"A9808D"</f>
        <v>A9808D</v>
      </c>
      <c r="V4930">
        <v>0</v>
      </c>
      <c r="W4930">
        <v>0</v>
      </c>
      <c r="X4930">
        <v>1</v>
      </c>
      <c r="Z4930">
        <v>0</v>
      </c>
      <c r="AA4930">
        <v>9</v>
      </c>
      <c r="AB4930">
        <v>3</v>
      </c>
      <c r="AC4930">
        <v>0</v>
      </c>
      <c r="AD4930">
        <v>10</v>
      </c>
      <c r="AE4930">
        <v>0</v>
      </c>
      <c r="AF4930">
        <v>3</v>
      </c>
      <c r="AG4930">
        <v>2</v>
      </c>
      <c r="AH4930">
        <v>0</v>
      </c>
      <c r="AI4930" t="s">
        <v>1098</v>
      </c>
      <c r="AJ4930">
        <v>28.236687</v>
      </c>
      <c r="AK4930" t="s">
        <v>1099</v>
      </c>
      <c r="AL4930">
        <v>-82.362936000000005</v>
      </c>
      <c r="AM4930">
        <v>100</v>
      </c>
      <c r="AN4930">
        <v>2300</v>
      </c>
      <c r="AO4930" t="s">
        <v>118</v>
      </c>
      <c r="AP4930">
        <v>-99</v>
      </c>
      <c r="AQ4930">
        <v>-44</v>
      </c>
      <c r="AR4930">
        <v>-256</v>
      </c>
      <c r="AZ4930">
        <v>1200</v>
      </c>
      <c r="BA4930">
        <v>1</v>
      </c>
      <c r="BB4930" t="str">
        <f t="shared" si="2252"/>
        <v xml:space="preserve">N711JA  </v>
      </c>
      <c r="BC4930">
        <v>1</v>
      </c>
      <c r="BE4930">
        <v>0</v>
      </c>
      <c r="BF4930">
        <v>0</v>
      </c>
      <c r="BG4930">
        <v>0</v>
      </c>
      <c r="BH4930">
        <v>2375</v>
      </c>
      <c r="BI4930">
        <v>1</v>
      </c>
      <c r="BJ4930">
        <v>1</v>
      </c>
      <c r="BK4930">
        <v>0</v>
      </c>
      <c r="BL4930">
        <v>0</v>
      </c>
      <c r="BO4930">
        <v>0</v>
      </c>
      <c r="BP4930">
        <v>0</v>
      </c>
      <c r="BW4930" t="str">
        <f t="shared" si="2271"/>
        <v>14:50:19.287</v>
      </c>
      <c r="CJ4930">
        <v>0</v>
      </c>
      <c r="CK4930">
        <v>2</v>
      </c>
      <c r="CL4930">
        <v>0</v>
      </c>
      <c r="CM4930">
        <v>2</v>
      </c>
      <c r="CN4930">
        <v>0</v>
      </c>
      <c r="CO4930">
        <v>6</v>
      </c>
      <c r="CP4930" t="s">
        <v>119</v>
      </c>
      <c r="CQ4930">
        <v>8</v>
      </c>
      <c r="CR4930">
        <v>3</v>
      </c>
      <c r="CW4930">
        <v>9214857</v>
      </c>
      <c r="CY4930">
        <v>1</v>
      </c>
      <c r="CZ4930">
        <v>0</v>
      </c>
      <c r="DA4930">
        <v>1</v>
      </c>
      <c r="DB4930">
        <v>0</v>
      </c>
      <c r="DC4930">
        <v>0</v>
      </c>
      <c r="DD4930">
        <v>1</v>
      </c>
      <c r="DE4930">
        <v>0</v>
      </c>
      <c r="DF4930">
        <v>0</v>
      </c>
      <c r="DG4930">
        <v>0</v>
      </c>
      <c r="DH4930">
        <v>0</v>
      </c>
      <c r="DI4930">
        <v>0</v>
      </c>
    </row>
    <row r="4931" spans="1:113" x14ac:dyDescent="0.3">
      <c r="A4931" t="str">
        <f t="shared" si="2268"/>
        <v>05/12/2020 14:50:01.450</v>
      </c>
      <c r="C4931" t="str">
        <f t="shared" si="2251"/>
        <v>FFDFD3C0</v>
      </c>
      <c r="D4931" t="s">
        <v>131</v>
      </c>
      <c r="E4931">
        <v>10</v>
      </c>
      <c r="F4931">
        <v>2010</v>
      </c>
      <c r="G4931" t="s">
        <v>132</v>
      </c>
      <c r="J4931" t="s">
        <v>133</v>
      </c>
      <c r="K4931">
        <v>0</v>
      </c>
      <c r="L4931">
        <v>3</v>
      </c>
      <c r="M4931">
        <v>0</v>
      </c>
      <c r="N4931">
        <v>2</v>
      </c>
      <c r="O4931">
        <v>1</v>
      </c>
      <c r="P4931">
        <v>0</v>
      </c>
      <c r="Q4931">
        <v>0</v>
      </c>
      <c r="S4931" t="str">
        <f t="shared" si="2269"/>
        <v>14:50:19.281</v>
      </c>
      <c r="T4931" t="str">
        <f t="shared" si="2270"/>
        <v>14:50:18.981</v>
      </c>
      <c r="U4931" t="str">
        <f t="shared" si="2272"/>
        <v>A9808D</v>
      </c>
      <c r="V4931">
        <v>0</v>
      </c>
      <c r="W4931">
        <v>0</v>
      </c>
      <c r="X4931">
        <v>1</v>
      </c>
      <c r="Z4931">
        <v>0</v>
      </c>
      <c r="AA4931">
        <v>9</v>
      </c>
      <c r="AB4931">
        <v>3</v>
      </c>
      <c r="AC4931">
        <v>0</v>
      </c>
      <c r="AD4931">
        <v>10</v>
      </c>
      <c r="AE4931">
        <v>0</v>
      </c>
      <c r="AF4931">
        <v>3</v>
      </c>
      <c r="AG4931">
        <v>2</v>
      </c>
      <c r="AH4931">
        <v>0</v>
      </c>
      <c r="AI4931" t="s">
        <v>1098</v>
      </c>
      <c r="AJ4931">
        <v>28.236687</v>
      </c>
      <c r="AK4931" t="s">
        <v>1099</v>
      </c>
      <c r="AL4931">
        <v>-82.362936000000005</v>
      </c>
      <c r="AM4931">
        <v>100</v>
      </c>
      <c r="AN4931">
        <v>2300</v>
      </c>
      <c r="AO4931" t="s">
        <v>118</v>
      </c>
      <c r="AP4931">
        <v>-99</v>
      </c>
      <c r="AQ4931">
        <v>-44</v>
      </c>
      <c r="AR4931">
        <v>-256</v>
      </c>
      <c r="AZ4931">
        <v>1200</v>
      </c>
      <c r="BA4931">
        <v>1</v>
      </c>
      <c r="BB4931" t="str">
        <f t="shared" si="2252"/>
        <v xml:space="preserve">N711JA  </v>
      </c>
      <c r="BC4931">
        <v>1</v>
      </c>
      <c r="BE4931">
        <v>0</v>
      </c>
      <c r="BF4931">
        <v>0</v>
      </c>
      <c r="BG4931">
        <v>0</v>
      </c>
      <c r="BH4931">
        <v>2375</v>
      </c>
      <c r="BI4931">
        <v>1</v>
      </c>
      <c r="BJ4931">
        <v>1</v>
      </c>
      <c r="BK4931">
        <v>0</v>
      </c>
      <c r="BL4931">
        <v>0</v>
      </c>
      <c r="BO4931">
        <v>0</v>
      </c>
      <c r="BP4931">
        <v>0</v>
      </c>
      <c r="BW4931" t="str">
        <f t="shared" si="2271"/>
        <v>14:50:19.287</v>
      </c>
      <c r="CJ4931">
        <v>0</v>
      </c>
      <c r="CK4931">
        <v>2</v>
      </c>
      <c r="CL4931">
        <v>0</v>
      </c>
      <c r="CM4931">
        <v>2</v>
      </c>
      <c r="CN4931">
        <v>0</v>
      </c>
      <c r="CO4931">
        <v>6</v>
      </c>
      <c r="CP4931" t="s">
        <v>119</v>
      </c>
      <c r="CQ4931">
        <v>8</v>
      </c>
      <c r="CR4931">
        <v>3</v>
      </c>
      <c r="CW4931">
        <v>9214857</v>
      </c>
      <c r="CY4931">
        <v>1</v>
      </c>
      <c r="CZ4931">
        <v>0</v>
      </c>
      <c r="DA4931">
        <v>1</v>
      </c>
      <c r="DB4931">
        <v>0</v>
      </c>
      <c r="DC4931">
        <v>0</v>
      </c>
      <c r="DD4931">
        <v>1</v>
      </c>
      <c r="DE4931">
        <v>0</v>
      </c>
      <c r="DF4931">
        <v>0</v>
      </c>
      <c r="DG4931">
        <v>0</v>
      </c>
      <c r="DH4931">
        <v>0</v>
      </c>
      <c r="DI4931">
        <v>0</v>
      </c>
    </row>
    <row r="4932" spans="1:113" x14ac:dyDescent="0.3">
      <c r="A4932" t="str">
        <f t="shared" si="2268"/>
        <v>05/12/2020 14:50:01.450</v>
      </c>
      <c r="C4932" t="str">
        <f t="shared" si="2251"/>
        <v>FFDFD3C0</v>
      </c>
      <c r="D4932" t="s">
        <v>134</v>
      </c>
      <c r="E4932">
        <v>12</v>
      </c>
      <c r="H4932">
        <v>64</v>
      </c>
      <c r="I4932" t="s">
        <v>135</v>
      </c>
      <c r="J4932" t="s">
        <v>136</v>
      </c>
      <c r="K4932">
        <v>0</v>
      </c>
      <c r="L4932">
        <v>3</v>
      </c>
      <c r="M4932">
        <v>0</v>
      </c>
      <c r="N4932">
        <v>2</v>
      </c>
      <c r="O4932">
        <v>1</v>
      </c>
      <c r="P4932">
        <v>0</v>
      </c>
      <c r="Q4932">
        <v>0</v>
      </c>
      <c r="S4932" t="str">
        <f t="shared" si="2269"/>
        <v>14:50:19.281</v>
      </c>
      <c r="T4932" t="str">
        <f t="shared" si="2270"/>
        <v>14:50:18.981</v>
      </c>
      <c r="U4932" t="str">
        <f t="shared" si="2272"/>
        <v>A9808D</v>
      </c>
      <c r="V4932">
        <v>0</v>
      </c>
      <c r="W4932">
        <v>0</v>
      </c>
      <c r="X4932">
        <v>1</v>
      </c>
      <c r="Z4932">
        <v>0</v>
      </c>
      <c r="AA4932">
        <v>9</v>
      </c>
      <c r="AB4932">
        <v>3</v>
      </c>
      <c r="AC4932">
        <v>0</v>
      </c>
      <c r="AD4932">
        <v>10</v>
      </c>
      <c r="AE4932">
        <v>0</v>
      </c>
      <c r="AF4932">
        <v>3</v>
      </c>
      <c r="AG4932">
        <v>2</v>
      </c>
      <c r="AH4932">
        <v>0</v>
      </c>
      <c r="AI4932" t="s">
        <v>1098</v>
      </c>
      <c r="AJ4932">
        <v>28.236687</v>
      </c>
      <c r="AK4932" t="s">
        <v>1099</v>
      </c>
      <c r="AL4932">
        <v>-82.362936000000005</v>
      </c>
      <c r="AM4932">
        <v>100</v>
      </c>
      <c r="AN4932">
        <v>2300</v>
      </c>
      <c r="AO4932" t="s">
        <v>118</v>
      </c>
      <c r="AP4932">
        <v>-99</v>
      </c>
      <c r="AQ4932">
        <v>-44</v>
      </c>
      <c r="AR4932">
        <v>-256</v>
      </c>
      <c r="AZ4932">
        <v>1200</v>
      </c>
      <c r="BA4932">
        <v>1</v>
      </c>
      <c r="BB4932" t="str">
        <f t="shared" si="2252"/>
        <v xml:space="preserve">N711JA  </v>
      </c>
      <c r="BC4932">
        <v>1</v>
      </c>
      <c r="BE4932">
        <v>0</v>
      </c>
      <c r="BF4932">
        <v>0</v>
      </c>
      <c r="BG4932">
        <v>0</v>
      </c>
      <c r="BH4932">
        <v>2375</v>
      </c>
      <c r="BI4932">
        <v>1</v>
      </c>
      <c r="BJ4932">
        <v>1</v>
      </c>
      <c r="BK4932">
        <v>0</v>
      </c>
      <c r="BL4932">
        <v>0</v>
      </c>
      <c r="BO4932">
        <v>0</v>
      </c>
      <c r="BP4932">
        <v>0</v>
      </c>
      <c r="BW4932" t="str">
        <f t="shared" si="2271"/>
        <v>14:50:19.287</v>
      </c>
      <c r="CJ4932">
        <v>0</v>
      </c>
      <c r="CK4932">
        <v>2</v>
      </c>
      <c r="CL4932">
        <v>0</v>
      </c>
      <c r="CM4932">
        <v>2</v>
      </c>
      <c r="CN4932">
        <v>0</v>
      </c>
      <c r="CO4932">
        <v>6</v>
      </c>
      <c r="CP4932" t="s">
        <v>119</v>
      </c>
      <c r="CQ4932">
        <v>8</v>
      </c>
      <c r="CR4932">
        <v>3</v>
      </c>
      <c r="CW4932">
        <v>9214857</v>
      </c>
      <c r="CY4932">
        <v>1</v>
      </c>
      <c r="CZ4932">
        <v>0</v>
      </c>
      <c r="DA4932">
        <v>1</v>
      </c>
      <c r="DB4932">
        <v>0</v>
      </c>
      <c r="DC4932">
        <v>0</v>
      </c>
      <c r="DD4932">
        <v>1</v>
      </c>
      <c r="DE4932">
        <v>0</v>
      </c>
      <c r="DF4932">
        <v>0</v>
      </c>
      <c r="DG4932">
        <v>0</v>
      </c>
      <c r="DH4932">
        <v>0</v>
      </c>
      <c r="DI4932">
        <v>0</v>
      </c>
    </row>
    <row r="4933" spans="1:113" x14ac:dyDescent="0.3">
      <c r="A4933" t="str">
        <f t="shared" si="2268"/>
        <v>05/12/2020 14:50:01.450</v>
      </c>
      <c r="C4933" t="str">
        <f t="shared" si="2251"/>
        <v>FFDFD3C0</v>
      </c>
      <c r="D4933" t="s">
        <v>126</v>
      </c>
      <c r="E4933">
        <v>6</v>
      </c>
      <c r="F4933">
        <v>1006</v>
      </c>
      <c r="G4933" t="s">
        <v>114</v>
      </c>
      <c r="J4933" t="s">
        <v>128</v>
      </c>
      <c r="K4933">
        <v>0</v>
      </c>
      <c r="L4933">
        <v>3</v>
      </c>
      <c r="M4933">
        <v>0</v>
      </c>
      <c r="N4933">
        <v>2</v>
      </c>
      <c r="O4933">
        <v>1</v>
      </c>
      <c r="P4933">
        <v>0</v>
      </c>
      <c r="Q4933">
        <v>0</v>
      </c>
      <c r="S4933" t="str">
        <f t="shared" si="2269"/>
        <v>14:50:19.281</v>
      </c>
      <c r="T4933" t="str">
        <f t="shared" si="2270"/>
        <v>14:50:18.981</v>
      </c>
      <c r="U4933" t="str">
        <f t="shared" si="2272"/>
        <v>A9808D</v>
      </c>
      <c r="V4933">
        <v>0</v>
      </c>
      <c r="W4933">
        <v>0</v>
      </c>
      <c r="X4933">
        <v>1</v>
      </c>
      <c r="Z4933">
        <v>0</v>
      </c>
      <c r="AA4933">
        <v>9</v>
      </c>
      <c r="AB4933">
        <v>3</v>
      </c>
      <c r="AC4933">
        <v>0</v>
      </c>
      <c r="AD4933">
        <v>10</v>
      </c>
      <c r="AE4933">
        <v>0</v>
      </c>
      <c r="AF4933">
        <v>3</v>
      </c>
      <c r="AG4933">
        <v>2</v>
      </c>
      <c r="AH4933">
        <v>0</v>
      </c>
      <c r="AI4933" t="s">
        <v>1098</v>
      </c>
      <c r="AJ4933">
        <v>28.236687</v>
      </c>
      <c r="AK4933" t="s">
        <v>1099</v>
      </c>
      <c r="AL4933">
        <v>-82.362936000000005</v>
      </c>
      <c r="AM4933">
        <v>100</v>
      </c>
      <c r="AN4933">
        <v>2300</v>
      </c>
      <c r="AO4933" t="s">
        <v>118</v>
      </c>
      <c r="AP4933">
        <v>-99</v>
      </c>
      <c r="AQ4933">
        <v>-44</v>
      </c>
      <c r="AR4933">
        <v>-256</v>
      </c>
      <c r="AZ4933">
        <v>1200</v>
      </c>
      <c r="BA4933">
        <v>1</v>
      </c>
      <c r="BB4933" t="str">
        <f t="shared" si="2252"/>
        <v xml:space="preserve">N711JA  </v>
      </c>
      <c r="BC4933">
        <v>1</v>
      </c>
      <c r="BE4933">
        <v>0</v>
      </c>
      <c r="BF4933">
        <v>0</v>
      </c>
      <c r="BG4933">
        <v>0</v>
      </c>
      <c r="BH4933">
        <v>2375</v>
      </c>
      <c r="BI4933">
        <v>1</v>
      </c>
      <c r="BJ4933">
        <v>1</v>
      </c>
      <c r="BK4933">
        <v>0</v>
      </c>
      <c r="BL4933">
        <v>0</v>
      </c>
      <c r="BO4933">
        <v>0</v>
      </c>
      <c r="BP4933">
        <v>0</v>
      </c>
      <c r="BW4933" t="str">
        <f t="shared" si="2271"/>
        <v>14:50:19.287</v>
      </c>
      <c r="CJ4933">
        <v>0</v>
      </c>
      <c r="CK4933">
        <v>2</v>
      </c>
      <c r="CL4933">
        <v>0</v>
      </c>
      <c r="CM4933">
        <v>2</v>
      </c>
      <c r="CN4933">
        <v>0</v>
      </c>
      <c r="CO4933">
        <v>6</v>
      </c>
      <c r="CP4933" t="s">
        <v>119</v>
      </c>
      <c r="CQ4933">
        <v>8</v>
      </c>
      <c r="CR4933">
        <v>3</v>
      </c>
      <c r="CW4933">
        <v>9214857</v>
      </c>
      <c r="CY4933">
        <v>1</v>
      </c>
      <c r="CZ4933">
        <v>0</v>
      </c>
      <c r="DA4933">
        <v>1</v>
      </c>
      <c r="DB4933">
        <v>0</v>
      </c>
      <c r="DC4933">
        <v>0</v>
      </c>
      <c r="DD4933">
        <v>1</v>
      </c>
      <c r="DE4933">
        <v>0</v>
      </c>
      <c r="DF4933">
        <v>0</v>
      </c>
      <c r="DG4933">
        <v>0</v>
      </c>
      <c r="DH4933">
        <v>0</v>
      </c>
      <c r="DI4933">
        <v>0</v>
      </c>
    </row>
    <row r="4934" spans="1:113" x14ac:dyDescent="0.3">
      <c r="A4934" t="str">
        <f t="shared" ref="A4934:A4942" si="2273">"05/12/2020 14:50:02.386"</f>
        <v>05/12/2020 14:50:02.386</v>
      </c>
      <c r="C4934" t="str">
        <f t="shared" si="2251"/>
        <v>FFDFD3C0</v>
      </c>
      <c r="D4934" t="s">
        <v>126</v>
      </c>
      <c r="E4934">
        <v>6</v>
      </c>
      <c r="F4934">
        <v>1006</v>
      </c>
      <c r="G4934" t="s">
        <v>114</v>
      </c>
      <c r="J4934" t="s">
        <v>128</v>
      </c>
      <c r="K4934">
        <v>0</v>
      </c>
      <c r="L4934">
        <v>3</v>
      </c>
      <c r="M4934">
        <v>0</v>
      </c>
      <c r="N4934">
        <v>2</v>
      </c>
      <c r="O4934">
        <v>1</v>
      </c>
      <c r="P4934">
        <v>0</v>
      </c>
      <c r="Q4934">
        <v>0</v>
      </c>
      <c r="S4934" t="str">
        <f t="shared" ref="S4934:S4942" si="2274">"14:50:20.219"</f>
        <v>14:50:20.219</v>
      </c>
      <c r="T4934" t="str">
        <f t="shared" ref="T4934:T4940" si="2275">"14:50:19.919"</f>
        <v>14:50:19.919</v>
      </c>
      <c r="U4934" t="str">
        <f t="shared" si="2272"/>
        <v>A9808D</v>
      </c>
      <c r="V4934">
        <v>0</v>
      </c>
      <c r="W4934">
        <v>0</v>
      </c>
      <c r="X4934">
        <v>1</v>
      </c>
      <c r="Z4934">
        <v>0</v>
      </c>
      <c r="AA4934">
        <v>9</v>
      </c>
      <c r="AB4934">
        <v>3</v>
      </c>
      <c r="AC4934">
        <v>0</v>
      </c>
      <c r="AD4934">
        <v>10</v>
      </c>
      <c r="AE4934">
        <v>0</v>
      </c>
      <c r="AF4934">
        <v>3</v>
      </c>
      <c r="AG4934">
        <v>2</v>
      </c>
      <c r="AH4934">
        <v>0</v>
      </c>
      <c r="AI4934" t="s">
        <v>1100</v>
      </c>
      <c r="AJ4934">
        <v>28.236516000000002</v>
      </c>
      <c r="AK4934" t="s">
        <v>1101</v>
      </c>
      <c r="AL4934">
        <v>-82.363386000000006</v>
      </c>
      <c r="AM4934">
        <v>100</v>
      </c>
      <c r="AN4934">
        <v>2300</v>
      </c>
      <c r="AO4934" t="s">
        <v>118</v>
      </c>
      <c r="AP4934">
        <v>-99</v>
      </c>
      <c r="AQ4934">
        <v>-44</v>
      </c>
      <c r="AR4934">
        <v>-384</v>
      </c>
      <c r="AZ4934">
        <v>1200</v>
      </c>
      <c r="BA4934">
        <v>1</v>
      </c>
      <c r="BB4934" t="str">
        <f t="shared" si="2252"/>
        <v xml:space="preserve">N711JA  </v>
      </c>
      <c r="BC4934">
        <v>1</v>
      </c>
      <c r="BE4934">
        <v>0</v>
      </c>
      <c r="BF4934">
        <v>0</v>
      </c>
      <c r="BG4934">
        <v>0</v>
      </c>
      <c r="BH4934">
        <v>2375</v>
      </c>
      <c r="BI4934">
        <v>1</v>
      </c>
      <c r="BJ4934">
        <v>1</v>
      </c>
      <c r="BK4934">
        <v>0</v>
      </c>
      <c r="BL4934">
        <v>0</v>
      </c>
      <c r="BO4934">
        <v>0</v>
      </c>
      <c r="BP4934">
        <v>0</v>
      </c>
      <c r="BW4934" t="str">
        <f t="shared" ref="BW4934:BW4942" si="2276">"14:50:20.225"</f>
        <v>14:50:20.225</v>
      </c>
      <c r="CJ4934">
        <v>0</v>
      </c>
      <c r="CK4934">
        <v>2</v>
      </c>
      <c r="CL4934">
        <v>0</v>
      </c>
      <c r="CM4934">
        <v>2</v>
      </c>
      <c r="CN4934">
        <v>0</v>
      </c>
      <c r="CO4934">
        <v>6</v>
      </c>
      <c r="CP4934" t="s">
        <v>119</v>
      </c>
      <c r="CQ4934">
        <v>8</v>
      </c>
      <c r="CR4934">
        <v>3</v>
      </c>
      <c r="CW4934">
        <v>9215771</v>
      </c>
      <c r="CY4934">
        <v>1</v>
      </c>
      <c r="CZ4934">
        <v>0</v>
      </c>
      <c r="DA4934">
        <v>0</v>
      </c>
      <c r="DB4934">
        <v>0</v>
      </c>
      <c r="DC4934">
        <v>0</v>
      </c>
      <c r="DD4934">
        <v>1</v>
      </c>
      <c r="DE4934">
        <v>0</v>
      </c>
      <c r="DF4934">
        <v>0</v>
      </c>
      <c r="DG4934">
        <v>0</v>
      </c>
      <c r="DH4934">
        <v>0</v>
      </c>
      <c r="DI4934">
        <v>0</v>
      </c>
    </row>
    <row r="4935" spans="1:113" x14ac:dyDescent="0.3">
      <c r="A4935" t="str">
        <f t="shared" si="2273"/>
        <v>05/12/2020 14:50:02.386</v>
      </c>
      <c r="C4935" t="str">
        <f t="shared" si="2251"/>
        <v>FFDFD3C0</v>
      </c>
      <c r="D4935" t="s">
        <v>113</v>
      </c>
      <c r="E4935">
        <v>3</v>
      </c>
      <c r="H4935">
        <v>164</v>
      </c>
      <c r="I4935" t="s">
        <v>114</v>
      </c>
      <c r="J4935" t="s">
        <v>115</v>
      </c>
      <c r="K4935">
        <v>0</v>
      </c>
      <c r="L4935">
        <v>3</v>
      </c>
      <c r="M4935">
        <v>0</v>
      </c>
      <c r="N4935">
        <v>2</v>
      </c>
      <c r="O4935">
        <v>1</v>
      </c>
      <c r="P4935">
        <v>0</v>
      </c>
      <c r="Q4935">
        <v>0</v>
      </c>
      <c r="S4935" t="str">
        <f t="shared" si="2274"/>
        <v>14:50:20.219</v>
      </c>
      <c r="T4935" t="str">
        <f t="shared" si="2275"/>
        <v>14:50:19.919</v>
      </c>
      <c r="U4935" t="str">
        <f t="shared" si="2272"/>
        <v>A9808D</v>
      </c>
      <c r="V4935">
        <v>0</v>
      </c>
      <c r="W4935">
        <v>0</v>
      </c>
      <c r="X4935">
        <v>1</v>
      </c>
      <c r="Z4935">
        <v>0</v>
      </c>
      <c r="AA4935">
        <v>9</v>
      </c>
      <c r="AB4935">
        <v>3</v>
      </c>
      <c r="AC4935">
        <v>0</v>
      </c>
      <c r="AD4935">
        <v>10</v>
      </c>
      <c r="AE4935">
        <v>0</v>
      </c>
      <c r="AF4935">
        <v>3</v>
      </c>
      <c r="AG4935">
        <v>2</v>
      </c>
      <c r="AH4935">
        <v>0</v>
      </c>
      <c r="AI4935" t="s">
        <v>1100</v>
      </c>
      <c r="AJ4935">
        <v>28.236516000000002</v>
      </c>
      <c r="AK4935" t="s">
        <v>1101</v>
      </c>
      <c r="AL4935">
        <v>-82.363386000000006</v>
      </c>
      <c r="AM4935">
        <v>100</v>
      </c>
      <c r="AN4935">
        <v>2300</v>
      </c>
      <c r="AO4935" t="s">
        <v>118</v>
      </c>
      <c r="AP4935">
        <v>-99</v>
      </c>
      <c r="AQ4935">
        <v>-44</v>
      </c>
      <c r="AR4935">
        <v>-384</v>
      </c>
      <c r="AZ4935">
        <v>1200</v>
      </c>
      <c r="BA4935">
        <v>1</v>
      </c>
      <c r="BB4935" t="str">
        <f t="shared" si="2252"/>
        <v xml:space="preserve">N711JA  </v>
      </c>
      <c r="BC4935">
        <v>1</v>
      </c>
      <c r="BE4935">
        <v>0</v>
      </c>
      <c r="BF4935">
        <v>0</v>
      </c>
      <c r="BG4935">
        <v>0</v>
      </c>
      <c r="BH4935">
        <v>2375</v>
      </c>
      <c r="BI4935">
        <v>1</v>
      </c>
      <c r="BJ4935">
        <v>1</v>
      </c>
      <c r="BK4935">
        <v>0</v>
      </c>
      <c r="BL4935">
        <v>0</v>
      </c>
      <c r="BO4935">
        <v>0</v>
      </c>
      <c r="BP4935">
        <v>0</v>
      </c>
      <c r="BW4935" t="str">
        <f t="shared" si="2276"/>
        <v>14:50:20.225</v>
      </c>
      <c r="CJ4935">
        <v>0</v>
      </c>
      <c r="CK4935">
        <v>2</v>
      </c>
      <c r="CL4935">
        <v>0</v>
      </c>
      <c r="CM4935">
        <v>2</v>
      </c>
      <c r="CN4935">
        <v>0</v>
      </c>
      <c r="CO4935">
        <v>6</v>
      </c>
      <c r="CP4935" t="s">
        <v>119</v>
      </c>
      <c r="CQ4935">
        <v>8</v>
      </c>
      <c r="CR4935">
        <v>3</v>
      </c>
      <c r="CW4935">
        <v>9215771</v>
      </c>
      <c r="CY4935">
        <v>1</v>
      </c>
      <c r="CZ4935">
        <v>0</v>
      </c>
      <c r="DA4935">
        <v>1</v>
      </c>
      <c r="DB4935">
        <v>0</v>
      </c>
      <c r="DC4935">
        <v>0</v>
      </c>
      <c r="DD4935">
        <v>1</v>
      </c>
      <c r="DE4935">
        <v>0</v>
      </c>
      <c r="DF4935">
        <v>0</v>
      </c>
      <c r="DG4935">
        <v>0</v>
      </c>
      <c r="DH4935">
        <v>0</v>
      </c>
      <c r="DI4935">
        <v>0</v>
      </c>
    </row>
    <row r="4936" spans="1:113" x14ac:dyDescent="0.3">
      <c r="A4936" t="str">
        <f t="shared" si="2273"/>
        <v>05/12/2020 14:50:02.386</v>
      </c>
      <c r="C4936" t="str">
        <f t="shared" si="2251"/>
        <v>FFDFD3C0</v>
      </c>
      <c r="D4936" t="s">
        <v>126</v>
      </c>
      <c r="E4936">
        <v>7</v>
      </c>
      <c r="F4936">
        <v>1007</v>
      </c>
      <c r="G4936" t="s">
        <v>127</v>
      </c>
      <c r="J4936" t="s">
        <v>128</v>
      </c>
      <c r="K4936">
        <v>0</v>
      </c>
      <c r="L4936">
        <v>3</v>
      </c>
      <c r="M4936">
        <v>0</v>
      </c>
      <c r="N4936">
        <v>2</v>
      </c>
      <c r="O4936">
        <v>1</v>
      </c>
      <c r="P4936">
        <v>0</v>
      </c>
      <c r="Q4936">
        <v>0</v>
      </c>
      <c r="S4936" t="str">
        <f t="shared" si="2274"/>
        <v>14:50:20.219</v>
      </c>
      <c r="T4936" t="str">
        <f t="shared" si="2275"/>
        <v>14:50:19.919</v>
      </c>
      <c r="U4936" t="str">
        <f t="shared" si="2272"/>
        <v>A9808D</v>
      </c>
      <c r="V4936">
        <v>0</v>
      </c>
      <c r="W4936">
        <v>0</v>
      </c>
      <c r="X4936">
        <v>1</v>
      </c>
      <c r="Z4936">
        <v>0</v>
      </c>
      <c r="AA4936">
        <v>9</v>
      </c>
      <c r="AB4936">
        <v>3</v>
      </c>
      <c r="AC4936">
        <v>0</v>
      </c>
      <c r="AD4936">
        <v>10</v>
      </c>
      <c r="AE4936">
        <v>0</v>
      </c>
      <c r="AF4936">
        <v>3</v>
      </c>
      <c r="AG4936">
        <v>2</v>
      </c>
      <c r="AH4936">
        <v>0</v>
      </c>
      <c r="AI4936" t="s">
        <v>1100</v>
      </c>
      <c r="AJ4936">
        <v>28.236516000000002</v>
      </c>
      <c r="AK4936" t="s">
        <v>1101</v>
      </c>
      <c r="AL4936">
        <v>-82.363386000000006</v>
      </c>
      <c r="AM4936">
        <v>100</v>
      </c>
      <c r="AN4936">
        <v>2300</v>
      </c>
      <c r="AO4936" t="s">
        <v>118</v>
      </c>
      <c r="AP4936">
        <v>-99</v>
      </c>
      <c r="AQ4936">
        <v>-44</v>
      </c>
      <c r="AR4936">
        <v>-384</v>
      </c>
      <c r="AZ4936">
        <v>1200</v>
      </c>
      <c r="BA4936">
        <v>1</v>
      </c>
      <c r="BB4936" t="str">
        <f t="shared" si="2252"/>
        <v xml:space="preserve">N711JA  </v>
      </c>
      <c r="BC4936">
        <v>1</v>
      </c>
      <c r="BE4936">
        <v>0</v>
      </c>
      <c r="BF4936">
        <v>0</v>
      </c>
      <c r="BG4936">
        <v>0</v>
      </c>
      <c r="BH4936">
        <v>2375</v>
      </c>
      <c r="BI4936">
        <v>1</v>
      </c>
      <c r="BJ4936">
        <v>1</v>
      </c>
      <c r="BK4936">
        <v>0</v>
      </c>
      <c r="BL4936">
        <v>0</v>
      </c>
      <c r="BO4936">
        <v>0</v>
      </c>
      <c r="BP4936">
        <v>0</v>
      </c>
      <c r="BW4936" t="str">
        <f t="shared" si="2276"/>
        <v>14:50:20.225</v>
      </c>
      <c r="CJ4936">
        <v>0</v>
      </c>
      <c r="CK4936">
        <v>2</v>
      </c>
      <c r="CL4936">
        <v>0</v>
      </c>
      <c r="CM4936">
        <v>2</v>
      </c>
      <c r="CN4936">
        <v>0</v>
      </c>
      <c r="CO4936">
        <v>6</v>
      </c>
      <c r="CP4936" t="s">
        <v>119</v>
      </c>
      <c r="CQ4936">
        <v>8</v>
      </c>
      <c r="CR4936">
        <v>3</v>
      </c>
      <c r="CW4936">
        <v>9215771</v>
      </c>
      <c r="CY4936">
        <v>1</v>
      </c>
      <c r="CZ4936">
        <v>0</v>
      </c>
      <c r="DA4936">
        <v>1</v>
      </c>
      <c r="DB4936">
        <v>0</v>
      </c>
      <c r="DC4936">
        <v>0</v>
      </c>
      <c r="DD4936">
        <v>1</v>
      </c>
      <c r="DE4936">
        <v>0</v>
      </c>
      <c r="DF4936">
        <v>0</v>
      </c>
      <c r="DG4936">
        <v>0</v>
      </c>
      <c r="DH4936">
        <v>0</v>
      </c>
      <c r="DI4936">
        <v>0</v>
      </c>
    </row>
    <row r="4937" spans="1:113" x14ac:dyDescent="0.3">
      <c r="A4937" t="str">
        <f t="shared" si="2273"/>
        <v>05/12/2020 14:50:02.386</v>
      </c>
      <c r="C4937" t="str">
        <f t="shared" si="2251"/>
        <v>FFDFD3C0</v>
      </c>
      <c r="D4937" t="s">
        <v>131</v>
      </c>
      <c r="E4937">
        <v>10</v>
      </c>
      <c r="F4937">
        <v>2010</v>
      </c>
      <c r="G4937" t="s">
        <v>132</v>
      </c>
      <c r="J4937" t="s">
        <v>133</v>
      </c>
      <c r="K4937">
        <v>0</v>
      </c>
      <c r="L4937">
        <v>3</v>
      </c>
      <c r="M4937">
        <v>0</v>
      </c>
      <c r="N4937">
        <v>2</v>
      </c>
      <c r="O4937">
        <v>1</v>
      </c>
      <c r="P4937">
        <v>0</v>
      </c>
      <c r="Q4937">
        <v>0</v>
      </c>
      <c r="S4937" t="str">
        <f t="shared" si="2274"/>
        <v>14:50:20.219</v>
      </c>
      <c r="T4937" t="str">
        <f t="shared" si="2275"/>
        <v>14:50:19.919</v>
      </c>
      <c r="U4937" t="str">
        <f t="shared" si="2272"/>
        <v>A9808D</v>
      </c>
      <c r="V4937">
        <v>0</v>
      </c>
      <c r="W4937">
        <v>0</v>
      </c>
      <c r="X4937">
        <v>1</v>
      </c>
      <c r="Z4937">
        <v>0</v>
      </c>
      <c r="AA4937">
        <v>9</v>
      </c>
      <c r="AB4937">
        <v>3</v>
      </c>
      <c r="AC4937">
        <v>0</v>
      </c>
      <c r="AD4937">
        <v>10</v>
      </c>
      <c r="AE4937">
        <v>0</v>
      </c>
      <c r="AF4937">
        <v>3</v>
      </c>
      <c r="AG4937">
        <v>2</v>
      </c>
      <c r="AH4937">
        <v>0</v>
      </c>
      <c r="AI4937" t="s">
        <v>1100</v>
      </c>
      <c r="AJ4937">
        <v>28.236516000000002</v>
      </c>
      <c r="AK4937" t="s">
        <v>1101</v>
      </c>
      <c r="AL4937">
        <v>-82.363386000000006</v>
      </c>
      <c r="AM4937">
        <v>100</v>
      </c>
      <c r="AN4937">
        <v>2300</v>
      </c>
      <c r="AO4937" t="s">
        <v>118</v>
      </c>
      <c r="AP4937">
        <v>-99</v>
      </c>
      <c r="AQ4937">
        <v>-44</v>
      </c>
      <c r="AR4937">
        <v>-384</v>
      </c>
      <c r="AZ4937">
        <v>1200</v>
      </c>
      <c r="BA4937">
        <v>1</v>
      </c>
      <c r="BB4937" t="str">
        <f t="shared" si="2252"/>
        <v xml:space="preserve">N711JA  </v>
      </c>
      <c r="BC4937">
        <v>1</v>
      </c>
      <c r="BE4937">
        <v>0</v>
      </c>
      <c r="BF4937">
        <v>0</v>
      </c>
      <c r="BG4937">
        <v>0</v>
      </c>
      <c r="BH4937">
        <v>2375</v>
      </c>
      <c r="BI4937">
        <v>1</v>
      </c>
      <c r="BJ4937">
        <v>1</v>
      </c>
      <c r="BK4937">
        <v>0</v>
      </c>
      <c r="BL4937">
        <v>0</v>
      </c>
      <c r="BO4937">
        <v>0</v>
      </c>
      <c r="BP4937">
        <v>0</v>
      </c>
      <c r="BW4937" t="str">
        <f t="shared" si="2276"/>
        <v>14:50:20.225</v>
      </c>
      <c r="CJ4937">
        <v>0</v>
      </c>
      <c r="CK4937">
        <v>2</v>
      </c>
      <c r="CL4937">
        <v>0</v>
      </c>
      <c r="CM4937">
        <v>2</v>
      </c>
      <c r="CN4937">
        <v>0</v>
      </c>
      <c r="CO4937">
        <v>6</v>
      </c>
      <c r="CP4937" t="s">
        <v>119</v>
      </c>
      <c r="CQ4937">
        <v>8</v>
      </c>
      <c r="CR4937">
        <v>3</v>
      </c>
      <c r="CW4937">
        <v>9215771</v>
      </c>
      <c r="CY4937">
        <v>1</v>
      </c>
      <c r="CZ4937">
        <v>0</v>
      </c>
      <c r="DA4937">
        <v>1</v>
      </c>
      <c r="DB4937">
        <v>0</v>
      </c>
      <c r="DC4937">
        <v>0</v>
      </c>
      <c r="DD4937">
        <v>1</v>
      </c>
      <c r="DE4937">
        <v>0</v>
      </c>
      <c r="DF4937">
        <v>0</v>
      </c>
      <c r="DG4937">
        <v>0</v>
      </c>
      <c r="DH4937">
        <v>0</v>
      </c>
      <c r="DI4937">
        <v>0</v>
      </c>
    </row>
    <row r="4938" spans="1:113" x14ac:dyDescent="0.3">
      <c r="A4938" t="str">
        <f t="shared" si="2273"/>
        <v>05/12/2020 14:50:02.386</v>
      </c>
      <c r="C4938" t="str">
        <f t="shared" si="2251"/>
        <v>FFDFD3C0</v>
      </c>
      <c r="D4938" t="s">
        <v>131</v>
      </c>
      <c r="E4938">
        <v>12</v>
      </c>
      <c r="F4938">
        <v>2012</v>
      </c>
      <c r="G4938" t="s">
        <v>137</v>
      </c>
      <c r="J4938" t="s">
        <v>133</v>
      </c>
      <c r="K4938">
        <v>0</v>
      </c>
      <c r="L4938">
        <v>3</v>
      </c>
      <c r="M4938">
        <v>0</v>
      </c>
      <c r="N4938">
        <v>2</v>
      </c>
      <c r="O4938">
        <v>1</v>
      </c>
      <c r="P4938">
        <v>0</v>
      </c>
      <c r="Q4938">
        <v>0</v>
      </c>
      <c r="S4938" t="str">
        <f t="shared" si="2274"/>
        <v>14:50:20.219</v>
      </c>
      <c r="T4938" t="str">
        <f t="shared" si="2275"/>
        <v>14:50:19.919</v>
      </c>
      <c r="U4938" t="str">
        <f t="shared" si="2272"/>
        <v>A9808D</v>
      </c>
      <c r="V4938">
        <v>0</v>
      </c>
      <c r="W4938">
        <v>0</v>
      </c>
      <c r="X4938">
        <v>1</v>
      </c>
      <c r="Z4938">
        <v>0</v>
      </c>
      <c r="AA4938">
        <v>9</v>
      </c>
      <c r="AB4938">
        <v>3</v>
      </c>
      <c r="AC4938">
        <v>0</v>
      </c>
      <c r="AD4938">
        <v>10</v>
      </c>
      <c r="AE4938">
        <v>0</v>
      </c>
      <c r="AF4938">
        <v>3</v>
      </c>
      <c r="AG4938">
        <v>2</v>
      </c>
      <c r="AH4938">
        <v>0</v>
      </c>
      <c r="AI4938" t="s">
        <v>1100</v>
      </c>
      <c r="AJ4938">
        <v>28.236516000000002</v>
      </c>
      <c r="AK4938" t="s">
        <v>1101</v>
      </c>
      <c r="AL4938">
        <v>-82.363386000000006</v>
      </c>
      <c r="AM4938">
        <v>100</v>
      </c>
      <c r="AN4938">
        <v>2300</v>
      </c>
      <c r="AO4938" t="s">
        <v>118</v>
      </c>
      <c r="AP4938">
        <v>-99</v>
      </c>
      <c r="AQ4938">
        <v>-44</v>
      </c>
      <c r="AR4938">
        <v>-384</v>
      </c>
      <c r="AZ4938">
        <v>1200</v>
      </c>
      <c r="BA4938">
        <v>1</v>
      </c>
      <c r="BB4938" t="str">
        <f t="shared" si="2252"/>
        <v xml:space="preserve">N711JA  </v>
      </c>
      <c r="BC4938">
        <v>1</v>
      </c>
      <c r="BE4938">
        <v>0</v>
      </c>
      <c r="BF4938">
        <v>0</v>
      </c>
      <c r="BG4938">
        <v>0</v>
      </c>
      <c r="BH4938">
        <v>2375</v>
      </c>
      <c r="BI4938">
        <v>1</v>
      </c>
      <c r="BJ4938">
        <v>1</v>
      </c>
      <c r="BK4938">
        <v>0</v>
      </c>
      <c r="BL4938">
        <v>0</v>
      </c>
      <c r="BO4938">
        <v>0</v>
      </c>
      <c r="BP4938">
        <v>0</v>
      </c>
      <c r="BW4938" t="str">
        <f t="shared" si="2276"/>
        <v>14:50:20.225</v>
      </c>
      <c r="CJ4938">
        <v>0</v>
      </c>
      <c r="CK4938">
        <v>2</v>
      </c>
      <c r="CL4938">
        <v>0</v>
      </c>
      <c r="CM4938">
        <v>2</v>
      </c>
      <c r="CN4938">
        <v>0</v>
      </c>
      <c r="CO4938">
        <v>6</v>
      </c>
      <c r="CP4938" t="s">
        <v>119</v>
      </c>
      <c r="CQ4938">
        <v>8</v>
      </c>
      <c r="CR4938">
        <v>3</v>
      </c>
      <c r="CW4938">
        <v>9215771</v>
      </c>
      <c r="CY4938">
        <v>1</v>
      </c>
      <c r="CZ4938">
        <v>0</v>
      </c>
      <c r="DA4938">
        <v>1</v>
      </c>
      <c r="DB4938">
        <v>0</v>
      </c>
      <c r="DC4938">
        <v>0</v>
      </c>
      <c r="DD4938">
        <v>1</v>
      </c>
      <c r="DE4938">
        <v>0</v>
      </c>
      <c r="DF4938">
        <v>0</v>
      </c>
      <c r="DG4938">
        <v>0</v>
      </c>
      <c r="DH4938">
        <v>0</v>
      </c>
      <c r="DI4938">
        <v>0</v>
      </c>
    </row>
    <row r="4939" spans="1:113" x14ac:dyDescent="0.3">
      <c r="A4939" t="str">
        <f t="shared" si="2273"/>
        <v>05/12/2020 14:50:02.386</v>
      </c>
      <c r="C4939" t="str">
        <f t="shared" si="2251"/>
        <v>FFDFD3C0</v>
      </c>
      <c r="D4939" t="s">
        <v>138</v>
      </c>
      <c r="E4939">
        <v>2</v>
      </c>
      <c r="H4939">
        <v>8</v>
      </c>
      <c r="I4939" t="s">
        <v>139</v>
      </c>
      <c r="J4939" t="s">
        <v>136</v>
      </c>
      <c r="K4939">
        <v>0</v>
      </c>
      <c r="L4939">
        <v>3</v>
      </c>
      <c r="M4939">
        <v>0</v>
      </c>
      <c r="N4939">
        <v>2</v>
      </c>
      <c r="O4939">
        <v>1</v>
      </c>
      <c r="P4939">
        <v>0</v>
      </c>
      <c r="Q4939">
        <v>0</v>
      </c>
      <c r="S4939" t="str">
        <f t="shared" si="2274"/>
        <v>14:50:20.219</v>
      </c>
      <c r="T4939" t="str">
        <f t="shared" si="2275"/>
        <v>14:50:19.919</v>
      </c>
      <c r="U4939" t="str">
        <f t="shared" si="2272"/>
        <v>A9808D</v>
      </c>
      <c r="V4939">
        <v>0</v>
      </c>
      <c r="W4939">
        <v>0</v>
      </c>
      <c r="X4939">
        <v>1</v>
      </c>
      <c r="Z4939">
        <v>0</v>
      </c>
      <c r="AA4939">
        <v>9</v>
      </c>
      <c r="AB4939">
        <v>3</v>
      </c>
      <c r="AC4939">
        <v>0</v>
      </c>
      <c r="AD4939">
        <v>10</v>
      </c>
      <c r="AE4939">
        <v>0</v>
      </c>
      <c r="AF4939">
        <v>3</v>
      </c>
      <c r="AG4939">
        <v>2</v>
      </c>
      <c r="AH4939">
        <v>0</v>
      </c>
      <c r="AI4939" t="s">
        <v>1100</v>
      </c>
      <c r="AJ4939">
        <v>28.236516000000002</v>
      </c>
      <c r="AK4939" t="s">
        <v>1101</v>
      </c>
      <c r="AL4939">
        <v>-82.363386000000006</v>
      </c>
      <c r="AM4939">
        <v>100</v>
      </c>
      <c r="AN4939">
        <v>2300</v>
      </c>
      <c r="AO4939" t="s">
        <v>118</v>
      </c>
      <c r="AP4939">
        <v>-99</v>
      </c>
      <c r="AQ4939">
        <v>-44</v>
      </c>
      <c r="AR4939">
        <v>-384</v>
      </c>
      <c r="AZ4939">
        <v>1200</v>
      </c>
      <c r="BA4939">
        <v>1</v>
      </c>
      <c r="BB4939" t="str">
        <f t="shared" si="2252"/>
        <v xml:space="preserve">N711JA  </v>
      </c>
      <c r="BC4939">
        <v>1</v>
      </c>
      <c r="BE4939">
        <v>0</v>
      </c>
      <c r="BF4939">
        <v>0</v>
      </c>
      <c r="BG4939">
        <v>0</v>
      </c>
      <c r="BH4939">
        <v>2375</v>
      </c>
      <c r="BI4939">
        <v>1</v>
      </c>
      <c r="BJ4939">
        <v>1</v>
      </c>
      <c r="BK4939">
        <v>0</v>
      </c>
      <c r="BL4939">
        <v>0</v>
      </c>
      <c r="BO4939">
        <v>0</v>
      </c>
      <c r="BP4939">
        <v>0</v>
      </c>
      <c r="BW4939" t="str">
        <f t="shared" si="2276"/>
        <v>14:50:20.225</v>
      </c>
      <c r="CJ4939">
        <v>0</v>
      </c>
      <c r="CK4939">
        <v>2</v>
      </c>
      <c r="CL4939">
        <v>0</v>
      </c>
      <c r="CM4939">
        <v>2</v>
      </c>
      <c r="CN4939">
        <v>0</v>
      </c>
      <c r="CO4939">
        <v>6</v>
      </c>
      <c r="CP4939" t="s">
        <v>119</v>
      </c>
      <c r="CQ4939">
        <v>8</v>
      </c>
      <c r="CR4939">
        <v>3</v>
      </c>
      <c r="CW4939">
        <v>9215771</v>
      </c>
      <c r="CY4939">
        <v>1</v>
      </c>
      <c r="CZ4939">
        <v>0</v>
      </c>
      <c r="DA4939">
        <v>1</v>
      </c>
      <c r="DB4939">
        <v>0</v>
      </c>
      <c r="DC4939">
        <v>0</v>
      </c>
      <c r="DD4939">
        <v>1</v>
      </c>
      <c r="DE4939">
        <v>0</v>
      </c>
      <c r="DF4939">
        <v>0</v>
      </c>
      <c r="DG4939">
        <v>0</v>
      </c>
      <c r="DH4939">
        <v>0</v>
      </c>
      <c r="DI4939">
        <v>0</v>
      </c>
    </row>
    <row r="4940" spans="1:113" x14ac:dyDescent="0.3">
      <c r="A4940" t="str">
        <f t="shared" si="2273"/>
        <v>05/12/2020 14:50:02.386</v>
      </c>
      <c r="C4940" t="str">
        <f t="shared" si="2251"/>
        <v>FFDFD3C0</v>
      </c>
      <c r="D4940" t="s">
        <v>138</v>
      </c>
      <c r="E4940">
        <v>3</v>
      </c>
      <c r="H4940">
        <v>9</v>
      </c>
      <c r="I4940" t="s">
        <v>140</v>
      </c>
      <c r="J4940" t="s">
        <v>136</v>
      </c>
      <c r="K4940">
        <v>0</v>
      </c>
      <c r="L4940">
        <v>3</v>
      </c>
      <c r="M4940">
        <v>0</v>
      </c>
      <c r="N4940">
        <v>2</v>
      </c>
      <c r="O4940">
        <v>1</v>
      </c>
      <c r="P4940">
        <v>0</v>
      </c>
      <c r="Q4940">
        <v>0</v>
      </c>
      <c r="S4940" t="str">
        <f t="shared" si="2274"/>
        <v>14:50:20.219</v>
      </c>
      <c r="T4940" t="str">
        <f t="shared" si="2275"/>
        <v>14:50:19.919</v>
      </c>
      <c r="U4940" t="str">
        <f t="shared" si="2272"/>
        <v>A9808D</v>
      </c>
      <c r="V4940">
        <v>0</v>
      </c>
      <c r="W4940">
        <v>0</v>
      </c>
      <c r="X4940">
        <v>1</v>
      </c>
      <c r="Z4940">
        <v>0</v>
      </c>
      <c r="AA4940">
        <v>9</v>
      </c>
      <c r="AB4940">
        <v>3</v>
      </c>
      <c r="AC4940">
        <v>0</v>
      </c>
      <c r="AD4940">
        <v>10</v>
      </c>
      <c r="AE4940">
        <v>0</v>
      </c>
      <c r="AF4940">
        <v>3</v>
      </c>
      <c r="AG4940">
        <v>2</v>
      </c>
      <c r="AH4940">
        <v>0</v>
      </c>
      <c r="AI4940" t="s">
        <v>1100</v>
      </c>
      <c r="AJ4940">
        <v>28.236516000000002</v>
      </c>
      <c r="AK4940" t="s">
        <v>1101</v>
      </c>
      <c r="AL4940">
        <v>-82.363386000000006</v>
      </c>
      <c r="AM4940">
        <v>100</v>
      </c>
      <c r="AN4940">
        <v>2300</v>
      </c>
      <c r="AO4940" t="s">
        <v>118</v>
      </c>
      <c r="AP4940">
        <v>-99</v>
      </c>
      <c r="AQ4940">
        <v>-44</v>
      </c>
      <c r="AR4940">
        <v>-384</v>
      </c>
      <c r="AZ4940">
        <v>1200</v>
      </c>
      <c r="BA4940">
        <v>1</v>
      </c>
      <c r="BB4940" t="str">
        <f t="shared" si="2252"/>
        <v xml:space="preserve">N711JA  </v>
      </c>
      <c r="BC4940">
        <v>1</v>
      </c>
      <c r="BE4940">
        <v>0</v>
      </c>
      <c r="BF4940">
        <v>0</v>
      </c>
      <c r="BG4940">
        <v>0</v>
      </c>
      <c r="BH4940">
        <v>2375</v>
      </c>
      <c r="BI4940">
        <v>1</v>
      </c>
      <c r="BJ4940">
        <v>1</v>
      </c>
      <c r="BK4940">
        <v>0</v>
      </c>
      <c r="BL4940">
        <v>0</v>
      </c>
      <c r="BO4940">
        <v>0</v>
      </c>
      <c r="BP4940">
        <v>0</v>
      </c>
      <c r="BW4940" t="str">
        <f t="shared" si="2276"/>
        <v>14:50:20.225</v>
      </c>
      <c r="CJ4940">
        <v>0</v>
      </c>
      <c r="CK4940">
        <v>2</v>
      </c>
      <c r="CL4940">
        <v>0</v>
      </c>
      <c r="CM4940">
        <v>2</v>
      </c>
      <c r="CN4940">
        <v>0</v>
      </c>
      <c r="CO4940">
        <v>6</v>
      </c>
      <c r="CP4940" t="s">
        <v>119</v>
      </c>
      <c r="CQ4940">
        <v>8</v>
      </c>
      <c r="CR4940">
        <v>3</v>
      </c>
      <c r="CW4940">
        <v>9215771</v>
      </c>
      <c r="CY4940">
        <v>1</v>
      </c>
      <c r="CZ4940">
        <v>0</v>
      </c>
      <c r="DA4940">
        <v>1</v>
      </c>
      <c r="DB4940">
        <v>0</v>
      </c>
      <c r="DC4940">
        <v>0</v>
      </c>
      <c r="DD4940">
        <v>1</v>
      </c>
      <c r="DE4940">
        <v>0</v>
      </c>
      <c r="DF4940">
        <v>0</v>
      </c>
      <c r="DG4940">
        <v>0</v>
      </c>
      <c r="DH4940">
        <v>0</v>
      </c>
      <c r="DI4940">
        <v>0</v>
      </c>
    </row>
    <row r="4941" spans="1:113" x14ac:dyDescent="0.3">
      <c r="A4941" t="str">
        <f t="shared" si="2273"/>
        <v>05/12/2020 14:50:02.386</v>
      </c>
      <c r="C4941" t="str">
        <f t="shared" si="2251"/>
        <v>FFDFD3C0</v>
      </c>
      <c r="D4941" t="s">
        <v>131</v>
      </c>
      <c r="E4941">
        <v>18</v>
      </c>
      <c r="F4941">
        <v>2018</v>
      </c>
      <c r="G4941" t="s">
        <v>161</v>
      </c>
      <c r="J4941" t="s">
        <v>133</v>
      </c>
      <c r="K4941">
        <v>0</v>
      </c>
      <c r="L4941">
        <v>3</v>
      </c>
      <c r="M4941">
        <v>0</v>
      </c>
      <c r="N4941">
        <v>2</v>
      </c>
      <c r="O4941">
        <v>1</v>
      </c>
      <c r="P4941">
        <v>0</v>
      </c>
      <c r="Q4941">
        <v>0</v>
      </c>
      <c r="S4941" t="str">
        <f t="shared" si="2274"/>
        <v>14:50:20.219</v>
      </c>
      <c r="T4941" t="str">
        <f>"14:50:19.419"</f>
        <v>14:50:19.419</v>
      </c>
      <c r="U4941" t="str">
        <f t="shared" si="2272"/>
        <v>A9808D</v>
      </c>
      <c r="V4941">
        <v>0</v>
      </c>
      <c r="W4941">
        <v>0</v>
      </c>
      <c r="X4941">
        <v>1</v>
      </c>
      <c r="Z4941">
        <v>0</v>
      </c>
      <c r="AA4941">
        <v>9</v>
      </c>
      <c r="AB4941">
        <v>3</v>
      </c>
      <c r="AC4941">
        <v>0</v>
      </c>
      <c r="AD4941">
        <v>10</v>
      </c>
      <c r="AE4941">
        <v>0</v>
      </c>
      <c r="AF4941">
        <v>3</v>
      </c>
      <c r="AG4941">
        <v>2</v>
      </c>
      <c r="AH4941">
        <v>0</v>
      </c>
      <c r="AI4941" t="s">
        <v>1100</v>
      </c>
      <c r="AJ4941">
        <v>28.236516000000002</v>
      </c>
      <c r="AK4941" t="s">
        <v>1101</v>
      </c>
      <c r="AL4941">
        <v>-82.363386000000006</v>
      </c>
      <c r="AM4941">
        <v>100</v>
      </c>
      <c r="AN4941">
        <v>2300</v>
      </c>
      <c r="AO4941" t="s">
        <v>118</v>
      </c>
      <c r="AP4941">
        <v>-99</v>
      </c>
      <c r="AQ4941">
        <v>-44</v>
      </c>
      <c r="AR4941">
        <v>-320</v>
      </c>
      <c r="AZ4941">
        <v>1200</v>
      </c>
      <c r="BA4941">
        <v>1</v>
      </c>
      <c r="BB4941" t="str">
        <f t="shared" si="2252"/>
        <v xml:space="preserve">N711JA  </v>
      </c>
      <c r="BC4941">
        <v>1</v>
      </c>
      <c r="BE4941">
        <v>0</v>
      </c>
      <c r="BF4941">
        <v>0</v>
      </c>
      <c r="BG4941">
        <v>0</v>
      </c>
      <c r="BH4941">
        <v>2375</v>
      </c>
      <c r="BI4941">
        <v>1</v>
      </c>
      <c r="BJ4941">
        <v>1</v>
      </c>
      <c r="BK4941">
        <v>0</v>
      </c>
      <c r="BL4941">
        <v>0</v>
      </c>
      <c r="BO4941">
        <v>0</v>
      </c>
      <c r="BP4941">
        <v>0</v>
      </c>
      <c r="BW4941" t="str">
        <f t="shared" si="2276"/>
        <v>14:50:20.225</v>
      </c>
      <c r="CJ4941">
        <v>0</v>
      </c>
      <c r="CK4941">
        <v>2</v>
      </c>
      <c r="CL4941">
        <v>0</v>
      </c>
      <c r="CM4941">
        <v>2</v>
      </c>
      <c r="CN4941">
        <v>0</v>
      </c>
      <c r="CO4941">
        <v>3</v>
      </c>
      <c r="CP4941" t="s">
        <v>119</v>
      </c>
      <c r="CQ4941">
        <v>343</v>
      </c>
      <c r="CR4941">
        <v>1</v>
      </c>
      <c r="CW4941">
        <v>11091912</v>
      </c>
      <c r="CY4941">
        <v>1</v>
      </c>
      <c r="CZ4941">
        <v>0</v>
      </c>
      <c r="DA4941">
        <v>1</v>
      </c>
      <c r="DB4941">
        <v>0</v>
      </c>
      <c r="DC4941">
        <v>0</v>
      </c>
      <c r="DD4941">
        <v>1</v>
      </c>
      <c r="DE4941">
        <v>0</v>
      </c>
      <c r="DF4941">
        <v>0</v>
      </c>
      <c r="DG4941">
        <v>0</v>
      </c>
      <c r="DH4941">
        <v>0</v>
      </c>
      <c r="DI4941">
        <v>0</v>
      </c>
    </row>
    <row r="4942" spans="1:113" x14ac:dyDescent="0.3">
      <c r="A4942" t="str">
        <f t="shared" si="2273"/>
        <v>05/12/2020 14:50:02.386</v>
      </c>
      <c r="C4942" t="str">
        <f t="shared" si="2251"/>
        <v>FFDFD3C0</v>
      </c>
      <c r="D4942" t="s">
        <v>134</v>
      </c>
      <c r="E4942">
        <v>12</v>
      </c>
      <c r="H4942">
        <v>64</v>
      </c>
      <c r="I4942" t="s">
        <v>135</v>
      </c>
      <c r="J4942" t="s">
        <v>136</v>
      </c>
      <c r="K4942">
        <v>0</v>
      </c>
      <c r="L4942">
        <v>3</v>
      </c>
      <c r="M4942">
        <v>0</v>
      </c>
      <c r="N4942">
        <v>2</v>
      </c>
      <c r="O4942">
        <v>1</v>
      </c>
      <c r="P4942">
        <v>0</v>
      </c>
      <c r="Q4942">
        <v>0</v>
      </c>
      <c r="S4942" t="str">
        <f t="shared" si="2274"/>
        <v>14:50:20.219</v>
      </c>
      <c r="T4942" t="str">
        <f>"14:50:19.919"</f>
        <v>14:50:19.919</v>
      </c>
      <c r="U4942" t="str">
        <f t="shared" si="2272"/>
        <v>A9808D</v>
      </c>
      <c r="V4942">
        <v>0</v>
      </c>
      <c r="W4942">
        <v>0</v>
      </c>
      <c r="X4942">
        <v>1</v>
      </c>
      <c r="Z4942">
        <v>0</v>
      </c>
      <c r="AA4942">
        <v>9</v>
      </c>
      <c r="AB4942">
        <v>3</v>
      </c>
      <c r="AC4942">
        <v>0</v>
      </c>
      <c r="AD4942">
        <v>10</v>
      </c>
      <c r="AE4942">
        <v>0</v>
      </c>
      <c r="AF4942">
        <v>3</v>
      </c>
      <c r="AG4942">
        <v>2</v>
      </c>
      <c r="AH4942">
        <v>0</v>
      </c>
      <c r="AI4942" t="s">
        <v>1100</v>
      </c>
      <c r="AJ4942">
        <v>28.236516000000002</v>
      </c>
      <c r="AK4942" t="s">
        <v>1101</v>
      </c>
      <c r="AL4942">
        <v>-82.363386000000006</v>
      </c>
      <c r="AM4942">
        <v>100</v>
      </c>
      <c r="AN4942">
        <v>2300</v>
      </c>
      <c r="AO4942" t="s">
        <v>118</v>
      </c>
      <c r="AP4942">
        <v>-99</v>
      </c>
      <c r="AQ4942">
        <v>-44</v>
      </c>
      <c r="AR4942">
        <v>-384</v>
      </c>
      <c r="AZ4942">
        <v>1200</v>
      </c>
      <c r="BA4942">
        <v>1</v>
      </c>
      <c r="BB4942" t="str">
        <f t="shared" si="2252"/>
        <v xml:space="preserve">N711JA  </v>
      </c>
      <c r="BC4942">
        <v>1</v>
      </c>
      <c r="BE4942">
        <v>0</v>
      </c>
      <c r="BF4942">
        <v>0</v>
      </c>
      <c r="BG4942">
        <v>0</v>
      </c>
      <c r="BH4942">
        <v>2375</v>
      </c>
      <c r="BI4942">
        <v>1</v>
      </c>
      <c r="BJ4942">
        <v>1</v>
      </c>
      <c r="BK4942">
        <v>0</v>
      </c>
      <c r="BL4942">
        <v>0</v>
      </c>
      <c r="BO4942">
        <v>0</v>
      </c>
      <c r="BP4942">
        <v>0</v>
      </c>
      <c r="BW4942" t="str">
        <f t="shared" si="2276"/>
        <v>14:50:20.225</v>
      </c>
      <c r="CJ4942">
        <v>0</v>
      </c>
      <c r="CK4942">
        <v>2</v>
      </c>
      <c r="CL4942">
        <v>0</v>
      </c>
      <c r="CM4942">
        <v>2</v>
      </c>
      <c r="CN4942">
        <v>0</v>
      </c>
      <c r="CO4942">
        <v>6</v>
      </c>
      <c r="CP4942" t="s">
        <v>119</v>
      </c>
      <c r="CQ4942">
        <v>8</v>
      </c>
      <c r="CR4942">
        <v>3</v>
      </c>
      <c r="CW4942">
        <v>9215771</v>
      </c>
      <c r="CY4942">
        <v>1</v>
      </c>
      <c r="CZ4942">
        <v>0</v>
      </c>
      <c r="DA4942">
        <v>1</v>
      </c>
      <c r="DB4942">
        <v>0</v>
      </c>
      <c r="DC4942">
        <v>0</v>
      </c>
      <c r="DD4942">
        <v>1</v>
      </c>
      <c r="DE4942">
        <v>0</v>
      </c>
      <c r="DF4942">
        <v>0</v>
      </c>
      <c r="DG4942">
        <v>0</v>
      </c>
      <c r="DH4942">
        <v>0</v>
      </c>
      <c r="DI4942">
        <v>0</v>
      </c>
    </row>
    <row r="4943" spans="1:113" x14ac:dyDescent="0.3">
      <c r="A4943" t="str">
        <f t="shared" ref="A4943:A4951" si="2277">"05/12/2020 14:50:03.320"</f>
        <v>05/12/2020 14:50:03.320</v>
      </c>
      <c r="C4943" t="str">
        <f t="shared" si="2251"/>
        <v>FFDFD3C0</v>
      </c>
      <c r="D4943" t="s">
        <v>126</v>
      </c>
      <c r="E4943">
        <v>7</v>
      </c>
      <c r="F4943">
        <v>1007</v>
      </c>
      <c r="G4943" t="s">
        <v>127</v>
      </c>
      <c r="J4943" t="s">
        <v>128</v>
      </c>
      <c r="K4943">
        <v>0</v>
      </c>
      <c r="L4943">
        <v>3</v>
      </c>
      <c r="M4943">
        <v>0</v>
      </c>
      <c r="N4943">
        <v>2</v>
      </c>
      <c r="O4943">
        <v>1</v>
      </c>
      <c r="P4943">
        <v>0</v>
      </c>
      <c r="Q4943">
        <v>0</v>
      </c>
      <c r="S4943" t="str">
        <f t="shared" ref="S4943:S4951" si="2278">"14:50:21.148"</f>
        <v>14:50:21.148</v>
      </c>
      <c r="T4943" t="str">
        <f t="shared" ref="T4943:T4951" si="2279">"14:50:20.948"</f>
        <v>14:50:20.948</v>
      </c>
      <c r="U4943" t="str">
        <f t="shared" si="2272"/>
        <v>A9808D</v>
      </c>
      <c r="V4943">
        <v>0</v>
      </c>
      <c r="W4943">
        <v>0</v>
      </c>
      <c r="X4943">
        <v>1</v>
      </c>
      <c r="Z4943">
        <v>0</v>
      </c>
      <c r="AA4943">
        <v>9</v>
      </c>
      <c r="AB4943">
        <v>3</v>
      </c>
      <c r="AC4943">
        <v>0</v>
      </c>
      <c r="AD4943">
        <v>10</v>
      </c>
      <c r="AE4943">
        <v>0</v>
      </c>
      <c r="AF4943">
        <v>3</v>
      </c>
      <c r="AG4943">
        <v>2</v>
      </c>
      <c r="AH4943">
        <v>0</v>
      </c>
      <c r="AI4943" t="s">
        <v>1102</v>
      </c>
      <c r="AJ4943">
        <v>28.236301000000001</v>
      </c>
      <c r="AK4943" t="s">
        <v>1103</v>
      </c>
      <c r="AL4943">
        <v>-82.363900999999998</v>
      </c>
      <c r="AM4943">
        <v>100</v>
      </c>
      <c r="AN4943">
        <v>2300</v>
      </c>
      <c r="AO4943" t="s">
        <v>118</v>
      </c>
      <c r="AP4943">
        <v>-99</v>
      </c>
      <c r="AQ4943">
        <v>-45</v>
      </c>
      <c r="AR4943">
        <v>-448</v>
      </c>
      <c r="AZ4943">
        <v>1200</v>
      </c>
      <c r="BA4943">
        <v>1</v>
      </c>
      <c r="BB4943" t="str">
        <f t="shared" si="2252"/>
        <v xml:space="preserve">N711JA  </v>
      </c>
      <c r="BC4943">
        <v>1</v>
      </c>
      <c r="BE4943">
        <v>0</v>
      </c>
      <c r="BF4943">
        <v>0</v>
      </c>
      <c r="BG4943">
        <v>0</v>
      </c>
      <c r="BH4943">
        <v>2375</v>
      </c>
      <c r="BI4943">
        <v>1</v>
      </c>
      <c r="BJ4943">
        <v>1</v>
      </c>
      <c r="BK4943">
        <v>0</v>
      </c>
      <c r="BL4943">
        <v>0</v>
      </c>
      <c r="BO4943">
        <v>0</v>
      </c>
      <c r="BP4943">
        <v>0</v>
      </c>
      <c r="BW4943" t="str">
        <f t="shared" ref="BW4943:BW4951" si="2280">"14:50:21.151"</f>
        <v>14:50:21.151</v>
      </c>
      <c r="CJ4943">
        <v>0</v>
      </c>
      <c r="CK4943">
        <v>2</v>
      </c>
      <c r="CL4943">
        <v>0</v>
      </c>
      <c r="CM4943">
        <v>2</v>
      </c>
      <c r="CN4943">
        <v>0</v>
      </c>
      <c r="CO4943">
        <v>6</v>
      </c>
      <c r="CP4943" t="s">
        <v>119</v>
      </c>
      <c r="CQ4943">
        <v>8</v>
      </c>
      <c r="CR4943">
        <v>3</v>
      </c>
      <c r="CW4943">
        <v>9216725</v>
      </c>
      <c r="CY4943">
        <v>1</v>
      </c>
      <c r="CZ4943">
        <v>0</v>
      </c>
      <c r="DA4943">
        <v>0</v>
      </c>
      <c r="DB4943">
        <v>0</v>
      </c>
      <c r="DC4943">
        <v>0</v>
      </c>
      <c r="DD4943">
        <v>1</v>
      </c>
      <c r="DE4943">
        <v>0</v>
      </c>
      <c r="DF4943">
        <v>0</v>
      </c>
      <c r="DG4943">
        <v>0</v>
      </c>
      <c r="DH4943">
        <v>0</v>
      </c>
      <c r="DI4943">
        <v>0</v>
      </c>
    </row>
    <row r="4944" spans="1:113" x14ac:dyDescent="0.3">
      <c r="A4944" t="str">
        <f t="shared" si="2277"/>
        <v>05/12/2020 14:50:03.320</v>
      </c>
      <c r="C4944" t="str">
        <f t="shared" si="2251"/>
        <v>FFDFD3C0</v>
      </c>
      <c r="D4944" t="s">
        <v>131</v>
      </c>
      <c r="E4944">
        <v>10</v>
      </c>
      <c r="F4944">
        <v>2010</v>
      </c>
      <c r="G4944" t="s">
        <v>132</v>
      </c>
      <c r="J4944" t="s">
        <v>133</v>
      </c>
      <c r="K4944">
        <v>0</v>
      </c>
      <c r="L4944">
        <v>3</v>
      </c>
      <c r="M4944">
        <v>0</v>
      </c>
      <c r="N4944">
        <v>2</v>
      </c>
      <c r="O4944">
        <v>1</v>
      </c>
      <c r="P4944">
        <v>0</v>
      </c>
      <c r="Q4944">
        <v>0</v>
      </c>
      <c r="S4944" t="str">
        <f t="shared" si="2278"/>
        <v>14:50:21.148</v>
      </c>
      <c r="T4944" t="str">
        <f t="shared" si="2279"/>
        <v>14:50:20.948</v>
      </c>
      <c r="U4944" t="str">
        <f t="shared" si="2272"/>
        <v>A9808D</v>
      </c>
      <c r="V4944">
        <v>0</v>
      </c>
      <c r="W4944">
        <v>0</v>
      </c>
      <c r="X4944">
        <v>1</v>
      </c>
      <c r="Z4944">
        <v>0</v>
      </c>
      <c r="AA4944">
        <v>9</v>
      </c>
      <c r="AB4944">
        <v>3</v>
      </c>
      <c r="AC4944">
        <v>0</v>
      </c>
      <c r="AD4944">
        <v>10</v>
      </c>
      <c r="AE4944">
        <v>0</v>
      </c>
      <c r="AF4944">
        <v>3</v>
      </c>
      <c r="AG4944">
        <v>2</v>
      </c>
      <c r="AH4944">
        <v>0</v>
      </c>
      <c r="AI4944" t="s">
        <v>1102</v>
      </c>
      <c r="AJ4944">
        <v>28.236301000000001</v>
      </c>
      <c r="AK4944" t="s">
        <v>1103</v>
      </c>
      <c r="AL4944">
        <v>-82.363900999999998</v>
      </c>
      <c r="AM4944">
        <v>100</v>
      </c>
      <c r="AN4944">
        <v>2300</v>
      </c>
      <c r="AO4944" t="s">
        <v>118</v>
      </c>
      <c r="AP4944">
        <v>-99</v>
      </c>
      <c r="AQ4944">
        <v>-45</v>
      </c>
      <c r="AR4944">
        <v>-448</v>
      </c>
      <c r="AZ4944">
        <v>1200</v>
      </c>
      <c r="BA4944">
        <v>1</v>
      </c>
      <c r="BB4944" t="str">
        <f t="shared" si="2252"/>
        <v xml:space="preserve">N711JA  </v>
      </c>
      <c r="BC4944">
        <v>1</v>
      </c>
      <c r="BE4944">
        <v>0</v>
      </c>
      <c r="BF4944">
        <v>0</v>
      </c>
      <c r="BG4944">
        <v>0</v>
      </c>
      <c r="BH4944">
        <v>2375</v>
      </c>
      <c r="BI4944">
        <v>1</v>
      </c>
      <c r="BJ4944">
        <v>1</v>
      </c>
      <c r="BK4944">
        <v>0</v>
      </c>
      <c r="BL4944">
        <v>0</v>
      </c>
      <c r="BO4944">
        <v>0</v>
      </c>
      <c r="BP4944">
        <v>0</v>
      </c>
      <c r="BW4944" t="str">
        <f t="shared" si="2280"/>
        <v>14:50:21.151</v>
      </c>
      <c r="CJ4944">
        <v>0</v>
      </c>
      <c r="CK4944">
        <v>2</v>
      </c>
      <c r="CL4944">
        <v>0</v>
      </c>
      <c r="CM4944">
        <v>2</v>
      </c>
      <c r="CN4944">
        <v>0</v>
      </c>
      <c r="CO4944">
        <v>6</v>
      </c>
      <c r="CP4944" t="s">
        <v>119</v>
      </c>
      <c r="CQ4944">
        <v>8</v>
      </c>
      <c r="CR4944">
        <v>3</v>
      </c>
      <c r="CW4944">
        <v>9216725</v>
      </c>
      <c r="CY4944">
        <v>1</v>
      </c>
      <c r="CZ4944">
        <v>0</v>
      </c>
      <c r="DA4944">
        <v>1</v>
      </c>
      <c r="DB4944">
        <v>0</v>
      </c>
      <c r="DC4944">
        <v>0</v>
      </c>
      <c r="DD4944">
        <v>1</v>
      </c>
      <c r="DE4944">
        <v>0</v>
      </c>
      <c r="DF4944">
        <v>0</v>
      </c>
      <c r="DG4944">
        <v>0</v>
      </c>
      <c r="DH4944">
        <v>0</v>
      </c>
      <c r="DI4944">
        <v>0</v>
      </c>
    </row>
    <row r="4945" spans="1:113" x14ac:dyDescent="0.3">
      <c r="A4945" t="str">
        <f t="shared" si="2277"/>
        <v>05/12/2020 14:50:03.320</v>
      </c>
      <c r="C4945" t="str">
        <f t="shared" si="2251"/>
        <v>FFDFD3C0</v>
      </c>
      <c r="D4945" t="s">
        <v>131</v>
      </c>
      <c r="E4945">
        <v>12</v>
      </c>
      <c r="F4945">
        <v>2012</v>
      </c>
      <c r="G4945" t="s">
        <v>137</v>
      </c>
      <c r="J4945" t="s">
        <v>133</v>
      </c>
      <c r="K4945">
        <v>0</v>
      </c>
      <c r="L4945">
        <v>3</v>
      </c>
      <c r="M4945">
        <v>0</v>
      </c>
      <c r="N4945">
        <v>2</v>
      </c>
      <c r="O4945">
        <v>1</v>
      </c>
      <c r="P4945">
        <v>0</v>
      </c>
      <c r="Q4945">
        <v>0</v>
      </c>
      <c r="S4945" t="str">
        <f t="shared" si="2278"/>
        <v>14:50:21.148</v>
      </c>
      <c r="T4945" t="str">
        <f t="shared" si="2279"/>
        <v>14:50:20.948</v>
      </c>
      <c r="U4945" t="str">
        <f t="shared" si="2272"/>
        <v>A9808D</v>
      </c>
      <c r="V4945">
        <v>0</v>
      </c>
      <c r="W4945">
        <v>0</v>
      </c>
      <c r="X4945">
        <v>1</v>
      </c>
      <c r="Z4945">
        <v>0</v>
      </c>
      <c r="AA4945">
        <v>9</v>
      </c>
      <c r="AB4945">
        <v>3</v>
      </c>
      <c r="AC4945">
        <v>0</v>
      </c>
      <c r="AD4945">
        <v>10</v>
      </c>
      <c r="AE4945">
        <v>0</v>
      </c>
      <c r="AF4945">
        <v>3</v>
      </c>
      <c r="AG4945">
        <v>2</v>
      </c>
      <c r="AH4945">
        <v>0</v>
      </c>
      <c r="AI4945" t="s">
        <v>1102</v>
      </c>
      <c r="AJ4945">
        <v>28.236301000000001</v>
      </c>
      <c r="AK4945" t="s">
        <v>1103</v>
      </c>
      <c r="AL4945">
        <v>-82.363900999999998</v>
      </c>
      <c r="AM4945">
        <v>100</v>
      </c>
      <c r="AN4945">
        <v>2300</v>
      </c>
      <c r="AO4945" t="s">
        <v>118</v>
      </c>
      <c r="AP4945">
        <v>-99</v>
      </c>
      <c r="AQ4945">
        <v>-45</v>
      </c>
      <c r="AR4945">
        <v>-448</v>
      </c>
      <c r="AZ4945">
        <v>1200</v>
      </c>
      <c r="BA4945">
        <v>1</v>
      </c>
      <c r="BB4945" t="str">
        <f t="shared" si="2252"/>
        <v xml:space="preserve">N711JA  </v>
      </c>
      <c r="BC4945">
        <v>1</v>
      </c>
      <c r="BE4945">
        <v>0</v>
      </c>
      <c r="BF4945">
        <v>0</v>
      </c>
      <c r="BG4945">
        <v>0</v>
      </c>
      <c r="BH4945">
        <v>2375</v>
      </c>
      <c r="BI4945">
        <v>1</v>
      </c>
      <c r="BJ4945">
        <v>1</v>
      </c>
      <c r="BK4945">
        <v>0</v>
      </c>
      <c r="BL4945">
        <v>0</v>
      </c>
      <c r="BO4945">
        <v>0</v>
      </c>
      <c r="BP4945">
        <v>0</v>
      </c>
      <c r="BW4945" t="str">
        <f t="shared" si="2280"/>
        <v>14:50:21.151</v>
      </c>
      <c r="CJ4945">
        <v>0</v>
      </c>
      <c r="CK4945">
        <v>2</v>
      </c>
      <c r="CL4945">
        <v>0</v>
      </c>
      <c r="CM4945">
        <v>2</v>
      </c>
      <c r="CN4945">
        <v>0</v>
      </c>
      <c r="CO4945">
        <v>6</v>
      </c>
      <c r="CP4945" t="s">
        <v>119</v>
      </c>
      <c r="CQ4945">
        <v>8</v>
      </c>
      <c r="CR4945">
        <v>3</v>
      </c>
      <c r="CW4945">
        <v>9216725</v>
      </c>
      <c r="CY4945">
        <v>1</v>
      </c>
      <c r="CZ4945">
        <v>0</v>
      </c>
      <c r="DA4945">
        <v>1</v>
      </c>
      <c r="DB4945">
        <v>0</v>
      </c>
      <c r="DC4945">
        <v>0</v>
      </c>
      <c r="DD4945">
        <v>1</v>
      </c>
      <c r="DE4945">
        <v>0</v>
      </c>
      <c r="DF4945">
        <v>0</v>
      </c>
      <c r="DG4945">
        <v>0</v>
      </c>
      <c r="DH4945">
        <v>0</v>
      </c>
      <c r="DI4945">
        <v>0</v>
      </c>
    </row>
    <row r="4946" spans="1:113" x14ac:dyDescent="0.3">
      <c r="A4946" t="str">
        <f t="shared" si="2277"/>
        <v>05/12/2020 14:50:03.320</v>
      </c>
      <c r="C4946" t="str">
        <f t="shared" si="2251"/>
        <v>FFDFD3C0</v>
      </c>
      <c r="D4946" t="s">
        <v>113</v>
      </c>
      <c r="E4946">
        <v>3</v>
      </c>
      <c r="H4946">
        <v>164</v>
      </c>
      <c r="I4946" t="s">
        <v>114</v>
      </c>
      <c r="J4946" t="s">
        <v>115</v>
      </c>
      <c r="K4946">
        <v>0</v>
      </c>
      <c r="L4946">
        <v>3</v>
      </c>
      <c r="M4946">
        <v>0</v>
      </c>
      <c r="N4946">
        <v>2</v>
      </c>
      <c r="O4946">
        <v>1</v>
      </c>
      <c r="P4946">
        <v>0</v>
      </c>
      <c r="Q4946">
        <v>0</v>
      </c>
      <c r="S4946" t="str">
        <f t="shared" si="2278"/>
        <v>14:50:21.148</v>
      </c>
      <c r="T4946" t="str">
        <f t="shared" si="2279"/>
        <v>14:50:20.948</v>
      </c>
      <c r="U4946" t="str">
        <f t="shared" si="2272"/>
        <v>A9808D</v>
      </c>
      <c r="V4946">
        <v>0</v>
      </c>
      <c r="W4946">
        <v>0</v>
      </c>
      <c r="X4946">
        <v>1</v>
      </c>
      <c r="Z4946">
        <v>0</v>
      </c>
      <c r="AA4946">
        <v>9</v>
      </c>
      <c r="AB4946">
        <v>3</v>
      </c>
      <c r="AC4946">
        <v>0</v>
      </c>
      <c r="AD4946">
        <v>10</v>
      </c>
      <c r="AE4946">
        <v>0</v>
      </c>
      <c r="AF4946">
        <v>3</v>
      </c>
      <c r="AG4946">
        <v>2</v>
      </c>
      <c r="AH4946">
        <v>0</v>
      </c>
      <c r="AI4946" t="s">
        <v>1102</v>
      </c>
      <c r="AJ4946">
        <v>28.236301000000001</v>
      </c>
      <c r="AK4946" t="s">
        <v>1103</v>
      </c>
      <c r="AL4946">
        <v>-82.363900999999998</v>
      </c>
      <c r="AM4946">
        <v>100</v>
      </c>
      <c r="AN4946">
        <v>2300</v>
      </c>
      <c r="AO4946" t="s">
        <v>118</v>
      </c>
      <c r="AP4946">
        <v>-99</v>
      </c>
      <c r="AQ4946">
        <v>-45</v>
      </c>
      <c r="AR4946">
        <v>-448</v>
      </c>
      <c r="AZ4946">
        <v>1200</v>
      </c>
      <c r="BA4946">
        <v>1</v>
      </c>
      <c r="BB4946" t="str">
        <f t="shared" si="2252"/>
        <v xml:space="preserve">N711JA  </v>
      </c>
      <c r="BC4946">
        <v>1</v>
      </c>
      <c r="BE4946">
        <v>0</v>
      </c>
      <c r="BF4946">
        <v>0</v>
      </c>
      <c r="BG4946">
        <v>0</v>
      </c>
      <c r="BH4946">
        <v>2375</v>
      </c>
      <c r="BI4946">
        <v>1</v>
      </c>
      <c r="BJ4946">
        <v>1</v>
      </c>
      <c r="BK4946">
        <v>0</v>
      </c>
      <c r="BL4946">
        <v>0</v>
      </c>
      <c r="BO4946">
        <v>0</v>
      </c>
      <c r="BP4946">
        <v>0</v>
      </c>
      <c r="BW4946" t="str">
        <f t="shared" si="2280"/>
        <v>14:50:21.151</v>
      </c>
      <c r="CJ4946">
        <v>0</v>
      </c>
      <c r="CK4946">
        <v>2</v>
      </c>
      <c r="CL4946">
        <v>0</v>
      </c>
      <c r="CM4946">
        <v>2</v>
      </c>
      <c r="CN4946">
        <v>0</v>
      </c>
      <c r="CO4946">
        <v>6</v>
      </c>
      <c r="CP4946" t="s">
        <v>119</v>
      </c>
      <c r="CQ4946">
        <v>8</v>
      </c>
      <c r="CR4946">
        <v>3</v>
      </c>
      <c r="CW4946">
        <v>9216725</v>
      </c>
      <c r="CY4946">
        <v>1</v>
      </c>
      <c r="CZ4946">
        <v>0</v>
      </c>
      <c r="DA4946">
        <v>1</v>
      </c>
      <c r="DB4946">
        <v>0</v>
      </c>
      <c r="DC4946">
        <v>0</v>
      </c>
      <c r="DD4946">
        <v>1</v>
      </c>
      <c r="DE4946">
        <v>0</v>
      </c>
      <c r="DF4946">
        <v>0</v>
      </c>
      <c r="DG4946">
        <v>0</v>
      </c>
      <c r="DH4946">
        <v>0</v>
      </c>
      <c r="DI4946">
        <v>0</v>
      </c>
    </row>
    <row r="4947" spans="1:113" x14ac:dyDescent="0.3">
      <c r="A4947" t="str">
        <f t="shared" si="2277"/>
        <v>05/12/2020 14:50:03.320</v>
      </c>
      <c r="C4947" t="str">
        <f t="shared" si="2251"/>
        <v>FFDFD3C0</v>
      </c>
      <c r="D4947" t="s">
        <v>131</v>
      </c>
      <c r="E4947">
        <v>18</v>
      </c>
      <c r="F4947">
        <v>2018</v>
      </c>
      <c r="G4947" t="s">
        <v>161</v>
      </c>
      <c r="J4947" t="s">
        <v>133</v>
      </c>
      <c r="K4947">
        <v>0</v>
      </c>
      <c r="L4947">
        <v>3</v>
      </c>
      <c r="M4947">
        <v>0</v>
      </c>
      <c r="N4947">
        <v>2</v>
      </c>
      <c r="O4947">
        <v>1</v>
      </c>
      <c r="P4947">
        <v>0</v>
      </c>
      <c r="Q4947">
        <v>0</v>
      </c>
      <c r="S4947" t="str">
        <f t="shared" si="2278"/>
        <v>14:50:21.148</v>
      </c>
      <c r="T4947" t="str">
        <f t="shared" si="2279"/>
        <v>14:50:20.948</v>
      </c>
      <c r="U4947" t="str">
        <f t="shared" si="2272"/>
        <v>A9808D</v>
      </c>
      <c r="V4947">
        <v>0</v>
      </c>
      <c r="W4947">
        <v>0</v>
      </c>
      <c r="X4947">
        <v>1</v>
      </c>
      <c r="Z4947">
        <v>0</v>
      </c>
      <c r="AA4947">
        <v>9</v>
      </c>
      <c r="AB4947">
        <v>3</v>
      </c>
      <c r="AC4947">
        <v>0</v>
      </c>
      <c r="AD4947">
        <v>10</v>
      </c>
      <c r="AE4947">
        <v>0</v>
      </c>
      <c r="AF4947">
        <v>3</v>
      </c>
      <c r="AG4947">
        <v>2</v>
      </c>
      <c r="AH4947">
        <v>0</v>
      </c>
      <c r="AI4947" t="s">
        <v>1102</v>
      </c>
      <c r="AJ4947">
        <v>28.236301000000001</v>
      </c>
      <c r="AK4947" t="s">
        <v>1103</v>
      </c>
      <c r="AL4947">
        <v>-82.363900999999998</v>
      </c>
      <c r="AM4947">
        <v>100</v>
      </c>
      <c r="AN4947">
        <v>2300</v>
      </c>
      <c r="AO4947" t="s">
        <v>118</v>
      </c>
      <c r="AP4947">
        <v>-99</v>
      </c>
      <c r="AQ4947">
        <v>-45</v>
      </c>
      <c r="AR4947">
        <v>-448</v>
      </c>
      <c r="AZ4947">
        <v>1200</v>
      </c>
      <c r="BA4947">
        <v>1</v>
      </c>
      <c r="BB4947" t="str">
        <f t="shared" si="2252"/>
        <v xml:space="preserve">N711JA  </v>
      </c>
      <c r="BC4947">
        <v>1</v>
      </c>
      <c r="BE4947">
        <v>0</v>
      </c>
      <c r="BF4947">
        <v>0</v>
      </c>
      <c r="BG4947">
        <v>0</v>
      </c>
      <c r="BH4947">
        <v>2375</v>
      </c>
      <c r="BI4947">
        <v>1</v>
      </c>
      <c r="BJ4947">
        <v>1</v>
      </c>
      <c r="BK4947">
        <v>0</v>
      </c>
      <c r="BL4947">
        <v>0</v>
      </c>
      <c r="BO4947">
        <v>0</v>
      </c>
      <c r="BP4947">
        <v>0</v>
      </c>
      <c r="BW4947" t="str">
        <f t="shared" si="2280"/>
        <v>14:50:21.151</v>
      </c>
      <c r="CJ4947">
        <v>0</v>
      </c>
      <c r="CK4947">
        <v>2</v>
      </c>
      <c r="CL4947">
        <v>0</v>
      </c>
      <c r="CM4947">
        <v>2</v>
      </c>
      <c r="CN4947">
        <v>0</v>
      </c>
      <c r="CO4947">
        <v>3</v>
      </c>
      <c r="CP4947" t="s">
        <v>119</v>
      </c>
      <c r="CQ4947">
        <v>343</v>
      </c>
      <c r="CR4947">
        <v>1</v>
      </c>
      <c r="CW4947">
        <v>11092795</v>
      </c>
      <c r="CY4947">
        <v>1</v>
      </c>
      <c r="CZ4947">
        <v>0</v>
      </c>
      <c r="DA4947">
        <v>1</v>
      </c>
      <c r="DB4947">
        <v>0</v>
      </c>
      <c r="DC4947">
        <v>0</v>
      </c>
      <c r="DD4947">
        <v>1</v>
      </c>
      <c r="DE4947">
        <v>0</v>
      </c>
      <c r="DF4947">
        <v>0</v>
      </c>
      <c r="DG4947">
        <v>0</v>
      </c>
      <c r="DH4947">
        <v>0</v>
      </c>
      <c r="DI4947">
        <v>0</v>
      </c>
    </row>
    <row r="4948" spans="1:113" x14ac:dyDescent="0.3">
      <c r="A4948" t="str">
        <f t="shared" si="2277"/>
        <v>05/12/2020 14:50:03.320</v>
      </c>
      <c r="C4948" t="str">
        <f t="shared" si="2251"/>
        <v>FFDFD3C0</v>
      </c>
      <c r="D4948" t="s">
        <v>138</v>
      </c>
      <c r="E4948">
        <v>2</v>
      </c>
      <c r="H4948">
        <v>8</v>
      </c>
      <c r="I4948" t="s">
        <v>139</v>
      </c>
      <c r="J4948" t="s">
        <v>136</v>
      </c>
      <c r="K4948">
        <v>0</v>
      </c>
      <c r="L4948">
        <v>3</v>
      </c>
      <c r="M4948">
        <v>0</v>
      </c>
      <c r="N4948">
        <v>2</v>
      </c>
      <c r="O4948">
        <v>1</v>
      </c>
      <c r="P4948">
        <v>0</v>
      </c>
      <c r="Q4948">
        <v>0</v>
      </c>
      <c r="S4948" t="str">
        <f t="shared" si="2278"/>
        <v>14:50:21.148</v>
      </c>
      <c r="T4948" t="str">
        <f t="shared" si="2279"/>
        <v>14:50:20.948</v>
      </c>
      <c r="U4948" t="str">
        <f t="shared" si="2272"/>
        <v>A9808D</v>
      </c>
      <c r="V4948">
        <v>0</v>
      </c>
      <c r="W4948">
        <v>0</v>
      </c>
      <c r="X4948">
        <v>1</v>
      </c>
      <c r="Z4948">
        <v>0</v>
      </c>
      <c r="AA4948">
        <v>9</v>
      </c>
      <c r="AB4948">
        <v>3</v>
      </c>
      <c r="AC4948">
        <v>0</v>
      </c>
      <c r="AD4948">
        <v>10</v>
      </c>
      <c r="AE4948">
        <v>0</v>
      </c>
      <c r="AF4948">
        <v>3</v>
      </c>
      <c r="AG4948">
        <v>2</v>
      </c>
      <c r="AH4948">
        <v>0</v>
      </c>
      <c r="AI4948" t="s">
        <v>1102</v>
      </c>
      <c r="AJ4948">
        <v>28.236301000000001</v>
      </c>
      <c r="AK4948" t="s">
        <v>1103</v>
      </c>
      <c r="AL4948">
        <v>-82.363900999999998</v>
      </c>
      <c r="AM4948">
        <v>100</v>
      </c>
      <c r="AN4948">
        <v>2300</v>
      </c>
      <c r="AO4948" t="s">
        <v>118</v>
      </c>
      <c r="AP4948">
        <v>-99</v>
      </c>
      <c r="AQ4948">
        <v>-45</v>
      </c>
      <c r="AR4948">
        <v>-448</v>
      </c>
      <c r="AZ4948">
        <v>1200</v>
      </c>
      <c r="BA4948">
        <v>1</v>
      </c>
      <c r="BB4948" t="str">
        <f t="shared" si="2252"/>
        <v xml:space="preserve">N711JA  </v>
      </c>
      <c r="BC4948">
        <v>1</v>
      </c>
      <c r="BE4948">
        <v>0</v>
      </c>
      <c r="BF4948">
        <v>0</v>
      </c>
      <c r="BG4948">
        <v>0</v>
      </c>
      <c r="BH4948">
        <v>2375</v>
      </c>
      <c r="BI4948">
        <v>1</v>
      </c>
      <c r="BJ4948">
        <v>1</v>
      </c>
      <c r="BK4948">
        <v>0</v>
      </c>
      <c r="BL4948">
        <v>0</v>
      </c>
      <c r="BO4948">
        <v>0</v>
      </c>
      <c r="BP4948">
        <v>0</v>
      </c>
      <c r="BW4948" t="str">
        <f t="shared" si="2280"/>
        <v>14:50:21.151</v>
      </c>
      <c r="CJ4948">
        <v>0</v>
      </c>
      <c r="CK4948">
        <v>2</v>
      </c>
      <c r="CL4948">
        <v>0</v>
      </c>
      <c r="CM4948">
        <v>2</v>
      </c>
      <c r="CN4948">
        <v>0</v>
      </c>
      <c r="CO4948">
        <v>6</v>
      </c>
      <c r="CP4948" t="s">
        <v>119</v>
      </c>
      <c r="CQ4948">
        <v>8</v>
      </c>
      <c r="CR4948">
        <v>3</v>
      </c>
      <c r="CW4948">
        <v>9216725</v>
      </c>
      <c r="CY4948">
        <v>1</v>
      </c>
      <c r="CZ4948">
        <v>0</v>
      </c>
      <c r="DA4948">
        <v>1</v>
      </c>
      <c r="DB4948">
        <v>0</v>
      </c>
      <c r="DC4948">
        <v>0</v>
      </c>
      <c r="DD4948">
        <v>1</v>
      </c>
      <c r="DE4948">
        <v>0</v>
      </c>
      <c r="DF4948">
        <v>0</v>
      </c>
      <c r="DG4948">
        <v>0</v>
      </c>
      <c r="DH4948">
        <v>0</v>
      </c>
      <c r="DI4948">
        <v>0</v>
      </c>
    </row>
    <row r="4949" spans="1:113" x14ac:dyDescent="0.3">
      <c r="A4949" t="str">
        <f t="shared" si="2277"/>
        <v>05/12/2020 14:50:03.320</v>
      </c>
      <c r="C4949" t="str">
        <f t="shared" si="2251"/>
        <v>FFDFD3C0</v>
      </c>
      <c r="D4949" t="s">
        <v>138</v>
      </c>
      <c r="E4949">
        <v>3</v>
      </c>
      <c r="H4949">
        <v>9</v>
      </c>
      <c r="I4949" t="s">
        <v>140</v>
      </c>
      <c r="J4949" t="s">
        <v>136</v>
      </c>
      <c r="K4949">
        <v>0</v>
      </c>
      <c r="L4949">
        <v>3</v>
      </c>
      <c r="M4949">
        <v>0</v>
      </c>
      <c r="N4949">
        <v>2</v>
      </c>
      <c r="O4949">
        <v>1</v>
      </c>
      <c r="P4949">
        <v>0</v>
      </c>
      <c r="Q4949">
        <v>0</v>
      </c>
      <c r="S4949" t="str">
        <f t="shared" si="2278"/>
        <v>14:50:21.148</v>
      </c>
      <c r="T4949" t="str">
        <f t="shared" si="2279"/>
        <v>14:50:20.948</v>
      </c>
      <c r="U4949" t="str">
        <f t="shared" si="2272"/>
        <v>A9808D</v>
      </c>
      <c r="V4949">
        <v>0</v>
      </c>
      <c r="W4949">
        <v>0</v>
      </c>
      <c r="X4949">
        <v>1</v>
      </c>
      <c r="Z4949">
        <v>0</v>
      </c>
      <c r="AA4949">
        <v>9</v>
      </c>
      <c r="AB4949">
        <v>3</v>
      </c>
      <c r="AC4949">
        <v>0</v>
      </c>
      <c r="AD4949">
        <v>10</v>
      </c>
      <c r="AE4949">
        <v>0</v>
      </c>
      <c r="AF4949">
        <v>3</v>
      </c>
      <c r="AG4949">
        <v>2</v>
      </c>
      <c r="AH4949">
        <v>0</v>
      </c>
      <c r="AI4949" t="s">
        <v>1102</v>
      </c>
      <c r="AJ4949">
        <v>28.236301000000001</v>
      </c>
      <c r="AK4949" t="s">
        <v>1103</v>
      </c>
      <c r="AL4949">
        <v>-82.363900999999998</v>
      </c>
      <c r="AM4949">
        <v>100</v>
      </c>
      <c r="AN4949">
        <v>2300</v>
      </c>
      <c r="AO4949" t="s">
        <v>118</v>
      </c>
      <c r="AP4949">
        <v>-99</v>
      </c>
      <c r="AQ4949">
        <v>-45</v>
      </c>
      <c r="AR4949">
        <v>-448</v>
      </c>
      <c r="AZ4949">
        <v>1200</v>
      </c>
      <c r="BA4949">
        <v>1</v>
      </c>
      <c r="BB4949" t="str">
        <f t="shared" si="2252"/>
        <v xml:space="preserve">N711JA  </v>
      </c>
      <c r="BC4949">
        <v>1</v>
      </c>
      <c r="BE4949">
        <v>0</v>
      </c>
      <c r="BF4949">
        <v>0</v>
      </c>
      <c r="BG4949">
        <v>0</v>
      </c>
      <c r="BH4949">
        <v>2375</v>
      </c>
      <c r="BI4949">
        <v>1</v>
      </c>
      <c r="BJ4949">
        <v>1</v>
      </c>
      <c r="BK4949">
        <v>0</v>
      </c>
      <c r="BL4949">
        <v>0</v>
      </c>
      <c r="BO4949">
        <v>0</v>
      </c>
      <c r="BP4949">
        <v>0</v>
      </c>
      <c r="BW4949" t="str">
        <f t="shared" si="2280"/>
        <v>14:50:21.151</v>
      </c>
      <c r="CJ4949">
        <v>0</v>
      </c>
      <c r="CK4949">
        <v>2</v>
      </c>
      <c r="CL4949">
        <v>0</v>
      </c>
      <c r="CM4949">
        <v>2</v>
      </c>
      <c r="CN4949">
        <v>0</v>
      </c>
      <c r="CO4949">
        <v>6</v>
      </c>
      <c r="CP4949" t="s">
        <v>119</v>
      </c>
      <c r="CQ4949">
        <v>8</v>
      </c>
      <c r="CR4949">
        <v>3</v>
      </c>
      <c r="CW4949">
        <v>9216725</v>
      </c>
      <c r="CY4949">
        <v>1</v>
      </c>
      <c r="CZ4949">
        <v>0</v>
      </c>
      <c r="DA4949">
        <v>1</v>
      </c>
      <c r="DB4949">
        <v>0</v>
      </c>
      <c r="DC4949">
        <v>0</v>
      </c>
      <c r="DD4949">
        <v>1</v>
      </c>
      <c r="DE4949">
        <v>0</v>
      </c>
      <c r="DF4949">
        <v>0</v>
      </c>
      <c r="DG4949">
        <v>0</v>
      </c>
      <c r="DH4949">
        <v>0</v>
      </c>
      <c r="DI4949">
        <v>0</v>
      </c>
    </row>
    <row r="4950" spans="1:113" x14ac:dyDescent="0.3">
      <c r="A4950" t="str">
        <f t="shared" si="2277"/>
        <v>05/12/2020 14:50:03.320</v>
      </c>
      <c r="C4950" t="str">
        <f t="shared" ref="C4950:C5013" si="2281">"FFDFD3C0"</f>
        <v>FFDFD3C0</v>
      </c>
      <c r="D4950" t="s">
        <v>126</v>
      </c>
      <c r="E4950">
        <v>6</v>
      </c>
      <c r="F4950">
        <v>1006</v>
      </c>
      <c r="G4950" t="s">
        <v>114</v>
      </c>
      <c r="J4950" t="s">
        <v>128</v>
      </c>
      <c r="K4950">
        <v>0</v>
      </c>
      <c r="L4950">
        <v>3</v>
      </c>
      <c r="M4950">
        <v>0</v>
      </c>
      <c r="N4950">
        <v>2</v>
      </c>
      <c r="O4950">
        <v>1</v>
      </c>
      <c r="P4950">
        <v>0</v>
      </c>
      <c r="Q4950">
        <v>0</v>
      </c>
      <c r="S4950" t="str">
        <f t="shared" si="2278"/>
        <v>14:50:21.148</v>
      </c>
      <c r="T4950" t="str">
        <f t="shared" si="2279"/>
        <v>14:50:20.948</v>
      </c>
      <c r="U4950" t="str">
        <f t="shared" si="2272"/>
        <v>A9808D</v>
      </c>
      <c r="V4950">
        <v>0</v>
      </c>
      <c r="W4950">
        <v>0</v>
      </c>
      <c r="X4950">
        <v>1</v>
      </c>
      <c r="Z4950">
        <v>0</v>
      </c>
      <c r="AA4950">
        <v>9</v>
      </c>
      <c r="AB4950">
        <v>3</v>
      </c>
      <c r="AC4950">
        <v>0</v>
      </c>
      <c r="AD4950">
        <v>10</v>
      </c>
      <c r="AE4950">
        <v>0</v>
      </c>
      <c r="AF4950">
        <v>3</v>
      </c>
      <c r="AG4950">
        <v>2</v>
      </c>
      <c r="AH4950">
        <v>0</v>
      </c>
      <c r="AI4950" t="s">
        <v>1102</v>
      </c>
      <c r="AJ4950">
        <v>28.236301000000001</v>
      </c>
      <c r="AK4950" t="s">
        <v>1103</v>
      </c>
      <c r="AL4950">
        <v>-82.363900999999998</v>
      </c>
      <c r="AM4950">
        <v>100</v>
      </c>
      <c r="AN4950">
        <v>2300</v>
      </c>
      <c r="AO4950" t="s">
        <v>118</v>
      </c>
      <c r="AP4950">
        <v>-99</v>
      </c>
      <c r="AQ4950">
        <v>-45</v>
      </c>
      <c r="AR4950">
        <v>-448</v>
      </c>
      <c r="AZ4950">
        <v>1200</v>
      </c>
      <c r="BA4950">
        <v>1</v>
      </c>
      <c r="BB4950" t="str">
        <f t="shared" ref="BB4950:BB5013" si="2282">"N711JA  "</f>
        <v xml:space="preserve">N711JA  </v>
      </c>
      <c r="BC4950">
        <v>1</v>
      </c>
      <c r="BE4950">
        <v>0</v>
      </c>
      <c r="BF4950">
        <v>0</v>
      </c>
      <c r="BG4950">
        <v>0</v>
      </c>
      <c r="BH4950">
        <v>2375</v>
      </c>
      <c r="BI4950">
        <v>1</v>
      </c>
      <c r="BJ4950">
        <v>1</v>
      </c>
      <c r="BK4950">
        <v>0</v>
      </c>
      <c r="BL4950">
        <v>0</v>
      </c>
      <c r="BO4950">
        <v>0</v>
      </c>
      <c r="BP4950">
        <v>0</v>
      </c>
      <c r="BW4950" t="str">
        <f t="shared" si="2280"/>
        <v>14:50:21.151</v>
      </c>
      <c r="CJ4950">
        <v>0</v>
      </c>
      <c r="CK4950">
        <v>2</v>
      </c>
      <c r="CL4950">
        <v>0</v>
      </c>
      <c r="CM4950">
        <v>2</v>
      </c>
      <c r="CN4950">
        <v>0</v>
      </c>
      <c r="CO4950">
        <v>6</v>
      </c>
      <c r="CP4950" t="s">
        <v>119</v>
      </c>
      <c r="CQ4950">
        <v>8</v>
      </c>
      <c r="CR4950">
        <v>3</v>
      </c>
      <c r="CW4950">
        <v>9216725</v>
      </c>
      <c r="CY4950">
        <v>1</v>
      </c>
      <c r="CZ4950">
        <v>0</v>
      </c>
      <c r="DA4950">
        <v>1</v>
      </c>
      <c r="DB4950">
        <v>0</v>
      </c>
      <c r="DC4950">
        <v>0</v>
      </c>
      <c r="DD4950">
        <v>1</v>
      </c>
      <c r="DE4950">
        <v>0</v>
      </c>
      <c r="DF4950">
        <v>0</v>
      </c>
      <c r="DG4950">
        <v>0</v>
      </c>
      <c r="DH4950">
        <v>0</v>
      </c>
      <c r="DI4950">
        <v>0</v>
      </c>
    </row>
    <row r="4951" spans="1:113" x14ac:dyDescent="0.3">
      <c r="A4951" t="str">
        <f t="shared" si="2277"/>
        <v>05/12/2020 14:50:03.320</v>
      </c>
      <c r="C4951" t="str">
        <f t="shared" si="2281"/>
        <v>FFDFD3C0</v>
      </c>
      <c r="D4951" t="s">
        <v>134</v>
      </c>
      <c r="E4951">
        <v>12</v>
      </c>
      <c r="H4951">
        <v>64</v>
      </c>
      <c r="I4951" t="s">
        <v>135</v>
      </c>
      <c r="J4951" t="s">
        <v>136</v>
      </c>
      <c r="K4951">
        <v>0</v>
      </c>
      <c r="L4951">
        <v>3</v>
      </c>
      <c r="M4951">
        <v>0</v>
      </c>
      <c r="N4951">
        <v>2</v>
      </c>
      <c r="O4951">
        <v>1</v>
      </c>
      <c r="P4951">
        <v>0</v>
      </c>
      <c r="Q4951">
        <v>0</v>
      </c>
      <c r="S4951" t="str">
        <f t="shared" si="2278"/>
        <v>14:50:21.148</v>
      </c>
      <c r="T4951" t="str">
        <f t="shared" si="2279"/>
        <v>14:50:20.948</v>
      </c>
      <c r="U4951" t="str">
        <f t="shared" si="2272"/>
        <v>A9808D</v>
      </c>
      <c r="V4951">
        <v>0</v>
      </c>
      <c r="W4951">
        <v>0</v>
      </c>
      <c r="X4951">
        <v>1</v>
      </c>
      <c r="Z4951">
        <v>0</v>
      </c>
      <c r="AA4951">
        <v>9</v>
      </c>
      <c r="AB4951">
        <v>3</v>
      </c>
      <c r="AC4951">
        <v>0</v>
      </c>
      <c r="AD4951">
        <v>10</v>
      </c>
      <c r="AE4951">
        <v>0</v>
      </c>
      <c r="AF4951">
        <v>3</v>
      </c>
      <c r="AG4951">
        <v>2</v>
      </c>
      <c r="AH4951">
        <v>0</v>
      </c>
      <c r="AI4951" t="s">
        <v>1102</v>
      </c>
      <c r="AJ4951">
        <v>28.236301000000001</v>
      </c>
      <c r="AK4951" t="s">
        <v>1103</v>
      </c>
      <c r="AL4951">
        <v>-82.363900999999998</v>
      </c>
      <c r="AM4951">
        <v>100</v>
      </c>
      <c r="AN4951">
        <v>2300</v>
      </c>
      <c r="AO4951" t="s">
        <v>118</v>
      </c>
      <c r="AP4951">
        <v>-99</v>
      </c>
      <c r="AQ4951">
        <v>-45</v>
      </c>
      <c r="AR4951">
        <v>-448</v>
      </c>
      <c r="AZ4951">
        <v>1200</v>
      </c>
      <c r="BA4951">
        <v>1</v>
      </c>
      <c r="BB4951" t="str">
        <f t="shared" si="2282"/>
        <v xml:space="preserve">N711JA  </v>
      </c>
      <c r="BC4951">
        <v>1</v>
      </c>
      <c r="BE4951">
        <v>0</v>
      </c>
      <c r="BF4951">
        <v>0</v>
      </c>
      <c r="BG4951">
        <v>0</v>
      </c>
      <c r="BH4951">
        <v>2375</v>
      </c>
      <c r="BI4951">
        <v>1</v>
      </c>
      <c r="BJ4951">
        <v>1</v>
      </c>
      <c r="BK4951">
        <v>0</v>
      </c>
      <c r="BL4951">
        <v>0</v>
      </c>
      <c r="BO4951">
        <v>0</v>
      </c>
      <c r="BP4951">
        <v>0</v>
      </c>
      <c r="BW4951" t="str">
        <f t="shared" si="2280"/>
        <v>14:50:21.151</v>
      </c>
      <c r="CJ4951">
        <v>0</v>
      </c>
      <c r="CK4951">
        <v>2</v>
      </c>
      <c r="CL4951">
        <v>0</v>
      </c>
      <c r="CM4951">
        <v>2</v>
      </c>
      <c r="CN4951">
        <v>0</v>
      </c>
      <c r="CO4951">
        <v>6</v>
      </c>
      <c r="CP4951" t="s">
        <v>119</v>
      </c>
      <c r="CQ4951">
        <v>8</v>
      </c>
      <c r="CR4951">
        <v>3</v>
      </c>
      <c r="CW4951">
        <v>9216725</v>
      </c>
      <c r="CY4951">
        <v>1</v>
      </c>
      <c r="CZ4951">
        <v>0</v>
      </c>
      <c r="DA4951">
        <v>1</v>
      </c>
      <c r="DB4951">
        <v>0</v>
      </c>
      <c r="DC4951">
        <v>0</v>
      </c>
      <c r="DD4951">
        <v>1</v>
      </c>
      <c r="DE4951">
        <v>0</v>
      </c>
      <c r="DF4951">
        <v>0</v>
      </c>
      <c r="DG4951">
        <v>0</v>
      </c>
      <c r="DH4951">
        <v>0</v>
      </c>
      <c r="DI4951">
        <v>0</v>
      </c>
    </row>
    <row r="4952" spans="1:113" x14ac:dyDescent="0.3">
      <c r="A4952" t="str">
        <f t="shared" ref="A4952:A4959" si="2283">"05/12/2020 14:50:04.237"</f>
        <v>05/12/2020 14:50:04.237</v>
      </c>
      <c r="C4952" t="str">
        <f t="shared" si="2281"/>
        <v>FFDFD3C0</v>
      </c>
      <c r="D4952" t="s">
        <v>113</v>
      </c>
      <c r="E4952">
        <v>3</v>
      </c>
      <c r="H4952">
        <v>164</v>
      </c>
      <c r="I4952" t="s">
        <v>114</v>
      </c>
      <c r="J4952" t="s">
        <v>115</v>
      </c>
      <c r="K4952">
        <v>0</v>
      </c>
      <c r="L4952">
        <v>3</v>
      </c>
      <c r="M4952">
        <v>0</v>
      </c>
      <c r="N4952">
        <v>2</v>
      </c>
      <c r="O4952">
        <v>1</v>
      </c>
      <c r="P4952">
        <v>0</v>
      </c>
      <c r="Q4952">
        <v>0</v>
      </c>
      <c r="S4952" t="str">
        <f t="shared" ref="S4952:T4959" si="2284">"14:50:22.070"</f>
        <v>14:50:22.070</v>
      </c>
      <c r="T4952" t="str">
        <f t="shared" si="2284"/>
        <v>14:50:22.070</v>
      </c>
      <c r="U4952" t="str">
        <f t="shared" si="2272"/>
        <v>A9808D</v>
      </c>
      <c r="V4952">
        <v>0</v>
      </c>
      <c r="W4952">
        <v>0</v>
      </c>
      <c r="X4952">
        <v>1</v>
      </c>
      <c r="Z4952">
        <v>0</v>
      </c>
      <c r="AA4952">
        <v>9</v>
      </c>
      <c r="AB4952">
        <v>3</v>
      </c>
      <c r="AC4952">
        <v>0</v>
      </c>
      <c r="AD4952">
        <v>10</v>
      </c>
      <c r="AE4952">
        <v>0</v>
      </c>
      <c r="AF4952">
        <v>3</v>
      </c>
      <c r="AG4952">
        <v>2</v>
      </c>
      <c r="AH4952">
        <v>0</v>
      </c>
      <c r="AI4952" t="s">
        <v>1104</v>
      </c>
      <c r="AJ4952">
        <v>28.236128999999998</v>
      </c>
      <c r="AK4952" t="s">
        <v>1105</v>
      </c>
      <c r="AL4952">
        <v>-82.364395000000002</v>
      </c>
      <c r="AM4952">
        <v>100</v>
      </c>
      <c r="AN4952">
        <v>2200</v>
      </c>
      <c r="AO4952" t="s">
        <v>118</v>
      </c>
      <c r="AP4952">
        <v>-99</v>
      </c>
      <c r="AQ4952">
        <v>-45</v>
      </c>
      <c r="AR4952">
        <v>-512</v>
      </c>
      <c r="AZ4952">
        <v>1200</v>
      </c>
      <c r="BA4952">
        <v>1</v>
      </c>
      <c r="BB4952" t="str">
        <f t="shared" si="2282"/>
        <v xml:space="preserve">N711JA  </v>
      </c>
      <c r="BC4952">
        <v>1</v>
      </c>
      <c r="BE4952">
        <v>0</v>
      </c>
      <c r="BF4952">
        <v>0</v>
      </c>
      <c r="BG4952">
        <v>0</v>
      </c>
      <c r="BH4952">
        <v>2350</v>
      </c>
      <c r="BI4952">
        <v>1</v>
      </c>
      <c r="BJ4952">
        <v>1</v>
      </c>
      <c r="BK4952">
        <v>0</v>
      </c>
      <c r="BL4952">
        <v>0</v>
      </c>
      <c r="BO4952">
        <v>0</v>
      </c>
      <c r="BP4952">
        <v>0</v>
      </c>
      <c r="BW4952" t="str">
        <f t="shared" ref="BW4952:BW4959" si="2285">"14:50:22.075"</f>
        <v>14:50:22.075</v>
      </c>
      <c r="CJ4952">
        <v>0</v>
      </c>
      <c r="CK4952">
        <v>2</v>
      </c>
      <c r="CL4952">
        <v>0</v>
      </c>
      <c r="CM4952">
        <v>2</v>
      </c>
      <c r="CN4952">
        <v>0</v>
      </c>
      <c r="CO4952">
        <v>6</v>
      </c>
      <c r="CP4952" t="s">
        <v>119</v>
      </c>
      <c r="CQ4952">
        <v>8</v>
      </c>
      <c r="CR4952">
        <v>3</v>
      </c>
      <c r="CW4952">
        <v>9217675</v>
      </c>
      <c r="CY4952">
        <v>1</v>
      </c>
      <c r="CZ4952">
        <v>0</v>
      </c>
      <c r="DA4952">
        <v>0</v>
      </c>
      <c r="DB4952">
        <v>0</v>
      </c>
      <c r="DC4952">
        <v>0</v>
      </c>
      <c r="DD4952">
        <v>1</v>
      </c>
      <c r="DE4952">
        <v>0</v>
      </c>
      <c r="DF4952">
        <v>0</v>
      </c>
      <c r="DG4952">
        <v>0</v>
      </c>
      <c r="DH4952">
        <v>0</v>
      </c>
      <c r="DI4952">
        <v>0</v>
      </c>
    </row>
    <row r="4953" spans="1:113" x14ac:dyDescent="0.3">
      <c r="A4953" t="str">
        <f t="shared" si="2283"/>
        <v>05/12/2020 14:50:04.237</v>
      </c>
      <c r="C4953" t="str">
        <f t="shared" si="2281"/>
        <v>FFDFD3C0</v>
      </c>
      <c r="D4953" t="s">
        <v>138</v>
      </c>
      <c r="E4953">
        <v>2</v>
      </c>
      <c r="H4953">
        <v>8</v>
      </c>
      <c r="I4953" t="s">
        <v>139</v>
      </c>
      <c r="J4953" t="s">
        <v>136</v>
      </c>
      <c r="K4953">
        <v>0</v>
      </c>
      <c r="L4953">
        <v>3</v>
      </c>
      <c r="M4953">
        <v>0</v>
      </c>
      <c r="N4953">
        <v>2</v>
      </c>
      <c r="O4953">
        <v>1</v>
      </c>
      <c r="P4953">
        <v>0</v>
      </c>
      <c r="Q4953">
        <v>0</v>
      </c>
      <c r="S4953" t="str">
        <f t="shared" si="2284"/>
        <v>14:50:22.070</v>
      </c>
      <c r="T4953" t="str">
        <f t="shared" si="2284"/>
        <v>14:50:22.070</v>
      </c>
      <c r="U4953" t="str">
        <f t="shared" si="2272"/>
        <v>A9808D</v>
      </c>
      <c r="V4953">
        <v>0</v>
      </c>
      <c r="W4953">
        <v>0</v>
      </c>
      <c r="X4953">
        <v>1</v>
      </c>
      <c r="Z4953">
        <v>0</v>
      </c>
      <c r="AA4953">
        <v>9</v>
      </c>
      <c r="AB4953">
        <v>3</v>
      </c>
      <c r="AC4953">
        <v>0</v>
      </c>
      <c r="AD4953">
        <v>10</v>
      </c>
      <c r="AE4953">
        <v>0</v>
      </c>
      <c r="AF4953">
        <v>3</v>
      </c>
      <c r="AG4953">
        <v>2</v>
      </c>
      <c r="AH4953">
        <v>0</v>
      </c>
      <c r="AI4953" t="s">
        <v>1104</v>
      </c>
      <c r="AJ4953">
        <v>28.236128999999998</v>
      </c>
      <c r="AK4953" t="s">
        <v>1105</v>
      </c>
      <c r="AL4953">
        <v>-82.364395000000002</v>
      </c>
      <c r="AM4953">
        <v>100</v>
      </c>
      <c r="AN4953">
        <v>2200</v>
      </c>
      <c r="AO4953" t="s">
        <v>118</v>
      </c>
      <c r="AP4953">
        <v>-99</v>
      </c>
      <c r="AQ4953">
        <v>-45</v>
      </c>
      <c r="AR4953">
        <v>-512</v>
      </c>
      <c r="AZ4953">
        <v>1200</v>
      </c>
      <c r="BA4953">
        <v>1</v>
      </c>
      <c r="BB4953" t="str">
        <f t="shared" si="2282"/>
        <v xml:space="preserve">N711JA  </v>
      </c>
      <c r="BC4953">
        <v>1</v>
      </c>
      <c r="BE4953">
        <v>0</v>
      </c>
      <c r="BF4953">
        <v>0</v>
      </c>
      <c r="BG4953">
        <v>0</v>
      </c>
      <c r="BH4953">
        <v>2350</v>
      </c>
      <c r="BI4953">
        <v>1</v>
      </c>
      <c r="BJ4953">
        <v>1</v>
      </c>
      <c r="BK4953">
        <v>0</v>
      </c>
      <c r="BL4953">
        <v>0</v>
      </c>
      <c r="BO4953">
        <v>0</v>
      </c>
      <c r="BP4953">
        <v>0</v>
      </c>
      <c r="BW4953" t="str">
        <f t="shared" si="2285"/>
        <v>14:50:22.075</v>
      </c>
      <c r="CJ4953">
        <v>0</v>
      </c>
      <c r="CK4953">
        <v>2</v>
      </c>
      <c r="CL4953">
        <v>0</v>
      </c>
      <c r="CM4953">
        <v>2</v>
      </c>
      <c r="CN4953">
        <v>0</v>
      </c>
      <c r="CO4953">
        <v>6</v>
      </c>
      <c r="CP4953" t="s">
        <v>119</v>
      </c>
      <c r="CQ4953">
        <v>8</v>
      </c>
      <c r="CR4953">
        <v>3</v>
      </c>
      <c r="CW4953">
        <v>9217675</v>
      </c>
      <c r="CY4953">
        <v>1</v>
      </c>
      <c r="CZ4953">
        <v>0</v>
      </c>
      <c r="DA4953">
        <v>1</v>
      </c>
      <c r="DB4953">
        <v>0</v>
      </c>
      <c r="DC4953">
        <v>0</v>
      </c>
      <c r="DD4953">
        <v>1</v>
      </c>
      <c r="DE4953">
        <v>0</v>
      </c>
      <c r="DF4953">
        <v>0</v>
      </c>
      <c r="DG4953">
        <v>0</v>
      </c>
      <c r="DH4953">
        <v>0</v>
      </c>
      <c r="DI4953">
        <v>0</v>
      </c>
    </row>
    <row r="4954" spans="1:113" x14ac:dyDescent="0.3">
      <c r="A4954" t="str">
        <f t="shared" si="2283"/>
        <v>05/12/2020 14:50:04.237</v>
      </c>
      <c r="C4954" t="str">
        <f t="shared" si="2281"/>
        <v>FFDFD3C0</v>
      </c>
      <c r="D4954" t="s">
        <v>138</v>
      </c>
      <c r="E4954">
        <v>3</v>
      </c>
      <c r="H4954">
        <v>9</v>
      </c>
      <c r="I4954" t="s">
        <v>140</v>
      </c>
      <c r="J4954" t="s">
        <v>136</v>
      </c>
      <c r="K4954">
        <v>0</v>
      </c>
      <c r="L4954">
        <v>3</v>
      </c>
      <c r="M4954">
        <v>0</v>
      </c>
      <c r="N4954">
        <v>2</v>
      </c>
      <c r="O4954">
        <v>1</v>
      </c>
      <c r="P4954">
        <v>0</v>
      </c>
      <c r="Q4954">
        <v>0</v>
      </c>
      <c r="S4954" t="str">
        <f t="shared" si="2284"/>
        <v>14:50:22.070</v>
      </c>
      <c r="T4954" t="str">
        <f t="shared" si="2284"/>
        <v>14:50:22.070</v>
      </c>
      <c r="U4954" t="str">
        <f t="shared" si="2272"/>
        <v>A9808D</v>
      </c>
      <c r="V4954">
        <v>0</v>
      </c>
      <c r="W4954">
        <v>0</v>
      </c>
      <c r="X4954">
        <v>1</v>
      </c>
      <c r="Z4954">
        <v>0</v>
      </c>
      <c r="AA4954">
        <v>9</v>
      </c>
      <c r="AB4954">
        <v>3</v>
      </c>
      <c r="AC4954">
        <v>0</v>
      </c>
      <c r="AD4954">
        <v>10</v>
      </c>
      <c r="AE4954">
        <v>0</v>
      </c>
      <c r="AF4954">
        <v>3</v>
      </c>
      <c r="AG4954">
        <v>2</v>
      </c>
      <c r="AH4954">
        <v>0</v>
      </c>
      <c r="AI4954" t="s">
        <v>1104</v>
      </c>
      <c r="AJ4954">
        <v>28.236128999999998</v>
      </c>
      <c r="AK4954" t="s">
        <v>1105</v>
      </c>
      <c r="AL4954">
        <v>-82.364395000000002</v>
      </c>
      <c r="AM4954">
        <v>100</v>
      </c>
      <c r="AN4954">
        <v>2200</v>
      </c>
      <c r="AO4954" t="s">
        <v>118</v>
      </c>
      <c r="AP4954">
        <v>-99</v>
      </c>
      <c r="AQ4954">
        <v>-45</v>
      </c>
      <c r="AR4954">
        <v>-512</v>
      </c>
      <c r="AZ4954">
        <v>1200</v>
      </c>
      <c r="BA4954">
        <v>1</v>
      </c>
      <c r="BB4954" t="str">
        <f t="shared" si="2282"/>
        <v xml:space="preserve">N711JA  </v>
      </c>
      <c r="BC4954">
        <v>1</v>
      </c>
      <c r="BE4954">
        <v>0</v>
      </c>
      <c r="BF4954">
        <v>0</v>
      </c>
      <c r="BG4954">
        <v>0</v>
      </c>
      <c r="BH4954">
        <v>2350</v>
      </c>
      <c r="BI4954">
        <v>1</v>
      </c>
      <c r="BJ4954">
        <v>1</v>
      </c>
      <c r="BK4954">
        <v>0</v>
      </c>
      <c r="BL4954">
        <v>0</v>
      </c>
      <c r="BO4954">
        <v>0</v>
      </c>
      <c r="BP4954">
        <v>0</v>
      </c>
      <c r="BW4954" t="str">
        <f t="shared" si="2285"/>
        <v>14:50:22.075</v>
      </c>
      <c r="CJ4954">
        <v>0</v>
      </c>
      <c r="CK4954">
        <v>2</v>
      </c>
      <c r="CL4954">
        <v>0</v>
      </c>
      <c r="CM4954">
        <v>2</v>
      </c>
      <c r="CN4954">
        <v>0</v>
      </c>
      <c r="CO4954">
        <v>6</v>
      </c>
      <c r="CP4954" t="s">
        <v>119</v>
      </c>
      <c r="CQ4954">
        <v>8</v>
      </c>
      <c r="CR4954">
        <v>3</v>
      </c>
      <c r="CW4954">
        <v>9217675</v>
      </c>
      <c r="CY4954">
        <v>1</v>
      </c>
      <c r="CZ4954">
        <v>0</v>
      </c>
      <c r="DA4954">
        <v>1</v>
      </c>
      <c r="DB4954">
        <v>0</v>
      </c>
      <c r="DC4954">
        <v>0</v>
      </c>
      <c r="DD4954">
        <v>1</v>
      </c>
      <c r="DE4954">
        <v>0</v>
      </c>
      <c r="DF4954">
        <v>0</v>
      </c>
      <c r="DG4954">
        <v>0</v>
      </c>
      <c r="DH4954">
        <v>0</v>
      </c>
      <c r="DI4954">
        <v>0</v>
      </c>
    </row>
    <row r="4955" spans="1:113" x14ac:dyDescent="0.3">
      <c r="A4955" t="str">
        <f t="shared" si="2283"/>
        <v>05/12/2020 14:50:04.237</v>
      </c>
      <c r="C4955" t="str">
        <f t="shared" si="2281"/>
        <v>FFDFD3C0</v>
      </c>
      <c r="D4955" t="s">
        <v>126</v>
      </c>
      <c r="E4955">
        <v>6</v>
      </c>
      <c r="F4955">
        <v>1006</v>
      </c>
      <c r="G4955" t="s">
        <v>114</v>
      </c>
      <c r="J4955" t="s">
        <v>128</v>
      </c>
      <c r="K4955">
        <v>0</v>
      </c>
      <c r="L4955">
        <v>3</v>
      </c>
      <c r="M4955">
        <v>0</v>
      </c>
      <c r="N4955">
        <v>2</v>
      </c>
      <c r="O4955">
        <v>1</v>
      </c>
      <c r="P4955">
        <v>0</v>
      </c>
      <c r="Q4955">
        <v>0</v>
      </c>
      <c r="S4955" t="str">
        <f t="shared" si="2284"/>
        <v>14:50:22.070</v>
      </c>
      <c r="T4955" t="str">
        <f t="shared" si="2284"/>
        <v>14:50:22.070</v>
      </c>
      <c r="U4955" t="str">
        <f t="shared" si="2272"/>
        <v>A9808D</v>
      </c>
      <c r="V4955">
        <v>0</v>
      </c>
      <c r="W4955">
        <v>0</v>
      </c>
      <c r="X4955">
        <v>1</v>
      </c>
      <c r="Z4955">
        <v>0</v>
      </c>
      <c r="AA4955">
        <v>9</v>
      </c>
      <c r="AB4955">
        <v>3</v>
      </c>
      <c r="AC4955">
        <v>0</v>
      </c>
      <c r="AD4955">
        <v>10</v>
      </c>
      <c r="AE4955">
        <v>0</v>
      </c>
      <c r="AF4955">
        <v>3</v>
      </c>
      <c r="AG4955">
        <v>2</v>
      </c>
      <c r="AH4955">
        <v>0</v>
      </c>
      <c r="AI4955" t="s">
        <v>1104</v>
      </c>
      <c r="AJ4955">
        <v>28.236128999999998</v>
      </c>
      <c r="AK4955" t="s">
        <v>1105</v>
      </c>
      <c r="AL4955">
        <v>-82.364395000000002</v>
      </c>
      <c r="AM4955">
        <v>100</v>
      </c>
      <c r="AN4955">
        <v>2200</v>
      </c>
      <c r="AO4955" t="s">
        <v>118</v>
      </c>
      <c r="AP4955">
        <v>-99</v>
      </c>
      <c r="AQ4955">
        <v>-45</v>
      </c>
      <c r="AR4955">
        <v>-512</v>
      </c>
      <c r="AZ4955">
        <v>1200</v>
      </c>
      <c r="BA4955">
        <v>1</v>
      </c>
      <c r="BB4955" t="str">
        <f t="shared" si="2282"/>
        <v xml:space="preserve">N711JA  </v>
      </c>
      <c r="BC4955">
        <v>1</v>
      </c>
      <c r="BE4955">
        <v>0</v>
      </c>
      <c r="BF4955">
        <v>0</v>
      </c>
      <c r="BG4955">
        <v>0</v>
      </c>
      <c r="BH4955">
        <v>2350</v>
      </c>
      <c r="BI4955">
        <v>1</v>
      </c>
      <c r="BJ4955">
        <v>1</v>
      </c>
      <c r="BK4955">
        <v>0</v>
      </c>
      <c r="BL4955">
        <v>0</v>
      </c>
      <c r="BO4955">
        <v>0</v>
      </c>
      <c r="BP4955">
        <v>0</v>
      </c>
      <c r="BW4955" t="str">
        <f t="shared" si="2285"/>
        <v>14:50:22.075</v>
      </c>
      <c r="CJ4955">
        <v>0</v>
      </c>
      <c r="CK4955">
        <v>2</v>
      </c>
      <c r="CL4955">
        <v>0</v>
      </c>
      <c r="CM4955">
        <v>2</v>
      </c>
      <c r="CN4955">
        <v>0</v>
      </c>
      <c r="CO4955">
        <v>6</v>
      </c>
      <c r="CP4955" t="s">
        <v>119</v>
      </c>
      <c r="CQ4955">
        <v>8</v>
      </c>
      <c r="CR4955">
        <v>3</v>
      </c>
      <c r="CW4955">
        <v>9217675</v>
      </c>
      <c r="CY4955">
        <v>1</v>
      </c>
      <c r="CZ4955">
        <v>0</v>
      </c>
      <c r="DA4955">
        <v>1</v>
      </c>
      <c r="DB4955">
        <v>0</v>
      </c>
      <c r="DC4955">
        <v>0</v>
      </c>
      <c r="DD4955">
        <v>1</v>
      </c>
      <c r="DE4955">
        <v>0</v>
      </c>
      <c r="DF4955">
        <v>0</v>
      </c>
      <c r="DG4955">
        <v>0</v>
      </c>
      <c r="DH4955">
        <v>0</v>
      </c>
      <c r="DI4955">
        <v>0</v>
      </c>
    </row>
    <row r="4956" spans="1:113" x14ac:dyDescent="0.3">
      <c r="A4956" t="str">
        <f t="shared" si="2283"/>
        <v>05/12/2020 14:50:04.237</v>
      </c>
      <c r="C4956" t="str">
        <f t="shared" si="2281"/>
        <v>FFDFD3C0</v>
      </c>
      <c r="D4956" t="s">
        <v>134</v>
      </c>
      <c r="E4956">
        <v>12</v>
      </c>
      <c r="H4956">
        <v>64</v>
      </c>
      <c r="I4956" t="s">
        <v>135</v>
      </c>
      <c r="J4956" t="s">
        <v>136</v>
      </c>
      <c r="K4956">
        <v>0</v>
      </c>
      <c r="L4956">
        <v>3</v>
      </c>
      <c r="M4956">
        <v>0</v>
      </c>
      <c r="N4956">
        <v>2</v>
      </c>
      <c r="O4956">
        <v>1</v>
      </c>
      <c r="P4956">
        <v>0</v>
      </c>
      <c r="Q4956">
        <v>0</v>
      </c>
      <c r="S4956" t="str">
        <f t="shared" si="2284"/>
        <v>14:50:22.070</v>
      </c>
      <c r="T4956" t="str">
        <f t="shared" si="2284"/>
        <v>14:50:22.070</v>
      </c>
      <c r="U4956" t="str">
        <f t="shared" si="2272"/>
        <v>A9808D</v>
      </c>
      <c r="V4956">
        <v>0</v>
      </c>
      <c r="W4956">
        <v>0</v>
      </c>
      <c r="X4956">
        <v>1</v>
      </c>
      <c r="Z4956">
        <v>0</v>
      </c>
      <c r="AA4956">
        <v>9</v>
      </c>
      <c r="AB4956">
        <v>3</v>
      </c>
      <c r="AC4956">
        <v>0</v>
      </c>
      <c r="AD4956">
        <v>10</v>
      </c>
      <c r="AE4956">
        <v>0</v>
      </c>
      <c r="AF4956">
        <v>3</v>
      </c>
      <c r="AG4956">
        <v>2</v>
      </c>
      <c r="AH4956">
        <v>0</v>
      </c>
      <c r="AI4956" t="s">
        <v>1104</v>
      </c>
      <c r="AJ4956">
        <v>28.236128999999998</v>
      </c>
      <c r="AK4956" t="s">
        <v>1105</v>
      </c>
      <c r="AL4956">
        <v>-82.364395000000002</v>
      </c>
      <c r="AM4956">
        <v>100</v>
      </c>
      <c r="AN4956">
        <v>2200</v>
      </c>
      <c r="AO4956" t="s">
        <v>118</v>
      </c>
      <c r="AP4956">
        <v>-99</v>
      </c>
      <c r="AQ4956">
        <v>-45</v>
      </c>
      <c r="AR4956">
        <v>-512</v>
      </c>
      <c r="AZ4956">
        <v>1200</v>
      </c>
      <c r="BA4956">
        <v>1</v>
      </c>
      <c r="BB4956" t="str">
        <f t="shared" si="2282"/>
        <v xml:space="preserve">N711JA  </v>
      </c>
      <c r="BC4956">
        <v>1</v>
      </c>
      <c r="BE4956">
        <v>0</v>
      </c>
      <c r="BF4956">
        <v>0</v>
      </c>
      <c r="BG4956">
        <v>0</v>
      </c>
      <c r="BH4956">
        <v>2350</v>
      </c>
      <c r="BI4956">
        <v>1</v>
      </c>
      <c r="BJ4956">
        <v>1</v>
      </c>
      <c r="BK4956">
        <v>0</v>
      </c>
      <c r="BL4956">
        <v>0</v>
      </c>
      <c r="BO4956">
        <v>0</v>
      </c>
      <c r="BP4956">
        <v>0</v>
      </c>
      <c r="BW4956" t="str">
        <f t="shared" si="2285"/>
        <v>14:50:22.075</v>
      </c>
      <c r="CJ4956">
        <v>0</v>
      </c>
      <c r="CK4956">
        <v>2</v>
      </c>
      <c r="CL4956">
        <v>0</v>
      </c>
      <c r="CM4956">
        <v>2</v>
      </c>
      <c r="CN4956">
        <v>0</v>
      </c>
      <c r="CO4956">
        <v>6</v>
      </c>
      <c r="CP4956" t="s">
        <v>119</v>
      </c>
      <c r="CQ4956">
        <v>8</v>
      </c>
      <c r="CR4956">
        <v>3</v>
      </c>
      <c r="CW4956">
        <v>9217675</v>
      </c>
      <c r="CY4956">
        <v>1</v>
      </c>
      <c r="CZ4956">
        <v>0</v>
      </c>
      <c r="DA4956">
        <v>1</v>
      </c>
      <c r="DB4956">
        <v>0</v>
      </c>
      <c r="DC4956">
        <v>0</v>
      </c>
      <c r="DD4956">
        <v>1</v>
      </c>
      <c r="DE4956">
        <v>0</v>
      </c>
      <c r="DF4956">
        <v>0</v>
      </c>
      <c r="DG4956">
        <v>0</v>
      </c>
      <c r="DH4956">
        <v>0</v>
      </c>
      <c r="DI4956">
        <v>0</v>
      </c>
    </row>
    <row r="4957" spans="1:113" x14ac:dyDescent="0.3">
      <c r="A4957" t="str">
        <f t="shared" si="2283"/>
        <v>05/12/2020 14:50:04.237</v>
      </c>
      <c r="C4957" t="str">
        <f t="shared" si="2281"/>
        <v>FFDFD3C0</v>
      </c>
      <c r="D4957" t="s">
        <v>126</v>
      </c>
      <c r="E4957">
        <v>7</v>
      </c>
      <c r="F4957">
        <v>1007</v>
      </c>
      <c r="G4957" t="s">
        <v>127</v>
      </c>
      <c r="J4957" t="s">
        <v>128</v>
      </c>
      <c r="K4957">
        <v>0</v>
      </c>
      <c r="L4957">
        <v>3</v>
      </c>
      <c r="M4957">
        <v>0</v>
      </c>
      <c r="N4957">
        <v>2</v>
      </c>
      <c r="O4957">
        <v>1</v>
      </c>
      <c r="P4957">
        <v>0</v>
      </c>
      <c r="Q4957">
        <v>0</v>
      </c>
      <c r="S4957" t="str">
        <f t="shared" si="2284"/>
        <v>14:50:22.070</v>
      </c>
      <c r="T4957" t="str">
        <f t="shared" si="2284"/>
        <v>14:50:22.070</v>
      </c>
      <c r="U4957" t="str">
        <f t="shared" si="2272"/>
        <v>A9808D</v>
      </c>
      <c r="V4957">
        <v>0</v>
      </c>
      <c r="W4957">
        <v>0</v>
      </c>
      <c r="X4957">
        <v>1</v>
      </c>
      <c r="Z4957">
        <v>0</v>
      </c>
      <c r="AA4957">
        <v>9</v>
      </c>
      <c r="AB4957">
        <v>3</v>
      </c>
      <c r="AC4957">
        <v>0</v>
      </c>
      <c r="AD4957">
        <v>10</v>
      </c>
      <c r="AE4957">
        <v>0</v>
      </c>
      <c r="AF4957">
        <v>3</v>
      </c>
      <c r="AG4957">
        <v>2</v>
      </c>
      <c r="AH4957">
        <v>0</v>
      </c>
      <c r="AI4957" t="s">
        <v>1104</v>
      </c>
      <c r="AJ4957">
        <v>28.236128999999998</v>
      </c>
      <c r="AK4957" t="s">
        <v>1105</v>
      </c>
      <c r="AL4957">
        <v>-82.364395000000002</v>
      </c>
      <c r="AM4957">
        <v>100</v>
      </c>
      <c r="AN4957">
        <v>2200</v>
      </c>
      <c r="AO4957" t="s">
        <v>118</v>
      </c>
      <c r="AP4957">
        <v>-99</v>
      </c>
      <c r="AQ4957">
        <v>-45</v>
      </c>
      <c r="AR4957">
        <v>-512</v>
      </c>
      <c r="AZ4957">
        <v>1200</v>
      </c>
      <c r="BA4957">
        <v>1</v>
      </c>
      <c r="BB4957" t="str">
        <f t="shared" si="2282"/>
        <v xml:space="preserve">N711JA  </v>
      </c>
      <c r="BC4957">
        <v>1</v>
      </c>
      <c r="BE4957">
        <v>0</v>
      </c>
      <c r="BF4957">
        <v>0</v>
      </c>
      <c r="BG4957">
        <v>0</v>
      </c>
      <c r="BH4957">
        <v>2350</v>
      </c>
      <c r="BI4957">
        <v>1</v>
      </c>
      <c r="BJ4957">
        <v>1</v>
      </c>
      <c r="BK4957">
        <v>0</v>
      </c>
      <c r="BL4957">
        <v>0</v>
      </c>
      <c r="BO4957">
        <v>0</v>
      </c>
      <c r="BP4957">
        <v>0</v>
      </c>
      <c r="BW4957" t="str">
        <f t="shared" si="2285"/>
        <v>14:50:22.075</v>
      </c>
      <c r="CJ4957">
        <v>0</v>
      </c>
      <c r="CK4957">
        <v>2</v>
      </c>
      <c r="CL4957">
        <v>0</v>
      </c>
      <c r="CM4957">
        <v>2</v>
      </c>
      <c r="CN4957">
        <v>0</v>
      </c>
      <c r="CO4957">
        <v>6</v>
      </c>
      <c r="CP4957" t="s">
        <v>119</v>
      </c>
      <c r="CQ4957">
        <v>8</v>
      </c>
      <c r="CR4957">
        <v>3</v>
      </c>
      <c r="CW4957">
        <v>9217675</v>
      </c>
      <c r="CY4957">
        <v>1</v>
      </c>
      <c r="CZ4957">
        <v>0</v>
      </c>
      <c r="DA4957">
        <v>1</v>
      </c>
      <c r="DB4957">
        <v>0</v>
      </c>
      <c r="DC4957">
        <v>0</v>
      </c>
      <c r="DD4957">
        <v>1</v>
      </c>
      <c r="DE4957">
        <v>0</v>
      </c>
      <c r="DF4957">
        <v>0</v>
      </c>
      <c r="DG4957">
        <v>0</v>
      </c>
      <c r="DH4957">
        <v>0</v>
      </c>
      <c r="DI4957">
        <v>0</v>
      </c>
    </row>
    <row r="4958" spans="1:113" x14ac:dyDescent="0.3">
      <c r="A4958" t="str">
        <f t="shared" si="2283"/>
        <v>05/12/2020 14:50:04.237</v>
      </c>
      <c r="C4958" t="str">
        <f t="shared" si="2281"/>
        <v>FFDFD3C0</v>
      </c>
      <c r="D4958" t="s">
        <v>131</v>
      </c>
      <c r="E4958">
        <v>10</v>
      </c>
      <c r="F4958">
        <v>2010</v>
      </c>
      <c r="G4958" t="s">
        <v>132</v>
      </c>
      <c r="J4958" t="s">
        <v>133</v>
      </c>
      <c r="K4958">
        <v>0</v>
      </c>
      <c r="L4958">
        <v>3</v>
      </c>
      <c r="M4958">
        <v>0</v>
      </c>
      <c r="N4958">
        <v>2</v>
      </c>
      <c r="O4958">
        <v>1</v>
      </c>
      <c r="P4958">
        <v>0</v>
      </c>
      <c r="Q4958">
        <v>0</v>
      </c>
      <c r="S4958" t="str">
        <f t="shared" si="2284"/>
        <v>14:50:22.070</v>
      </c>
      <c r="T4958" t="str">
        <f t="shared" si="2284"/>
        <v>14:50:22.070</v>
      </c>
      <c r="U4958" t="str">
        <f t="shared" si="2272"/>
        <v>A9808D</v>
      </c>
      <c r="V4958">
        <v>0</v>
      </c>
      <c r="W4958">
        <v>0</v>
      </c>
      <c r="X4958">
        <v>1</v>
      </c>
      <c r="Z4958">
        <v>0</v>
      </c>
      <c r="AA4958">
        <v>9</v>
      </c>
      <c r="AB4958">
        <v>3</v>
      </c>
      <c r="AC4958">
        <v>0</v>
      </c>
      <c r="AD4958">
        <v>10</v>
      </c>
      <c r="AE4958">
        <v>0</v>
      </c>
      <c r="AF4958">
        <v>3</v>
      </c>
      <c r="AG4958">
        <v>2</v>
      </c>
      <c r="AH4958">
        <v>0</v>
      </c>
      <c r="AI4958" t="s">
        <v>1104</v>
      </c>
      <c r="AJ4958">
        <v>28.236128999999998</v>
      </c>
      <c r="AK4958" t="s">
        <v>1105</v>
      </c>
      <c r="AL4958">
        <v>-82.364395000000002</v>
      </c>
      <c r="AM4958">
        <v>100</v>
      </c>
      <c r="AN4958">
        <v>2200</v>
      </c>
      <c r="AO4958" t="s">
        <v>118</v>
      </c>
      <c r="AP4958">
        <v>-99</v>
      </c>
      <c r="AQ4958">
        <v>-45</v>
      </c>
      <c r="AR4958">
        <v>-512</v>
      </c>
      <c r="AZ4958">
        <v>1200</v>
      </c>
      <c r="BA4958">
        <v>1</v>
      </c>
      <c r="BB4958" t="str">
        <f t="shared" si="2282"/>
        <v xml:space="preserve">N711JA  </v>
      </c>
      <c r="BC4958">
        <v>1</v>
      </c>
      <c r="BE4958">
        <v>0</v>
      </c>
      <c r="BF4958">
        <v>0</v>
      </c>
      <c r="BG4958">
        <v>0</v>
      </c>
      <c r="BH4958">
        <v>2350</v>
      </c>
      <c r="BI4958">
        <v>1</v>
      </c>
      <c r="BJ4958">
        <v>1</v>
      </c>
      <c r="BK4958">
        <v>0</v>
      </c>
      <c r="BL4958">
        <v>0</v>
      </c>
      <c r="BO4958">
        <v>0</v>
      </c>
      <c r="BP4958">
        <v>0</v>
      </c>
      <c r="BW4958" t="str">
        <f t="shared" si="2285"/>
        <v>14:50:22.075</v>
      </c>
      <c r="CJ4958">
        <v>0</v>
      </c>
      <c r="CK4958">
        <v>2</v>
      </c>
      <c r="CL4958">
        <v>0</v>
      </c>
      <c r="CM4958">
        <v>2</v>
      </c>
      <c r="CN4958">
        <v>0</v>
      </c>
      <c r="CO4958">
        <v>6</v>
      </c>
      <c r="CP4958" t="s">
        <v>119</v>
      </c>
      <c r="CQ4958">
        <v>8</v>
      </c>
      <c r="CR4958">
        <v>3</v>
      </c>
      <c r="CW4958">
        <v>9217675</v>
      </c>
      <c r="CY4958">
        <v>1</v>
      </c>
      <c r="CZ4958">
        <v>0</v>
      </c>
      <c r="DA4958">
        <v>1</v>
      </c>
      <c r="DB4958">
        <v>0</v>
      </c>
      <c r="DC4958">
        <v>0</v>
      </c>
      <c r="DD4958">
        <v>1</v>
      </c>
      <c r="DE4958">
        <v>0</v>
      </c>
      <c r="DF4958">
        <v>0</v>
      </c>
      <c r="DG4958">
        <v>0</v>
      </c>
      <c r="DH4958">
        <v>0</v>
      </c>
      <c r="DI4958">
        <v>0</v>
      </c>
    </row>
    <row r="4959" spans="1:113" x14ac:dyDescent="0.3">
      <c r="A4959" t="str">
        <f t="shared" si="2283"/>
        <v>05/12/2020 14:50:04.237</v>
      </c>
      <c r="C4959" t="str">
        <f t="shared" si="2281"/>
        <v>FFDFD3C0</v>
      </c>
      <c r="D4959" t="s">
        <v>131</v>
      </c>
      <c r="E4959">
        <v>12</v>
      </c>
      <c r="F4959">
        <v>2012</v>
      </c>
      <c r="G4959" t="s">
        <v>137</v>
      </c>
      <c r="J4959" t="s">
        <v>133</v>
      </c>
      <c r="K4959">
        <v>0</v>
      </c>
      <c r="L4959">
        <v>3</v>
      </c>
      <c r="M4959">
        <v>0</v>
      </c>
      <c r="N4959">
        <v>2</v>
      </c>
      <c r="O4959">
        <v>1</v>
      </c>
      <c r="P4959">
        <v>0</v>
      </c>
      <c r="Q4959">
        <v>0</v>
      </c>
      <c r="S4959" t="str">
        <f t="shared" si="2284"/>
        <v>14:50:22.070</v>
      </c>
      <c r="T4959" t="str">
        <f t="shared" si="2284"/>
        <v>14:50:22.070</v>
      </c>
      <c r="U4959" t="str">
        <f t="shared" si="2272"/>
        <v>A9808D</v>
      </c>
      <c r="V4959">
        <v>0</v>
      </c>
      <c r="W4959">
        <v>0</v>
      </c>
      <c r="X4959">
        <v>1</v>
      </c>
      <c r="Z4959">
        <v>0</v>
      </c>
      <c r="AA4959">
        <v>9</v>
      </c>
      <c r="AB4959">
        <v>3</v>
      </c>
      <c r="AC4959">
        <v>0</v>
      </c>
      <c r="AD4959">
        <v>10</v>
      </c>
      <c r="AE4959">
        <v>0</v>
      </c>
      <c r="AF4959">
        <v>3</v>
      </c>
      <c r="AG4959">
        <v>2</v>
      </c>
      <c r="AH4959">
        <v>0</v>
      </c>
      <c r="AI4959" t="s">
        <v>1104</v>
      </c>
      <c r="AJ4959">
        <v>28.236128999999998</v>
      </c>
      <c r="AK4959" t="s">
        <v>1105</v>
      </c>
      <c r="AL4959">
        <v>-82.364395000000002</v>
      </c>
      <c r="AM4959">
        <v>100</v>
      </c>
      <c r="AN4959">
        <v>2200</v>
      </c>
      <c r="AO4959" t="s">
        <v>118</v>
      </c>
      <c r="AP4959">
        <v>-99</v>
      </c>
      <c r="AQ4959">
        <v>-45</v>
      </c>
      <c r="AR4959">
        <v>-512</v>
      </c>
      <c r="AZ4959">
        <v>1200</v>
      </c>
      <c r="BA4959">
        <v>1</v>
      </c>
      <c r="BB4959" t="str">
        <f t="shared" si="2282"/>
        <v xml:space="preserve">N711JA  </v>
      </c>
      <c r="BC4959">
        <v>1</v>
      </c>
      <c r="BE4959">
        <v>0</v>
      </c>
      <c r="BF4959">
        <v>0</v>
      </c>
      <c r="BG4959">
        <v>0</v>
      </c>
      <c r="BH4959">
        <v>2350</v>
      </c>
      <c r="BI4959">
        <v>1</v>
      </c>
      <c r="BJ4959">
        <v>1</v>
      </c>
      <c r="BK4959">
        <v>0</v>
      </c>
      <c r="BL4959">
        <v>0</v>
      </c>
      <c r="BO4959">
        <v>0</v>
      </c>
      <c r="BP4959">
        <v>0</v>
      </c>
      <c r="BW4959" t="str">
        <f t="shared" si="2285"/>
        <v>14:50:22.075</v>
      </c>
      <c r="CJ4959">
        <v>0</v>
      </c>
      <c r="CK4959">
        <v>2</v>
      </c>
      <c r="CL4959">
        <v>0</v>
      </c>
      <c r="CM4959">
        <v>2</v>
      </c>
      <c r="CN4959">
        <v>0</v>
      </c>
      <c r="CO4959">
        <v>6</v>
      </c>
      <c r="CP4959" t="s">
        <v>119</v>
      </c>
      <c r="CQ4959">
        <v>8</v>
      </c>
      <c r="CR4959">
        <v>3</v>
      </c>
      <c r="CW4959">
        <v>9217675</v>
      </c>
      <c r="CY4959">
        <v>1</v>
      </c>
      <c r="CZ4959">
        <v>0</v>
      </c>
      <c r="DA4959">
        <v>1</v>
      </c>
      <c r="DB4959">
        <v>0</v>
      </c>
      <c r="DC4959">
        <v>0</v>
      </c>
      <c r="DD4959">
        <v>1</v>
      </c>
      <c r="DE4959">
        <v>0</v>
      </c>
      <c r="DF4959">
        <v>0</v>
      </c>
      <c r="DG4959">
        <v>0</v>
      </c>
      <c r="DH4959">
        <v>0</v>
      </c>
      <c r="DI4959">
        <v>0</v>
      </c>
    </row>
    <row r="4960" spans="1:113" x14ac:dyDescent="0.3">
      <c r="A4960" t="str">
        <f t="shared" ref="A4960:A4968" si="2286">"05/12/2020 14:50:05.299"</f>
        <v>05/12/2020 14:50:05.299</v>
      </c>
      <c r="C4960" t="str">
        <f t="shared" si="2281"/>
        <v>FFDFD3C0</v>
      </c>
      <c r="D4960" t="s">
        <v>113</v>
      </c>
      <c r="E4960">
        <v>3</v>
      </c>
      <c r="H4960">
        <v>164</v>
      </c>
      <c r="I4960" t="s">
        <v>114</v>
      </c>
      <c r="J4960" t="s">
        <v>115</v>
      </c>
      <c r="K4960">
        <v>0</v>
      </c>
      <c r="L4960">
        <v>3</v>
      </c>
      <c r="M4960">
        <v>0</v>
      </c>
      <c r="N4960">
        <v>2</v>
      </c>
      <c r="O4960">
        <v>1</v>
      </c>
      <c r="P4960">
        <v>0</v>
      </c>
      <c r="Q4960">
        <v>0</v>
      </c>
      <c r="S4960" t="str">
        <f t="shared" ref="S4960:T4968" si="2287">"14:50:23.141"</f>
        <v>14:50:23.141</v>
      </c>
      <c r="T4960" t="str">
        <f t="shared" si="2287"/>
        <v>14:50:23.141</v>
      </c>
      <c r="U4960" t="str">
        <f t="shared" si="2272"/>
        <v>A9808D</v>
      </c>
      <c r="V4960">
        <v>0</v>
      </c>
      <c r="W4960">
        <v>0</v>
      </c>
      <c r="X4960">
        <v>1</v>
      </c>
      <c r="Z4960">
        <v>0</v>
      </c>
      <c r="AA4960">
        <v>9</v>
      </c>
      <c r="AB4960">
        <v>3</v>
      </c>
      <c r="AC4960">
        <v>0</v>
      </c>
      <c r="AD4960">
        <v>10</v>
      </c>
      <c r="AE4960">
        <v>0</v>
      </c>
      <c r="AF4960">
        <v>3</v>
      </c>
      <c r="AG4960">
        <v>2</v>
      </c>
      <c r="AH4960">
        <v>0</v>
      </c>
      <c r="AI4960" t="s">
        <v>1106</v>
      </c>
      <c r="AJ4960">
        <v>28.235893000000001</v>
      </c>
      <c r="AK4960" t="s">
        <v>1107</v>
      </c>
      <c r="AL4960">
        <v>-82.364994999999993</v>
      </c>
      <c r="AM4960">
        <v>100</v>
      </c>
      <c r="AN4960">
        <v>2200</v>
      </c>
      <c r="AO4960" t="s">
        <v>118</v>
      </c>
      <c r="AP4960">
        <v>-99</v>
      </c>
      <c r="AQ4960">
        <v>-45</v>
      </c>
      <c r="AR4960">
        <v>-576</v>
      </c>
      <c r="AZ4960">
        <v>1200</v>
      </c>
      <c r="BA4960">
        <v>1</v>
      </c>
      <c r="BB4960" t="str">
        <f t="shared" si="2282"/>
        <v xml:space="preserve">N711JA  </v>
      </c>
      <c r="BC4960">
        <v>1</v>
      </c>
      <c r="BE4960">
        <v>0</v>
      </c>
      <c r="BF4960">
        <v>0</v>
      </c>
      <c r="BG4960">
        <v>0</v>
      </c>
      <c r="BH4960">
        <v>2350</v>
      </c>
      <c r="BI4960">
        <v>1</v>
      </c>
      <c r="BJ4960">
        <v>1</v>
      </c>
      <c r="BK4960">
        <v>0</v>
      </c>
      <c r="BL4960">
        <v>0</v>
      </c>
      <c r="BO4960">
        <v>0</v>
      </c>
      <c r="BP4960">
        <v>0</v>
      </c>
      <c r="BW4960" t="str">
        <f t="shared" ref="BW4960:BW4968" si="2288">"14:50:23.144"</f>
        <v>14:50:23.144</v>
      </c>
      <c r="CJ4960">
        <v>0</v>
      </c>
      <c r="CK4960">
        <v>2</v>
      </c>
      <c r="CL4960">
        <v>0</v>
      </c>
      <c r="CM4960">
        <v>2</v>
      </c>
      <c r="CN4960">
        <v>0</v>
      </c>
      <c r="CO4960">
        <v>6</v>
      </c>
      <c r="CP4960" t="s">
        <v>119</v>
      </c>
      <c r="CQ4960">
        <v>8</v>
      </c>
      <c r="CR4960">
        <v>3</v>
      </c>
      <c r="CW4960">
        <v>9218763</v>
      </c>
      <c r="CY4960">
        <v>1</v>
      </c>
      <c r="CZ4960">
        <v>0</v>
      </c>
      <c r="DA4960">
        <v>0</v>
      </c>
      <c r="DB4960">
        <v>0</v>
      </c>
      <c r="DC4960">
        <v>0</v>
      </c>
      <c r="DD4960">
        <v>1</v>
      </c>
      <c r="DE4960">
        <v>0</v>
      </c>
      <c r="DF4960">
        <v>0</v>
      </c>
      <c r="DG4960">
        <v>0</v>
      </c>
      <c r="DH4960">
        <v>0</v>
      </c>
      <c r="DI4960">
        <v>0</v>
      </c>
    </row>
    <row r="4961" spans="1:113" x14ac:dyDescent="0.3">
      <c r="A4961" t="str">
        <f t="shared" si="2286"/>
        <v>05/12/2020 14:50:05.299</v>
      </c>
      <c r="C4961" t="str">
        <f t="shared" si="2281"/>
        <v>FFDFD3C0</v>
      </c>
      <c r="D4961" t="s">
        <v>138</v>
      </c>
      <c r="E4961">
        <v>2</v>
      </c>
      <c r="H4961">
        <v>8</v>
      </c>
      <c r="I4961" t="s">
        <v>139</v>
      </c>
      <c r="J4961" t="s">
        <v>136</v>
      </c>
      <c r="K4961">
        <v>0</v>
      </c>
      <c r="L4961">
        <v>3</v>
      </c>
      <c r="M4961">
        <v>0</v>
      </c>
      <c r="N4961">
        <v>2</v>
      </c>
      <c r="O4961">
        <v>1</v>
      </c>
      <c r="P4961">
        <v>0</v>
      </c>
      <c r="Q4961">
        <v>0</v>
      </c>
      <c r="S4961" t="str">
        <f t="shared" si="2287"/>
        <v>14:50:23.141</v>
      </c>
      <c r="T4961" t="str">
        <f t="shared" si="2287"/>
        <v>14:50:23.141</v>
      </c>
      <c r="U4961" t="str">
        <f t="shared" si="2272"/>
        <v>A9808D</v>
      </c>
      <c r="V4961">
        <v>0</v>
      </c>
      <c r="W4961">
        <v>0</v>
      </c>
      <c r="X4961">
        <v>1</v>
      </c>
      <c r="Z4961">
        <v>0</v>
      </c>
      <c r="AA4961">
        <v>9</v>
      </c>
      <c r="AB4961">
        <v>3</v>
      </c>
      <c r="AC4961">
        <v>0</v>
      </c>
      <c r="AD4961">
        <v>10</v>
      </c>
      <c r="AE4961">
        <v>0</v>
      </c>
      <c r="AF4961">
        <v>3</v>
      </c>
      <c r="AG4961">
        <v>2</v>
      </c>
      <c r="AH4961">
        <v>0</v>
      </c>
      <c r="AI4961" t="s">
        <v>1106</v>
      </c>
      <c r="AJ4961">
        <v>28.235893000000001</v>
      </c>
      <c r="AK4961" t="s">
        <v>1107</v>
      </c>
      <c r="AL4961">
        <v>-82.364994999999993</v>
      </c>
      <c r="AM4961">
        <v>100</v>
      </c>
      <c r="AN4961">
        <v>2200</v>
      </c>
      <c r="AO4961" t="s">
        <v>118</v>
      </c>
      <c r="AP4961">
        <v>-99</v>
      </c>
      <c r="AQ4961">
        <v>-45</v>
      </c>
      <c r="AR4961">
        <v>-576</v>
      </c>
      <c r="AZ4961">
        <v>1200</v>
      </c>
      <c r="BA4961">
        <v>1</v>
      </c>
      <c r="BB4961" t="str">
        <f t="shared" si="2282"/>
        <v xml:space="preserve">N711JA  </v>
      </c>
      <c r="BC4961">
        <v>1</v>
      </c>
      <c r="BE4961">
        <v>0</v>
      </c>
      <c r="BF4961">
        <v>0</v>
      </c>
      <c r="BG4961">
        <v>0</v>
      </c>
      <c r="BH4961">
        <v>2350</v>
      </c>
      <c r="BI4961">
        <v>1</v>
      </c>
      <c r="BJ4961">
        <v>1</v>
      </c>
      <c r="BK4961">
        <v>0</v>
      </c>
      <c r="BL4961">
        <v>0</v>
      </c>
      <c r="BO4961">
        <v>0</v>
      </c>
      <c r="BP4961">
        <v>0</v>
      </c>
      <c r="BW4961" t="str">
        <f t="shared" si="2288"/>
        <v>14:50:23.144</v>
      </c>
      <c r="CJ4961">
        <v>0</v>
      </c>
      <c r="CK4961">
        <v>2</v>
      </c>
      <c r="CL4961">
        <v>0</v>
      </c>
      <c r="CM4961">
        <v>2</v>
      </c>
      <c r="CN4961">
        <v>0</v>
      </c>
      <c r="CO4961">
        <v>6</v>
      </c>
      <c r="CP4961" t="s">
        <v>119</v>
      </c>
      <c r="CQ4961">
        <v>8</v>
      </c>
      <c r="CR4961">
        <v>3</v>
      </c>
      <c r="CW4961">
        <v>9218763</v>
      </c>
      <c r="CY4961">
        <v>1</v>
      </c>
      <c r="CZ4961">
        <v>0</v>
      </c>
      <c r="DA4961">
        <v>1</v>
      </c>
      <c r="DB4961">
        <v>0</v>
      </c>
      <c r="DC4961">
        <v>0</v>
      </c>
      <c r="DD4961">
        <v>1</v>
      </c>
      <c r="DE4961">
        <v>0</v>
      </c>
      <c r="DF4961">
        <v>0</v>
      </c>
      <c r="DG4961">
        <v>0</v>
      </c>
      <c r="DH4961">
        <v>0</v>
      </c>
      <c r="DI4961">
        <v>0</v>
      </c>
    </row>
    <row r="4962" spans="1:113" x14ac:dyDescent="0.3">
      <c r="A4962" t="str">
        <f t="shared" si="2286"/>
        <v>05/12/2020 14:50:05.299</v>
      </c>
      <c r="C4962" t="str">
        <f t="shared" si="2281"/>
        <v>FFDFD3C0</v>
      </c>
      <c r="D4962" t="s">
        <v>126</v>
      </c>
      <c r="E4962">
        <v>6</v>
      </c>
      <c r="F4962">
        <v>1006</v>
      </c>
      <c r="G4962" t="s">
        <v>114</v>
      </c>
      <c r="J4962" t="s">
        <v>128</v>
      </c>
      <c r="K4962">
        <v>0</v>
      </c>
      <c r="L4962">
        <v>3</v>
      </c>
      <c r="M4962">
        <v>0</v>
      </c>
      <c r="N4962">
        <v>2</v>
      </c>
      <c r="O4962">
        <v>1</v>
      </c>
      <c r="P4962">
        <v>0</v>
      </c>
      <c r="Q4962">
        <v>0</v>
      </c>
      <c r="S4962" t="str">
        <f t="shared" si="2287"/>
        <v>14:50:23.141</v>
      </c>
      <c r="T4962" t="str">
        <f t="shared" si="2287"/>
        <v>14:50:23.141</v>
      </c>
      <c r="U4962" t="str">
        <f t="shared" si="2272"/>
        <v>A9808D</v>
      </c>
      <c r="V4962">
        <v>0</v>
      </c>
      <c r="W4962">
        <v>0</v>
      </c>
      <c r="X4962">
        <v>1</v>
      </c>
      <c r="Z4962">
        <v>0</v>
      </c>
      <c r="AA4962">
        <v>9</v>
      </c>
      <c r="AB4962">
        <v>3</v>
      </c>
      <c r="AC4962">
        <v>0</v>
      </c>
      <c r="AD4962">
        <v>10</v>
      </c>
      <c r="AE4962">
        <v>0</v>
      </c>
      <c r="AF4962">
        <v>3</v>
      </c>
      <c r="AG4962">
        <v>2</v>
      </c>
      <c r="AH4962">
        <v>0</v>
      </c>
      <c r="AI4962" t="s">
        <v>1106</v>
      </c>
      <c r="AJ4962">
        <v>28.235893000000001</v>
      </c>
      <c r="AK4962" t="s">
        <v>1107</v>
      </c>
      <c r="AL4962">
        <v>-82.364994999999993</v>
      </c>
      <c r="AM4962">
        <v>100</v>
      </c>
      <c r="AN4962">
        <v>2200</v>
      </c>
      <c r="AO4962" t="s">
        <v>118</v>
      </c>
      <c r="AP4962">
        <v>-99</v>
      </c>
      <c r="AQ4962">
        <v>-45</v>
      </c>
      <c r="AR4962">
        <v>-576</v>
      </c>
      <c r="AZ4962">
        <v>1200</v>
      </c>
      <c r="BA4962">
        <v>1</v>
      </c>
      <c r="BB4962" t="str">
        <f t="shared" si="2282"/>
        <v xml:space="preserve">N711JA  </v>
      </c>
      <c r="BC4962">
        <v>1</v>
      </c>
      <c r="BE4962">
        <v>0</v>
      </c>
      <c r="BF4962">
        <v>0</v>
      </c>
      <c r="BG4962">
        <v>0</v>
      </c>
      <c r="BH4962">
        <v>2350</v>
      </c>
      <c r="BI4962">
        <v>1</v>
      </c>
      <c r="BJ4962">
        <v>1</v>
      </c>
      <c r="BK4962">
        <v>0</v>
      </c>
      <c r="BL4962">
        <v>0</v>
      </c>
      <c r="BO4962">
        <v>0</v>
      </c>
      <c r="BP4962">
        <v>0</v>
      </c>
      <c r="BW4962" t="str">
        <f t="shared" si="2288"/>
        <v>14:50:23.144</v>
      </c>
      <c r="CJ4962">
        <v>0</v>
      </c>
      <c r="CK4962">
        <v>2</v>
      </c>
      <c r="CL4962">
        <v>0</v>
      </c>
      <c r="CM4962">
        <v>2</v>
      </c>
      <c r="CN4962">
        <v>0</v>
      </c>
      <c r="CO4962">
        <v>6</v>
      </c>
      <c r="CP4962" t="s">
        <v>119</v>
      </c>
      <c r="CQ4962">
        <v>358</v>
      </c>
      <c r="CR4962">
        <v>0</v>
      </c>
      <c r="CW4962">
        <v>5200565</v>
      </c>
      <c r="CY4962">
        <v>1</v>
      </c>
      <c r="CZ4962">
        <v>0</v>
      </c>
      <c r="DA4962">
        <v>1</v>
      </c>
      <c r="DB4962">
        <v>0</v>
      </c>
      <c r="DC4962">
        <v>0</v>
      </c>
      <c r="DD4962">
        <v>1</v>
      </c>
      <c r="DE4962">
        <v>0</v>
      </c>
      <c r="DF4962">
        <v>0</v>
      </c>
      <c r="DG4962">
        <v>0</v>
      </c>
      <c r="DH4962">
        <v>0</v>
      </c>
      <c r="DI4962">
        <v>0</v>
      </c>
    </row>
    <row r="4963" spans="1:113" x14ac:dyDescent="0.3">
      <c r="A4963" t="str">
        <f t="shared" si="2286"/>
        <v>05/12/2020 14:50:05.299</v>
      </c>
      <c r="C4963" t="str">
        <f t="shared" si="2281"/>
        <v>FFDFD3C0</v>
      </c>
      <c r="D4963" t="s">
        <v>138</v>
      </c>
      <c r="E4963">
        <v>3</v>
      </c>
      <c r="H4963">
        <v>9</v>
      </c>
      <c r="I4963" t="s">
        <v>140</v>
      </c>
      <c r="J4963" t="s">
        <v>136</v>
      </c>
      <c r="K4963">
        <v>0</v>
      </c>
      <c r="L4963">
        <v>3</v>
      </c>
      <c r="M4963">
        <v>0</v>
      </c>
      <c r="N4963">
        <v>2</v>
      </c>
      <c r="O4963">
        <v>1</v>
      </c>
      <c r="P4963">
        <v>0</v>
      </c>
      <c r="Q4963">
        <v>0</v>
      </c>
      <c r="S4963" t="str">
        <f t="shared" si="2287"/>
        <v>14:50:23.141</v>
      </c>
      <c r="T4963" t="str">
        <f t="shared" si="2287"/>
        <v>14:50:23.141</v>
      </c>
      <c r="U4963" t="str">
        <f t="shared" si="2272"/>
        <v>A9808D</v>
      </c>
      <c r="V4963">
        <v>0</v>
      </c>
      <c r="W4963">
        <v>0</v>
      </c>
      <c r="X4963">
        <v>1</v>
      </c>
      <c r="Z4963">
        <v>0</v>
      </c>
      <c r="AA4963">
        <v>9</v>
      </c>
      <c r="AB4963">
        <v>3</v>
      </c>
      <c r="AC4963">
        <v>0</v>
      </c>
      <c r="AD4963">
        <v>10</v>
      </c>
      <c r="AE4963">
        <v>0</v>
      </c>
      <c r="AF4963">
        <v>3</v>
      </c>
      <c r="AG4963">
        <v>2</v>
      </c>
      <c r="AH4963">
        <v>0</v>
      </c>
      <c r="AI4963" t="s">
        <v>1106</v>
      </c>
      <c r="AJ4963">
        <v>28.235893000000001</v>
      </c>
      <c r="AK4963" t="s">
        <v>1107</v>
      </c>
      <c r="AL4963">
        <v>-82.364994999999993</v>
      </c>
      <c r="AM4963">
        <v>100</v>
      </c>
      <c r="AN4963">
        <v>2200</v>
      </c>
      <c r="AO4963" t="s">
        <v>118</v>
      </c>
      <c r="AP4963">
        <v>-99</v>
      </c>
      <c r="AQ4963">
        <v>-45</v>
      </c>
      <c r="AR4963">
        <v>-576</v>
      </c>
      <c r="AZ4963">
        <v>1200</v>
      </c>
      <c r="BA4963">
        <v>1</v>
      </c>
      <c r="BB4963" t="str">
        <f t="shared" si="2282"/>
        <v xml:space="preserve">N711JA  </v>
      </c>
      <c r="BC4963">
        <v>1</v>
      </c>
      <c r="BE4963">
        <v>0</v>
      </c>
      <c r="BF4963">
        <v>0</v>
      </c>
      <c r="BG4963">
        <v>0</v>
      </c>
      <c r="BH4963">
        <v>2350</v>
      </c>
      <c r="BI4963">
        <v>1</v>
      </c>
      <c r="BJ4963">
        <v>1</v>
      </c>
      <c r="BK4963">
        <v>0</v>
      </c>
      <c r="BL4963">
        <v>0</v>
      </c>
      <c r="BO4963">
        <v>0</v>
      </c>
      <c r="BP4963">
        <v>0</v>
      </c>
      <c r="BW4963" t="str">
        <f t="shared" si="2288"/>
        <v>14:50:23.144</v>
      </c>
      <c r="CJ4963">
        <v>0</v>
      </c>
      <c r="CK4963">
        <v>2</v>
      </c>
      <c r="CL4963">
        <v>0</v>
      </c>
      <c r="CM4963">
        <v>2</v>
      </c>
      <c r="CN4963">
        <v>0</v>
      </c>
      <c r="CO4963">
        <v>6</v>
      </c>
      <c r="CP4963" t="s">
        <v>119</v>
      </c>
      <c r="CQ4963">
        <v>358</v>
      </c>
      <c r="CR4963">
        <v>0</v>
      </c>
      <c r="CW4963">
        <v>5200565</v>
      </c>
      <c r="CY4963">
        <v>1</v>
      </c>
      <c r="CZ4963">
        <v>0</v>
      </c>
      <c r="DA4963">
        <v>1</v>
      </c>
      <c r="DB4963">
        <v>0</v>
      </c>
      <c r="DC4963">
        <v>0</v>
      </c>
      <c r="DD4963">
        <v>1</v>
      </c>
      <c r="DE4963">
        <v>0</v>
      </c>
      <c r="DF4963">
        <v>0</v>
      </c>
      <c r="DG4963">
        <v>0</v>
      </c>
      <c r="DH4963">
        <v>0</v>
      </c>
      <c r="DI4963">
        <v>0</v>
      </c>
    </row>
    <row r="4964" spans="1:113" x14ac:dyDescent="0.3">
      <c r="A4964" t="str">
        <f t="shared" si="2286"/>
        <v>05/12/2020 14:50:05.299</v>
      </c>
      <c r="C4964" t="str">
        <f t="shared" si="2281"/>
        <v>FFDFD3C0</v>
      </c>
      <c r="D4964" t="s">
        <v>134</v>
      </c>
      <c r="E4964">
        <v>12</v>
      </c>
      <c r="H4964">
        <v>64</v>
      </c>
      <c r="I4964" t="s">
        <v>135</v>
      </c>
      <c r="J4964" t="s">
        <v>136</v>
      </c>
      <c r="K4964">
        <v>0</v>
      </c>
      <c r="L4964">
        <v>3</v>
      </c>
      <c r="M4964">
        <v>0</v>
      </c>
      <c r="N4964">
        <v>2</v>
      </c>
      <c r="O4964">
        <v>1</v>
      </c>
      <c r="P4964">
        <v>0</v>
      </c>
      <c r="Q4964">
        <v>0</v>
      </c>
      <c r="S4964" t="str">
        <f t="shared" si="2287"/>
        <v>14:50:23.141</v>
      </c>
      <c r="T4964" t="str">
        <f t="shared" si="2287"/>
        <v>14:50:23.141</v>
      </c>
      <c r="U4964" t="str">
        <f t="shared" si="2272"/>
        <v>A9808D</v>
      </c>
      <c r="V4964">
        <v>0</v>
      </c>
      <c r="W4964">
        <v>0</v>
      </c>
      <c r="X4964">
        <v>1</v>
      </c>
      <c r="Z4964">
        <v>0</v>
      </c>
      <c r="AA4964">
        <v>9</v>
      </c>
      <c r="AB4964">
        <v>3</v>
      </c>
      <c r="AC4964">
        <v>0</v>
      </c>
      <c r="AD4964">
        <v>10</v>
      </c>
      <c r="AE4964">
        <v>0</v>
      </c>
      <c r="AF4964">
        <v>3</v>
      </c>
      <c r="AG4964">
        <v>2</v>
      </c>
      <c r="AH4964">
        <v>0</v>
      </c>
      <c r="AI4964" t="s">
        <v>1106</v>
      </c>
      <c r="AJ4964">
        <v>28.235893000000001</v>
      </c>
      <c r="AK4964" t="s">
        <v>1107</v>
      </c>
      <c r="AL4964">
        <v>-82.364994999999993</v>
      </c>
      <c r="AM4964">
        <v>100</v>
      </c>
      <c r="AN4964">
        <v>2200</v>
      </c>
      <c r="AO4964" t="s">
        <v>118</v>
      </c>
      <c r="AP4964">
        <v>-99</v>
      </c>
      <c r="AQ4964">
        <v>-45</v>
      </c>
      <c r="AR4964">
        <v>-576</v>
      </c>
      <c r="AZ4964">
        <v>1200</v>
      </c>
      <c r="BA4964">
        <v>1</v>
      </c>
      <c r="BB4964" t="str">
        <f t="shared" si="2282"/>
        <v xml:space="preserve">N711JA  </v>
      </c>
      <c r="BC4964">
        <v>1</v>
      </c>
      <c r="BE4964">
        <v>0</v>
      </c>
      <c r="BF4964">
        <v>0</v>
      </c>
      <c r="BG4964">
        <v>0</v>
      </c>
      <c r="BH4964">
        <v>2350</v>
      </c>
      <c r="BI4964">
        <v>1</v>
      </c>
      <c r="BJ4964">
        <v>1</v>
      </c>
      <c r="BK4964">
        <v>0</v>
      </c>
      <c r="BL4964">
        <v>0</v>
      </c>
      <c r="BO4964">
        <v>0</v>
      </c>
      <c r="BP4964">
        <v>0</v>
      </c>
      <c r="BW4964" t="str">
        <f t="shared" si="2288"/>
        <v>14:50:23.144</v>
      </c>
      <c r="CJ4964">
        <v>0</v>
      </c>
      <c r="CK4964">
        <v>2</v>
      </c>
      <c r="CL4964">
        <v>0</v>
      </c>
      <c r="CM4964">
        <v>2</v>
      </c>
      <c r="CN4964">
        <v>0</v>
      </c>
      <c r="CO4964">
        <v>6</v>
      </c>
      <c r="CP4964" t="s">
        <v>119</v>
      </c>
      <c r="CQ4964">
        <v>358</v>
      </c>
      <c r="CR4964">
        <v>0</v>
      </c>
      <c r="CW4964">
        <v>5200565</v>
      </c>
      <c r="CY4964">
        <v>1</v>
      </c>
      <c r="CZ4964">
        <v>0</v>
      </c>
      <c r="DA4964">
        <v>1</v>
      </c>
      <c r="DB4964">
        <v>0</v>
      </c>
      <c r="DC4964">
        <v>0</v>
      </c>
      <c r="DD4964">
        <v>1</v>
      </c>
      <c r="DE4964">
        <v>0</v>
      </c>
      <c r="DF4964">
        <v>0</v>
      </c>
      <c r="DG4964">
        <v>0</v>
      </c>
      <c r="DH4964">
        <v>0</v>
      </c>
      <c r="DI4964">
        <v>0</v>
      </c>
    </row>
    <row r="4965" spans="1:113" x14ac:dyDescent="0.3">
      <c r="A4965" t="str">
        <f t="shared" si="2286"/>
        <v>05/12/2020 14:50:05.299</v>
      </c>
      <c r="C4965" t="str">
        <f t="shared" si="2281"/>
        <v>FFDFD3C0</v>
      </c>
      <c r="D4965" t="s">
        <v>126</v>
      </c>
      <c r="E4965">
        <v>7</v>
      </c>
      <c r="F4965">
        <v>1007</v>
      </c>
      <c r="G4965" t="s">
        <v>127</v>
      </c>
      <c r="J4965" t="s">
        <v>128</v>
      </c>
      <c r="K4965">
        <v>0</v>
      </c>
      <c r="L4965">
        <v>3</v>
      </c>
      <c r="M4965">
        <v>0</v>
      </c>
      <c r="N4965">
        <v>2</v>
      </c>
      <c r="O4965">
        <v>1</v>
      </c>
      <c r="P4965">
        <v>0</v>
      </c>
      <c r="Q4965">
        <v>0</v>
      </c>
      <c r="S4965" t="str">
        <f t="shared" si="2287"/>
        <v>14:50:23.141</v>
      </c>
      <c r="T4965" t="str">
        <f t="shared" si="2287"/>
        <v>14:50:23.141</v>
      </c>
      <c r="U4965" t="str">
        <f t="shared" si="2272"/>
        <v>A9808D</v>
      </c>
      <c r="V4965">
        <v>0</v>
      </c>
      <c r="W4965">
        <v>0</v>
      </c>
      <c r="X4965">
        <v>1</v>
      </c>
      <c r="Z4965">
        <v>0</v>
      </c>
      <c r="AA4965">
        <v>9</v>
      </c>
      <c r="AB4965">
        <v>3</v>
      </c>
      <c r="AC4965">
        <v>0</v>
      </c>
      <c r="AD4965">
        <v>10</v>
      </c>
      <c r="AE4965">
        <v>0</v>
      </c>
      <c r="AF4965">
        <v>3</v>
      </c>
      <c r="AG4965">
        <v>2</v>
      </c>
      <c r="AH4965">
        <v>0</v>
      </c>
      <c r="AI4965" t="s">
        <v>1106</v>
      </c>
      <c r="AJ4965">
        <v>28.235893000000001</v>
      </c>
      <c r="AK4965" t="s">
        <v>1107</v>
      </c>
      <c r="AL4965">
        <v>-82.364994999999993</v>
      </c>
      <c r="AM4965">
        <v>100</v>
      </c>
      <c r="AN4965">
        <v>2200</v>
      </c>
      <c r="AO4965" t="s">
        <v>118</v>
      </c>
      <c r="AP4965">
        <v>-99</v>
      </c>
      <c r="AQ4965">
        <v>-45</v>
      </c>
      <c r="AR4965">
        <v>-576</v>
      </c>
      <c r="AZ4965">
        <v>1200</v>
      </c>
      <c r="BA4965">
        <v>1</v>
      </c>
      <c r="BB4965" t="str">
        <f t="shared" si="2282"/>
        <v xml:space="preserve">N711JA  </v>
      </c>
      <c r="BC4965">
        <v>1</v>
      </c>
      <c r="BE4965">
        <v>0</v>
      </c>
      <c r="BF4965">
        <v>0</v>
      </c>
      <c r="BG4965">
        <v>0</v>
      </c>
      <c r="BH4965">
        <v>2350</v>
      </c>
      <c r="BI4965">
        <v>1</v>
      </c>
      <c r="BJ4965">
        <v>1</v>
      </c>
      <c r="BK4965">
        <v>0</v>
      </c>
      <c r="BL4965">
        <v>0</v>
      </c>
      <c r="BO4965">
        <v>0</v>
      </c>
      <c r="BP4965">
        <v>0</v>
      </c>
      <c r="BW4965" t="str">
        <f t="shared" si="2288"/>
        <v>14:50:23.144</v>
      </c>
      <c r="CJ4965">
        <v>0</v>
      </c>
      <c r="CK4965">
        <v>2</v>
      </c>
      <c r="CL4965">
        <v>0</v>
      </c>
      <c r="CM4965">
        <v>2</v>
      </c>
      <c r="CN4965">
        <v>0</v>
      </c>
      <c r="CO4965">
        <v>6</v>
      </c>
      <c r="CP4965" t="s">
        <v>119</v>
      </c>
      <c r="CQ4965">
        <v>358</v>
      </c>
      <c r="CR4965">
        <v>0</v>
      </c>
      <c r="CW4965">
        <v>5200565</v>
      </c>
      <c r="CY4965">
        <v>1</v>
      </c>
      <c r="CZ4965">
        <v>0</v>
      </c>
      <c r="DA4965">
        <v>1</v>
      </c>
      <c r="DB4965">
        <v>0</v>
      </c>
      <c r="DC4965">
        <v>0</v>
      </c>
      <c r="DD4965">
        <v>1</v>
      </c>
      <c r="DE4965">
        <v>0</v>
      </c>
      <c r="DF4965">
        <v>0</v>
      </c>
      <c r="DG4965">
        <v>0</v>
      </c>
      <c r="DH4965">
        <v>0</v>
      </c>
      <c r="DI4965">
        <v>0</v>
      </c>
    </row>
    <row r="4966" spans="1:113" x14ac:dyDescent="0.3">
      <c r="A4966" t="str">
        <f t="shared" si="2286"/>
        <v>05/12/2020 14:50:05.299</v>
      </c>
      <c r="C4966" t="str">
        <f t="shared" si="2281"/>
        <v>FFDFD3C0</v>
      </c>
      <c r="D4966" t="s">
        <v>131</v>
      </c>
      <c r="E4966">
        <v>10</v>
      </c>
      <c r="F4966">
        <v>2010</v>
      </c>
      <c r="G4966" t="s">
        <v>132</v>
      </c>
      <c r="J4966" t="s">
        <v>133</v>
      </c>
      <c r="K4966">
        <v>0</v>
      </c>
      <c r="L4966">
        <v>3</v>
      </c>
      <c r="M4966">
        <v>0</v>
      </c>
      <c r="N4966">
        <v>2</v>
      </c>
      <c r="O4966">
        <v>1</v>
      </c>
      <c r="P4966">
        <v>0</v>
      </c>
      <c r="Q4966">
        <v>0</v>
      </c>
      <c r="S4966" t="str">
        <f t="shared" si="2287"/>
        <v>14:50:23.141</v>
      </c>
      <c r="T4966" t="str">
        <f t="shared" si="2287"/>
        <v>14:50:23.141</v>
      </c>
      <c r="U4966" t="str">
        <f t="shared" si="2272"/>
        <v>A9808D</v>
      </c>
      <c r="V4966">
        <v>0</v>
      </c>
      <c r="W4966">
        <v>0</v>
      </c>
      <c r="X4966">
        <v>1</v>
      </c>
      <c r="Z4966">
        <v>0</v>
      </c>
      <c r="AA4966">
        <v>9</v>
      </c>
      <c r="AB4966">
        <v>3</v>
      </c>
      <c r="AC4966">
        <v>0</v>
      </c>
      <c r="AD4966">
        <v>10</v>
      </c>
      <c r="AE4966">
        <v>0</v>
      </c>
      <c r="AF4966">
        <v>3</v>
      </c>
      <c r="AG4966">
        <v>2</v>
      </c>
      <c r="AH4966">
        <v>0</v>
      </c>
      <c r="AI4966" t="s">
        <v>1106</v>
      </c>
      <c r="AJ4966">
        <v>28.235893000000001</v>
      </c>
      <c r="AK4966" t="s">
        <v>1107</v>
      </c>
      <c r="AL4966">
        <v>-82.364994999999993</v>
      </c>
      <c r="AM4966">
        <v>100</v>
      </c>
      <c r="AN4966">
        <v>2200</v>
      </c>
      <c r="AO4966" t="s">
        <v>118</v>
      </c>
      <c r="AP4966">
        <v>-99</v>
      </c>
      <c r="AQ4966">
        <v>-45</v>
      </c>
      <c r="AR4966">
        <v>-576</v>
      </c>
      <c r="AZ4966">
        <v>1200</v>
      </c>
      <c r="BA4966">
        <v>1</v>
      </c>
      <c r="BB4966" t="str">
        <f t="shared" si="2282"/>
        <v xml:space="preserve">N711JA  </v>
      </c>
      <c r="BC4966">
        <v>1</v>
      </c>
      <c r="BE4966">
        <v>0</v>
      </c>
      <c r="BF4966">
        <v>0</v>
      </c>
      <c r="BG4966">
        <v>0</v>
      </c>
      <c r="BH4966">
        <v>2350</v>
      </c>
      <c r="BI4966">
        <v>1</v>
      </c>
      <c r="BJ4966">
        <v>1</v>
      </c>
      <c r="BK4966">
        <v>0</v>
      </c>
      <c r="BL4966">
        <v>0</v>
      </c>
      <c r="BO4966">
        <v>0</v>
      </c>
      <c r="BP4966">
        <v>0</v>
      </c>
      <c r="BW4966" t="str">
        <f t="shared" si="2288"/>
        <v>14:50:23.144</v>
      </c>
      <c r="CJ4966">
        <v>0</v>
      </c>
      <c r="CK4966">
        <v>2</v>
      </c>
      <c r="CL4966">
        <v>0</v>
      </c>
      <c r="CM4966">
        <v>2</v>
      </c>
      <c r="CN4966">
        <v>0</v>
      </c>
      <c r="CO4966">
        <v>6</v>
      </c>
      <c r="CP4966" t="s">
        <v>119</v>
      </c>
      <c r="CQ4966">
        <v>358</v>
      </c>
      <c r="CR4966">
        <v>0</v>
      </c>
      <c r="CW4966">
        <v>5200565</v>
      </c>
      <c r="CY4966">
        <v>1</v>
      </c>
      <c r="CZ4966">
        <v>0</v>
      </c>
      <c r="DA4966">
        <v>1</v>
      </c>
      <c r="DB4966">
        <v>0</v>
      </c>
      <c r="DC4966">
        <v>0</v>
      </c>
      <c r="DD4966">
        <v>1</v>
      </c>
      <c r="DE4966">
        <v>0</v>
      </c>
      <c r="DF4966">
        <v>0</v>
      </c>
      <c r="DG4966">
        <v>0</v>
      </c>
      <c r="DH4966">
        <v>0</v>
      </c>
      <c r="DI4966">
        <v>0</v>
      </c>
    </row>
    <row r="4967" spans="1:113" x14ac:dyDescent="0.3">
      <c r="A4967" t="str">
        <f t="shared" si="2286"/>
        <v>05/12/2020 14:50:05.299</v>
      </c>
      <c r="C4967" t="str">
        <f t="shared" si="2281"/>
        <v>FFDFD3C0</v>
      </c>
      <c r="D4967" t="s">
        <v>131</v>
      </c>
      <c r="E4967">
        <v>12</v>
      </c>
      <c r="F4967">
        <v>2012</v>
      </c>
      <c r="G4967" t="s">
        <v>137</v>
      </c>
      <c r="J4967" t="s">
        <v>133</v>
      </c>
      <c r="K4967">
        <v>0</v>
      </c>
      <c r="L4967">
        <v>3</v>
      </c>
      <c r="M4967">
        <v>0</v>
      </c>
      <c r="N4967">
        <v>2</v>
      </c>
      <c r="O4967">
        <v>1</v>
      </c>
      <c r="P4967">
        <v>0</v>
      </c>
      <c r="Q4967">
        <v>0</v>
      </c>
      <c r="S4967" t="str">
        <f t="shared" si="2287"/>
        <v>14:50:23.141</v>
      </c>
      <c r="T4967" t="str">
        <f t="shared" si="2287"/>
        <v>14:50:23.141</v>
      </c>
      <c r="U4967" t="str">
        <f t="shared" si="2272"/>
        <v>A9808D</v>
      </c>
      <c r="V4967">
        <v>0</v>
      </c>
      <c r="W4967">
        <v>0</v>
      </c>
      <c r="X4967">
        <v>1</v>
      </c>
      <c r="Z4967">
        <v>0</v>
      </c>
      <c r="AA4967">
        <v>9</v>
      </c>
      <c r="AB4967">
        <v>3</v>
      </c>
      <c r="AC4967">
        <v>0</v>
      </c>
      <c r="AD4967">
        <v>10</v>
      </c>
      <c r="AE4967">
        <v>0</v>
      </c>
      <c r="AF4967">
        <v>3</v>
      </c>
      <c r="AG4967">
        <v>2</v>
      </c>
      <c r="AH4967">
        <v>0</v>
      </c>
      <c r="AI4967" t="s">
        <v>1106</v>
      </c>
      <c r="AJ4967">
        <v>28.235893000000001</v>
      </c>
      <c r="AK4967" t="s">
        <v>1107</v>
      </c>
      <c r="AL4967">
        <v>-82.364994999999993</v>
      </c>
      <c r="AM4967">
        <v>100</v>
      </c>
      <c r="AN4967">
        <v>2200</v>
      </c>
      <c r="AO4967" t="s">
        <v>118</v>
      </c>
      <c r="AP4967">
        <v>-99</v>
      </c>
      <c r="AQ4967">
        <v>-45</v>
      </c>
      <c r="AR4967">
        <v>-576</v>
      </c>
      <c r="AZ4967">
        <v>1200</v>
      </c>
      <c r="BA4967">
        <v>1</v>
      </c>
      <c r="BB4967" t="str">
        <f t="shared" si="2282"/>
        <v xml:space="preserve">N711JA  </v>
      </c>
      <c r="BC4967">
        <v>1</v>
      </c>
      <c r="BE4967">
        <v>0</v>
      </c>
      <c r="BF4967">
        <v>0</v>
      </c>
      <c r="BG4967">
        <v>0</v>
      </c>
      <c r="BH4967">
        <v>2350</v>
      </c>
      <c r="BI4967">
        <v>1</v>
      </c>
      <c r="BJ4967">
        <v>1</v>
      </c>
      <c r="BK4967">
        <v>0</v>
      </c>
      <c r="BL4967">
        <v>0</v>
      </c>
      <c r="BO4967">
        <v>0</v>
      </c>
      <c r="BP4967">
        <v>0</v>
      </c>
      <c r="BW4967" t="str">
        <f t="shared" si="2288"/>
        <v>14:50:23.144</v>
      </c>
      <c r="CJ4967">
        <v>0</v>
      </c>
      <c r="CK4967">
        <v>2</v>
      </c>
      <c r="CL4967">
        <v>0</v>
      </c>
      <c r="CM4967">
        <v>2</v>
      </c>
      <c r="CN4967">
        <v>0</v>
      </c>
      <c r="CO4967">
        <v>6</v>
      </c>
      <c r="CP4967" t="s">
        <v>119</v>
      </c>
      <c r="CQ4967">
        <v>8</v>
      </c>
      <c r="CR4967">
        <v>3</v>
      </c>
      <c r="CW4967">
        <v>9218763</v>
      </c>
      <c r="CY4967">
        <v>1</v>
      </c>
      <c r="CZ4967">
        <v>0</v>
      </c>
      <c r="DA4967">
        <v>1</v>
      </c>
      <c r="DB4967">
        <v>0</v>
      </c>
      <c r="DC4967">
        <v>0</v>
      </c>
      <c r="DD4967">
        <v>1</v>
      </c>
      <c r="DE4967">
        <v>0</v>
      </c>
      <c r="DF4967">
        <v>0</v>
      </c>
      <c r="DG4967">
        <v>0</v>
      </c>
      <c r="DH4967">
        <v>0</v>
      </c>
      <c r="DI4967">
        <v>0</v>
      </c>
    </row>
    <row r="4968" spans="1:113" x14ac:dyDescent="0.3">
      <c r="A4968" t="str">
        <f t="shared" si="2286"/>
        <v>05/12/2020 14:50:05.299</v>
      </c>
      <c r="C4968" t="str">
        <f t="shared" si="2281"/>
        <v>FFDFD3C0</v>
      </c>
      <c r="D4968" t="s">
        <v>131</v>
      </c>
      <c r="E4968">
        <v>18</v>
      </c>
      <c r="F4968">
        <v>2018</v>
      </c>
      <c r="G4968" t="s">
        <v>161</v>
      </c>
      <c r="J4968" t="s">
        <v>133</v>
      </c>
      <c r="K4968">
        <v>0</v>
      </c>
      <c r="L4968">
        <v>3</v>
      </c>
      <c r="M4968">
        <v>0</v>
      </c>
      <c r="N4968">
        <v>2</v>
      </c>
      <c r="O4968">
        <v>1</v>
      </c>
      <c r="P4968">
        <v>0</v>
      </c>
      <c r="Q4968">
        <v>0</v>
      </c>
      <c r="S4968" t="str">
        <f t="shared" si="2287"/>
        <v>14:50:23.141</v>
      </c>
      <c r="T4968" t="str">
        <f t="shared" si="2287"/>
        <v>14:50:23.141</v>
      </c>
      <c r="U4968" t="str">
        <f t="shared" si="2272"/>
        <v>A9808D</v>
      </c>
      <c r="V4968">
        <v>0</v>
      </c>
      <c r="W4968">
        <v>0</v>
      </c>
      <c r="X4968">
        <v>1</v>
      </c>
      <c r="Z4968">
        <v>0</v>
      </c>
      <c r="AA4968">
        <v>9</v>
      </c>
      <c r="AB4968">
        <v>3</v>
      </c>
      <c r="AC4968">
        <v>0</v>
      </c>
      <c r="AD4968">
        <v>10</v>
      </c>
      <c r="AE4968">
        <v>0</v>
      </c>
      <c r="AF4968">
        <v>3</v>
      </c>
      <c r="AG4968">
        <v>2</v>
      </c>
      <c r="AH4968">
        <v>0</v>
      </c>
      <c r="AI4968" t="s">
        <v>1106</v>
      </c>
      <c r="AJ4968">
        <v>28.235893000000001</v>
      </c>
      <c r="AK4968" t="s">
        <v>1107</v>
      </c>
      <c r="AL4968">
        <v>-82.364994999999993</v>
      </c>
      <c r="AM4968">
        <v>100</v>
      </c>
      <c r="AN4968">
        <v>2200</v>
      </c>
      <c r="AO4968" t="s">
        <v>118</v>
      </c>
      <c r="AP4968">
        <v>-99</v>
      </c>
      <c r="AQ4968">
        <v>-45</v>
      </c>
      <c r="AR4968">
        <v>-576</v>
      </c>
      <c r="AZ4968">
        <v>1200</v>
      </c>
      <c r="BA4968">
        <v>1</v>
      </c>
      <c r="BB4968" t="str">
        <f t="shared" si="2282"/>
        <v xml:space="preserve">N711JA  </v>
      </c>
      <c r="BC4968">
        <v>1</v>
      </c>
      <c r="BE4968">
        <v>0</v>
      </c>
      <c r="BF4968">
        <v>0</v>
      </c>
      <c r="BG4968">
        <v>0</v>
      </c>
      <c r="BH4968">
        <v>2350</v>
      </c>
      <c r="BI4968">
        <v>1</v>
      </c>
      <c r="BJ4968">
        <v>1</v>
      </c>
      <c r="BK4968">
        <v>0</v>
      </c>
      <c r="BL4968">
        <v>0</v>
      </c>
      <c r="BO4968">
        <v>0</v>
      </c>
      <c r="BP4968">
        <v>0</v>
      </c>
      <c r="BW4968" t="str">
        <f t="shared" si="2288"/>
        <v>14:50:23.144</v>
      </c>
      <c r="CJ4968">
        <v>0</v>
      </c>
      <c r="CK4968">
        <v>2</v>
      </c>
      <c r="CL4968">
        <v>0</v>
      </c>
      <c r="CM4968">
        <v>2</v>
      </c>
      <c r="CN4968">
        <v>0</v>
      </c>
      <c r="CO4968">
        <v>4</v>
      </c>
      <c r="CP4968" t="s">
        <v>119</v>
      </c>
      <c r="CQ4968">
        <v>343</v>
      </c>
      <c r="CR4968">
        <v>1</v>
      </c>
      <c r="CW4968">
        <v>11094859</v>
      </c>
      <c r="CY4968">
        <v>1</v>
      </c>
      <c r="CZ4968">
        <v>0</v>
      </c>
      <c r="DA4968">
        <v>1</v>
      </c>
      <c r="DB4968">
        <v>0</v>
      </c>
      <c r="DC4968">
        <v>0</v>
      </c>
      <c r="DD4968">
        <v>1</v>
      </c>
      <c r="DE4968">
        <v>0</v>
      </c>
      <c r="DF4968">
        <v>0</v>
      </c>
      <c r="DG4968">
        <v>0</v>
      </c>
      <c r="DH4968">
        <v>0</v>
      </c>
      <c r="DI4968">
        <v>0</v>
      </c>
    </row>
    <row r="4969" spans="1:113" x14ac:dyDescent="0.3">
      <c r="A4969" t="str">
        <f t="shared" ref="A4969:A4977" si="2289">"05/12/2020 14:50:06.431"</f>
        <v>05/12/2020 14:50:06.431</v>
      </c>
      <c r="C4969" t="str">
        <f t="shared" si="2281"/>
        <v>FFDFD3C0</v>
      </c>
      <c r="D4969" t="s">
        <v>134</v>
      </c>
      <c r="E4969">
        <v>12</v>
      </c>
      <c r="H4969">
        <v>64</v>
      </c>
      <c r="I4969" t="s">
        <v>135</v>
      </c>
      <c r="J4969" t="s">
        <v>136</v>
      </c>
      <c r="K4969">
        <v>0</v>
      </c>
      <c r="L4969">
        <v>3</v>
      </c>
      <c r="M4969">
        <v>0</v>
      </c>
      <c r="N4969">
        <v>2</v>
      </c>
      <c r="O4969">
        <v>1</v>
      </c>
      <c r="P4969">
        <v>0</v>
      </c>
      <c r="Q4969">
        <v>0</v>
      </c>
      <c r="S4969" t="str">
        <f t="shared" ref="S4969:S4977" si="2290">"14:50:24.266"</f>
        <v>14:50:24.266</v>
      </c>
      <c r="T4969" t="str">
        <f t="shared" ref="T4969:T4977" si="2291">"14:50:24.166"</f>
        <v>14:50:24.166</v>
      </c>
      <c r="U4969" t="str">
        <f t="shared" si="2272"/>
        <v>A9808D</v>
      </c>
      <c r="V4969">
        <v>0</v>
      </c>
      <c r="W4969">
        <v>0</v>
      </c>
      <c r="X4969">
        <v>1</v>
      </c>
      <c r="Z4969">
        <v>0</v>
      </c>
      <c r="AA4969">
        <v>9</v>
      </c>
      <c r="AB4969">
        <v>3</v>
      </c>
      <c r="AC4969">
        <v>0</v>
      </c>
      <c r="AD4969">
        <v>10</v>
      </c>
      <c r="AE4969">
        <v>0</v>
      </c>
      <c r="AF4969">
        <v>3</v>
      </c>
      <c r="AG4969">
        <v>2</v>
      </c>
      <c r="AH4969">
        <v>0</v>
      </c>
      <c r="AI4969" t="s">
        <v>185</v>
      </c>
      <c r="AJ4969">
        <v>28.235657</v>
      </c>
      <c r="AK4969" t="s">
        <v>446</v>
      </c>
      <c r="AL4969">
        <v>-82.365532000000002</v>
      </c>
      <c r="AM4969">
        <v>100</v>
      </c>
      <c r="AN4969">
        <v>2200</v>
      </c>
      <c r="AO4969" t="s">
        <v>118</v>
      </c>
      <c r="AP4969">
        <v>-99</v>
      </c>
      <c r="AQ4969">
        <v>-46</v>
      </c>
      <c r="AR4969">
        <v>-640</v>
      </c>
      <c r="AZ4969">
        <v>1200</v>
      </c>
      <c r="BA4969">
        <v>1</v>
      </c>
      <c r="BB4969" t="str">
        <f t="shared" si="2282"/>
        <v xml:space="preserve">N711JA  </v>
      </c>
      <c r="BC4969">
        <v>1</v>
      </c>
      <c r="BE4969">
        <v>0</v>
      </c>
      <c r="BF4969">
        <v>0</v>
      </c>
      <c r="BG4969">
        <v>0</v>
      </c>
      <c r="BH4969">
        <v>2325</v>
      </c>
      <c r="BI4969">
        <v>1</v>
      </c>
      <c r="BJ4969">
        <v>1</v>
      </c>
      <c r="BK4969">
        <v>0</v>
      </c>
      <c r="BL4969">
        <v>0</v>
      </c>
      <c r="BO4969">
        <v>0</v>
      </c>
      <c r="BP4969">
        <v>0</v>
      </c>
      <c r="BW4969" t="str">
        <f t="shared" ref="BW4969:BW4977" si="2292">"14:50:24.266"</f>
        <v>14:50:24.266</v>
      </c>
      <c r="CJ4969">
        <v>0</v>
      </c>
      <c r="CK4969">
        <v>2</v>
      </c>
      <c r="CL4969">
        <v>0</v>
      </c>
      <c r="CM4969">
        <v>2</v>
      </c>
      <c r="CN4969">
        <v>0</v>
      </c>
      <c r="CO4969">
        <v>6</v>
      </c>
      <c r="CP4969" t="s">
        <v>119</v>
      </c>
      <c r="CQ4969">
        <v>8</v>
      </c>
      <c r="CR4969">
        <v>3</v>
      </c>
      <c r="CW4969">
        <v>9219917</v>
      </c>
      <c r="CY4969">
        <v>1</v>
      </c>
      <c r="CZ4969">
        <v>0</v>
      </c>
      <c r="DA4969">
        <v>0</v>
      </c>
      <c r="DB4969">
        <v>0</v>
      </c>
      <c r="DC4969">
        <v>0</v>
      </c>
      <c r="DD4969">
        <v>1</v>
      </c>
      <c r="DE4969">
        <v>0</v>
      </c>
      <c r="DF4969">
        <v>0</v>
      </c>
      <c r="DG4969">
        <v>0</v>
      </c>
      <c r="DH4969">
        <v>0</v>
      </c>
      <c r="DI4969">
        <v>0</v>
      </c>
    </row>
    <row r="4970" spans="1:113" x14ac:dyDescent="0.3">
      <c r="A4970" t="str">
        <f t="shared" si="2289"/>
        <v>05/12/2020 14:50:06.431</v>
      </c>
      <c r="C4970" t="str">
        <f t="shared" si="2281"/>
        <v>FFDFD3C0</v>
      </c>
      <c r="D4970" t="s">
        <v>131</v>
      </c>
      <c r="E4970">
        <v>10</v>
      </c>
      <c r="F4970">
        <v>2010</v>
      </c>
      <c r="G4970" t="s">
        <v>132</v>
      </c>
      <c r="J4970" t="s">
        <v>133</v>
      </c>
      <c r="K4970">
        <v>0</v>
      </c>
      <c r="L4970">
        <v>3</v>
      </c>
      <c r="M4970">
        <v>0</v>
      </c>
      <c r="N4970">
        <v>2</v>
      </c>
      <c r="O4970">
        <v>1</v>
      </c>
      <c r="P4970">
        <v>0</v>
      </c>
      <c r="Q4970">
        <v>0</v>
      </c>
      <c r="S4970" t="str">
        <f t="shared" si="2290"/>
        <v>14:50:24.266</v>
      </c>
      <c r="T4970" t="str">
        <f t="shared" si="2291"/>
        <v>14:50:24.166</v>
      </c>
      <c r="U4970" t="str">
        <f t="shared" si="2272"/>
        <v>A9808D</v>
      </c>
      <c r="V4970">
        <v>0</v>
      </c>
      <c r="W4970">
        <v>0</v>
      </c>
      <c r="X4970">
        <v>1</v>
      </c>
      <c r="Z4970">
        <v>0</v>
      </c>
      <c r="AA4970">
        <v>9</v>
      </c>
      <c r="AB4970">
        <v>3</v>
      </c>
      <c r="AC4970">
        <v>0</v>
      </c>
      <c r="AD4970">
        <v>10</v>
      </c>
      <c r="AE4970">
        <v>0</v>
      </c>
      <c r="AF4970">
        <v>3</v>
      </c>
      <c r="AG4970">
        <v>2</v>
      </c>
      <c r="AH4970">
        <v>0</v>
      </c>
      <c r="AI4970" t="s">
        <v>185</v>
      </c>
      <c r="AJ4970">
        <v>28.235657</v>
      </c>
      <c r="AK4970" t="s">
        <v>446</v>
      </c>
      <c r="AL4970">
        <v>-82.365532000000002</v>
      </c>
      <c r="AM4970">
        <v>100</v>
      </c>
      <c r="AN4970">
        <v>2200</v>
      </c>
      <c r="AO4970" t="s">
        <v>118</v>
      </c>
      <c r="AP4970">
        <v>-99</v>
      </c>
      <c r="AQ4970">
        <v>-46</v>
      </c>
      <c r="AR4970">
        <v>-640</v>
      </c>
      <c r="AZ4970">
        <v>1200</v>
      </c>
      <c r="BA4970">
        <v>1</v>
      </c>
      <c r="BB4970" t="str">
        <f t="shared" si="2282"/>
        <v xml:space="preserve">N711JA  </v>
      </c>
      <c r="BC4970">
        <v>1</v>
      </c>
      <c r="BE4970">
        <v>0</v>
      </c>
      <c r="BF4970">
        <v>0</v>
      </c>
      <c r="BG4970">
        <v>0</v>
      </c>
      <c r="BH4970">
        <v>2325</v>
      </c>
      <c r="BI4970">
        <v>1</v>
      </c>
      <c r="BJ4970">
        <v>1</v>
      </c>
      <c r="BK4970">
        <v>0</v>
      </c>
      <c r="BL4970">
        <v>0</v>
      </c>
      <c r="BO4970">
        <v>0</v>
      </c>
      <c r="BP4970">
        <v>0</v>
      </c>
      <c r="BW4970" t="str">
        <f t="shared" si="2292"/>
        <v>14:50:24.266</v>
      </c>
      <c r="CJ4970">
        <v>0</v>
      </c>
      <c r="CK4970">
        <v>2</v>
      </c>
      <c r="CL4970">
        <v>0</v>
      </c>
      <c r="CM4970">
        <v>2</v>
      </c>
      <c r="CN4970">
        <v>0</v>
      </c>
      <c r="CO4970">
        <v>6</v>
      </c>
      <c r="CP4970" t="s">
        <v>119</v>
      </c>
      <c r="CQ4970">
        <v>8</v>
      </c>
      <c r="CR4970">
        <v>3</v>
      </c>
      <c r="CW4970">
        <v>9219917</v>
      </c>
      <c r="CY4970">
        <v>1</v>
      </c>
      <c r="CZ4970">
        <v>0</v>
      </c>
      <c r="DA4970">
        <v>1</v>
      </c>
      <c r="DB4970">
        <v>0</v>
      </c>
      <c r="DC4970">
        <v>0</v>
      </c>
      <c r="DD4970">
        <v>1</v>
      </c>
      <c r="DE4970">
        <v>0</v>
      </c>
      <c r="DF4970">
        <v>0</v>
      </c>
      <c r="DG4970">
        <v>0</v>
      </c>
      <c r="DH4970">
        <v>0</v>
      </c>
      <c r="DI4970">
        <v>0</v>
      </c>
    </row>
    <row r="4971" spans="1:113" x14ac:dyDescent="0.3">
      <c r="A4971" t="str">
        <f t="shared" si="2289"/>
        <v>05/12/2020 14:50:06.431</v>
      </c>
      <c r="C4971" t="str">
        <f t="shared" si="2281"/>
        <v>FFDFD3C0</v>
      </c>
      <c r="D4971" t="s">
        <v>126</v>
      </c>
      <c r="E4971">
        <v>7</v>
      </c>
      <c r="F4971">
        <v>1007</v>
      </c>
      <c r="G4971" t="s">
        <v>127</v>
      </c>
      <c r="J4971" t="s">
        <v>128</v>
      </c>
      <c r="K4971">
        <v>0</v>
      </c>
      <c r="L4971">
        <v>3</v>
      </c>
      <c r="M4971">
        <v>0</v>
      </c>
      <c r="N4971">
        <v>2</v>
      </c>
      <c r="O4971">
        <v>1</v>
      </c>
      <c r="P4971">
        <v>0</v>
      </c>
      <c r="Q4971">
        <v>0</v>
      </c>
      <c r="S4971" t="str">
        <f t="shared" si="2290"/>
        <v>14:50:24.266</v>
      </c>
      <c r="T4971" t="str">
        <f t="shared" si="2291"/>
        <v>14:50:24.166</v>
      </c>
      <c r="U4971" t="str">
        <f t="shared" si="2272"/>
        <v>A9808D</v>
      </c>
      <c r="V4971">
        <v>0</v>
      </c>
      <c r="W4971">
        <v>0</v>
      </c>
      <c r="X4971">
        <v>1</v>
      </c>
      <c r="Z4971">
        <v>0</v>
      </c>
      <c r="AA4971">
        <v>9</v>
      </c>
      <c r="AB4971">
        <v>3</v>
      </c>
      <c r="AC4971">
        <v>0</v>
      </c>
      <c r="AD4971">
        <v>10</v>
      </c>
      <c r="AE4971">
        <v>0</v>
      </c>
      <c r="AF4971">
        <v>3</v>
      </c>
      <c r="AG4971">
        <v>2</v>
      </c>
      <c r="AH4971">
        <v>0</v>
      </c>
      <c r="AI4971" t="s">
        <v>185</v>
      </c>
      <c r="AJ4971">
        <v>28.235657</v>
      </c>
      <c r="AK4971" t="s">
        <v>446</v>
      </c>
      <c r="AL4971">
        <v>-82.365532000000002</v>
      </c>
      <c r="AM4971">
        <v>100</v>
      </c>
      <c r="AN4971">
        <v>2200</v>
      </c>
      <c r="AO4971" t="s">
        <v>118</v>
      </c>
      <c r="AP4971">
        <v>-99</v>
      </c>
      <c r="AQ4971">
        <v>-46</v>
      </c>
      <c r="AR4971">
        <v>-640</v>
      </c>
      <c r="AZ4971">
        <v>1200</v>
      </c>
      <c r="BA4971">
        <v>1</v>
      </c>
      <c r="BB4971" t="str">
        <f t="shared" si="2282"/>
        <v xml:space="preserve">N711JA  </v>
      </c>
      <c r="BC4971">
        <v>1</v>
      </c>
      <c r="BE4971">
        <v>0</v>
      </c>
      <c r="BF4971">
        <v>0</v>
      </c>
      <c r="BG4971">
        <v>0</v>
      </c>
      <c r="BH4971">
        <v>2325</v>
      </c>
      <c r="BI4971">
        <v>1</v>
      </c>
      <c r="BJ4971">
        <v>1</v>
      </c>
      <c r="BK4971">
        <v>0</v>
      </c>
      <c r="BL4971">
        <v>0</v>
      </c>
      <c r="BO4971">
        <v>0</v>
      </c>
      <c r="BP4971">
        <v>0</v>
      </c>
      <c r="BW4971" t="str">
        <f t="shared" si="2292"/>
        <v>14:50:24.266</v>
      </c>
      <c r="CJ4971">
        <v>0</v>
      </c>
      <c r="CK4971">
        <v>2</v>
      </c>
      <c r="CL4971">
        <v>0</v>
      </c>
      <c r="CM4971">
        <v>2</v>
      </c>
      <c r="CN4971">
        <v>0</v>
      </c>
      <c r="CO4971">
        <v>6</v>
      </c>
      <c r="CP4971" t="s">
        <v>119</v>
      </c>
      <c r="CQ4971">
        <v>8</v>
      </c>
      <c r="CR4971">
        <v>3</v>
      </c>
      <c r="CW4971">
        <v>9219917</v>
      </c>
      <c r="CY4971">
        <v>1</v>
      </c>
      <c r="CZ4971">
        <v>0</v>
      </c>
      <c r="DA4971">
        <v>1</v>
      </c>
      <c r="DB4971">
        <v>0</v>
      </c>
      <c r="DC4971">
        <v>0</v>
      </c>
      <c r="DD4971">
        <v>1</v>
      </c>
      <c r="DE4971">
        <v>0</v>
      </c>
      <c r="DF4971">
        <v>0</v>
      </c>
      <c r="DG4971">
        <v>0</v>
      </c>
      <c r="DH4971">
        <v>0</v>
      </c>
      <c r="DI4971">
        <v>0</v>
      </c>
    </row>
    <row r="4972" spans="1:113" x14ac:dyDescent="0.3">
      <c r="A4972" t="str">
        <f t="shared" si="2289"/>
        <v>05/12/2020 14:50:06.431</v>
      </c>
      <c r="C4972" t="str">
        <f t="shared" si="2281"/>
        <v>FFDFD3C0</v>
      </c>
      <c r="D4972" t="s">
        <v>131</v>
      </c>
      <c r="E4972">
        <v>12</v>
      </c>
      <c r="F4972">
        <v>2012</v>
      </c>
      <c r="G4972" t="s">
        <v>137</v>
      </c>
      <c r="J4972" t="s">
        <v>133</v>
      </c>
      <c r="K4972">
        <v>0</v>
      </c>
      <c r="L4972">
        <v>3</v>
      </c>
      <c r="M4972">
        <v>0</v>
      </c>
      <c r="N4972">
        <v>2</v>
      </c>
      <c r="O4972">
        <v>1</v>
      </c>
      <c r="P4972">
        <v>0</v>
      </c>
      <c r="Q4972">
        <v>0</v>
      </c>
      <c r="S4972" t="str">
        <f t="shared" si="2290"/>
        <v>14:50:24.266</v>
      </c>
      <c r="T4972" t="str">
        <f t="shared" si="2291"/>
        <v>14:50:24.166</v>
      </c>
      <c r="U4972" t="str">
        <f t="shared" si="2272"/>
        <v>A9808D</v>
      </c>
      <c r="V4972">
        <v>0</v>
      </c>
      <c r="W4972">
        <v>0</v>
      </c>
      <c r="X4972">
        <v>1</v>
      </c>
      <c r="Z4972">
        <v>0</v>
      </c>
      <c r="AA4972">
        <v>9</v>
      </c>
      <c r="AB4972">
        <v>3</v>
      </c>
      <c r="AC4972">
        <v>0</v>
      </c>
      <c r="AD4972">
        <v>10</v>
      </c>
      <c r="AE4972">
        <v>0</v>
      </c>
      <c r="AF4972">
        <v>3</v>
      </c>
      <c r="AG4972">
        <v>2</v>
      </c>
      <c r="AH4972">
        <v>0</v>
      </c>
      <c r="AI4972" t="s">
        <v>185</v>
      </c>
      <c r="AJ4972">
        <v>28.235657</v>
      </c>
      <c r="AK4972" t="s">
        <v>446</v>
      </c>
      <c r="AL4972">
        <v>-82.365532000000002</v>
      </c>
      <c r="AM4972">
        <v>100</v>
      </c>
      <c r="AN4972">
        <v>2200</v>
      </c>
      <c r="AO4972" t="s">
        <v>118</v>
      </c>
      <c r="AP4972">
        <v>-99</v>
      </c>
      <c r="AQ4972">
        <v>-46</v>
      </c>
      <c r="AR4972">
        <v>-640</v>
      </c>
      <c r="AZ4972">
        <v>1200</v>
      </c>
      <c r="BA4972">
        <v>1</v>
      </c>
      <c r="BB4972" t="str">
        <f t="shared" si="2282"/>
        <v xml:space="preserve">N711JA  </v>
      </c>
      <c r="BC4972">
        <v>1</v>
      </c>
      <c r="BE4972">
        <v>0</v>
      </c>
      <c r="BF4972">
        <v>0</v>
      </c>
      <c r="BG4972">
        <v>0</v>
      </c>
      <c r="BH4972">
        <v>2325</v>
      </c>
      <c r="BI4972">
        <v>1</v>
      </c>
      <c r="BJ4972">
        <v>1</v>
      </c>
      <c r="BK4972">
        <v>0</v>
      </c>
      <c r="BL4972">
        <v>0</v>
      </c>
      <c r="BO4972">
        <v>0</v>
      </c>
      <c r="BP4972">
        <v>0</v>
      </c>
      <c r="BW4972" t="str">
        <f t="shared" si="2292"/>
        <v>14:50:24.266</v>
      </c>
      <c r="CJ4972">
        <v>0</v>
      </c>
      <c r="CK4972">
        <v>2</v>
      </c>
      <c r="CL4972">
        <v>0</v>
      </c>
      <c r="CM4972">
        <v>2</v>
      </c>
      <c r="CN4972">
        <v>0</v>
      </c>
      <c r="CO4972">
        <v>6</v>
      </c>
      <c r="CP4972" t="s">
        <v>119</v>
      </c>
      <c r="CQ4972">
        <v>8</v>
      </c>
      <c r="CR4972">
        <v>3</v>
      </c>
      <c r="CW4972">
        <v>9219917</v>
      </c>
      <c r="CY4972">
        <v>1</v>
      </c>
      <c r="CZ4972">
        <v>0</v>
      </c>
      <c r="DA4972">
        <v>1</v>
      </c>
      <c r="DB4972">
        <v>0</v>
      </c>
      <c r="DC4972">
        <v>0</v>
      </c>
      <c r="DD4972">
        <v>1</v>
      </c>
      <c r="DE4972">
        <v>0</v>
      </c>
      <c r="DF4972">
        <v>0</v>
      </c>
      <c r="DG4972">
        <v>0</v>
      </c>
      <c r="DH4972">
        <v>0</v>
      </c>
      <c r="DI4972">
        <v>0</v>
      </c>
    </row>
    <row r="4973" spans="1:113" x14ac:dyDescent="0.3">
      <c r="A4973" t="str">
        <f t="shared" si="2289"/>
        <v>05/12/2020 14:50:06.431</v>
      </c>
      <c r="C4973" t="str">
        <f t="shared" si="2281"/>
        <v>FFDFD3C0</v>
      </c>
      <c r="D4973" t="s">
        <v>131</v>
      </c>
      <c r="E4973">
        <v>18</v>
      </c>
      <c r="F4973">
        <v>2018</v>
      </c>
      <c r="G4973" t="s">
        <v>161</v>
      </c>
      <c r="J4973" t="s">
        <v>133</v>
      </c>
      <c r="K4973">
        <v>0</v>
      </c>
      <c r="L4973">
        <v>3</v>
      </c>
      <c r="M4973">
        <v>0</v>
      </c>
      <c r="N4973">
        <v>2</v>
      </c>
      <c r="O4973">
        <v>1</v>
      </c>
      <c r="P4973">
        <v>0</v>
      </c>
      <c r="Q4973">
        <v>0</v>
      </c>
      <c r="S4973" t="str">
        <f t="shared" si="2290"/>
        <v>14:50:24.266</v>
      </c>
      <c r="T4973" t="str">
        <f t="shared" si="2291"/>
        <v>14:50:24.166</v>
      </c>
      <c r="U4973" t="str">
        <f t="shared" si="2272"/>
        <v>A9808D</v>
      </c>
      <c r="V4973">
        <v>0</v>
      </c>
      <c r="W4973">
        <v>0</v>
      </c>
      <c r="X4973">
        <v>1</v>
      </c>
      <c r="Z4973">
        <v>0</v>
      </c>
      <c r="AA4973">
        <v>9</v>
      </c>
      <c r="AB4973">
        <v>3</v>
      </c>
      <c r="AC4973">
        <v>0</v>
      </c>
      <c r="AD4973">
        <v>10</v>
      </c>
      <c r="AE4973">
        <v>0</v>
      </c>
      <c r="AF4973">
        <v>3</v>
      </c>
      <c r="AG4973">
        <v>2</v>
      </c>
      <c r="AH4973">
        <v>0</v>
      </c>
      <c r="AI4973" t="s">
        <v>185</v>
      </c>
      <c r="AJ4973">
        <v>28.235657</v>
      </c>
      <c r="AK4973" t="s">
        <v>446</v>
      </c>
      <c r="AL4973">
        <v>-82.365532000000002</v>
      </c>
      <c r="AM4973">
        <v>100</v>
      </c>
      <c r="AN4973">
        <v>2200</v>
      </c>
      <c r="AO4973" t="s">
        <v>118</v>
      </c>
      <c r="AP4973">
        <v>-99</v>
      </c>
      <c r="AQ4973">
        <v>-46</v>
      </c>
      <c r="AR4973">
        <v>-640</v>
      </c>
      <c r="AZ4973">
        <v>1200</v>
      </c>
      <c r="BA4973">
        <v>1</v>
      </c>
      <c r="BB4973" t="str">
        <f t="shared" si="2282"/>
        <v xml:space="preserve">N711JA  </v>
      </c>
      <c r="BC4973">
        <v>1</v>
      </c>
      <c r="BE4973">
        <v>0</v>
      </c>
      <c r="BF4973">
        <v>0</v>
      </c>
      <c r="BG4973">
        <v>0</v>
      </c>
      <c r="BH4973">
        <v>2325</v>
      </c>
      <c r="BI4973">
        <v>1</v>
      </c>
      <c r="BJ4973">
        <v>1</v>
      </c>
      <c r="BK4973">
        <v>0</v>
      </c>
      <c r="BL4973">
        <v>0</v>
      </c>
      <c r="BO4973">
        <v>0</v>
      </c>
      <c r="BP4973">
        <v>0</v>
      </c>
      <c r="BW4973" t="str">
        <f t="shared" si="2292"/>
        <v>14:50:24.266</v>
      </c>
      <c r="CJ4973">
        <v>0</v>
      </c>
      <c r="CK4973">
        <v>2</v>
      </c>
      <c r="CL4973">
        <v>0</v>
      </c>
      <c r="CM4973">
        <v>2</v>
      </c>
      <c r="CN4973">
        <v>0</v>
      </c>
      <c r="CO4973">
        <v>5</v>
      </c>
      <c r="CP4973" t="s">
        <v>119</v>
      </c>
      <c r="CQ4973">
        <v>343</v>
      </c>
      <c r="CR4973">
        <v>1</v>
      </c>
      <c r="CW4973">
        <v>11096081</v>
      </c>
      <c r="CY4973">
        <v>1</v>
      </c>
      <c r="CZ4973">
        <v>0</v>
      </c>
      <c r="DA4973">
        <v>1</v>
      </c>
      <c r="DB4973">
        <v>0</v>
      </c>
      <c r="DC4973">
        <v>0</v>
      </c>
      <c r="DD4973">
        <v>1</v>
      </c>
      <c r="DE4973">
        <v>0</v>
      </c>
      <c r="DF4973">
        <v>0</v>
      </c>
      <c r="DG4973">
        <v>0</v>
      </c>
      <c r="DH4973">
        <v>0</v>
      </c>
      <c r="DI4973">
        <v>0</v>
      </c>
    </row>
    <row r="4974" spans="1:113" x14ac:dyDescent="0.3">
      <c r="A4974" t="str">
        <f t="shared" si="2289"/>
        <v>05/12/2020 14:50:06.431</v>
      </c>
      <c r="C4974" t="str">
        <f t="shared" si="2281"/>
        <v>FFDFD3C0</v>
      </c>
      <c r="D4974" t="s">
        <v>126</v>
      </c>
      <c r="E4974">
        <v>6</v>
      </c>
      <c r="F4974">
        <v>1006</v>
      </c>
      <c r="G4974" t="s">
        <v>114</v>
      </c>
      <c r="J4974" t="s">
        <v>128</v>
      </c>
      <c r="K4974">
        <v>0</v>
      </c>
      <c r="L4974">
        <v>3</v>
      </c>
      <c r="M4974">
        <v>0</v>
      </c>
      <c r="N4974">
        <v>2</v>
      </c>
      <c r="O4974">
        <v>1</v>
      </c>
      <c r="P4974">
        <v>0</v>
      </c>
      <c r="Q4974">
        <v>0</v>
      </c>
      <c r="S4974" t="str">
        <f t="shared" si="2290"/>
        <v>14:50:24.266</v>
      </c>
      <c r="T4974" t="str">
        <f t="shared" si="2291"/>
        <v>14:50:24.166</v>
      </c>
      <c r="U4974" t="str">
        <f t="shared" si="2272"/>
        <v>A9808D</v>
      </c>
      <c r="V4974">
        <v>0</v>
      </c>
      <c r="W4974">
        <v>0</v>
      </c>
      <c r="X4974">
        <v>1</v>
      </c>
      <c r="Z4974">
        <v>0</v>
      </c>
      <c r="AA4974">
        <v>9</v>
      </c>
      <c r="AB4974">
        <v>3</v>
      </c>
      <c r="AC4974">
        <v>0</v>
      </c>
      <c r="AD4974">
        <v>10</v>
      </c>
      <c r="AE4974">
        <v>0</v>
      </c>
      <c r="AF4974">
        <v>3</v>
      </c>
      <c r="AG4974">
        <v>2</v>
      </c>
      <c r="AH4974">
        <v>0</v>
      </c>
      <c r="AI4974" t="s">
        <v>185</v>
      </c>
      <c r="AJ4974">
        <v>28.235657</v>
      </c>
      <c r="AK4974" t="s">
        <v>446</v>
      </c>
      <c r="AL4974">
        <v>-82.365532000000002</v>
      </c>
      <c r="AM4974">
        <v>100</v>
      </c>
      <c r="AN4974">
        <v>2200</v>
      </c>
      <c r="AO4974" t="s">
        <v>118</v>
      </c>
      <c r="AP4974">
        <v>-99</v>
      </c>
      <c r="AQ4974">
        <v>-46</v>
      </c>
      <c r="AR4974">
        <v>-640</v>
      </c>
      <c r="AZ4974">
        <v>1200</v>
      </c>
      <c r="BA4974">
        <v>1</v>
      </c>
      <c r="BB4974" t="str">
        <f t="shared" si="2282"/>
        <v xml:space="preserve">N711JA  </v>
      </c>
      <c r="BC4974">
        <v>1</v>
      </c>
      <c r="BE4974">
        <v>0</v>
      </c>
      <c r="BF4974">
        <v>0</v>
      </c>
      <c r="BG4974">
        <v>0</v>
      </c>
      <c r="BH4974">
        <v>2325</v>
      </c>
      <c r="BI4974">
        <v>1</v>
      </c>
      <c r="BJ4974">
        <v>1</v>
      </c>
      <c r="BK4974">
        <v>0</v>
      </c>
      <c r="BL4974">
        <v>0</v>
      </c>
      <c r="BO4974">
        <v>0</v>
      </c>
      <c r="BP4974">
        <v>0</v>
      </c>
      <c r="BW4974" t="str">
        <f t="shared" si="2292"/>
        <v>14:50:24.266</v>
      </c>
      <c r="CJ4974">
        <v>0</v>
      </c>
      <c r="CK4974">
        <v>2</v>
      </c>
      <c r="CL4974">
        <v>0</v>
      </c>
      <c r="CM4974">
        <v>2</v>
      </c>
      <c r="CN4974">
        <v>0</v>
      </c>
      <c r="CO4974">
        <v>6</v>
      </c>
      <c r="CP4974" t="s">
        <v>119</v>
      </c>
      <c r="CQ4974">
        <v>8</v>
      </c>
      <c r="CR4974">
        <v>3</v>
      </c>
      <c r="CW4974">
        <v>9219917</v>
      </c>
      <c r="CY4974">
        <v>1</v>
      </c>
      <c r="CZ4974">
        <v>0</v>
      </c>
      <c r="DA4974">
        <v>1</v>
      </c>
      <c r="DB4974">
        <v>0</v>
      </c>
      <c r="DC4974">
        <v>0</v>
      </c>
      <c r="DD4974">
        <v>1</v>
      </c>
      <c r="DE4974">
        <v>0</v>
      </c>
      <c r="DF4974">
        <v>0</v>
      </c>
      <c r="DG4974">
        <v>0</v>
      </c>
      <c r="DH4974">
        <v>0</v>
      </c>
      <c r="DI4974">
        <v>0</v>
      </c>
    </row>
    <row r="4975" spans="1:113" x14ac:dyDescent="0.3">
      <c r="A4975" t="str">
        <f t="shared" si="2289"/>
        <v>05/12/2020 14:50:06.431</v>
      </c>
      <c r="C4975" t="str">
        <f t="shared" si="2281"/>
        <v>FFDFD3C0</v>
      </c>
      <c r="D4975" t="s">
        <v>138</v>
      </c>
      <c r="E4975">
        <v>2</v>
      </c>
      <c r="H4975">
        <v>8</v>
      </c>
      <c r="I4975" t="s">
        <v>139</v>
      </c>
      <c r="J4975" t="s">
        <v>136</v>
      </c>
      <c r="K4975">
        <v>0</v>
      </c>
      <c r="L4975">
        <v>3</v>
      </c>
      <c r="M4975">
        <v>0</v>
      </c>
      <c r="N4975">
        <v>2</v>
      </c>
      <c r="O4975">
        <v>1</v>
      </c>
      <c r="P4975">
        <v>0</v>
      </c>
      <c r="Q4975">
        <v>0</v>
      </c>
      <c r="S4975" t="str">
        <f t="shared" si="2290"/>
        <v>14:50:24.266</v>
      </c>
      <c r="T4975" t="str">
        <f t="shared" si="2291"/>
        <v>14:50:24.166</v>
      </c>
      <c r="U4975" t="str">
        <f t="shared" si="2272"/>
        <v>A9808D</v>
      </c>
      <c r="V4975">
        <v>0</v>
      </c>
      <c r="W4975">
        <v>0</v>
      </c>
      <c r="X4975">
        <v>1</v>
      </c>
      <c r="Z4975">
        <v>0</v>
      </c>
      <c r="AA4975">
        <v>9</v>
      </c>
      <c r="AB4975">
        <v>3</v>
      </c>
      <c r="AC4975">
        <v>0</v>
      </c>
      <c r="AD4975">
        <v>10</v>
      </c>
      <c r="AE4975">
        <v>0</v>
      </c>
      <c r="AF4975">
        <v>3</v>
      </c>
      <c r="AG4975">
        <v>2</v>
      </c>
      <c r="AH4975">
        <v>0</v>
      </c>
      <c r="AI4975" t="s">
        <v>185</v>
      </c>
      <c r="AJ4975">
        <v>28.235657</v>
      </c>
      <c r="AK4975" t="s">
        <v>446</v>
      </c>
      <c r="AL4975">
        <v>-82.365532000000002</v>
      </c>
      <c r="AM4975">
        <v>100</v>
      </c>
      <c r="AN4975">
        <v>2200</v>
      </c>
      <c r="AO4975" t="s">
        <v>118</v>
      </c>
      <c r="AP4975">
        <v>-99</v>
      </c>
      <c r="AQ4975">
        <v>-46</v>
      </c>
      <c r="AR4975">
        <v>-640</v>
      </c>
      <c r="AZ4975">
        <v>1200</v>
      </c>
      <c r="BA4975">
        <v>1</v>
      </c>
      <c r="BB4975" t="str">
        <f t="shared" si="2282"/>
        <v xml:space="preserve">N711JA  </v>
      </c>
      <c r="BC4975">
        <v>1</v>
      </c>
      <c r="BE4975">
        <v>0</v>
      </c>
      <c r="BF4975">
        <v>0</v>
      </c>
      <c r="BG4975">
        <v>0</v>
      </c>
      <c r="BH4975">
        <v>2325</v>
      </c>
      <c r="BI4975">
        <v>1</v>
      </c>
      <c r="BJ4975">
        <v>1</v>
      </c>
      <c r="BK4975">
        <v>0</v>
      </c>
      <c r="BL4975">
        <v>0</v>
      </c>
      <c r="BO4975">
        <v>0</v>
      </c>
      <c r="BP4975">
        <v>0</v>
      </c>
      <c r="BW4975" t="str">
        <f t="shared" si="2292"/>
        <v>14:50:24.266</v>
      </c>
      <c r="CJ4975">
        <v>0</v>
      </c>
      <c r="CK4975">
        <v>2</v>
      </c>
      <c r="CL4975">
        <v>0</v>
      </c>
      <c r="CM4975">
        <v>2</v>
      </c>
      <c r="CN4975">
        <v>0</v>
      </c>
      <c r="CO4975">
        <v>6</v>
      </c>
      <c r="CP4975" t="s">
        <v>119</v>
      </c>
      <c r="CQ4975">
        <v>8</v>
      </c>
      <c r="CR4975">
        <v>3</v>
      </c>
      <c r="CW4975">
        <v>9219917</v>
      </c>
      <c r="CY4975">
        <v>1</v>
      </c>
      <c r="CZ4975">
        <v>0</v>
      </c>
      <c r="DA4975">
        <v>1</v>
      </c>
      <c r="DB4975">
        <v>0</v>
      </c>
      <c r="DC4975">
        <v>0</v>
      </c>
      <c r="DD4975">
        <v>1</v>
      </c>
      <c r="DE4975">
        <v>0</v>
      </c>
      <c r="DF4975">
        <v>0</v>
      </c>
      <c r="DG4975">
        <v>0</v>
      </c>
      <c r="DH4975">
        <v>0</v>
      </c>
      <c r="DI4975">
        <v>0</v>
      </c>
    </row>
    <row r="4976" spans="1:113" x14ac:dyDescent="0.3">
      <c r="A4976" t="str">
        <f t="shared" si="2289"/>
        <v>05/12/2020 14:50:06.431</v>
      </c>
      <c r="C4976" t="str">
        <f t="shared" si="2281"/>
        <v>FFDFD3C0</v>
      </c>
      <c r="D4976" t="s">
        <v>113</v>
      </c>
      <c r="E4976">
        <v>3</v>
      </c>
      <c r="H4976">
        <v>164</v>
      </c>
      <c r="I4976" t="s">
        <v>114</v>
      </c>
      <c r="J4976" t="s">
        <v>115</v>
      </c>
      <c r="K4976">
        <v>0</v>
      </c>
      <c r="L4976">
        <v>3</v>
      </c>
      <c r="M4976">
        <v>0</v>
      </c>
      <c r="N4976">
        <v>2</v>
      </c>
      <c r="O4976">
        <v>1</v>
      </c>
      <c r="P4976">
        <v>0</v>
      </c>
      <c r="Q4976">
        <v>0</v>
      </c>
      <c r="S4976" t="str">
        <f t="shared" si="2290"/>
        <v>14:50:24.266</v>
      </c>
      <c r="T4976" t="str">
        <f t="shared" si="2291"/>
        <v>14:50:24.166</v>
      </c>
      <c r="U4976" t="str">
        <f t="shared" si="2272"/>
        <v>A9808D</v>
      </c>
      <c r="V4976">
        <v>0</v>
      </c>
      <c r="W4976">
        <v>0</v>
      </c>
      <c r="X4976">
        <v>1</v>
      </c>
      <c r="Z4976">
        <v>0</v>
      </c>
      <c r="AA4976">
        <v>9</v>
      </c>
      <c r="AB4976">
        <v>3</v>
      </c>
      <c r="AC4976">
        <v>0</v>
      </c>
      <c r="AD4976">
        <v>10</v>
      </c>
      <c r="AE4976">
        <v>0</v>
      </c>
      <c r="AF4976">
        <v>3</v>
      </c>
      <c r="AG4976">
        <v>2</v>
      </c>
      <c r="AH4976">
        <v>0</v>
      </c>
      <c r="AI4976" t="s">
        <v>185</v>
      </c>
      <c r="AJ4976">
        <v>28.235657</v>
      </c>
      <c r="AK4976" t="s">
        <v>446</v>
      </c>
      <c r="AL4976">
        <v>-82.365532000000002</v>
      </c>
      <c r="AM4976">
        <v>100</v>
      </c>
      <c r="AN4976">
        <v>2200</v>
      </c>
      <c r="AO4976" t="s">
        <v>118</v>
      </c>
      <c r="AP4976">
        <v>-99</v>
      </c>
      <c r="AQ4976">
        <v>-46</v>
      </c>
      <c r="AR4976">
        <v>-640</v>
      </c>
      <c r="AZ4976">
        <v>1200</v>
      </c>
      <c r="BA4976">
        <v>1</v>
      </c>
      <c r="BB4976" t="str">
        <f t="shared" si="2282"/>
        <v xml:space="preserve">N711JA  </v>
      </c>
      <c r="BC4976">
        <v>1</v>
      </c>
      <c r="BE4976">
        <v>0</v>
      </c>
      <c r="BF4976">
        <v>0</v>
      </c>
      <c r="BG4976">
        <v>0</v>
      </c>
      <c r="BH4976">
        <v>2325</v>
      </c>
      <c r="BI4976">
        <v>1</v>
      </c>
      <c r="BJ4976">
        <v>1</v>
      </c>
      <c r="BK4976">
        <v>0</v>
      </c>
      <c r="BL4976">
        <v>0</v>
      </c>
      <c r="BO4976">
        <v>0</v>
      </c>
      <c r="BP4976">
        <v>0</v>
      </c>
      <c r="BW4976" t="str">
        <f t="shared" si="2292"/>
        <v>14:50:24.266</v>
      </c>
      <c r="CJ4976">
        <v>0</v>
      </c>
      <c r="CK4976">
        <v>2</v>
      </c>
      <c r="CL4976">
        <v>0</v>
      </c>
      <c r="CM4976">
        <v>2</v>
      </c>
      <c r="CN4976">
        <v>0</v>
      </c>
      <c r="CO4976">
        <v>6</v>
      </c>
      <c r="CP4976" t="s">
        <v>119</v>
      </c>
      <c r="CQ4976">
        <v>8</v>
      </c>
      <c r="CR4976">
        <v>3</v>
      </c>
      <c r="CW4976">
        <v>9219917</v>
      </c>
      <c r="CY4976">
        <v>1</v>
      </c>
      <c r="CZ4976">
        <v>0</v>
      </c>
      <c r="DA4976">
        <v>1</v>
      </c>
      <c r="DB4976">
        <v>0</v>
      </c>
      <c r="DC4976">
        <v>0</v>
      </c>
      <c r="DD4976">
        <v>1</v>
      </c>
      <c r="DE4976">
        <v>0</v>
      </c>
      <c r="DF4976">
        <v>0</v>
      </c>
      <c r="DG4976">
        <v>0</v>
      </c>
      <c r="DH4976">
        <v>0</v>
      </c>
      <c r="DI4976">
        <v>0</v>
      </c>
    </row>
    <row r="4977" spans="1:113" x14ac:dyDescent="0.3">
      <c r="A4977" t="str">
        <f t="shared" si="2289"/>
        <v>05/12/2020 14:50:06.431</v>
      </c>
      <c r="C4977" t="str">
        <f t="shared" si="2281"/>
        <v>FFDFD3C0</v>
      </c>
      <c r="D4977" t="s">
        <v>138</v>
      </c>
      <c r="E4977">
        <v>3</v>
      </c>
      <c r="H4977">
        <v>9</v>
      </c>
      <c r="I4977" t="s">
        <v>140</v>
      </c>
      <c r="J4977" t="s">
        <v>136</v>
      </c>
      <c r="K4977">
        <v>0</v>
      </c>
      <c r="L4977">
        <v>3</v>
      </c>
      <c r="M4977">
        <v>0</v>
      </c>
      <c r="N4977">
        <v>2</v>
      </c>
      <c r="O4977">
        <v>1</v>
      </c>
      <c r="P4977">
        <v>0</v>
      </c>
      <c r="Q4977">
        <v>0</v>
      </c>
      <c r="S4977" t="str">
        <f t="shared" si="2290"/>
        <v>14:50:24.266</v>
      </c>
      <c r="T4977" t="str">
        <f t="shared" si="2291"/>
        <v>14:50:24.166</v>
      </c>
      <c r="U4977" t="str">
        <f t="shared" si="2272"/>
        <v>A9808D</v>
      </c>
      <c r="V4977">
        <v>0</v>
      </c>
      <c r="W4977">
        <v>0</v>
      </c>
      <c r="X4977">
        <v>1</v>
      </c>
      <c r="Z4977">
        <v>0</v>
      </c>
      <c r="AA4977">
        <v>9</v>
      </c>
      <c r="AB4977">
        <v>3</v>
      </c>
      <c r="AC4977">
        <v>0</v>
      </c>
      <c r="AD4977">
        <v>10</v>
      </c>
      <c r="AE4977">
        <v>0</v>
      </c>
      <c r="AF4977">
        <v>3</v>
      </c>
      <c r="AG4977">
        <v>2</v>
      </c>
      <c r="AH4977">
        <v>0</v>
      </c>
      <c r="AI4977" t="s">
        <v>185</v>
      </c>
      <c r="AJ4977">
        <v>28.235657</v>
      </c>
      <c r="AK4977" t="s">
        <v>446</v>
      </c>
      <c r="AL4977">
        <v>-82.365532000000002</v>
      </c>
      <c r="AM4977">
        <v>100</v>
      </c>
      <c r="AN4977">
        <v>2200</v>
      </c>
      <c r="AO4977" t="s">
        <v>118</v>
      </c>
      <c r="AP4977">
        <v>-99</v>
      </c>
      <c r="AQ4977">
        <v>-46</v>
      </c>
      <c r="AR4977">
        <v>-640</v>
      </c>
      <c r="AZ4977">
        <v>1200</v>
      </c>
      <c r="BA4977">
        <v>1</v>
      </c>
      <c r="BB4977" t="str">
        <f t="shared" si="2282"/>
        <v xml:space="preserve">N711JA  </v>
      </c>
      <c r="BC4977">
        <v>1</v>
      </c>
      <c r="BE4977">
        <v>0</v>
      </c>
      <c r="BF4977">
        <v>0</v>
      </c>
      <c r="BG4977">
        <v>0</v>
      </c>
      <c r="BH4977">
        <v>2325</v>
      </c>
      <c r="BI4977">
        <v>1</v>
      </c>
      <c r="BJ4977">
        <v>1</v>
      </c>
      <c r="BK4977">
        <v>0</v>
      </c>
      <c r="BL4977">
        <v>0</v>
      </c>
      <c r="BO4977">
        <v>0</v>
      </c>
      <c r="BP4977">
        <v>0</v>
      </c>
      <c r="BW4977" t="str">
        <f t="shared" si="2292"/>
        <v>14:50:24.266</v>
      </c>
      <c r="CJ4977">
        <v>0</v>
      </c>
      <c r="CK4977">
        <v>2</v>
      </c>
      <c r="CL4977">
        <v>0</v>
      </c>
      <c r="CM4977">
        <v>2</v>
      </c>
      <c r="CN4977">
        <v>0</v>
      </c>
      <c r="CO4977">
        <v>6</v>
      </c>
      <c r="CP4977" t="s">
        <v>119</v>
      </c>
      <c r="CQ4977">
        <v>8</v>
      </c>
      <c r="CR4977">
        <v>3</v>
      </c>
      <c r="CW4977">
        <v>9219917</v>
      </c>
      <c r="CY4977">
        <v>1</v>
      </c>
      <c r="CZ4977">
        <v>0</v>
      </c>
      <c r="DA4977">
        <v>1</v>
      </c>
      <c r="DB4977">
        <v>0</v>
      </c>
      <c r="DC4977">
        <v>0</v>
      </c>
      <c r="DD4977">
        <v>1</v>
      </c>
      <c r="DE4977">
        <v>0</v>
      </c>
      <c r="DF4977">
        <v>0</v>
      </c>
      <c r="DG4977">
        <v>0</v>
      </c>
      <c r="DH4977">
        <v>0</v>
      </c>
      <c r="DI4977">
        <v>0</v>
      </c>
    </row>
    <row r="4978" spans="1:113" x14ac:dyDescent="0.3">
      <c r="A4978" t="str">
        <f t="shared" ref="A4978:A4986" si="2293">"05/12/2020 14:50:07.393"</f>
        <v>05/12/2020 14:50:07.393</v>
      </c>
      <c r="C4978" t="str">
        <f t="shared" si="2281"/>
        <v>FFDFD3C0</v>
      </c>
      <c r="D4978" t="s">
        <v>134</v>
      </c>
      <c r="E4978">
        <v>12</v>
      </c>
      <c r="H4978">
        <v>64</v>
      </c>
      <c r="I4978" t="s">
        <v>135</v>
      </c>
      <c r="J4978" t="s">
        <v>136</v>
      </c>
      <c r="K4978">
        <v>0</v>
      </c>
      <c r="L4978">
        <v>3</v>
      </c>
      <c r="M4978">
        <v>0</v>
      </c>
      <c r="N4978">
        <v>2</v>
      </c>
      <c r="O4978">
        <v>1</v>
      </c>
      <c r="P4978">
        <v>0</v>
      </c>
      <c r="Q4978">
        <v>0</v>
      </c>
      <c r="S4978" t="str">
        <f t="shared" ref="S4978:T4986" si="2294">"14:50:25.227"</f>
        <v>14:50:25.227</v>
      </c>
      <c r="T4978" t="str">
        <f t="shared" si="2294"/>
        <v>14:50:25.227</v>
      </c>
      <c r="U4978" t="str">
        <f t="shared" si="2272"/>
        <v>A9808D</v>
      </c>
      <c r="V4978">
        <v>0</v>
      </c>
      <c r="W4978">
        <v>0</v>
      </c>
      <c r="X4978">
        <v>1</v>
      </c>
      <c r="Z4978">
        <v>0</v>
      </c>
      <c r="AA4978">
        <v>9</v>
      </c>
      <c r="AB4978">
        <v>3</v>
      </c>
      <c r="AC4978">
        <v>0</v>
      </c>
      <c r="AD4978">
        <v>10</v>
      </c>
      <c r="AE4978">
        <v>0</v>
      </c>
      <c r="AF4978">
        <v>3</v>
      </c>
      <c r="AG4978">
        <v>2</v>
      </c>
      <c r="AH4978">
        <v>0</v>
      </c>
      <c r="AI4978" t="s">
        <v>1108</v>
      </c>
      <c r="AJ4978">
        <v>28.235464</v>
      </c>
      <c r="AK4978" t="s">
        <v>1109</v>
      </c>
      <c r="AL4978">
        <v>-82.366024999999993</v>
      </c>
      <c r="AM4978">
        <v>100</v>
      </c>
      <c r="AN4978">
        <v>2200</v>
      </c>
      <c r="AO4978" t="s">
        <v>118</v>
      </c>
      <c r="AP4978">
        <v>-100</v>
      </c>
      <c r="AQ4978">
        <v>-46</v>
      </c>
      <c r="AR4978">
        <v>-768</v>
      </c>
      <c r="AZ4978">
        <v>1200</v>
      </c>
      <c r="BA4978">
        <v>1</v>
      </c>
      <c r="BB4978" t="str">
        <f t="shared" si="2282"/>
        <v xml:space="preserve">N711JA  </v>
      </c>
      <c r="BC4978">
        <v>1</v>
      </c>
      <c r="BE4978">
        <v>0</v>
      </c>
      <c r="BF4978">
        <v>0</v>
      </c>
      <c r="BG4978">
        <v>0</v>
      </c>
      <c r="BH4978">
        <v>2325</v>
      </c>
      <c r="BI4978">
        <v>1</v>
      </c>
      <c r="BJ4978">
        <v>1</v>
      </c>
      <c r="BK4978">
        <v>0</v>
      </c>
      <c r="BL4978">
        <v>0</v>
      </c>
      <c r="BO4978">
        <v>0</v>
      </c>
      <c r="BP4978">
        <v>0</v>
      </c>
      <c r="BW4978" t="str">
        <f t="shared" ref="BW4978:BW4986" si="2295">"14:50:25.232"</f>
        <v>14:50:25.232</v>
      </c>
      <c r="CJ4978">
        <v>0</v>
      </c>
      <c r="CK4978">
        <v>2</v>
      </c>
      <c r="CL4978">
        <v>0</v>
      </c>
      <c r="CM4978">
        <v>2</v>
      </c>
      <c r="CN4978">
        <v>0</v>
      </c>
      <c r="CO4978">
        <v>6</v>
      </c>
      <c r="CP4978" t="s">
        <v>119</v>
      </c>
      <c r="CQ4978">
        <v>358</v>
      </c>
      <c r="CR4978">
        <v>0</v>
      </c>
      <c r="CW4978">
        <v>5203178</v>
      </c>
      <c r="CY4978">
        <v>1</v>
      </c>
      <c r="CZ4978">
        <v>0</v>
      </c>
      <c r="DA4978">
        <v>0</v>
      </c>
      <c r="DB4978">
        <v>0</v>
      </c>
      <c r="DC4978">
        <v>0</v>
      </c>
      <c r="DD4978">
        <v>1</v>
      </c>
      <c r="DE4978">
        <v>0</v>
      </c>
      <c r="DF4978">
        <v>0</v>
      </c>
      <c r="DG4978">
        <v>0</v>
      </c>
      <c r="DH4978">
        <v>0</v>
      </c>
      <c r="DI4978">
        <v>0</v>
      </c>
    </row>
    <row r="4979" spans="1:113" x14ac:dyDescent="0.3">
      <c r="A4979" t="str">
        <f t="shared" si="2293"/>
        <v>05/12/2020 14:50:07.393</v>
      </c>
      <c r="C4979" t="str">
        <f t="shared" si="2281"/>
        <v>FFDFD3C0</v>
      </c>
      <c r="D4979" t="s">
        <v>131</v>
      </c>
      <c r="E4979">
        <v>10</v>
      </c>
      <c r="F4979">
        <v>2010</v>
      </c>
      <c r="G4979" t="s">
        <v>132</v>
      </c>
      <c r="J4979" t="s">
        <v>133</v>
      </c>
      <c r="K4979">
        <v>0</v>
      </c>
      <c r="L4979">
        <v>3</v>
      </c>
      <c r="M4979">
        <v>0</v>
      </c>
      <c r="N4979">
        <v>2</v>
      </c>
      <c r="O4979">
        <v>1</v>
      </c>
      <c r="P4979">
        <v>0</v>
      </c>
      <c r="Q4979">
        <v>0</v>
      </c>
      <c r="S4979" t="str">
        <f t="shared" si="2294"/>
        <v>14:50:25.227</v>
      </c>
      <c r="T4979" t="str">
        <f t="shared" si="2294"/>
        <v>14:50:25.227</v>
      </c>
      <c r="U4979" t="str">
        <f t="shared" si="2272"/>
        <v>A9808D</v>
      </c>
      <c r="V4979">
        <v>0</v>
      </c>
      <c r="W4979">
        <v>0</v>
      </c>
      <c r="X4979">
        <v>1</v>
      </c>
      <c r="Z4979">
        <v>0</v>
      </c>
      <c r="AA4979">
        <v>9</v>
      </c>
      <c r="AB4979">
        <v>3</v>
      </c>
      <c r="AC4979">
        <v>0</v>
      </c>
      <c r="AD4979">
        <v>10</v>
      </c>
      <c r="AE4979">
        <v>0</v>
      </c>
      <c r="AF4979">
        <v>3</v>
      </c>
      <c r="AG4979">
        <v>2</v>
      </c>
      <c r="AH4979">
        <v>0</v>
      </c>
      <c r="AI4979" t="s">
        <v>1108</v>
      </c>
      <c r="AJ4979">
        <v>28.235464</v>
      </c>
      <c r="AK4979" t="s">
        <v>1109</v>
      </c>
      <c r="AL4979">
        <v>-82.366024999999993</v>
      </c>
      <c r="AM4979">
        <v>100</v>
      </c>
      <c r="AN4979">
        <v>2200</v>
      </c>
      <c r="AO4979" t="s">
        <v>118</v>
      </c>
      <c r="AP4979">
        <v>-100</v>
      </c>
      <c r="AQ4979">
        <v>-46</v>
      </c>
      <c r="AR4979">
        <v>-768</v>
      </c>
      <c r="AZ4979">
        <v>1200</v>
      </c>
      <c r="BA4979">
        <v>1</v>
      </c>
      <c r="BB4979" t="str">
        <f t="shared" si="2282"/>
        <v xml:space="preserve">N711JA  </v>
      </c>
      <c r="BC4979">
        <v>1</v>
      </c>
      <c r="BE4979">
        <v>0</v>
      </c>
      <c r="BF4979">
        <v>0</v>
      </c>
      <c r="BG4979">
        <v>0</v>
      </c>
      <c r="BH4979">
        <v>2325</v>
      </c>
      <c r="BI4979">
        <v>1</v>
      </c>
      <c r="BJ4979">
        <v>1</v>
      </c>
      <c r="BK4979">
        <v>0</v>
      </c>
      <c r="BL4979">
        <v>0</v>
      </c>
      <c r="BO4979">
        <v>0</v>
      </c>
      <c r="BP4979">
        <v>0</v>
      </c>
      <c r="BW4979" t="str">
        <f t="shared" si="2295"/>
        <v>14:50:25.232</v>
      </c>
      <c r="CJ4979">
        <v>0</v>
      </c>
      <c r="CK4979">
        <v>2</v>
      </c>
      <c r="CL4979">
        <v>0</v>
      </c>
      <c r="CM4979">
        <v>2</v>
      </c>
      <c r="CN4979">
        <v>0</v>
      </c>
      <c r="CO4979">
        <v>6</v>
      </c>
      <c r="CP4979" t="s">
        <v>119</v>
      </c>
      <c r="CQ4979">
        <v>358</v>
      </c>
      <c r="CR4979">
        <v>0</v>
      </c>
      <c r="CW4979">
        <v>5203178</v>
      </c>
      <c r="CY4979">
        <v>1</v>
      </c>
      <c r="CZ4979">
        <v>0</v>
      </c>
      <c r="DA4979">
        <v>1</v>
      </c>
      <c r="DB4979">
        <v>0</v>
      </c>
      <c r="DC4979">
        <v>0</v>
      </c>
      <c r="DD4979">
        <v>1</v>
      </c>
      <c r="DE4979">
        <v>0</v>
      </c>
      <c r="DF4979">
        <v>0</v>
      </c>
      <c r="DG4979">
        <v>0</v>
      </c>
      <c r="DH4979">
        <v>0</v>
      </c>
      <c r="DI4979">
        <v>0</v>
      </c>
    </row>
    <row r="4980" spans="1:113" x14ac:dyDescent="0.3">
      <c r="A4980" t="str">
        <f t="shared" si="2293"/>
        <v>05/12/2020 14:50:07.393</v>
      </c>
      <c r="C4980" t="str">
        <f t="shared" si="2281"/>
        <v>FFDFD3C0</v>
      </c>
      <c r="D4980" t="s">
        <v>126</v>
      </c>
      <c r="E4980">
        <v>7</v>
      </c>
      <c r="F4980">
        <v>1007</v>
      </c>
      <c r="G4980" t="s">
        <v>127</v>
      </c>
      <c r="J4980" t="s">
        <v>128</v>
      </c>
      <c r="K4980">
        <v>0</v>
      </c>
      <c r="L4980">
        <v>3</v>
      </c>
      <c r="M4980">
        <v>0</v>
      </c>
      <c r="N4980">
        <v>2</v>
      </c>
      <c r="O4980">
        <v>1</v>
      </c>
      <c r="P4980">
        <v>0</v>
      </c>
      <c r="Q4980">
        <v>0</v>
      </c>
      <c r="S4980" t="str">
        <f t="shared" si="2294"/>
        <v>14:50:25.227</v>
      </c>
      <c r="T4980" t="str">
        <f t="shared" si="2294"/>
        <v>14:50:25.227</v>
      </c>
      <c r="U4980" t="str">
        <f t="shared" si="2272"/>
        <v>A9808D</v>
      </c>
      <c r="V4980">
        <v>0</v>
      </c>
      <c r="W4980">
        <v>0</v>
      </c>
      <c r="X4980">
        <v>1</v>
      </c>
      <c r="Z4980">
        <v>0</v>
      </c>
      <c r="AA4980">
        <v>9</v>
      </c>
      <c r="AB4980">
        <v>3</v>
      </c>
      <c r="AC4980">
        <v>0</v>
      </c>
      <c r="AD4980">
        <v>10</v>
      </c>
      <c r="AE4980">
        <v>0</v>
      </c>
      <c r="AF4980">
        <v>3</v>
      </c>
      <c r="AG4980">
        <v>2</v>
      </c>
      <c r="AH4980">
        <v>0</v>
      </c>
      <c r="AI4980" t="s">
        <v>1108</v>
      </c>
      <c r="AJ4980">
        <v>28.235464</v>
      </c>
      <c r="AK4980" t="s">
        <v>1109</v>
      </c>
      <c r="AL4980">
        <v>-82.366024999999993</v>
      </c>
      <c r="AM4980">
        <v>100</v>
      </c>
      <c r="AN4980">
        <v>2200</v>
      </c>
      <c r="AO4980" t="s">
        <v>118</v>
      </c>
      <c r="AP4980">
        <v>-100</v>
      </c>
      <c r="AQ4980">
        <v>-46</v>
      </c>
      <c r="AR4980">
        <v>-768</v>
      </c>
      <c r="AZ4980">
        <v>1200</v>
      </c>
      <c r="BA4980">
        <v>1</v>
      </c>
      <c r="BB4980" t="str">
        <f t="shared" si="2282"/>
        <v xml:space="preserve">N711JA  </v>
      </c>
      <c r="BC4980">
        <v>1</v>
      </c>
      <c r="BE4980">
        <v>0</v>
      </c>
      <c r="BF4980">
        <v>0</v>
      </c>
      <c r="BG4980">
        <v>0</v>
      </c>
      <c r="BH4980">
        <v>2325</v>
      </c>
      <c r="BI4980">
        <v>1</v>
      </c>
      <c r="BJ4980">
        <v>1</v>
      </c>
      <c r="BK4980">
        <v>0</v>
      </c>
      <c r="BL4980">
        <v>0</v>
      </c>
      <c r="BO4980">
        <v>0</v>
      </c>
      <c r="BP4980">
        <v>0</v>
      </c>
      <c r="BW4980" t="str">
        <f t="shared" si="2295"/>
        <v>14:50:25.232</v>
      </c>
      <c r="CJ4980">
        <v>0</v>
      </c>
      <c r="CK4980">
        <v>2</v>
      </c>
      <c r="CL4980">
        <v>0</v>
      </c>
      <c r="CM4980">
        <v>2</v>
      </c>
      <c r="CN4980">
        <v>0</v>
      </c>
      <c r="CO4980">
        <v>6</v>
      </c>
      <c r="CP4980" t="s">
        <v>119</v>
      </c>
      <c r="CQ4980">
        <v>358</v>
      </c>
      <c r="CR4980">
        <v>0</v>
      </c>
      <c r="CW4980">
        <v>5203178</v>
      </c>
      <c r="CY4980">
        <v>1</v>
      </c>
      <c r="CZ4980">
        <v>0</v>
      </c>
      <c r="DA4980">
        <v>1</v>
      </c>
      <c r="DB4980">
        <v>0</v>
      </c>
      <c r="DC4980">
        <v>0</v>
      </c>
      <c r="DD4980">
        <v>1</v>
      </c>
      <c r="DE4980">
        <v>0</v>
      </c>
      <c r="DF4980">
        <v>0</v>
      </c>
      <c r="DG4980">
        <v>0</v>
      </c>
      <c r="DH4980">
        <v>0</v>
      </c>
      <c r="DI4980">
        <v>0</v>
      </c>
    </row>
    <row r="4981" spans="1:113" x14ac:dyDescent="0.3">
      <c r="A4981" t="str">
        <f t="shared" si="2293"/>
        <v>05/12/2020 14:50:07.393</v>
      </c>
      <c r="C4981" t="str">
        <f t="shared" si="2281"/>
        <v>FFDFD3C0</v>
      </c>
      <c r="D4981" t="s">
        <v>131</v>
      </c>
      <c r="E4981">
        <v>12</v>
      </c>
      <c r="F4981">
        <v>2012</v>
      </c>
      <c r="G4981" t="s">
        <v>137</v>
      </c>
      <c r="J4981" t="s">
        <v>133</v>
      </c>
      <c r="K4981">
        <v>0</v>
      </c>
      <c r="L4981">
        <v>3</v>
      </c>
      <c r="M4981">
        <v>0</v>
      </c>
      <c r="N4981">
        <v>2</v>
      </c>
      <c r="O4981">
        <v>1</v>
      </c>
      <c r="P4981">
        <v>0</v>
      </c>
      <c r="Q4981">
        <v>0</v>
      </c>
      <c r="S4981" t="str">
        <f t="shared" si="2294"/>
        <v>14:50:25.227</v>
      </c>
      <c r="T4981" t="str">
        <f t="shared" si="2294"/>
        <v>14:50:25.227</v>
      </c>
      <c r="U4981" t="str">
        <f t="shared" si="2272"/>
        <v>A9808D</v>
      </c>
      <c r="V4981">
        <v>0</v>
      </c>
      <c r="W4981">
        <v>0</v>
      </c>
      <c r="X4981">
        <v>1</v>
      </c>
      <c r="Z4981">
        <v>0</v>
      </c>
      <c r="AA4981">
        <v>9</v>
      </c>
      <c r="AB4981">
        <v>3</v>
      </c>
      <c r="AC4981">
        <v>0</v>
      </c>
      <c r="AD4981">
        <v>10</v>
      </c>
      <c r="AE4981">
        <v>0</v>
      </c>
      <c r="AF4981">
        <v>3</v>
      </c>
      <c r="AG4981">
        <v>2</v>
      </c>
      <c r="AH4981">
        <v>0</v>
      </c>
      <c r="AI4981" t="s">
        <v>1108</v>
      </c>
      <c r="AJ4981">
        <v>28.235464</v>
      </c>
      <c r="AK4981" t="s">
        <v>1109</v>
      </c>
      <c r="AL4981">
        <v>-82.366024999999993</v>
      </c>
      <c r="AM4981">
        <v>100</v>
      </c>
      <c r="AN4981">
        <v>2200</v>
      </c>
      <c r="AO4981" t="s">
        <v>118</v>
      </c>
      <c r="AP4981">
        <v>-100</v>
      </c>
      <c r="AQ4981">
        <v>-46</v>
      </c>
      <c r="AR4981">
        <v>-768</v>
      </c>
      <c r="AZ4981">
        <v>1200</v>
      </c>
      <c r="BA4981">
        <v>1</v>
      </c>
      <c r="BB4981" t="str">
        <f t="shared" si="2282"/>
        <v xml:space="preserve">N711JA  </v>
      </c>
      <c r="BC4981">
        <v>1</v>
      </c>
      <c r="BE4981">
        <v>0</v>
      </c>
      <c r="BF4981">
        <v>0</v>
      </c>
      <c r="BG4981">
        <v>0</v>
      </c>
      <c r="BH4981">
        <v>2325</v>
      </c>
      <c r="BI4981">
        <v>1</v>
      </c>
      <c r="BJ4981">
        <v>1</v>
      </c>
      <c r="BK4981">
        <v>0</v>
      </c>
      <c r="BL4981">
        <v>0</v>
      </c>
      <c r="BO4981">
        <v>0</v>
      </c>
      <c r="BP4981">
        <v>0</v>
      </c>
      <c r="BW4981" t="str">
        <f t="shared" si="2295"/>
        <v>14:50:25.232</v>
      </c>
      <c r="CJ4981">
        <v>0</v>
      </c>
      <c r="CK4981">
        <v>2</v>
      </c>
      <c r="CL4981">
        <v>0</v>
      </c>
      <c r="CM4981">
        <v>2</v>
      </c>
      <c r="CN4981">
        <v>0</v>
      </c>
      <c r="CO4981">
        <v>5</v>
      </c>
      <c r="CP4981" t="s">
        <v>119</v>
      </c>
      <c r="CQ4981">
        <v>343</v>
      </c>
      <c r="CR4981">
        <v>1</v>
      </c>
      <c r="CW4981">
        <v>11097077</v>
      </c>
      <c r="CY4981">
        <v>1</v>
      </c>
      <c r="CZ4981">
        <v>0</v>
      </c>
      <c r="DA4981">
        <v>1</v>
      </c>
      <c r="DB4981">
        <v>0</v>
      </c>
      <c r="DC4981">
        <v>0</v>
      </c>
      <c r="DD4981">
        <v>1</v>
      </c>
      <c r="DE4981">
        <v>0</v>
      </c>
      <c r="DF4981">
        <v>0</v>
      </c>
      <c r="DG4981">
        <v>0</v>
      </c>
      <c r="DH4981">
        <v>0</v>
      </c>
      <c r="DI4981">
        <v>0</v>
      </c>
    </row>
    <row r="4982" spans="1:113" x14ac:dyDescent="0.3">
      <c r="A4982" t="str">
        <f t="shared" si="2293"/>
        <v>05/12/2020 14:50:07.393</v>
      </c>
      <c r="C4982" t="str">
        <f t="shared" si="2281"/>
        <v>FFDFD3C0</v>
      </c>
      <c r="D4982" t="s">
        <v>131</v>
      </c>
      <c r="E4982">
        <v>18</v>
      </c>
      <c r="F4982">
        <v>2018</v>
      </c>
      <c r="G4982" t="s">
        <v>161</v>
      </c>
      <c r="J4982" t="s">
        <v>133</v>
      </c>
      <c r="K4982">
        <v>0</v>
      </c>
      <c r="L4982">
        <v>3</v>
      </c>
      <c r="M4982">
        <v>0</v>
      </c>
      <c r="N4982">
        <v>2</v>
      </c>
      <c r="O4982">
        <v>1</v>
      </c>
      <c r="P4982">
        <v>0</v>
      </c>
      <c r="Q4982">
        <v>0</v>
      </c>
      <c r="S4982" t="str">
        <f t="shared" si="2294"/>
        <v>14:50:25.227</v>
      </c>
      <c r="T4982" t="str">
        <f t="shared" si="2294"/>
        <v>14:50:25.227</v>
      </c>
      <c r="U4982" t="str">
        <f t="shared" si="2272"/>
        <v>A9808D</v>
      </c>
      <c r="V4982">
        <v>0</v>
      </c>
      <c r="W4982">
        <v>0</v>
      </c>
      <c r="X4982">
        <v>1</v>
      </c>
      <c r="Z4982">
        <v>0</v>
      </c>
      <c r="AA4982">
        <v>9</v>
      </c>
      <c r="AB4982">
        <v>3</v>
      </c>
      <c r="AC4982">
        <v>0</v>
      </c>
      <c r="AD4982">
        <v>10</v>
      </c>
      <c r="AE4982">
        <v>0</v>
      </c>
      <c r="AF4982">
        <v>3</v>
      </c>
      <c r="AG4982">
        <v>2</v>
      </c>
      <c r="AH4982">
        <v>0</v>
      </c>
      <c r="AI4982" t="s">
        <v>1108</v>
      </c>
      <c r="AJ4982">
        <v>28.235464</v>
      </c>
      <c r="AK4982" t="s">
        <v>1109</v>
      </c>
      <c r="AL4982">
        <v>-82.366024999999993</v>
      </c>
      <c r="AM4982">
        <v>100</v>
      </c>
      <c r="AN4982">
        <v>2200</v>
      </c>
      <c r="AO4982" t="s">
        <v>118</v>
      </c>
      <c r="AP4982">
        <v>-100</v>
      </c>
      <c r="AQ4982">
        <v>-46</v>
      </c>
      <c r="AR4982">
        <v>-768</v>
      </c>
      <c r="AZ4982">
        <v>1200</v>
      </c>
      <c r="BA4982">
        <v>1</v>
      </c>
      <c r="BB4982" t="str">
        <f t="shared" si="2282"/>
        <v xml:space="preserve">N711JA  </v>
      </c>
      <c r="BC4982">
        <v>1</v>
      </c>
      <c r="BE4982">
        <v>0</v>
      </c>
      <c r="BF4982">
        <v>0</v>
      </c>
      <c r="BG4982">
        <v>0</v>
      </c>
      <c r="BH4982">
        <v>2325</v>
      </c>
      <c r="BI4982">
        <v>1</v>
      </c>
      <c r="BJ4982">
        <v>1</v>
      </c>
      <c r="BK4982">
        <v>0</v>
      </c>
      <c r="BL4982">
        <v>0</v>
      </c>
      <c r="BO4982">
        <v>0</v>
      </c>
      <c r="BP4982">
        <v>0</v>
      </c>
      <c r="BW4982" t="str">
        <f t="shared" si="2295"/>
        <v>14:50:25.232</v>
      </c>
      <c r="CJ4982">
        <v>0</v>
      </c>
      <c r="CK4982">
        <v>2</v>
      </c>
      <c r="CL4982">
        <v>0</v>
      </c>
      <c r="CM4982">
        <v>2</v>
      </c>
      <c r="CN4982">
        <v>0</v>
      </c>
      <c r="CO4982">
        <v>5</v>
      </c>
      <c r="CP4982" t="s">
        <v>119</v>
      </c>
      <c r="CQ4982">
        <v>343</v>
      </c>
      <c r="CR4982">
        <v>1</v>
      </c>
      <c r="CW4982">
        <v>11097077</v>
      </c>
      <c r="CY4982">
        <v>1</v>
      </c>
      <c r="CZ4982">
        <v>0</v>
      </c>
      <c r="DA4982">
        <v>1</v>
      </c>
      <c r="DB4982">
        <v>0</v>
      </c>
      <c r="DC4982">
        <v>0</v>
      </c>
      <c r="DD4982">
        <v>1</v>
      </c>
      <c r="DE4982">
        <v>0</v>
      </c>
      <c r="DF4982">
        <v>0</v>
      </c>
      <c r="DG4982">
        <v>0</v>
      </c>
      <c r="DH4982">
        <v>0</v>
      </c>
      <c r="DI4982">
        <v>0</v>
      </c>
    </row>
    <row r="4983" spans="1:113" x14ac:dyDescent="0.3">
      <c r="A4983" t="str">
        <f t="shared" si="2293"/>
        <v>05/12/2020 14:50:07.393</v>
      </c>
      <c r="C4983" t="str">
        <f t="shared" si="2281"/>
        <v>FFDFD3C0</v>
      </c>
      <c r="D4983" t="s">
        <v>126</v>
      </c>
      <c r="E4983">
        <v>6</v>
      </c>
      <c r="F4983">
        <v>1006</v>
      </c>
      <c r="G4983" t="s">
        <v>114</v>
      </c>
      <c r="J4983" t="s">
        <v>128</v>
      </c>
      <c r="K4983">
        <v>0</v>
      </c>
      <c r="L4983">
        <v>3</v>
      </c>
      <c r="M4983">
        <v>0</v>
      </c>
      <c r="N4983">
        <v>2</v>
      </c>
      <c r="O4983">
        <v>1</v>
      </c>
      <c r="P4983">
        <v>0</v>
      </c>
      <c r="Q4983">
        <v>0</v>
      </c>
      <c r="S4983" t="str">
        <f t="shared" si="2294"/>
        <v>14:50:25.227</v>
      </c>
      <c r="T4983" t="str">
        <f t="shared" si="2294"/>
        <v>14:50:25.227</v>
      </c>
      <c r="U4983" t="str">
        <f t="shared" si="2272"/>
        <v>A9808D</v>
      </c>
      <c r="V4983">
        <v>0</v>
      </c>
      <c r="W4983">
        <v>0</v>
      </c>
      <c r="X4983">
        <v>1</v>
      </c>
      <c r="Z4983">
        <v>0</v>
      </c>
      <c r="AA4983">
        <v>9</v>
      </c>
      <c r="AB4983">
        <v>3</v>
      </c>
      <c r="AC4983">
        <v>0</v>
      </c>
      <c r="AD4983">
        <v>10</v>
      </c>
      <c r="AE4983">
        <v>0</v>
      </c>
      <c r="AF4983">
        <v>3</v>
      </c>
      <c r="AG4983">
        <v>2</v>
      </c>
      <c r="AH4983">
        <v>0</v>
      </c>
      <c r="AI4983" t="s">
        <v>1108</v>
      </c>
      <c r="AJ4983">
        <v>28.235464</v>
      </c>
      <c r="AK4983" t="s">
        <v>1109</v>
      </c>
      <c r="AL4983">
        <v>-82.366024999999993</v>
      </c>
      <c r="AM4983">
        <v>100</v>
      </c>
      <c r="AN4983">
        <v>2200</v>
      </c>
      <c r="AO4983" t="s">
        <v>118</v>
      </c>
      <c r="AP4983">
        <v>-100</v>
      </c>
      <c r="AQ4983">
        <v>-46</v>
      </c>
      <c r="AR4983">
        <v>-768</v>
      </c>
      <c r="AZ4983">
        <v>1200</v>
      </c>
      <c r="BA4983">
        <v>1</v>
      </c>
      <c r="BB4983" t="str">
        <f t="shared" si="2282"/>
        <v xml:space="preserve">N711JA  </v>
      </c>
      <c r="BC4983">
        <v>1</v>
      </c>
      <c r="BE4983">
        <v>0</v>
      </c>
      <c r="BF4983">
        <v>0</v>
      </c>
      <c r="BG4983">
        <v>0</v>
      </c>
      <c r="BH4983">
        <v>2325</v>
      </c>
      <c r="BI4983">
        <v>1</v>
      </c>
      <c r="BJ4983">
        <v>1</v>
      </c>
      <c r="BK4983">
        <v>0</v>
      </c>
      <c r="BL4983">
        <v>0</v>
      </c>
      <c r="BO4983">
        <v>0</v>
      </c>
      <c r="BP4983">
        <v>0</v>
      </c>
      <c r="BW4983" t="str">
        <f t="shared" si="2295"/>
        <v>14:50:25.232</v>
      </c>
      <c r="CJ4983">
        <v>0</v>
      </c>
      <c r="CK4983">
        <v>2</v>
      </c>
      <c r="CL4983">
        <v>0</v>
      </c>
      <c r="CM4983">
        <v>2</v>
      </c>
      <c r="CN4983">
        <v>0</v>
      </c>
      <c r="CO4983">
        <v>6</v>
      </c>
      <c r="CP4983" t="s">
        <v>119</v>
      </c>
      <c r="CQ4983">
        <v>358</v>
      </c>
      <c r="CR4983">
        <v>0</v>
      </c>
      <c r="CW4983">
        <v>5203178</v>
      </c>
      <c r="CY4983">
        <v>1</v>
      </c>
      <c r="CZ4983">
        <v>0</v>
      </c>
      <c r="DA4983">
        <v>1</v>
      </c>
      <c r="DB4983">
        <v>0</v>
      </c>
      <c r="DC4983">
        <v>0</v>
      </c>
      <c r="DD4983">
        <v>1</v>
      </c>
      <c r="DE4983">
        <v>0</v>
      </c>
      <c r="DF4983">
        <v>0</v>
      </c>
      <c r="DG4983">
        <v>0</v>
      </c>
      <c r="DH4983">
        <v>0</v>
      </c>
      <c r="DI4983">
        <v>0</v>
      </c>
    </row>
    <row r="4984" spans="1:113" x14ac:dyDescent="0.3">
      <c r="A4984" t="str">
        <f t="shared" si="2293"/>
        <v>05/12/2020 14:50:07.393</v>
      </c>
      <c r="C4984" t="str">
        <f t="shared" si="2281"/>
        <v>FFDFD3C0</v>
      </c>
      <c r="D4984" t="s">
        <v>138</v>
      </c>
      <c r="E4984">
        <v>2</v>
      </c>
      <c r="H4984">
        <v>8</v>
      </c>
      <c r="I4984" t="s">
        <v>139</v>
      </c>
      <c r="J4984" t="s">
        <v>136</v>
      </c>
      <c r="K4984">
        <v>0</v>
      </c>
      <c r="L4984">
        <v>3</v>
      </c>
      <c r="M4984">
        <v>0</v>
      </c>
      <c r="N4984">
        <v>2</v>
      </c>
      <c r="O4984">
        <v>1</v>
      </c>
      <c r="P4984">
        <v>0</v>
      </c>
      <c r="Q4984">
        <v>0</v>
      </c>
      <c r="S4984" t="str">
        <f t="shared" si="2294"/>
        <v>14:50:25.227</v>
      </c>
      <c r="T4984" t="str">
        <f t="shared" si="2294"/>
        <v>14:50:25.227</v>
      </c>
      <c r="U4984" t="str">
        <f t="shared" si="2272"/>
        <v>A9808D</v>
      </c>
      <c r="V4984">
        <v>0</v>
      </c>
      <c r="W4984">
        <v>0</v>
      </c>
      <c r="X4984">
        <v>1</v>
      </c>
      <c r="Z4984">
        <v>0</v>
      </c>
      <c r="AA4984">
        <v>9</v>
      </c>
      <c r="AB4984">
        <v>3</v>
      </c>
      <c r="AC4984">
        <v>0</v>
      </c>
      <c r="AD4984">
        <v>10</v>
      </c>
      <c r="AE4984">
        <v>0</v>
      </c>
      <c r="AF4984">
        <v>3</v>
      </c>
      <c r="AG4984">
        <v>2</v>
      </c>
      <c r="AH4984">
        <v>0</v>
      </c>
      <c r="AI4984" t="s">
        <v>1108</v>
      </c>
      <c r="AJ4984">
        <v>28.235464</v>
      </c>
      <c r="AK4984" t="s">
        <v>1109</v>
      </c>
      <c r="AL4984">
        <v>-82.366024999999993</v>
      </c>
      <c r="AM4984">
        <v>100</v>
      </c>
      <c r="AN4984">
        <v>2200</v>
      </c>
      <c r="AO4984" t="s">
        <v>118</v>
      </c>
      <c r="AP4984">
        <v>-100</v>
      </c>
      <c r="AQ4984">
        <v>-46</v>
      </c>
      <c r="AR4984">
        <v>-768</v>
      </c>
      <c r="AZ4984">
        <v>1200</v>
      </c>
      <c r="BA4984">
        <v>1</v>
      </c>
      <c r="BB4984" t="str">
        <f t="shared" si="2282"/>
        <v xml:space="preserve">N711JA  </v>
      </c>
      <c r="BC4984">
        <v>1</v>
      </c>
      <c r="BE4984">
        <v>0</v>
      </c>
      <c r="BF4984">
        <v>0</v>
      </c>
      <c r="BG4984">
        <v>0</v>
      </c>
      <c r="BH4984">
        <v>2325</v>
      </c>
      <c r="BI4984">
        <v>1</v>
      </c>
      <c r="BJ4984">
        <v>1</v>
      </c>
      <c r="BK4984">
        <v>0</v>
      </c>
      <c r="BL4984">
        <v>0</v>
      </c>
      <c r="BO4984">
        <v>0</v>
      </c>
      <c r="BP4984">
        <v>0</v>
      </c>
      <c r="BW4984" t="str">
        <f t="shared" si="2295"/>
        <v>14:50:25.232</v>
      </c>
      <c r="CJ4984">
        <v>0</v>
      </c>
      <c r="CK4984">
        <v>2</v>
      </c>
      <c r="CL4984">
        <v>0</v>
      </c>
      <c r="CM4984">
        <v>2</v>
      </c>
      <c r="CN4984">
        <v>0</v>
      </c>
      <c r="CO4984">
        <v>5</v>
      </c>
      <c r="CP4984" t="s">
        <v>119</v>
      </c>
      <c r="CQ4984">
        <v>343</v>
      </c>
      <c r="CR4984">
        <v>1</v>
      </c>
      <c r="CW4984">
        <v>11097077</v>
      </c>
      <c r="CY4984">
        <v>1</v>
      </c>
      <c r="CZ4984">
        <v>0</v>
      </c>
      <c r="DA4984">
        <v>1</v>
      </c>
      <c r="DB4984">
        <v>0</v>
      </c>
      <c r="DC4984">
        <v>0</v>
      </c>
      <c r="DD4984">
        <v>1</v>
      </c>
      <c r="DE4984">
        <v>0</v>
      </c>
      <c r="DF4984">
        <v>0</v>
      </c>
      <c r="DG4984">
        <v>0</v>
      </c>
      <c r="DH4984">
        <v>0</v>
      </c>
      <c r="DI4984">
        <v>0</v>
      </c>
    </row>
    <row r="4985" spans="1:113" x14ac:dyDescent="0.3">
      <c r="A4985" t="str">
        <f t="shared" si="2293"/>
        <v>05/12/2020 14:50:07.393</v>
      </c>
      <c r="C4985" t="str">
        <f t="shared" si="2281"/>
        <v>FFDFD3C0</v>
      </c>
      <c r="D4985" t="s">
        <v>138</v>
      </c>
      <c r="E4985">
        <v>3</v>
      </c>
      <c r="H4985">
        <v>9</v>
      </c>
      <c r="I4985" t="s">
        <v>140</v>
      </c>
      <c r="J4985" t="s">
        <v>136</v>
      </c>
      <c r="K4985">
        <v>0</v>
      </c>
      <c r="L4985">
        <v>3</v>
      </c>
      <c r="M4985">
        <v>0</v>
      </c>
      <c r="N4985">
        <v>2</v>
      </c>
      <c r="O4985">
        <v>1</v>
      </c>
      <c r="P4985">
        <v>0</v>
      </c>
      <c r="Q4985">
        <v>0</v>
      </c>
      <c r="S4985" t="str">
        <f t="shared" si="2294"/>
        <v>14:50:25.227</v>
      </c>
      <c r="T4985" t="str">
        <f t="shared" si="2294"/>
        <v>14:50:25.227</v>
      </c>
      <c r="U4985" t="str">
        <f t="shared" si="2272"/>
        <v>A9808D</v>
      </c>
      <c r="V4985">
        <v>0</v>
      </c>
      <c r="W4985">
        <v>0</v>
      </c>
      <c r="X4985">
        <v>1</v>
      </c>
      <c r="Z4985">
        <v>0</v>
      </c>
      <c r="AA4985">
        <v>9</v>
      </c>
      <c r="AB4985">
        <v>3</v>
      </c>
      <c r="AC4985">
        <v>0</v>
      </c>
      <c r="AD4985">
        <v>10</v>
      </c>
      <c r="AE4985">
        <v>0</v>
      </c>
      <c r="AF4985">
        <v>3</v>
      </c>
      <c r="AG4985">
        <v>2</v>
      </c>
      <c r="AH4985">
        <v>0</v>
      </c>
      <c r="AI4985" t="s">
        <v>1108</v>
      </c>
      <c r="AJ4985">
        <v>28.235464</v>
      </c>
      <c r="AK4985" t="s">
        <v>1109</v>
      </c>
      <c r="AL4985">
        <v>-82.366024999999993</v>
      </c>
      <c r="AM4985">
        <v>100</v>
      </c>
      <c r="AN4985">
        <v>2200</v>
      </c>
      <c r="AO4985" t="s">
        <v>118</v>
      </c>
      <c r="AP4985">
        <v>-100</v>
      </c>
      <c r="AQ4985">
        <v>-46</v>
      </c>
      <c r="AR4985">
        <v>-768</v>
      </c>
      <c r="AZ4985">
        <v>1200</v>
      </c>
      <c r="BA4985">
        <v>1</v>
      </c>
      <c r="BB4985" t="str">
        <f t="shared" si="2282"/>
        <v xml:space="preserve">N711JA  </v>
      </c>
      <c r="BC4985">
        <v>1</v>
      </c>
      <c r="BE4985">
        <v>0</v>
      </c>
      <c r="BF4985">
        <v>0</v>
      </c>
      <c r="BG4985">
        <v>0</v>
      </c>
      <c r="BH4985">
        <v>2325</v>
      </c>
      <c r="BI4985">
        <v>1</v>
      </c>
      <c r="BJ4985">
        <v>1</v>
      </c>
      <c r="BK4985">
        <v>0</v>
      </c>
      <c r="BL4985">
        <v>0</v>
      </c>
      <c r="BO4985">
        <v>0</v>
      </c>
      <c r="BP4985">
        <v>0</v>
      </c>
      <c r="BW4985" t="str">
        <f t="shared" si="2295"/>
        <v>14:50:25.232</v>
      </c>
      <c r="CJ4985">
        <v>0</v>
      </c>
      <c r="CK4985">
        <v>2</v>
      </c>
      <c r="CL4985">
        <v>0</v>
      </c>
      <c r="CM4985">
        <v>2</v>
      </c>
      <c r="CN4985">
        <v>0</v>
      </c>
      <c r="CO4985">
        <v>6</v>
      </c>
      <c r="CP4985" t="s">
        <v>119</v>
      </c>
      <c r="CQ4985">
        <v>358</v>
      </c>
      <c r="CR4985">
        <v>0</v>
      </c>
      <c r="CW4985">
        <v>5203178</v>
      </c>
      <c r="CY4985">
        <v>1</v>
      </c>
      <c r="CZ4985">
        <v>0</v>
      </c>
      <c r="DA4985">
        <v>1</v>
      </c>
      <c r="DB4985">
        <v>0</v>
      </c>
      <c r="DC4985">
        <v>0</v>
      </c>
      <c r="DD4985">
        <v>1</v>
      </c>
      <c r="DE4985">
        <v>0</v>
      </c>
      <c r="DF4985">
        <v>0</v>
      </c>
      <c r="DG4985">
        <v>0</v>
      </c>
      <c r="DH4985">
        <v>0</v>
      </c>
      <c r="DI4985">
        <v>0</v>
      </c>
    </row>
    <row r="4986" spans="1:113" x14ac:dyDescent="0.3">
      <c r="A4986" t="str">
        <f t="shared" si="2293"/>
        <v>05/12/2020 14:50:07.393</v>
      </c>
      <c r="C4986" t="str">
        <f t="shared" si="2281"/>
        <v>FFDFD3C0</v>
      </c>
      <c r="D4986" t="s">
        <v>113</v>
      </c>
      <c r="E4986">
        <v>3</v>
      </c>
      <c r="H4986">
        <v>164</v>
      </c>
      <c r="I4986" t="s">
        <v>114</v>
      </c>
      <c r="J4986" t="s">
        <v>115</v>
      </c>
      <c r="K4986">
        <v>0</v>
      </c>
      <c r="L4986">
        <v>3</v>
      </c>
      <c r="M4986">
        <v>0</v>
      </c>
      <c r="N4986">
        <v>2</v>
      </c>
      <c r="O4986">
        <v>1</v>
      </c>
      <c r="P4986">
        <v>0</v>
      </c>
      <c r="Q4986">
        <v>0</v>
      </c>
      <c r="S4986" t="str">
        <f t="shared" si="2294"/>
        <v>14:50:25.227</v>
      </c>
      <c r="T4986" t="str">
        <f t="shared" si="2294"/>
        <v>14:50:25.227</v>
      </c>
      <c r="U4986" t="str">
        <f t="shared" si="2272"/>
        <v>A9808D</v>
      </c>
      <c r="V4986">
        <v>0</v>
      </c>
      <c r="W4986">
        <v>0</v>
      </c>
      <c r="X4986">
        <v>1</v>
      </c>
      <c r="Z4986">
        <v>0</v>
      </c>
      <c r="AA4986">
        <v>9</v>
      </c>
      <c r="AB4986">
        <v>3</v>
      </c>
      <c r="AC4986">
        <v>0</v>
      </c>
      <c r="AD4986">
        <v>10</v>
      </c>
      <c r="AE4986">
        <v>0</v>
      </c>
      <c r="AF4986">
        <v>3</v>
      </c>
      <c r="AG4986">
        <v>2</v>
      </c>
      <c r="AH4986">
        <v>0</v>
      </c>
      <c r="AI4986" t="s">
        <v>1108</v>
      </c>
      <c r="AJ4986">
        <v>28.235464</v>
      </c>
      <c r="AK4986" t="s">
        <v>1109</v>
      </c>
      <c r="AL4986">
        <v>-82.366024999999993</v>
      </c>
      <c r="AM4986">
        <v>100</v>
      </c>
      <c r="AN4986">
        <v>2200</v>
      </c>
      <c r="AO4986" t="s">
        <v>118</v>
      </c>
      <c r="AP4986">
        <v>-100</v>
      </c>
      <c r="AQ4986">
        <v>-46</v>
      </c>
      <c r="AR4986">
        <v>-768</v>
      </c>
      <c r="AZ4986">
        <v>1200</v>
      </c>
      <c r="BA4986">
        <v>1</v>
      </c>
      <c r="BB4986" t="str">
        <f t="shared" si="2282"/>
        <v xml:space="preserve">N711JA  </v>
      </c>
      <c r="BC4986">
        <v>1</v>
      </c>
      <c r="BE4986">
        <v>0</v>
      </c>
      <c r="BF4986">
        <v>0</v>
      </c>
      <c r="BG4986">
        <v>0</v>
      </c>
      <c r="BH4986">
        <v>2325</v>
      </c>
      <c r="BI4986">
        <v>1</v>
      </c>
      <c r="BJ4986">
        <v>1</v>
      </c>
      <c r="BK4986">
        <v>0</v>
      </c>
      <c r="BL4986">
        <v>0</v>
      </c>
      <c r="BO4986">
        <v>0</v>
      </c>
      <c r="BP4986">
        <v>0</v>
      </c>
      <c r="BW4986" t="str">
        <f t="shared" si="2295"/>
        <v>14:50:25.232</v>
      </c>
      <c r="CJ4986">
        <v>0</v>
      </c>
      <c r="CK4986">
        <v>2</v>
      </c>
      <c r="CL4986">
        <v>0</v>
      </c>
      <c r="CM4986">
        <v>2</v>
      </c>
      <c r="CN4986">
        <v>0</v>
      </c>
      <c r="CO4986">
        <v>5</v>
      </c>
      <c r="CP4986" t="s">
        <v>119</v>
      </c>
      <c r="CQ4986">
        <v>343</v>
      </c>
      <c r="CR4986">
        <v>1</v>
      </c>
      <c r="CW4986">
        <v>11097077</v>
      </c>
      <c r="CY4986">
        <v>1</v>
      </c>
      <c r="CZ4986">
        <v>0</v>
      </c>
      <c r="DA4986">
        <v>1</v>
      </c>
      <c r="DB4986">
        <v>0</v>
      </c>
      <c r="DC4986">
        <v>0</v>
      </c>
      <c r="DD4986">
        <v>1</v>
      </c>
      <c r="DE4986">
        <v>0</v>
      </c>
      <c r="DF4986">
        <v>0</v>
      </c>
      <c r="DG4986">
        <v>0</v>
      </c>
      <c r="DH4986">
        <v>0</v>
      </c>
      <c r="DI4986">
        <v>0</v>
      </c>
    </row>
    <row r="4987" spans="1:113" x14ac:dyDescent="0.3">
      <c r="A4987" t="str">
        <f t="shared" ref="A4987:A4994" si="2296">"05/12/2020 14:50:08.451"</f>
        <v>05/12/2020 14:50:08.451</v>
      </c>
      <c r="C4987" t="str">
        <f t="shared" si="2281"/>
        <v>FFDFD3C0</v>
      </c>
      <c r="D4987" t="s">
        <v>131</v>
      </c>
      <c r="E4987">
        <v>10</v>
      </c>
      <c r="F4987">
        <v>2010</v>
      </c>
      <c r="G4987" t="s">
        <v>132</v>
      </c>
      <c r="J4987" t="s">
        <v>133</v>
      </c>
      <c r="K4987">
        <v>0</v>
      </c>
      <c r="L4987">
        <v>3</v>
      </c>
      <c r="M4987">
        <v>0</v>
      </c>
      <c r="N4987">
        <v>2</v>
      </c>
      <c r="O4987">
        <v>1</v>
      </c>
      <c r="P4987">
        <v>0</v>
      </c>
      <c r="Q4987">
        <v>0</v>
      </c>
      <c r="S4987" t="str">
        <f t="shared" ref="S4987:S4994" si="2297">"14:50:26.281"</f>
        <v>14:50:26.281</v>
      </c>
      <c r="T4987" t="str">
        <f t="shared" ref="T4987:T4994" si="2298">"14:50:25.781"</f>
        <v>14:50:25.781</v>
      </c>
      <c r="U4987" t="str">
        <f t="shared" si="2272"/>
        <v>A9808D</v>
      </c>
      <c r="V4987">
        <v>0</v>
      </c>
      <c r="W4987">
        <v>0</v>
      </c>
      <c r="X4987">
        <v>1</v>
      </c>
      <c r="Z4987">
        <v>0</v>
      </c>
      <c r="AA4987">
        <v>9</v>
      </c>
      <c r="AB4987">
        <v>3</v>
      </c>
      <c r="AC4987">
        <v>0</v>
      </c>
      <c r="AD4987">
        <v>10</v>
      </c>
      <c r="AE4987">
        <v>0</v>
      </c>
      <c r="AF4987">
        <v>3</v>
      </c>
      <c r="AG4987">
        <v>2</v>
      </c>
      <c r="AH4987">
        <v>0</v>
      </c>
      <c r="AI4987" t="s">
        <v>1110</v>
      </c>
      <c r="AJ4987">
        <v>28.235185000000001</v>
      </c>
      <c r="AK4987" t="s">
        <v>440</v>
      </c>
      <c r="AL4987">
        <v>-82.366605000000007</v>
      </c>
      <c r="AM4987">
        <v>100</v>
      </c>
      <c r="AN4987">
        <v>2200</v>
      </c>
      <c r="AO4987" t="s">
        <v>118</v>
      </c>
      <c r="AP4987">
        <v>-100</v>
      </c>
      <c r="AQ4987">
        <v>-47</v>
      </c>
      <c r="AR4987">
        <v>-768</v>
      </c>
      <c r="AZ4987">
        <v>1200</v>
      </c>
      <c r="BA4987">
        <v>1</v>
      </c>
      <c r="BB4987" t="str">
        <f t="shared" si="2282"/>
        <v xml:space="preserve">N711JA  </v>
      </c>
      <c r="BC4987">
        <v>1</v>
      </c>
      <c r="BE4987">
        <v>0</v>
      </c>
      <c r="BF4987">
        <v>0</v>
      </c>
      <c r="BG4987">
        <v>0</v>
      </c>
      <c r="BH4987">
        <v>2325</v>
      </c>
      <c r="BI4987">
        <v>1</v>
      </c>
      <c r="BJ4987">
        <v>1</v>
      </c>
      <c r="BK4987">
        <v>0</v>
      </c>
      <c r="BL4987">
        <v>0</v>
      </c>
      <c r="BO4987">
        <v>0</v>
      </c>
      <c r="BP4987">
        <v>0</v>
      </c>
      <c r="BW4987" t="str">
        <f t="shared" ref="BW4987:BW4994" si="2299">"14:50:26.286"</f>
        <v>14:50:26.286</v>
      </c>
      <c r="CJ4987">
        <v>0</v>
      </c>
      <c r="CK4987">
        <v>2</v>
      </c>
      <c r="CL4987">
        <v>0</v>
      </c>
      <c r="CM4987">
        <v>2</v>
      </c>
      <c r="CN4987">
        <v>0</v>
      </c>
      <c r="CO4987">
        <v>6</v>
      </c>
      <c r="CP4987" t="s">
        <v>119</v>
      </c>
      <c r="CQ4987">
        <v>358</v>
      </c>
      <c r="CR4987">
        <v>0</v>
      </c>
      <c r="CW4987">
        <v>5204403</v>
      </c>
      <c r="CY4987">
        <v>1</v>
      </c>
      <c r="CZ4987">
        <v>0</v>
      </c>
      <c r="DA4987">
        <v>0</v>
      </c>
      <c r="DB4987">
        <v>0</v>
      </c>
      <c r="DC4987">
        <v>0</v>
      </c>
      <c r="DD4987">
        <v>1</v>
      </c>
      <c r="DE4987">
        <v>0</v>
      </c>
      <c r="DF4987">
        <v>0</v>
      </c>
      <c r="DG4987">
        <v>0</v>
      </c>
      <c r="DH4987">
        <v>0</v>
      </c>
      <c r="DI4987">
        <v>0</v>
      </c>
    </row>
    <row r="4988" spans="1:113" x14ac:dyDescent="0.3">
      <c r="A4988" t="str">
        <f t="shared" si="2296"/>
        <v>05/12/2020 14:50:08.451</v>
      </c>
      <c r="C4988" t="str">
        <f t="shared" si="2281"/>
        <v>FFDFD3C0</v>
      </c>
      <c r="D4988" t="s">
        <v>126</v>
      </c>
      <c r="E4988">
        <v>7</v>
      </c>
      <c r="F4988">
        <v>1007</v>
      </c>
      <c r="G4988" t="s">
        <v>127</v>
      </c>
      <c r="J4988" t="s">
        <v>128</v>
      </c>
      <c r="K4988">
        <v>0</v>
      </c>
      <c r="L4988">
        <v>3</v>
      </c>
      <c r="M4988">
        <v>0</v>
      </c>
      <c r="N4988">
        <v>2</v>
      </c>
      <c r="O4988">
        <v>1</v>
      </c>
      <c r="P4988">
        <v>0</v>
      </c>
      <c r="Q4988">
        <v>0</v>
      </c>
      <c r="S4988" t="str">
        <f t="shared" si="2297"/>
        <v>14:50:26.281</v>
      </c>
      <c r="T4988" t="str">
        <f t="shared" si="2298"/>
        <v>14:50:25.781</v>
      </c>
      <c r="U4988" t="str">
        <f t="shared" si="2272"/>
        <v>A9808D</v>
      </c>
      <c r="V4988">
        <v>0</v>
      </c>
      <c r="W4988">
        <v>0</v>
      </c>
      <c r="X4988">
        <v>1</v>
      </c>
      <c r="Z4988">
        <v>0</v>
      </c>
      <c r="AA4988">
        <v>9</v>
      </c>
      <c r="AB4988">
        <v>3</v>
      </c>
      <c r="AC4988">
        <v>0</v>
      </c>
      <c r="AD4988">
        <v>10</v>
      </c>
      <c r="AE4988">
        <v>0</v>
      </c>
      <c r="AF4988">
        <v>3</v>
      </c>
      <c r="AG4988">
        <v>2</v>
      </c>
      <c r="AH4988">
        <v>0</v>
      </c>
      <c r="AI4988" t="s">
        <v>1110</v>
      </c>
      <c r="AJ4988">
        <v>28.235185000000001</v>
      </c>
      <c r="AK4988" t="s">
        <v>440</v>
      </c>
      <c r="AL4988">
        <v>-82.366605000000007</v>
      </c>
      <c r="AM4988">
        <v>100</v>
      </c>
      <c r="AN4988">
        <v>2200</v>
      </c>
      <c r="AO4988" t="s">
        <v>118</v>
      </c>
      <c r="AP4988">
        <v>-100</v>
      </c>
      <c r="AQ4988">
        <v>-47</v>
      </c>
      <c r="AR4988">
        <v>-768</v>
      </c>
      <c r="AZ4988">
        <v>1200</v>
      </c>
      <c r="BA4988">
        <v>1</v>
      </c>
      <c r="BB4988" t="str">
        <f t="shared" si="2282"/>
        <v xml:space="preserve">N711JA  </v>
      </c>
      <c r="BC4988">
        <v>1</v>
      </c>
      <c r="BE4988">
        <v>0</v>
      </c>
      <c r="BF4988">
        <v>0</v>
      </c>
      <c r="BG4988">
        <v>0</v>
      </c>
      <c r="BH4988">
        <v>2325</v>
      </c>
      <c r="BI4988">
        <v>1</v>
      </c>
      <c r="BJ4988">
        <v>1</v>
      </c>
      <c r="BK4988">
        <v>0</v>
      </c>
      <c r="BL4988">
        <v>0</v>
      </c>
      <c r="BO4988">
        <v>0</v>
      </c>
      <c r="BP4988">
        <v>0</v>
      </c>
      <c r="BW4988" t="str">
        <f t="shared" si="2299"/>
        <v>14:50:26.286</v>
      </c>
      <c r="CJ4988">
        <v>0</v>
      </c>
      <c r="CK4988">
        <v>2</v>
      </c>
      <c r="CL4988">
        <v>0</v>
      </c>
      <c r="CM4988">
        <v>2</v>
      </c>
      <c r="CN4988">
        <v>0</v>
      </c>
      <c r="CO4988">
        <v>6</v>
      </c>
      <c r="CP4988" t="s">
        <v>119</v>
      </c>
      <c r="CQ4988">
        <v>358</v>
      </c>
      <c r="CR4988">
        <v>0</v>
      </c>
      <c r="CW4988">
        <v>5204403</v>
      </c>
      <c r="CY4988">
        <v>1</v>
      </c>
      <c r="CZ4988">
        <v>0</v>
      </c>
      <c r="DA4988">
        <v>1</v>
      </c>
      <c r="DB4988">
        <v>0</v>
      </c>
      <c r="DC4988">
        <v>0</v>
      </c>
      <c r="DD4988">
        <v>1</v>
      </c>
      <c r="DE4988">
        <v>0</v>
      </c>
      <c r="DF4988">
        <v>0</v>
      </c>
      <c r="DG4988">
        <v>0</v>
      </c>
      <c r="DH4988">
        <v>0</v>
      </c>
      <c r="DI4988">
        <v>0</v>
      </c>
    </row>
    <row r="4989" spans="1:113" x14ac:dyDescent="0.3">
      <c r="A4989" t="str">
        <f t="shared" si="2296"/>
        <v>05/12/2020 14:50:08.451</v>
      </c>
      <c r="C4989" t="str">
        <f t="shared" si="2281"/>
        <v>FFDFD3C0</v>
      </c>
      <c r="D4989" t="s">
        <v>131</v>
      </c>
      <c r="E4989">
        <v>12</v>
      </c>
      <c r="F4989">
        <v>2012</v>
      </c>
      <c r="G4989" t="s">
        <v>137</v>
      </c>
      <c r="J4989" t="s">
        <v>133</v>
      </c>
      <c r="K4989">
        <v>0</v>
      </c>
      <c r="L4989">
        <v>3</v>
      </c>
      <c r="M4989">
        <v>0</v>
      </c>
      <c r="N4989">
        <v>2</v>
      </c>
      <c r="O4989">
        <v>1</v>
      </c>
      <c r="P4989">
        <v>0</v>
      </c>
      <c r="Q4989">
        <v>0</v>
      </c>
      <c r="S4989" t="str">
        <f t="shared" si="2297"/>
        <v>14:50:26.281</v>
      </c>
      <c r="T4989" t="str">
        <f t="shared" si="2298"/>
        <v>14:50:25.781</v>
      </c>
      <c r="U4989" t="str">
        <f t="shared" si="2272"/>
        <v>A9808D</v>
      </c>
      <c r="V4989">
        <v>0</v>
      </c>
      <c r="W4989">
        <v>0</v>
      </c>
      <c r="X4989">
        <v>1</v>
      </c>
      <c r="Z4989">
        <v>0</v>
      </c>
      <c r="AA4989">
        <v>9</v>
      </c>
      <c r="AB4989">
        <v>3</v>
      </c>
      <c r="AC4989">
        <v>0</v>
      </c>
      <c r="AD4989">
        <v>10</v>
      </c>
      <c r="AE4989">
        <v>0</v>
      </c>
      <c r="AF4989">
        <v>3</v>
      </c>
      <c r="AG4989">
        <v>2</v>
      </c>
      <c r="AH4989">
        <v>0</v>
      </c>
      <c r="AI4989" t="s">
        <v>1110</v>
      </c>
      <c r="AJ4989">
        <v>28.235185000000001</v>
      </c>
      <c r="AK4989" t="s">
        <v>440</v>
      </c>
      <c r="AL4989">
        <v>-82.366605000000007</v>
      </c>
      <c r="AM4989">
        <v>100</v>
      </c>
      <c r="AN4989">
        <v>2200</v>
      </c>
      <c r="AO4989" t="s">
        <v>118</v>
      </c>
      <c r="AP4989">
        <v>-100</v>
      </c>
      <c r="AQ4989">
        <v>-47</v>
      </c>
      <c r="AR4989">
        <v>-768</v>
      </c>
      <c r="AZ4989">
        <v>1200</v>
      </c>
      <c r="BA4989">
        <v>1</v>
      </c>
      <c r="BB4989" t="str">
        <f t="shared" si="2282"/>
        <v xml:space="preserve">N711JA  </v>
      </c>
      <c r="BC4989">
        <v>1</v>
      </c>
      <c r="BE4989">
        <v>0</v>
      </c>
      <c r="BF4989">
        <v>0</v>
      </c>
      <c r="BG4989">
        <v>0</v>
      </c>
      <c r="BH4989">
        <v>2325</v>
      </c>
      <c r="BI4989">
        <v>1</v>
      </c>
      <c r="BJ4989">
        <v>1</v>
      </c>
      <c r="BK4989">
        <v>0</v>
      </c>
      <c r="BL4989">
        <v>0</v>
      </c>
      <c r="BO4989">
        <v>0</v>
      </c>
      <c r="BP4989">
        <v>0</v>
      </c>
      <c r="BW4989" t="str">
        <f t="shared" si="2299"/>
        <v>14:50:26.286</v>
      </c>
      <c r="CJ4989">
        <v>0</v>
      </c>
      <c r="CK4989">
        <v>2</v>
      </c>
      <c r="CL4989">
        <v>0</v>
      </c>
      <c r="CM4989">
        <v>2</v>
      </c>
      <c r="CN4989">
        <v>0</v>
      </c>
      <c r="CO4989">
        <v>6</v>
      </c>
      <c r="CP4989" t="s">
        <v>119</v>
      </c>
      <c r="CQ4989">
        <v>8</v>
      </c>
      <c r="CR4989">
        <v>3</v>
      </c>
      <c r="CW4989">
        <v>9221951</v>
      </c>
      <c r="CY4989">
        <v>1</v>
      </c>
      <c r="CZ4989">
        <v>0</v>
      </c>
      <c r="DA4989">
        <v>1</v>
      </c>
      <c r="DB4989">
        <v>0</v>
      </c>
      <c r="DC4989">
        <v>0</v>
      </c>
      <c r="DD4989">
        <v>1</v>
      </c>
      <c r="DE4989">
        <v>0</v>
      </c>
      <c r="DF4989">
        <v>0</v>
      </c>
      <c r="DG4989">
        <v>0</v>
      </c>
      <c r="DH4989">
        <v>0</v>
      </c>
      <c r="DI4989">
        <v>0</v>
      </c>
    </row>
    <row r="4990" spans="1:113" x14ac:dyDescent="0.3">
      <c r="A4990" t="str">
        <f t="shared" si="2296"/>
        <v>05/12/2020 14:50:08.451</v>
      </c>
      <c r="C4990" t="str">
        <f t="shared" si="2281"/>
        <v>FFDFD3C0</v>
      </c>
      <c r="D4990" t="s">
        <v>134</v>
      </c>
      <c r="E4990">
        <v>12</v>
      </c>
      <c r="H4990">
        <v>64</v>
      </c>
      <c r="I4990" t="s">
        <v>135</v>
      </c>
      <c r="J4990" t="s">
        <v>136</v>
      </c>
      <c r="K4990">
        <v>0</v>
      </c>
      <c r="L4990">
        <v>3</v>
      </c>
      <c r="M4990">
        <v>0</v>
      </c>
      <c r="N4990">
        <v>2</v>
      </c>
      <c r="O4990">
        <v>1</v>
      </c>
      <c r="P4990">
        <v>0</v>
      </c>
      <c r="Q4990">
        <v>0</v>
      </c>
      <c r="S4990" t="str">
        <f t="shared" si="2297"/>
        <v>14:50:26.281</v>
      </c>
      <c r="T4990" t="str">
        <f t="shared" si="2298"/>
        <v>14:50:25.781</v>
      </c>
      <c r="U4990" t="str">
        <f t="shared" si="2272"/>
        <v>A9808D</v>
      </c>
      <c r="V4990">
        <v>0</v>
      </c>
      <c r="W4990">
        <v>0</v>
      </c>
      <c r="X4990">
        <v>1</v>
      </c>
      <c r="Z4990">
        <v>0</v>
      </c>
      <c r="AA4990">
        <v>9</v>
      </c>
      <c r="AB4990">
        <v>3</v>
      </c>
      <c r="AC4990">
        <v>0</v>
      </c>
      <c r="AD4990">
        <v>10</v>
      </c>
      <c r="AE4990">
        <v>0</v>
      </c>
      <c r="AF4990">
        <v>3</v>
      </c>
      <c r="AG4990">
        <v>2</v>
      </c>
      <c r="AH4990">
        <v>0</v>
      </c>
      <c r="AI4990" t="s">
        <v>1110</v>
      </c>
      <c r="AJ4990">
        <v>28.235185000000001</v>
      </c>
      <c r="AK4990" t="s">
        <v>440</v>
      </c>
      <c r="AL4990">
        <v>-82.366605000000007</v>
      </c>
      <c r="AM4990">
        <v>100</v>
      </c>
      <c r="AN4990">
        <v>2200</v>
      </c>
      <c r="AO4990" t="s">
        <v>118</v>
      </c>
      <c r="AP4990">
        <v>-100</v>
      </c>
      <c r="AQ4990">
        <v>-47</v>
      </c>
      <c r="AR4990">
        <v>-768</v>
      </c>
      <c r="AZ4990">
        <v>1200</v>
      </c>
      <c r="BA4990">
        <v>1</v>
      </c>
      <c r="BB4990" t="str">
        <f t="shared" si="2282"/>
        <v xml:space="preserve">N711JA  </v>
      </c>
      <c r="BC4990">
        <v>1</v>
      </c>
      <c r="BE4990">
        <v>0</v>
      </c>
      <c r="BF4990">
        <v>0</v>
      </c>
      <c r="BG4990">
        <v>0</v>
      </c>
      <c r="BH4990">
        <v>2325</v>
      </c>
      <c r="BI4990">
        <v>1</v>
      </c>
      <c r="BJ4990">
        <v>1</v>
      </c>
      <c r="BK4990">
        <v>0</v>
      </c>
      <c r="BL4990">
        <v>0</v>
      </c>
      <c r="BO4990">
        <v>0</v>
      </c>
      <c r="BP4990">
        <v>0</v>
      </c>
      <c r="BW4990" t="str">
        <f t="shared" si="2299"/>
        <v>14:50:26.286</v>
      </c>
      <c r="CJ4990">
        <v>0</v>
      </c>
      <c r="CK4990">
        <v>2</v>
      </c>
      <c r="CL4990">
        <v>0</v>
      </c>
      <c r="CM4990">
        <v>2</v>
      </c>
      <c r="CN4990">
        <v>0</v>
      </c>
      <c r="CO4990">
        <v>6</v>
      </c>
      <c r="CP4990" t="s">
        <v>119</v>
      </c>
      <c r="CQ4990">
        <v>358</v>
      </c>
      <c r="CR4990">
        <v>0</v>
      </c>
      <c r="CW4990">
        <v>5204403</v>
      </c>
      <c r="CY4990">
        <v>1</v>
      </c>
      <c r="CZ4990">
        <v>0</v>
      </c>
      <c r="DA4990">
        <v>1</v>
      </c>
      <c r="DB4990">
        <v>0</v>
      </c>
      <c r="DC4990">
        <v>0</v>
      </c>
      <c r="DD4990">
        <v>1</v>
      </c>
      <c r="DE4990">
        <v>0</v>
      </c>
      <c r="DF4990">
        <v>0</v>
      </c>
      <c r="DG4990">
        <v>0</v>
      </c>
      <c r="DH4990">
        <v>0</v>
      </c>
      <c r="DI4990">
        <v>0</v>
      </c>
    </row>
    <row r="4991" spans="1:113" x14ac:dyDescent="0.3">
      <c r="A4991" t="str">
        <f t="shared" si="2296"/>
        <v>05/12/2020 14:50:08.451</v>
      </c>
      <c r="C4991" t="str">
        <f t="shared" si="2281"/>
        <v>FFDFD3C0</v>
      </c>
      <c r="D4991" t="s">
        <v>126</v>
      </c>
      <c r="E4991">
        <v>6</v>
      </c>
      <c r="F4991">
        <v>1006</v>
      </c>
      <c r="G4991" t="s">
        <v>114</v>
      </c>
      <c r="J4991" t="s">
        <v>128</v>
      </c>
      <c r="K4991">
        <v>0</v>
      </c>
      <c r="L4991">
        <v>3</v>
      </c>
      <c r="M4991">
        <v>0</v>
      </c>
      <c r="N4991">
        <v>2</v>
      </c>
      <c r="O4991">
        <v>1</v>
      </c>
      <c r="P4991">
        <v>0</v>
      </c>
      <c r="Q4991">
        <v>0</v>
      </c>
      <c r="S4991" t="str">
        <f t="shared" si="2297"/>
        <v>14:50:26.281</v>
      </c>
      <c r="T4991" t="str">
        <f t="shared" si="2298"/>
        <v>14:50:25.781</v>
      </c>
      <c r="U4991" t="str">
        <f t="shared" si="2272"/>
        <v>A9808D</v>
      </c>
      <c r="V4991">
        <v>0</v>
      </c>
      <c r="W4991">
        <v>0</v>
      </c>
      <c r="X4991">
        <v>1</v>
      </c>
      <c r="Z4991">
        <v>0</v>
      </c>
      <c r="AA4991">
        <v>9</v>
      </c>
      <c r="AB4991">
        <v>3</v>
      </c>
      <c r="AC4991">
        <v>0</v>
      </c>
      <c r="AD4991">
        <v>10</v>
      </c>
      <c r="AE4991">
        <v>0</v>
      </c>
      <c r="AF4991">
        <v>3</v>
      </c>
      <c r="AG4991">
        <v>2</v>
      </c>
      <c r="AH4991">
        <v>0</v>
      </c>
      <c r="AI4991" t="s">
        <v>1110</v>
      </c>
      <c r="AJ4991">
        <v>28.235185000000001</v>
      </c>
      <c r="AK4991" t="s">
        <v>440</v>
      </c>
      <c r="AL4991">
        <v>-82.366605000000007</v>
      </c>
      <c r="AM4991">
        <v>100</v>
      </c>
      <c r="AN4991">
        <v>2200</v>
      </c>
      <c r="AO4991" t="s">
        <v>118</v>
      </c>
      <c r="AP4991">
        <v>-100</v>
      </c>
      <c r="AQ4991">
        <v>-47</v>
      </c>
      <c r="AR4991">
        <v>-768</v>
      </c>
      <c r="AZ4991">
        <v>1200</v>
      </c>
      <c r="BA4991">
        <v>1</v>
      </c>
      <c r="BB4991" t="str">
        <f t="shared" si="2282"/>
        <v xml:space="preserve">N711JA  </v>
      </c>
      <c r="BC4991">
        <v>1</v>
      </c>
      <c r="BE4991">
        <v>0</v>
      </c>
      <c r="BF4991">
        <v>0</v>
      </c>
      <c r="BG4991">
        <v>0</v>
      </c>
      <c r="BH4991">
        <v>2325</v>
      </c>
      <c r="BI4991">
        <v>1</v>
      </c>
      <c r="BJ4991">
        <v>1</v>
      </c>
      <c r="BK4991">
        <v>0</v>
      </c>
      <c r="BL4991">
        <v>0</v>
      </c>
      <c r="BO4991">
        <v>0</v>
      </c>
      <c r="BP4991">
        <v>0</v>
      </c>
      <c r="BW4991" t="str">
        <f t="shared" si="2299"/>
        <v>14:50:26.286</v>
      </c>
      <c r="CJ4991">
        <v>0</v>
      </c>
      <c r="CK4991">
        <v>2</v>
      </c>
      <c r="CL4991">
        <v>0</v>
      </c>
      <c r="CM4991">
        <v>2</v>
      </c>
      <c r="CN4991">
        <v>0</v>
      </c>
      <c r="CO4991">
        <v>6</v>
      </c>
      <c r="CP4991" t="s">
        <v>119</v>
      </c>
      <c r="CQ4991">
        <v>358</v>
      </c>
      <c r="CR4991">
        <v>0</v>
      </c>
      <c r="CW4991">
        <v>5204403</v>
      </c>
      <c r="CY4991">
        <v>1</v>
      </c>
      <c r="CZ4991">
        <v>0</v>
      </c>
      <c r="DA4991">
        <v>1</v>
      </c>
      <c r="DB4991">
        <v>0</v>
      </c>
      <c r="DC4991">
        <v>0</v>
      </c>
      <c r="DD4991">
        <v>1</v>
      </c>
      <c r="DE4991">
        <v>0</v>
      </c>
      <c r="DF4991">
        <v>0</v>
      </c>
      <c r="DG4991">
        <v>0</v>
      </c>
      <c r="DH4991">
        <v>0</v>
      </c>
      <c r="DI4991">
        <v>0</v>
      </c>
    </row>
    <row r="4992" spans="1:113" x14ac:dyDescent="0.3">
      <c r="A4992" t="str">
        <f t="shared" si="2296"/>
        <v>05/12/2020 14:50:08.451</v>
      </c>
      <c r="C4992" t="str">
        <f t="shared" si="2281"/>
        <v>FFDFD3C0</v>
      </c>
      <c r="D4992" t="s">
        <v>138</v>
      </c>
      <c r="E4992">
        <v>2</v>
      </c>
      <c r="H4992">
        <v>8</v>
      </c>
      <c r="I4992" t="s">
        <v>139</v>
      </c>
      <c r="J4992" t="s">
        <v>136</v>
      </c>
      <c r="K4992">
        <v>0</v>
      </c>
      <c r="L4992">
        <v>3</v>
      </c>
      <c r="M4992">
        <v>0</v>
      </c>
      <c r="N4992">
        <v>2</v>
      </c>
      <c r="O4992">
        <v>1</v>
      </c>
      <c r="P4992">
        <v>0</v>
      </c>
      <c r="Q4992">
        <v>0</v>
      </c>
      <c r="S4992" t="str">
        <f t="shared" si="2297"/>
        <v>14:50:26.281</v>
      </c>
      <c r="T4992" t="str">
        <f t="shared" si="2298"/>
        <v>14:50:25.781</v>
      </c>
      <c r="U4992" t="str">
        <f t="shared" si="2272"/>
        <v>A9808D</v>
      </c>
      <c r="V4992">
        <v>0</v>
      </c>
      <c r="W4992">
        <v>0</v>
      </c>
      <c r="X4992">
        <v>1</v>
      </c>
      <c r="Z4992">
        <v>0</v>
      </c>
      <c r="AA4992">
        <v>9</v>
      </c>
      <c r="AB4992">
        <v>3</v>
      </c>
      <c r="AC4992">
        <v>0</v>
      </c>
      <c r="AD4992">
        <v>10</v>
      </c>
      <c r="AE4992">
        <v>0</v>
      </c>
      <c r="AF4992">
        <v>3</v>
      </c>
      <c r="AG4992">
        <v>2</v>
      </c>
      <c r="AH4992">
        <v>0</v>
      </c>
      <c r="AI4992" t="s">
        <v>1110</v>
      </c>
      <c r="AJ4992">
        <v>28.235185000000001</v>
      </c>
      <c r="AK4992" t="s">
        <v>440</v>
      </c>
      <c r="AL4992">
        <v>-82.366605000000007</v>
      </c>
      <c r="AM4992">
        <v>100</v>
      </c>
      <c r="AN4992">
        <v>2200</v>
      </c>
      <c r="AO4992" t="s">
        <v>118</v>
      </c>
      <c r="AP4992">
        <v>-100</v>
      </c>
      <c r="AQ4992">
        <v>-47</v>
      </c>
      <c r="AR4992">
        <v>-768</v>
      </c>
      <c r="AZ4992">
        <v>1200</v>
      </c>
      <c r="BA4992">
        <v>1</v>
      </c>
      <c r="BB4992" t="str">
        <f t="shared" si="2282"/>
        <v xml:space="preserve">N711JA  </v>
      </c>
      <c r="BC4992">
        <v>1</v>
      </c>
      <c r="BE4992">
        <v>0</v>
      </c>
      <c r="BF4992">
        <v>0</v>
      </c>
      <c r="BG4992">
        <v>0</v>
      </c>
      <c r="BH4992">
        <v>2325</v>
      </c>
      <c r="BI4992">
        <v>1</v>
      </c>
      <c r="BJ4992">
        <v>1</v>
      </c>
      <c r="BK4992">
        <v>0</v>
      </c>
      <c r="BL4992">
        <v>0</v>
      </c>
      <c r="BO4992">
        <v>0</v>
      </c>
      <c r="BP4992">
        <v>0</v>
      </c>
      <c r="BW4992" t="str">
        <f t="shared" si="2299"/>
        <v>14:50:26.286</v>
      </c>
      <c r="CJ4992">
        <v>0</v>
      </c>
      <c r="CK4992">
        <v>2</v>
      </c>
      <c r="CL4992">
        <v>0</v>
      </c>
      <c r="CM4992">
        <v>2</v>
      </c>
      <c r="CN4992">
        <v>0</v>
      </c>
      <c r="CO4992">
        <v>6</v>
      </c>
      <c r="CP4992" t="s">
        <v>119</v>
      </c>
      <c r="CQ4992">
        <v>8</v>
      </c>
      <c r="CR4992">
        <v>3</v>
      </c>
      <c r="CW4992">
        <v>9221951</v>
      </c>
      <c r="CY4992">
        <v>1</v>
      </c>
      <c r="CZ4992">
        <v>0</v>
      </c>
      <c r="DA4992">
        <v>1</v>
      </c>
      <c r="DB4992">
        <v>0</v>
      </c>
      <c r="DC4992">
        <v>0</v>
      </c>
      <c r="DD4992">
        <v>1</v>
      </c>
      <c r="DE4992">
        <v>0</v>
      </c>
      <c r="DF4992">
        <v>0</v>
      </c>
      <c r="DG4992">
        <v>0</v>
      </c>
      <c r="DH4992">
        <v>0</v>
      </c>
      <c r="DI4992">
        <v>0</v>
      </c>
    </row>
    <row r="4993" spans="1:113" x14ac:dyDescent="0.3">
      <c r="A4993" t="str">
        <f t="shared" si="2296"/>
        <v>05/12/2020 14:50:08.451</v>
      </c>
      <c r="C4993" t="str">
        <f t="shared" si="2281"/>
        <v>FFDFD3C0</v>
      </c>
      <c r="D4993" t="s">
        <v>138</v>
      </c>
      <c r="E4993">
        <v>3</v>
      </c>
      <c r="H4993">
        <v>9</v>
      </c>
      <c r="I4993" t="s">
        <v>140</v>
      </c>
      <c r="J4993" t="s">
        <v>136</v>
      </c>
      <c r="K4993">
        <v>0</v>
      </c>
      <c r="L4993">
        <v>3</v>
      </c>
      <c r="M4993">
        <v>0</v>
      </c>
      <c r="N4993">
        <v>2</v>
      </c>
      <c r="O4993">
        <v>1</v>
      </c>
      <c r="P4993">
        <v>0</v>
      </c>
      <c r="Q4993">
        <v>0</v>
      </c>
      <c r="S4993" t="str">
        <f t="shared" si="2297"/>
        <v>14:50:26.281</v>
      </c>
      <c r="T4993" t="str">
        <f t="shared" si="2298"/>
        <v>14:50:25.781</v>
      </c>
      <c r="U4993" t="str">
        <f t="shared" si="2272"/>
        <v>A9808D</v>
      </c>
      <c r="V4993">
        <v>0</v>
      </c>
      <c r="W4993">
        <v>0</v>
      </c>
      <c r="X4993">
        <v>1</v>
      </c>
      <c r="Z4993">
        <v>0</v>
      </c>
      <c r="AA4993">
        <v>9</v>
      </c>
      <c r="AB4993">
        <v>3</v>
      </c>
      <c r="AC4993">
        <v>0</v>
      </c>
      <c r="AD4993">
        <v>10</v>
      </c>
      <c r="AE4993">
        <v>0</v>
      </c>
      <c r="AF4993">
        <v>3</v>
      </c>
      <c r="AG4993">
        <v>2</v>
      </c>
      <c r="AH4993">
        <v>0</v>
      </c>
      <c r="AI4993" t="s">
        <v>1110</v>
      </c>
      <c r="AJ4993">
        <v>28.235185000000001</v>
      </c>
      <c r="AK4993" t="s">
        <v>440</v>
      </c>
      <c r="AL4993">
        <v>-82.366605000000007</v>
      </c>
      <c r="AM4993">
        <v>100</v>
      </c>
      <c r="AN4993">
        <v>2200</v>
      </c>
      <c r="AO4993" t="s">
        <v>118</v>
      </c>
      <c r="AP4993">
        <v>-100</v>
      </c>
      <c r="AQ4993">
        <v>-47</v>
      </c>
      <c r="AR4993">
        <v>-768</v>
      </c>
      <c r="AZ4993">
        <v>1200</v>
      </c>
      <c r="BA4993">
        <v>1</v>
      </c>
      <c r="BB4993" t="str">
        <f t="shared" si="2282"/>
        <v xml:space="preserve">N711JA  </v>
      </c>
      <c r="BC4993">
        <v>1</v>
      </c>
      <c r="BE4993">
        <v>0</v>
      </c>
      <c r="BF4993">
        <v>0</v>
      </c>
      <c r="BG4993">
        <v>0</v>
      </c>
      <c r="BH4993">
        <v>2325</v>
      </c>
      <c r="BI4993">
        <v>1</v>
      </c>
      <c r="BJ4993">
        <v>1</v>
      </c>
      <c r="BK4993">
        <v>0</v>
      </c>
      <c r="BL4993">
        <v>0</v>
      </c>
      <c r="BO4993">
        <v>0</v>
      </c>
      <c r="BP4993">
        <v>0</v>
      </c>
      <c r="BW4993" t="str">
        <f t="shared" si="2299"/>
        <v>14:50:26.286</v>
      </c>
      <c r="CJ4993">
        <v>0</v>
      </c>
      <c r="CK4993">
        <v>2</v>
      </c>
      <c r="CL4993">
        <v>0</v>
      </c>
      <c r="CM4993">
        <v>2</v>
      </c>
      <c r="CN4993">
        <v>0</v>
      </c>
      <c r="CO4993">
        <v>6</v>
      </c>
      <c r="CP4993" t="s">
        <v>119</v>
      </c>
      <c r="CQ4993">
        <v>358</v>
      </c>
      <c r="CR4993">
        <v>0</v>
      </c>
      <c r="CW4993">
        <v>5204403</v>
      </c>
      <c r="CY4993">
        <v>1</v>
      </c>
      <c r="CZ4993">
        <v>0</v>
      </c>
      <c r="DA4993">
        <v>1</v>
      </c>
      <c r="DB4993">
        <v>0</v>
      </c>
      <c r="DC4993">
        <v>0</v>
      </c>
      <c r="DD4993">
        <v>1</v>
      </c>
      <c r="DE4993">
        <v>0</v>
      </c>
      <c r="DF4993">
        <v>0</v>
      </c>
      <c r="DG4993">
        <v>0</v>
      </c>
      <c r="DH4993">
        <v>0</v>
      </c>
      <c r="DI4993">
        <v>0</v>
      </c>
    </row>
    <row r="4994" spans="1:113" x14ac:dyDescent="0.3">
      <c r="A4994" t="str">
        <f t="shared" si="2296"/>
        <v>05/12/2020 14:50:08.451</v>
      </c>
      <c r="C4994" t="str">
        <f t="shared" si="2281"/>
        <v>FFDFD3C0</v>
      </c>
      <c r="D4994" t="s">
        <v>113</v>
      </c>
      <c r="E4994">
        <v>3</v>
      </c>
      <c r="H4994">
        <v>164</v>
      </c>
      <c r="I4994" t="s">
        <v>114</v>
      </c>
      <c r="J4994" t="s">
        <v>115</v>
      </c>
      <c r="K4994">
        <v>0</v>
      </c>
      <c r="L4994">
        <v>3</v>
      </c>
      <c r="M4994">
        <v>0</v>
      </c>
      <c r="N4994">
        <v>2</v>
      </c>
      <c r="O4994">
        <v>1</v>
      </c>
      <c r="P4994">
        <v>0</v>
      </c>
      <c r="Q4994">
        <v>0</v>
      </c>
      <c r="S4994" t="str">
        <f t="shared" si="2297"/>
        <v>14:50:26.281</v>
      </c>
      <c r="T4994" t="str">
        <f t="shared" si="2298"/>
        <v>14:50:25.781</v>
      </c>
      <c r="U4994" t="str">
        <f t="shared" ref="U4994:U5057" si="2300">"A9808D"</f>
        <v>A9808D</v>
      </c>
      <c r="V4994">
        <v>0</v>
      </c>
      <c r="W4994">
        <v>0</v>
      </c>
      <c r="X4994">
        <v>1</v>
      </c>
      <c r="Z4994">
        <v>0</v>
      </c>
      <c r="AA4994">
        <v>9</v>
      </c>
      <c r="AB4994">
        <v>3</v>
      </c>
      <c r="AC4994">
        <v>0</v>
      </c>
      <c r="AD4994">
        <v>10</v>
      </c>
      <c r="AE4994">
        <v>0</v>
      </c>
      <c r="AF4994">
        <v>3</v>
      </c>
      <c r="AG4994">
        <v>2</v>
      </c>
      <c r="AH4994">
        <v>0</v>
      </c>
      <c r="AI4994" t="s">
        <v>1110</v>
      </c>
      <c r="AJ4994">
        <v>28.235185000000001</v>
      </c>
      <c r="AK4994" t="s">
        <v>440</v>
      </c>
      <c r="AL4994">
        <v>-82.366605000000007</v>
      </c>
      <c r="AM4994">
        <v>100</v>
      </c>
      <c r="AN4994">
        <v>2200</v>
      </c>
      <c r="AO4994" t="s">
        <v>118</v>
      </c>
      <c r="AP4994">
        <v>-100</v>
      </c>
      <c r="AQ4994">
        <v>-47</v>
      </c>
      <c r="AR4994">
        <v>-768</v>
      </c>
      <c r="AZ4994">
        <v>1200</v>
      </c>
      <c r="BA4994">
        <v>1</v>
      </c>
      <c r="BB4994" t="str">
        <f t="shared" si="2282"/>
        <v xml:space="preserve">N711JA  </v>
      </c>
      <c r="BC4994">
        <v>1</v>
      </c>
      <c r="BE4994">
        <v>0</v>
      </c>
      <c r="BF4994">
        <v>0</v>
      </c>
      <c r="BG4994">
        <v>0</v>
      </c>
      <c r="BH4994">
        <v>2325</v>
      </c>
      <c r="BI4994">
        <v>1</v>
      </c>
      <c r="BJ4994">
        <v>1</v>
      </c>
      <c r="BK4994">
        <v>0</v>
      </c>
      <c r="BL4994">
        <v>0</v>
      </c>
      <c r="BO4994">
        <v>0</v>
      </c>
      <c r="BP4994">
        <v>0</v>
      </c>
      <c r="BW4994" t="str">
        <f t="shared" si="2299"/>
        <v>14:50:26.286</v>
      </c>
      <c r="CJ4994">
        <v>0</v>
      </c>
      <c r="CK4994">
        <v>2</v>
      </c>
      <c r="CL4994">
        <v>0</v>
      </c>
      <c r="CM4994">
        <v>2</v>
      </c>
      <c r="CN4994">
        <v>0</v>
      </c>
      <c r="CO4994">
        <v>6</v>
      </c>
      <c r="CP4994" t="s">
        <v>119</v>
      </c>
      <c r="CQ4994">
        <v>8</v>
      </c>
      <c r="CR4994">
        <v>3</v>
      </c>
      <c r="CW4994">
        <v>9221951</v>
      </c>
      <c r="CY4994">
        <v>1</v>
      </c>
      <c r="CZ4994">
        <v>0</v>
      </c>
      <c r="DA4994">
        <v>1</v>
      </c>
      <c r="DB4994">
        <v>0</v>
      </c>
      <c r="DC4994">
        <v>0</v>
      </c>
      <c r="DD4994">
        <v>1</v>
      </c>
      <c r="DE4994">
        <v>0</v>
      </c>
      <c r="DF4994">
        <v>0</v>
      </c>
      <c r="DG4994">
        <v>0</v>
      </c>
      <c r="DH4994">
        <v>0</v>
      </c>
      <c r="DI4994">
        <v>0</v>
      </c>
    </row>
    <row r="4995" spans="1:113" x14ac:dyDescent="0.3">
      <c r="A4995" t="str">
        <f t="shared" ref="A4995:A5002" si="2301">"05/12/2020 14:50:09.298"</f>
        <v>05/12/2020 14:50:09.298</v>
      </c>
      <c r="C4995" t="str">
        <f t="shared" si="2281"/>
        <v>FFDFD3C0</v>
      </c>
      <c r="D4995" t="s">
        <v>138</v>
      </c>
      <c r="E4995">
        <v>2</v>
      </c>
      <c r="H4995">
        <v>8</v>
      </c>
      <c r="I4995" t="s">
        <v>139</v>
      </c>
      <c r="J4995" t="s">
        <v>136</v>
      </c>
      <c r="K4995">
        <v>0</v>
      </c>
      <c r="L4995">
        <v>3</v>
      </c>
      <c r="M4995">
        <v>0</v>
      </c>
      <c r="N4995">
        <v>2</v>
      </c>
      <c r="O4995">
        <v>1</v>
      </c>
      <c r="P4995">
        <v>0</v>
      </c>
      <c r="Q4995">
        <v>0</v>
      </c>
      <c r="S4995" t="str">
        <f t="shared" ref="S4995:S5002" si="2302">"14:50:27.102"</f>
        <v>14:50:27.102</v>
      </c>
      <c r="T4995" t="str">
        <f t="shared" ref="T4995:T5002" si="2303">"14:50:26.902"</f>
        <v>14:50:26.902</v>
      </c>
      <c r="U4995" t="str">
        <f t="shared" si="2300"/>
        <v>A9808D</v>
      </c>
      <c r="V4995">
        <v>0</v>
      </c>
      <c r="W4995">
        <v>0</v>
      </c>
      <c r="X4995">
        <v>1</v>
      </c>
      <c r="Z4995">
        <v>0</v>
      </c>
      <c r="AA4995">
        <v>9</v>
      </c>
      <c r="AB4995">
        <v>3</v>
      </c>
      <c r="AC4995">
        <v>0</v>
      </c>
      <c r="AD4995">
        <v>10</v>
      </c>
      <c r="AE4995">
        <v>0</v>
      </c>
      <c r="AF4995">
        <v>3</v>
      </c>
      <c r="AG4995">
        <v>2</v>
      </c>
      <c r="AH4995">
        <v>0</v>
      </c>
      <c r="AI4995" t="s">
        <v>1111</v>
      </c>
      <c r="AJ4995">
        <v>28.235056</v>
      </c>
      <c r="AK4995" t="s">
        <v>1112</v>
      </c>
      <c r="AL4995">
        <v>-82.366969999999995</v>
      </c>
      <c r="AM4995">
        <v>100</v>
      </c>
      <c r="AN4995">
        <v>2200</v>
      </c>
      <c r="AO4995" t="s">
        <v>118</v>
      </c>
      <c r="AP4995">
        <v>-100</v>
      </c>
      <c r="AQ4995">
        <v>-47</v>
      </c>
      <c r="AR4995">
        <v>-896</v>
      </c>
      <c r="AZ4995">
        <v>1200</v>
      </c>
      <c r="BA4995">
        <v>1</v>
      </c>
      <c r="BB4995" t="str">
        <f t="shared" si="2282"/>
        <v xml:space="preserve">N711JA  </v>
      </c>
      <c r="BC4995">
        <v>1</v>
      </c>
      <c r="BE4995">
        <v>0</v>
      </c>
      <c r="BF4995">
        <v>0</v>
      </c>
      <c r="BG4995">
        <v>0</v>
      </c>
      <c r="BH4995">
        <v>2300</v>
      </c>
      <c r="BI4995">
        <v>1</v>
      </c>
      <c r="BJ4995">
        <v>1</v>
      </c>
      <c r="BK4995">
        <v>0</v>
      </c>
      <c r="BL4995">
        <v>0</v>
      </c>
      <c r="BO4995">
        <v>0</v>
      </c>
      <c r="BP4995">
        <v>0</v>
      </c>
      <c r="BW4995" t="str">
        <f t="shared" ref="BW4995:BW5002" si="2304">"14:50:27.106"</f>
        <v>14:50:27.106</v>
      </c>
      <c r="CJ4995">
        <v>0</v>
      </c>
      <c r="CK4995">
        <v>2</v>
      </c>
      <c r="CL4995">
        <v>0</v>
      </c>
      <c r="CM4995">
        <v>2</v>
      </c>
      <c r="CN4995">
        <v>0</v>
      </c>
      <c r="CO4995">
        <v>6</v>
      </c>
      <c r="CP4995" t="s">
        <v>119</v>
      </c>
      <c r="CQ4995">
        <v>8</v>
      </c>
      <c r="CR4995">
        <v>3</v>
      </c>
      <c r="CW4995">
        <v>9222777</v>
      </c>
      <c r="CY4995">
        <v>1</v>
      </c>
      <c r="CZ4995">
        <v>0</v>
      </c>
      <c r="DA4995">
        <v>0</v>
      </c>
      <c r="DB4995">
        <v>0</v>
      </c>
      <c r="DC4995">
        <v>0</v>
      </c>
      <c r="DD4995">
        <v>1</v>
      </c>
      <c r="DE4995">
        <v>0</v>
      </c>
      <c r="DF4995">
        <v>0</v>
      </c>
      <c r="DG4995">
        <v>0</v>
      </c>
      <c r="DH4995">
        <v>0</v>
      </c>
      <c r="DI4995">
        <v>0</v>
      </c>
    </row>
    <row r="4996" spans="1:113" x14ac:dyDescent="0.3">
      <c r="A4996" t="str">
        <f t="shared" si="2301"/>
        <v>05/12/2020 14:50:09.298</v>
      </c>
      <c r="C4996" t="str">
        <f t="shared" si="2281"/>
        <v>FFDFD3C0</v>
      </c>
      <c r="D4996" t="s">
        <v>113</v>
      </c>
      <c r="E4996">
        <v>3</v>
      </c>
      <c r="H4996">
        <v>164</v>
      </c>
      <c r="I4996" t="s">
        <v>114</v>
      </c>
      <c r="J4996" t="s">
        <v>115</v>
      </c>
      <c r="K4996">
        <v>0</v>
      </c>
      <c r="L4996">
        <v>3</v>
      </c>
      <c r="M4996">
        <v>0</v>
      </c>
      <c r="N4996">
        <v>2</v>
      </c>
      <c r="O4996">
        <v>1</v>
      </c>
      <c r="P4996">
        <v>0</v>
      </c>
      <c r="Q4996">
        <v>0</v>
      </c>
      <c r="S4996" t="str">
        <f t="shared" si="2302"/>
        <v>14:50:27.102</v>
      </c>
      <c r="T4996" t="str">
        <f t="shared" si="2303"/>
        <v>14:50:26.902</v>
      </c>
      <c r="U4996" t="str">
        <f t="shared" si="2300"/>
        <v>A9808D</v>
      </c>
      <c r="V4996">
        <v>0</v>
      </c>
      <c r="W4996">
        <v>0</v>
      </c>
      <c r="X4996">
        <v>1</v>
      </c>
      <c r="Z4996">
        <v>0</v>
      </c>
      <c r="AA4996">
        <v>9</v>
      </c>
      <c r="AB4996">
        <v>3</v>
      </c>
      <c r="AC4996">
        <v>0</v>
      </c>
      <c r="AD4996">
        <v>10</v>
      </c>
      <c r="AE4996">
        <v>0</v>
      </c>
      <c r="AF4996">
        <v>3</v>
      </c>
      <c r="AG4996">
        <v>2</v>
      </c>
      <c r="AH4996">
        <v>0</v>
      </c>
      <c r="AI4996" t="s">
        <v>1111</v>
      </c>
      <c r="AJ4996">
        <v>28.235056</v>
      </c>
      <c r="AK4996" t="s">
        <v>1112</v>
      </c>
      <c r="AL4996">
        <v>-82.366969999999995</v>
      </c>
      <c r="AM4996">
        <v>100</v>
      </c>
      <c r="AN4996">
        <v>2200</v>
      </c>
      <c r="AO4996" t="s">
        <v>118</v>
      </c>
      <c r="AP4996">
        <v>-100</v>
      </c>
      <c r="AQ4996">
        <v>-47</v>
      </c>
      <c r="AR4996">
        <v>-896</v>
      </c>
      <c r="AZ4996">
        <v>1200</v>
      </c>
      <c r="BA4996">
        <v>1</v>
      </c>
      <c r="BB4996" t="str">
        <f t="shared" si="2282"/>
        <v xml:space="preserve">N711JA  </v>
      </c>
      <c r="BC4996">
        <v>1</v>
      </c>
      <c r="BE4996">
        <v>0</v>
      </c>
      <c r="BF4996">
        <v>0</v>
      </c>
      <c r="BG4996">
        <v>0</v>
      </c>
      <c r="BH4996">
        <v>2300</v>
      </c>
      <c r="BI4996">
        <v>1</v>
      </c>
      <c r="BJ4996">
        <v>1</v>
      </c>
      <c r="BK4996">
        <v>0</v>
      </c>
      <c r="BL4996">
        <v>0</v>
      </c>
      <c r="BO4996">
        <v>0</v>
      </c>
      <c r="BP4996">
        <v>0</v>
      </c>
      <c r="BW4996" t="str">
        <f t="shared" si="2304"/>
        <v>14:50:27.106</v>
      </c>
      <c r="CJ4996">
        <v>0</v>
      </c>
      <c r="CK4996">
        <v>2</v>
      </c>
      <c r="CL4996">
        <v>0</v>
      </c>
      <c r="CM4996">
        <v>2</v>
      </c>
      <c r="CN4996">
        <v>0</v>
      </c>
      <c r="CO4996">
        <v>6</v>
      </c>
      <c r="CP4996" t="s">
        <v>119</v>
      </c>
      <c r="CQ4996">
        <v>8</v>
      </c>
      <c r="CR4996">
        <v>3</v>
      </c>
      <c r="CW4996">
        <v>9222777</v>
      </c>
      <c r="CY4996">
        <v>1</v>
      </c>
      <c r="CZ4996">
        <v>0</v>
      </c>
      <c r="DA4996">
        <v>1</v>
      </c>
      <c r="DB4996">
        <v>0</v>
      </c>
      <c r="DC4996">
        <v>0</v>
      </c>
      <c r="DD4996">
        <v>1</v>
      </c>
      <c r="DE4996">
        <v>0</v>
      </c>
      <c r="DF4996">
        <v>0</v>
      </c>
      <c r="DG4996">
        <v>0</v>
      </c>
      <c r="DH4996">
        <v>0</v>
      </c>
      <c r="DI4996">
        <v>0</v>
      </c>
    </row>
    <row r="4997" spans="1:113" x14ac:dyDescent="0.3">
      <c r="A4997" t="str">
        <f t="shared" si="2301"/>
        <v>05/12/2020 14:50:09.298</v>
      </c>
      <c r="C4997" t="str">
        <f t="shared" si="2281"/>
        <v>FFDFD3C0</v>
      </c>
      <c r="D4997" t="s">
        <v>138</v>
      </c>
      <c r="E4997">
        <v>3</v>
      </c>
      <c r="H4997">
        <v>9</v>
      </c>
      <c r="I4997" t="s">
        <v>140</v>
      </c>
      <c r="J4997" t="s">
        <v>136</v>
      </c>
      <c r="K4997">
        <v>0</v>
      </c>
      <c r="L4997">
        <v>3</v>
      </c>
      <c r="M4997">
        <v>0</v>
      </c>
      <c r="N4997">
        <v>2</v>
      </c>
      <c r="O4997">
        <v>1</v>
      </c>
      <c r="P4997">
        <v>0</v>
      </c>
      <c r="Q4997">
        <v>0</v>
      </c>
      <c r="S4997" t="str">
        <f t="shared" si="2302"/>
        <v>14:50:27.102</v>
      </c>
      <c r="T4997" t="str">
        <f t="shared" si="2303"/>
        <v>14:50:26.902</v>
      </c>
      <c r="U4997" t="str">
        <f t="shared" si="2300"/>
        <v>A9808D</v>
      </c>
      <c r="V4997">
        <v>0</v>
      </c>
      <c r="W4997">
        <v>0</v>
      </c>
      <c r="X4997">
        <v>1</v>
      </c>
      <c r="Z4997">
        <v>0</v>
      </c>
      <c r="AA4997">
        <v>9</v>
      </c>
      <c r="AB4997">
        <v>3</v>
      </c>
      <c r="AC4997">
        <v>0</v>
      </c>
      <c r="AD4997">
        <v>10</v>
      </c>
      <c r="AE4997">
        <v>0</v>
      </c>
      <c r="AF4997">
        <v>3</v>
      </c>
      <c r="AG4997">
        <v>2</v>
      </c>
      <c r="AH4997">
        <v>0</v>
      </c>
      <c r="AI4997" t="s">
        <v>1111</v>
      </c>
      <c r="AJ4997">
        <v>28.235056</v>
      </c>
      <c r="AK4997" t="s">
        <v>1112</v>
      </c>
      <c r="AL4997">
        <v>-82.366969999999995</v>
      </c>
      <c r="AM4997">
        <v>100</v>
      </c>
      <c r="AN4997">
        <v>2200</v>
      </c>
      <c r="AO4997" t="s">
        <v>118</v>
      </c>
      <c r="AP4997">
        <v>-100</v>
      </c>
      <c r="AQ4997">
        <v>-47</v>
      </c>
      <c r="AR4997">
        <v>-896</v>
      </c>
      <c r="AZ4997">
        <v>1200</v>
      </c>
      <c r="BA4997">
        <v>1</v>
      </c>
      <c r="BB4997" t="str">
        <f t="shared" si="2282"/>
        <v xml:space="preserve">N711JA  </v>
      </c>
      <c r="BC4997">
        <v>1</v>
      </c>
      <c r="BE4997">
        <v>0</v>
      </c>
      <c r="BF4997">
        <v>0</v>
      </c>
      <c r="BG4997">
        <v>0</v>
      </c>
      <c r="BH4997">
        <v>2300</v>
      </c>
      <c r="BI4997">
        <v>1</v>
      </c>
      <c r="BJ4997">
        <v>1</v>
      </c>
      <c r="BK4997">
        <v>0</v>
      </c>
      <c r="BL4997">
        <v>0</v>
      </c>
      <c r="BO4997">
        <v>0</v>
      </c>
      <c r="BP4997">
        <v>0</v>
      </c>
      <c r="BW4997" t="str">
        <f t="shared" si="2304"/>
        <v>14:50:27.106</v>
      </c>
      <c r="CJ4997">
        <v>0</v>
      </c>
      <c r="CK4997">
        <v>2</v>
      </c>
      <c r="CL4997">
        <v>0</v>
      </c>
      <c r="CM4997">
        <v>2</v>
      </c>
      <c r="CN4997">
        <v>0</v>
      </c>
      <c r="CO4997">
        <v>6</v>
      </c>
      <c r="CP4997" t="s">
        <v>119</v>
      </c>
      <c r="CQ4997">
        <v>8</v>
      </c>
      <c r="CR4997">
        <v>3</v>
      </c>
      <c r="CW4997">
        <v>9222777</v>
      </c>
      <c r="CY4997">
        <v>1</v>
      </c>
      <c r="CZ4997">
        <v>0</v>
      </c>
      <c r="DA4997">
        <v>1</v>
      </c>
      <c r="DB4997">
        <v>0</v>
      </c>
      <c r="DC4997">
        <v>0</v>
      </c>
      <c r="DD4997">
        <v>1</v>
      </c>
      <c r="DE4997">
        <v>0</v>
      </c>
      <c r="DF4997">
        <v>0</v>
      </c>
      <c r="DG4997">
        <v>0</v>
      </c>
      <c r="DH4997">
        <v>0</v>
      </c>
      <c r="DI4997">
        <v>0</v>
      </c>
    </row>
    <row r="4998" spans="1:113" x14ac:dyDescent="0.3">
      <c r="A4998" t="str">
        <f t="shared" si="2301"/>
        <v>05/12/2020 14:50:09.298</v>
      </c>
      <c r="C4998" t="str">
        <f t="shared" si="2281"/>
        <v>FFDFD3C0</v>
      </c>
      <c r="D4998" t="s">
        <v>126</v>
      </c>
      <c r="E4998">
        <v>7</v>
      </c>
      <c r="F4998">
        <v>1007</v>
      </c>
      <c r="G4998" t="s">
        <v>127</v>
      </c>
      <c r="J4998" t="s">
        <v>128</v>
      </c>
      <c r="K4998">
        <v>0</v>
      </c>
      <c r="L4998">
        <v>3</v>
      </c>
      <c r="M4998">
        <v>0</v>
      </c>
      <c r="N4998">
        <v>2</v>
      </c>
      <c r="O4998">
        <v>1</v>
      </c>
      <c r="P4998">
        <v>0</v>
      </c>
      <c r="Q4998">
        <v>0</v>
      </c>
      <c r="S4998" t="str">
        <f t="shared" si="2302"/>
        <v>14:50:27.102</v>
      </c>
      <c r="T4998" t="str">
        <f t="shared" si="2303"/>
        <v>14:50:26.902</v>
      </c>
      <c r="U4998" t="str">
        <f t="shared" si="2300"/>
        <v>A9808D</v>
      </c>
      <c r="V4998">
        <v>0</v>
      </c>
      <c r="W4998">
        <v>0</v>
      </c>
      <c r="X4998">
        <v>1</v>
      </c>
      <c r="Z4998">
        <v>0</v>
      </c>
      <c r="AA4998">
        <v>9</v>
      </c>
      <c r="AB4998">
        <v>3</v>
      </c>
      <c r="AC4998">
        <v>0</v>
      </c>
      <c r="AD4998">
        <v>10</v>
      </c>
      <c r="AE4998">
        <v>0</v>
      </c>
      <c r="AF4998">
        <v>3</v>
      </c>
      <c r="AG4998">
        <v>2</v>
      </c>
      <c r="AH4998">
        <v>0</v>
      </c>
      <c r="AI4998" t="s">
        <v>1111</v>
      </c>
      <c r="AJ4998">
        <v>28.235056</v>
      </c>
      <c r="AK4998" t="s">
        <v>1112</v>
      </c>
      <c r="AL4998">
        <v>-82.366969999999995</v>
      </c>
      <c r="AM4998">
        <v>100</v>
      </c>
      <c r="AN4998">
        <v>2200</v>
      </c>
      <c r="AO4998" t="s">
        <v>118</v>
      </c>
      <c r="AP4998">
        <v>-100</v>
      </c>
      <c r="AQ4998">
        <v>-47</v>
      </c>
      <c r="AR4998">
        <v>-896</v>
      </c>
      <c r="AZ4998">
        <v>1200</v>
      </c>
      <c r="BA4998">
        <v>1</v>
      </c>
      <c r="BB4998" t="str">
        <f t="shared" si="2282"/>
        <v xml:space="preserve">N711JA  </v>
      </c>
      <c r="BC4998">
        <v>1</v>
      </c>
      <c r="BE4998">
        <v>0</v>
      </c>
      <c r="BF4998">
        <v>0</v>
      </c>
      <c r="BG4998">
        <v>0</v>
      </c>
      <c r="BH4998">
        <v>2300</v>
      </c>
      <c r="BI4998">
        <v>1</v>
      </c>
      <c r="BJ4998">
        <v>1</v>
      </c>
      <c r="BK4998">
        <v>0</v>
      </c>
      <c r="BL4998">
        <v>0</v>
      </c>
      <c r="BO4998">
        <v>0</v>
      </c>
      <c r="BP4998">
        <v>0</v>
      </c>
      <c r="BW4998" t="str">
        <f t="shared" si="2304"/>
        <v>14:50:27.106</v>
      </c>
      <c r="CJ4998">
        <v>0</v>
      </c>
      <c r="CK4998">
        <v>2</v>
      </c>
      <c r="CL4998">
        <v>0</v>
      </c>
      <c r="CM4998">
        <v>2</v>
      </c>
      <c r="CN4998">
        <v>0</v>
      </c>
      <c r="CO4998">
        <v>6</v>
      </c>
      <c r="CP4998" t="s">
        <v>119</v>
      </c>
      <c r="CQ4998">
        <v>8</v>
      </c>
      <c r="CR4998">
        <v>3</v>
      </c>
      <c r="CW4998">
        <v>9222777</v>
      </c>
      <c r="CY4998">
        <v>1</v>
      </c>
      <c r="CZ4998">
        <v>0</v>
      </c>
      <c r="DA4998">
        <v>1</v>
      </c>
      <c r="DB4998">
        <v>0</v>
      </c>
      <c r="DC4998">
        <v>0</v>
      </c>
      <c r="DD4998">
        <v>1</v>
      </c>
      <c r="DE4998">
        <v>0</v>
      </c>
      <c r="DF4998">
        <v>0</v>
      </c>
      <c r="DG4998">
        <v>0</v>
      </c>
      <c r="DH4998">
        <v>0</v>
      </c>
      <c r="DI4998">
        <v>0</v>
      </c>
    </row>
    <row r="4999" spans="1:113" x14ac:dyDescent="0.3">
      <c r="A4999" t="str">
        <f t="shared" si="2301"/>
        <v>05/12/2020 14:50:09.298</v>
      </c>
      <c r="C4999" t="str">
        <f t="shared" si="2281"/>
        <v>FFDFD3C0</v>
      </c>
      <c r="D4999" t="s">
        <v>131</v>
      </c>
      <c r="E4999">
        <v>10</v>
      </c>
      <c r="F4999">
        <v>2010</v>
      </c>
      <c r="G4999" t="s">
        <v>132</v>
      </c>
      <c r="J4999" t="s">
        <v>133</v>
      </c>
      <c r="K4999">
        <v>0</v>
      </c>
      <c r="L4999">
        <v>3</v>
      </c>
      <c r="M4999">
        <v>0</v>
      </c>
      <c r="N4999">
        <v>2</v>
      </c>
      <c r="O4999">
        <v>1</v>
      </c>
      <c r="P4999">
        <v>0</v>
      </c>
      <c r="Q4999">
        <v>0</v>
      </c>
      <c r="S4999" t="str">
        <f t="shared" si="2302"/>
        <v>14:50:27.102</v>
      </c>
      <c r="T4999" t="str">
        <f t="shared" si="2303"/>
        <v>14:50:26.902</v>
      </c>
      <c r="U4999" t="str">
        <f t="shared" si="2300"/>
        <v>A9808D</v>
      </c>
      <c r="V4999">
        <v>0</v>
      </c>
      <c r="W4999">
        <v>0</v>
      </c>
      <c r="X4999">
        <v>1</v>
      </c>
      <c r="Z4999">
        <v>0</v>
      </c>
      <c r="AA4999">
        <v>9</v>
      </c>
      <c r="AB4999">
        <v>3</v>
      </c>
      <c r="AC4999">
        <v>0</v>
      </c>
      <c r="AD4999">
        <v>10</v>
      </c>
      <c r="AE4999">
        <v>0</v>
      </c>
      <c r="AF4999">
        <v>3</v>
      </c>
      <c r="AG4999">
        <v>2</v>
      </c>
      <c r="AH4999">
        <v>0</v>
      </c>
      <c r="AI4999" t="s">
        <v>1111</v>
      </c>
      <c r="AJ4999">
        <v>28.235056</v>
      </c>
      <c r="AK4999" t="s">
        <v>1112</v>
      </c>
      <c r="AL4999">
        <v>-82.366969999999995</v>
      </c>
      <c r="AM4999">
        <v>100</v>
      </c>
      <c r="AN4999">
        <v>2200</v>
      </c>
      <c r="AO4999" t="s">
        <v>118</v>
      </c>
      <c r="AP4999">
        <v>-100</v>
      </c>
      <c r="AQ4999">
        <v>-47</v>
      </c>
      <c r="AR4999">
        <v>-896</v>
      </c>
      <c r="AZ4999">
        <v>1200</v>
      </c>
      <c r="BA4999">
        <v>1</v>
      </c>
      <c r="BB4999" t="str">
        <f t="shared" si="2282"/>
        <v xml:space="preserve">N711JA  </v>
      </c>
      <c r="BC4999">
        <v>1</v>
      </c>
      <c r="BE4999">
        <v>0</v>
      </c>
      <c r="BF4999">
        <v>0</v>
      </c>
      <c r="BG4999">
        <v>0</v>
      </c>
      <c r="BH4999">
        <v>2300</v>
      </c>
      <c r="BI4999">
        <v>1</v>
      </c>
      <c r="BJ4999">
        <v>1</v>
      </c>
      <c r="BK4999">
        <v>0</v>
      </c>
      <c r="BL4999">
        <v>0</v>
      </c>
      <c r="BO4999">
        <v>0</v>
      </c>
      <c r="BP4999">
        <v>0</v>
      </c>
      <c r="BW4999" t="str">
        <f t="shared" si="2304"/>
        <v>14:50:27.106</v>
      </c>
      <c r="CJ4999">
        <v>0</v>
      </c>
      <c r="CK4999">
        <v>2</v>
      </c>
      <c r="CL4999">
        <v>0</v>
      </c>
      <c r="CM4999">
        <v>2</v>
      </c>
      <c r="CN4999">
        <v>0</v>
      </c>
      <c r="CO4999">
        <v>6</v>
      </c>
      <c r="CP4999" t="s">
        <v>119</v>
      </c>
      <c r="CQ4999">
        <v>8</v>
      </c>
      <c r="CR4999">
        <v>3</v>
      </c>
      <c r="CW4999">
        <v>9222777</v>
      </c>
      <c r="CY4999">
        <v>1</v>
      </c>
      <c r="CZ4999">
        <v>0</v>
      </c>
      <c r="DA4999">
        <v>1</v>
      </c>
      <c r="DB4999">
        <v>0</v>
      </c>
      <c r="DC4999">
        <v>0</v>
      </c>
      <c r="DD4999">
        <v>1</v>
      </c>
      <c r="DE4999">
        <v>0</v>
      </c>
      <c r="DF4999">
        <v>0</v>
      </c>
      <c r="DG4999">
        <v>0</v>
      </c>
      <c r="DH4999">
        <v>0</v>
      </c>
      <c r="DI4999">
        <v>0</v>
      </c>
    </row>
    <row r="5000" spans="1:113" x14ac:dyDescent="0.3">
      <c r="A5000" t="str">
        <f t="shared" si="2301"/>
        <v>05/12/2020 14:50:09.298</v>
      </c>
      <c r="C5000" t="str">
        <f t="shared" si="2281"/>
        <v>FFDFD3C0</v>
      </c>
      <c r="D5000" t="s">
        <v>131</v>
      </c>
      <c r="E5000">
        <v>12</v>
      </c>
      <c r="F5000">
        <v>2012</v>
      </c>
      <c r="G5000" t="s">
        <v>137</v>
      </c>
      <c r="J5000" t="s">
        <v>133</v>
      </c>
      <c r="K5000">
        <v>0</v>
      </c>
      <c r="L5000">
        <v>3</v>
      </c>
      <c r="M5000">
        <v>0</v>
      </c>
      <c r="N5000">
        <v>2</v>
      </c>
      <c r="O5000">
        <v>1</v>
      </c>
      <c r="P5000">
        <v>0</v>
      </c>
      <c r="Q5000">
        <v>0</v>
      </c>
      <c r="S5000" t="str">
        <f t="shared" si="2302"/>
        <v>14:50:27.102</v>
      </c>
      <c r="T5000" t="str">
        <f t="shared" si="2303"/>
        <v>14:50:26.902</v>
      </c>
      <c r="U5000" t="str">
        <f t="shared" si="2300"/>
        <v>A9808D</v>
      </c>
      <c r="V5000">
        <v>0</v>
      </c>
      <c r="W5000">
        <v>0</v>
      </c>
      <c r="X5000">
        <v>1</v>
      </c>
      <c r="Z5000">
        <v>0</v>
      </c>
      <c r="AA5000">
        <v>9</v>
      </c>
      <c r="AB5000">
        <v>3</v>
      </c>
      <c r="AC5000">
        <v>0</v>
      </c>
      <c r="AD5000">
        <v>10</v>
      </c>
      <c r="AE5000">
        <v>0</v>
      </c>
      <c r="AF5000">
        <v>3</v>
      </c>
      <c r="AG5000">
        <v>2</v>
      </c>
      <c r="AH5000">
        <v>0</v>
      </c>
      <c r="AI5000" t="s">
        <v>1111</v>
      </c>
      <c r="AJ5000">
        <v>28.235056</v>
      </c>
      <c r="AK5000" t="s">
        <v>1112</v>
      </c>
      <c r="AL5000">
        <v>-82.366969999999995</v>
      </c>
      <c r="AM5000">
        <v>100</v>
      </c>
      <c r="AN5000">
        <v>2200</v>
      </c>
      <c r="AO5000" t="s">
        <v>118</v>
      </c>
      <c r="AP5000">
        <v>-100</v>
      </c>
      <c r="AQ5000">
        <v>-47</v>
      </c>
      <c r="AR5000">
        <v>-896</v>
      </c>
      <c r="AZ5000">
        <v>1200</v>
      </c>
      <c r="BA5000">
        <v>1</v>
      </c>
      <c r="BB5000" t="str">
        <f t="shared" si="2282"/>
        <v xml:space="preserve">N711JA  </v>
      </c>
      <c r="BC5000">
        <v>1</v>
      </c>
      <c r="BE5000">
        <v>0</v>
      </c>
      <c r="BF5000">
        <v>0</v>
      </c>
      <c r="BG5000">
        <v>0</v>
      </c>
      <c r="BH5000">
        <v>2300</v>
      </c>
      <c r="BI5000">
        <v>1</v>
      </c>
      <c r="BJ5000">
        <v>1</v>
      </c>
      <c r="BK5000">
        <v>0</v>
      </c>
      <c r="BL5000">
        <v>0</v>
      </c>
      <c r="BO5000">
        <v>0</v>
      </c>
      <c r="BP5000">
        <v>0</v>
      </c>
      <c r="BW5000" t="str">
        <f t="shared" si="2304"/>
        <v>14:50:27.106</v>
      </c>
      <c r="CJ5000">
        <v>0</v>
      </c>
      <c r="CK5000">
        <v>2</v>
      </c>
      <c r="CL5000">
        <v>0</v>
      </c>
      <c r="CM5000">
        <v>2</v>
      </c>
      <c r="CN5000">
        <v>0</v>
      </c>
      <c r="CO5000">
        <v>6</v>
      </c>
      <c r="CP5000" t="s">
        <v>119</v>
      </c>
      <c r="CQ5000">
        <v>8</v>
      </c>
      <c r="CR5000">
        <v>3</v>
      </c>
      <c r="CW5000">
        <v>9222777</v>
      </c>
      <c r="CY5000">
        <v>1</v>
      </c>
      <c r="CZ5000">
        <v>0</v>
      </c>
      <c r="DA5000">
        <v>1</v>
      </c>
      <c r="DB5000">
        <v>0</v>
      </c>
      <c r="DC5000">
        <v>0</v>
      </c>
      <c r="DD5000">
        <v>1</v>
      </c>
      <c r="DE5000">
        <v>0</v>
      </c>
      <c r="DF5000">
        <v>0</v>
      </c>
      <c r="DG5000">
        <v>0</v>
      </c>
      <c r="DH5000">
        <v>0</v>
      </c>
      <c r="DI5000">
        <v>0</v>
      </c>
    </row>
    <row r="5001" spans="1:113" x14ac:dyDescent="0.3">
      <c r="A5001" t="str">
        <f t="shared" si="2301"/>
        <v>05/12/2020 14:50:09.298</v>
      </c>
      <c r="C5001" t="str">
        <f t="shared" si="2281"/>
        <v>FFDFD3C0</v>
      </c>
      <c r="D5001" t="s">
        <v>134</v>
      </c>
      <c r="E5001">
        <v>12</v>
      </c>
      <c r="H5001">
        <v>64</v>
      </c>
      <c r="I5001" t="s">
        <v>135</v>
      </c>
      <c r="J5001" t="s">
        <v>136</v>
      </c>
      <c r="K5001">
        <v>0</v>
      </c>
      <c r="L5001">
        <v>3</v>
      </c>
      <c r="M5001">
        <v>0</v>
      </c>
      <c r="N5001">
        <v>2</v>
      </c>
      <c r="O5001">
        <v>1</v>
      </c>
      <c r="P5001">
        <v>0</v>
      </c>
      <c r="Q5001">
        <v>0</v>
      </c>
      <c r="S5001" t="str">
        <f t="shared" si="2302"/>
        <v>14:50:27.102</v>
      </c>
      <c r="T5001" t="str">
        <f t="shared" si="2303"/>
        <v>14:50:26.902</v>
      </c>
      <c r="U5001" t="str">
        <f t="shared" si="2300"/>
        <v>A9808D</v>
      </c>
      <c r="V5001">
        <v>0</v>
      </c>
      <c r="W5001">
        <v>0</v>
      </c>
      <c r="X5001">
        <v>1</v>
      </c>
      <c r="Z5001">
        <v>0</v>
      </c>
      <c r="AA5001">
        <v>9</v>
      </c>
      <c r="AB5001">
        <v>3</v>
      </c>
      <c r="AC5001">
        <v>0</v>
      </c>
      <c r="AD5001">
        <v>10</v>
      </c>
      <c r="AE5001">
        <v>0</v>
      </c>
      <c r="AF5001">
        <v>3</v>
      </c>
      <c r="AG5001">
        <v>2</v>
      </c>
      <c r="AH5001">
        <v>0</v>
      </c>
      <c r="AI5001" t="s">
        <v>1111</v>
      </c>
      <c r="AJ5001">
        <v>28.235056</v>
      </c>
      <c r="AK5001" t="s">
        <v>1112</v>
      </c>
      <c r="AL5001">
        <v>-82.366969999999995</v>
      </c>
      <c r="AM5001">
        <v>100</v>
      </c>
      <c r="AN5001">
        <v>2200</v>
      </c>
      <c r="AO5001" t="s">
        <v>118</v>
      </c>
      <c r="AP5001">
        <v>-100</v>
      </c>
      <c r="AQ5001">
        <v>-47</v>
      </c>
      <c r="AR5001">
        <v>-896</v>
      </c>
      <c r="AZ5001">
        <v>1200</v>
      </c>
      <c r="BA5001">
        <v>1</v>
      </c>
      <c r="BB5001" t="str">
        <f t="shared" si="2282"/>
        <v xml:space="preserve">N711JA  </v>
      </c>
      <c r="BC5001">
        <v>1</v>
      </c>
      <c r="BE5001">
        <v>0</v>
      </c>
      <c r="BF5001">
        <v>0</v>
      </c>
      <c r="BG5001">
        <v>0</v>
      </c>
      <c r="BH5001">
        <v>2300</v>
      </c>
      <c r="BI5001">
        <v>1</v>
      </c>
      <c r="BJ5001">
        <v>1</v>
      </c>
      <c r="BK5001">
        <v>0</v>
      </c>
      <c r="BL5001">
        <v>0</v>
      </c>
      <c r="BO5001">
        <v>0</v>
      </c>
      <c r="BP5001">
        <v>0</v>
      </c>
      <c r="BW5001" t="str">
        <f t="shared" si="2304"/>
        <v>14:50:27.106</v>
      </c>
      <c r="CJ5001">
        <v>0</v>
      </c>
      <c r="CK5001">
        <v>2</v>
      </c>
      <c r="CL5001">
        <v>0</v>
      </c>
      <c r="CM5001">
        <v>2</v>
      </c>
      <c r="CN5001">
        <v>0</v>
      </c>
      <c r="CO5001">
        <v>6</v>
      </c>
      <c r="CP5001" t="s">
        <v>119</v>
      </c>
      <c r="CQ5001">
        <v>8</v>
      </c>
      <c r="CR5001">
        <v>3</v>
      </c>
      <c r="CW5001">
        <v>9222777</v>
      </c>
      <c r="CY5001">
        <v>1</v>
      </c>
      <c r="CZ5001">
        <v>0</v>
      </c>
      <c r="DA5001">
        <v>1</v>
      </c>
      <c r="DB5001">
        <v>0</v>
      </c>
      <c r="DC5001">
        <v>0</v>
      </c>
      <c r="DD5001">
        <v>1</v>
      </c>
      <c r="DE5001">
        <v>0</v>
      </c>
      <c r="DF5001">
        <v>0</v>
      </c>
      <c r="DG5001">
        <v>0</v>
      </c>
      <c r="DH5001">
        <v>0</v>
      </c>
      <c r="DI5001">
        <v>0</v>
      </c>
    </row>
    <row r="5002" spans="1:113" x14ac:dyDescent="0.3">
      <c r="A5002" t="str">
        <f t="shared" si="2301"/>
        <v>05/12/2020 14:50:09.298</v>
      </c>
      <c r="C5002" t="str">
        <f t="shared" si="2281"/>
        <v>FFDFD3C0</v>
      </c>
      <c r="D5002" t="s">
        <v>126</v>
      </c>
      <c r="E5002">
        <v>6</v>
      </c>
      <c r="F5002">
        <v>1006</v>
      </c>
      <c r="G5002" t="s">
        <v>114</v>
      </c>
      <c r="J5002" t="s">
        <v>128</v>
      </c>
      <c r="K5002">
        <v>0</v>
      </c>
      <c r="L5002">
        <v>3</v>
      </c>
      <c r="M5002">
        <v>0</v>
      </c>
      <c r="N5002">
        <v>2</v>
      </c>
      <c r="O5002">
        <v>1</v>
      </c>
      <c r="P5002">
        <v>0</v>
      </c>
      <c r="Q5002">
        <v>0</v>
      </c>
      <c r="S5002" t="str">
        <f t="shared" si="2302"/>
        <v>14:50:27.102</v>
      </c>
      <c r="T5002" t="str">
        <f t="shared" si="2303"/>
        <v>14:50:26.902</v>
      </c>
      <c r="U5002" t="str">
        <f t="shared" si="2300"/>
        <v>A9808D</v>
      </c>
      <c r="V5002">
        <v>0</v>
      </c>
      <c r="W5002">
        <v>0</v>
      </c>
      <c r="X5002">
        <v>1</v>
      </c>
      <c r="Z5002">
        <v>0</v>
      </c>
      <c r="AA5002">
        <v>9</v>
      </c>
      <c r="AB5002">
        <v>3</v>
      </c>
      <c r="AC5002">
        <v>0</v>
      </c>
      <c r="AD5002">
        <v>10</v>
      </c>
      <c r="AE5002">
        <v>0</v>
      </c>
      <c r="AF5002">
        <v>3</v>
      </c>
      <c r="AG5002">
        <v>2</v>
      </c>
      <c r="AH5002">
        <v>0</v>
      </c>
      <c r="AI5002" t="s">
        <v>1111</v>
      </c>
      <c r="AJ5002">
        <v>28.235056</v>
      </c>
      <c r="AK5002" t="s">
        <v>1112</v>
      </c>
      <c r="AL5002">
        <v>-82.366969999999995</v>
      </c>
      <c r="AM5002">
        <v>100</v>
      </c>
      <c r="AN5002">
        <v>2200</v>
      </c>
      <c r="AO5002" t="s">
        <v>118</v>
      </c>
      <c r="AP5002">
        <v>-100</v>
      </c>
      <c r="AQ5002">
        <v>-47</v>
      </c>
      <c r="AR5002">
        <v>-896</v>
      </c>
      <c r="AZ5002">
        <v>1200</v>
      </c>
      <c r="BA5002">
        <v>1</v>
      </c>
      <c r="BB5002" t="str">
        <f t="shared" si="2282"/>
        <v xml:space="preserve">N711JA  </v>
      </c>
      <c r="BC5002">
        <v>1</v>
      </c>
      <c r="BE5002">
        <v>0</v>
      </c>
      <c r="BF5002">
        <v>0</v>
      </c>
      <c r="BG5002">
        <v>0</v>
      </c>
      <c r="BH5002">
        <v>2300</v>
      </c>
      <c r="BI5002">
        <v>1</v>
      </c>
      <c r="BJ5002">
        <v>1</v>
      </c>
      <c r="BK5002">
        <v>0</v>
      </c>
      <c r="BL5002">
        <v>0</v>
      </c>
      <c r="BO5002">
        <v>0</v>
      </c>
      <c r="BP5002">
        <v>0</v>
      </c>
      <c r="BW5002" t="str">
        <f t="shared" si="2304"/>
        <v>14:50:27.106</v>
      </c>
      <c r="CJ5002">
        <v>0</v>
      </c>
      <c r="CK5002">
        <v>2</v>
      </c>
      <c r="CL5002">
        <v>0</v>
      </c>
      <c r="CM5002">
        <v>2</v>
      </c>
      <c r="CN5002">
        <v>0</v>
      </c>
      <c r="CO5002">
        <v>6</v>
      </c>
      <c r="CP5002" t="s">
        <v>119</v>
      </c>
      <c r="CQ5002">
        <v>8</v>
      </c>
      <c r="CR5002">
        <v>3</v>
      </c>
      <c r="CW5002">
        <v>9222777</v>
      </c>
      <c r="CY5002">
        <v>1</v>
      </c>
      <c r="CZ5002">
        <v>0</v>
      </c>
      <c r="DA5002">
        <v>1</v>
      </c>
      <c r="DB5002">
        <v>0</v>
      </c>
      <c r="DC5002">
        <v>0</v>
      </c>
      <c r="DD5002">
        <v>1</v>
      </c>
      <c r="DE5002">
        <v>0</v>
      </c>
      <c r="DF5002">
        <v>0</v>
      </c>
      <c r="DG5002">
        <v>0</v>
      </c>
      <c r="DH5002">
        <v>0</v>
      </c>
      <c r="DI5002">
        <v>0</v>
      </c>
    </row>
    <row r="5003" spans="1:113" x14ac:dyDescent="0.3">
      <c r="A5003" t="str">
        <f t="shared" ref="A5003:A5011" si="2305">"05/12/2020 14:50:10.210"</f>
        <v>05/12/2020 14:50:10.210</v>
      </c>
      <c r="C5003" t="str">
        <f t="shared" si="2281"/>
        <v>FFDFD3C0</v>
      </c>
      <c r="D5003" t="s">
        <v>131</v>
      </c>
      <c r="E5003">
        <v>10</v>
      </c>
      <c r="F5003">
        <v>2010</v>
      </c>
      <c r="G5003" t="s">
        <v>132</v>
      </c>
      <c r="J5003" t="s">
        <v>133</v>
      </c>
      <c r="K5003">
        <v>0</v>
      </c>
      <c r="L5003">
        <v>3</v>
      </c>
      <c r="M5003">
        <v>0</v>
      </c>
      <c r="N5003">
        <v>2</v>
      </c>
      <c r="O5003">
        <v>1</v>
      </c>
      <c r="P5003">
        <v>0</v>
      </c>
      <c r="Q5003">
        <v>0</v>
      </c>
      <c r="S5003" t="str">
        <f t="shared" ref="S5003:S5011" si="2306">"14:50:28.031"</f>
        <v>14:50:28.031</v>
      </c>
      <c r="T5003" t="str">
        <f t="shared" ref="T5003:T5011" si="2307">"14:50:27.831"</f>
        <v>14:50:27.831</v>
      </c>
      <c r="U5003" t="str">
        <f t="shared" si="2300"/>
        <v>A9808D</v>
      </c>
      <c r="V5003">
        <v>0</v>
      </c>
      <c r="W5003">
        <v>0</v>
      </c>
      <c r="X5003">
        <v>1</v>
      </c>
      <c r="Z5003">
        <v>0</v>
      </c>
      <c r="AA5003">
        <v>9</v>
      </c>
      <c r="AB5003">
        <v>3</v>
      </c>
      <c r="AC5003">
        <v>0</v>
      </c>
      <c r="AD5003">
        <v>10</v>
      </c>
      <c r="AE5003">
        <v>0</v>
      </c>
      <c r="AF5003">
        <v>3</v>
      </c>
      <c r="AG5003">
        <v>2</v>
      </c>
      <c r="AH5003">
        <v>0</v>
      </c>
      <c r="AI5003" t="s">
        <v>1113</v>
      </c>
      <c r="AJ5003">
        <v>28.234819999999999</v>
      </c>
      <c r="AK5003" t="s">
        <v>1114</v>
      </c>
      <c r="AL5003">
        <v>-82.367463000000001</v>
      </c>
      <c r="AM5003">
        <v>100</v>
      </c>
      <c r="AN5003">
        <v>2200</v>
      </c>
      <c r="AO5003" t="s">
        <v>118</v>
      </c>
      <c r="AP5003">
        <v>-100</v>
      </c>
      <c r="AQ5003">
        <v>-48</v>
      </c>
      <c r="AR5003">
        <v>-896</v>
      </c>
      <c r="AZ5003">
        <v>1200</v>
      </c>
      <c r="BA5003">
        <v>1</v>
      </c>
      <c r="BB5003" t="str">
        <f t="shared" si="2282"/>
        <v xml:space="preserve">N711JA  </v>
      </c>
      <c r="BC5003">
        <v>1</v>
      </c>
      <c r="BE5003">
        <v>0</v>
      </c>
      <c r="BF5003">
        <v>0</v>
      </c>
      <c r="BG5003">
        <v>0</v>
      </c>
      <c r="BH5003">
        <v>2300</v>
      </c>
      <c r="BI5003">
        <v>1</v>
      </c>
      <c r="BJ5003">
        <v>1</v>
      </c>
      <c r="BK5003">
        <v>0</v>
      </c>
      <c r="BL5003">
        <v>0</v>
      </c>
      <c r="BO5003">
        <v>0</v>
      </c>
      <c r="BP5003">
        <v>0</v>
      </c>
      <c r="BW5003" t="str">
        <f t="shared" ref="BW5003:BW5011" si="2308">"14:50:28.033"</f>
        <v>14:50:28.033</v>
      </c>
      <c r="CJ5003">
        <v>0</v>
      </c>
      <c r="CK5003">
        <v>2</v>
      </c>
      <c r="CL5003">
        <v>0</v>
      </c>
      <c r="CM5003">
        <v>2</v>
      </c>
      <c r="CN5003">
        <v>0</v>
      </c>
      <c r="CO5003">
        <v>6</v>
      </c>
      <c r="CP5003" t="s">
        <v>119</v>
      </c>
      <c r="CQ5003">
        <v>8</v>
      </c>
      <c r="CR5003">
        <v>3</v>
      </c>
      <c r="CW5003">
        <v>9223718</v>
      </c>
      <c r="CY5003">
        <v>1</v>
      </c>
      <c r="CZ5003">
        <v>0</v>
      </c>
      <c r="DA5003">
        <v>0</v>
      </c>
      <c r="DB5003">
        <v>0</v>
      </c>
      <c r="DC5003">
        <v>0</v>
      </c>
      <c r="DD5003">
        <v>1</v>
      </c>
      <c r="DE5003">
        <v>0</v>
      </c>
      <c r="DF5003">
        <v>0</v>
      </c>
      <c r="DG5003">
        <v>0</v>
      </c>
      <c r="DH5003">
        <v>0</v>
      </c>
      <c r="DI5003">
        <v>0</v>
      </c>
    </row>
    <row r="5004" spans="1:113" x14ac:dyDescent="0.3">
      <c r="A5004" t="str">
        <f t="shared" si="2305"/>
        <v>05/12/2020 14:50:10.210</v>
      </c>
      <c r="C5004" t="str">
        <f t="shared" si="2281"/>
        <v>FFDFD3C0</v>
      </c>
      <c r="D5004" t="s">
        <v>138</v>
      </c>
      <c r="E5004">
        <v>2</v>
      </c>
      <c r="H5004">
        <v>8</v>
      </c>
      <c r="I5004" t="s">
        <v>139</v>
      </c>
      <c r="J5004" t="s">
        <v>136</v>
      </c>
      <c r="K5004">
        <v>0</v>
      </c>
      <c r="L5004">
        <v>3</v>
      </c>
      <c r="M5004">
        <v>0</v>
      </c>
      <c r="N5004">
        <v>2</v>
      </c>
      <c r="O5004">
        <v>1</v>
      </c>
      <c r="P5004">
        <v>0</v>
      </c>
      <c r="Q5004">
        <v>0</v>
      </c>
      <c r="S5004" t="str">
        <f t="shared" si="2306"/>
        <v>14:50:28.031</v>
      </c>
      <c r="T5004" t="str">
        <f t="shared" si="2307"/>
        <v>14:50:27.831</v>
      </c>
      <c r="U5004" t="str">
        <f t="shared" si="2300"/>
        <v>A9808D</v>
      </c>
      <c r="V5004">
        <v>0</v>
      </c>
      <c r="W5004">
        <v>0</v>
      </c>
      <c r="X5004">
        <v>1</v>
      </c>
      <c r="Z5004">
        <v>0</v>
      </c>
      <c r="AA5004">
        <v>9</v>
      </c>
      <c r="AB5004">
        <v>3</v>
      </c>
      <c r="AC5004">
        <v>0</v>
      </c>
      <c r="AD5004">
        <v>10</v>
      </c>
      <c r="AE5004">
        <v>0</v>
      </c>
      <c r="AF5004">
        <v>3</v>
      </c>
      <c r="AG5004">
        <v>2</v>
      </c>
      <c r="AH5004">
        <v>0</v>
      </c>
      <c r="AI5004" t="s">
        <v>1113</v>
      </c>
      <c r="AJ5004">
        <v>28.234819999999999</v>
      </c>
      <c r="AK5004" t="s">
        <v>1114</v>
      </c>
      <c r="AL5004">
        <v>-82.367463000000001</v>
      </c>
      <c r="AM5004">
        <v>100</v>
      </c>
      <c r="AN5004">
        <v>2200</v>
      </c>
      <c r="AO5004" t="s">
        <v>118</v>
      </c>
      <c r="AP5004">
        <v>-100</v>
      </c>
      <c r="AQ5004">
        <v>-48</v>
      </c>
      <c r="AR5004">
        <v>-896</v>
      </c>
      <c r="AZ5004">
        <v>1200</v>
      </c>
      <c r="BA5004">
        <v>1</v>
      </c>
      <c r="BB5004" t="str">
        <f t="shared" si="2282"/>
        <v xml:space="preserve">N711JA  </v>
      </c>
      <c r="BC5004">
        <v>1</v>
      </c>
      <c r="BE5004">
        <v>0</v>
      </c>
      <c r="BF5004">
        <v>0</v>
      </c>
      <c r="BG5004">
        <v>0</v>
      </c>
      <c r="BH5004">
        <v>2300</v>
      </c>
      <c r="BI5004">
        <v>1</v>
      </c>
      <c r="BJ5004">
        <v>1</v>
      </c>
      <c r="BK5004">
        <v>0</v>
      </c>
      <c r="BL5004">
        <v>0</v>
      </c>
      <c r="BO5004">
        <v>0</v>
      </c>
      <c r="BP5004">
        <v>0</v>
      </c>
      <c r="BW5004" t="str">
        <f t="shared" si="2308"/>
        <v>14:50:28.033</v>
      </c>
      <c r="CJ5004">
        <v>0</v>
      </c>
      <c r="CK5004">
        <v>2</v>
      </c>
      <c r="CL5004">
        <v>0</v>
      </c>
      <c r="CM5004">
        <v>2</v>
      </c>
      <c r="CN5004">
        <v>0</v>
      </c>
      <c r="CO5004">
        <v>6</v>
      </c>
      <c r="CP5004" t="s">
        <v>119</v>
      </c>
      <c r="CQ5004">
        <v>8</v>
      </c>
      <c r="CR5004">
        <v>3</v>
      </c>
      <c r="CW5004">
        <v>9223718</v>
      </c>
      <c r="CY5004">
        <v>1</v>
      </c>
      <c r="CZ5004">
        <v>0</v>
      </c>
      <c r="DA5004">
        <v>1</v>
      </c>
      <c r="DB5004">
        <v>0</v>
      </c>
      <c r="DC5004">
        <v>0</v>
      </c>
      <c r="DD5004">
        <v>1</v>
      </c>
      <c r="DE5004">
        <v>0</v>
      </c>
      <c r="DF5004">
        <v>0</v>
      </c>
      <c r="DG5004">
        <v>0</v>
      </c>
      <c r="DH5004">
        <v>0</v>
      </c>
      <c r="DI5004">
        <v>0</v>
      </c>
    </row>
    <row r="5005" spans="1:113" x14ac:dyDescent="0.3">
      <c r="A5005" t="str">
        <f t="shared" si="2305"/>
        <v>05/12/2020 14:50:10.210</v>
      </c>
      <c r="C5005" t="str">
        <f t="shared" si="2281"/>
        <v>FFDFD3C0</v>
      </c>
      <c r="D5005" t="s">
        <v>126</v>
      </c>
      <c r="E5005">
        <v>7</v>
      </c>
      <c r="F5005">
        <v>1007</v>
      </c>
      <c r="G5005" t="s">
        <v>127</v>
      </c>
      <c r="J5005" t="s">
        <v>128</v>
      </c>
      <c r="K5005">
        <v>0</v>
      </c>
      <c r="L5005">
        <v>3</v>
      </c>
      <c r="M5005">
        <v>0</v>
      </c>
      <c r="N5005">
        <v>2</v>
      </c>
      <c r="O5005">
        <v>1</v>
      </c>
      <c r="P5005">
        <v>0</v>
      </c>
      <c r="Q5005">
        <v>0</v>
      </c>
      <c r="S5005" t="str">
        <f t="shared" si="2306"/>
        <v>14:50:28.031</v>
      </c>
      <c r="T5005" t="str">
        <f t="shared" si="2307"/>
        <v>14:50:27.831</v>
      </c>
      <c r="U5005" t="str">
        <f t="shared" si="2300"/>
        <v>A9808D</v>
      </c>
      <c r="V5005">
        <v>0</v>
      </c>
      <c r="W5005">
        <v>0</v>
      </c>
      <c r="X5005">
        <v>1</v>
      </c>
      <c r="Z5005">
        <v>0</v>
      </c>
      <c r="AA5005">
        <v>9</v>
      </c>
      <c r="AB5005">
        <v>3</v>
      </c>
      <c r="AC5005">
        <v>0</v>
      </c>
      <c r="AD5005">
        <v>10</v>
      </c>
      <c r="AE5005">
        <v>0</v>
      </c>
      <c r="AF5005">
        <v>3</v>
      </c>
      <c r="AG5005">
        <v>2</v>
      </c>
      <c r="AH5005">
        <v>0</v>
      </c>
      <c r="AI5005" t="s">
        <v>1113</v>
      </c>
      <c r="AJ5005">
        <v>28.234819999999999</v>
      </c>
      <c r="AK5005" t="s">
        <v>1114</v>
      </c>
      <c r="AL5005">
        <v>-82.367463000000001</v>
      </c>
      <c r="AM5005">
        <v>100</v>
      </c>
      <c r="AN5005">
        <v>2200</v>
      </c>
      <c r="AO5005" t="s">
        <v>118</v>
      </c>
      <c r="AP5005">
        <v>-100</v>
      </c>
      <c r="AQ5005">
        <v>-48</v>
      </c>
      <c r="AR5005">
        <v>-896</v>
      </c>
      <c r="AZ5005">
        <v>1200</v>
      </c>
      <c r="BA5005">
        <v>1</v>
      </c>
      <c r="BB5005" t="str">
        <f t="shared" si="2282"/>
        <v xml:space="preserve">N711JA  </v>
      </c>
      <c r="BC5005">
        <v>1</v>
      </c>
      <c r="BE5005">
        <v>0</v>
      </c>
      <c r="BF5005">
        <v>0</v>
      </c>
      <c r="BG5005">
        <v>0</v>
      </c>
      <c r="BH5005">
        <v>2300</v>
      </c>
      <c r="BI5005">
        <v>1</v>
      </c>
      <c r="BJ5005">
        <v>1</v>
      </c>
      <c r="BK5005">
        <v>0</v>
      </c>
      <c r="BL5005">
        <v>0</v>
      </c>
      <c r="BO5005">
        <v>0</v>
      </c>
      <c r="BP5005">
        <v>0</v>
      </c>
      <c r="BW5005" t="str">
        <f t="shared" si="2308"/>
        <v>14:50:28.033</v>
      </c>
      <c r="CJ5005">
        <v>0</v>
      </c>
      <c r="CK5005">
        <v>2</v>
      </c>
      <c r="CL5005">
        <v>0</v>
      </c>
      <c r="CM5005">
        <v>2</v>
      </c>
      <c r="CN5005">
        <v>0</v>
      </c>
      <c r="CO5005">
        <v>6</v>
      </c>
      <c r="CP5005" t="s">
        <v>119</v>
      </c>
      <c r="CQ5005">
        <v>8</v>
      </c>
      <c r="CR5005">
        <v>3</v>
      </c>
      <c r="CW5005">
        <v>9223718</v>
      </c>
      <c r="CY5005">
        <v>1</v>
      </c>
      <c r="CZ5005">
        <v>0</v>
      </c>
      <c r="DA5005">
        <v>1</v>
      </c>
      <c r="DB5005">
        <v>0</v>
      </c>
      <c r="DC5005">
        <v>0</v>
      </c>
      <c r="DD5005">
        <v>1</v>
      </c>
      <c r="DE5005">
        <v>0</v>
      </c>
      <c r="DF5005">
        <v>0</v>
      </c>
      <c r="DG5005">
        <v>0</v>
      </c>
      <c r="DH5005">
        <v>0</v>
      </c>
      <c r="DI5005">
        <v>0</v>
      </c>
    </row>
    <row r="5006" spans="1:113" x14ac:dyDescent="0.3">
      <c r="A5006" t="str">
        <f t="shared" si="2305"/>
        <v>05/12/2020 14:50:10.210</v>
      </c>
      <c r="C5006" t="str">
        <f t="shared" si="2281"/>
        <v>FFDFD3C0</v>
      </c>
      <c r="D5006" t="s">
        <v>138</v>
      </c>
      <c r="E5006">
        <v>3</v>
      </c>
      <c r="H5006">
        <v>9</v>
      </c>
      <c r="I5006" t="s">
        <v>140</v>
      </c>
      <c r="J5006" t="s">
        <v>136</v>
      </c>
      <c r="K5006">
        <v>0</v>
      </c>
      <c r="L5006">
        <v>3</v>
      </c>
      <c r="M5006">
        <v>0</v>
      </c>
      <c r="N5006">
        <v>2</v>
      </c>
      <c r="O5006">
        <v>1</v>
      </c>
      <c r="P5006">
        <v>0</v>
      </c>
      <c r="Q5006">
        <v>0</v>
      </c>
      <c r="S5006" t="str">
        <f t="shared" si="2306"/>
        <v>14:50:28.031</v>
      </c>
      <c r="T5006" t="str">
        <f t="shared" si="2307"/>
        <v>14:50:27.831</v>
      </c>
      <c r="U5006" t="str">
        <f t="shared" si="2300"/>
        <v>A9808D</v>
      </c>
      <c r="V5006">
        <v>0</v>
      </c>
      <c r="W5006">
        <v>0</v>
      </c>
      <c r="X5006">
        <v>1</v>
      </c>
      <c r="Z5006">
        <v>0</v>
      </c>
      <c r="AA5006">
        <v>9</v>
      </c>
      <c r="AB5006">
        <v>3</v>
      </c>
      <c r="AC5006">
        <v>0</v>
      </c>
      <c r="AD5006">
        <v>10</v>
      </c>
      <c r="AE5006">
        <v>0</v>
      </c>
      <c r="AF5006">
        <v>3</v>
      </c>
      <c r="AG5006">
        <v>2</v>
      </c>
      <c r="AH5006">
        <v>0</v>
      </c>
      <c r="AI5006" t="s">
        <v>1113</v>
      </c>
      <c r="AJ5006">
        <v>28.234819999999999</v>
      </c>
      <c r="AK5006" t="s">
        <v>1114</v>
      </c>
      <c r="AL5006">
        <v>-82.367463000000001</v>
      </c>
      <c r="AM5006">
        <v>100</v>
      </c>
      <c r="AN5006">
        <v>2200</v>
      </c>
      <c r="AO5006" t="s">
        <v>118</v>
      </c>
      <c r="AP5006">
        <v>-100</v>
      </c>
      <c r="AQ5006">
        <v>-48</v>
      </c>
      <c r="AR5006">
        <v>-896</v>
      </c>
      <c r="AZ5006">
        <v>1200</v>
      </c>
      <c r="BA5006">
        <v>1</v>
      </c>
      <c r="BB5006" t="str">
        <f t="shared" si="2282"/>
        <v xml:space="preserve">N711JA  </v>
      </c>
      <c r="BC5006">
        <v>1</v>
      </c>
      <c r="BE5006">
        <v>0</v>
      </c>
      <c r="BF5006">
        <v>0</v>
      </c>
      <c r="BG5006">
        <v>0</v>
      </c>
      <c r="BH5006">
        <v>2300</v>
      </c>
      <c r="BI5006">
        <v>1</v>
      </c>
      <c r="BJ5006">
        <v>1</v>
      </c>
      <c r="BK5006">
        <v>0</v>
      </c>
      <c r="BL5006">
        <v>0</v>
      </c>
      <c r="BO5006">
        <v>0</v>
      </c>
      <c r="BP5006">
        <v>0</v>
      </c>
      <c r="BW5006" t="str">
        <f t="shared" si="2308"/>
        <v>14:50:28.033</v>
      </c>
      <c r="CJ5006">
        <v>0</v>
      </c>
      <c r="CK5006">
        <v>2</v>
      </c>
      <c r="CL5006">
        <v>0</v>
      </c>
      <c r="CM5006">
        <v>2</v>
      </c>
      <c r="CN5006">
        <v>0</v>
      </c>
      <c r="CO5006">
        <v>6</v>
      </c>
      <c r="CP5006" t="s">
        <v>119</v>
      </c>
      <c r="CQ5006">
        <v>8</v>
      </c>
      <c r="CR5006">
        <v>3</v>
      </c>
      <c r="CW5006">
        <v>9223718</v>
      </c>
      <c r="CY5006">
        <v>1</v>
      </c>
      <c r="CZ5006">
        <v>0</v>
      </c>
      <c r="DA5006">
        <v>1</v>
      </c>
      <c r="DB5006">
        <v>0</v>
      </c>
      <c r="DC5006">
        <v>0</v>
      </c>
      <c r="DD5006">
        <v>1</v>
      </c>
      <c r="DE5006">
        <v>0</v>
      </c>
      <c r="DF5006">
        <v>0</v>
      </c>
      <c r="DG5006">
        <v>0</v>
      </c>
      <c r="DH5006">
        <v>0</v>
      </c>
      <c r="DI5006">
        <v>0</v>
      </c>
    </row>
    <row r="5007" spans="1:113" x14ac:dyDescent="0.3">
      <c r="A5007" t="str">
        <f t="shared" si="2305"/>
        <v>05/12/2020 14:50:10.210</v>
      </c>
      <c r="C5007" t="str">
        <f t="shared" si="2281"/>
        <v>FFDFD3C0</v>
      </c>
      <c r="D5007" t="s">
        <v>113</v>
      </c>
      <c r="E5007">
        <v>3</v>
      </c>
      <c r="H5007">
        <v>164</v>
      </c>
      <c r="I5007" t="s">
        <v>114</v>
      </c>
      <c r="J5007" t="s">
        <v>115</v>
      </c>
      <c r="K5007">
        <v>0</v>
      </c>
      <c r="L5007">
        <v>3</v>
      </c>
      <c r="M5007">
        <v>0</v>
      </c>
      <c r="N5007">
        <v>2</v>
      </c>
      <c r="O5007">
        <v>1</v>
      </c>
      <c r="P5007">
        <v>0</v>
      </c>
      <c r="Q5007">
        <v>0</v>
      </c>
      <c r="S5007" t="str">
        <f t="shared" si="2306"/>
        <v>14:50:28.031</v>
      </c>
      <c r="T5007" t="str">
        <f t="shared" si="2307"/>
        <v>14:50:27.831</v>
      </c>
      <c r="U5007" t="str">
        <f t="shared" si="2300"/>
        <v>A9808D</v>
      </c>
      <c r="V5007">
        <v>0</v>
      </c>
      <c r="W5007">
        <v>0</v>
      </c>
      <c r="X5007">
        <v>1</v>
      </c>
      <c r="Z5007">
        <v>0</v>
      </c>
      <c r="AA5007">
        <v>9</v>
      </c>
      <c r="AB5007">
        <v>3</v>
      </c>
      <c r="AC5007">
        <v>0</v>
      </c>
      <c r="AD5007">
        <v>10</v>
      </c>
      <c r="AE5007">
        <v>0</v>
      </c>
      <c r="AF5007">
        <v>3</v>
      </c>
      <c r="AG5007">
        <v>2</v>
      </c>
      <c r="AH5007">
        <v>0</v>
      </c>
      <c r="AI5007" t="s">
        <v>1113</v>
      </c>
      <c r="AJ5007">
        <v>28.234819999999999</v>
      </c>
      <c r="AK5007" t="s">
        <v>1114</v>
      </c>
      <c r="AL5007">
        <v>-82.367463000000001</v>
      </c>
      <c r="AM5007">
        <v>100</v>
      </c>
      <c r="AN5007">
        <v>2200</v>
      </c>
      <c r="AO5007" t="s">
        <v>118</v>
      </c>
      <c r="AP5007">
        <v>-100</v>
      </c>
      <c r="AQ5007">
        <v>-48</v>
      </c>
      <c r="AR5007">
        <v>-896</v>
      </c>
      <c r="AZ5007">
        <v>1200</v>
      </c>
      <c r="BA5007">
        <v>1</v>
      </c>
      <c r="BB5007" t="str">
        <f t="shared" si="2282"/>
        <v xml:space="preserve">N711JA  </v>
      </c>
      <c r="BC5007">
        <v>1</v>
      </c>
      <c r="BE5007">
        <v>0</v>
      </c>
      <c r="BF5007">
        <v>0</v>
      </c>
      <c r="BG5007">
        <v>0</v>
      </c>
      <c r="BH5007">
        <v>2300</v>
      </c>
      <c r="BI5007">
        <v>1</v>
      </c>
      <c r="BJ5007">
        <v>1</v>
      </c>
      <c r="BK5007">
        <v>0</v>
      </c>
      <c r="BL5007">
        <v>0</v>
      </c>
      <c r="BO5007">
        <v>0</v>
      </c>
      <c r="BP5007">
        <v>0</v>
      </c>
      <c r="BW5007" t="str">
        <f t="shared" si="2308"/>
        <v>14:50:28.033</v>
      </c>
      <c r="CJ5007">
        <v>0</v>
      </c>
      <c r="CK5007">
        <v>2</v>
      </c>
      <c r="CL5007">
        <v>0</v>
      </c>
      <c r="CM5007">
        <v>2</v>
      </c>
      <c r="CN5007">
        <v>0</v>
      </c>
      <c r="CO5007">
        <v>6</v>
      </c>
      <c r="CP5007" t="s">
        <v>119</v>
      </c>
      <c r="CQ5007">
        <v>8</v>
      </c>
      <c r="CR5007">
        <v>3</v>
      </c>
      <c r="CW5007">
        <v>9223718</v>
      </c>
      <c r="CY5007">
        <v>1</v>
      </c>
      <c r="CZ5007">
        <v>0</v>
      </c>
      <c r="DA5007">
        <v>1</v>
      </c>
      <c r="DB5007">
        <v>0</v>
      </c>
      <c r="DC5007">
        <v>0</v>
      </c>
      <c r="DD5007">
        <v>1</v>
      </c>
      <c r="DE5007">
        <v>0</v>
      </c>
      <c r="DF5007">
        <v>0</v>
      </c>
      <c r="DG5007">
        <v>0</v>
      </c>
      <c r="DH5007">
        <v>0</v>
      </c>
      <c r="DI5007">
        <v>0</v>
      </c>
    </row>
    <row r="5008" spans="1:113" x14ac:dyDescent="0.3">
      <c r="A5008" t="str">
        <f t="shared" si="2305"/>
        <v>05/12/2020 14:50:10.210</v>
      </c>
      <c r="C5008" t="str">
        <f t="shared" si="2281"/>
        <v>FFDFD3C0</v>
      </c>
      <c r="D5008" t="s">
        <v>131</v>
      </c>
      <c r="E5008">
        <v>12</v>
      </c>
      <c r="F5008">
        <v>2012</v>
      </c>
      <c r="G5008" t="s">
        <v>137</v>
      </c>
      <c r="J5008" t="s">
        <v>133</v>
      </c>
      <c r="K5008">
        <v>0</v>
      </c>
      <c r="L5008">
        <v>3</v>
      </c>
      <c r="M5008">
        <v>0</v>
      </c>
      <c r="N5008">
        <v>2</v>
      </c>
      <c r="O5008">
        <v>1</v>
      </c>
      <c r="P5008">
        <v>0</v>
      </c>
      <c r="Q5008">
        <v>0</v>
      </c>
      <c r="S5008" t="str">
        <f t="shared" si="2306"/>
        <v>14:50:28.031</v>
      </c>
      <c r="T5008" t="str">
        <f t="shared" si="2307"/>
        <v>14:50:27.831</v>
      </c>
      <c r="U5008" t="str">
        <f t="shared" si="2300"/>
        <v>A9808D</v>
      </c>
      <c r="V5008">
        <v>0</v>
      </c>
      <c r="W5008">
        <v>0</v>
      </c>
      <c r="X5008">
        <v>1</v>
      </c>
      <c r="Z5008">
        <v>0</v>
      </c>
      <c r="AA5008">
        <v>9</v>
      </c>
      <c r="AB5008">
        <v>3</v>
      </c>
      <c r="AC5008">
        <v>0</v>
      </c>
      <c r="AD5008">
        <v>10</v>
      </c>
      <c r="AE5008">
        <v>0</v>
      </c>
      <c r="AF5008">
        <v>3</v>
      </c>
      <c r="AG5008">
        <v>2</v>
      </c>
      <c r="AH5008">
        <v>0</v>
      </c>
      <c r="AI5008" t="s">
        <v>1113</v>
      </c>
      <c r="AJ5008">
        <v>28.234819999999999</v>
      </c>
      <c r="AK5008" t="s">
        <v>1114</v>
      </c>
      <c r="AL5008">
        <v>-82.367463000000001</v>
      </c>
      <c r="AM5008">
        <v>100</v>
      </c>
      <c r="AN5008">
        <v>2200</v>
      </c>
      <c r="AO5008" t="s">
        <v>118</v>
      </c>
      <c r="AP5008">
        <v>-100</v>
      </c>
      <c r="AQ5008">
        <v>-48</v>
      </c>
      <c r="AR5008">
        <v>-896</v>
      </c>
      <c r="AZ5008">
        <v>1200</v>
      </c>
      <c r="BA5008">
        <v>1</v>
      </c>
      <c r="BB5008" t="str">
        <f t="shared" si="2282"/>
        <v xml:space="preserve">N711JA  </v>
      </c>
      <c r="BC5008">
        <v>1</v>
      </c>
      <c r="BE5008">
        <v>0</v>
      </c>
      <c r="BF5008">
        <v>0</v>
      </c>
      <c r="BG5008">
        <v>0</v>
      </c>
      <c r="BH5008">
        <v>2300</v>
      </c>
      <c r="BI5008">
        <v>1</v>
      </c>
      <c r="BJ5008">
        <v>1</v>
      </c>
      <c r="BK5008">
        <v>0</v>
      </c>
      <c r="BL5008">
        <v>0</v>
      </c>
      <c r="BO5008">
        <v>0</v>
      </c>
      <c r="BP5008">
        <v>0</v>
      </c>
      <c r="BW5008" t="str">
        <f t="shared" si="2308"/>
        <v>14:50:28.033</v>
      </c>
      <c r="CJ5008">
        <v>0</v>
      </c>
      <c r="CK5008">
        <v>2</v>
      </c>
      <c r="CL5008">
        <v>0</v>
      </c>
      <c r="CM5008">
        <v>2</v>
      </c>
      <c r="CN5008">
        <v>0</v>
      </c>
      <c r="CO5008">
        <v>6</v>
      </c>
      <c r="CP5008" t="s">
        <v>119</v>
      </c>
      <c r="CQ5008">
        <v>8</v>
      </c>
      <c r="CR5008">
        <v>3</v>
      </c>
      <c r="CW5008">
        <v>9223718</v>
      </c>
      <c r="CY5008">
        <v>1</v>
      </c>
      <c r="CZ5008">
        <v>0</v>
      </c>
      <c r="DA5008">
        <v>1</v>
      </c>
      <c r="DB5008">
        <v>0</v>
      </c>
      <c r="DC5008">
        <v>0</v>
      </c>
      <c r="DD5008">
        <v>1</v>
      </c>
      <c r="DE5008">
        <v>0</v>
      </c>
      <c r="DF5008">
        <v>0</v>
      </c>
      <c r="DG5008">
        <v>0</v>
      </c>
      <c r="DH5008">
        <v>0</v>
      </c>
      <c r="DI5008">
        <v>0</v>
      </c>
    </row>
    <row r="5009" spans="1:113" x14ac:dyDescent="0.3">
      <c r="A5009" t="str">
        <f t="shared" si="2305"/>
        <v>05/12/2020 14:50:10.210</v>
      </c>
      <c r="C5009" t="str">
        <f t="shared" si="2281"/>
        <v>FFDFD3C0</v>
      </c>
      <c r="D5009" t="s">
        <v>131</v>
      </c>
      <c r="E5009">
        <v>18</v>
      </c>
      <c r="F5009">
        <v>2018</v>
      </c>
      <c r="G5009" t="s">
        <v>161</v>
      </c>
      <c r="J5009" t="s">
        <v>133</v>
      </c>
      <c r="K5009">
        <v>0</v>
      </c>
      <c r="L5009">
        <v>3</v>
      </c>
      <c r="M5009">
        <v>0</v>
      </c>
      <c r="N5009">
        <v>2</v>
      </c>
      <c r="O5009">
        <v>1</v>
      </c>
      <c r="P5009">
        <v>0</v>
      </c>
      <c r="Q5009">
        <v>0</v>
      </c>
      <c r="S5009" t="str">
        <f t="shared" si="2306"/>
        <v>14:50:28.031</v>
      </c>
      <c r="T5009" t="str">
        <f t="shared" si="2307"/>
        <v>14:50:27.831</v>
      </c>
      <c r="U5009" t="str">
        <f t="shared" si="2300"/>
        <v>A9808D</v>
      </c>
      <c r="V5009">
        <v>0</v>
      </c>
      <c r="W5009">
        <v>0</v>
      </c>
      <c r="X5009">
        <v>1</v>
      </c>
      <c r="Z5009">
        <v>0</v>
      </c>
      <c r="AA5009">
        <v>9</v>
      </c>
      <c r="AB5009">
        <v>3</v>
      </c>
      <c r="AC5009">
        <v>0</v>
      </c>
      <c r="AD5009">
        <v>10</v>
      </c>
      <c r="AE5009">
        <v>0</v>
      </c>
      <c r="AF5009">
        <v>3</v>
      </c>
      <c r="AG5009">
        <v>2</v>
      </c>
      <c r="AH5009">
        <v>0</v>
      </c>
      <c r="AI5009" t="s">
        <v>1113</v>
      </c>
      <c r="AJ5009">
        <v>28.234819999999999</v>
      </c>
      <c r="AK5009" t="s">
        <v>1114</v>
      </c>
      <c r="AL5009">
        <v>-82.367463000000001</v>
      </c>
      <c r="AM5009">
        <v>100</v>
      </c>
      <c r="AN5009">
        <v>2200</v>
      </c>
      <c r="AO5009" t="s">
        <v>118</v>
      </c>
      <c r="AP5009">
        <v>-100</v>
      </c>
      <c r="AQ5009">
        <v>-48</v>
      </c>
      <c r="AR5009">
        <v>-896</v>
      </c>
      <c r="AZ5009">
        <v>1200</v>
      </c>
      <c r="BA5009">
        <v>1</v>
      </c>
      <c r="BB5009" t="str">
        <f t="shared" si="2282"/>
        <v xml:space="preserve">N711JA  </v>
      </c>
      <c r="BC5009">
        <v>1</v>
      </c>
      <c r="BE5009">
        <v>0</v>
      </c>
      <c r="BF5009">
        <v>0</v>
      </c>
      <c r="BG5009">
        <v>0</v>
      </c>
      <c r="BH5009">
        <v>2300</v>
      </c>
      <c r="BI5009">
        <v>1</v>
      </c>
      <c r="BJ5009">
        <v>1</v>
      </c>
      <c r="BK5009">
        <v>0</v>
      </c>
      <c r="BL5009">
        <v>0</v>
      </c>
      <c r="BO5009">
        <v>0</v>
      </c>
      <c r="BP5009">
        <v>0</v>
      </c>
      <c r="BW5009" t="str">
        <f t="shared" si="2308"/>
        <v>14:50:28.033</v>
      </c>
      <c r="CJ5009">
        <v>0</v>
      </c>
      <c r="CK5009">
        <v>2</v>
      </c>
      <c r="CL5009">
        <v>0</v>
      </c>
      <c r="CM5009">
        <v>2</v>
      </c>
      <c r="CN5009">
        <v>0</v>
      </c>
      <c r="CO5009">
        <v>5</v>
      </c>
      <c r="CP5009" t="s">
        <v>119</v>
      </c>
      <c r="CQ5009">
        <v>343</v>
      </c>
      <c r="CR5009">
        <v>1</v>
      </c>
      <c r="CW5009">
        <v>11099974</v>
      </c>
      <c r="CY5009">
        <v>1</v>
      </c>
      <c r="CZ5009">
        <v>0</v>
      </c>
      <c r="DA5009">
        <v>1</v>
      </c>
      <c r="DB5009">
        <v>0</v>
      </c>
      <c r="DC5009">
        <v>0</v>
      </c>
      <c r="DD5009">
        <v>1</v>
      </c>
      <c r="DE5009">
        <v>0</v>
      </c>
      <c r="DF5009">
        <v>0</v>
      </c>
      <c r="DG5009">
        <v>0</v>
      </c>
      <c r="DH5009">
        <v>0</v>
      </c>
      <c r="DI5009">
        <v>0</v>
      </c>
    </row>
    <row r="5010" spans="1:113" x14ac:dyDescent="0.3">
      <c r="A5010" t="str">
        <f t="shared" si="2305"/>
        <v>05/12/2020 14:50:10.210</v>
      </c>
      <c r="C5010" t="str">
        <f t="shared" si="2281"/>
        <v>FFDFD3C0</v>
      </c>
      <c r="D5010" t="s">
        <v>134</v>
      </c>
      <c r="E5010">
        <v>12</v>
      </c>
      <c r="H5010">
        <v>64</v>
      </c>
      <c r="I5010" t="s">
        <v>135</v>
      </c>
      <c r="J5010" t="s">
        <v>136</v>
      </c>
      <c r="K5010">
        <v>0</v>
      </c>
      <c r="L5010">
        <v>3</v>
      </c>
      <c r="M5010">
        <v>0</v>
      </c>
      <c r="N5010">
        <v>2</v>
      </c>
      <c r="O5010">
        <v>1</v>
      </c>
      <c r="P5010">
        <v>0</v>
      </c>
      <c r="Q5010">
        <v>0</v>
      </c>
      <c r="S5010" t="str">
        <f t="shared" si="2306"/>
        <v>14:50:28.031</v>
      </c>
      <c r="T5010" t="str">
        <f t="shared" si="2307"/>
        <v>14:50:27.831</v>
      </c>
      <c r="U5010" t="str">
        <f t="shared" si="2300"/>
        <v>A9808D</v>
      </c>
      <c r="V5010">
        <v>0</v>
      </c>
      <c r="W5010">
        <v>0</v>
      </c>
      <c r="X5010">
        <v>1</v>
      </c>
      <c r="Z5010">
        <v>0</v>
      </c>
      <c r="AA5010">
        <v>9</v>
      </c>
      <c r="AB5010">
        <v>3</v>
      </c>
      <c r="AC5010">
        <v>0</v>
      </c>
      <c r="AD5010">
        <v>10</v>
      </c>
      <c r="AE5010">
        <v>0</v>
      </c>
      <c r="AF5010">
        <v>3</v>
      </c>
      <c r="AG5010">
        <v>2</v>
      </c>
      <c r="AH5010">
        <v>0</v>
      </c>
      <c r="AI5010" t="s">
        <v>1113</v>
      </c>
      <c r="AJ5010">
        <v>28.234819999999999</v>
      </c>
      <c r="AK5010" t="s">
        <v>1114</v>
      </c>
      <c r="AL5010">
        <v>-82.367463000000001</v>
      </c>
      <c r="AM5010">
        <v>100</v>
      </c>
      <c r="AN5010">
        <v>2200</v>
      </c>
      <c r="AO5010" t="s">
        <v>118</v>
      </c>
      <c r="AP5010">
        <v>-100</v>
      </c>
      <c r="AQ5010">
        <v>-48</v>
      </c>
      <c r="AR5010">
        <v>-896</v>
      </c>
      <c r="AZ5010">
        <v>1200</v>
      </c>
      <c r="BA5010">
        <v>1</v>
      </c>
      <c r="BB5010" t="str">
        <f t="shared" si="2282"/>
        <v xml:space="preserve">N711JA  </v>
      </c>
      <c r="BC5010">
        <v>1</v>
      </c>
      <c r="BE5010">
        <v>0</v>
      </c>
      <c r="BF5010">
        <v>0</v>
      </c>
      <c r="BG5010">
        <v>0</v>
      </c>
      <c r="BH5010">
        <v>2300</v>
      </c>
      <c r="BI5010">
        <v>1</v>
      </c>
      <c r="BJ5010">
        <v>1</v>
      </c>
      <c r="BK5010">
        <v>0</v>
      </c>
      <c r="BL5010">
        <v>0</v>
      </c>
      <c r="BO5010">
        <v>0</v>
      </c>
      <c r="BP5010">
        <v>0</v>
      </c>
      <c r="BW5010" t="str">
        <f t="shared" si="2308"/>
        <v>14:50:28.033</v>
      </c>
      <c r="CJ5010">
        <v>0</v>
      </c>
      <c r="CK5010">
        <v>2</v>
      </c>
      <c r="CL5010">
        <v>0</v>
      </c>
      <c r="CM5010">
        <v>2</v>
      </c>
      <c r="CN5010">
        <v>0</v>
      </c>
      <c r="CO5010">
        <v>6</v>
      </c>
      <c r="CP5010" t="s">
        <v>119</v>
      </c>
      <c r="CQ5010">
        <v>8</v>
      </c>
      <c r="CR5010">
        <v>3</v>
      </c>
      <c r="CW5010">
        <v>9223718</v>
      </c>
      <c r="CY5010">
        <v>1</v>
      </c>
      <c r="CZ5010">
        <v>0</v>
      </c>
      <c r="DA5010">
        <v>1</v>
      </c>
      <c r="DB5010">
        <v>0</v>
      </c>
      <c r="DC5010">
        <v>0</v>
      </c>
      <c r="DD5010">
        <v>1</v>
      </c>
      <c r="DE5010">
        <v>0</v>
      </c>
      <c r="DF5010">
        <v>0</v>
      </c>
      <c r="DG5010">
        <v>0</v>
      </c>
      <c r="DH5010">
        <v>0</v>
      </c>
      <c r="DI5010">
        <v>0</v>
      </c>
    </row>
    <row r="5011" spans="1:113" x14ac:dyDescent="0.3">
      <c r="A5011" t="str">
        <f t="shared" si="2305"/>
        <v>05/12/2020 14:50:10.210</v>
      </c>
      <c r="C5011" t="str">
        <f t="shared" si="2281"/>
        <v>FFDFD3C0</v>
      </c>
      <c r="D5011" t="s">
        <v>126</v>
      </c>
      <c r="E5011">
        <v>6</v>
      </c>
      <c r="F5011">
        <v>1006</v>
      </c>
      <c r="G5011" t="s">
        <v>114</v>
      </c>
      <c r="J5011" t="s">
        <v>128</v>
      </c>
      <c r="K5011">
        <v>0</v>
      </c>
      <c r="L5011">
        <v>3</v>
      </c>
      <c r="M5011">
        <v>0</v>
      </c>
      <c r="N5011">
        <v>2</v>
      </c>
      <c r="O5011">
        <v>1</v>
      </c>
      <c r="P5011">
        <v>0</v>
      </c>
      <c r="Q5011">
        <v>0</v>
      </c>
      <c r="S5011" t="str">
        <f t="shared" si="2306"/>
        <v>14:50:28.031</v>
      </c>
      <c r="T5011" t="str">
        <f t="shared" si="2307"/>
        <v>14:50:27.831</v>
      </c>
      <c r="U5011" t="str">
        <f t="shared" si="2300"/>
        <v>A9808D</v>
      </c>
      <c r="V5011">
        <v>0</v>
      </c>
      <c r="W5011">
        <v>0</v>
      </c>
      <c r="X5011">
        <v>1</v>
      </c>
      <c r="Z5011">
        <v>0</v>
      </c>
      <c r="AA5011">
        <v>9</v>
      </c>
      <c r="AB5011">
        <v>3</v>
      </c>
      <c r="AC5011">
        <v>0</v>
      </c>
      <c r="AD5011">
        <v>10</v>
      </c>
      <c r="AE5011">
        <v>0</v>
      </c>
      <c r="AF5011">
        <v>3</v>
      </c>
      <c r="AG5011">
        <v>2</v>
      </c>
      <c r="AH5011">
        <v>0</v>
      </c>
      <c r="AI5011" t="s">
        <v>1113</v>
      </c>
      <c r="AJ5011">
        <v>28.234819999999999</v>
      </c>
      <c r="AK5011" t="s">
        <v>1114</v>
      </c>
      <c r="AL5011">
        <v>-82.367463000000001</v>
      </c>
      <c r="AM5011">
        <v>100</v>
      </c>
      <c r="AN5011">
        <v>2200</v>
      </c>
      <c r="AO5011" t="s">
        <v>118</v>
      </c>
      <c r="AP5011">
        <v>-100</v>
      </c>
      <c r="AQ5011">
        <v>-48</v>
      </c>
      <c r="AR5011">
        <v>-896</v>
      </c>
      <c r="AZ5011">
        <v>1200</v>
      </c>
      <c r="BA5011">
        <v>1</v>
      </c>
      <c r="BB5011" t="str">
        <f t="shared" si="2282"/>
        <v xml:space="preserve">N711JA  </v>
      </c>
      <c r="BC5011">
        <v>1</v>
      </c>
      <c r="BE5011">
        <v>0</v>
      </c>
      <c r="BF5011">
        <v>0</v>
      </c>
      <c r="BG5011">
        <v>0</v>
      </c>
      <c r="BH5011">
        <v>2300</v>
      </c>
      <c r="BI5011">
        <v>1</v>
      </c>
      <c r="BJ5011">
        <v>1</v>
      </c>
      <c r="BK5011">
        <v>0</v>
      </c>
      <c r="BL5011">
        <v>0</v>
      </c>
      <c r="BO5011">
        <v>0</v>
      </c>
      <c r="BP5011">
        <v>0</v>
      </c>
      <c r="BW5011" t="str">
        <f t="shared" si="2308"/>
        <v>14:50:28.033</v>
      </c>
      <c r="CJ5011">
        <v>0</v>
      </c>
      <c r="CK5011">
        <v>2</v>
      </c>
      <c r="CL5011">
        <v>0</v>
      </c>
      <c r="CM5011">
        <v>2</v>
      </c>
      <c r="CN5011">
        <v>0</v>
      </c>
      <c r="CO5011">
        <v>6</v>
      </c>
      <c r="CP5011" t="s">
        <v>119</v>
      </c>
      <c r="CQ5011">
        <v>8</v>
      </c>
      <c r="CR5011">
        <v>3</v>
      </c>
      <c r="CW5011">
        <v>9223718</v>
      </c>
      <c r="CY5011">
        <v>1</v>
      </c>
      <c r="CZ5011">
        <v>0</v>
      </c>
      <c r="DA5011">
        <v>1</v>
      </c>
      <c r="DB5011">
        <v>0</v>
      </c>
      <c r="DC5011">
        <v>0</v>
      </c>
      <c r="DD5011">
        <v>1</v>
      </c>
      <c r="DE5011">
        <v>0</v>
      </c>
      <c r="DF5011">
        <v>0</v>
      </c>
      <c r="DG5011">
        <v>0</v>
      </c>
      <c r="DH5011">
        <v>0</v>
      </c>
      <c r="DI5011">
        <v>0</v>
      </c>
    </row>
    <row r="5012" spans="1:113" x14ac:dyDescent="0.3">
      <c r="A5012" t="str">
        <f t="shared" ref="A5012:A5020" si="2309">"05/12/2020 14:50:11.065"</f>
        <v>05/12/2020 14:50:11.065</v>
      </c>
      <c r="C5012" t="str">
        <f t="shared" si="2281"/>
        <v>FFDFD3C0</v>
      </c>
      <c r="D5012" t="s">
        <v>126</v>
      </c>
      <c r="E5012">
        <v>7</v>
      </c>
      <c r="F5012">
        <v>1007</v>
      </c>
      <c r="G5012" t="s">
        <v>127</v>
      </c>
      <c r="J5012" t="s">
        <v>128</v>
      </c>
      <c r="K5012">
        <v>0</v>
      </c>
      <c r="L5012">
        <v>3</v>
      </c>
      <c r="M5012">
        <v>0</v>
      </c>
      <c r="N5012">
        <v>2</v>
      </c>
      <c r="O5012">
        <v>1</v>
      </c>
      <c r="P5012">
        <v>0</v>
      </c>
      <c r="Q5012">
        <v>0</v>
      </c>
      <c r="S5012" t="str">
        <f t="shared" ref="S5012:S5020" si="2310">"14:50:28.891"</f>
        <v>14:50:28.891</v>
      </c>
      <c r="T5012" t="str">
        <f t="shared" ref="T5012:T5020" si="2311">"14:50:28.691"</f>
        <v>14:50:28.691</v>
      </c>
      <c r="U5012" t="str">
        <f t="shared" si="2300"/>
        <v>A9808D</v>
      </c>
      <c r="V5012">
        <v>0</v>
      </c>
      <c r="W5012">
        <v>0</v>
      </c>
      <c r="X5012">
        <v>1</v>
      </c>
      <c r="Z5012">
        <v>0</v>
      </c>
      <c r="AA5012">
        <v>9</v>
      </c>
      <c r="AB5012">
        <v>3</v>
      </c>
      <c r="AC5012">
        <v>0</v>
      </c>
      <c r="AD5012">
        <v>10</v>
      </c>
      <c r="AE5012">
        <v>0</v>
      </c>
      <c r="AF5012">
        <v>3</v>
      </c>
      <c r="AG5012">
        <v>2</v>
      </c>
      <c r="AH5012">
        <v>0</v>
      </c>
      <c r="AI5012" t="s">
        <v>1115</v>
      </c>
      <c r="AJ5012">
        <v>28.234627</v>
      </c>
      <c r="AK5012" t="s">
        <v>1116</v>
      </c>
      <c r="AL5012">
        <v>-82.367957000000004</v>
      </c>
      <c r="AM5012">
        <v>100</v>
      </c>
      <c r="AN5012">
        <v>2200</v>
      </c>
      <c r="AO5012" t="s">
        <v>118</v>
      </c>
      <c r="AP5012">
        <v>-101</v>
      </c>
      <c r="AQ5012">
        <v>-48</v>
      </c>
      <c r="AR5012">
        <v>-896</v>
      </c>
      <c r="AZ5012">
        <v>1200</v>
      </c>
      <c r="BA5012">
        <v>1</v>
      </c>
      <c r="BB5012" t="str">
        <f t="shared" si="2282"/>
        <v xml:space="preserve">N711JA  </v>
      </c>
      <c r="BC5012">
        <v>1</v>
      </c>
      <c r="BE5012">
        <v>0</v>
      </c>
      <c r="BF5012">
        <v>0</v>
      </c>
      <c r="BG5012">
        <v>0</v>
      </c>
      <c r="BH5012">
        <v>2275</v>
      </c>
      <c r="BI5012">
        <v>1</v>
      </c>
      <c r="BJ5012">
        <v>1</v>
      </c>
      <c r="BK5012">
        <v>0</v>
      </c>
      <c r="BL5012">
        <v>0</v>
      </c>
      <c r="BO5012">
        <v>0</v>
      </c>
      <c r="BP5012">
        <v>0</v>
      </c>
      <c r="BW5012" t="str">
        <f t="shared" ref="BW5012:BW5020" si="2312">"14:50:28.897"</f>
        <v>14:50:28.897</v>
      </c>
      <c r="CJ5012">
        <v>0</v>
      </c>
      <c r="CK5012">
        <v>2</v>
      </c>
      <c r="CL5012">
        <v>0</v>
      </c>
      <c r="CM5012">
        <v>2</v>
      </c>
      <c r="CN5012">
        <v>0</v>
      </c>
      <c r="CO5012">
        <v>6</v>
      </c>
      <c r="CP5012" t="s">
        <v>119</v>
      </c>
      <c r="CQ5012">
        <v>8</v>
      </c>
      <c r="CR5012">
        <v>3</v>
      </c>
      <c r="CW5012">
        <v>9224561</v>
      </c>
      <c r="CY5012">
        <v>1</v>
      </c>
      <c r="CZ5012">
        <v>0</v>
      </c>
      <c r="DA5012">
        <v>0</v>
      </c>
      <c r="DB5012">
        <v>0</v>
      </c>
      <c r="DC5012">
        <v>0</v>
      </c>
      <c r="DD5012">
        <v>1</v>
      </c>
      <c r="DE5012">
        <v>0</v>
      </c>
      <c r="DF5012">
        <v>0</v>
      </c>
      <c r="DG5012">
        <v>0</v>
      </c>
      <c r="DH5012">
        <v>0</v>
      </c>
      <c r="DI5012">
        <v>0</v>
      </c>
    </row>
    <row r="5013" spans="1:113" x14ac:dyDescent="0.3">
      <c r="A5013" t="str">
        <f t="shared" si="2309"/>
        <v>05/12/2020 14:50:11.065</v>
      </c>
      <c r="C5013" t="str">
        <f t="shared" si="2281"/>
        <v>FFDFD3C0</v>
      </c>
      <c r="D5013" t="s">
        <v>131</v>
      </c>
      <c r="E5013">
        <v>10</v>
      </c>
      <c r="F5013">
        <v>2010</v>
      </c>
      <c r="G5013" t="s">
        <v>132</v>
      </c>
      <c r="J5013" t="s">
        <v>133</v>
      </c>
      <c r="K5013">
        <v>0</v>
      </c>
      <c r="L5013">
        <v>3</v>
      </c>
      <c r="M5013">
        <v>0</v>
      </c>
      <c r="N5013">
        <v>2</v>
      </c>
      <c r="O5013">
        <v>1</v>
      </c>
      <c r="P5013">
        <v>0</v>
      </c>
      <c r="Q5013">
        <v>0</v>
      </c>
      <c r="S5013" t="str">
        <f t="shared" si="2310"/>
        <v>14:50:28.891</v>
      </c>
      <c r="T5013" t="str">
        <f t="shared" si="2311"/>
        <v>14:50:28.691</v>
      </c>
      <c r="U5013" t="str">
        <f t="shared" si="2300"/>
        <v>A9808D</v>
      </c>
      <c r="V5013">
        <v>0</v>
      </c>
      <c r="W5013">
        <v>0</v>
      </c>
      <c r="X5013">
        <v>1</v>
      </c>
      <c r="Z5013">
        <v>0</v>
      </c>
      <c r="AA5013">
        <v>9</v>
      </c>
      <c r="AB5013">
        <v>3</v>
      </c>
      <c r="AC5013">
        <v>0</v>
      </c>
      <c r="AD5013">
        <v>10</v>
      </c>
      <c r="AE5013">
        <v>0</v>
      </c>
      <c r="AF5013">
        <v>3</v>
      </c>
      <c r="AG5013">
        <v>2</v>
      </c>
      <c r="AH5013">
        <v>0</v>
      </c>
      <c r="AI5013" t="s">
        <v>1115</v>
      </c>
      <c r="AJ5013">
        <v>28.234627</v>
      </c>
      <c r="AK5013" t="s">
        <v>1116</v>
      </c>
      <c r="AL5013">
        <v>-82.367957000000004</v>
      </c>
      <c r="AM5013">
        <v>100</v>
      </c>
      <c r="AN5013">
        <v>2200</v>
      </c>
      <c r="AO5013" t="s">
        <v>118</v>
      </c>
      <c r="AP5013">
        <v>-101</v>
      </c>
      <c r="AQ5013">
        <v>-48</v>
      </c>
      <c r="AR5013">
        <v>-896</v>
      </c>
      <c r="AZ5013">
        <v>1200</v>
      </c>
      <c r="BA5013">
        <v>1</v>
      </c>
      <c r="BB5013" t="str">
        <f t="shared" si="2282"/>
        <v xml:space="preserve">N711JA  </v>
      </c>
      <c r="BC5013">
        <v>1</v>
      </c>
      <c r="BE5013">
        <v>0</v>
      </c>
      <c r="BF5013">
        <v>0</v>
      </c>
      <c r="BG5013">
        <v>0</v>
      </c>
      <c r="BH5013">
        <v>2275</v>
      </c>
      <c r="BI5013">
        <v>1</v>
      </c>
      <c r="BJ5013">
        <v>1</v>
      </c>
      <c r="BK5013">
        <v>0</v>
      </c>
      <c r="BL5013">
        <v>0</v>
      </c>
      <c r="BO5013">
        <v>0</v>
      </c>
      <c r="BP5013">
        <v>0</v>
      </c>
      <c r="BW5013" t="str">
        <f t="shared" si="2312"/>
        <v>14:50:28.897</v>
      </c>
      <c r="CJ5013">
        <v>0</v>
      </c>
      <c r="CK5013">
        <v>2</v>
      </c>
      <c r="CL5013">
        <v>0</v>
      </c>
      <c r="CM5013">
        <v>2</v>
      </c>
      <c r="CN5013">
        <v>0</v>
      </c>
      <c r="CO5013">
        <v>6</v>
      </c>
      <c r="CP5013" t="s">
        <v>119</v>
      </c>
      <c r="CQ5013">
        <v>8</v>
      </c>
      <c r="CR5013">
        <v>3</v>
      </c>
      <c r="CW5013">
        <v>9224561</v>
      </c>
      <c r="CY5013">
        <v>1</v>
      </c>
      <c r="CZ5013">
        <v>0</v>
      </c>
      <c r="DA5013">
        <v>1</v>
      </c>
      <c r="DB5013">
        <v>0</v>
      </c>
      <c r="DC5013">
        <v>0</v>
      </c>
      <c r="DD5013">
        <v>1</v>
      </c>
      <c r="DE5013">
        <v>0</v>
      </c>
      <c r="DF5013">
        <v>0</v>
      </c>
      <c r="DG5013">
        <v>0</v>
      </c>
      <c r="DH5013">
        <v>0</v>
      </c>
      <c r="DI5013">
        <v>0</v>
      </c>
    </row>
    <row r="5014" spans="1:113" x14ac:dyDescent="0.3">
      <c r="A5014" t="str">
        <f t="shared" si="2309"/>
        <v>05/12/2020 14:50:11.065</v>
      </c>
      <c r="C5014" t="str">
        <f t="shared" ref="C5014:C5077" si="2313">"FFDFD3C0"</f>
        <v>FFDFD3C0</v>
      </c>
      <c r="D5014" t="s">
        <v>131</v>
      </c>
      <c r="E5014">
        <v>12</v>
      </c>
      <c r="F5014">
        <v>2012</v>
      </c>
      <c r="G5014" t="s">
        <v>137</v>
      </c>
      <c r="J5014" t="s">
        <v>133</v>
      </c>
      <c r="K5014">
        <v>0</v>
      </c>
      <c r="L5014">
        <v>3</v>
      </c>
      <c r="M5014">
        <v>0</v>
      </c>
      <c r="N5014">
        <v>2</v>
      </c>
      <c r="O5014">
        <v>1</v>
      </c>
      <c r="P5014">
        <v>0</v>
      </c>
      <c r="Q5014">
        <v>0</v>
      </c>
      <c r="S5014" t="str">
        <f t="shared" si="2310"/>
        <v>14:50:28.891</v>
      </c>
      <c r="T5014" t="str">
        <f t="shared" si="2311"/>
        <v>14:50:28.691</v>
      </c>
      <c r="U5014" t="str">
        <f t="shared" si="2300"/>
        <v>A9808D</v>
      </c>
      <c r="V5014">
        <v>0</v>
      </c>
      <c r="W5014">
        <v>0</v>
      </c>
      <c r="X5014">
        <v>1</v>
      </c>
      <c r="Z5014">
        <v>0</v>
      </c>
      <c r="AA5014">
        <v>9</v>
      </c>
      <c r="AB5014">
        <v>3</v>
      </c>
      <c r="AC5014">
        <v>0</v>
      </c>
      <c r="AD5014">
        <v>10</v>
      </c>
      <c r="AE5014">
        <v>0</v>
      </c>
      <c r="AF5014">
        <v>3</v>
      </c>
      <c r="AG5014">
        <v>2</v>
      </c>
      <c r="AH5014">
        <v>0</v>
      </c>
      <c r="AI5014" t="s">
        <v>1115</v>
      </c>
      <c r="AJ5014">
        <v>28.234627</v>
      </c>
      <c r="AK5014" t="s">
        <v>1116</v>
      </c>
      <c r="AL5014">
        <v>-82.367957000000004</v>
      </c>
      <c r="AM5014">
        <v>100</v>
      </c>
      <c r="AN5014">
        <v>2200</v>
      </c>
      <c r="AO5014" t="s">
        <v>118</v>
      </c>
      <c r="AP5014">
        <v>-101</v>
      </c>
      <c r="AQ5014">
        <v>-48</v>
      </c>
      <c r="AR5014">
        <v>-896</v>
      </c>
      <c r="AZ5014">
        <v>1200</v>
      </c>
      <c r="BA5014">
        <v>1</v>
      </c>
      <c r="BB5014" t="str">
        <f t="shared" ref="BB5014:BB5077" si="2314">"N711JA  "</f>
        <v xml:space="preserve">N711JA  </v>
      </c>
      <c r="BC5014">
        <v>1</v>
      </c>
      <c r="BE5014">
        <v>0</v>
      </c>
      <c r="BF5014">
        <v>0</v>
      </c>
      <c r="BG5014">
        <v>0</v>
      </c>
      <c r="BH5014">
        <v>2275</v>
      </c>
      <c r="BI5014">
        <v>1</v>
      </c>
      <c r="BJ5014">
        <v>1</v>
      </c>
      <c r="BK5014">
        <v>0</v>
      </c>
      <c r="BL5014">
        <v>0</v>
      </c>
      <c r="BO5014">
        <v>0</v>
      </c>
      <c r="BP5014">
        <v>0</v>
      </c>
      <c r="BW5014" t="str">
        <f t="shared" si="2312"/>
        <v>14:50:28.897</v>
      </c>
      <c r="CJ5014">
        <v>0</v>
      </c>
      <c r="CK5014">
        <v>2</v>
      </c>
      <c r="CL5014">
        <v>0</v>
      </c>
      <c r="CM5014">
        <v>2</v>
      </c>
      <c r="CN5014">
        <v>0</v>
      </c>
      <c r="CO5014">
        <v>6</v>
      </c>
      <c r="CP5014" t="s">
        <v>119</v>
      </c>
      <c r="CQ5014">
        <v>8</v>
      </c>
      <c r="CR5014">
        <v>3</v>
      </c>
      <c r="CW5014">
        <v>9224561</v>
      </c>
      <c r="CY5014">
        <v>1</v>
      </c>
      <c r="CZ5014">
        <v>0</v>
      </c>
      <c r="DA5014">
        <v>1</v>
      </c>
      <c r="DB5014">
        <v>0</v>
      </c>
      <c r="DC5014">
        <v>0</v>
      </c>
      <c r="DD5014">
        <v>1</v>
      </c>
      <c r="DE5014">
        <v>0</v>
      </c>
      <c r="DF5014">
        <v>0</v>
      </c>
      <c r="DG5014">
        <v>0</v>
      </c>
      <c r="DH5014">
        <v>0</v>
      </c>
      <c r="DI5014">
        <v>0</v>
      </c>
    </row>
    <row r="5015" spans="1:113" x14ac:dyDescent="0.3">
      <c r="A5015" t="str">
        <f t="shared" si="2309"/>
        <v>05/12/2020 14:50:11.065</v>
      </c>
      <c r="C5015" t="str">
        <f t="shared" si="2313"/>
        <v>FFDFD3C0</v>
      </c>
      <c r="D5015" t="s">
        <v>138</v>
      </c>
      <c r="E5015">
        <v>2</v>
      </c>
      <c r="H5015">
        <v>8</v>
      </c>
      <c r="I5015" t="s">
        <v>139</v>
      </c>
      <c r="J5015" t="s">
        <v>136</v>
      </c>
      <c r="K5015">
        <v>0</v>
      </c>
      <c r="L5015">
        <v>3</v>
      </c>
      <c r="M5015">
        <v>0</v>
      </c>
      <c r="N5015">
        <v>2</v>
      </c>
      <c r="O5015">
        <v>1</v>
      </c>
      <c r="P5015">
        <v>0</v>
      </c>
      <c r="Q5015">
        <v>0</v>
      </c>
      <c r="S5015" t="str">
        <f t="shared" si="2310"/>
        <v>14:50:28.891</v>
      </c>
      <c r="T5015" t="str">
        <f t="shared" si="2311"/>
        <v>14:50:28.691</v>
      </c>
      <c r="U5015" t="str">
        <f t="shared" si="2300"/>
        <v>A9808D</v>
      </c>
      <c r="V5015">
        <v>0</v>
      </c>
      <c r="W5015">
        <v>0</v>
      </c>
      <c r="X5015">
        <v>1</v>
      </c>
      <c r="Z5015">
        <v>0</v>
      </c>
      <c r="AA5015">
        <v>9</v>
      </c>
      <c r="AB5015">
        <v>3</v>
      </c>
      <c r="AC5015">
        <v>0</v>
      </c>
      <c r="AD5015">
        <v>10</v>
      </c>
      <c r="AE5015">
        <v>0</v>
      </c>
      <c r="AF5015">
        <v>3</v>
      </c>
      <c r="AG5015">
        <v>2</v>
      </c>
      <c r="AH5015">
        <v>0</v>
      </c>
      <c r="AI5015" t="s">
        <v>1115</v>
      </c>
      <c r="AJ5015">
        <v>28.234627</v>
      </c>
      <c r="AK5015" t="s">
        <v>1116</v>
      </c>
      <c r="AL5015">
        <v>-82.367957000000004</v>
      </c>
      <c r="AM5015">
        <v>100</v>
      </c>
      <c r="AN5015">
        <v>2200</v>
      </c>
      <c r="AO5015" t="s">
        <v>118</v>
      </c>
      <c r="AP5015">
        <v>-101</v>
      </c>
      <c r="AQ5015">
        <v>-48</v>
      </c>
      <c r="AR5015">
        <v>-896</v>
      </c>
      <c r="AZ5015">
        <v>1200</v>
      </c>
      <c r="BA5015">
        <v>1</v>
      </c>
      <c r="BB5015" t="str">
        <f t="shared" si="2314"/>
        <v xml:space="preserve">N711JA  </v>
      </c>
      <c r="BC5015">
        <v>1</v>
      </c>
      <c r="BE5015">
        <v>0</v>
      </c>
      <c r="BF5015">
        <v>0</v>
      </c>
      <c r="BG5015">
        <v>0</v>
      </c>
      <c r="BH5015">
        <v>2275</v>
      </c>
      <c r="BI5015">
        <v>1</v>
      </c>
      <c r="BJ5015">
        <v>1</v>
      </c>
      <c r="BK5015">
        <v>0</v>
      </c>
      <c r="BL5015">
        <v>0</v>
      </c>
      <c r="BO5015">
        <v>0</v>
      </c>
      <c r="BP5015">
        <v>0</v>
      </c>
      <c r="BW5015" t="str">
        <f t="shared" si="2312"/>
        <v>14:50:28.897</v>
      </c>
      <c r="CJ5015">
        <v>0</v>
      </c>
      <c r="CK5015">
        <v>2</v>
      </c>
      <c r="CL5015">
        <v>0</v>
      </c>
      <c r="CM5015">
        <v>2</v>
      </c>
      <c r="CN5015">
        <v>0</v>
      </c>
      <c r="CO5015">
        <v>6</v>
      </c>
      <c r="CP5015" t="s">
        <v>119</v>
      </c>
      <c r="CQ5015">
        <v>8</v>
      </c>
      <c r="CR5015">
        <v>3</v>
      </c>
      <c r="CW5015">
        <v>9224561</v>
      </c>
      <c r="CY5015">
        <v>1</v>
      </c>
      <c r="CZ5015">
        <v>0</v>
      </c>
      <c r="DA5015">
        <v>1</v>
      </c>
      <c r="DB5015">
        <v>0</v>
      </c>
      <c r="DC5015">
        <v>0</v>
      </c>
      <c r="DD5015">
        <v>1</v>
      </c>
      <c r="DE5015">
        <v>0</v>
      </c>
      <c r="DF5015">
        <v>0</v>
      </c>
      <c r="DG5015">
        <v>0</v>
      </c>
      <c r="DH5015">
        <v>0</v>
      </c>
      <c r="DI5015">
        <v>0</v>
      </c>
    </row>
    <row r="5016" spans="1:113" x14ac:dyDescent="0.3">
      <c r="A5016" t="str">
        <f t="shared" si="2309"/>
        <v>05/12/2020 14:50:11.065</v>
      </c>
      <c r="C5016" t="str">
        <f t="shared" si="2313"/>
        <v>FFDFD3C0</v>
      </c>
      <c r="D5016" t="s">
        <v>113</v>
      </c>
      <c r="E5016">
        <v>3</v>
      </c>
      <c r="H5016">
        <v>164</v>
      </c>
      <c r="I5016" t="s">
        <v>114</v>
      </c>
      <c r="J5016" t="s">
        <v>115</v>
      </c>
      <c r="K5016">
        <v>0</v>
      </c>
      <c r="L5016">
        <v>3</v>
      </c>
      <c r="M5016">
        <v>0</v>
      </c>
      <c r="N5016">
        <v>2</v>
      </c>
      <c r="O5016">
        <v>1</v>
      </c>
      <c r="P5016">
        <v>0</v>
      </c>
      <c r="Q5016">
        <v>0</v>
      </c>
      <c r="S5016" t="str">
        <f t="shared" si="2310"/>
        <v>14:50:28.891</v>
      </c>
      <c r="T5016" t="str">
        <f t="shared" si="2311"/>
        <v>14:50:28.691</v>
      </c>
      <c r="U5016" t="str">
        <f t="shared" si="2300"/>
        <v>A9808D</v>
      </c>
      <c r="V5016">
        <v>0</v>
      </c>
      <c r="W5016">
        <v>0</v>
      </c>
      <c r="X5016">
        <v>1</v>
      </c>
      <c r="Z5016">
        <v>0</v>
      </c>
      <c r="AA5016">
        <v>9</v>
      </c>
      <c r="AB5016">
        <v>3</v>
      </c>
      <c r="AC5016">
        <v>0</v>
      </c>
      <c r="AD5016">
        <v>10</v>
      </c>
      <c r="AE5016">
        <v>0</v>
      </c>
      <c r="AF5016">
        <v>3</v>
      </c>
      <c r="AG5016">
        <v>2</v>
      </c>
      <c r="AH5016">
        <v>0</v>
      </c>
      <c r="AI5016" t="s">
        <v>1115</v>
      </c>
      <c r="AJ5016">
        <v>28.234627</v>
      </c>
      <c r="AK5016" t="s">
        <v>1116</v>
      </c>
      <c r="AL5016">
        <v>-82.367957000000004</v>
      </c>
      <c r="AM5016">
        <v>100</v>
      </c>
      <c r="AN5016">
        <v>2200</v>
      </c>
      <c r="AO5016" t="s">
        <v>118</v>
      </c>
      <c r="AP5016">
        <v>-101</v>
      </c>
      <c r="AQ5016">
        <v>-48</v>
      </c>
      <c r="AR5016">
        <v>-896</v>
      </c>
      <c r="AZ5016">
        <v>1200</v>
      </c>
      <c r="BA5016">
        <v>1</v>
      </c>
      <c r="BB5016" t="str">
        <f t="shared" si="2314"/>
        <v xml:space="preserve">N711JA  </v>
      </c>
      <c r="BC5016">
        <v>1</v>
      </c>
      <c r="BE5016">
        <v>0</v>
      </c>
      <c r="BF5016">
        <v>0</v>
      </c>
      <c r="BG5016">
        <v>0</v>
      </c>
      <c r="BH5016">
        <v>2275</v>
      </c>
      <c r="BI5016">
        <v>1</v>
      </c>
      <c r="BJ5016">
        <v>1</v>
      </c>
      <c r="BK5016">
        <v>0</v>
      </c>
      <c r="BL5016">
        <v>0</v>
      </c>
      <c r="BO5016">
        <v>0</v>
      </c>
      <c r="BP5016">
        <v>0</v>
      </c>
      <c r="BW5016" t="str">
        <f t="shared" si="2312"/>
        <v>14:50:28.897</v>
      </c>
      <c r="CJ5016">
        <v>0</v>
      </c>
      <c r="CK5016">
        <v>2</v>
      </c>
      <c r="CL5016">
        <v>0</v>
      </c>
      <c r="CM5016">
        <v>2</v>
      </c>
      <c r="CN5016">
        <v>0</v>
      </c>
      <c r="CO5016">
        <v>6</v>
      </c>
      <c r="CP5016" t="s">
        <v>119</v>
      </c>
      <c r="CQ5016">
        <v>8</v>
      </c>
      <c r="CR5016">
        <v>3</v>
      </c>
      <c r="CW5016">
        <v>9224561</v>
      </c>
      <c r="CY5016">
        <v>1</v>
      </c>
      <c r="CZ5016">
        <v>0</v>
      </c>
      <c r="DA5016">
        <v>1</v>
      </c>
      <c r="DB5016">
        <v>0</v>
      </c>
      <c r="DC5016">
        <v>0</v>
      </c>
      <c r="DD5016">
        <v>1</v>
      </c>
      <c r="DE5016">
        <v>0</v>
      </c>
      <c r="DF5016">
        <v>0</v>
      </c>
      <c r="DG5016">
        <v>0</v>
      </c>
      <c r="DH5016">
        <v>0</v>
      </c>
      <c r="DI5016">
        <v>0</v>
      </c>
    </row>
    <row r="5017" spans="1:113" x14ac:dyDescent="0.3">
      <c r="A5017" t="str">
        <f t="shared" si="2309"/>
        <v>05/12/2020 14:50:11.065</v>
      </c>
      <c r="C5017" t="str">
        <f t="shared" si="2313"/>
        <v>FFDFD3C0</v>
      </c>
      <c r="D5017" t="s">
        <v>138</v>
      </c>
      <c r="E5017">
        <v>3</v>
      </c>
      <c r="H5017">
        <v>9</v>
      </c>
      <c r="I5017" t="s">
        <v>140</v>
      </c>
      <c r="J5017" t="s">
        <v>136</v>
      </c>
      <c r="K5017">
        <v>0</v>
      </c>
      <c r="L5017">
        <v>3</v>
      </c>
      <c r="M5017">
        <v>0</v>
      </c>
      <c r="N5017">
        <v>2</v>
      </c>
      <c r="O5017">
        <v>1</v>
      </c>
      <c r="P5017">
        <v>0</v>
      </c>
      <c r="Q5017">
        <v>0</v>
      </c>
      <c r="S5017" t="str">
        <f t="shared" si="2310"/>
        <v>14:50:28.891</v>
      </c>
      <c r="T5017" t="str">
        <f t="shared" si="2311"/>
        <v>14:50:28.691</v>
      </c>
      <c r="U5017" t="str">
        <f t="shared" si="2300"/>
        <v>A9808D</v>
      </c>
      <c r="V5017">
        <v>0</v>
      </c>
      <c r="W5017">
        <v>0</v>
      </c>
      <c r="X5017">
        <v>1</v>
      </c>
      <c r="Z5017">
        <v>0</v>
      </c>
      <c r="AA5017">
        <v>9</v>
      </c>
      <c r="AB5017">
        <v>3</v>
      </c>
      <c r="AC5017">
        <v>0</v>
      </c>
      <c r="AD5017">
        <v>10</v>
      </c>
      <c r="AE5017">
        <v>0</v>
      </c>
      <c r="AF5017">
        <v>3</v>
      </c>
      <c r="AG5017">
        <v>2</v>
      </c>
      <c r="AH5017">
        <v>0</v>
      </c>
      <c r="AI5017" t="s">
        <v>1115</v>
      </c>
      <c r="AJ5017">
        <v>28.234627</v>
      </c>
      <c r="AK5017" t="s">
        <v>1116</v>
      </c>
      <c r="AL5017">
        <v>-82.367957000000004</v>
      </c>
      <c r="AM5017">
        <v>100</v>
      </c>
      <c r="AN5017">
        <v>2200</v>
      </c>
      <c r="AO5017" t="s">
        <v>118</v>
      </c>
      <c r="AP5017">
        <v>-101</v>
      </c>
      <c r="AQ5017">
        <v>-48</v>
      </c>
      <c r="AR5017">
        <v>-896</v>
      </c>
      <c r="AZ5017">
        <v>1200</v>
      </c>
      <c r="BA5017">
        <v>1</v>
      </c>
      <c r="BB5017" t="str">
        <f t="shared" si="2314"/>
        <v xml:space="preserve">N711JA  </v>
      </c>
      <c r="BC5017">
        <v>1</v>
      </c>
      <c r="BE5017">
        <v>0</v>
      </c>
      <c r="BF5017">
        <v>0</v>
      </c>
      <c r="BG5017">
        <v>0</v>
      </c>
      <c r="BH5017">
        <v>2275</v>
      </c>
      <c r="BI5017">
        <v>1</v>
      </c>
      <c r="BJ5017">
        <v>1</v>
      </c>
      <c r="BK5017">
        <v>0</v>
      </c>
      <c r="BL5017">
        <v>0</v>
      </c>
      <c r="BO5017">
        <v>0</v>
      </c>
      <c r="BP5017">
        <v>0</v>
      </c>
      <c r="BW5017" t="str">
        <f t="shared" si="2312"/>
        <v>14:50:28.897</v>
      </c>
      <c r="CJ5017">
        <v>0</v>
      </c>
      <c r="CK5017">
        <v>2</v>
      </c>
      <c r="CL5017">
        <v>0</v>
      </c>
      <c r="CM5017">
        <v>2</v>
      </c>
      <c r="CN5017">
        <v>0</v>
      </c>
      <c r="CO5017">
        <v>6</v>
      </c>
      <c r="CP5017" t="s">
        <v>119</v>
      </c>
      <c r="CQ5017">
        <v>8</v>
      </c>
      <c r="CR5017">
        <v>3</v>
      </c>
      <c r="CW5017">
        <v>9224561</v>
      </c>
      <c r="CY5017">
        <v>1</v>
      </c>
      <c r="CZ5017">
        <v>0</v>
      </c>
      <c r="DA5017">
        <v>1</v>
      </c>
      <c r="DB5017">
        <v>0</v>
      </c>
      <c r="DC5017">
        <v>0</v>
      </c>
      <c r="DD5017">
        <v>1</v>
      </c>
      <c r="DE5017">
        <v>0</v>
      </c>
      <c r="DF5017">
        <v>0</v>
      </c>
      <c r="DG5017">
        <v>0</v>
      </c>
      <c r="DH5017">
        <v>0</v>
      </c>
      <c r="DI5017">
        <v>0</v>
      </c>
    </row>
    <row r="5018" spans="1:113" x14ac:dyDescent="0.3">
      <c r="A5018" t="str">
        <f t="shared" si="2309"/>
        <v>05/12/2020 14:50:11.065</v>
      </c>
      <c r="C5018" t="str">
        <f t="shared" si="2313"/>
        <v>FFDFD3C0</v>
      </c>
      <c r="D5018" t="s">
        <v>131</v>
      </c>
      <c r="E5018">
        <v>18</v>
      </c>
      <c r="F5018">
        <v>2018</v>
      </c>
      <c r="G5018" t="s">
        <v>161</v>
      </c>
      <c r="J5018" t="s">
        <v>133</v>
      </c>
      <c r="K5018">
        <v>0</v>
      </c>
      <c r="L5018">
        <v>3</v>
      </c>
      <c r="M5018">
        <v>0</v>
      </c>
      <c r="N5018">
        <v>2</v>
      </c>
      <c r="O5018">
        <v>1</v>
      </c>
      <c r="P5018">
        <v>0</v>
      </c>
      <c r="Q5018">
        <v>0</v>
      </c>
      <c r="S5018" t="str">
        <f t="shared" si="2310"/>
        <v>14:50:28.891</v>
      </c>
      <c r="T5018" t="str">
        <f t="shared" si="2311"/>
        <v>14:50:28.691</v>
      </c>
      <c r="U5018" t="str">
        <f t="shared" si="2300"/>
        <v>A9808D</v>
      </c>
      <c r="V5018">
        <v>0</v>
      </c>
      <c r="W5018">
        <v>0</v>
      </c>
      <c r="X5018">
        <v>1</v>
      </c>
      <c r="Z5018">
        <v>0</v>
      </c>
      <c r="AA5018">
        <v>9</v>
      </c>
      <c r="AB5018">
        <v>3</v>
      </c>
      <c r="AC5018">
        <v>0</v>
      </c>
      <c r="AD5018">
        <v>10</v>
      </c>
      <c r="AE5018">
        <v>0</v>
      </c>
      <c r="AF5018">
        <v>3</v>
      </c>
      <c r="AG5018">
        <v>2</v>
      </c>
      <c r="AH5018">
        <v>0</v>
      </c>
      <c r="AI5018" t="s">
        <v>1115</v>
      </c>
      <c r="AJ5018">
        <v>28.234627</v>
      </c>
      <c r="AK5018" t="s">
        <v>1116</v>
      </c>
      <c r="AL5018">
        <v>-82.367957000000004</v>
      </c>
      <c r="AM5018">
        <v>100</v>
      </c>
      <c r="AN5018">
        <v>2200</v>
      </c>
      <c r="AO5018" t="s">
        <v>118</v>
      </c>
      <c r="AP5018">
        <v>-101</v>
      </c>
      <c r="AQ5018">
        <v>-48</v>
      </c>
      <c r="AR5018">
        <v>-896</v>
      </c>
      <c r="AZ5018">
        <v>1200</v>
      </c>
      <c r="BA5018">
        <v>1</v>
      </c>
      <c r="BB5018" t="str">
        <f t="shared" si="2314"/>
        <v xml:space="preserve">N711JA  </v>
      </c>
      <c r="BC5018">
        <v>1</v>
      </c>
      <c r="BE5018">
        <v>0</v>
      </c>
      <c r="BF5018">
        <v>0</v>
      </c>
      <c r="BG5018">
        <v>0</v>
      </c>
      <c r="BH5018">
        <v>2275</v>
      </c>
      <c r="BI5018">
        <v>1</v>
      </c>
      <c r="BJ5018">
        <v>1</v>
      </c>
      <c r="BK5018">
        <v>0</v>
      </c>
      <c r="BL5018">
        <v>0</v>
      </c>
      <c r="BO5018">
        <v>0</v>
      </c>
      <c r="BP5018">
        <v>0</v>
      </c>
      <c r="BW5018" t="str">
        <f t="shared" si="2312"/>
        <v>14:50:28.897</v>
      </c>
      <c r="CJ5018">
        <v>0</v>
      </c>
      <c r="CK5018">
        <v>2</v>
      </c>
      <c r="CL5018">
        <v>0</v>
      </c>
      <c r="CM5018">
        <v>2</v>
      </c>
      <c r="CN5018">
        <v>0</v>
      </c>
      <c r="CO5018">
        <v>5</v>
      </c>
      <c r="CP5018" t="s">
        <v>119</v>
      </c>
      <c r="CQ5018">
        <v>343</v>
      </c>
      <c r="CR5018">
        <v>1</v>
      </c>
      <c r="CW5018">
        <v>11100927</v>
      </c>
      <c r="CY5018">
        <v>1</v>
      </c>
      <c r="CZ5018">
        <v>0</v>
      </c>
      <c r="DA5018">
        <v>1</v>
      </c>
      <c r="DB5018">
        <v>0</v>
      </c>
      <c r="DC5018">
        <v>0</v>
      </c>
      <c r="DD5018">
        <v>1</v>
      </c>
      <c r="DE5018">
        <v>0</v>
      </c>
      <c r="DF5018">
        <v>0</v>
      </c>
      <c r="DG5018">
        <v>0</v>
      </c>
      <c r="DH5018">
        <v>0</v>
      </c>
      <c r="DI5018">
        <v>0</v>
      </c>
    </row>
    <row r="5019" spans="1:113" x14ac:dyDescent="0.3">
      <c r="A5019" t="str">
        <f t="shared" si="2309"/>
        <v>05/12/2020 14:50:11.065</v>
      </c>
      <c r="C5019" t="str">
        <f t="shared" si="2313"/>
        <v>FFDFD3C0</v>
      </c>
      <c r="D5019" t="s">
        <v>126</v>
      </c>
      <c r="E5019">
        <v>6</v>
      </c>
      <c r="F5019">
        <v>1006</v>
      </c>
      <c r="G5019" t="s">
        <v>114</v>
      </c>
      <c r="J5019" t="s">
        <v>128</v>
      </c>
      <c r="K5019">
        <v>0</v>
      </c>
      <c r="L5019">
        <v>3</v>
      </c>
      <c r="M5019">
        <v>0</v>
      </c>
      <c r="N5019">
        <v>2</v>
      </c>
      <c r="O5019">
        <v>1</v>
      </c>
      <c r="P5019">
        <v>0</v>
      </c>
      <c r="Q5019">
        <v>0</v>
      </c>
      <c r="S5019" t="str">
        <f t="shared" si="2310"/>
        <v>14:50:28.891</v>
      </c>
      <c r="T5019" t="str">
        <f t="shared" si="2311"/>
        <v>14:50:28.691</v>
      </c>
      <c r="U5019" t="str">
        <f t="shared" si="2300"/>
        <v>A9808D</v>
      </c>
      <c r="V5019">
        <v>0</v>
      </c>
      <c r="W5019">
        <v>0</v>
      </c>
      <c r="X5019">
        <v>1</v>
      </c>
      <c r="Z5019">
        <v>0</v>
      </c>
      <c r="AA5019">
        <v>9</v>
      </c>
      <c r="AB5019">
        <v>3</v>
      </c>
      <c r="AC5019">
        <v>0</v>
      </c>
      <c r="AD5019">
        <v>10</v>
      </c>
      <c r="AE5019">
        <v>0</v>
      </c>
      <c r="AF5019">
        <v>3</v>
      </c>
      <c r="AG5019">
        <v>2</v>
      </c>
      <c r="AH5019">
        <v>0</v>
      </c>
      <c r="AI5019" t="s">
        <v>1115</v>
      </c>
      <c r="AJ5019">
        <v>28.234627</v>
      </c>
      <c r="AK5019" t="s">
        <v>1116</v>
      </c>
      <c r="AL5019">
        <v>-82.367957000000004</v>
      </c>
      <c r="AM5019">
        <v>100</v>
      </c>
      <c r="AN5019">
        <v>2200</v>
      </c>
      <c r="AO5019" t="s">
        <v>118</v>
      </c>
      <c r="AP5019">
        <v>-101</v>
      </c>
      <c r="AQ5019">
        <v>-48</v>
      </c>
      <c r="AR5019">
        <v>-896</v>
      </c>
      <c r="AZ5019">
        <v>1200</v>
      </c>
      <c r="BA5019">
        <v>1</v>
      </c>
      <c r="BB5019" t="str">
        <f t="shared" si="2314"/>
        <v xml:space="preserve">N711JA  </v>
      </c>
      <c r="BC5019">
        <v>1</v>
      </c>
      <c r="BE5019">
        <v>0</v>
      </c>
      <c r="BF5019">
        <v>0</v>
      </c>
      <c r="BG5019">
        <v>0</v>
      </c>
      <c r="BH5019">
        <v>2275</v>
      </c>
      <c r="BI5019">
        <v>1</v>
      </c>
      <c r="BJ5019">
        <v>1</v>
      </c>
      <c r="BK5019">
        <v>0</v>
      </c>
      <c r="BL5019">
        <v>0</v>
      </c>
      <c r="BO5019">
        <v>0</v>
      </c>
      <c r="BP5019">
        <v>0</v>
      </c>
      <c r="BW5019" t="str">
        <f t="shared" si="2312"/>
        <v>14:50:28.897</v>
      </c>
      <c r="CJ5019">
        <v>0</v>
      </c>
      <c r="CK5019">
        <v>2</v>
      </c>
      <c r="CL5019">
        <v>0</v>
      </c>
      <c r="CM5019">
        <v>2</v>
      </c>
      <c r="CN5019">
        <v>0</v>
      </c>
      <c r="CO5019">
        <v>6</v>
      </c>
      <c r="CP5019" t="s">
        <v>119</v>
      </c>
      <c r="CQ5019">
        <v>8</v>
      </c>
      <c r="CR5019">
        <v>3</v>
      </c>
      <c r="CW5019">
        <v>9224561</v>
      </c>
      <c r="CY5019">
        <v>1</v>
      </c>
      <c r="CZ5019">
        <v>0</v>
      </c>
      <c r="DA5019">
        <v>1</v>
      </c>
      <c r="DB5019">
        <v>0</v>
      </c>
      <c r="DC5019">
        <v>0</v>
      </c>
      <c r="DD5019">
        <v>1</v>
      </c>
      <c r="DE5019">
        <v>0</v>
      </c>
      <c r="DF5019">
        <v>0</v>
      </c>
      <c r="DG5019">
        <v>0</v>
      </c>
      <c r="DH5019">
        <v>0</v>
      </c>
      <c r="DI5019">
        <v>0</v>
      </c>
    </row>
    <row r="5020" spans="1:113" x14ac:dyDescent="0.3">
      <c r="A5020" t="str">
        <f t="shared" si="2309"/>
        <v>05/12/2020 14:50:11.065</v>
      </c>
      <c r="C5020" t="str">
        <f t="shared" si="2313"/>
        <v>FFDFD3C0</v>
      </c>
      <c r="D5020" t="s">
        <v>134</v>
      </c>
      <c r="E5020">
        <v>12</v>
      </c>
      <c r="H5020">
        <v>64</v>
      </c>
      <c r="I5020" t="s">
        <v>135</v>
      </c>
      <c r="J5020" t="s">
        <v>136</v>
      </c>
      <c r="K5020">
        <v>0</v>
      </c>
      <c r="L5020">
        <v>3</v>
      </c>
      <c r="M5020">
        <v>0</v>
      </c>
      <c r="N5020">
        <v>2</v>
      </c>
      <c r="O5020">
        <v>1</v>
      </c>
      <c r="P5020">
        <v>0</v>
      </c>
      <c r="Q5020">
        <v>0</v>
      </c>
      <c r="S5020" t="str">
        <f t="shared" si="2310"/>
        <v>14:50:28.891</v>
      </c>
      <c r="T5020" t="str">
        <f t="shared" si="2311"/>
        <v>14:50:28.691</v>
      </c>
      <c r="U5020" t="str">
        <f t="shared" si="2300"/>
        <v>A9808D</v>
      </c>
      <c r="V5020">
        <v>0</v>
      </c>
      <c r="W5020">
        <v>0</v>
      </c>
      <c r="X5020">
        <v>1</v>
      </c>
      <c r="Z5020">
        <v>0</v>
      </c>
      <c r="AA5020">
        <v>9</v>
      </c>
      <c r="AB5020">
        <v>3</v>
      </c>
      <c r="AC5020">
        <v>0</v>
      </c>
      <c r="AD5020">
        <v>10</v>
      </c>
      <c r="AE5020">
        <v>0</v>
      </c>
      <c r="AF5020">
        <v>3</v>
      </c>
      <c r="AG5020">
        <v>2</v>
      </c>
      <c r="AH5020">
        <v>0</v>
      </c>
      <c r="AI5020" t="s">
        <v>1115</v>
      </c>
      <c r="AJ5020">
        <v>28.234627</v>
      </c>
      <c r="AK5020" t="s">
        <v>1116</v>
      </c>
      <c r="AL5020">
        <v>-82.367957000000004</v>
      </c>
      <c r="AM5020">
        <v>100</v>
      </c>
      <c r="AN5020">
        <v>2200</v>
      </c>
      <c r="AO5020" t="s">
        <v>118</v>
      </c>
      <c r="AP5020">
        <v>-101</v>
      </c>
      <c r="AQ5020">
        <v>-48</v>
      </c>
      <c r="AR5020">
        <v>-896</v>
      </c>
      <c r="AZ5020">
        <v>1200</v>
      </c>
      <c r="BA5020">
        <v>1</v>
      </c>
      <c r="BB5020" t="str">
        <f t="shared" si="2314"/>
        <v xml:space="preserve">N711JA  </v>
      </c>
      <c r="BC5020">
        <v>1</v>
      </c>
      <c r="BE5020">
        <v>0</v>
      </c>
      <c r="BF5020">
        <v>0</v>
      </c>
      <c r="BG5020">
        <v>0</v>
      </c>
      <c r="BH5020">
        <v>2275</v>
      </c>
      <c r="BI5020">
        <v>1</v>
      </c>
      <c r="BJ5020">
        <v>1</v>
      </c>
      <c r="BK5020">
        <v>0</v>
      </c>
      <c r="BL5020">
        <v>0</v>
      </c>
      <c r="BO5020">
        <v>0</v>
      </c>
      <c r="BP5020">
        <v>0</v>
      </c>
      <c r="BW5020" t="str">
        <f t="shared" si="2312"/>
        <v>14:50:28.897</v>
      </c>
      <c r="CJ5020">
        <v>0</v>
      </c>
      <c r="CK5020">
        <v>2</v>
      </c>
      <c r="CL5020">
        <v>0</v>
      </c>
      <c r="CM5020">
        <v>2</v>
      </c>
      <c r="CN5020">
        <v>0</v>
      </c>
      <c r="CO5020">
        <v>6</v>
      </c>
      <c r="CP5020" t="s">
        <v>119</v>
      </c>
      <c r="CQ5020">
        <v>8</v>
      </c>
      <c r="CR5020">
        <v>3</v>
      </c>
      <c r="CW5020">
        <v>9224561</v>
      </c>
      <c r="CY5020">
        <v>1</v>
      </c>
      <c r="CZ5020">
        <v>0</v>
      </c>
      <c r="DA5020">
        <v>1</v>
      </c>
      <c r="DB5020">
        <v>0</v>
      </c>
      <c r="DC5020">
        <v>0</v>
      </c>
      <c r="DD5020">
        <v>1</v>
      </c>
      <c r="DE5020">
        <v>0</v>
      </c>
      <c r="DF5020">
        <v>0</v>
      </c>
      <c r="DG5020">
        <v>0</v>
      </c>
      <c r="DH5020">
        <v>0</v>
      </c>
      <c r="DI5020">
        <v>0</v>
      </c>
    </row>
    <row r="5021" spans="1:113" x14ac:dyDescent="0.3">
      <c r="A5021" t="str">
        <f t="shared" ref="A5021:A5029" si="2315">"05/12/2020 14:50:12.019"</f>
        <v>05/12/2020 14:50:12.019</v>
      </c>
      <c r="C5021" t="str">
        <f t="shared" si="2313"/>
        <v>FFDFD3C0</v>
      </c>
      <c r="D5021" t="s">
        <v>126</v>
      </c>
      <c r="E5021">
        <v>7</v>
      </c>
      <c r="F5021">
        <v>1007</v>
      </c>
      <c r="G5021" t="s">
        <v>127</v>
      </c>
      <c r="J5021" t="s">
        <v>128</v>
      </c>
      <c r="K5021">
        <v>0</v>
      </c>
      <c r="L5021">
        <v>3</v>
      </c>
      <c r="M5021">
        <v>0</v>
      </c>
      <c r="N5021">
        <v>2</v>
      </c>
      <c r="O5021">
        <v>1</v>
      </c>
      <c r="P5021">
        <v>0</v>
      </c>
      <c r="Q5021">
        <v>0</v>
      </c>
      <c r="S5021" t="str">
        <f t="shared" ref="S5021:S5029" si="2316">"14:50:29.852"</f>
        <v>14:50:29.852</v>
      </c>
      <c r="T5021" t="str">
        <f t="shared" ref="T5021:T5029" si="2317">"14:50:29.552"</f>
        <v>14:50:29.552</v>
      </c>
      <c r="U5021" t="str">
        <f t="shared" si="2300"/>
        <v>A9808D</v>
      </c>
      <c r="V5021">
        <v>0</v>
      </c>
      <c r="W5021">
        <v>0</v>
      </c>
      <c r="X5021">
        <v>1</v>
      </c>
      <c r="Z5021">
        <v>0</v>
      </c>
      <c r="AA5021">
        <v>9</v>
      </c>
      <c r="AB5021">
        <v>3</v>
      </c>
      <c r="AC5021">
        <v>0</v>
      </c>
      <c r="AD5021">
        <v>10</v>
      </c>
      <c r="AE5021">
        <v>0</v>
      </c>
      <c r="AF5021">
        <v>3</v>
      </c>
      <c r="AG5021">
        <v>2</v>
      </c>
      <c r="AH5021">
        <v>0</v>
      </c>
      <c r="AI5021" t="s">
        <v>180</v>
      </c>
      <c r="AJ5021">
        <v>28.234390999999999</v>
      </c>
      <c r="AK5021" t="s">
        <v>428</v>
      </c>
      <c r="AL5021">
        <v>-82.368493000000001</v>
      </c>
      <c r="AM5021">
        <v>100</v>
      </c>
      <c r="AN5021">
        <v>2100</v>
      </c>
      <c r="AO5021" t="s">
        <v>118</v>
      </c>
      <c r="AP5021">
        <v>-101</v>
      </c>
      <c r="AQ5021">
        <v>-48</v>
      </c>
      <c r="AR5021">
        <v>-832</v>
      </c>
      <c r="AZ5021">
        <v>1200</v>
      </c>
      <c r="BA5021">
        <v>1</v>
      </c>
      <c r="BB5021" t="str">
        <f t="shared" si="2314"/>
        <v xml:space="preserve">N711JA  </v>
      </c>
      <c r="BC5021">
        <v>1</v>
      </c>
      <c r="BE5021">
        <v>0</v>
      </c>
      <c r="BF5021">
        <v>0</v>
      </c>
      <c r="BG5021">
        <v>0</v>
      </c>
      <c r="BH5021">
        <v>2250</v>
      </c>
      <c r="BI5021">
        <v>1</v>
      </c>
      <c r="BJ5021">
        <v>1</v>
      </c>
      <c r="BK5021">
        <v>0</v>
      </c>
      <c r="BL5021">
        <v>0</v>
      </c>
      <c r="BO5021">
        <v>0</v>
      </c>
      <c r="BP5021">
        <v>0</v>
      </c>
      <c r="BW5021" t="str">
        <f t="shared" ref="BW5021:BW5029" si="2318">"14:50:29.859"</f>
        <v>14:50:29.859</v>
      </c>
      <c r="CJ5021">
        <v>0</v>
      </c>
      <c r="CK5021">
        <v>2</v>
      </c>
      <c r="CL5021">
        <v>0</v>
      </c>
      <c r="CM5021">
        <v>2</v>
      </c>
      <c r="CN5021">
        <v>0</v>
      </c>
      <c r="CO5021">
        <v>6</v>
      </c>
      <c r="CP5021" t="s">
        <v>119</v>
      </c>
      <c r="CQ5021">
        <v>358</v>
      </c>
      <c r="CR5021">
        <v>0</v>
      </c>
      <c r="CW5021">
        <v>5208807</v>
      </c>
      <c r="CY5021">
        <v>1</v>
      </c>
      <c r="CZ5021">
        <v>0</v>
      </c>
      <c r="DA5021">
        <v>0</v>
      </c>
      <c r="DB5021">
        <v>0</v>
      </c>
      <c r="DC5021">
        <v>0</v>
      </c>
      <c r="DD5021">
        <v>1</v>
      </c>
      <c r="DE5021">
        <v>0</v>
      </c>
      <c r="DF5021">
        <v>0</v>
      </c>
      <c r="DG5021">
        <v>0</v>
      </c>
      <c r="DH5021">
        <v>0</v>
      </c>
      <c r="DI5021">
        <v>0</v>
      </c>
    </row>
    <row r="5022" spans="1:113" x14ac:dyDescent="0.3">
      <c r="A5022" t="str">
        <f t="shared" si="2315"/>
        <v>05/12/2020 14:50:12.019</v>
      </c>
      <c r="C5022" t="str">
        <f t="shared" si="2313"/>
        <v>FFDFD3C0</v>
      </c>
      <c r="D5022" t="s">
        <v>131</v>
      </c>
      <c r="E5022">
        <v>10</v>
      </c>
      <c r="F5022">
        <v>2010</v>
      </c>
      <c r="G5022" t="s">
        <v>132</v>
      </c>
      <c r="J5022" t="s">
        <v>133</v>
      </c>
      <c r="K5022">
        <v>0</v>
      </c>
      <c r="L5022">
        <v>3</v>
      </c>
      <c r="M5022">
        <v>0</v>
      </c>
      <c r="N5022">
        <v>2</v>
      </c>
      <c r="O5022">
        <v>1</v>
      </c>
      <c r="P5022">
        <v>0</v>
      </c>
      <c r="Q5022">
        <v>0</v>
      </c>
      <c r="S5022" t="str">
        <f t="shared" si="2316"/>
        <v>14:50:29.852</v>
      </c>
      <c r="T5022" t="str">
        <f t="shared" si="2317"/>
        <v>14:50:29.552</v>
      </c>
      <c r="U5022" t="str">
        <f t="shared" si="2300"/>
        <v>A9808D</v>
      </c>
      <c r="V5022">
        <v>0</v>
      </c>
      <c r="W5022">
        <v>0</v>
      </c>
      <c r="X5022">
        <v>1</v>
      </c>
      <c r="Z5022">
        <v>0</v>
      </c>
      <c r="AA5022">
        <v>9</v>
      </c>
      <c r="AB5022">
        <v>3</v>
      </c>
      <c r="AC5022">
        <v>0</v>
      </c>
      <c r="AD5022">
        <v>10</v>
      </c>
      <c r="AE5022">
        <v>0</v>
      </c>
      <c r="AF5022">
        <v>3</v>
      </c>
      <c r="AG5022">
        <v>2</v>
      </c>
      <c r="AH5022">
        <v>0</v>
      </c>
      <c r="AI5022" t="s">
        <v>180</v>
      </c>
      <c r="AJ5022">
        <v>28.234390999999999</v>
      </c>
      <c r="AK5022" t="s">
        <v>428</v>
      </c>
      <c r="AL5022">
        <v>-82.368493000000001</v>
      </c>
      <c r="AM5022">
        <v>100</v>
      </c>
      <c r="AN5022">
        <v>2100</v>
      </c>
      <c r="AO5022" t="s">
        <v>118</v>
      </c>
      <c r="AP5022">
        <v>-101</v>
      </c>
      <c r="AQ5022">
        <v>-48</v>
      </c>
      <c r="AR5022">
        <v>-832</v>
      </c>
      <c r="AZ5022">
        <v>1200</v>
      </c>
      <c r="BA5022">
        <v>1</v>
      </c>
      <c r="BB5022" t="str">
        <f t="shared" si="2314"/>
        <v xml:space="preserve">N711JA  </v>
      </c>
      <c r="BC5022">
        <v>1</v>
      </c>
      <c r="BE5022">
        <v>0</v>
      </c>
      <c r="BF5022">
        <v>0</v>
      </c>
      <c r="BG5022">
        <v>0</v>
      </c>
      <c r="BH5022">
        <v>2250</v>
      </c>
      <c r="BI5022">
        <v>1</v>
      </c>
      <c r="BJ5022">
        <v>1</v>
      </c>
      <c r="BK5022">
        <v>0</v>
      </c>
      <c r="BL5022">
        <v>0</v>
      </c>
      <c r="BO5022">
        <v>0</v>
      </c>
      <c r="BP5022">
        <v>0</v>
      </c>
      <c r="BW5022" t="str">
        <f t="shared" si="2318"/>
        <v>14:50:29.859</v>
      </c>
      <c r="CJ5022">
        <v>0</v>
      </c>
      <c r="CK5022">
        <v>2</v>
      </c>
      <c r="CL5022">
        <v>0</v>
      </c>
      <c r="CM5022">
        <v>2</v>
      </c>
      <c r="CN5022">
        <v>0</v>
      </c>
      <c r="CO5022">
        <v>6</v>
      </c>
      <c r="CP5022" t="s">
        <v>119</v>
      </c>
      <c r="CQ5022">
        <v>358</v>
      </c>
      <c r="CR5022">
        <v>0</v>
      </c>
      <c r="CW5022">
        <v>5208807</v>
      </c>
      <c r="CY5022">
        <v>1</v>
      </c>
      <c r="CZ5022">
        <v>0</v>
      </c>
      <c r="DA5022">
        <v>1</v>
      </c>
      <c r="DB5022">
        <v>0</v>
      </c>
      <c r="DC5022">
        <v>0</v>
      </c>
      <c r="DD5022">
        <v>1</v>
      </c>
      <c r="DE5022">
        <v>0</v>
      </c>
      <c r="DF5022">
        <v>0</v>
      </c>
      <c r="DG5022">
        <v>0</v>
      </c>
      <c r="DH5022">
        <v>0</v>
      </c>
      <c r="DI5022">
        <v>0</v>
      </c>
    </row>
    <row r="5023" spans="1:113" x14ac:dyDescent="0.3">
      <c r="A5023" t="str">
        <f t="shared" si="2315"/>
        <v>05/12/2020 14:50:12.019</v>
      </c>
      <c r="C5023" t="str">
        <f t="shared" si="2313"/>
        <v>FFDFD3C0</v>
      </c>
      <c r="D5023" t="s">
        <v>131</v>
      </c>
      <c r="E5023">
        <v>12</v>
      </c>
      <c r="F5023">
        <v>2012</v>
      </c>
      <c r="G5023" t="s">
        <v>137</v>
      </c>
      <c r="J5023" t="s">
        <v>133</v>
      </c>
      <c r="K5023">
        <v>0</v>
      </c>
      <c r="L5023">
        <v>3</v>
      </c>
      <c r="M5023">
        <v>0</v>
      </c>
      <c r="N5023">
        <v>2</v>
      </c>
      <c r="O5023">
        <v>1</v>
      </c>
      <c r="P5023">
        <v>0</v>
      </c>
      <c r="Q5023">
        <v>0</v>
      </c>
      <c r="S5023" t="str">
        <f t="shared" si="2316"/>
        <v>14:50:29.852</v>
      </c>
      <c r="T5023" t="str">
        <f t="shared" si="2317"/>
        <v>14:50:29.552</v>
      </c>
      <c r="U5023" t="str">
        <f t="shared" si="2300"/>
        <v>A9808D</v>
      </c>
      <c r="V5023">
        <v>0</v>
      </c>
      <c r="W5023">
        <v>0</v>
      </c>
      <c r="X5023">
        <v>1</v>
      </c>
      <c r="Z5023">
        <v>0</v>
      </c>
      <c r="AA5023">
        <v>9</v>
      </c>
      <c r="AB5023">
        <v>3</v>
      </c>
      <c r="AC5023">
        <v>0</v>
      </c>
      <c r="AD5023">
        <v>10</v>
      </c>
      <c r="AE5023">
        <v>0</v>
      </c>
      <c r="AF5023">
        <v>3</v>
      </c>
      <c r="AG5023">
        <v>2</v>
      </c>
      <c r="AH5023">
        <v>0</v>
      </c>
      <c r="AI5023" t="s">
        <v>180</v>
      </c>
      <c r="AJ5023">
        <v>28.234390999999999</v>
      </c>
      <c r="AK5023" t="s">
        <v>428</v>
      </c>
      <c r="AL5023">
        <v>-82.368493000000001</v>
      </c>
      <c r="AM5023">
        <v>100</v>
      </c>
      <c r="AN5023">
        <v>2100</v>
      </c>
      <c r="AO5023" t="s">
        <v>118</v>
      </c>
      <c r="AP5023">
        <v>-101</v>
      </c>
      <c r="AQ5023">
        <v>-48</v>
      </c>
      <c r="AR5023">
        <v>-832</v>
      </c>
      <c r="AZ5023">
        <v>1200</v>
      </c>
      <c r="BA5023">
        <v>1</v>
      </c>
      <c r="BB5023" t="str">
        <f t="shared" si="2314"/>
        <v xml:space="preserve">N711JA  </v>
      </c>
      <c r="BC5023">
        <v>1</v>
      </c>
      <c r="BE5023">
        <v>0</v>
      </c>
      <c r="BF5023">
        <v>0</v>
      </c>
      <c r="BG5023">
        <v>0</v>
      </c>
      <c r="BH5023">
        <v>2250</v>
      </c>
      <c r="BI5023">
        <v>1</v>
      </c>
      <c r="BJ5023">
        <v>1</v>
      </c>
      <c r="BK5023">
        <v>0</v>
      </c>
      <c r="BL5023">
        <v>0</v>
      </c>
      <c r="BO5023">
        <v>0</v>
      </c>
      <c r="BP5023">
        <v>0</v>
      </c>
      <c r="BW5023" t="str">
        <f t="shared" si="2318"/>
        <v>14:50:29.859</v>
      </c>
      <c r="CJ5023">
        <v>0</v>
      </c>
      <c r="CK5023">
        <v>2</v>
      </c>
      <c r="CL5023">
        <v>0</v>
      </c>
      <c r="CM5023">
        <v>2</v>
      </c>
      <c r="CN5023">
        <v>0</v>
      </c>
      <c r="CO5023">
        <v>6</v>
      </c>
      <c r="CP5023" t="s">
        <v>119</v>
      </c>
      <c r="CQ5023">
        <v>8</v>
      </c>
      <c r="CR5023">
        <v>3</v>
      </c>
      <c r="CW5023">
        <v>9225605</v>
      </c>
      <c r="CY5023">
        <v>1</v>
      </c>
      <c r="CZ5023">
        <v>0</v>
      </c>
      <c r="DA5023">
        <v>1</v>
      </c>
      <c r="DB5023">
        <v>0</v>
      </c>
      <c r="DC5023">
        <v>0</v>
      </c>
      <c r="DD5023">
        <v>1</v>
      </c>
      <c r="DE5023">
        <v>0</v>
      </c>
      <c r="DF5023">
        <v>0</v>
      </c>
      <c r="DG5023">
        <v>0</v>
      </c>
      <c r="DH5023">
        <v>0</v>
      </c>
      <c r="DI5023">
        <v>0</v>
      </c>
    </row>
    <row r="5024" spans="1:113" x14ac:dyDescent="0.3">
      <c r="A5024" t="str">
        <f t="shared" si="2315"/>
        <v>05/12/2020 14:50:12.019</v>
      </c>
      <c r="C5024" t="str">
        <f t="shared" si="2313"/>
        <v>FFDFD3C0</v>
      </c>
      <c r="D5024" t="s">
        <v>131</v>
      </c>
      <c r="E5024">
        <v>18</v>
      </c>
      <c r="F5024">
        <v>2018</v>
      </c>
      <c r="G5024" t="s">
        <v>161</v>
      </c>
      <c r="J5024" t="s">
        <v>133</v>
      </c>
      <c r="K5024">
        <v>0</v>
      </c>
      <c r="L5024">
        <v>3</v>
      </c>
      <c r="M5024">
        <v>0</v>
      </c>
      <c r="N5024">
        <v>2</v>
      </c>
      <c r="O5024">
        <v>1</v>
      </c>
      <c r="P5024">
        <v>0</v>
      </c>
      <c r="Q5024">
        <v>0</v>
      </c>
      <c r="S5024" t="str">
        <f t="shared" si="2316"/>
        <v>14:50:29.852</v>
      </c>
      <c r="T5024" t="str">
        <f t="shared" si="2317"/>
        <v>14:50:29.552</v>
      </c>
      <c r="U5024" t="str">
        <f t="shared" si="2300"/>
        <v>A9808D</v>
      </c>
      <c r="V5024">
        <v>0</v>
      </c>
      <c r="W5024">
        <v>0</v>
      </c>
      <c r="X5024">
        <v>1</v>
      </c>
      <c r="Z5024">
        <v>0</v>
      </c>
      <c r="AA5024">
        <v>9</v>
      </c>
      <c r="AB5024">
        <v>3</v>
      </c>
      <c r="AC5024">
        <v>0</v>
      </c>
      <c r="AD5024">
        <v>10</v>
      </c>
      <c r="AE5024">
        <v>0</v>
      </c>
      <c r="AF5024">
        <v>3</v>
      </c>
      <c r="AG5024">
        <v>2</v>
      </c>
      <c r="AH5024">
        <v>0</v>
      </c>
      <c r="AI5024" t="s">
        <v>180</v>
      </c>
      <c r="AJ5024">
        <v>28.234390999999999</v>
      </c>
      <c r="AK5024" t="s">
        <v>428</v>
      </c>
      <c r="AL5024">
        <v>-82.368493000000001</v>
      </c>
      <c r="AM5024">
        <v>100</v>
      </c>
      <c r="AN5024">
        <v>2100</v>
      </c>
      <c r="AO5024" t="s">
        <v>118</v>
      </c>
      <c r="AP5024">
        <v>-101</v>
      </c>
      <c r="AQ5024">
        <v>-48</v>
      </c>
      <c r="AR5024">
        <v>-832</v>
      </c>
      <c r="AZ5024">
        <v>1200</v>
      </c>
      <c r="BA5024">
        <v>1</v>
      </c>
      <c r="BB5024" t="str">
        <f t="shared" si="2314"/>
        <v xml:space="preserve">N711JA  </v>
      </c>
      <c r="BC5024">
        <v>1</v>
      </c>
      <c r="BE5024">
        <v>0</v>
      </c>
      <c r="BF5024">
        <v>0</v>
      </c>
      <c r="BG5024">
        <v>0</v>
      </c>
      <c r="BH5024">
        <v>2250</v>
      </c>
      <c r="BI5024">
        <v>1</v>
      </c>
      <c r="BJ5024">
        <v>1</v>
      </c>
      <c r="BK5024">
        <v>0</v>
      </c>
      <c r="BL5024">
        <v>0</v>
      </c>
      <c r="BO5024">
        <v>0</v>
      </c>
      <c r="BP5024">
        <v>0</v>
      </c>
      <c r="BW5024" t="str">
        <f t="shared" si="2318"/>
        <v>14:50:29.859</v>
      </c>
      <c r="CJ5024">
        <v>0</v>
      </c>
      <c r="CK5024">
        <v>2</v>
      </c>
      <c r="CL5024">
        <v>0</v>
      </c>
      <c r="CM5024">
        <v>2</v>
      </c>
      <c r="CN5024">
        <v>0</v>
      </c>
      <c r="CO5024">
        <v>4</v>
      </c>
      <c r="CP5024" t="s">
        <v>119</v>
      </c>
      <c r="CQ5024">
        <v>62</v>
      </c>
      <c r="CR5024">
        <v>1</v>
      </c>
      <c r="CW5024">
        <v>13123210</v>
      </c>
      <c r="CY5024">
        <v>1</v>
      </c>
      <c r="CZ5024">
        <v>0</v>
      </c>
      <c r="DA5024">
        <v>1</v>
      </c>
      <c r="DB5024">
        <v>0</v>
      </c>
      <c r="DC5024">
        <v>0</v>
      </c>
      <c r="DD5024">
        <v>1</v>
      </c>
      <c r="DE5024">
        <v>0</v>
      </c>
      <c r="DF5024">
        <v>0</v>
      </c>
      <c r="DG5024">
        <v>0</v>
      </c>
      <c r="DH5024">
        <v>0</v>
      </c>
      <c r="DI5024">
        <v>0</v>
      </c>
    </row>
    <row r="5025" spans="1:113" x14ac:dyDescent="0.3">
      <c r="A5025" t="str">
        <f t="shared" si="2315"/>
        <v>05/12/2020 14:50:12.019</v>
      </c>
      <c r="C5025" t="str">
        <f t="shared" si="2313"/>
        <v>FFDFD3C0</v>
      </c>
      <c r="D5025" t="s">
        <v>113</v>
      </c>
      <c r="E5025">
        <v>3</v>
      </c>
      <c r="H5025">
        <v>164</v>
      </c>
      <c r="I5025" t="s">
        <v>114</v>
      </c>
      <c r="J5025" t="s">
        <v>115</v>
      </c>
      <c r="K5025">
        <v>0</v>
      </c>
      <c r="L5025">
        <v>3</v>
      </c>
      <c r="M5025">
        <v>0</v>
      </c>
      <c r="N5025">
        <v>2</v>
      </c>
      <c r="O5025">
        <v>1</v>
      </c>
      <c r="P5025">
        <v>0</v>
      </c>
      <c r="Q5025">
        <v>0</v>
      </c>
      <c r="S5025" t="str">
        <f t="shared" si="2316"/>
        <v>14:50:29.852</v>
      </c>
      <c r="T5025" t="str">
        <f t="shared" si="2317"/>
        <v>14:50:29.552</v>
      </c>
      <c r="U5025" t="str">
        <f t="shared" si="2300"/>
        <v>A9808D</v>
      </c>
      <c r="V5025">
        <v>0</v>
      </c>
      <c r="W5025">
        <v>0</v>
      </c>
      <c r="X5025">
        <v>1</v>
      </c>
      <c r="Z5025">
        <v>0</v>
      </c>
      <c r="AA5025">
        <v>9</v>
      </c>
      <c r="AB5025">
        <v>3</v>
      </c>
      <c r="AC5025">
        <v>0</v>
      </c>
      <c r="AD5025">
        <v>10</v>
      </c>
      <c r="AE5025">
        <v>0</v>
      </c>
      <c r="AF5025">
        <v>3</v>
      </c>
      <c r="AG5025">
        <v>2</v>
      </c>
      <c r="AH5025">
        <v>0</v>
      </c>
      <c r="AI5025" t="s">
        <v>180</v>
      </c>
      <c r="AJ5025">
        <v>28.234390999999999</v>
      </c>
      <c r="AK5025" t="s">
        <v>428</v>
      </c>
      <c r="AL5025">
        <v>-82.368493000000001</v>
      </c>
      <c r="AM5025">
        <v>100</v>
      </c>
      <c r="AN5025">
        <v>2100</v>
      </c>
      <c r="AO5025" t="s">
        <v>118</v>
      </c>
      <c r="AP5025">
        <v>-101</v>
      </c>
      <c r="AQ5025">
        <v>-48</v>
      </c>
      <c r="AR5025">
        <v>-832</v>
      </c>
      <c r="AZ5025">
        <v>1200</v>
      </c>
      <c r="BA5025">
        <v>1</v>
      </c>
      <c r="BB5025" t="str">
        <f t="shared" si="2314"/>
        <v xml:space="preserve">N711JA  </v>
      </c>
      <c r="BC5025">
        <v>1</v>
      </c>
      <c r="BE5025">
        <v>0</v>
      </c>
      <c r="BF5025">
        <v>0</v>
      </c>
      <c r="BG5025">
        <v>0</v>
      </c>
      <c r="BH5025">
        <v>2250</v>
      </c>
      <c r="BI5025">
        <v>1</v>
      </c>
      <c r="BJ5025">
        <v>1</v>
      </c>
      <c r="BK5025">
        <v>0</v>
      </c>
      <c r="BL5025">
        <v>0</v>
      </c>
      <c r="BO5025">
        <v>0</v>
      </c>
      <c r="BP5025">
        <v>0</v>
      </c>
      <c r="BW5025" t="str">
        <f t="shared" si="2318"/>
        <v>14:50:29.859</v>
      </c>
      <c r="CJ5025">
        <v>0</v>
      </c>
      <c r="CK5025">
        <v>2</v>
      </c>
      <c r="CL5025">
        <v>0</v>
      </c>
      <c r="CM5025">
        <v>2</v>
      </c>
      <c r="CN5025">
        <v>0</v>
      </c>
      <c r="CO5025">
        <v>6</v>
      </c>
      <c r="CP5025" t="s">
        <v>119</v>
      </c>
      <c r="CQ5025">
        <v>8</v>
      </c>
      <c r="CR5025">
        <v>3</v>
      </c>
      <c r="CW5025">
        <v>9225605</v>
      </c>
      <c r="CY5025">
        <v>1</v>
      </c>
      <c r="CZ5025">
        <v>0</v>
      </c>
      <c r="DA5025">
        <v>1</v>
      </c>
      <c r="DB5025">
        <v>0</v>
      </c>
      <c r="DC5025">
        <v>0</v>
      </c>
      <c r="DD5025">
        <v>1</v>
      </c>
      <c r="DE5025">
        <v>0</v>
      </c>
      <c r="DF5025">
        <v>0</v>
      </c>
      <c r="DG5025">
        <v>0</v>
      </c>
      <c r="DH5025">
        <v>0</v>
      </c>
      <c r="DI5025">
        <v>0</v>
      </c>
    </row>
    <row r="5026" spans="1:113" x14ac:dyDescent="0.3">
      <c r="A5026" t="str">
        <f t="shared" si="2315"/>
        <v>05/12/2020 14:50:12.019</v>
      </c>
      <c r="C5026" t="str">
        <f t="shared" si="2313"/>
        <v>FFDFD3C0</v>
      </c>
      <c r="D5026" t="s">
        <v>138</v>
      </c>
      <c r="E5026">
        <v>2</v>
      </c>
      <c r="H5026">
        <v>8</v>
      </c>
      <c r="I5026" t="s">
        <v>139</v>
      </c>
      <c r="J5026" t="s">
        <v>136</v>
      </c>
      <c r="K5026">
        <v>0</v>
      </c>
      <c r="L5026">
        <v>3</v>
      </c>
      <c r="M5026">
        <v>0</v>
      </c>
      <c r="N5026">
        <v>2</v>
      </c>
      <c r="O5026">
        <v>1</v>
      </c>
      <c r="P5026">
        <v>0</v>
      </c>
      <c r="Q5026">
        <v>0</v>
      </c>
      <c r="S5026" t="str">
        <f t="shared" si="2316"/>
        <v>14:50:29.852</v>
      </c>
      <c r="T5026" t="str">
        <f t="shared" si="2317"/>
        <v>14:50:29.552</v>
      </c>
      <c r="U5026" t="str">
        <f t="shared" si="2300"/>
        <v>A9808D</v>
      </c>
      <c r="V5026">
        <v>0</v>
      </c>
      <c r="W5026">
        <v>0</v>
      </c>
      <c r="X5026">
        <v>1</v>
      </c>
      <c r="Z5026">
        <v>0</v>
      </c>
      <c r="AA5026">
        <v>9</v>
      </c>
      <c r="AB5026">
        <v>3</v>
      </c>
      <c r="AC5026">
        <v>0</v>
      </c>
      <c r="AD5026">
        <v>10</v>
      </c>
      <c r="AE5026">
        <v>0</v>
      </c>
      <c r="AF5026">
        <v>3</v>
      </c>
      <c r="AG5026">
        <v>2</v>
      </c>
      <c r="AH5026">
        <v>0</v>
      </c>
      <c r="AI5026" t="s">
        <v>180</v>
      </c>
      <c r="AJ5026">
        <v>28.234390999999999</v>
      </c>
      <c r="AK5026" t="s">
        <v>428</v>
      </c>
      <c r="AL5026">
        <v>-82.368493000000001</v>
      </c>
      <c r="AM5026">
        <v>100</v>
      </c>
      <c r="AN5026">
        <v>2100</v>
      </c>
      <c r="AO5026" t="s">
        <v>118</v>
      </c>
      <c r="AP5026">
        <v>-101</v>
      </c>
      <c r="AQ5026">
        <v>-48</v>
      </c>
      <c r="AR5026">
        <v>-832</v>
      </c>
      <c r="AZ5026">
        <v>1200</v>
      </c>
      <c r="BA5026">
        <v>1</v>
      </c>
      <c r="BB5026" t="str">
        <f t="shared" si="2314"/>
        <v xml:space="preserve">N711JA  </v>
      </c>
      <c r="BC5026">
        <v>1</v>
      </c>
      <c r="BE5026">
        <v>0</v>
      </c>
      <c r="BF5026">
        <v>0</v>
      </c>
      <c r="BG5026">
        <v>0</v>
      </c>
      <c r="BH5026">
        <v>2250</v>
      </c>
      <c r="BI5026">
        <v>1</v>
      </c>
      <c r="BJ5026">
        <v>1</v>
      </c>
      <c r="BK5026">
        <v>0</v>
      </c>
      <c r="BL5026">
        <v>0</v>
      </c>
      <c r="BO5026">
        <v>0</v>
      </c>
      <c r="BP5026">
        <v>0</v>
      </c>
      <c r="BW5026" t="str">
        <f t="shared" si="2318"/>
        <v>14:50:29.859</v>
      </c>
      <c r="CJ5026">
        <v>0</v>
      </c>
      <c r="CK5026">
        <v>2</v>
      </c>
      <c r="CL5026">
        <v>0</v>
      </c>
      <c r="CM5026">
        <v>2</v>
      </c>
      <c r="CN5026">
        <v>0</v>
      </c>
      <c r="CO5026">
        <v>6</v>
      </c>
      <c r="CP5026" t="s">
        <v>119</v>
      </c>
      <c r="CQ5026">
        <v>8</v>
      </c>
      <c r="CR5026">
        <v>3</v>
      </c>
      <c r="CW5026">
        <v>9225605</v>
      </c>
      <c r="CY5026">
        <v>1</v>
      </c>
      <c r="CZ5026">
        <v>0</v>
      </c>
      <c r="DA5026">
        <v>1</v>
      </c>
      <c r="DB5026">
        <v>0</v>
      </c>
      <c r="DC5026">
        <v>0</v>
      </c>
      <c r="DD5026">
        <v>1</v>
      </c>
      <c r="DE5026">
        <v>0</v>
      </c>
      <c r="DF5026">
        <v>0</v>
      </c>
      <c r="DG5026">
        <v>0</v>
      </c>
      <c r="DH5026">
        <v>0</v>
      </c>
      <c r="DI5026">
        <v>0</v>
      </c>
    </row>
    <row r="5027" spans="1:113" x14ac:dyDescent="0.3">
      <c r="A5027" t="str">
        <f t="shared" si="2315"/>
        <v>05/12/2020 14:50:12.019</v>
      </c>
      <c r="C5027" t="str">
        <f t="shared" si="2313"/>
        <v>FFDFD3C0</v>
      </c>
      <c r="D5027" t="s">
        <v>138</v>
      </c>
      <c r="E5027">
        <v>3</v>
      </c>
      <c r="H5027">
        <v>9</v>
      </c>
      <c r="I5027" t="s">
        <v>140</v>
      </c>
      <c r="J5027" t="s">
        <v>136</v>
      </c>
      <c r="K5027">
        <v>0</v>
      </c>
      <c r="L5027">
        <v>3</v>
      </c>
      <c r="M5027">
        <v>0</v>
      </c>
      <c r="N5027">
        <v>2</v>
      </c>
      <c r="O5027">
        <v>1</v>
      </c>
      <c r="P5027">
        <v>0</v>
      </c>
      <c r="Q5027">
        <v>0</v>
      </c>
      <c r="S5027" t="str">
        <f t="shared" si="2316"/>
        <v>14:50:29.852</v>
      </c>
      <c r="T5027" t="str">
        <f t="shared" si="2317"/>
        <v>14:50:29.552</v>
      </c>
      <c r="U5027" t="str">
        <f t="shared" si="2300"/>
        <v>A9808D</v>
      </c>
      <c r="V5027">
        <v>0</v>
      </c>
      <c r="W5027">
        <v>0</v>
      </c>
      <c r="X5027">
        <v>1</v>
      </c>
      <c r="Z5027">
        <v>0</v>
      </c>
      <c r="AA5027">
        <v>9</v>
      </c>
      <c r="AB5027">
        <v>3</v>
      </c>
      <c r="AC5027">
        <v>0</v>
      </c>
      <c r="AD5027">
        <v>10</v>
      </c>
      <c r="AE5027">
        <v>0</v>
      </c>
      <c r="AF5027">
        <v>3</v>
      </c>
      <c r="AG5027">
        <v>2</v>
      </c>
      <c r="AH5027">
        <v>0</v>
      </c>
      <c r="AI5027" t="s">
        <v>180</v>
      </c>
      <c r="AJ5027">
        <v>28.234390999999999</v>
      </c>
      <c r="AK5027" t="s">
        <v>428</v>
      </c>
      <c r="AL5027">
        <v>-82.368493000000001</v>
      </c>
      <c r="AM5027">
        <v>100</v>
      </c>
      <c r="AN5027">
        <v>2100</v>
      </c>
      <c r="AO5027" t="s">
        <v>118</v>
      </c>
      <c r="AP5027">
        <v>-101</v>
      </c>
      <c r="AQ5027">
        <v>-48</v>
      </c>
      <c r="AR5027">
        <v>-832</v>
      </c>
      <c r="AZ5027">
        <v>1200</v>
      </c>
      <c r="BA5027">
        <v>1</v>
      </c>
      <c r="BB5027" t="str">
        <f t="shared" si="2314"/>
        <v xml:space="preserve">N711JA  </v>
      </c>
      <c r="BC5027">
        <v>1</v>
      </c>
      <c r="BE5027">
        <v>0</v>
      </c>
      <c r="BF5027">
        <v>0</v>
      </c>
      <c r="BG5027">
        <v>0</v>
      </c>
      <c r="BH5027">
        <v>2250</v>
      </c>
      <c r="BI5027">
        <v>1</v>
      </c>
      <c r="BJ5027">
        <v>1</v>
      </c>
      <c r="BK5027">
        <v>0</v>
      </c>
      <c r="BL5027">
        <v>0</v>
      </c>
      <c r="BO5027">
        <v>0</v>
      </c>
      <c r="BP5027">
        <v>0</v>
      </c>
      <c r="BW5027" t="str">
        <f t="shared" si="2318"/>
        <v>14:50:29.859</v>
      </c>
      <c r="CJ5027">
        <v>0</v>
      </c>
      <c r="CK5027">
        <v>2</v>
      </c>
      <c r="CL5027">
        <v>0</v>
      </c>
      <c r="CM5027">
        <v>2</v>
      </c>
      <c r="CN5027">
        <v>0</v>
      </c>
      <c r="CO5027">
        <v>6</v>
      </c>
      <c r="CP5027" t="s">
        <v>119</v>
      </c>
      <c r="CQ5027">
        <v>358</v>
      </c>
      <c r="CR5027">
        <v>0</v>
      </c>
      <c r="CW5027">
        <v>5208807</v>
      </c>
      <c r="CY5027">
        <v>1</v>
      </c>
      <c r="CZ5027">
        <v>0</v>
      </c>
      <c r="DA5027">
        <v>1</v>
      </c>
      <c r="DB5027">
        <v>0</v>
      </c>
      <c r="DC5027">
        <v>0</v>
      </c>
      <c r="DD5027">
        <v>1</v>
      </c>
      <c r="DE5027">
        <v>0</v>
      </c>
      <c r="DF5027">
        <v>0</v>
      </c>
      <c r="DG5027">
        <v>0</v>
      </c>
      <c r="DH5027">
        <v>0</v>
      </c>
      <c r="DI5027">
        <v>0</v>
      </c>
    </row>
    <row r="5028" spans="1:113" x14ac:dyDescent="0.3">
      <c r="A5028" t="str">
        <f t="shared" si="2315"/>
        <v>05/12/2020 14:50:12.019</v>
      </c>
      <c r="C5028" t="str">
        <f t="shared" si="2313"/>
        <v>FFDFD3C0</v>
      </c>
      <c r="D5028" t="s">
        <v>126</v>
      </c>
      <c r="E5028">
        <v>6</v>
      </c>
      <c r="F5028">
        <v>1006</v>
      </c>
      <c r="G5028" t="s">
        <v>114</v>
      </c>
      <c r="J5028" t="s">
        <v>128</v>
      </c>
      <c r="K5028">
        <v>0</v>
      </c>
      <c r="L5028">
        <v>3</v>
      </c>
      <c r="M5028">
        <v>0</v>
      </c>
      <c r="N5028">
        <v>2</v>
      </c>
      <c r="O5028">
        <v>1</v>
      </c>
      <c r="P5028">
        <v>0</v>
      </c>
      <c r="Q5028">
        <v>0</v>
      </c>
      <c r="S5028" t="str">
        <f t="shared" si="2316"/>
        <v>14:50:29.852</v>
      </c>
      <c r="T5028" t="str">
        <f t="shared" si="2317"/>
        <v>14:50:29.552</v>
      </c>
      <c r="U5028" t="str">
        <f t="shared" si="2300"/>
        <v>A9808D</v>
      </c>
      <c r="V5028">
        <v>0</v>
      </c>
      <c r="W5028">
        <v>0</v>
      </c>
      <c r="X5028">
        <v>1</v>
      </c>
      <c r="Z5028">
        <v>0</v>
      </c>
      <c r="AA5028">
        <v>9</v>
      </c>
      <c r="AB5028">
        <v>3</v>
      </c>
      <c r="AC5028">
        <v>0</v>
      </c>
      <c r="AD5028">
        <v>10</v>
      </c>
      <c r="AE5028">
        <v>0</v>
      </c>
      <c r="AF5028">
        <v>3</v>
      </c>
      <c r="AG5028">
        <v>2</v>
      </c>
      <c r="AH5028">
        <v>0</v>
      </c>
      <c r="AI5028" t="s">
        <v>180</v>
      </c>
      <c r="AJ5028">
        <v>28.234390999999999</v>
      </c>
      <c r="AK5028" t="s">
        <v>428</v>
      </c>
      <c r="AL5028">
        <v>-82.368493000000001</v>
      </c>
      <c r="AM5028">
        <v>100</v>
      </c>
      <c r="AN5028">
        <v>2100</v>
      </c>
      <c r="AO5028" t="s">
        <v>118</v>
      </c>
      <c r="AP5028">
        <v>-101</v>
      </c>
      <c r="AQ5028">
        <v>-48</v>
      </c>
      <c r="AR5028">
        <v>-832</v>
      </c>
      <c r="AZ5028">
        <v>1200</v>
      </c>
      <c r="BA5028">
        <v>1</v>
      </c>
      <c r="BB5028" t="str">
        <f t="shared" si="2314"/>
        <v xml:space="preserve">N711JA  </v>
      </c>
      <c r="BC5028">
        <v>1</v>
      </c>
      <c r="BE5028">
        <v>0</v>
      </c>
      <c r="BF5028">
        <v>0</v>
      </c>
      <c r="BG5028">
        <v>0</v>
      </c>
      <c r="BH5028">
        <v>2250</v>
      </c>
      <c r="BI5028">
        <v>1</v>
      </c>
      <c r="BJ5028">
        <v>1</v>
      </c>
      <c r="BK5028">
        <v>0</v>
      </c>
      <c r="BL5028">
        <v>0</v>
      </c>
      <c r="BO5028">
        <v>0</v>
      </c>
      <c r="BP5028">
        <v>0</v>
      </c>
      <c r="BW5028" t="str">
        <f t="shared" si="2318"/>
        <v>14:50:29.859</v>
      </c>
      <c r="CJ5028">
        <v>0</v>
      </c>
      <c r="CK5028">
        <v>2</v>
      </c>
      <c r="CL5028">
        <v>0</v>
      </c>
      <c r="CM5028">
        <v>2</v>
      </c>
      <c r="CN5028">
        <v>0</v>
      </c>
      <c r="CO5028">
        <v>6</v>
      </c>
      <c r="CP5028" t="s">
        <v>119</v>
      </c>
      <c r="CQ5028">
        <v>358</v>
      </c>
      <c r="CR5028">
        <v>0</v>
      </c>
      <c r="CW5028">
        <v>5208807</v>
      </c>
      <c r="CY5028">
        <v>1</v>
      </c>
      <c r="CZ5028">
        <v>0</v>
      </c>
      <c r="DA5028">
        <v>1</v>
      </c>
      <c r="DB5028">
        <v>0</v>
      </c>
      <c r="DC5028">
        <v>0</v>
      </c>
      <c r="DD5028">
        <v>1</v>
      </c>
      <c r="DE5028">
        <v>0</v>
      </c>
      <c r="DF5028">
        <v>0</v>
      </c>
      <c r="DG5028">
        <v>0</v>
      </c>
      <c r="DH5028">
        <v>0</v>
      </c>
      <c r="DI5028">
        <v>0</v>
      </c>
    </row>
    <row r="5029" spans="1:113" x14ac:dyDescent="0.3">
      <c r="A5029" t="str">
        <f t="shared" si="2315"/>
        <v>05/12/2020 14:50:12.019</v>
      </c>
      <c r="C5029" t="str">
        <f t="shared" si="2313"/>
        <v>FFDFD3C0</v>
      </c>
      <c r="D5029" t="s">
        <v>134</v>
      </c>
      <c r="E5029">
        <v>12</v>
      </c>
      <c r="H5029">
        <v>64</v>
      </c>
      <c r="I5029" t="s">
        <v>135</v>
      </c>
      <c r="J5029" t="s">
        <v>136</v>
      </c>
      <c r="K5029">
        <v>0</v>
      </c>
      <c r="L5029">
        <v>3</v>
      </c>
      <c r="M5029">
        <v>0</v>
      </c>
      <c r="N5029">
        <v>2</v>
      </c>
      <c r="O5029">
        <v>1</v>
      </c>
      <c r="P5029">
        <v>0</v>
      </c>
      <c r="Q5029">
        <v>0</v>
      </c>
      <c r="S5029" t="str">
        <f t="shared" si="2316"/>
        <v>14:50:29.852</v>
      </c>
      <c r="T5029" t="str">
        <f t="shared" si="2317"/>
        <v>14:50:29.552</v>
      </c>
      <c r="U5029" t="str">
        <f t="shared" si="2300"/>
        <v>A9808D</v>
      </c>
      <c r="V5029">
        <v>0</v>
      </c>
      <c r="W5029">
        <v>0</v>
      </c>
      <c r="X5029">
        <v>1</v>
      </c>
      <c r="Z5029">
        <v>0</v>
      </c>
      <c r="AA5029">
        <v>9</v>
      </c>
      <c r="AB5029">
        <v>3</v>
      </c>
      <c r="AC5029">
        <v>0</v>
      </c>
      <c r="AD5029">
        <v>10</v>
      </c>
      <c r="AE5029">
        <v>0</v>
      </c>
      <c r="AF5029">
        <v>3</v>
      </c>
      <c r="AG5029">
        <v>2</v>
      </c>
      <c r="AH5029">
        <v>0</v>
      </c>
      <c r="AI5029" t="s">
        <v>180</v>
      </c>
      <c r="AJ5029">
        <v>28.234390999999999</v>
      </c>
      <c r="AK5029" t="s">
        <v>428</v>
      </c>
      <c r="AL5029">
        <v>-82.368493000000001</v>
      </c>
      <c r="AM5029">
        <v>100</v>
      </c>
      <c r="AN5029">
        <v>2100</v>
      </c>
      <c r="AO5029" t="s">
        <v>118</v>
      </c>
      <c r="AP5029">
        <v>-101</v>
      </c>
      <c r="AQ5029">
        <v>-48</v>
      </c>
      <c r="AR5029">
        <v>-832</v>
      </c>
      <c r="AZ5029">
        <v>1200</v>
      </c>
      <c r="BA5029">
        <v>1</v>
      </c>
      <c r="BB5029" t="str">
        <f t="shared" si="2314"/>
        <v xml:space="preserve">N711JA  </v>
      </c>
      <c r="BC5029">
        <v>1</v>
      </c>
      <c r="BE5029">
        <v>0</v>
      </c>
      <c r="BF5029">
        <v>0</v>
      </c>
      <c r="BG5029">
        <v>0</v>
      </c>
      <c r="BH5029">
        <v>2250</v>
      </c>
      <c r="BI5029">
        <v>1</v>
      </c>
      <c r="BJ5029">
        <v>1</v>
      </c>
      <c r="BK5029">
        <v>0</v>
      </c>
      <c r="BL5029">
        <v>0</v>
      </c>
      <c r="BO5029">
        <v>0</v>
      </c>
      <c r="BP5029">
        <v>0</v>
      </c>
      <c r="BW5029" t="str">
        <f t="shared" si="2318"/>
        <v>14:50:29.859</v>
      </c>
      <c r="CJ5029">
        <v>0</v>
      </c>
      <c r="CK5029">
        <v>2</v>
      </c>
      <c r="CL5029">
        <v>0</v>
      </c>
      <c r="CM5029">
        <v>2</v>
      </c>
      <c r="CN5029">
        <v>0</v>
      </c>
      <c r="CO5029">
        <v>6</v>
      </c>
      <c r="CP5029" t="s">
        <v>119</v>
      </c>
      <c r="CQ5029">
        <v>358</v>
      </c>
      <c r="CR5029">
        <v>0</v>
      </c>
      <c r="CW5029">
        <v>5208807</v>
      </c>
      <c r="CY5029">
        <v>1</v>
      </c>
      <c r="CZ5029">
        <v>0</v>
      </c>
      <c r="DA5029">
        <v>1</v>
      </c>
      <c r="DB5029">
        <v>0</v>
      </c>
      <c r="DC5029">
        <v>0</v>
      </c>
      <c r="DD5029">
        <v>1</v>
      </c>
      <c r="DE5029">
        <v>0</v>
      </c>
      <c r="DF5029">
        <v>0</v>
      </c>
      <c r="DG5029">
        <v>0</v>
      </c>
      <c r="DH5029">
        <v>0</v>
      </c>
      <c r="DI5029">
        <v>0</v>
      </c>
    </row>
    <row r="5030" spans="1:113" x14ac:dyDescent="0.3">
      <c r="A5030" t="str">
        <f t="shared" ref="A5030:A5038" si="2319">"05/12/2020 14:50:13.147"</f>
        <v>05/12/2020 14:50:13.147</v>
      </c>
      <c r="C5030" t="str">
        <f t="shared" si="2313"/>
        <v>FFDFD3C0</v>
      </c>
      <c r="D5030" t="s">
        <v>138</v>
      </c>
      <c r="E5030">
        <v>2</v>
      </c>
      <c r="H5030">
        <v>8</v>
      </c>
      <c r="I5030" t="s">
        <v>139</v>
      </c>
      <c r="J5030" t="s">
        <v>136</v>
      </c>
      <c r="K5030">
        <v>0</v>
      </c>
      <c r="L5030">
        <v>3</v>
      </c>
      <c r="M5030">
        <v>0</v>
      </c>
      <c r="N5030">
        <v>2</v>
      </c>
      <c r="O5030">
        <v>1</v>
      </c>
      <c r="P5030">
        <v>0</v>
      </c>
      <c r="Q5030">
        <v>0</v>
      </c>
      <c r="S5030" t="str">
        <f t="shared" ref="S5030:S5038" si="2320">"14:50:30.977"</f>
        <v>14:50:30.977</v>
      </c>
      <c r="T5030" t="str">
        <f>"14:50:30.177"</f>
        <v>14:50:30.177</v>
      </c>
      <c r="U5030" t="str">
        <f t="shared" si="2300"/>
        <v>A9808D</v>
      </c>
      <c r="V5030">
        <v>0</v>
      </c>
      <c r="W5030">
        <v>0</v>
      </c>
      <c r="X5030">
        <v>1</v>
      </c>
      <c r="Z5030">
        <v>0</v>
      </c>
      <c r="AA5030">
        <v>9</v>
      </c>
      <c r="AB5030">
        <v>3</v>
      </c>
      <c r="AC5030">
        <v>0</v>
      </c>
      <c r="AD5030">
        <v>10</v>
      </c>
      <c r="AE5030">
        <v>0</v>
      </c>
      <c r="AF5030">
        <v>3</v>
      </c>
      <c r="AG5030">
        <v>2</v>
      </c>
      <c r="AH5030">
        <v>0</v>
      </c>
      <c r="AI5030" t="s">
        <v>1117</v>
      </c>
      <c r="AJ5030">
        <v>28.234176999999999</v>
      </c>
      <c r="AK5030" t="s">
        <v>1118</v>
      </c>
      <c r="AL5030">
        <v>-82.369050999999999</v>
      </c>
      <c r="AM5030">
        <v>100</v>
      </c>
      <c r="AN5030">
        <v>2100</v>
      </c>
      <c r="AO5030" t="s">
        <v>118</v>
      </c>
      <c r="AP5030">
        <v>-101</v>
      </c>
      <c r="AQ5030">
        <v>-48</v>
      </c>
      <c r="AR5030">
        <v>-832</v>
      </c>
      <c r="AZ5030">
        <v>1200</v>
      </c>
      <c r="BA5030">
        <v>1</v>
      </c>
      <c r="BB5030" t="str">
        <f t="shared" si="2314"/>
        <v xml:space="preserve">N711JA  </v>
      </c>
      <c r="BC5030">
        <v>1</v>
      </c>
      <c r="BE5030">
        <v>0</v>
      </c>
      <c r="BF5030">
        <v>0</v>
      </c>
      <c r="BG5030">
        <v>0</v>
      </c>
      <c r="BH5030">
        <v>2250</v>
      </c>
      <c r="BI5030">
        <v>1</v>
      </c>
      <c r="BJ5030">
        <v>1</v>
      </c>
      <c r="BK5030">
        <v>0</v>
      </c>
      <c r="BL5030">
        <v>0</v>
      </c>
      <c r="BO5030">
        <v>0</v>
      </c>
      <c r="BP5030">
        <v>0</v>
      </c>
      <c r="BW5030" t="str">
        <f t="shared" ref="BW5030:BW5038" si="2321">"14:50:30.983"</f>
        <v>14:50:30.983</v>
      </c>
      <c r="CJ5030">
        <v>0</v>
      </c>
      <c r="CK5030">
        <v>2</v>
      </c>
      <c r="CL5030">
        <v>0</v>
      </c>
      <c r="CM5030">
        <v>2</v>
      </c>
      <c r="CN5030">
        <v>0</v>
      </c>
      <c r="CO5030">
        <v>6</v>
      </c>
      <c r="CP5030" t="s">
        <v>119</v>
      </c>
      <c r="CQ5030">
        <v>343</v>
      </c>
      <c r="CR5030">
        <v>1</v>
      </c>
      <c r="CW5030">
        <v>11102986</v>
      </c>
      <c r="CY5030">
        <v>1</v>
      </c>
      <c r="CZ5030">
        <v>0</v>
      </c>
      <c r="DA5030">
        <v>0</v>
      </c>
      <c r="DB5030">
        <v>0</v>
      </c>
      <c r="DC5030">
        <v>0</v>
      </c>
      <c r="DD5030">
        <v>1</v>
      </c>
      <c r="DE5030">
        <v>0</v>
      </c>
      <c r="DF5030">
        <v>0</v>
      </c>
      <c r="DG5030">
        <v>0</v>
      </c>
      <c r="DH5030">
        <v>0</v>
      </c>
      <c r="DI5030">
        <v>0</v>
      </c>
    </row>
    <row r="5031" spans="1:113" x14ac:dyDescent="0.3">
      <c r="A5031" t="str">
        <f t="shared" si="2319"/>
        <v>05/12/2020 14:50:13.147</v>
      </c>
      <c r="C5031" t="str">
        <f t="shared" si="2313"/>
        <v>FFDFD3C0</v>
      </c>
      <c r="D5031" t="s">
        <v>113</v>
      </c>
      <c r="E5031">
        <v>3</v>
      </c>
      <c r="H5031">
        <v>164</v>
      </c>
      <c r="I5031" t="s">
        <v>114</v>
      </c>
      <c r="J5031" t="s">
        <v>115</v>
      </c>
      <c r="K5031">
        <v>0</v>
      </c>
      <c r="L5031">
        <v>3</v>
      </c>
      <c r="M5031">
        <v>0</v>
      </c>
      <c r="N5031">
        <v>2</v>
      </c>
      <c r="O5031">
        <v>1</v>
      </c>
      <c r="P5031">
        <v>0</v>
      </c>
      <c r="Q5031">
        <v>0</v>
      </c>
      <c r="S5031" t="str">
        <f t="shared" si="2320"/>
        <v>14:50:30.977</v>
      </c>
      <c r="T5031" t="str">
        <f t="shared" ref="T5031:T5036" si="2322">"14:50:30.677"</f>
        <v>14:50:30.677</v>
      </c>
      <c r="U5031" t="str">
        <f t="shared" si="2300"/>
        <v>A9808D</v>
      </c>
      <c r="V5031">
        <v>0</v>
      </c>
      <c r="W5031">
        <v>0</v>
      </c>
      <c r="X5031">
        <v>1</v>
      </c>
      <c r="Z5031">
        <v>0</v>
      </c>
      <c r="AA5031">
        <v>9</v>
      </c>
      <c r="AB5031">
        <v>3</v>
      </c>
      <c r="AC5031">
        <v>0</v>
      </c>
      <c r="AD5031">
        <v>10</v>
      </c>
      <c r="AE5031">
        <v>0</v>
      </c>
      <c r="AF5031">
        <v>3</v>
      </c>
      <c r="AG5031">
        <v>2</v>
      </c>
      <c r="AH5031">
        <v>0</v>
      </c>
      <c r="AI5031" t="s">
        <v>1117</v>
      </c>
      <c r="AJ5031">
        <v>28.234176999999999</v>
      </c>
      <c r="AK5031" t="s">
        <v>1118</v>
      </c>
      <c r="AL5031">
        <v>-82.369050999999999</v>
      </c>
      <c r="AM5031">
        <v>100</v>
      </c>
      <c r="AN5031">
        <v>2100</v>
      </c>
      <c r="AO5031" t="s">
        <v>118</v>
      </c>
      <c r="AP5031">
        <v>-102</v>
      </c>
      <c r="AQ5031">
        <v>-49</v>
      </c>
      <c r="AR5031">
        <v>-896</v>
      </c>
      <c r="AZ5031">
        <v>1200</v>
      </c>
      <c r="BA5031">
        <v>1</v>
      </c>
      <c r="BB5031" t="str">
        <f t="shared" si="2314"/>
        <v xml:space="preserve">N711JA  </v>
      </c>
      <c r="BC5031">
        <v>1</v>
      </c>
      <c r="BE5031">
        <v>0</v>
      </c>
      <c r="BF5031">
        <v>0</v>
      </c>
      <c r="BG5031">
        <v>0</v>
      </c>
      <c r="BH5031">
        <v>2250</v>
      </c>
      <c r="BI5031">
        <v>1</v>
      </c>
      <c r="BJ5031">
        <v>1</v>
      </c>
      <c r="BK5031">
        <v>0</v>
      </c>
      <c r="BL5031">
        <v>0</v>
      </c>
      <c r="BO5031">
        <v>0</v>
      </c>
      <c r="BP5031">
        <v>0</v>
      </c>
      <c r="BW5031" t="str">
        <f t="shared" si="2321"/>
        <v>14:50:30.983</v>
      </c>
      <c r="CJ5031">
        <v>0</v>
      </c>
      <c r="CK5031">
        <v>2</v>
      </c>
      <c r="CL5031">
        <v>0</v>
      </c>
      <c r="CM5031">
        <v>2</v>
      </c>
      <c r="CN5031">
        <v>0</v>
      </c>
      <c r="CO5031">
        <v>3</v>
      </c>
      <c r="CP5031" t="s">
        <v>119</v>
      </c>
      <c r="CQ5031">
        <v>9</v>
      </c>
      <c r="CR5031">
        <v>2</v>
      </c>
      <c r="CW5031">
        <v>4485663</v>
      </c>
      <c r="CY5031">
        <v>1</v>
      </c>
      <c r="CZ5031">
        <v>0</v>
      </c>
      <c r="DA5031">
        <v>1</v>
      </c>
      <c r="DB5031">
        <v>0</v>
      </c>
      <c r="DC5031">
        <v>0</v>
      </c>
      <c r="DD5031">
        <v>1</v>
      </c>
      <c r="DE5031">
        <v>0</v>
      </c>
      <c r="DF5031">
        <v>0</v>
      </c>
      <c r="DG5031">
        <v>0</v>
      </c>
      <c r="DH5031">
        <v>0</v>
      </c>
      <c r="DI5031">
        <v>0</v>
      </c>
    </row>
    <row r="5032" spans="1:113" x14ac:dyDescent="0.3">
      <c r="A5032" t="str">
        <f t="shared" si="2319"/>
        <v>05/12/2020 14:50:13.147</v>
      </c>
      <c r="C5032" t="str">
        <f t="shared" si="2313"/>
        <v>FFDFD3C0</v>
      </c>
      <c r="D5032" t="s">
        <v>138</v>
      </c>
      <c r="E5032">
        <v>3</v>
      </c>
      <c r="H5032">
        <v>9</v>
      </c>
      <c r="I5032" t="s">
        <v>140</v>
      </c>
      <c r="J5032" t="s">
        <v>136</v>
      </c>
      <c r="K5032">
        <v>0</v>
      </c>
      <c r="L5032">
        <v>3</v>
      </c>
      <c r="M5032">
        <v>0</v>
      </c>
      <c r="N5032">
        <v>2</v>
      </c>
      <c r="O5032">
        <v>1</v>
      </c>
      <c r="P5032">
        <v>0</v>
      </c>
      <c r="Q5032">
        <v>0</v>
      </c>
      <c r="S5032" t="str">
        <f t="shared" si="2320"/>
        <v>14:50:30.977</v>
      </c>
      <c r="T5032" t="str">
        <f t="shared" si="2322"/>
        <v>14:50:30.677</v>
      </c>
      <c r="U5032" t="str">
        <f t="shared" si="2300"/>
        <v>A9808D</v>
      </c>
      <c r="V5032">
        <v>0</v>
      </c>
      <c r="W5032">
        <v>0</v>
      </c>
      <c r="X5032">
        <v>1</v>
      </c>
      <c r="Z5032">
        <v>0</v>
      </c>
      <c r="AA5032">
        <v>9</v>
      </c>
      <c r="AB5032">
        <v>3</v>
      </c>
      <c r="AC5032">
        <v>0</v>
      </c>
      <c r="AD5032">
        <v>10</v>
      </c>
      <c r="AE5032">
        <v>0</v>
      </c>
      <c r="AF5032">
        <v>3</v>
      </c>
      <c r="AG5032">
        <v>2</v>
      </c>
      <c r="AH5032">
        <v>0</v>
      </c>
      <c r="AI5032" t="s">
        <v>1117</v>
      </c>
      <c r="AJ5032">
        <v>28.234176999999999</v>
      </c>
      <c r="AK5032" t="s">
        <v>1118</v>
      </c>
      <c r="AL5032">
        <v>-82.369050999999999</v>
      </c>
      <c r="AM5032">
        <v>100</v>
      </c>
      <c r="AN5032">
        <v>2100</v>
      </c>
      <c r="AO5032" t="s">
        <v>118</v>
      </c>
      <c r="AP5032">
        <v>-102</v>
      </c>
      <c r="AQ5032">
        <v>-49</v>
      </c>
      <c r="AR5032">
        <v>-896</v>
      </c>
      <c r="AZ5032">
        <v>1200</v>
      </c>
      <c r="BA5032">
        <v>1</v>
      </c>
      <c r="BB5032" t="str">
        <f t="shared" si="2314"/>
        <v xml:space="preserve">N711JA  </v>
      </c>
      <c r="BC5032">
        <v>1</v>
      </c>
      <c r="BE5032">
        <v>0</v>
      </c>
      <c r="BF5032">
        <v>0</v>
      </c>
      <c r="BG5032">
        <v>0</v>
      </c>
      <c r="BH5032">
        <v>2250</v>
      </c>
      <c r="BI5032">
        <v>1</v>
      </c>
      <c r="BJ5032">
        <v>1</v>
      </c>
      <c r="BK5032">
        <v>0</v>
      </c>
      <c r="BL5032">
        <v>0</v>
      </c>
      <c r="BO5032">
        <v>0</v>
      </c>
      <c r="BP5032">
        <v>0</v>
      </c>
      <c r="BW5032" t="str">
        <f t="shared" si="2321"/>
        <v>14:50:30.983</v>
      </c>
      <c r="CJ5032">
        <v>0</v>
      </c>
      <c r="CK5032">
        <v>2</v>
      </c>
      <c r="CL5032">
        <v>0</v>
      </c>
      <c r="CM5032">
        <v>2</v>
      </c>
      <c r="CN5032">
        <v>0</v>
      </c>
      <c r="CO5032">
        <v>3</v>
      </c>
      <c r="CP5032" t="s">
        <v>119</v>
      </c>
      <c r="CQ5032">
        <v>9</v>
      </c>
      <c r="CR5032">
        <v>2</v>
      </c>
      <c r="CW5032">
        <v>4485663</v>
      </c>
      <c r="CY5032">
        <v>1</v>
      </c>
      <c r="CZ5032">
        <v>0</v>
      </c>
      <c r="DA5032">
        <v>1</v>
      </c>
      <c r="DB5032">
        <v>0</v>
      </c>
      <c r="DC5032">
        <v>0</v>
      </c>
      <c r="DD5032">
        <v>1</v>
      </c>
      <c r="DE5032">
        <v>0</v>
      </c>
      <c r="DF5032">
        <v>0</v>
      </c>
      <c r="DG5032">
        <v>0</v>
      </c>
      <c r="DH5032">
        <v>0</v>
      </c>
      <c r="DI5032">
        <v>0</v>
      </c>
    </row>
    <row r="5033" spans="1:113" x14ac:dyDescent="0.3">
      <c r="A5033" t="str">
        <f t="shared" si="2319"/>
        <v>05/12/2020 14:50:13.147</v>
      </c>
      <c r="C5033" t="str">
        <f t="shared" si="2313"/>
        <v>FFDFD3C0</v>
      </c>
      <c r="D5033" t="s">
        <v>126</v>
      </c>
      <c r="E5033">
        <v>6</v>
      </c>
      <c r="F5033">
        <v>1006</v>
      </c>
      <c r="G5033" t="s">
        <v>114</v>
      </c>
      <c r="J5033" t="s">
        <v>128</v>
      </c>
      <c r="K5033">
        <v>0</v>
      </c>
      <c r="L5033">
        <v>3</v>
      </c>
      <c r="M5033">
        <v>0</v>
      </c>
      <c r="N5033">
        <v>2</v>
      </c>
      <c r="O5033">
        <v>1</v>
      </c>
      <c r="P5033">
        <v>0</v>
      </c>
      <c r="Q5033">
        <v>0</v>
      </c>
      <c r="S5033" t="str">
        <f t="shared" si="2320"/>
        <v>14:50:30.977</v>
      </c>
      <c r="T5033" t="str">
        <f t="shared" si="2322"/>
        <v>14:50:30.677</v>
      </c>
      <c r="U5033" t="str">
        <f t="shared" si="2300"/>
        <v>A9808D</v>
      </c>
      <c r="V5033">
        <v>0</v>
      </c>
      <c r="W5033">
        <v>0</v>
      </c>
      <c r="X5033">
        <v>1</v>
      </c>
      <c r="Z5033">
        <v>0</v>
      </c>
      <c r="AA5033">
        <v>9</v>
      </c>
      <c r="AB5033">
        <v>3</v>
      </c>
      <c r="AC5033">
        <v>0</v>
      </c>
      <c r="AD5033">
        <v>10</v>
      </c>
      <c r="AE5033">
        <v>0</v>
      </c>
      <c r="AF5033">
        <v>3</v>
      </c>
      <c r="AG5033">
        <v>2</v>
      </c>
      <c r="AH5033">
        <v>0</v>
      </c>
      <c r="AI5033" t="s">
        <v>1117</v>
      </c>
      <c r="AJ5033">
        <v>28.234176999999999</v>
      </c>
      <c r="AK5033" t="s">
        <v>1118</v>
      </c>
      <c r="AL5033">
        <v>-82.369050999999999</v>
      </c>
      <c r="AM5033">
        <v>100</v>
      </c>
      <c r="AN5033">
        <v>2100</v>
      </c>
      <c r="AO5033" t="s">
        <v>118</v>
      </c>
      <c r="AP5033">
        <v>-102</v>
      </c>
      <c r="AQ5033">
        <v>-49</v>
      </c>
      <c r="AR5033">
        <v>-896</v>
      </c>
      <c r="AZ5033">
        <v>1200</v>
      </c>
      <c r="BA5033">
        <v>1</v>
      </c>
      <c r="BB5033" t="str">
        <f t="shared" si="2314"/>
        <v xml:space="preserve">N711JA  </v>
      </c>
      <c r="BC5033">
        <v>1</v>
      </c>
      <c r="BE5033">
        <v>0</v>
      </c>
      <c r="BF5033">
        <v>0</v>
      </c>
      <c r="BG5033">
        <v>0</v>
      </c>
      <c r="BH5033">
        <v>2250</v>
      </c>
      <c r="BI5033">
        <v>1</v>
      </c>
      <c r="BJ5033">
        <v>1</v>
      </c>
      <c r="BK5033">
        <v>0</v>
      </c>
      <c r="BL5033">
        <v>0</v>
      </c>
      <c r="BO5033">
        <v>0</v>
      </c>
      <c r="BP5033">
        <v>0</v>
      </c>
      <c r="BW5033" t="str">
        <f t="shared" si="2321"/>
        <v>14:50:30.983</v>
      </c>
      <c r="CJ5033">
        <v>0</v>
      </c>
      <c r="CK5033">
        <v>2</v>
      </c>
      <c r="CL5033">
        <v>0</v>
      </c>
      <c r="CM5033">
        <v>2</v>
      </c>
      <c r="CN5033">
        <v>0</v>
      </c>
      <c r="CO5033">
        <v>3</v>
      </c>
      <c r="CP5033" t="s">
        <v>119</v>
      </c>
      <c r="CQ5033">
        <v>9</v>
      </c>
      <c r="CR5033">
        <v>2</v>
      </c>
      <c r="CW5033">
        <v>4485663</v>
      </c>
      <c r="CY5033">
        <v>1</v>
      </c>
      <c r="CZ5033">
        <v>0</v>
      </c>
      <c r="DA5033">
        <v>1</v>
      </c>
      <c r="DB5033">
        <v>0</v>
      </c>
      <c r="DC5033">
        <v>0</v>
      </c>
      <c r="DD5033">
        <v>1</v>
      </c>
      <c r="DE5033">
        <v>0</v>
      </c>
      <c r="DF5033">
        <v>0</v>
      </c>
      <c r="DG5033">
        <v>0</v>
      </c>
      <c r="DH5033">
        <v>0</v>
      </c>
      <c r="DI5033">
        <v>0</v>
      </c>
    </row>
    <row r="5034" spans="1:113" x14ac:dyDescent="0.3">
      <c r="A5034" t="str">
        <f t="shared" si="2319"/>
        <v>05/12/2020 14:50:13.147</v>
      </c>
      <c r="C5034" t="str">
        <f t="shared" si="2313"/>
        <v>FFDFD3C0</v>
      </c>
      <c r="D5034" t="s">
        <v>134</v>
      </c>
      <c r="E5034">
        <v>12</v>
      </c>
      <c r="H5034">
        <v>64</v>
      </c>
      <c r="I5034" t="s">
        <v>135</v>
      </c>
      <c r="J5034" t="s">
        <v>136</v>
      </c>
      <c r="K5034">
        <v>0</v>
      </c>
      <c r="L5034">
        <v>3</v>
      </c>
      <c r="M5034">
        <v>0</v>
      </c>
      <c r="N5034">
        <v>2</v>
      </c>
      <c r="O5034">
        <v>1</v>
      </c>
      <c r="P5034">
        <v>0</v>
      </c>
      <c r="Q5034">
        <v>0</v>
      </c>
      <c r="S5034" t="str">
        <f t="shared" si="2320"/>
        <v>14:50:30.977</v>
      </c>
      <c r="T5034" t="str">
        <f t="shared" si="2322"/>
        <v>14:50:30.677</v>
      </c>
      <c r="U5034" t="str">
        <f t="shared" si="2300"/>
        <v>A9808D</v>
      </c>
      <c r="V5034">
        <v>0</v>
      </c>
      <c r="W5034">
        <v>0</v>
      </c>
      <c r="X5034">
        <v>1</v>
      </c>
      <c r="Z5034">
        <v>0</v>
      </c>
      <c r="AA5034">
        <v>9</v>
      </c>
      <c r="AB5034">
        <v>3</v>
      </c>
      <c r="AC5034">
        <v>0</v>
      </c>
      <c r="AD5034">
        <v>10</v>
      </c>
      <c r="AE5034">
        <v>0</v>
      </c>
      <c r="AF5034">
        <v>3</v>
      </c>
      <c r="AG5034">
        <v>2</v>
      </c>
      <c r="AH5034">
        <v>0</v>
      </c>
      <c r="AI5034" t="s">
        <v>1117</v>
      </c>
      <c r="AJ5034">
        <v>28.234176999999999</v>
      </c>
      <c r="AK5034" t="s">
        <v>1118</v>
      </c>
      <c r="AL5034">
        <v>-82.369050999999999</v>
      </c>
      <c r="AM5034">
        <v>100</v>
      </c>
      <c r="AN5034">
        <v>2100</v>
      </c>
      <c r="AO5034" t="s">
        <v>118</v>
      </c>
      <c r="AP5034">
        <v>-102</v>
      </c>
      <c r="AQ5034">
        <v>-49</v>
      </c>
      <c r="AR5034">
        <v>-896</v>
      </c>
      <c r="AZ5034">
        <v>1200</v>
      </c>
      <c r="BA5034">
        <v>1</v>
      </c>
      <c r="BB5034" t="str">
        <f t="shared" si="2314"/>
        <v xml:space="preserve">N711JA  </v>
      </c>
      <c r="BC5034">
        <v>1</v>
      </c>
      <c r="BE5034">
        <v>0</v>
      </c>
      <c r="BF5034">
        <v>0</v>
      </c>
      <c r="BG5034">
        <v>0</v>
      </c>
      <c r="BH5034">
        <v>2250</v>
      </c>
      <c r="BI5034">
        <v>1</v>
      </c>
      <c r="BJ5034">
        <v>1</v>
      </c>
      <c r="BK5034">
        <v>0</v>
      </c>
      <c r="BL5034">
        <v>0</v>
      </c>
      <c r="BO5034">
        <v>0</v>
      </c>
      <c r="BP5034">
        <v>0</v>
      </c>
      <c r="BW5034" t="str">
        <f t="shared" si="2321"/>
        <v>14:50:30.983</v>
      </c>
      <c r="CJ5034">
        <v>0</v>
      </c>
      <c r="CK5034">
        <v>2</v>
      </c>
      <c r="CL5034">
        <v>0</v>
      </c>
      <c r="CM5034">
        <v>2</v>
      </c>
      <c r="CN5034">
        <v>0</v>
      </c>
      <c r="CO5034">
        <v>3</v>
      </c>
      <c r="CP5034" t="s">
        <v>119</v>
      </c>
      <c r="CQ5034">
        <v>9</v>
      </c>
      <c r="CR5034">
        <v>2</v>
      </c>
      <c r="CW5034">
        <v>4485663</v>
      </c>
      <c r="CY5034">
        <v>1</v>
      </c>
      <c r="CZ5034">
        <v>0</v>
      </c>
      <c r="DA5034">
        <v>1</v>
      </c>
      <c r="DB5034">
        <v>0</v>
      </c>
      <c r="DC5034">
        <v>0</v>
      </c>
      <c r="DD5034">
        <v>1</v>
      </c>
      <c r="DE5034">
        <v>0</v>
      </c>
      <c r="DF5034">
        <v>0</v>
      </c>
      <c r="DG5034">
        <v>0</v>
      </c>
      <c r="DH5034">
        <v>0</v>
      </c>
      <c r="DI5034">
        <v>0</v>
      </c>
    </row>
    <row r="5035" spans="1:113" x14ac:dyDescent="0.3">
      <c r="A5035" t="str">
        <f t="shared" si="2319"/>
        <v>05/12/2020 14:50:13.147</v>
      </c>
      <c r="C5035" t="str">
        <f t="shared" si="2313"/>
        <v>FFDFD3C0</v>
      </c>
      <c r="D5035" t="s">
        <v>131</v>
      </c>
      <c r="E5035">
        <v>10</v>
      </c>
      <c r="F5035">
        <v>2010</v>
      </c>
      <c r="G5035" t="s">
        <v>132</v>
      </c>
      <c r="J5035" t="s">
        <v>133</v>
      </c>
      <c r="K5035">
        <v>0</v>
      </c>
      <c r="L5035">
        <v>3</v>
      </c>
      <c r="M5035">
        <v>0</v>
      </c>
      <c r="N5035">
        <v>2</v>
      </c>
      <c r="O5035">
        <v>1</v>
      </c>
      <c r="P5035">
        <v>0</v>
      </c>
      <c r="Q5035">
        <v>0</v>
      </c>
      <c r="S5035" t="str">
        <f t="shared" si="2320"/>
        <v>14:50:30.977</v>
      </c>
      <c r="T5035" t="str">
        <f t="shared" si="2322"/>
        <v>14:50:30.677</v>
      </c>
      <c r="U5035" t="str">
        <f t="shared" si="2300"/>
        <v>A9808D</v>
      </c>
      <c r="V5035">
        <v>0</v>
      </c>
      <c r="W5035">
        <v>0</v>
      </c>
      <c r="X5035">
        <v>1</v>
      </c>
      <c r="Z5035">
        <v>0</v>
      </c>
      <c r="AA5035">
        <v>9</v>
      </c>
      <c r="AB5035">
        <v>3</v>
      </c>
      <c r="AC5035">
        <v>0</v>
      </c>
      <c r="AD5035">
        <v>10</v>
      </c>
      <c r="AE5035">
        <v>0</v>
      </c>
      <c r="AF5035">
        <v>3</v>
      </c>
      <c r="AG5035">
        <v>2</v>
      </c>
      <c r="AH5035">
        <v>0</v>
      </c>
      <c r="AI5035" t="s">
        <v>1117</v>
      </c>
      <c r="AJ5035">
        <v>28.234176999999999</v>
      </c>
      <c r="AK5035" t="s">
        <v>1118</v>
      </c>
      <c r="AL5035">
        <v>-82.369050999999999</v>
      </c>
      <c r="AM5035">
        <v>100</v>
      </c>
      <c r="AN5035">
        <v>2100</v>
      </c>
      <c r="AO5035" t="s">
        <v>118</v>
      </c>
      <c r="AP5035">
        <v>-102</v>
      </c>
      <c r="AQ5035">
        <v>-49</v>
      </c>
      <c r="AR5035">
        <v>-896</v>
      </c>
      <c r="AZ5035">
        <v>1200</v>
      </c>
      <c r="BA5035">
        <v>1</v>
      </c>
      <c r="BB5035" t="str">
        <f t="shared" si="2314"/>
        <v xml:space="preserve">N711JA  </v>
      </c>
      <c r="BC5035">
        <v>1</v>
      </c>
      <c r="BE5035">
        <v>0</v>
      </c>
      <c r="BF5035">
        <v>0</v>
      </c>
      <c r="BG5035">
        <v>0</v>
      </c>
      <c r="BH5035">
        <v>2250</v>
      </c>
      <c r="BI5035">
        <v>1</v>
      </c>
      <c r="BJ5035">
        <v>1</v>
      </c>
      <c r="BK5035">
        <v>0</v>
      </c>
      <c r="BL5035">
        <v>0</v>
      </c>
      <c r="BO5035">
        <v>0</v>
      </c>
      <c r="BP5035">
        <v>0</v>
      </c>
      <c r="BW5035" t="str">
        <f t="shared" si="2321"/>
        <v>14:50:30.983</v>
      </c>
      <c r="CJ5035">
        <v>0</v>
      </c>
      <c r="CK5035">
        <v>2</v>
      </c>
      <c r="CL5035">
        <v>0</v>
      </c>
      <c r="CM5035">
        <v>2</v>
      </c>
      <c r="CN5035">
        <v>0</v>
      </c>
      <c r="CO5035">
        <v>3</v>
      </c>
      <c r="CP5035" t="s">
        <v>119</v>
      </c>
      <c r="CQ5035">
        <v>9</v>
      </c>
      <c r="CR5035">
        <v>2</v>
      </c>
      <c r="CW5035">
        <v>4485663</v>
      </c>
      <c r="CY5035">
        <v>1</v>
      </c>
      <c r="CZ5035">
        <v>0</v>
      </c>
      <c r="DA5035">
        <v>1</v>
      </c>
      <c r="DB5035">
        <v>0</v>
      </c>
      <c r="DC5035">
        <v>0</v>
      </c>
      <c r="DD5035">
        <v>1</v>
      </c>
      <c r="DE5035">
        <v>0</v>
      </c>
      <c r="DF5035">
        <v>0</v>
      </c>
      <c r="DG5035">
        <v>0</v>
      </c>
      <c r="DH5035">
        <v>0</v>
      </c>
      <c r="DI5035">
        <v>0</v>
      </c>
    </row>
    <row r="5036" spans="1:113" x14ac:dyDescent="0.3">
      <c r="A5036" t="str">
        <f t="shared" si="2319"/>
        <v>05/12/2020 14:50:13.147</v>
      </c>
      <c r="C5036" t="str">
        <f t="shared" si="2313"/>
        <v>FFDFD3C0</v>
      </c>
      <c r="D5036" t="s">
        <v>126</v>
      </c>
      <c r="E5036">
        <v>7</v>
      </c>
      <c r="F5036">
        <v>1007</v>
      </c>
      <c r="G5036" t="s">
        <v>127</v>
      </c>
      <c r="J5036" t="s">
        <v>128</v>
      </c>
      <c r="K5036">
        <v>0</v>
      </c>
      <c r="L5036">
        <v>3</v>
      </c>
      <c r="M5036">
        <v>0</v>
      </c>
      <c r="N5036">
        <v>2</v>
      </c>
      <c r="O5036">
        <v>1</v>
      </c>
      <c r="P5036">
        <v>0</v>
      </c>
      <c r="Q5036">
        <v>0</v>
      </c>
      <c r="S5036" t="str">
        <f t="shared" si="2320"/>
        <v>14:50:30.977</v>
      </c>
      <c r="T5036" t="str">
        <f t="shared" si="2322"/>
        <v>14:50:30.677</v>
      </c>
      <c r="U5036" t="str">
        <f t="shared" si="2300"/>
        <v>A9808D</v>
      </c>
      <c r="V5036">
        <v>0</v>
      </c>
      <c r="W5036">
        <v>0</v>
      </c>
      <c r="X5036">
        <v>1</v>
      </c>
      <c r="Z5036">
        <v>0</v>
      </c>
      <c r="AA5036">
        <v>9</v>
      </c>
      <c r="AB5036">
        <v>3</v>
      </c>
      <c r="AC5036">
        <v>0</v>
      </c>
      <c r="AD5036">
        <v>10</v>
      </c>
      <c r="AE5036">
        <v>0</v>
      </c>
      <c r="AF5036">
        <v>3</v>
      </c>
      <c r="AG5036">
        <v>2</v>
      </c>
      <c r="AH5036">
        <v>0</v>
      </c>
      <c r="AI5036" t="s">
        <v>1117</v>
      </c>
      <c r="AJ5036">
        <v>28.234176999999999</v>
      </c>
      <c r="AK5036" t="s">
        <v>1118</v>
      </c>
      <c r="AL5036">
        <v>-82.369050999999999</v>
      </c>
      <c r="AM5036">
        <v>100</v>
      </c>
      <c r="AN5036">
        <v>2100</v>
      </c>
      <c r="AO5036" t="s">
        <v>118</v>
      </c>
      <c r="AP5036">
        <v>-102</v>
      </c>
      <c r="AQ5036">
        <v>-49</v>
      </c>
      <c r="AR5036">
        <v>-896</v>
      </c>
      <c r="AZ5036">
        <v>1200</v>
      </c>
      <c r="BA5036">
        <v>1</v>
      </c>
      <c r="BB5036" t="str">
        <f t="shared" si="2314"/>
        <v xml:space="preserve">N711JA  </v>
      </c>
      <c r="BC5036">
        <v>1</v>
      </c>
      <c r="BE5036">
        <v>0</v>
      </c>
      <c r="BF5036">
        <v>0</v>
      </c>
      <c r="BG5036">
        <v>0</v>
      </c>
      <c r="BH5036">
        <v>2250</v>
      </c>
      <c r="BI5036">
        <v>1</v>
      </c>
      <c r="BJ5036">
        <v>1</v>
      </c>
      <c r="BK5036">
        <v>0</v>
      </c>
      <c r="BL5036">
        <v>0</v>
      </c>
      <c r="BO5036">
        <v>0</v>
      </c>
      <c r="BP5036">
        <v>0</v>
      </c>
      <c r="BW5036" t="str">
        <f t="shared" si="2321"/>
        <v>14:50:30.983</v>
      </c>
      <c r="CJ5036">
        <v>0</v>
      </c>
      <c r="CK5036">
        <v>2</v>
      </c>
      <c r="CL5036">
        <v>0</v>
      </c>
      <c r="CM5036">
        <v>2</v>
      </c>
      <c r="CN5036">
        <v>0</v>
      </c>
      <c r="CO5036">
        <v>3</v>
      </c>
      <c r="CP5036" t="s">
        <v>119</v>
      </c>
      <c r="CQ5036">
        <v>9</v>
      </c>
      <c r="CR5036">
        <v>2</v>
      </c>
      <c r="CW5036">
        <v>4485663</v>
      </c>
      <c r="CY5036">
        <v>1</v>
      </c>
      <c r="CZ5036">
        <v>0</v>
      </c>
      <c r="DA5036">
        <v>1</v>
      </c>
      <c r="DB5036">
        <v>0</v>
      </c>
      <c r="DC5036">
        <v>0</v>
      </c>
      <c r="DD5036">
        <v>1</v>
      </c>
      <c r="DE5036">
        <v>0</v>
      </c>
      <c r="DF5036">
        <v>0</v>
      </c>
      <c r="DG5036">
        <v>0</v>
      </c>
      <c r="DH5036">
        <v>0</v>
      </c>
      <c r="DI5036">
        <v>0</v>
      </c>
    </row>
    <row r="5037" spans="1:113" x14ac:dyDescent="0.3">
      <c r="A5037" t="str">
        <f t="shared" si="2319"/>
        <v>05/12/2020 14:50:13.147</v>
      </c>
      <c r="C5037" t="str">
        <f t="shared" si="2313"/>
        <v>FFDFD3C0</v>
      </c>
      <c r="D5037" t="s">
        <v>131</v>
      </c>
      <c r="E5037">
        <v>12</v>
      </c>
      <c r="F5037">
        <v>2012</v>
      </c>
      <c r="G5037" t="s">
        <v>137</v>
      </c>
      <c r="J5037" t="s">
        <v>133</v>
      </c>
      <c r="K5037">
        <v>0</v>
      </c>
      <c r="L5037">
        <v>3</v>
      </c>
      <c r="M5037">
        <v>0</v>
      </c>
      <c r="N5037">
        <v>2</v>
      </c>
      <c r="O5037">
        <v>1</v>
      </c>
      <c r="P5037">
        <v>0</v>
      </c>
      <c r="Q5037">
        <v>0</v>
      </c>
      <c r="S5037" t="str">
        <f t="shared" si="2320"/>
        <v>14:50:30.977</v>
      </c>
      <c r="T5037" t="str">
        <f>"14:50:30.177"</f>
        <v>14:50:30.177</v>
      </c>
      <c r="U5037" t="str">
        <f t="shared" si="2300"/>
        <v>A9808D</v>
      </c>
      <c r="V5037">
        <v>0</v>
      </c>
      <c r="W5037">
        <v>0</v>
      </c>
      <c r="X5037">
        <v>1</v>
      </c>
      <c r="Z5037">
        <v>0</v>
      </c>
      <c r="AA5037">
        <v>9</v>
      </c>
      <c r="AB5037">
        <v>3</v>
      </c>
      <c r="AC5037">
        <v>0</v>
      </c>
      <c r="AD5037">
        <v>10</v>
      </c>
      <c r="AE5037">
        <v>0</v>
      </c>
      <c r="AF5037">
        <v>3</v>
      </c>
      <c r="AG5037">
        <v>2</v>
      </c>
      <c r="AH5037">
        <v>0</v>
      </c>
      <c r="AI5037" t="s">
        <v>1117</v>
      </c>
      <c r="AJ5037">
        <v>28.234176999999999</v>
      </c>
      <c r="AK5037" t="s">
        <v>1118</v>
      </c>
      <c r="AL5037">
        <v>-82.369050999999999</v>
      </c>
      <c r="AM5037">
        <v>100</v>
      </c>
      <c r="AN5037">
        <v>2100</v>
      </c>
      <c r="AO5037" t="s">
        <v>118</v>
      </c>
      <c r="AP5037">
        <v>-101</v>
      </c>
      <c r="AQ5037">
        <v>-48</v>
      </c>
      <c r="AR5037">
        <v>-832</v>
      </c>
      <c r="AZ5037">
        <v>1200</v>
      </c>
      <c r="BA5037">
        <v>1</v>
      </c>
      <c r="BB5037" t="str">
        <f t="shared" si="2314"/>
        <v xml:space="preserve">N711JA  </v>
      </c>
      <c r="BC5037">
        <v>1</v>
      </c>
      <c r="BE5037">
        <v>0</v>
      </c>
      <c r="BF5037">
        <v>0</v>
      </c>
      <c r="BG5037">
        <v>0</v>
      </c>
      <c r="BH5037">
        <v>2250</v>
      </c>
      <c r="BI5037">
        <v>1</v>
      </c>
      <c r="BJ5037">
        <v>1</v>
      </c>
      <c r="BK5037">
        <v>0</v>
      </c>
      <c r="BL5037">
        <v>0</v>
      </c>
      <c r="BO5037">
        <v>0</v>
      </c>
      <c r="BP5037">
        <v>0</v>
      </c>
      <c r="BW5037" t="str">
        <f t="shared" si="2321"/>
        <v>14:50:30.983</v>
      </c>
      <c r="CJ5037">
        <v>0</v>
      </c>
      <c r="CK5037">
        <v>2</v>
      </c>
      <c r="CL5037">
        <v>0</v>
      </c>
      <c r="CM5037">
        <v>2</v>
      </c>
      <c r="CN5037">
        <v>0</v>
      </c>
      <c r="CO5037">
        <v>6</v>
      </c>
      <c r="CP5037" t="s">
        <v>119</v>
      </c>
      <c r="CQ5037">
        <v>343</v>
      </c>
      <c r="CR5037">
        <v>1</v>
      </c>
      <c r="CW5037">
        <v>11102986</v>
      </c>
      <c r="CY5037">
        <v>1</v>
      </c>
      <c r="CZ5037">
        <v>0</v>
      </c>
      <c r="DA5037">
        <v>1</v>
      </c>
      <c r="DB5037">
        <v>0</v>
      </c>
      <c r="DC5037">
        <v>0</v>
      </c>
      <c r="DD5037">
        <v>1</v>
      </c>
      <c r="DE5037">
        <v>0</v>
      </c>
      <c r="DF5037">
        <v>0</v>
      </c>
      <c r="DG5037">
        <v>0</v>
      </c>
      <c r="DH5037">
        <v>0</v>
      </c>
      <c r="DI5037">
        <v>0</v>
      </c>
    </row>
    <row r="5038" spans="1:113" x14ac:dyDescent="0.3">
      <c r="A5038" t="str">
        <f t="shared" si="2319"/>
        <v>05/12/2020 14:50:13.147</v>
      </c>
      <c r="C5038" t="str">
        <f t="shared" si="2313"/>
        <v>FFDFD3C0</v>
      </c>
      <c r="D5038" t="s">
        <v>131</v>
      </c>
      <c r="E5038">
        <v>18</v>
      </c>
      <c r="F5038">
        <v>2018</v>
      </c>
      <c r="G5038" t="s">
        <v>161</v>
      </c>
      <c r="J5038" t="s">
        <v>133</v>
      </c>
      <c r="K5038">
        <v>0</v>
      </c>
      <c r="L5038">
        <v>3</v>
      </c>
      <c r="M5038">
        <v>0</v>
      </c>
      <c r="N5038">
        <v>2</v>
      </c>
      <c r="O5038">
        <v>1</v>
      </c>
      <c r="P5038">
        <v>0</v>
      </c>
      <c r="Q5038">
        <v>0</v>
      </c>
      <c r="S5038" t="str">
        <f t="shared" si="2320"/>
        <v>14:50:30.977</v>
      </c>
      <c r="T5038" t="str">
        <f>"14:50:30.177"</f>
        <v>14:50:30.177</v>
      </c>
      <c r="U5038" t="str">
        <f t="shared" si="2300"/>
        <v>A9808D</v>
      </c>
      <c r="V5038">
        <v>0</v>
      </c>
      <c r="W5038">
        <v>0</v>
      </c>
      <c r="X5038">
        <v>1</v>
      </c>
      <c r="Z5038">
        <v>0</v>
      </c>
      <c r="AA5038">
        <v>9</v>
      </c>
      <c r="AB5038">
        <v>3</v>
      </c>
      <c r="AC5038">
        <v>0</v>
      </c>
      <c r="AD5038">
        <v>10</v>
      </c>
      <c r="AE5038">
        <v>0</v>
      </c>
      <c r="AF5038">
        <v>3</v>
      </c>
      <c r="AG5038">
        <v>2</v>
      </c>
      <c r="AH5038">
        <v>0</v>
      </c>
      <c r="AI5038" t="s">
        <v>1117</v>
      </c>
      <c r="AJ5038">
        <v>28.234176999999999</v>
      </c>
      <c r="AK5038" t="s">
        <v>1118</v>
      </c>
      <c r="AL5038">
        <v>-82.369050999999999</v>
      </c>
      <c r="AM5038">
        <v>100</v>
      </c>
      <c r="AN5038">
        <v>2100</v>
      </c>
      <c r="AO5038" t="s">
        <v>118</v>
      </c>
      <c r="AP5038">
        <v>-101</v>
      </c>
      <c r="AQ5038">
        <v>-48</v>
      </c>
      <c r="AR5038">
        <v>-832</v>
      </c>
      <c r="AZ5038">
        <v>1200</v>
      </c>
      <c r="BA5038">
        <v>1</v>
      </c>
      <c r="BB5038" t="str">
        <f t="shared" si="2314"/>
        <v xml:space="preserve">N711JA  </v>
      </c>
      <c r="BC5038">
        <v>1</v>
      </c>
      <c r="BE5038">
        <v>0</v>
      </c>
      <c r="BF5038">
        <v>0</v>
      </c>
      <c r="BG5038">
        <v>0</v>
      </c>
      <c r="BH5038">
        <v>2250</v>
      </c>
      <c r="BI5038">
        <v>1</v>
      </c>
      <c r="BJ5038">
        <v>1</v>
      </c>
      <c r="BK5038">
        <v>0</v>
      </c>
      <c r="BL5038">
        <v>0</v>
      </c>
      <c r="BO5038">
        <v>0</v>
      </c>
      <c r="BP5038">
        <v>0</v>
      </c>
      <c r="BW5038" t="str">
        <f t="shared" si="2321"/>
        <v>14:50:30.983</v>
      </c>
      <c r="CJ5038">
        <v>0</v>
      </c>
      <c r="CK5038">
        <v>2</v>
      </c>
      <c r="CL5038">
        <v>0</v>
      </c>
      <c r="CM5038">
        <v>2</v>
      </c>
      <c r="CN5038">
        <v>0</v>
      </c>
      <c r="CO5038">
        <v>6</v>
      </c>
      <c r="CP5038" t="s">
        <v>119</v>
      </c>
      <c r="CQ5038">
        <v>343</v>
      </c>
      <c r="CR5038">
        <v>1</v>
      </c>
      <c r="CW5038">
        <v>11102986</v>
      </c>
      <c r="CY5038">
        <v>1</v>
      </c>
      <c r="CZ5038">
        <v>0</v>
      </c>
      <c r="DA5038">
        <v>1</v>
      </c>
      <c r="DB5038">
        <v>0</v>
      </c>
      <c r="DC5038">
        <v>0</v>
      </c>
      <c r="DD5038">
        <v>1</v>
      </c>
      <c r="DE5038">
        <v>0</v>
      </c>
      <c r="DF5038">
        <v>0</v>
      </c>
      <c r="DG5038">
        <v>0</v>
      </c>
      <c r="DH5038">
        <v>0</v>
      </c>
      <c r="DI5038">
        <v>0</v>
      </c>
    </row>
    <row r="5039" spans="1:113" x14ac:dyDescent="0.3">
      <c r="A5039" t="str">
        <f t="shared" ref="A5039:A5047" si="2323">"05/12/2020 14:50:14.206"</f>
        <v>05/12/2020 14:50:14.206</v>
      </c>
      <c r="C5039" t="str">
        <f t="shared" si="2313"/>
        <v>FFDFD3C0</v>
      </c>
      <c r="D5039" t="s">
        <v>126</v>
      </c>
      <c r="E5039">
        <v>6</v>
      </c>
      <c r="F5039">
        <v>1006</v>
      </c>
      <c r="G5039" t="s">
        <v>114</v>
      </c>
      <c r="J5039" t="s">
        <v>128</v>
      </c>
      <c r="K5039">
        <v>0</v>
      </c>
      <c r="L5039">
        <v>3</v>
      </c>
      <c r="M5039">
        <v>0</v>
      </c>
      <c r="N5039">
        <v>2</v>
      </c>
      <c r="O5039">
        <v>1</v>
      </c>
      <c r="P5039">
        <v>0</v>
      </c>
      <c r="Q5039">
        <v>0</v>
      </c>
      <c r="S5039" t="str">
        <f t="shared" ref="S5039:S5047" si="2324">"14:50:32.023"</f>
        <v>14:50:32.023</v>
      </c>
      <c r="T5039" t="str">
        <f t="shared" ref="T5039:T5047" si="2325">"14:50:31.823"</f>
        <v>14:50:31.823</v>
      </c>
      <c r="U5039" t="str">
        <f t="shared" si="2300"/>
        <v>A9808D</v>
      </c>
      <c r="V5039">
        <v>0</v>
      </c>
      <c r="W5039">
        <v>0</v>
      </c>
      <c r="X5039">
        <v>1</v>
      </c>
      <c r="Z5039">
        <v>0</v>
      </c>
      <c r="AA5039">
        <v>9</v>
      </c>
      <c r="AB5039">
        <v>3</v>
      </c>
      <c r="AC5039">
        <v>0</v>
      </c>
      <c r="AD5039">
        <v>10</v>
      </c>
      <c r="AE5039">
        <v>0</v>
      </c>
      <c r="AF5039">
        <v>3</v>
      </c>
      <c r="AG5039">
        <v>2</v>
      </c>
      <c r="AH5039">
        <v>0</v>
      </c>
      <c r="AI5039" t="s">
        <v>1119</v>
      </c>
      <c r="AJ5039">
        <v>28.233941000000002</v>
      </c>
      <c r="AK5039" t="s">
        <v>1120</v>
      </c>
      <c r="AL5039">
        <v>-82.369630000000001</v>
      </c>
      <c r="AM5039">
        <v>100</v>
      </c>
      <c r="AN5039">
        <v>2100</v>
      </c>
      <c r="AO5039" t="s">
        <v>118</v>
      </c>
      <c r="AP5039">
        <v>-102</v>
      </c>
      <c r="AQ5039">
        <v>-49</v>
      </c>
      <c r="AR5039">
        <v>-896</v>
      </c>
      <c r="AZ5039">
        <v>1200</v>
      </c>
      <c r="BA5039">
        <v>1</v>
      </c>
      <c r="BB5039" t="str">
        <f t="shared" si="2314"/>
        <v xml:space="preserve">N711JA  </v>
      </c>
      <c r="BC5039">
        <v>1</v>
      </c>
      <c r="BE5039">
        <v>0</v>
      </c>
      <c r="BF5039">
        <v>0</v>
      </c>
      <c r="BG5039">
        <v>0</v>
      </c>
      <c r="BH5039">
        <v>2225</v>
      </c>
      <c r="BI5039">
        <v>1</v>
      </c>
      <c r="BJ5039">
        <v>1</v>
      </c>
      <c r="BK5039">
        <v>0</v>
      </c>
      <c r="BL5039">
        <v>0</v>
      </c>
      <c r="BO5039">
        <v>0</v>
      </c>
      <c r="BP5039">
        <v>0</v>
      </c>
      <c r="BW5039" t="str">
        <f t="shared" ref="BW5039:BW5047" si="2326">"14:50:32.026"</f>
        <v>14:50:32.026</v>
      </c>
      <c r="CJ5039">
        <v>0</v>
      </c>
      <c r="CK5039">
        <v>2</v>
      </c>
      <c r="CL5039">
        <v>0</v>
      </c>
      <c r="CM5039">
        <v>2</v>
      </c>
      <c r="CN5039">
        <v>0</v>
      </c>
      <c r="CO5039">
        <v>7</v>
      </c>
      <c r="CP5039" t="s">
        <v>119</v>
      </c>
      <c r="CQ5039">
        <v>343</v>
      </c>
      <c r="CR5039">
        <v>1</v>
      </c>
      <c r="CW5039">
        <v>11104167</v>
      </c>
      <c r="CY5039">
        <v>1</v>
      </c>
      <c r="CZ5039">
        <v>0</v>
      </c>
      <c r="DA5039">
        <v>0</v>
      </c>
      <c r="DB5039">
        <v>0</v>
      </c>
      <c r="DC5039">
        <v>0</v>
      </c>
      <c r="DD5039">
        <v>1</v>
      </c>
      <c r="DE5039">
        <v>0</v>
      </c>
      <c r="DF5039">
        <v>0</v>
      </c>
      <c r="DG5039">
        <v>0</v>
      </c>
      <c r="DH5039">
        <v>0</v>
      </c>
      <c r="DI5039">
        <v>0</v>
      </c>
    </row>
    <row r="5040" spans="1:113" x14ac:dyDescent="0.3">
      <c r="A5040" t="str">
        <f t="shared" si="2323"/>
        <v>05/12/2020 14:50:14.206</v>
      </c>
      <c r="C5040" t="str">
        <f t="shared" si="2313"/>
        <v>FFDFD3C0</v>
      </c>
      <c r="D5040" t="s">
        <v>113</v>
      </c>
      <c r="E5040">
        <v>3</v>
      </c>
      <c r="H5040">
        <v>164</v>
      </c>
      <c r="I5040" t="s">
        <v>114</v>
      </c>
      <c r="J5040" t="s">
        <v>115</v>
      </c>
      <c r="K5040">
        <v>0</v>
      </c>
      <c r="L5040">
        <v>3</v>
      </c>
      <c r="M5040">
        <v>0</v>
      </c>
      <c r="N5040">
        <v>2</v>
      </c>
      <c r="O5040">
        <v>1</v>
      </c>
      <c r="P5040">
        <v>0</v>
      </c>
      <c r="Q5040">
        <v>0</v>
      </c>
      <c r="S5040" t="str">
        <f t="shared" si="2324"/>
        <v>14:50:32.023</v>
      </c>
      <c r="T5040" t="str">
        <f t="shared" si="2325"/>
        <v>14:50:31.823</v>
      </c>
      <c r="U5040" t="str">
        <f t="shared" si="2300"/>
        <v>A9808D</v>
      </c>
      <c r="V5040">
        <v>0</v>
      </c>
      <c r="W5040">
        <v>0</v>
      </c>
      <c r="X5040">
        <v>1</v>
      </c>
      <c r="Z5040">
        <v>0</v>
      </c>
      <c r="AA5040">
        <v>9</v>
      </c>
      <c r="AB5040">
        <v>3</v>
      </c>
      <c r="AC5040">
        <v>0</v>
      </c>
      <c r="AD5040">
        <v>10</v>
      </c>
      <c r="AE5040">
        <v>0</v>
      </c>
      <c r="AF5040">
        <v>3</v>
      </c>
      <c r="AG5040">
        <v>2</v>
      </c>
      <c r="AH5040">
        <v>0</v>
      </c>
      <c r="AI5040" t="s">
        <v>1119</v>
      </c>
      <c r="AJ5040">
        <v>28.233941000000002</v>
      </c>
      <c r="AK5040" t="s">
        <v>1120</v>
      </c>
      <c r="AL5040">
        <v>-82.369630000000001</v>
      </c>
      <c r="AM5040">
        <v>100</v>
      </c>
      <c r="AN5040">
        <v>2100</v>
      </c>
      <c r="AO5040" t="s">
        <v>118</v>
      </c>
      <c r="AP5040">
        <v>-102</v>
      </c>
      <c r="AQ5040">
        <v>-49</v>
      </c>
      <c r="AR5040">
        <v>-896</v>
      </c>
      <c r="AZ5040">
        <v>1200</v>
      </c>
      <c r="BA5040">
        <v>1</v>
      </c>
      <c r="BB5040" t="str">
        <f t="shared" si="2314"/>
        <v xml:space="preserve">N711JA  </v>
      </c>
      <c r="BC5040">
        <v>1</v>
      </c>
      <c r="BE5040">
        <v>0</v>
      </c>
      <c r="BF5040">
        <v>0</v>
      </c>
      <c r="BG5040">
        <v>0</v>
      </c>
      <c r="BH5040">
        <v>2225</v>
      </c>
      <c r="BI5040">
        <v>1</v>
      </c>
      <c r="BJ5040">
        <v>1</v>
      </c>
      <c r="BK5040">
        <v>0</v>
      </c>
      <c r="BL5040">
        <v>0</v>
      </c>
      <c r="BO5040">
        <v>0</v>
      </c>
      <c r="BP5040">
        <v>0</v>
      </c>
      <c r="BW5040" t="str">
        <f t="shared" si="2326"/>
        <v>14:50:32.026</v>
      </c>
      <c r="CJ5040">
        <v>0</v>
      </c>
      <c r="CK5040">
        <v>2</v>
      </c>
      <c r="CL5040">
        <v>0</v>
      </c>
      <c r="CM5040">
        <v>2</v>
      </c>
      <c r="CN5040">
        <v>0</v>
      </c>
      <c r="CO5040">
        <v>7</v>
      </c>
      <c r="CP5040" t="s">
        <v>119</v>
      </c>
      <c r="CQ5040">
        <v>343</v>
      </c>
      <c r="CR5040">
        <v>1</v>
      </c>
      <c r="CW5040">
        <v>11104167</v>
      </c>
      <c r="CY5040">
        <v>1</v>
      </c>
      <c r="CZ5040">
        <v>0</v>
      </c>
      <c r="DA5040">
        <v>1</v>
      </c>
      <c r="DB5040">
        <v>0</v>
      </c>
      <c r="DC5040">
        <v>0</v>
      </c>
      <c r="DD5040">
        <v>1</v>
      </c>
      <c r="DE5040">
        <v>0</v>
      </c>
      <c r="DF5040">
        <v>0</v>
      </c>
      <c r="DG5040">
        <v>0</v>
      </c>
      <c r="DH5040">
        <v>0</v>
      </c>
      <c r="DI5040">
        <v>0</v>
      </c>
    </row>
    <row r="5041" spans="1:113" x14ac:dyDescent="0.3">
      <c r="A5041" t="str">
        <f t="shared" si="2323"/>
        <v>05/12/2020 14:50:14.206</v>
      </c>
      <c r="C5041" t="str">
        <f t="shared" si="2313"/>
        <v>FFDFD3C0</v>
      </c>
      <c r="D5041" t="s">
        <v>138</v>
      </c>
      <c r="E5041">
        <v>2</v>
      </c>
      <c r="H5041">
        <v>8</v>
      </c>
      <c r="I5041" t="s">
        <v>139</v>
      </c>
      <c r="J5041" t="s">
        <v>136</v>
      </c>
      <c r="K5041">
        <v>0</v>
      </c>
      <c r="L5041">
        <v>3</v>
      </c>
      <c r="M5041">
        <v>0</v>
      </c>
      <c r="N5041">
        <v>2</v>
      </c>
      <c r="O5041">
        <v>1</v>
      </c>
      <c r="P5041">
        <v>0</v>
      </c>
      <c r="Q5041">
        <v>0</v>
      </c>
      <c r="S5041" t="str">
        <f t="shared" si="2324"/>
        <v>14:50:32.023</v>
      </c>
      <c r="T5041" t="str">
        <f t="shared" si="2325"/>
        <v>14:50:31.823</v>
      </c>
      <c r="U5041" t="str">
        <f t="shared" si="2300"/>
        <v>A9808D</v>
      </c>
      <c r="V5041">
        <v>0</v>
      </c>
      <c r="W5041">
        <v>0</v>
      </c>
      <c r="X5041">
        <v>1</v>
      </c>
      <c r="Z5041">
        <v>0</v>
      </c>
      <c r="AA5041">
        <v>9</v>
      </c>
      <c r="AB5041">
        <v>3</v>
      </c>
      <c r="AC5041">
        <v>0</v>
      </c>
      <c r="AD5041">
        <v>10</v>
      </c>
      <c r="AE5041">
        <v>0</v>
      </c>
      <c r="AF5041">
        <v>3</v>
      </c>
      <c r="AG5041">
        <v>2</v>
      </c>
      <c r="AH5041">
        <v>0</v>
      </c>
      <c r="AI5041" t="s">
        <v>1119</v>
      </c>
      <c r="AJ5041">
        <v>28.233941000000002</v>
      </c>
      <c r="AK5041" t="s">
        <v>1120</v>
      </c>
      <c r="AL5041">
        <v>-82.369630000000001</v>
      </c>
      <c r="AM5041">
        <v>100</v>
      </c>
      <c r="AN5041">
        <v>2100</v>
      </c>
      <c r="AO5041" t="s">
        <v>118</v>
      </c>
      <c r="AP5041">
        <v>-102</v>
      </c>
      <c r="AQ5041">
        <v>-49</v>
      </c>
      <c r="AR5041">
        <v>-896</v>
      </c>
      <c r="AZ5041">
        <v>1200</v>
      </c>
      <c r="BA5041">
        <v>1</v>
      </c>
      <c r="BB5041" t="str">
        <f t="shared" si="2314"/>
        <v xml:space="preserve">N711JA  </v>
      </c>
      <c r="BC5041">
        <v>1</v>
      </c>
      <c r="BE5041">
        <v>0</v>
      </c>
      <c r="BF5041">
        <v>0</v>
      </c>
      <c r="BG5041">
        <v>0</v>
      </c>
      <c r="BH5041">
        <v>2225</v>
      </c>
      <c r="BI5041">
        <v>1</v>
      </c>
      <c r="BJ5041">
        <v>1</v>
      </c>
      <c r="BK5041">
        <v>0</v>
      </c>
      <c r="BL5041">
        <v>0</v>
      </c>
      <c r="BO5041">
        <v>0</v>
      </c>
      <c r="BP5041">
        <v>0</v>
      </c>
      <c r="BW5041" t="str">
        <f t="shared" si="2326"/>
        <v>14:50:32.026</v>
      </c>
      <c r="CJ5041">
        <v>0</v>
      </c>
      <c r="CK5041">
        <v>2</v>
      </c>
      <c r="CL5041">
        <v>0</v>
      </c>
      <c r="CM5041">
        <v>2</v>
      </c>
      <c r="CN5041">
        <v>0</v>
      </c>
      <c r="CO5041">
        <v>7</v>
      </c>
      <c r="CP5041" t="s">
        <v>119</v>
      </c>
      <c r="CQ5041">
        <v>343</v>
      </c>
      <c r="CR5041">
        <v>1</v>
      </c>
      <c r="CW5041">
        <v>11104167</v>
      </c>
      <c r="CY5041">
        <v>1</v>
      </c>
      <c r="CZ5041">
        <v>0</v>
      </c>
      <c r="DA5041">
        <v>1</v>
      </c>
      <c r="DB5041">
        <v>0</v>
      </c>
      <c r="DC5041">
        <v>0</v>
      </c>
      <c r="DD5041">
        <v>1</v>
      </c>
      <c r="DE5041">
        <v>0</v>
      </c>
      <c r="DF5041">
        <v>0</v>
      </c>
      <c r="DG5041">
        <v>0</v>
      </c>
      <c r="DH5041">
        <v>0</v>
      </c>
      <c r="DI5041">
        <v>0</v>
      </c>
    </row>
    <row r="5042" spans="1:113" x14ac:dyDescent="0.3">
      <c r="A5042" t="str">
        <f t="shared" si="2323"/>
        <v>05/12/2020 14:50:14.206</v>
      </c>
      <c r="C5042" t="str">
        <f t="shared" si="2313"/>
        <v>FFDFD3C0</v>
      </c>
      <c r="D5042" t="s">
        <v>138</v>
      </c>
      <c r="E5042">
        <v>3</v>
      </c>
      <c r="H5042">
        <v>9</v>
      </c>
      <c r="I5042" t="s">
        <v>140</v>
      </c>
      <c r="J5042" t="s">
        <v>136</v>
      </c>
      <c r="K5042">
        <v>0</v>
      </c>
      <c r="L5042">
        <v>3</v>
      </c>
      <c r="M5042">
        <v>0</v>
      </c>
      <c r="N5042">
        <v>2</v>
      </c>
      <c r="O5042">
        <v>1</v>
      </c>
      <c r="P5042">
        <v>0</v>
      </c>
      <c r="Q5042">
        <v>0</v>
      </c>
      <c r="S5042" t="str">
        <f t="shared" si="2324"/>
        <v>14:50:32.023</v>
      </c>
      <c r="T5042" t="str">
        <f t="shared" si="2325"/>
        <v>14:50:31.823</v>
      </c>
      <c r="U5042" t="str">
        <f t="shared" si="2300"/>
        <v>A9808D</v>
      </c>
      <c r="V5042">
        <v>0</v>
      </c>
      <c r="W5042">
        <v>0</v>
      </c>
      <c r="X5042">
        <v>1</v>
      </c>
      <c r="Z5042">
        <v>0</v>
      </c>
      <c r="AA5042">
        <v>9</v>
      </c>
      <c r="AB5042">
        <v>3</v>
      </c>
      <c r="AC5042">
        <v>0</v>
      </c>
      <c r="AD5042">
        <v>10</v>
      </c>
      <c r="AE5042">
        <v>0</v>
      </c>
      <c r="AF5042">
        <v>3</v>
      </c>
      <c r="AG5042">
        <v>2</v>
      </c>
      <c r="AH5042">
        <v>0</v>
      </c>
      <c r="AI5042" t="s">
        <v>1119</v>
      </c>
      <c r="AJ5042">
        <v>28.233941000000002</v>
      </c>
      <c r="AK5042" t="s">
        <v>1120</v>
      </c>
      <c r="AL5042">
        <v>-82.369630000000001</v>
      </c>
      <c r="AM5042">
        <v>100</v>
      </c>
      <c r="AN5042">
        <v>2100</v>
      </c>
      <c r="AO5042" t="s">
        <v>118</v>
      </c>
      <c r="AP5042">
        <v>-102</v>
      </c>
      <c r="AQ5042">
        <v>-49</v>
      </c>
      <c r="AR5042">
        <v>-896</v>
      </c>
      <c r="AZ5042">
        <v>1200</v>
      </c>
      <c r="BA5042">
        <v>1</v>
      </c>
      <c r="BB5042" t="str">
        <f t="shared" si="2314"/>
        <v xml:space="preserve">N711JA  </v>
      </c>
      <c r="BC5042">
        <v>1</v>
      </c>
      <c r="BE5042">
        <v>0</v>
      </c>
      <c r="BF5042">
        <v>0</v>
      </c>
      <c r="BG5042">
        <v>0</v>
      </c>
      <c r="BH5042">
        <v>2225</v>
      </c>
      <c r="BI5042">
        <v>1</v>
      </c>
      <c r="BJ5042">
        <v>1</v>
      </c>
      <c r="BK5042">
        <v>0</v>
      </c>
      <c r="BL5042">
        <v>0</v>
      </c>
      <c r="BO5042">
        <v>0</v>
      </c>
      <c r="BP5042">
        <v>0</v>
      </c>
      <c r="BW5042" t="str">
        <f t="shared" si="2326"/>
        <v>14:50:32.026</v>
      </c>
      <c r="CJ5042">
        <v>0</v>
      </c>
      <c r="CK5042">
        <v>2</v>
      </c>
      <c r="CL5042">
        <v>0</v>
      </c>
      <c r="CM5042">
        <v>2</v>
      </c>
      <c r="CN5042">
        <v>0</v>
      </c>
      <c r="CO5042">
        <v>7</v>
      </c>
      <c r="CP5042" t="s">
        <v>119</v>
      </c>
      <c r="CQ5042">
        <v>343</v>
      </c>
      <c r="CR5042">
        <v>1</v>
      </c>
      <c r="CW5042">
        <v>11104167</v>
      </c>
      <c r="CY5042">
        <v>1</v>
      </c>
      <c r="CZ5042">
        <v>0</v>
      </c>
      <c r="DA5042">
        <v>1</v>
      </c>
      <c r="DB5042">
        <v>0</v>
      </c>
      <c r="DC5042">
        <v>0</v>
      </c>
      <c r="DD5042">
        <v>1</v>
      </c>
      <c r="DE5042">
        <v>0</v>
      </c>
      <c r="DF5042">
        <v>0</v>
      </c>
      <c r="DG5042">
        <v>0</v>
      </c>
      <c r="DH5042">
        <v>0</v>
      </c>
      <c r="DI5042">
        <v>0</v>
      </c>
    </row>
    <row r="5043" spans="1:113" x14ac:dyDescent="0.3">
      <c r="A5043" t="str">
        <f t="shared" si="2323"/>
        <v>05/12/2020 14:50:14.206</v>
      </c>
      <c r="C5043" t="str">
        <f t="shared" si="2313"/>
        <v>FFDFD3C0</v>
      </c>
      <c r="D5043" t="s">
        <v>134</v>
      </c>
      <c r="E5043">
        <v>12</v>
      </c>
      <c r="H5043">
        <v>64</v>
      </c>
      <c r="I5043" t="s">
        <v>135</v>
      </c>
      <c r="J5043" t="s">
        <v>136</v>
      </c>
      <c r="K5043">
        <v>0</v>
      </c>
      <c r="L5043">
        <v>3</v>
      </c>
      <c r="M5043">
        <v>0</v>
      </c>
      <c r="N5043">
        <v>2</v>
      </c>
      <c r="O5043">
        <v>1</v>
      </c>
      <c r="P5043">
        <v>0</v>
      </c>
      <c r="Q5043">
        <v>0</v>
      </c>
      <c r="S5043" t="str">
        <f t="shared" si="2324"/>
        <v>14:50:32.023</v>
      </c>
      <c r="T5043" t="str">
        <f t="shared" si="2325"/>
        <v>14:50:31.823</v>
      </c>
      <c r="U5043" t="str">
        <f t="shared" si="2300"/>
        <v>A9808D</v>
      </c>
      <c r="V5043">
        <v>0</v>
      </c>
      <c r="W5043">
        <v>0</v>
      </c>
      <c r="X5043">
        <v>1</v>
      </c>
      <c r="Z5043">
        <v>0</v>
      </c>
      <c r="AA5043">
        <v>9</v>
      </c>
      <c r="AB5043">
        <v>3</v>
      </c>
      <c r="AC5043">
        <v>0</v>
      </c>
      <c r="AD5043">
        <v>10</v>
      </c>
      <c r="AE5043">
        <v>0</v>
      </c>
      <c r="AF5043">
        <v>3</v>
      </c>
      <c r="AG5043">
        <v>2</v>
      </c>
      <c r="AH5043">
        <v>0</v>
      </c>
      <c r="AI5043" t="s">
        <v>1119</v>
      </c>
      <c r="AJ5043">
        <v>28.233941000000002</v>
      </c>
      <c r="AK5043" t="s">
        <v>1120</v>
      </c>
      <c r="AL5043">
        <v>-82.369630000000001</v>
      </c>
      <c r="AM5043">
        <v>100</v>
      </c>
      <c r="AN5043">
        <v>2100</v>
      </c>
      <c r="AO5043" t="s">
        <v>118</v>
      </c>
      <c r="AP5043">
        <v>-102</v>
      </c>
      <c r="AQ5043">
        <v>-49</v>
      </c>
      <c r="AR5043">
        <v>-896</v>
      </c>
      <c r="AZ5043">
        <v>1200</v>
      </c>
      <c r="BA5043">
        <v>1</v>
      </c>
      <c r="BB5043" t="str">
        <f t="shared" si="2314"/>
        <v xml:space="preserve">N711JA  </v>
      </c>
      <c r="BC5043">
        <v>1</v>
      </c>
      <c r="BE5043">
        <v>0</v>
      </c>
      <c r="BF5043">
        <v>0</v>
      </c>
      <c r="BG5043">
        <v>0</v>
      </c>
      <c r="BH5043">
        <v>2225</v>
      </c>
      <c r="BI5043">
        <v>1</v>
      </c>
      <c r="BJ5043">
        <v>1</v>
      </c>
      <c r="BK5043">
        <v>0</v>
      </c>
      <c r="BL5043">
        <v>0</v>
      </c>
      <c r="BO5043">
        <v>0</v>
      </c>
      <c r="BP5043">
        <v>0</v>
      </c>
      <c r="BW5043" t="str">
        <f t="shared" si="2326"/>
        <v>14:50:32.026</v>
      </c>
      <c r="CJ5043">
        <v>0</v>
      </c>
      <c r="CK5043">
        <v>2</v>
      </c>
      <c r="CL5043">
        <v>0</v>
      </c>
      <c r="CM5043">
        <v>2</v>
      </c>
      <c r="CN5043">
        <v>0</v>
      </c>
      <c r="CO5043">
        <v>7</v>
      </c>
      <c r="CP5043" t="s">
        <v>119</v>
      </c>
      <c r="CQ5043">
        <v>343</v>
      </c>
      <c r="CR5043">
        <v>1</v>
      </c>
      <c r="CW5043">
        <v>11104167</v>
      </c>
      <c r="CY5043">
        <v>1</v>
      </c>
      <c r="CZ5043">
        <v>0</v>
      </c>
      <c r="DA5043">
        <v>1</v>
      </c>
      <c r="DB5043">
        <v>0</v>
      </c>
      <c r="DC5043">
        <v>0</v>
      </c>
      <c r="DD5043">
        <v>1</v>
      </c>
      <c r="DE5043">
        <v>0</v>
      </c>
      <c r="DF5043">
        <v>0</v>
      </c>
      <c r="DG5043">
        <v>0</v>
      </c>
      <c r="DH5043">
        <v>0</v>
      </c>
      <c r="DI5043">
        <v>0</v>
      </c>
    </row>
    <row r="5044" spans="1:113" x14ac:dyDescent="0.3">
      <c r="A5044" t="str">
        <f t="shared" si="2323"/>
        <v>05/12/2020 14:50:14.206</v>
      </c>
      <c r="C5044" t="str">
        <f t="shared" si="2313"/>
        <v>FFDFD3C0</v>
      </c>
      <c r="D5044" t="s">
        <v>126</v>
      </c>
      <c r="E5044">
        <v>7</v>
      </c>
      <c r="F5044">
        <v>1007</v>
      </c>
      <c r="G5044" t="s">
        <v>127</v>
      </c>
      <c r="J5044" t="s">
        <v>128</v>
      </c>
      <c r="K5044">
        <v>0</v>
      </c>
      <c r="L5044">
        <v>3</v>
      </c>
      <c r="M5044">
        <v>0</v>
      </c>
      <c r="N5044">
        <v>2</v>
      </c>
      <c r="O5044">
        <v>1</v>
      </c>
      <c r="P5044">
        <v>0</v>
      </c>
      <c r="Q5044">
        <v>0</v>
      </c>
      <c r="S5044" t="str">
        <f t="shared" si="2324"/>
        <v>14:50:32.023</v>
      </c>
      <c r="T5044" t="str">
        <f t="shared" si="2325"/>
        <v>14:50:31.823</v>
      </c>
      <c r="U5044" t="str">
        <f t="shared" si="2300"/>
        <v>A9808D</v>
      </c>
      <c r="V5044">
        <v>0</v>
      </c>
      <c r="W5044">
        <v>0</v>
      </c>
      <c r="X5044">
        <v>1</v>
      </c>
      <c r="Z5044">
        <v>0</v>
      </c>
      <c r="AA5044">
        <v>9</v>
      </c>
      <c r="AB5044">
        <v>3</v>
      </c>
      <c r="AC5044">
        <v>0</v>
      </c>
      <c r="AD5044">
        <v>10</v>
      </c>
      <c r="AE5044">
        <v>0</v>
      </c>
      <c r="AF5044">
        <v>3</v>
      </c>
      <c r="AG5044">
        <v>2</v>
      </c>
      <c r="AH5044">
        <v>0</v>
      </c>
      <c r="AI5044" t="s">
        <v>1119</v>
      </c>
      <c r="AJ5044">
        <v>28.233941000000002</v>
      </c>
      <c r="AK5044" t="s">
        <v>1120</v>
      </c>
      <c r="AL5044">
        <v>-82.369630000000001</v>
      </c>
      <c r="AM5044">
        <v>100</v>
      </c>
      <c r="AN5044">
        <v>2100</v>
      </c>
      <c r="AO5044" t="s">
        <v>118</v>
      </c>
      <c r="AP5044">
        <v>-102</v>
      </c>
      <c r="AQ5044">
        <v>-49</v>
      </c>
      <c r="AR5044">
        <v>-896</v>
      </c>
      <c r="AZ5044">
        <v>1200</v>
      </c>
      <c r="BA5044">
        <v>1</v>
      </c>
      <c r="BB5044" t="str">
        <f t="shared" si="2314"/>
        <v xml:space="preserve">N711JA  </v>
      </c>
      <c r="BC5044">
        <v>1</v>
      </c>
      <c r="BE5044">
        <v>0</v>
      </c>
      <c r="BF5044">
        <v>0</v>
      </c>
      <c r="BG5044">
        <v>0</v>
      </c>
      <c r="BH5044">
        <v>2225</v>
      </c>
      <c r="BI5044">
        <v>1</v>
      </c>
      <c r="BJ5044">
        <v>1</v>
      </c>
      <c r="BK5044">
        <v>0</v>
      </c>
      <c r="BL5044">
        <v>0</v>
      </c>
      <c r="BO5044">
        <v>0</v>
      </c>
      <c r="BP5044">
        <v>0</v>
      </c>
      <c r="BW5044" t="str">
        <f t="shared" si="2326"/>
        <v>14:50:32.026</v>
      </c>
      <c r="CJ5044">
        <v>0</v>
      </c>
      <c r="CK5044">
        <v>2</v>
      </c>
      <c r="CL5044">
        <v>0</v>
      </c>
      <c r="CM5044">
        <v>2</v>
      </c>
      <c r="CN5044">
        <v>0</v>
      </c>
      <c r="CO5044">
        <v>7</v>
      </c>
      <c r="CP5044" t="s">
        <v>119</v>
      </c>
      <c r="CQ5044">
        <v>343</v>
      </c>
      <c r="CR5044">
        <v>1</v>
      </c>
      <c r="CW5044">
        <v>11104167</v>
      </c>
      <c r="CY5044">
        <v>1</v>
      </c>
      <c r="CZ5044">
        <v>0</v>
      </c>
      <c r="DA5044">
        <v>1</v>
      </c>
      <c r="DB5044">
        <v>0</v>
      </c>
      <c r="DC5044">
        <v>0</v>
      </c>
      <c r="DD5044">
        <v>1</v>
      </c>
      <c r="DE5044">
        <v>0</v>
      </c>
      <c r="DF5044">
        <v>0</v>
      </c>
      <c r="DG5044">
        <v>0</v>
      </c>
      <c r="DH5044">
        <v>0</v>
      </c>
      <c r="DI5044">
        <v>0</v>
      </c>
    </row>
    <row r="5045" spans="1:113" x14ac:dyDescent="0.3">
      <c r="A5045" t="str">
        <f t="shared" si="2323"/>
        <v>05/12/2020 14:50:14.206</v>
      </c>
      <c r="C5045" t="str">
        <f t="shared" si="2313"/>
        <v>FFDFD3C0</v>
      </c>
      <c r="D5045" t="s">
        <v>131</v>
      </c>
      <c r="E5045">
        <v>10</v>
      </c>
      <c r="F5045">
        <v>2010</v>
      </c>
      <c r="G5045" t="s">
        <v>132</v>
      </c>
      <c r="J5045" t="s">
        <v>133</v>
      </c>
      <c r="K5045">
        <v>0</v>
      </c>
      <c r="L5045">
        <v>3</v>
      </c>
      <c r="M5045">
        <v>0</v>
      </c>
      <c r="N5045">
        <v>2</v>
      </c>
      <c r="O5045">
        <v>1</v>
      </c>
      <c r="P5045">
        <v>0</v>
      </c>
      <c r="Q5045">
        <v>0</v>
      </c>
      <c r="S5045" t="str">
        <f t="shared" si="2324"/>
        <v>14:50:32.023</v>
      </c>
      <c r="T5045" t="str">
        <f t="shared" si="2325"/>
        <v>14:50:31.823</v>
      </c>
      <c r="U5045" t="str">
        <f t="shared" si="2300"/>
        <v>A9808D</v>
      </c>
      <c r="V5045">
        <v>0</v>
      </c>
      <c r="W5045">
        <v>0</v>
      </c>
      <c r="X5045">
        <v>1</v>
      </c>
      <c r="Z5045">
        <v>0</v>
      </c>
      <c r="AA5045">
        <v>9</v>
      </c>
      <c r="AB5045">
        <v>3</v>
      </c>
      <c r="AC5045">
        <v>0</v>
      </c>
      <c r="AD5045">
        <v>10</v>
      </c>
      <c r="AE5045">
        <v>0</v>
      </c>
      <c r="AF5045">
        <v>3</v>
      </c>
      <c r="AG5045">
        <v>2</v>
      </c>
      <c r="AH5045">
        <v>0</v>
      </c>
      <c r="AI5045" t="s">
        <v>1119</v>
      </c>
      <c r="AJ5045">
        <v>28.233941000000002</v>
      </c>
      <c r="AK5045" t="s">
        <v>1120</v>
      </c>
      <c r="AL5045">
        <v>-82.369630000000001</v>
      </c>
      <c r="AM5045">
        <v>100</v>
      </c>
      <c r="AN5045">
        <v>2100</v>
      </c>
      <c r="AO5045" t="s">
        <v>118</v>
      </c>
      <c r="AP5045">
        <v>-102</v>
      </c>
      <c r="AQ5045">
        <v>-49</v>
      </c>
      <c r="AR5045">
        <v>-896</v>
      </c>
      <c r="AZ5045">
        <v>1200</v>
      </c>
      <c r="BA5045">
        <v>1</v>
      </c>
      <c r="BB5045" t="str">
        <f t="shared" si="2314"/>
        <v xml:space="preserve">N711JA  </v>
      </c>
      <c r="BC5045">
        <v>1</v>
      </c>
      <c r="BE5045">
        <v>0</v>
      </c>
      <c r="BF5045">
        <v>0</v>
      </c>
      <c r="BG5045">
        <v>0</v>
      </c>
      <c r="BH5045">
        <v>2225</v>
      </c>
      <c r="BI5045">
        <v>1</v>
      </c>
      <c r="BJ5045">
        <v>1</v>
      </c>
      <c r="BK5045">
        <v>0</v>
      </c>
      <c r="BL5045">
        <v>0</v>
      </c>
      <c r="BO5045">
        <v>0</v>
      </c>
      <c r="BP5045">
        <v>0</v>
      </c>
      <c r="BW5045" t="str">
        <f t="shared" si="2326"/>
        <v>14:50:32.026</v>
      </c>
      <c r="CJ5045">
        <v>0</v>
      </c>
      <c r="CK5045">
        <v>2</v>
      </c>
      <c r="CL5045">
        <v>0</v>
      </c>
      <c r="CM5045">
        <v>2</v>
      </c>
      <c r="CN5045">
        <v>0</v>
      </c>
      <c r="CO5045">
        <v>7</v>
      </c>
      <c r="CP5045" t="s">
        <v>119</v>
      </c>
      <c r="CQ5045">
        <v>343</v>
      </c>
      <c r="CR5045">
        <v>1</v>
      </c>
      <c r="CW5045">
        <v>11104167</v>
      </c>
      <c r="CY5045">
        <v>1</v>
      </c>
      <c r="CZ5045">
        <v>0</v>
      </c>
      <c r="DA5045">
        <v>1</v>
      </c>
      <c r="DB5045">
        <v>0</v>
      </c>
      <c r="DC5045">
        <v>0</v>
      </c>
      <c r="DD5045">
        <v>1</v>
      </c>
      <c r="DE5045">
        <v>0</v>
      </c>
      <c r="DF5045">
        <v>0</v>
      </c>
      <c r="DG5045">
        <v>0</v>
      </c>
      <c r="DH5045">
        <v>0</v>
      </c>
      <c r="DI5045">
        <v>0</v>
      </c>
    </row>
    <row r="5046" spans="1:113" x14ac:dyDescent="0.3">
      <c r="A5046" t="str">
        <f t="shared" si="2323"/>
        <v>05/12/2020 14:50:14.206</v>
      </c>
      <c r="C5046" t="str">
        <f t="shared" si="2313"/>
        <v>FFDFD3C0</v>
      </c>
      <c r="D5046" t="s">
        <v>131</v>
      </c>
      <c r="E5046">
        <v>12</v>
      </c>
      <c r="F5046">
        <v>2012</v>
      </c>
      <c r="G5046" t="s">
        <v>137</v>
      </c>
      <c r="J5046" t="s">
        <v>133</v>
      </c>
      <c r="K5046">
        <v>0</v>
      </c>
      <c r="L5046">
        <v>3</v>
      </c>
      <c r="M5046">
        <v>0</v>
      </c>
      <c r="N5046">
        <v>2</v>
      </c>
      <c r="O5046">
        <v>1</v>
      </c>
      <c r="P5046">
        <v>0</v>
      </c>
      <c r="Q5046">
        <v>0</v>
      </c>
      <c r="S5046" t="str">
        <f t="shared" si="2324"/>
        <v>14:50:32.023</v>
      </c>
      <c r="T5046" t="str">
        <f t="shared" si="2325"/>
        <v>14:50:31.823</v>
      </c>
      <c r="U5046" t="str">
        <f t="shared" si="2300"/>
        <v>A9808D</v>
      </c>
      <c r="V5046">
        <v>0</v>
      </c>
      <c r="W5046">
        <v>0</v>
      </c>
      <c r="X5046">
        <v>1</v>
      </c>
      <c r="Z5046">
        <v>0</v>
      </c>
      <c r="AA5046">
        <v>9</v>
      </c>
      <c r="AB5046">
        <v>3</v>
      </c>
      <c r="AC5046">
        <v>0</v>
      </c>
      <c r="AD5046">
        <v>10</v>
      </c>
      <c r="AE5046">
        <v>0</v>
      </c>
      <c r="AF5046">
        <v>3</v>
      </c>
      <c r="AG5046">
        <v>2</v>
      </c>
      <c r="AH5046">
        <v>0</v>
      </c>
      <c r="AI5046" t="s">
        <v>1119</v>
      </c>
      <c r="AJ5046">
        <v>28.233941000000002</v>
      </c>
      <c r="AK5046" t="s">
        <v>1120</v>
      </c>
      <c r="AL5046">
        <v>-82.369630000000001</v>
      </c>
      <c r="AM5046">
        <v>100</v>
      </c>
      <c r="AN5046">
        <v>2100</v>
      </c>
      <c r="AO5046" t="s">
        <v>118</v>
      </c>
      <c r="AP5046">
        <v>-102</v>
      </c>
      <c r="AQ5046">
        <v>-49</v>
      </c>
      <c r="AR5046">
        <v>-896</v>
      </c>
      <c r="AZ5046">
        <v>1200</v>
      </c>
      <c r="BA5046">
        <v>1</v>
      </c>
      <c r="BB5046" t="str">
        <f t="shared" si="2314"/>
        <v xml:space="preserve">N711JA  </v>
      </c>
      <c r="BC5046">
        <v>1</v>
      </c>
      <c r="BE5046">
        <v>0</v>
      </c>
      <c r="BF5046">
        <v>0</v>
      </c>
      <c r="BG5046">
        <v>0</v>
      </c>
      <c r="BH5046">
        <v>2225</v>
      </c>
      <c r="BI5046">
        <v>1</v>
      </c>
      <c r="BJ5046">
        <v>1</v>
      </c>
      <c r="BK5046">
        <v>0</v>
      </c>
      <c r="BL5046">
        <v>0</v>
      </c>
      <c r="BO5046">
        <v>0</v>
      </c>
      <c r="BP5046">
        <v>0</v>
      </c>
      <c r="BW5046" t="str">
        <f t="shared" si="2326"/>
        <v>14:50:32.026</v>
      </c>
      <c r="CJ5046">
        <v>0</v>
      </c>
      <c r="CK5046">
        <v>2</v>
      </c>
      <c r="CL5046">
        <v>0</v>
      </c>
      <c r="CM5046">
        <v>2</v>
      </c>
      <c r="CN5046">
        <v>0</v>
      </c>
      <c r="CO5046">
        <v>7</v>
      </c>
      <c r="CP5046" t="s">
        <v>119</v>
      </c>
      <c r="CQ5046">
        <v>343</v>
      </c>
      <c r="CR5046">
        <v>1</v>
      </c>
      <c r="CW5046">
        <v>11104167</v>
      </c>
      <c r="CY5046">
        <v>1</v>
      </c>
      <c r="CZ5046">
        <v>0</v>
      </c>
      <c r="DA5046">
        <v>1</v>
      </c>
      <c r="DB5046">
        <v>0</v>
      </c>
      <c r="DC5046">
        <v>0</v>
      </c>
      <c r="DD5046">
        <v>1</v>
      </c>
      <c r="DE5046">
        <v>0</v>
      </c>
      <c r="DF5046">
        <v>0</v>
      </c>
      <c r="DG5046">
        <v>0</v>
      </c>
      <c r="DH5046">
        <v>0</v>
      </c>
      <c r="DI5046">
        <v>0</v>
      </c>
    </row>
    <row r="5047" spans="1:113" x14ac:dyDescent="0.3">
      <c r="A5047" t="str">
        <f t="shared" si="2323"/>
        <v>05/12/2020 14:50:14.206</v>
      </c>
      <c r="C5047" t="str">
        <f t="shared" si="2313"/>
        <v>FFDFD3C0</v>
      </c>
      <c r="D5047" t="s">
        <v>131</v>
      </c>
      <c r="E5047">
        <v>18</v>
      </c>
      <c r="F5047">
        <v>2018</v>
      </c>
      <c r="G5047" t="s">
        <v>161</v>
      </c>
      <c r="J5047" t="s">
        <v>133</v>
      </c>
      <c r="K5047">
        <v>0</v>
      </c>
      <c r="L5047">
        <v>3</v>
      </c>
      <c r="M5047">
        <v>0</v>
      </c>
      <c r="N5047">
        <v>2</v>
      </c>
      <c r="O5047">
        <v>1</v>
      </c>
      <c r="P5047">
        <v>0</v>
      </c>
      <c r="Q5047">
        <v>0</v>
      </c>
      <c r="S5047" t="str">
        <f t="shared" si="2324"/>
        <v>14:50:32.023</v>
      </c>
      <c r="T5047" t="str">
        <f t="shared" si="2325"/>
        <v>14:50:31.823</v>
      </c>
      <c r="U5047" t="str">
        <f t="shared" si="2300"/>
        <v>A9808D</v>
      </c>
      <c r="V5047">
        <v>0</v>
      </c>
      <c r="W5047">
        <v>0</v>
      </c>
      <c r="X5047">
        <v>1</v>
      </c>
      <c r="Z5047">
        <v>0</v>
      </c>
      <c r="AA5047">
        <v>9</v>
      </c>
      <c r="AB5047">
        <v>3</v>
      </c>
      <c r="AC5047">
        <v>0</v>
      </c>
      <c r="AD5047">
        <v>10</v>
      </c>
      <c r="AE5047">
        <v>0</v>
      </c>
      <c r="AF5047">
        <v>3</v>
      </c>
      <c r="AG5047">
        <v>2</v>
      </c>
      <c r="AH5047">
        <v>0</v>
      </c>
      <c r="AI5047" t="s">
        <v>1119</v>
      </c>
      <c r="AJ5047">
        <v>28.233941000000002</v>
      </c>
      <c r="AK5047" t="s">
        <v>1120</v>
      </c>
      <c r="AL5047">
        <v>-82.369630000000001</v>
      </c>
      <c r="AM5047">
        <v>100</v>
      </c>
      <c r="AN5047">
        <v>2100</v>
      </c>
      <c r="AO5047" t="s">
        <v>118</v>
      </c>
      <c r="AP5047">
        <v>-102</v>
      </c>
      <c r="AQ5047">
        <v>-49</v>
      </c>
      <c r="AR5047">
        <v>-896</v>
      </c>
      <c r="AZ5047">
        <v>1200</v>
      </c>
      <c r="BA5047">
        <v>1</v>
      </c>
      <c r="BB5047" t="str">
        <f t="shared" si="2314"/>
        <v xml:space="preserve">N711JA  </v>
      </c>
      <c r="BC5047">
        <v>1</v>
      </c>
      <c r="BE5047">
        <v>0</v>
      </c>
      <c r="BF5047">
        <v>0</v>
      </c>
      <c r="BG5047">
        <v>0</v>
      </c>
      <c r="BH5047">
        <v>2225</v>
      </c>
      <c r="BI5047">
        <v>1</v>
      </c>
      <c r="BJ5047">
        <v>1</v>
      </c>
      <c r="BK5047">
        <v>0</v>
      </c>
      <c r="BL5047">
        <v>0</v>
      </c>
      <c r="BO5047">
        <v>0</v>
      </c>
      <c r="BP5047">
        <v>0</v>
      </c>
      <c r="BW5047" t="str">
        <f t="shared" si="2326"/>
        <v>14:50:32.026</v>
      </c>
      <c r="CJ5047">
        <v>0</v>
      </c>
      <c r="CK5047">
        <v>2</v>
      </c>
      <c r="CL5047">
        <v>0</v>
      </c>
      <c r="CM5047">
        <v>2</v>
      </c>
      <c r="CN5047">
        <v>0</v>
      </c>
      <c r="CO5047">
        <v>7</v>
      </c>
      <c r="CP5047" t="s">
        <v>119</v>
      </c>
      <c r="CQ5047">
        <v>343</v>
      </c>
      <c r="CR5047">
        <v>1</v>
      </c>
      <c r="CW5047">
        <v>11104167</v>
      </c>
      <c r="CY5047">
        <v>1</v>
      </c>
      <c r="CZ5047">
        <v>0</v>
      </c>
      <c r="DA5047">
        <v>1</v>
      </c>
      <c r="DB5047">
        <v>0</v>
      </c>
      <c r="DC5047">
        <v>0</v>
      </c>
      <c r="DD5047">
        <v>1</v>
      </c>
      <c r="DE5047">
        <v>0</v>
      </c>
      <c r="DF5047">
        <v>0</v>
      </c>
      <c r="DG5047">
        <v>0</v>
      </c>
      <c r="DH5047">
        <v>0</v>
      </c>
      <c r="DI5047">
        <v>0</v>
      </c>
    </row>
    <row r="5048" spans="1:113" x14ac:dyDescent="0.3">
      <c r="A5048" t="str">
        <f t="shared" ref="A5048:A5056" si="2327">"05/12/2020 14:50:15.241"</f>
        <v>05/12/2020 14:50:15.241</v>
      </c>
      <c r="C5048" t="str">
        <f t="shared" si="2313"/>
        <v>FFDFD3C0</v>
      </c>
      <c r="D5048" t="s">
        <v>131</v>
      </c>
      <c r="E5048">
        <v>12</v>
      </c>
      <c r="F5048">
        <v>2012</v>
      </c>
      <c r="G5048" t="s">
        <v>137</v>
      </c>
      <c r="J5048" t="s">
        <v>133</v>
      </c>
      <c r="K5048">
        <v>0</v>
      </c>
      <c r="L5048">
        <v>3</v>
      </c>
      <c r="M5048">
        <v>0</v>
      </c>
      <c r="N5048">
        <v>2</v>
      </c>
      <c r="O5048">
        <v>1</v>
      </c>
      <c r="P5048">
        <v>0</v>
      </c>
      <c r="Q5048">
        <v>0</v>
      </c>
      <c r="S5048" t="str">
        <f t="shared" ref="S5048:S5056" si="2328">"14:50:33.055"</f>
        <v>14:50:33.055</v>
      </c>
      <c r="T5048" t="str">
        <f>"14:50:32.255"</f>
        <v>14:50:32.255</v>
      </c>
      <c r="U5048" t="str">
        <f t="shared" si="2300"/>
        <v>A9808D</v>
      </c>
      <c r="V5048">
        <v>0</v>
      </c>
      <c r="W5048">
        <v>0</v>
      </c>
      <c r="X5048">
        <v>1</v>
      </c>
      <c r="Z5048">
        <v>0</v>
      </c>
      <c r="AA5048">
        <v>9</v>
      </c>
      <c r="AB5048">
        <v>3</v>
      </c>
      <c r="AC5048">
        <v>0</v>
      </c>
      <c r="AD5048">
        <v>10</v>
      </c>
      <c r="AE5048">
        <v>0</v>
      </c>
      <c r="AF5048">
        <v>3</v>
      </c>
      <c r="AG5048">
        <v>2</v>
      </c>
      <c r="AH5048">
        <v>0</v>
      </c>
      <c r="AI5048" t="s">
        <v>1121</v>
      </c>
      <c r="AJ5048">
        <v>28.233661999999999</v>
      </c>
      <c r="AK5048" t="s">
        <v>1122</v>
      </c>
      <c r="AL5048">
        <v>-82.37021</v>
      </c>
      <c r="AM5048">
        <v>100</v>
      </c>
      <c r="AN5048">
        <v>2100</v>
      </c>
      <c r="AO5048" t="s">
        <v>118</v>
      </c>
      <c r="AP5048">
        <v>-102</v>
      </c>
      <c r="AQ5048">
        <v>-50</v>
      </c>
      <c r="AR5048">
        <v>-896</v>
      </c>
      <c r="AZ5048">
        <v>1200</v>
      </c>
      <c r="BA5048">
        <v>1</v>
      </c>
      <c r="BB5048" t="str">
        <f t="shared" si="2314"/>
        <v xml:space="preserve">N711JA  </v>
      </c>
      <c r="BC5048">
        <v>1</v>
      </c>
      <c r="BE5048">
        <v>0</v>
      </c>
      <c r="BF5048">
        <v>0</v>
      </c>
      <c r="BG5048">
        <v>0</v>
      </c>
      <c r="BH5048">
        <v>2225</v>
      </c>
      <c r="BI5048">
        <v>1</v>
      </c>
      <c r="BJ5048">
        <v>1</v>
      </c>
      <c r="BK5048">
        <v>0</v>
      </c>
      <c r="BL5048">
        <v>0</v>
      </c>
      <c r="BO5048">
        <v>0</v>
      </c>
      <c r="BP5048">
        <v>0</v>
      </c>
      <c r="BW5048" t="str">
        <f t="shared" ref="BW5048:BW5056" si="2329">"14:50:33.062"</f>
        <v>14:50:33.062</v>
      </c>
      <c r="CJ5048">
        <v>0</v>
      </c>
      <c r="CK5048">
        <v>2</v>
      </c>
      <c r="CL5048">
        <v>0</v>
      </c>
      <c r="CM5048">
        <v>2</v>
      </c>
      <c r="CN5048">
        <v>0</v>
      </c>
      <c r="CO5048">
        <v>7</v>
      </c>
      <c r="CP5048" t="s">
        <v>119</v>
      </c>
      <c r="CQ5048">
        <v>343</v>
      </c>
      <c r="CR5048">
        <v>1</v>
      </c>
      <c r="CW5048">
        <v>11105299</v>
      </c>
      <c r="CY5048">
        <v>1</v>
      </c>
      <c r="CZ5048">
        <v>0</v>
      </c>
      <c r="DA5048">
        <v>0</v>
      </c>
      <c r="DB5048">
        <v>0</v>
      </c>
      <c r="DC5048">
        <v>0</v>
      </c>
      <c r="DD5048">
        <v>1</v>
      </c>
      <c r="DE5048">
        <v>0</v>
      </c>
      <c r="DF5048">
        <v>0</v>
      </c>
      <c r="DG5048">
        <v>0</v>
      </c>
      <c r="DH5048">
        <v>0</v>
      </c>
      <c r="DI5048">
        <v>0</v>
      </c>
    </row>
    <row r="5049" spans="1:113" x14ac:dyDescent="0.3">
      <c r="A5049" t="str">
        <f t="shared" si="2327"/>
        <v>05/12/2020 14:50:15.241</v>
      </c>
      <c r="C5049" t="str">
        <f t="shared" si="2313"/>
        <v>FFDFD3C0</v>
      </c>
      <c r="D5049" t="s">
        <v>126</v>
      </c>
      <c r="E5049">
        <v>7</v>
      </c>
      <c r="F5049">
        <v>1007</v>
      </c>
      <c r="G5049" t="s">
        <v>127</v>
      </c>
      <c r="J5049" t="s">
        <v>128</v>
      </c>
      <c r="K5049">
        <v>0</v>
      </c>
      <c r="L5049">
        <v>3</v>
      </c>
      <c r="M5049">
        <v>0</v>
      </c>
      <c r="N5049">
        <v>2</v>
      </c>
      <c r="O5049">
        <v>1</v>
      </c>
      <c r="P5049">
        <v>0</v>
      </c>
      <c r="Q5049">
        <v>0</v>
      </c>
      <c r="S5049" t="str">
        <f t="shared" si="2328"/>
        <v>14:50:33.055</v>
      </c>
      <c r="T5049" t="str">
        <f>"14:50:32.855"</f>
        <v>14:50:32.855</v>
      </c>
      <c r="U5049" t="str">
        <f t="shared" si="2300"/>
        <v>A9808D</v>
      </c>
      <c r="V5049">
        <v>0</v>
      </c>
      <c r="W5049">
        <v>0</v>
      </c>
      <c r="X5049">
        <v>1</v>
      </c>
      <c r="Z5049">
        <v>0</v>
      </c>
      <c r="AA5049">
        <v>9</v>
      </c>
      <c r="AB5049">
        <v>3</v>
      </c>
      <c r="AC5049">
        <v>0</v>
      </c>
      <c r="AD5049">
        <v>10</v>
      </c>
      <c r="AE5049">
        <v>0</v>
      </c>
      <c r="AF5049">
        <v>3</v>
      </c>
      <c r="AG5049">
        <v>2</v>
      </c>
      <c r="AH5049">
        <v>0</v>
      </c>
      <c r="AI5049" t="s">
        <v>1121</v>
      </c>
      <c r="AJ5049">
        <v>28.233661999999999</v>
      </c>
      <c r="AK5049" t="s">
        <v>1122</v>
      </c>
      <c r="AL5049">
        <v>-82.37021</v>
      </c>
      <c r="AM5049">
        <v>100</v>
      </c>
      <c r="AN5049">
        <v>2100</v>
      </c>
      <c r="AO5049" t="s">
        <v>118</v>
      </c>
      <c r="AP5049">
        <v>-102</v>
      </c>
      <c r="AQ5049">
        <v>-51</v>
      </c>
      <c r="AR5049">
        <v>-960</v>
      </c>
      <c r="AZ5049">
        <v>1200</v>
      </c>
      <c r="BA5049">
        <v>1</v>
      </c>
      <c r="BB5049" t="str">
        <f t="shared" si="2314"/>
        <v xml:space="preserve">N711JA  </v>
      </c>
      <c r="BC5049">
        <v>1</v>
      </c>
      <c r="BE5049">
        <v>0</v>
      </c>
      <c r="BF5049">
        <v>0</v>
      </c>
      <c r="BG5049">
        <v>0</v>
      </c>
      <c r="BH5049">
        <v>2225</v>
      </c>
      <c r="BI5049">
        <v>1</v>
      </c>
      <c r="BJ5049">
        <v>1</v>
      </c>
      <c r="BK5049">
        <v>0</v>
      </c>
      <c r="BL5049">
        <v>0</v>
      </c>
      <c r="BO5049">
        <v>0</v>
      </c>
      <c r="BP5049">
        <v>0</v>
      </c>
      <c r="BW5049" t="str">
        <f t="shared" si="2329"/>
        <v>14:50:33.062</v>
      </c>
      <c r="CJ5049">
        <v>0</v>
      </c>
      <c r="CK5049">
        <v>2</v>
      </c>
      <c r="CL5049">
        <v>0</v>
      </c>
      <c r="CM5049">
        <v>2</v>
      </c>
      <c r="CN5049">
        <v>0</v>
      </c>
      <c r="CO5049">
        <v>5</v>
      </c>
      <c r="CP5049" t="s">
        <v>119</v>
      </c>
      <c r="CQ5049">
        <v>9</v>
      </c>
      <c r="CR5049">
        <v>0</v>
      </c>
      <c r="CW5049">
        <v>13070106</v>
      </c>
      <c r="CY5049">
        <v>1</v>
      </c>
      <c r="CZ5049">
        <v>0</v>
      </c>
      <c r="DA5049">
        <v>1</v>
      </c>
      <c r="DB5049">
        <v>0</v>
      </c>
      <c r="DC5049">
        <v>0</v>
      </c>
      <c r="DD5049">
        <v>1</v>
      </c>
      <c r="DE5049">
        <v>0</v>
      </c>
      <c r="DF5049">
        <v>0</v>
      </c>
      <c r="DG5049">
        <v>0</v>
      </c>
      <c r="DH5049">
        <v>0</v>
      </c>
      <c r="DI5049">
        <v>0</v>
      </c>
    </row>
    <row r="5050" spans="1:113" x14ac:dyDescent="0.3">
      <c r="A5050" t="str">
        <f t="shared" si="2327"/>
        <v>05/12/2020 14:50:15.241</v>
      </c>
      <c r="C5050" t="str">
        <f t="shared" si="2313"/>
        <v>FFDFD3C0</v>
      </c>
      <c r="D5050" t="s">
        <v>131</v>
      </c>
      <c r="E5050">
        <v>10</v>
      </c>
      <c r="F5050">
        <v>2010</v>
      </c>
      <c r="G5050" t="s">
        <v>132</v>
      </c>
      <c r="J5050" t="s">
        <v>133</v>
      </c>
      <c r="K5050">
        <v>0</v>
      </c>
      <c r="L5050">
        <v>3</v>
      </c>
      <c r="M5050">
        <v>0</v>
      </c>
      <c r="N5050">
        <v>2</v>
      </c>
      <c r="O5050">
        <v>1</v>
      </c>
      <c r="P5050">
        <v>0</v>
      </c>
      <c r="Q5050">
        <v>0</v>
      </c>
      <c r="S5050" t="str">
        <f t="shared" si="2328"/>
        <v>14:50:33.055</v>
      </c>
      <c r="T5050" t="str">
        <f>"14:50:32.855"</f>
        <v>14:50:32.855</v>
      </c>
      <c r="U5050" t="str">
        <f t="shared" si="2300"/>
        <v>A9808D</v>
      </c>
      <c r="V5050">
        <v>0</v>
      </c>
      <c r="W5050">
        <v>0</v>
      </c>
      <c r="X5050">
        <v>1</v>
      </c>
      <c r="Z5050">
        <v>0</v>
      </c>
      <c r="AA5050">
        <v>9</v>
      </c>
      <c r="AB5050">
        <v>3</v>
      </c>
      <c r="AC5050">
        <v>0</v>
      </c>
      <c r="AD5050">
        <v>10</v>
      </c>
      <c r="AE5050">
        <v>0</v>
      </c>
      <c r="AF5050">
        <v>3</v>
      </c>
      <c r="AG5050">
        <v>2</v>
      </c>
      <c r="AH5050">
        <v>0</v>
      </c>
      <c r="AI5050" t="s">
        <v>1121</v>
      </c>
      <c r="AJ5050">
        <v>28.233661999999999</v>
      </c>
      <c r="AK5050" t="s">
        <v>1122</v>
      </c>
      <c r="AL5050">
        <v>-82.37021</v>
      </c>
      <c r="AM5050">
        <v>100</v>
      </c>
      <c r="AN5050">
        <v>2100</v>
      </c>
      <c r="AO5050" t="s">
        <v>118</v>
      </c>
      <c r="AP5050">
        <v>-102</v>
      </c>
      <c r="AQ5050">
        <v>-51</v>
      </c>
      <c r="AR5050">
        <v>-960</v>
      </c>
      <c r="AZ5050">
        <v>1200</v>
      </c>
      <c r="BA5050">
        <v>1</v>
      </c>
      <c r="BB5050" t="str">
        <f t="shared" si="2314"/>
        <v xml:space="preserve">N711JA  </v>
      </c>
      <c r="BC5050">
        <v>1</v>
      </c>
      <c r="BE5050">
        <v>0</v>
      </c>
      <c r="BF5050">
        <v>0</v>
      </c>
      <c r="BG5050">
        <v>0</v>
      </c>
      <c r="BH5050">
        <v>2225</v>
      </c>
      <c r="BI5050">
        <v>1</v>
      </c>
      <c r="BJ5050">
        <v>1</v>
      </c>
      <c r="BK5050">
        <v>0</v>
      </c>
      <c r="BL5050">
        <v>0</v>
      </c>
      <c r="BO5050">
        <v>0</v>
      </c>
      <c r="BP5050">
        <v>0</v>
      </c>
      <c r="BW5050" t="str">
        <f t="shared" si="2329"/>
        <v>14:50:33.062</v>
      </c>
      <c r="CJ5050">
        <v>0</v>
      </c>
      <c r="CK5050">
        <v>2</v>
      </c>
      <c r="CL5050">
        <v>0</v>
      </c>
      <c r="CM5050">
        <v>2</v>
      </c>
      <c r="CN5050">
        <v>0</v>
      </c>
      <c r="CO5050">
        <v>5</v>
      </c>
      <c r="CP5050" t="s">
        <v>119</v>
      </c>
      <c r="CQ5050">
        <v>9</v>
      </c>
      <c r="CR5050">
        <v>0</v>
      </c>
      <c r="CW5050">
        <v>13070106</v>
      </c>
      <c r="CY5050">
        <v>1</v>
      </c>
      <c r="CZ5050">
        <v>0</v>
      </c>
      <c r="DA5050">
        <v>1</v>
      </c>
      <c r="DB5050">
        <v>0</v>
      </c>
      <c r="DC5050">
        <v>0</v>
      </c>
      <c r="DD5050">
        <v>1</v>
      </c>
      <c r="DE5050">
        <v>0</v>
      </c>
      <c r="DF5050">
        <v>0</v>
      </c>
      <c r="DG5050">
        <v>0</v>
      </c>
      <c r="DH5050">
        <v>0</v>
      </c>
      <c r="DI5050">
        <v>0</v>
      </c>
    </row>
    <row r="5051" spans="1:113" x14ac:dyDescent="0.3">
      <c r="A5051" t="str">
        <f t="shared" si="2327"/>
        <v>05/12/2020 14:50:15.241</v>
      </c>
      <c r="C5051" t="str">
        <f t="shared" si="2313"/>
        <v>FFDFD3C0</v>
      </c>
      <c r="D5051" t="s">
        <v>134</v>
      </c>
      <c r="E5051">
        <v>12</v>
      </c>
      <c r="H5051">
        <v>64</v>
      </c>
      <c r="I5051" t="s">
        <v>135</v>
      </c>
      <c r="J5051" t="s">
        <v>136</v>
      </c>
      <c r="K5051">
        <v>0</v>
      </c>
      <c r="L5051">
        <v>3</v>
      </c>
      <c r="M5051">
        <v>0</v>
      </c>
      <c r="N5051">
        <v>2</v>
      </c>
      <c r="O5051">
        <v>1</v>
      </c>
      <c r="P5051">
        <v>0</v>
      </c>
      <c r="Q5051">
        <v>0</v>
      </c>
      <c r="S5051" t="str">
        <f t="shared" si="2328"/>
        <v>14:50:33.055</v>
      </c>
      <c r="T5051" t="str">
        <f>"14:50:32.855"</f>
        <v>14:50:32.855</v>
      </c>
      <c r="U5051" t="str">
        <f t="shared" si="2300"/>
        <v>A9808D</v>
      </c>
      <c r="V5051">
        <v>0</v>
      </c>
      <c r="W5051">
        <v>0</v>
      </c>
      <c r="X5051">
        <v>1</v>
      </c>
      <c r="Z5051">
        <v>0</v>
      </c>
      <c r="AA5051">
        <v>9</v>
      </c>
      <c r="AB5051">
        <v>3</v>
      </c>
      <c r="AC5051">
        <v>0</v>
      </c>
      <c r="AD5051">
        <v>10</v>
      </c>
      <c r="AE5051">
        <v>0</v>
      </c>
      <c r="AF5051">
        <v>3</v>
      </c>
      <c r="AG5051">
        <v>2</v>
      </c>
      <c r="AH5051">
        <v>0</v>
      </c>
      <c r="AI5051" t="s">
        <v>1121</v>
      </c>
      <c r="AJ5051">
        <v>28.233661999999999</v>
      </c>
      <c r="AK5051" t="s">
        <v>1122</v>
      </c>
      <c r="AL5051">
        <v>-82.37021</v>
      </c>
      <c r="AM5051">
        <v>100</v>
      </c>
      <c r="AN5051">
        <v>2100</v>
      </c>
      <c r="AO5051" t="s">
        <v>118</v>
      </c>
      <c r="AP5051">
        <v>-102</v>
      </c>
      <c r="AQ5051">
        <v>-51</v>
      </c>
      <c r="AR5051">
        <v>-960</v>
      </c>
      <c r="AZ5051">
        <v>1200</v>
      </c>
      <c r="BA5051">
        <v>1</v>
      </c>
      <c r="BB5051" t="str">
        <f t="shared" si="2314"/>
        <v xml:space="preserve">N711JA  </v>
      </c>
      <c r="BC5051">
        <v>1</v>
      </c>
      <c r="BE5051">
        <v>0</v>
      </c>
      <c r="BF5051">
        <v>0</v>
      </c>
      <c r="BG5051">
        <v>0</v>
      </c>
      <c r="BH5051">
        <v>2225</v>
      </c>
      <c r="BI5051">
        <v>1</v>
      </c>
      <c r="BJ5051">
        <v>1</v>
      </c>
      <c r="BK5051">
        <v>0</v>
      </c>
      <c r="BL5051">
        <v>0</v>
      </c>
      <c r="BO5051">
        <v>0</v>
      </c>
      <c r="BP5051">
        <v>0</v>
      </c>
      <c r="BW5051" t="str">
        <f t="shared" si="2329"/>
        <v>14:50:33.062</v>
      </c>
      <c r="CJ5051">
        <v>0</v>
      </c>
      <c r="CK5051">
        <v>2</v>
      </c>
      <c r="CL5051">
        <v>0</v>
      </c>
      <c r="CM5051">
        <v>2</v>
      </c>
      <c r="CN5051">
        <v>0</v>
      </c>
      <c r="CO5051">
        <v>5</v>
      </c>
      <c r="CP5051" t="s">
        <v>119</v>
      </c>
      <c r="CQ5051">
        <v>9</v>
      </c>
      <c r="CR5051">
        <v>0</v>
      </c>
      <c r="CW5051">
        <v>13070106</v>
      </c>
      <c r="CY5051">
        <v>1</v>
      </c>
      <c r="CZ5051">
        <v>0</v>
      </c>
      <c r="DA5051">
        <v>1</v>
      </c>
      <c r="DB5051">
        <v>0</v>
      </c>
      <c r="DC5051">
        <v>0</v>
      </c>
      <c r="DD5051">
        <v>1</v>
      </c>
      <c r="DE5051">
        <v>0</v>
      </c>
      <c r="DF5051">
        <v>0</v>
      </c>
      <c r="DG5051">
        <v>0</v>
      </c>
      <c r="DH5051">
        <v>0</v>
      </c>
      <c r="DI5051">
        <v>0</v>
      </c>
    </row>
    <row r="5052" spans="1:113" x14ac:dyDescent="0.3">
      <c r="A5052" t="str">
        <f t="shared" si="2327"/>
        <v>05/12/2020 14:50:15.241</v>
      </c>
      <c r="C5052" t="str">
        <f t="shared" si="2313"/>
        <v>FFDFD3C0</v>
      </c>
      <c r="D5052" t="s">
        <v>131</v>
      </c>
      <c r="E5052">
        <v>18</v>
      </c>
      <c r="F5052">
        <v>2018</v>
      </c>
      <c r="G5052" t="s">
        <v>161</v>
      </c>
      <c r="J5052" t="s">
        <v>133</v>
      </c>
      <c r="K5052">
        <v>0</v>
      </c>
      <c r="L5052">
        <v>3</v>
      </c>
      <c r="M5052">
        <v>0</v>
      </c>
      <c r="N5052">
        <v>2</v>
      </c>
      <c r="O5052">
        <v>1</v>
      </c>
      <c r="P5052">
        <v>0</v>
      </c>
      <c r="Q5052">
        <v>0</v>
      </c>
      <c r="S5052" t="str">
        <f t="shared" si="2328"/>
        <v>14:50:33.055</v>
      </c>
      <c r="T5052" t="str">
        <f>"14:50:32.255"</f>
        <v>14:50:32.255</v>
      </c>
      <c r="U5052" t="str">
        <f t="shared" si="2300"/>
        <v>A9808D</v>
      </c>
      <c r="V5052">
        <v>0</v>
      </c>
      <c r="W5052">
        <v>0</v>
      </c>
      <c r="X5052">
        <v>1</v>
      </c>
      <c r="Z5052">
        <v>0</v>
      </c>
      <c r="AA5052">
        <v>9</v>
      </c>
      <c r="AB5052">
        <v>3</v>
      </c>
      <c r="AC5052">
        <v>0</v>
      </c>
      <c r="AD5052">
        <v>10</v>
      </c>
      <c r="AE5052">
        <v>0</v>
      </c>
      <c r="AF5052">
        <v>3</v>
      </c>
      <c r="AG5052">
        <v>2</v>
      </c>
      <c r="AH5052">
        <v>0</v>
      </c>
      <c r="AI5052" t="s">
        <v>1121</v>
      </c>
      <c r="AJ5052">
        <v>28.233661999999999</v>
      </c>
      <c r="AK5052" t="s">
        <v>1122</v>
      </c>
      <c r="AL5052">
        <v>-82.37021</v>
      </c>
      <c r="AM5052">
        <v>100</v>
      </c>
      <c r="AN5052">
        <v>2100</v>
      </c>
      <c r="AO5052" t="s">
        <v>118</v>
      </c>
      <c r="AP5052">
        <v>-102</v>
      </c>
      <c r="AQ5052">
        <v>-50</v>
      </c>
      <c r="AR5052">
        <v>-896</v>
      </c>
      <c r="AZ5052">
        <v>1200</v>
      </c>
      <c r="BA5052">
        <v>1</v>
      </c>
      <c r="BB5052" t="str">
        <f t="shared" si="2314"/>
        <v xml:space="preserve">N711JA  </v>
      </c>
      <c r="BC5052">
        <v>1</v>
      </c>
      <c r="BE5052">
        <v>0</v>
      </c>
      <c r="BF5052">
        <v>0</v>
      </c>
      <c r="BG5052">
        <v>0</v>
      </c>
      <c r="BH5052">
        <v>2225</v>
      </c>
      <c r="BI5052">
        <v>1</v>
      </c>
      <c r="BJ5052">
        <v>1</v>
      </c>
      <c r="BK5052">
        <v>0</v>
      </c>
      <c r="BL5052">
        <v>0</v>
      </c>
      <c r="BO5052">
        <v>0</v>
      </c>
      <c r="BP5052">
        <v>0</v>
      </c>
      <c r="BW5052" t="str">
        <f t="shared" si="2329"/>
        <v>14:50:33.062</v>
      </c>
      <c r="CJ5052">
        <v>0</v>
      </c>
      <c r="CK5052">
        <v>2</v>
      </c>
      <c r="CL5052">
        <v>0</v>
      </c>
      <c r="CM5052">
        <v>2</v>
      </c>
      <c r="CN5052">
        <v>0</v>
      </c>
      <c r="CO5052">
        <v>7</v>
      </c>
      <c r="CP5052" t="s">
        <v>119</v>
      </c>
      <c r="CQ5052">
        <v>343</v>
      </c>
      <c r="CR5052">
        <v>1</v>
      </c>
      <c r="CW5052">
        <v>11105299</v>
      </c>
      <c r="CY5052">
        <v>1</v>
      </c>
      <c r="CZ5052">
        <v>0</v>
      </c>
      <c r="DA5052">
        <v>1</v>
      </c>
      <c r="DB5052">
        <v>0</v>
      </c>
      <c r="DC5052">
        <v>0</v>
      </c>
      <c r="DD5052">
        <v>1</v>
      </c>
      <c r="DE5052">
        <v>0</v>
      </c>
      <c r="DF5052">
        <v>0</v>
      </c>
      <c r="DG5052">
        <v>0</v>
      </c>
      <c r="DH5052">
        <v>0</v>
      </c>
      <c r="DI5052">
        <v>0</v>
      </c>
    </row>
    <row r="5053" spans="1:113" x14ac:dyDescent="0.3">
      <c r="A5053" t="str">
        <f t="shared" si="2327"/>
        <v>05/12/2020 14:50:15.241</v>
      </c>
      <c r="C5053" t="str">
        <f t="shared" si="2313"/>
        <v>FFDFD3C0</v>
      </c>
      <c r="D5053" t="s">
        <v>126</v>
      </c>
      <c r="E5053">
        <v>6</v>
      </c>
      <c r="F5053">
        <v>1006</v>
      </c>
      <c r="G5053" t="s">
        <v>114</v>
      </c>
      <c r="J5053" t="s">
        <v>128</v>
      </c>
      <c r="K5053">
        <v>0</v>
      </c>
      <c r="L5053">
        <v>3</v>
      </c>
      <c r="M5053">
        <v>0</v>
      </c>
      <c r="N5053">
        <v>2</v>
      </c>
      <c r="O5053">
        <v>1</v>
      </c>
      <c r="P5053">
        <v>0</v>
      </c>
      <c r="Q5053">
        <v>0</v>
      </c>
      <c r="S5053" t="str">
        <f t="shared" si="2328"/>
        <v>14:50:33.055</v>
      </c>
      <c r="T5053" t="str">
        <f>"14:50:32.855"</f>
        <v>14:50:32.855</v>
      </c>
      <c r="U5053" t="str">
        <f t="shared" si="2300"/>
        <v>A9808D</v>
      </c>
      <c r="V5053">
        <v>0</v>
      </c>
      <c r="W5053">
        <v>0</v>
      </c>
      <c r="X5053">
        <v>1</v>
      </c>
      <c r="Z5053">
        <v>0</v>
      </c>
      <c r="AA5053">
        <v>9</v>
      </c>
      <c r="AB5053">
        <v>3</v>
      </c>
      <c r="AC5053">
        <v>0</v>
      </c>
      <c r="AD5053">
        <v>10</v>
      </c>
      <c r="AE5053">
        <v>0</v>
      </c>
      <c r="AF5053">
        <v>3</v>
      </c>
      <c r="AG5053">
        <v>2</v>
      </c>
      <c r="AH5053">
        <v>0</v>
      </c>
      <c r="AI5053" t="s">
        <v>1121</v>
      </c>
      <c r="AJ5053">
        <v>28.233661999999999</v>
      </c>
      <c r="AK5053" t="s">
        <v>1122</v>
      </c>
      <c r="AL5053">
        <v>-82.37021</v>
      </c>
      <c r="AM5053">
        <v>100</v>
      </c>
      <c r="AN5053">
        <v>2100</v>
      </c>
      <c r="AO5053" t="s">
        <v>118</v>
      </c>
      <c r="AP5053">
        <v>-102</v>
      </c>
      <c r="AQ5053">
        <v>-51</v>
      </c>
      <c r="AR5053">
        <v>-960</v>
      </c>
      <c r="AZ5053">
        <v>1200</v>
      </c>
      <c r="BA5053">
        <v>1</v>
      </c>
      <c r="BB5053" t="str">
        <f t="shared" si="2314"/>
        <v xml:space="preserve">N711JA  </v>
      </c>
      <c r="BC5053">
        <v>1</v>
      </c>
      <c r="BE5053">
        <v>0</v>
      </c>
      <c r="BF5053">
        <v>0</v>
      </c>
      <c r="BG5053">
        <v>0</v>
      </c>
      <c r="BH5053">
        <v>2225</v>
      </c>
      <c r="BI5053">
        <v>1</v>
      </c>
      <c r="BJ5053">
        <v>1</v>
      </c>
      <c r="BK5053">
        <v>0</v>
      </c>
      <c r="BL5053">
        <v>0</v>
      </c>
      <c r="BO5053">
        <v>0</v>
      </c>
      <c r="BP5053">
        <v>0</v>
      </c>
      <c r="BW5053" t="str">
        <f t="shared" si="2329"/>
        <v>14:50:33.062</v>
      </c>
      <c r="CJ5053">
        <v>0</v>
      </c>
      <c r="CK5053">
        <v>2</v>
      </c>
      <c r="CL5053">
        <v>0</v>
      </c>
      <c r="CM5053">
        <v>2</v>
      </c>
      <c r="CN5053">
        <v>0</v>
      </c>
      <c r="CO5053">
        <v>5</v>
      </c>
      <c r="CP5053" t="s">
        <v>119</v>
      </c>
      <c r="CQ5053">
        <v>9</v>
      </c>
      <c r="CR5053">
        <v>0</v>
      </c>
      <c r="CW5053">
        <v>13070106</v>
      </c>
      <c r="CY5053">
        <v>1</v>
      </c>
      <c r="CZ5053">
        <v>0</v>
      </c>
      <c r="DA5053">
        <v>1</v>
      </c>
      <c r="DB5053">
        <v>0</v>
      </c>
      <c r="DC5053">
        <v>0</v>
      </c>
      <c r="DD5053">
        <v>1</v>
      </c>
      <c r="DE5053">
        <v>0</v>
      </c>
      <c r="DF5053">
        <v>0</v>
      </c>
      <c r="DG5053">
        <v>0</v>
      </c>
      <c r="DH5053">
        <v>0</v>
      </c>
      <c r="DI5053">
        <v>0</v>
      </c>
    </row>
    <row r="5054" spans="1:113" x14ac:dyDescent="0.3">
      <c r="A5054" t="str">
        <f t="shared" si="2327"/>
        <v>05/12/2020 14:50:15.241</v>
      </c>
      <c r="C5054" t="str">
        <f t="shared" si="2313"/>
        <v>FFDFD3C0</v>
      </c>
      <c r="D5054" t="s">
        <v>138</v>
      </c>
      <c r="E5054">
        <v>2</v>
      </c>
      <c r="H5054">
        <v>8</v>
      </c>
      <c r="I5054" t="s">
        <v>139</v>
      </c>
      <c r="J5054" t="s">
        <v>136</v>
      </c>
      <c r="K5054">
        <v>0</v>
      </c>
      <c r="L5054">
        <v>3</v>
      </c>
      <c r="M5054">
        <v>0</v>
      </c>
      <c r="N5054">
        <v>2</v>
      </c>
      <c r="O5054">
        <v>1</v>
      </c>
      <c r="P5054">
        <v>0</v>
      </c>
      <c r="Q5054">
        <v>0</v>
      </c>
      <c r="S5054" t="str">
        <f t="shared" si="2328"/>
        <v>14:50:33.055</v>
      </c>
      <c r="T5054" t="str">
        <f>"14:50:32.255"</f>
        <v>14:50:32.255</v>
      </c>
      <c r="U5054" t="str">
        <f t="shared" si="2300"/>
        <v>A9808D</v>
      </c>
      <c r="V5054">
        <v>0</v>
      </c>
      <c r="W5054">
        <v>0</v>
      </c>
      <c r="X5054">
        <v>1</v>
      </c>
      <c r="Z5054">
        <v>0</v>
      </c>
      <c r="AA5054">
        <v>9</v>
      </c>
      <c r="AB5054">
        <v>3</v>
      </c>
      <c r="AC5054">
        <v>0</v>
      </c>
      <c r="AD5054">
        <v>10</v>
      </c>
      <c r="AE5054">
        <v>0</v>
      </c>
      <c r="AF5054">
        <v>3</v>
      </c>
      <c r="AG5054">
        <v>2</v>
      </c>
      <c r="AH5054">
        <v>0</v>
      </c>
      <c r="AI5054" t="s">
        <v>1121</v>
      </c>
      <c r="AJ5054">
        <v>28.233661999999999</v>
      </c>
      <c r="AK5054" t="s">
        <v>1122</v>
      </c>
      <c r="AL5054">
        <v>-82.37021</v>
      </c>
      <c r="AM5054">
        <v>100</v>
      </c>
      <c r="AN5054">
        <v>2100</v>
      </c>
      <c r="AO5054" t="s">
        <v>118</v>
      </c>
      <c r="AP5054">
        <v>-102</v>
      </c>
      <c r="AQ5054">
        <v>-50</v>
      </c>
      <c r="AR5054">
        <v>-896</v>
      </c>
      <c r="AZ5054">
        <v>1200</v>
      </c>
      <c r="BA5054">
        <v>1</v>
      </c>
      <c r="BB5054" t="str">
        <f t="shared" si="2314"/>
        <v xml:space="preserve">N711JA  </v>
      </c>
      <c r="BC5054">
        <v>1</v>
      </c>
      <c r="BE5054">
        <v>0</v>
      </c>
      <c r="BF5054">
        <v>0</v>
      </c>
      <c r="BG5054">
        <v>0</v>
      </c>
      <c r="BH5054">
        <v>2225</v>
      </c>
      <c r="BI5054">
        <v>1</v>
      </c>
      <c r="BJ5054">
        <v>1</v>
      </c>
      <c r="BK5054">
        <v>0</v>
      </c>
      <c r="BL5054">
        <v>0</v>
      </c>
      <c r="BO5054">
        <v>0</v>
      </c>
      <c r="BP5054">
        <v>0</v>
      </c>
      <c r="BW5054" t="str">
        <f t="shared" si="2329"/>
        <v>14:50:33.062</v>
      </c>
      <c r="CJ5054">
        <v>0</v>
      </c>
      <c r="CK5054">
        <v>2</v>
      </c>
      <c r="CL5054">
        <v>0</v>
      </c>
      <c r="CM5054">
        <v>2</v>
      </c>
      <c r="CN5054">
        <v>0</v>
      </c>
      <c r="CO5054">
        <v>7</v>
      </c>
      <c r="CP5054" t="s">
        <v>119</v>
      </c>
      <c r="CQ5054">
        <v>343</v>
      </c>
      <c r="CR5054">
        <v>1</v>
      </c>
      <c r="CW5054">
        <v>11105299</v>
      </c>
      <c r="CY5054">
        <v>1</v>
      </c>
      <c r="CZ5054">
        <v>0</v>
      </c>
      <c r="DA5054">
        <v>1</v>
      </c>
      <c r="DB5054">
        <v>0</v>
      </c>
      <c r="DC5054">
        <v>0</v>
      </c>
      <c r="DD5054">
        <v>1</v>
      </c>
      <c r="DE5054">
        <v>0</v>
      </c>
      <c r="DF5054">
        <v>0</v>
      </c>
      <c r="DG5054">
        <v>0</v>
      </c>
      <c r="DH5054">
        <v>0</v>
      </c>
      <c r="DI5054">
        <v>0</v>
      </c>
    </row>
    <row r="5055" spans="1:113" x14ac:dyDescent="0.3">
      <c r="A5055" t="str">
        <f t="shared" si="2327"/>
        <v>05/12/2020 14:50:15.241</v>
      </c>
      <c r="C5055" t="str">
        <f t="shared" si="2313"/>
        <v>FFDFD3C0</v>
      </c>
      <c r="D5055" t="s">
        <v>138</v>
      </c>
      <c r="E5055">
        <v>3</v>
      </c>
      <c r="H5055">
        <v>9</v>
      </c>
      <c r="I5055" t="s">
        <v>140</v>
      </c>
      <c r="J5055" t="s">
        <v>136</v>
      </c>
      <c r="K5055">
        <v>0</v>
      </c>
      <c r="L5055">
        <v>3</v>
      </c>
      <c r="M5055">
        <v>0</v>
      </c>
      <c r="N5055">
        <v>2</v>
      </c>
      <c r="O5055">
        <v>1</v>
      </c>
      <c r="P5055">
        <v>0</v>
      </c>
      <c r="Q5055">
        <v>0</v>
      </c>
      <c r="S5055" t="str">
        <f t="shared" si="2328"/>
        <v>14:50:33.055</v>
      </c>
      <c r="T5055" t="str">
        <f>"14:50:32.855"</f>
        <v>14:50:32.855</v>
      </c>
      <c r="U5055" t="str">
        <f t="shared" si="2300"/>
        <v>A9808D</v>
      </c>
      <c r="V5055">
        <v>0</v>
      </c>
      <c r="W5055">
        <v>0</v>
      </c>
      <c r="X5055">
        <v>1</v>
      </c>
      <c r="Z5055">
        <v>0</v>
      </c>
      <c r="AA5055">
        <v>9</v>
      </c>
      <c r="AB5055">
        <v>3</v>
      </c>
      <c r="AC5055">
        <v>0</v>
      </c>
      <c r="AD5055">
        <v>10</v>
      </c>
      <c r="AE5055">
        <v>0</v>
      </c>
      <c r="AF5055">
        <v>3</v>
      </c>
      <c r="AG5055">
        <v>2</v>
      </c>
      <c r="AH5055">
        <v>0</v>
      </c>
      <c r="AI5055" t="s">
        <v>1121</v>
      </c>
      <c r="AJ5055">
        <v>28.233661999999999</v>
      </c>
      <c r="AK5055" t="s">
        <v>1122</v>
      </c>
      <c r="AL5055">
        <v>-82.37021</v>
      </c>
      <c r="AM5055">
        <v>100</v>
      </c>
      <c r="AN5055">
        <v>2100</v>
      </c>
      <c r="AO5055" t="s">
        <v>118</v>
      </c>
      <c r="AP5055">
        <v>-102</v>
      </c>
      <c r="AQ5055">
        <v>-51</v>
      </c>
      <c r="AR5055">
        <v>-960</v>
      </c>
      <c r="AZ5055">
        <v>1200</v>
      </c>
      <c r="BA5055">
        <v>1</v>
      </c>
      <c r="BB5055" t="str">
        <f t="shared" si="2314"/>
        <v xml:space="preserve">N711JA  </v>
      </c>
      <c r="BC5055">
        <v>1</v>
      </c>
      <c r="BE5055">
        <v>0</v>
      </c>
      <c r="BF5055">
        <v>0</v>
      </c>
      <c r="BG5055">
        <v>0</v>
      </c>
      <c r="BH5055">
        <v>2225</v>
      </c>
      <c r="BI5055">
        <v>1</v>
      </c>
      <c r="BJ5055">
        <v>1</v>
      </c>
      <c r="BK5055">
        <v>0</v>
      </c>
      <c r="BL5055">
        <v>0</v>
      </c>
      <c r="BO5055">
        <v>0</v>
      </c>
      <c r="BP5055">
        <v>0</v>
      </c>
      <c r="BW5055" t="str">
        <f t="shared" si="2329"/>
        <v>14:50:33.062</v>
      </c>
      <c r="CJ5055">
        <v>0</v>
      </c>
      <c r="CK5055">
        <v>2</v>
      </c>
      <c r="CL5055">
        <v>0</v>
      </c>
      <c r="CM5055">
        <v>2</v>
      </c>
      <c r="CN5055">
        <v>0</v>
      </c>
      <c r="CO5055">
        <v>5</v>
      </c>
      <c r="CP5055" t="s">
        <v>119</v>
      </c>
      <c r="CQ5055">
        <v>9</v>
      </c>
      <c r="CR5055">
        <v>0</v>
      </c>
      <c r="CW5055">
        <v>13070106</v>
      </c>
      <c r="CY5055">
        <v>1</v>
      </c>
      <c r="CZ5055">
        <v>0</v>
      </c>
      <c r="DA5055">
        <v>1</v>
      </c>
      <c r="DB5055">
        <v>0</v>
      </c>
      <c r="DC5055">
        <v>0</v>
      </c>
      <c r="DD5055">
        <v>1</v>
      </c>
      <c r="DE5055">
        <v>0</v>
      </c>
      <c r="DF5055">
        <v>0</v>
      </c>
      <c r="DG5055">
        <v>0</v>
      </c>
      <c r="DH5055">
        <v>0</v>
      </c>
      <c r="DI5055">
        <v>0</v>
      </c>
    </row>
    <row r="5056" spans="1:113" x14ac:dyDescent="0.3">
      <c r="A5056" t="str">
        <f t="shared" si="2327"/>
        <v>05/12/2020 14:50:15.241</v>
      </c>
      <c r="C5056" t="str">
        <f t="shared" si="2313"/>
        <v>FFDFD3C0</v>
      </c>
      <c r="D5056" t="s">
        <v>113</v>
      </c>
      <c r="E5056">
        <v>3</v>
      </c>
      <c r="H5056">
        <v>164</v>
      </c>
      <c r="I5056" t="s">
        <v>114</v>
      </c>
      <c r="J5056" t="s">
        <v>115</v>
      </c>
      <c r="K5056">
        <v>0</v>
      </c>
      <c r="L5056">
        <v>3</v>
      </c>
      <c r="M5056">
        <v>0</v>
      </c>
      <c r="N5056">
        <v>2</v>
      </c>
      <c r="O5056">
        <v>1</v>
      </c>
      <c r="P5056">
        <v>0</v>
      </c>
      <c r="Q5056">
        <v>0</v>
      </c>
      <c r="S5056" t="str">
        <f t="shared" si="2328"/>
        <v>14:50:33.055</v>
      </c>
      <c r="T5056" t="str">
        <f>"14:50:32.855"</f>
        <v>14:50:32.855</v>
      </c>
      <c r="U5056" t="str">
        <f t="shared" si="2300"/>
        <v>A9808D</v>
      </c>
      <c r="V5056">
        <v>0</v>
      </c>
      <c r="W5056">
        <v>0</v>
      </c>
      <c r="X5056">
        <v>1</v>
      </c>
      <c r="Z5056">
        <v>0</v>
      </c>
      <c r="AA5056">
        <v>9</v>
      </c>
      <c r="AB5056">
        <v>3</v>
      </c>
      <c r="AC5056">
        <v>0</v>
      </c>
      <c r="AD5056">
        <v>10</v>
      </c>
      <c r="AE5056">
        <v>0</v>
      </c>
      <c r="AF5056">
        <v>3</v>
      </c>
      <c r="AG5056">
        <v>2</v>
      </c>
      <c r="AH5056">
        <v>0</v>
      </c>
      <c r="AI5056" t="s">
        <v>1121</v>
      </c>
      <c r="AJ5056">
        <v>28.233661999999999</v>
      </c>
      <c r="AK5056" t="s">
        <v>1122</v>
      </c>
      <c r="AL5056">
        <v>-82.37021</v>
      </c>
      <c r="AM5056">
        <v>100</v>
      </c>
      <c r="AN5056">
        <v>2100</v>
      </c>
      <c r="AO5056" t="s">
        <v>118</v>
      </c>
      <c r="AP5056">
        <v>-102</v>
      </c>
      <c r="AQ5056">
        <v>-51</v>
      </c>
      <c r="AR5056">
        <v>-960</v>
      </c>
      <c r="AZ5056">
        <v>1200</v>
      </c>
      <c r="BA5056">
        <v>1</v>
      </c>
      <c r="BB5056" t="str">
        <f t="shared" si="2314"/>
        <v xml:space="preserve">N711JA  </v>
      </c>
      <c r="BC5056">
        <v>1</v>
      </c>
      <c r="BE5056">
        <v>0</v>
      </c>
      <c r="BF5056">
        <v>0</v>
      </c>
      <c r="BG5056">
        <v>0</v>
      </c>
      <c r="BH5056">
        <v>2225</v>
      </c>
      <c r="BI5056">
        <v>1</v>
      </c>
      <c r="BJ5056">
        <v>1</v>
      </c>
      <c r="BK5056">
        <v>0</v>
      </c>
      <c r="BL5056">
        <v>0</v>
      </c>
      <c r="BO5056">
        <v>0</v>
      </c>
      <c r="BP5056">
        <v>0</v>
      </c>
      <c r="BW5056" t="str">
        <f t="shared" si="2329"/>
        <v>14:50:33.062</v>
      </c>
      <c r="CJ5056">
        <v>0</v>
      </c>
      <c r="CK5056">
        <v>2</v>
      </c>
      <c r="CL5056">
        <v>0</v>
      </c>
      <c r="CM5056">
        <v>2</v>
      </c>
      <c r="CN5056">
        <v>0</v>
      </c>
      <c r="CO5056">
        <v>5</v>
      </c>
      <c r="CP5056" t="s">
        <v>119</v>
      </c>
      <c r="CQ5056">
        <v>9</v>
      </c>
      <c r="CR5056">
        <v>0</v>
      </c>
      <c r="CW5056">
        <v>13070106</v>
      </c>
      <c r="CY5056">
        <v>1</v>
      </c>
      <c r="CZ5056">
        <v>0</v>
      </c>
      <c r="DA5056">
        <v>1</v>
      </c>
      <c r="DB5056">
        <v>0</v>
      </c>
      <c r="DC5056">
        <v>0</v>
      </c>
      <c r="DD5056">
        <v>1</v>
      </c>
      <c r="DE5056">
        <v>0</v>
      </c>
      <c r="DF5056">
        <v>0</v>
      </c>
      <c r="DG5056">
        <v>0</v>
      </c>
      <c r="DH5056">
        <v>0</v>
      </c>
      <c r="DI5056">
        <v>0</v>
      </c>
    </row>
    <row r="5057" spans="1:113" x14ac:dyDescent="0.3">
      <c r="A5057" t="str">
        <f t="shared" ref="A5057:A5065" si="2330">"05/12/2020 14:50:16.129"</f>
        <v>05/12/2020 14:50:16.129</v>
      </c>
      <c r="C5057" t="str">
        <f t="shared" si="2313"/>
        <v>FFDFD3C0</v>
      </c>
      <c r="D5057" t="s">
        <v>113</v>
      </c>
      <c r="E5057">
        <v>3</v>
      </c>
      <c r="H5057">
        <v>164</v>
      </c>
      <c r="I5057" t="s">
        <v>114</v>
      </c>
      <c r="J5057" t="s">
        <v>115</v>
      </c>
      <c r="K5057">
        <v>0</v>
      </c>
      <c r="L5057">
        <v>3</v>
      </c>
      <c r="M5057">
        <v>0</v>
      </c>
      <c r="N5057">
        <v>2</v>
      </c>
      <c r="O5057">
        <v>1</v>
      </c>
      <c r="P5057">
        <v>0</v>
      </c>
      <c r="Q5057">
        <v>0</v>
      </c>
      <c r="S5057" t="str">
        <f t="shared" ref="S5057:S5065" si="2331">"14:50:33.961"</f>
        <v>14:50:33.961</v>
      </c>
      <c r="T5057" t="str">
        <f t="shared" ref="T5057:T5065" si="2332">"14:50:33.861"</f>
        <v>14:50:33.861</v>
      </c>
      <c r="U5057" t="str">
        <f t="shared" si="2300"/>
        <v>A9808D</v>
      </c>
      <c r="V5057">
        <v>0</v>
      </c>
      <c r="W5057">
        <v>0</v>
      </c>
      <c r="X5057">
        <v>1</v>
      </c>
      <c r="Z5057">
        <v>0</v>
      </c>
      <c r="AA5057">
        <v>9</v>
      </c>
      <c r="AB5057">
        <v>3</v>
      </c>
      <c r="AC5057">
        <v>0</v>
      </c>
      <c r="AD5057">
        <v>10</v>
      </c>
      <c r="AE5057">
        <v>0</v>
      </c>
      <c r="AF5057">
        <v>3</v>
      </c>
      <c r="AG5057">
        <v>2</v>
      </c>
      <c r="AH5057">
        <v>0</v>
      </c>
      <c r="AI5057" t="s">
        <v>1123</v>
      </c>
      <c r="AJ5057">
        <v>28.233447000000002</v>
      </c>
      <c r="AK5057" t="s">
        <v>416</v>
      </c>
      <c r="AL5057">
        <v>-82.370682000000002</v>
      </c>
      <c r="AM5057">
        <v>100</v>
      </c>
      <c r="AN5057">
        <v>2100</v>
      </c>
      <c r="AO5057" t="s">
        <v>118</v>
      </c>
      <c r="AP5057">
        <v>-102</v>
      </c>
      <c r="AQ5057">
        <v>-52</v>
      </c>
      <c r="AR5057">
        <v>-960</v>
      </c>
      <c r="AZ5057">
        <v>1200</v>
      </c>
      <c r="BA5057">
        <v>1</v>
      </c>
      <c r="BB5057" t="str">
        <f t="shared" si="2314"/>
        <v xml:space="preserve">N711JA  </v>
      </c>
      <c r="BC5057">
        <v>1</v>
      </c>
      <c r="BE5057">
        <v>0</v>
      </c>
      <c r="BF5057">
        <v>0</v>
      </c>
      <c r="BG5057">
        <v>0</v>
      </c>
      <c r="BH5057">
        <v>2200</v>
      </c>
      <c r="BI5057">
        <v>1</v>
      </c>
      <c r="BJ5057">
        <v>1</v>
      </c>
      <c r="BK5057">
        <v>0</v>
      </c>
      <c r="BL5057">
        <v>0</v>
      </c>
      <c r="BO5057">
        <v>0</v>
      </c>
      <c r="BP5057">
        <v>0</v>
      </c>
      <c r="BW5057" t="str">
        <f t="shared" ref="BW5057:BW5065" si="2333">"14:50:33.962"</f>
        <v>14:50:33.962</v>
      </c>
      <c r="CJ5057">
        <v>0</v>
      </c>
      <c r="CK5057">
        <v>2</v>
      </c>
      <c r="CL5057">
        <v>0</v>
      </c>
      <c r="CM5057">
        <v>2</v>
      </c>
      <c r="CN5057">
        <v>0</v>
      </c>
      <c r="CO5057">
        <v>7</v>
      </c>
      <c r="CP5057" t="s">
        <v>119</v>
      </c>
      <c r="CQ5057">
        <v>343</v>
      </c>
      <c r="CR5057">
        <v>1</v>
      </c>
      <c r="CW5057">
        <v>11106277</v>
      </c>
      <c r="CY5057">
        <v>1</v>
      </c>
      <c r="CZ5057">
        <v>0</v>
      </c>
      <c r="DA5057">
        <v>0</v>
      </c>
      <c r="DB5057">
        <v>0</v>
      </c>
      <c r="DC5057">
        <v>0</v>
      </c>
      <c r="DD5057">
        <v>1</v>
      </c>
      <c r="DE5057">
        <v>0</v>
      </c>
      <c r="DF5057">
        <v>0</v>
      </c>
      <c r="DG5057">
        <v>0</v>
      </c>
      <c r="DH5057">
        <v>0</v>
      </c>
      <c r="DI5057">
        <v>0</v>
      </c>
    </row>
    <row r="5058" spans="1:113" x14ac:dyDescent="0.3">
      <c r="A5058" t="str">
        <f t="shared" si="2330"/>
        <v>05/12/2020 14:50:16.129</v>
      </c>
      <c r="C5058" t="str">
        <f t="shared" si="2313"/>
        <v>FFDFD3C0</v>
      </c>
      <c r="D5058" t="s">
        <v>138</v>
      </c>
      <c r="E5058">
        <v>2</v>
      </c>
      <c r="H5058">
        <v>8</v>
      </c>
      <c r="I5058" t="s">
        <v>139</v>
      </c>
      <c r="J5058" t="s">
        <v>136</v>
      </c>
      <c r="K5058">
        <v>0</v>
      </c>
      <c r="L5058">
        <v>3</v>
      </c>
      <c r="M5058">
        <v>0</v>
      </c>
      <c r="N5058">
        <v>2</v>
      </c>
      <c r="O5058">
        <v>1</v>
      </c>
      <c r="P5058">
        <v>0</v>
      </c>
      <c r="Q5058">
        <v>0</v>
      </c>
      <c r="S5058" t="str">
        <f t="shared" si="2331"/>
        <v>14:50:33.961</v>
      </c>
      <c r="T5058" t="str">
        <f t="shared" si="2332"/>
        <v>14:50:33.861</v>
      </c>
      <c r="U5058" t="str">
        <f t="shared" ref="U5058:U5121" si="2334">"A9808D"</f>
        <v>A9808D</v>
      </c>
      <c r="V5058">
        <v>0</v>
      </c>
      <c r="W5058">
        <v>0</v>
      </c>
      <c r="X5058">
        <v>1</v>
      </c>
      <c r="Z5058">
        <v>0</v>
      </c>
      <c r="AA5058">
        <v>9</v>
      </c>
      <c r="AB5058">
        <v>3</v>
      </c>
      <c r="AC5058">
        <v>0</v>
      </c>
      <c r="AD5058">
        <v>10</v>
      </c>
      <c r="AE5058">
        <v>0</v>
      </c>
      <c r="AF5058">
        <v>3</v>
      </c>
      <c r="AG5058">
        <v>2</v>
      </c>
      <c r="AH5058">
        <v>0</v>
      </c>
      <c r="AI5058" t="s">
        <v>1123</v>
      </c>
      <c r="AJ5058">
        <v>28.233447000000002</v>
      </c>
      <c r="AK5058" t="s">
        <v>416</v>
      </c>
      <c r="AL5058">
        <v>-82.370682000000002</v>
      </c>
      <c r="AM5058">
        <v>100</v>
      </c>
      <c r="AN5058">
        <v>2100</v>
      </c>
      <c r="AO5058" t="s">
        <v>118</v>
      </c>
      <c r="AP5058">
        <v>-102</v>
      </c>
      <c r="AQ5058">
        <v>-52</v>
      </c>
      <c r="AR5058">
        <v>-960</v>
      </c>
      <c r="AZ5058">
        <v>1200</v>
      </c>
      <c r="BA5058">
        <v>1</v>
      </c>
      <c r="BB5058" t="str">
        <f t="shared" si="2314"/>
        <v xml:space="preserve">N711JA  </v>
      </c>
      <c r="BC5058">
        <v>1</v>
      </c>
      <c r="BE5058">
        <v>0</v>
      </c>
      <c r="BF5058">
        <v>0</v>
      </c>
      <c r="BG5058">
        <v>0</v>
      </c>
      <c r="BH5058">
        <v>2200</v>
      </c>
      <c r="BI5058">
        <v>1</v>
      </c>
      <c r="BJ5058">
        <v>1</v>
      </c>
      <c r="BK5058">
        <v>0</v>
      </c>
      <c r="BL5058">
        <v>0</v>
      </c>
      <c r="BO5058">
        <v>0</v>
      </c>
      <c r="BP5058">
        <v>0</v>
      </c>
      <c r="BW5058" t="str">
        <f t="shared" si="2333"/>
        <v>14:50:33.962</v>
      </c>
      <c r="CJ5058">
        <v>0</v>
      </c>
      <c r="CK5058">
        <v>2</v>
      </c>
      <c r="CL5058">
        <v>0</v>
      </c>
      <c r="CM5058">
        <v>2</v>
      </c>
      <c r="CN5058">
        <v>0</v>
      </c>
      <c r="CO5058">
        <v>7</v>
      </c>
      <c r="CP5058" t="s">
        <v>119</v>
      </c>
      <c r="CQ5058">
        <v>343</v>
      </c>
      <c r="CR5058">
        <v>1</v>
      </c>
      <c r="CW5058">
        <v>11106277</v>
      </c>
      <c r="CY5058">
        <v>1</v>
      </c>
      <c r="CZ5058">
        <v>0</v>
      </c>
      <c r="DA5058">
        <v>1</v>
      </c>
      <c r="DB5058">
        <v>0</v>
      </c>
      <c r="DC5058">
        <v>0</v>
      </c>
      <c r="DD5058">
        <v>1</v>
      </c>
      <c r="DE5058">
        <v>0</v>
      </c>
      <c r="DF5058">
        <v>0</v>
      </c>
      <c r="DG5058">
        <v>0</v>
      </c>
      <c r="DH5058">
        <v>0</v>
      </c>
      <c r="DI5058">
        <v>0</v>
      </c>
    </row>
    <row r="5059" spans="1:113" x14ac:dyDescent="0.3">
      <c r="A5059" t="str">
        <f t="shared" si="2330"/>
        <v>05/12/2020 14:50:16.129</v>
      </c>
      <c r="C5059" t="str">
        <f t="shared" si="2313"/>
        <v>FFDFD3C0</v>
      </c>
      <c r="D5059" t="s">
        <v>138</v>
      </c>
      <c r="E5059">
        <v>3</v>
      </c>
      <c r="H5059">
        <v>9</v>
      </c>
      <c r="I5059" t="s">
        <v>140</v>
      </c>
      <c r="J5059" t="s">
        <v>136</v>
      </c>
      <c r="K5059">
        <v>0</v>
      </c>
      <c r="L5059">
        <v>3</v>
      </c>
      <c r="M5059">
        <v>0</v>
      </c>
      <c r="N5059">
        <v>2</v>
      </c>
      <c r="O5059">
        <v>1</v>
      </c>
      <c r="P5059">
        <v>0</v>
      </c>
      <c r="Q5059">
        <v>0</v>
      </c>
      <c r="S5059" t="str">
        <f t="shared" si="2331"/>
        <v>14:50:33.961</v>
      </c>
      <c r="T5059" t="str">
        <f t="shared" si="2332"/>
        <v>14:50:33.861</v>
      </c>
      <c r="U5059" t="str">
        <f t="shared" si="2334"/>
        <v>A9808D</v>
      </c>
      <c r="V5059">
        <v>0</v>
      </c>
      <c r="W5059">
        <v>0</v>
      </c>
      <c r="X5059">
        <v>1</v>
      </c>
      <c r="Z5059">
        <v>0</v>
      </c>
      <c r="AA5059">
        <v>9</v>
      </c>
      <c r="AB5059">
        <v>3</v>
      </c>
      <c r="AC5059">
        <v>0</v>
      </c>
      <c r="AD5059">
        <v>10</v>
      </c>
      <c r="AE5059">
        <v>0</v>
      </c>
      <c r="AF5059">
        <v>3</v>
      </c>
      <c r="AG5059">
        <v>2</v>
      </c>
      <c r="AH5059">
        <v>0</v>
      </c>
      <c r="AI5059" t="s">
        <v>1123</v>
      </c>
      <c r="AJ5059">
        <v>28.233447000000002</v>
      </c>
      <c r="AK5059" t="s">
        <v>416</v>
      </c>
      <c r="AL5059">
        <v>-82.370682000000002</v>
      </c>
      <c r="AM5059">
        <v>100</v>
      </c>
      <c r="AN5059">
        <v>2100</v>
      </c>
      <c r="AO5059" t="s">
        <v>118</v>
      </c>
      <c r="AP5059">
        <v>-102</v>
      </c>
      <c r="AQ5059">
        <v>-52</v>
      </c>
      <c r="AR5059">
        <v>-960</v>
      </c>
      <c r="AZ5059">
        <v>1200</v>
      </c>
      <c r="BA5059">
        <v>1</v>
      </c>
      <c r="BB5059" t="str">
        <f t="shared" si="2314"/>
        <v xml:space="preserve">N711JA  </v>
      </c>
      <c r="BC5059">
        <v>1</v>
      </c>
      <c r="BE5059">
        <v>0</v>
      </c>
      <c r="BF5059">
        <v>0</v>
      </c>
      <c r="BG5059">
        <v>0</v>
      </c>
      <c r="BH5059">
        <v>2200</v>
      </c>
      <c r="BI5059">
        <v>1</v>
      </c>
      <c r="BJ5059">
        <v>1</v>
      </c>
      <c r="BK5059">
        <v>0</v>
      </c>
      <c r="BL5059">
        <v>0</v>
      </c>
      <c r="BO5059">
        <v>0</v>
      </c>
      <c r="BP5059">
        <v>0</v>
      </c>
      <c r="BW5059" t="str">
        <f t="shared" si="2333"/>
        <v>14:50:33.962</v>
      </c>
      <c r="CJ5059">
        <v>0</v>
      </c>
      <c r="CK5059">
        <v>2</v>
      </c>
      <c r="CL5059">
        <v>0</v>
      </c>
      <c r="CM5059">
        <v>2</v>
      </c>
      <c r="CN5059">
        <v>0</v>
      </c>
      <c r="CO5059">
        <v>7</v>
      </c>
      <c r="CP5059" t="s">
        <v>119</v>
      </c>
      <c r="CQ5059">
        <v>343</v>
      </c>
      <c r="CR5059">
        <v>1</v>
      </c>
      <c r="CW5059">
        <v>11106277</v>
      </c>
      <c r="CY5059">
        <v>1</v>
      </c>
      <c r="CZ5059">
        <v>0</v>
      </c>
      <c r="DA5059">
        <v>1</v>
      </c>
      <c r="DB5059">
        <v>0</v>
      </c>
      <c r="DC5059">
        <v>0</v>
      </c>
      <c r="DD5059">
        <v>1</v>
      </c>
      <c r="DE5059">
        <v>0</v>
      </c>
      <c r="DF5059">
        <v>0</v>
      </c>
      <c r="DG5059">
        <v>0</v>
      </c>
      <c r="DH5059">
        <v>0</v>
      </c>
      <c r="DI5059">
        <v>0</v>
      </c>
    </row>
    <row r="5060" spans="1:113" x14ac:dyDescent="0.3">
      <c r="A5060" t="str">
        <f t="shared" si="2330"/>
        <v>05/12/2020 14:50:16.129</v>
      </c>
      <c r="C5060" t="str">
        <f t="shared" si="2313"/>
        <v>FFDFD3C0</v>
      </c>
      <c r="D5060" t="s">
        <v>126</v>
      </c>
      <c r="E5060">
        <v>7</v>
      </c>
      <c r="F5060">
        <v>1007</v>
      </c>
      <c r="G5060" t="s">
        <v>127</v>
      </c>
      <c r="J5060" t="s">
        <v>128</v>
      </c>
      <c r="K5060">
        <v>0</v>
      </c>
      <c r="L5060">
        <v>3</v>
      </c>
      <c r="M5060">
        <v>0</v>
      </c>
      <c r="N5060">
        <v>2</v>
      </c>
      <c r="O5060">
        <v>1</v>
      </c>
      <c r="P5060">
        <v>0</v>
      </c>
      <c r="Q5060">
        <v>0</v>
      </c>
      <c r="S5060" t="str">
        <f t="shared" si="2331"/>
        <v>14:50:33.961</v>
      </c>
      <c r="T5060" t="str">
        <f t="shared" si="2332"/>
        <v>14:50:33.861</v>
      </c>
      <c r="U5060" t="str">
        <f t="shared" si="2334"/>
        <v>A9808D</v>
      </c>
      <c r="V5060">
        <v>0</v>
      </c>
      <c r="W5060">
        <v>0</v>
      </c>
      <c r="X5060">
        <v>1</v>
      </c>
      <c r="Z5060">
        <v>0</v>
      </c>
      <c r="AA5060">
        <v>9</v>
      </c>
      <c r="AB5060">
        <v>3</v>
      </c>
      <c r="AC5060">
        <v>0</v>
      </c>
      <c r="AD5060">
        <v>10</v>
      </c>
      <c r="AE5060">
        <v>0</v>
      </c>
      <c r="AF5060">
        <v>3</v>
      </c>
      <c r="AG5060">
        <v>2</v>
      </c>
      <c r="AH5060">
        <v>0</v>
      </c>
      <c r="AI5060" t="s">
        <v>1123</v>
      </c>
      <c r="AJ5060">
        <v>28.233447000000002</v>
      </c>
      <c r="AK5060" t="s">
        <v>416</v>
      </c>
      <c r="AL5060">
        <v>-82.370682000000002</v>
      </c>
      <c r="AM5060">
        <v>100</v>
      </c>
      <c r="AN5060">
        <v>2100</v>
      </c>
      <c r="AO5060" t="s">
        <v>118</v>
      </c>
      <c r="AP5060">
        <v>-102</v>
      </c>
      <c r="AQ5060">
        <v>-52</v>
      </c>
      <c r="AR5060">
        <v>-960</v>
      </c>
      <c r="AZ5060">
        <v>1200</v>
      </c>
      <c r="BA5060">
        <v>1</v>
      </c>
      <c r="BB5060" t="str">
        <f t="shared" si="2314"/>
        <v xml:space="preserve">N711JA  </v>
      </c>
      <c r="BC5060">
        <v>1</v>
      </c>
      <c r="BE5060">
        <v>0</v>
      </c>
      <c r="BF5060">
        <v>0</v>
      </c>
      <c r="BG5060">
        <v>0</v>
      </c>
      <c r="BH5060">
        <v>2200</v>
      </c>
      <c r="BI5060">
        <v>1</v>
      </c>
      <c r="BJ5060">
        <v>1</v>
      </c>
      <c r="BK5060">
        <v>0</v>
      </c>
      <c r="BL5060">
        <v>0</v>
      </c>
      <c r="BO5060">
        <v>0</v>
      </c>
      <c r="BP5060">
        <v>0</v>
      </c>
      <c r="BW5060" t="str">
        <f t="shared" si="2333"/>
        <v>14:50:33.962</v>
      </c>
      <c r="CJ5060">
        <v>0</v>
      </c>
      <c r="CK5060">
        <v>2</v>
      </c>
      <c r="CL5060">
        <v>0</v>
      </c>
      <c r="CM5060">
        <v>2</v>
      </c>
      <c r="CN5060">
        <v>0</v>
      </c>
      <c r="CO5060">
        <v>7</v>
      </c>
      <c r="CP5060" t="s">
        <v>119</v>
      </c>
      <c r="CQ5060">
        <v>343</v>
      </c>
      <c r="CR5060">
        <v>1</v>
      </c>
      <c r="CW5060">
        <v>11106277</v>
      </c>
      <c r="CY5060">
        <v>1</v>
      </c>
      <c r="CZ5060">
        <v>0</v>
      </c>
      <c r="DA5060">
        <v>1</v>
      </c>
      <c r="DB5060">
        <v>0</v>
      </c>
      <c r="DC5060">
        <v>0</v>
      </c>
      <c r="DD5060">
        <v>1</v>
      </c>
      <c r="DE5060">
        <v>0</v>
      </c>
      <c r="DF5060">
        <v>0</v>
      </c>
      <c r="DG5060">
        <v>0</v>
      </c>
      <c r="DH5060">
        <v>0</v>
      </c>
      <c r="DI5060">
        <v>0</v>
      </c>
    </row>
    <row r="5061" spans="1:113" x14ac:dyDescent="0.3">
      <c r="A5061" t="str">
        <f t="shared" si="2330"/>
        <v>05/12/2020 14:50:16.129</v>
      </c>
      <c r="C5061" t="str">
        <f t="shared" si="2313"/>
        <v>FFDFD3C0</v>
      </c>
      <c r="D5061" t="s">
        <v>131</v>
      </c>
      <c r="E5061">
        <v>10</v>
      </c>
      <c r="F5061">
        <v>2010</v>
      </c>
      <c r="G5061" t="s">
        <v>132</v>
      </c>
      <c r="J5061" t="s">
        <v>133</v>
      </c>
      <c r="K5061">
        <v>0</v>
      </c>
      <c r="L5061">
        <v>3</v>
      </c>
      <c r="M5061">
        <v>0</v>
      </c>
      <c r="N5061">
        <v>2</v>
      </c>
      <c r="O5061">
        <v>1</v>
      </c>
      <c r="P5061">
        <v>0</v>
      </c>
      <c r="Q5061">
        <v>0</v>
      </c>
      <c r="S5061" t="str">
        <f t="shared" si="2331"/>
        <v>14:50:33.961</v>
      </c>
      <c r="T5061" t="str">
        <f t="shared" si="2332"/>
        <v>14:50:33.861</v>
      </c>
      <c r="U5061" t="str">
        <f t="shared" si="2334"/>
        <v>A9808D</v>
      </c>
      <c r="V5061">
        <v>0</v>
      </c>
      <c r="W5061">
        <v>0</v>
      </c>
      <c r="X5061">
        <v>1</v>
      </c>
      <c r="Z5061">
        <v>0</v>
      </c>
      <c r="AA5061">
        <v>9</v>
      </c>
      <c r="AB5061">
        <v>3</v>
      </c>
      <c r="AC5061">
        <v>0</v>
      </c>
      <c r="AD5061">
        <v>10</v>
      </c>
      <c r="AE5061">
        <v>0</v>
      </c>
      <c r="AF5061">
        <v>3</v>
      </c>
      <c r="AG5061">
        <v>2</v>
      </c>
      <c r="AH5061">
        <v>0</v>
      </c>
      <c r="AI5061" t="s">
        <v>1123</v>
      </c>
      <c r="AJ5061">
        <v>28.233447000000002</v>
      </c>
      <c r="AK5061" t="s">
        <v>416</v>
      </c>
      <c r="AL5061">
        <v>-82.370682000000002</v>
      </c>
      <c r="AM5061">
        <v>100</v>
      </c>
      <c r="AN5061">
        <v>2100</v>
      </c>
      <c r="AO5061" t="s">
        <v>118</v>
      </c>
      <c r="AP5061">
        <v>-102</v>
      </c>
      <c r="AQ5061">
        <v>-52</v>
      </c>
      <c r="AR5061">
        <v>-960</v>
      </c>
      <c r="AZ5061">
        <v>1200</v>
      </c>
      <c r="BA5061">
        <v>1</v>
      </c>
      <c r="BB5061" t="str">
        <f t="shared" si="2314"/>
        <v xml:space="preserve">N711JA  </v>
      </c>
      <c r="BC5061">
        <v>1</v>
      </c>
      <c r="BE5061">
        <v>0</v>
      </c>
      <c r="BF5061">
        <v>0</v>
      </c>
      <c r="BG5061">
        <v>0</v>
      </c>
      <c r="BH5061">
        <v>2200</v>
      </c>
      <c r="BI5061">
        <v>1</v>
      </c>
      <c r="BJ5061">
        <v>1</v>
      </c>
      <c r="BK5061">
        <v>0</v>
      </c>
      <c r="BL5061">
        <v>0</v>
      </c>
      <c r="BO5061">
        <v>0</v>
      </c>
      <c r="BP5061">
        <v>0</v>
      </c>
      <c r="BW5061" t="str">
        <f t="shared" si="2333"/>
        <v>14:50:33.962</v>
      </c>
      <c r="CJ5061">
        <v>0</v>
      </c>
      <c r="CK5061">
        <v>2</v>
      </c>
      <c r="CL5061">
        <v>0</v>
      </c>
      <c r="CM5061">
        <v>2</v>
      </c>
      <c r="CN5061">
        <v>0</v>
      </c>
      <c r="CO5061">
        <v>7</v>
      </c>
      <c r="CP5061" t="s">
        <v>119</v>
      </c>
      <c r="CQ5061">
        <v>343</v>
      </c>
      <c r="CR5061">
        <v>1</v>
      </c>
      <c r="CW5061">
        <v>11106277</v>
      </c>
      <c r="CY5061">
        <v>1</v>
      </c>
      <c r="CZ5061">
        <v>0</v>
      </c>
      <c r="DA5061">
        <v>1</v>
      </c>
      <c r="DB5061">
        <v>0</v>
      </c>
      <c r="DC5061">
        <v>0</v>
      </c>
      <c r="DD5061">
        <v>1</v>
      </c>
      <c r="DE5061">
        <v>0</v>
      </c>
      <c r="DF5061">
        <v>0</v>
      </c>
      <c r="DG5061">
        <v>0</v>
      </c>
      <c r="DH5061">
        <v>0</v>
      </c>
      <c r="DI5061">
        <v>0</v>
      </c>
    </row>
    <row r="5062" spans="1:113" x14ac:dyDescent="0.3">
      <c r="A5062" t="str">
        <f t="shared" si="2330"/>
        <v>05/12/2020 14:50:16.129</v>
      </c>
      <c r="C5062" t="str">
        <f t="shared" si="2313"/>
        <v>FFDFD3C0</v>
      </c>
      <c r="D5062" t="s">
        <v>131</v>
      </c>
      <c r="E5062">
        <v>12</v>
      </c>
      <c r="F5062">
        <v>2012</v>
      </c>
      <c r="G5062" t="s">
        <v>137</v>
      </c>
      <c r="J5062" t="s">
        <v>133</v>
      </c>
      <c r="K5062">
        <v>0</v>
      </c>
      <c r="L5062">
        <v>3</v>
      </c>
      <c r="M5062">
        <v>0</v>
      </c>
      <c r="N5062">
        <v>2</v>
      </c>
      <c r="O5062">
        <v>1</v>
      </c>
      <c r="P5062">
        <v>0</v>
      </c>
      <c r="Q5062">
        <v>0</v>
      </c>
      <c r="S5062" t="str">
        <f t="shared" si="2331"/>
        <v>14:50:33.961</v>
      </c>
      <c r="T5062" t="str">
        <f t="shared" si="2332"/>
        <v>14:50:33.861</v>
      </c>
      <c r="U5062" t="str">
        <f t="shared" si="2334"/>
        <v>A9808D</v>
      </c>
      <c r="V5062">
        <v>0</v>
      </c>
      <c r="W5062">
        <v>0</v>
      </c>
      <c r="X5062">
        <v>1</v>
      </c>
      <c r="Z5062">
        <v>0</v>
      </c>
      <c r="AA5062">
        <v>9</v>
      </c>
      <c r="AB5062">
        <v>3</v>
      </c>
      <c r="AC5062">
        <v>0</v>
      </c>
      <c r="AD5062">
        <v>10</v>
      </c>
      <c r="AE5062">
        <v>0</v>
      </c>
      <c r="AF5062">
        <v>3</v>
      </c>
      <c r="AG5062">
        <v>2</v>
      </c>
      <c r="AH5062">
        <v>0</v>
      </c>
      <c r="AI5062" t="s">
        <v>1123</v>
      </c>
      <c r="AJ5062">
        <v>28.233447000000002</v>
      </c>
      <c r="AK5062" t="s">
        <v>416</v>
      </c>
      <c r="AL5062">
        <v>-82.370682000000002</v>
      </c>
      <c r="AM5062">
        <v>100</v>
      </c>
      <c r="AN5062">
        <v>2100</v>
      </c>
      <c r="AO5062" t="s">
        <v>118</v>
      </c>
      <c r="AP5062">
        <v>-102</v>
      </c>
      <c r="AQ5062">
        <v>-52</v>
      </c>
      <c r="AR5062">
        <v>-960</v>
      </c>
      <c r="AZ5062">
        <v>1200</v>
      </c>
      <c r="BA5062">
        <v>1</v>
      </c>
      <c r="BB5062" t="str">
        <f t="shared" si="2314"/>
        <v xml:space="preserve">N711JA  </v>
      </c>
      <c r="BC5062">
        <v>1</v>
      </c>
      <c r="BE5062">
        <v>0</v>
      </c>
      <c r="BF5062">
        <v>0</v>
      </c>
      <c r="BG5062">
        <v>0</v>
      </c>
      <c r="BH5062">
        <v>2200</v>
      </c>
      <c r="BI5062">
        <v>1</v>
      </c>
      <c r="BJ5062">
        <v>1</v>
      </c>
      <c r="BK5062">
        <v>0</v>
      </c>
      <c r="BL5062">
        <v>0</v>
      </c>
      <c r="BO5062">
        <v>0</v>
      </c>
      <c r="BP5062">
        <v>0</v>
      </c>
      <c r="BW5062" t="str">
        <f t="shared" si="2333"/>
        <v>14:50:33.962</v>
      </c>
      <c r="CJ5062">
        <v>0</v>
      </c>
      <c r="CK5062">
        <v>2</v>
      </c>
      <c r="CL5062">
        <v>0</v>
      </c>
      <c r="CM5062">
        <v>2</v>
      </c>
      <c r="CN5062">
        <v>0</v>
      </c>
      <c r="CO5062">
        <v>7</v>
      </c>
      <c r="CP5062" t="s">
        <v>119</v>
      </c>
      <c r="CQ5062">
        <v>343</v>
      </c>
      <c r="CR5062">
        <v>1</v>
      </c>
      <c r="CW5062">
        <v>11106277</v>
      </c>
      <c r="CY5062">
        <v>1</v>
      </c>
      <c r="CZ5062">
        <v>0</v>
      </c>
      <c r="DA5062">
        <v>1</v>
      </c>
      <c r="DB5062">
        <v>0</v>
      </c>
      <c r="DC5062">
        <v>0</v>
      </c>
      <c r="DD5062">
        <v>1</v>
      </c>
      <c r="DE5062">
        <v>0</v>
      </c>
      <c r="DF5062">
        <v>0</v>
      </c>
      <c r="DG5062">
        <v>0</v>
      </c>
      <c r="DH5062">
        <v>0</v>
      </c>
      <c r="DI5062">
        <v>0</v>
      </c>
    </row>
    <row r="5063" spans="1:113" x14ac:dyDescent="0.3">
      <c r="A5063" t="str">
        <f t="shared" si="2330"/>
        <v>05/12/2020 14:50:16.129</v>
      </c>
      <c r="C5063" t="str">
        <f t="shared" si="2313"/>
        <v>FFDFD3C0</v>
      </c>
      <c r="D5063" t="s">
        <v>131</v>
      </c>
      <c r="E5063">
        <v>18</v>
      </c>
      <c r="F5063">
        <v>2018</v>
      </c>
      <c r="G5063" t="s">
        <v>161</v>
      </c>
      <c r="J5063" t="s">
        <v>133</v>
      </c>
      <c r="K5063">
        <v>0</v>
      </c>
      <c r="L5063">
        <v>3</v>
      </c>
      <c r="M5063">
        <v>0</v>
      </c>
      <c r="N5063">
        <v>2</v>
      </c>
      <c r="O5063">
        <v>1</v>
      </c>
      <c r="P5063">
        <v>0</v>
      </c>
      <c r="Q5063">
        <v>0</v>
      </c>
      <c r="S5063" t="str">
        <f t="shared" si="2331"/>
        <v>14:50:33.961</v>
      </c>
      <c r="T5063" t="str">
        <f t="shared" si="2332"/>
        <v>14:50:33.861</v>
      </c>
      <c r="U5063" t="str">
        <f t="shared" si="2334"/>
        <v>A9808D</v>
      </c>
      <c r="V5063">
        <v>0</v>
      </c>
      <c r="W5063">
        <v>0</v>
      </c>
      <c r="X5063">
        <v>1</v>
      </c>
      <c r="Z5063">
        <v>0</v>
      </c>
      <c r="AA5063">
        <v>9</v>
      </c>
      <c r="AB5063">
        <v>3</v>
      </c>
      <c r="AC5063">
        <v>0</v>
      </c>
      <c r="AD5063">
        <v>10</v>
      </c>
      <c r="AE5063">
        <v>0</v>
      </c>
      <c r="AF5063">
        <v>3</v>
      </c>
      <c r="AG5063">
        <v>2</v>
      </c>
      <c r="AH5063">
        <v>0</v>
      </c>
      <c r="AI5063" t="s">
        <v>1123</v>
      </c>
      <c r="AJ5063">
        <v>28.233447000000002</v>
      </c>
      <c r="AK5063" t="s">
        <v>416</v>
      </c>
      <c r="AL5063">
        <v>-82.370682000000002</v>
      </c>
      <c r="AM5063">
        <v>100</v>
      </c>
      <c r="AN5063">
        <v>2100</v>
      </c>
      <c r="AO5063" t="s">
        <v>118</v>
      </c>
      <c r="AP5063">
        <v>-102</v>
      </c>
      <c r="AQ5063">
        <v>-52</v>
      </c>
      <c r="AR5063">
        <v>-960</v>
      </c>
      <c r="AZ5063">
        <v>1200</v>
      </c>
      <c r="BA5063">
        <v>1</v>
      </c>
      <c r="BB5063" t="str">
        <f t="shared" si="2314"/>
        <v xml:space="preserve">N711JA  </v>
      </c>
      <c r="BC5063">
        <v>1</v>
      </c>
      <c r="BE5063">
        <v>0</v>
      </c>
      <c r="BF5063">
        <v>0</v>
      </c>
      <c r="BG5063">
        <v>0</v>
      </c>
      <c r="BH5063">
        <v>2200</v>
      </c>
      <c r="BI5063">
        <v>1</v>
      </c>
      <c r="BJ5063">
        <v>1</v>
      </c>
      <c r="BK5063">
        <v>0</v>
      </c>
      <c r="BL5063">
        <v>0</v>
      </c>
      <c r="BO5063">
        <v>0</v>
      </c>
      <c r="BP5063">
        <v>0</v>
      </c>
      <c r="BW5063" t="str">
        <f t="shared" si="2333"/>
        <v>14:50:33.962</v>
      </c>
      <c r="CJ5063">
        <v>0</v>
      </c>
      <c r="CK5063">
        <v>2</v>
      </c>
      <c r="CL5063">
        <v>0</v>
      </c>
      <c r="CM5063">
        <v>2</v>
      </c>
      <c r="CN5063">
        <v>0</v>
      </c>
      <c r="CO5063">
        <v>7</v>
      </c>
      <c r="CP5063" t="s">
        <v>119</v>
      </c>
      <c r="CQ5063">
        <v>343</v>
      </c>
      <c r="CR5063">
        <v>1</v>
      </c>
      <c r="CW5063">
        <v>11106277</v>
      </c>
      <c r="CY5063">
        <v>1</v>
      </c>
      <c r="CZ5063">
        <v>0</v>
      </c>
      <c r="DA5063">
        <v>1</v>
      </c>
      <c r="DB5063">
        <v>0</v>
      </c>
      <c r="DC5063">
        <v>0</v>
      </c>
      <c r="DD5063">
        <v>1</v>
      </c>
      <c r="DE5063">
        <v>0</v>
      </c>
      <c r="DF5063">
        <v>0</v>
      </c>
      <c r="DG5063">
        <v>0</v>
      </c>
      <c r="DH5063">
        <v>0</v>
      </c>
      <c r="DI5063">
        <v>0</v>
      </c>
    </row>
    <row r="5064" spans="1:113" x14ac:dyDescent="0.3">
      <c r="A5064" t="str">
        <f t="shared" si="2330"/>
        <v>05/12/2020 14:50:16.129</v>
      </c>
      <c r="C5064" t="str">
        <f t="shared" si="2313"/>
        <v>FFDFD3C0</v>
      </c>
      <c r="D5064" t="s">
        <v>134</v>
      </c>
      <c r="E5064">
        <v>12</v>
      </c>
      <c r="H5064">
        <v>64</v>
      </c>
      <c r="I5064" t="s">
        <v>135</v>
      </c>
      <c r="J5064" t="s">
        <v>136</v>
      </c>
      <c r="K5064">
        <v>0</v>
      </c>
      <c r="L5064">
        <v>3</v>
      </c>
      <c r="M5064">
        <v>0</v>
      </c>
      <c r="N5064">
        <v>2</v>
      </c>
      <c r="O5064">
        <v>1</v>
      </c>
      <c r="P5064">
        <v>0</v>
      </c>
      <c r="Q5064">
        <v>0</v>
      </c>
      <c r="S5064" t="str">
        <f t="shared" si="2331"/>
        <v>14:50:33.961</v>
      </c>
      <c r="T5064" t="str">
        <f t="shared" si="2332"/>
        <v>14:50:33.861</v>
      </c>
      <c r="U5064" t="str">
        <f t="shared" si="2334"/>
        <v>A9808D</v>
      </c>
      <c r="V5064">
        <v>0</v>
      </c>
      <c r="W5064">
        <v>0</v>
      </c>
      <c r="X5064">
        <v>1</v>
      </c>
      <c r="Z5064">
        <v>0</v>
      </c>
      <c r="AA5064">
        <v>9</v>
      </c>
      <c r="AB5064">
        <v>3</v>
      </c>
      <c r="AC5064">
        <v>0</v>
      </c>
      <c r="AD5064">
        <v>10</v>
      </c>
      <c r="AE5064">
        <v>0</v>
      </c>
      <c r="AF5064">
        <v>3</v>
      </c>
      <c r="AG5064">
        <v>2</v>
      </c>
      <c r="AH5064">
        <v>0</v>
      </c>
      <c r="AI5064" t="s">
        <v>1123</v>
      </c>
      <c r="AJ5064">
        <v>28.233447000000002</v>
      </c>
      <c r="AK5064" t="s">
        <v>416</v>
      </c>
      <c r="AL5064">
        <v>-82.370682000000002</v>
      </c>
      <c r="AM5064">
        <v>100</v>
      </c>
      <c r="AN5064">
        <v>2100</v>
      </c>
      <c r="AO5064" t="s">
        <v>118</v>
      </c>
      <c r="AP5064">
        <v>-102</v>
      </c>
      <c r="AQ5064">
        <v>-52</v>
      </c>
      <c r="AR5064">
        <v>-960</v>
      </c>
      <c r="AZ5064">
        <v>1200</v>
      </c>
      <c r="BA5064">
        <v>1</v>
      </c>
      <c r="BB5064" t="str">
        <f t="shared" si="2314"/>
        <v xml:space="preserve">N711JA  </v>
      </c>
      <c r="BC5064">
        <v>1</v>
      </c>
      <c r="BE5064">
        <v>0</v>
      </c>
      <c r="BF5064">
        <v>0</v>
      </c>
      <c r="BG5064">
        <v>0</v>
      </c>
      <c r="BH5064">
        <v>2200</v>
      </c>
      <c r="BI5064">
        <v>1</v>
      </c>
      <c r="BJ5064">
        <v>1</v>
      </c>
      <c r="BK5064">
        <v>0</v>
      </c>
      <c r="BL5064">
        <v>0</v>
      </c>
      <c r="BO5064">
        <v>0</v>
      </c>
      <c r="BP5064">
        <v>0</v>
      </c>
      <c r="BW5064" t="str">
        <f t="shared" si="2333"/>
        <v>14:50:33.962</v>
      </c>
      <c r="CJ5064">
        <v>0</v>
      </c>
      <c r="CK5064">
        <v>2</v>
      </c>
      <c r="CL5064">
        <v>0</v>
      </c>
      <c r="CM5064">
        <v>2</v>
      </c>
      <c r="CN5064">
        <v>0</v>
      </c>
      <c r="CO5064">
        <v>7</v>
      </c>
      <c r="CP5064" t="s">
        <v>119</v>
      </c>
      <c r="CQ5064">
        <v>343</v>
      </c>
      <c r="CR5064">
        <v>1</v>
      </c>
      <c r="CW5064">
        <v>11106277</v>
      </c>
      <c r="CY5064">
        <v>1</v>
      </c>
      <c r="CZ5064">
        <v>0</v>
      </c>
      <c r="DA5064">
        <v>1</v>
      </c>
      <c r="DB5064">
        <v>0</v>
      </c>
      <c r="DC5064">
        <v>0</v>
      </c>
      <c r="DD5064">
        <v>1</v>
      </c>
      <c r="DE5064">
        <v>0</v>
      </c>
      <c r="DF5064">
        <v>0</v>
      </c>
      <c r="DG5064">
        <v>0</v>
      </c>
      <c r="DH5064">
        <v>0</v>
      </c>
      <c r="DI5064">
        <v>0</v>
      </c>
    </row>
    <row r="5065" spans="1:113" x14ac:dyDescent="0.3">
      <c r="A5065" t="str">
        <f t="shared" si="2330"/>
        <v>05/12/2020 14:50:16.129</v>
      </c>
      <c r="C5065" t="str">
        <f t="shared" si="2313"/>
        <v>FFDFD3C0</v>
      </c>
      <c r="D5065" t="s">
        <v>126</v>
      </c>
      <c r="E5065">
        <v>6</v>
      </c>
      <c r="F5065">
        <v>1006</v>
      </c>
      <c r="G5065" t="s">
        <v>114</v>
      </c>
      <c r="J5065" t="s">
        <v>128</v>
      </c>
      <c r="K5065">
        <v>0</v>
      </c>
      <c r="L5065">
        <v>3</v>
      </c>
      <c r="M5065">
        <v>0</v>
      </c>
      <c r="N5065">
        <v>2</v>
      </c>
      <c r="O5065">
        <v>1</v>
      </c>
      <c r="P5065">
        <v>0</v>
      </c>
      <c r="Q5065">
        <v>0</v>
      </c>
      <c r="S5065" t="str">
        <f t="shared" si="2331"/>
        <v>14:50:33.961</v>
      </c>
      <c r="T5065" t="str">
        <f t="shared" si="2332"/>
        <v>14:50:33.861</v>
      </c>
      <c r="U5065" t="str">
        <f t="shared" si="2334"/>
        <v>A9808D</v>
      </c>
      <c r="V5065">
        <v>0</v>
      </c>
      <c r="W5065">
        <v>0</v>
      </c>
      <c r="X5065">
        <v>1</v>
      </c>
      <c r="Z5065">
        <v>0</v>
      </c>
      <c r="AA5065">
        <v>9</v>
      </c>
      <c r="AB5065">
        <v>3</v>
      </c>
      <c r="AC5065">
        <v>0</v>
      </c>
      <c r="AD5065">
        <v>10</v>
      </c>
      <c r="AE5065">
        <v>0</v>
      </c>
      <c r="AF5065">
        <v>3</v>
      </c>
      <c r="AG5065">
        <v>2</v>
      </c>
      <c r="AH5065">
        <v>0</v>
      </c>
      <c r="AI5065" t="s">
        <v>1123</v>
      </c>
      <c r="AJ5065">
        <v>28.233447000000002</v>
      </c>
      <c r="AK5065" t="s">
        <v>416</v>
      </c>
      <c r="AL5065">
        <v>-82.370682000000002</v>
      </c>
      <c r="AM5065">
        <v>100</v>
      </c>
      <c r="AN5065">
        <v>2100</v>
      </c>
      <c r="AO5065" t="s">
        <v>118</v>
      </c>
      <c r="AP5065">
        <v>-102</v>
      </c>
      <c r="AQ5065">
        <v>-52</v>
      </c>
      <c r="AR5065">
        <v>-960</v>
      </c>
      <c r="AZ5065">
        <v>1200</v>
      </c>
      <c r="BA5065">
        <v>1</v>
      </c>
      <c r="BB5065" t="str">
        <f t="shared" si="2314"/>
        <v xml:space="preserve">N711JA  </v>
      </c>
      <c r="BC5065">
        <v>1</v>
      </c>
      <c r="BE5065">
        <v>0</v>
      </c>
      <c r="BF5065">
        <v>0</v>
      </c>
      <c r="BG5065">
        <v>0</v>
      </c>
      <c r="BH5065">
        <v>2200</v>
      </c>
      <c r="BI5065">
        <v>1</v>
      </c>
      <c r="BJ5065">
        <v>1</v>
      </c>
      <c r="BK5065">
        <v>0</v>
      </c>
      <c r="BL5065">
        <v>0</v>
      </c>
      <c r="BO5065">
        <v>0</v>
      </c>
      <c r="BP5065">
        <v>0</v>
      </c>
      <c r="BW5065" t="str">
        <f t="shared" si="2333"/>
        <v>14:50:33.962</v>
      </c>
      <c r="CJ5065">
        <v>0</v>
      </c>
      <c r="CK5065">
        <v>2</v>
      </c>
      <c r="CL5065">
        <v>0</v>
      </c>
      <c r="CM5065">
        <v>2</v>
      </c>
      <c r="CN5065">
        <v>0</v>
      </c>
      <c r="CO5065">
        <v>7</v>
      </c>
      <c r="CP5065" t="s">
        <v>119</v>
      </c>
      <c r="CQ5065">
        <v>343</v>
      </c>
      <c r="CR5065">
        <v>1</v>
      </c>
      <c r="CW5065">
        <v>11106277</v>
      </c>
      <c r="CY5065">
        <v>1</v>
      </c>
      <c r="CZ5065">
        <v>0</v>
      </c>
      <c r="DA5065">
        <v>1</v>
      </c>
      <c r="DB5065">
        <v>0</v>
      </c>
      <c r="DC5065">
        <v>0</v>
      </c>
      <c r="DD5065">
        <v>1</v>
      </c>
      <c r="DE5065">
        <v>0</v>
      </c>
      <c r="DF5065">
        <v>0</v>
      </c>
      <c r="DG5065">
        <v>0</v>
      </c>
      <c r="DH5065">
        <v>0</v>
      </c>
      <c r="DI5065">
        <v>0</v>
      </c>
    </row>
    <row r="5066" spans="1:113" x14ac:dyDescent="0.3">
      <c r="A5066" t="str">
        <f t="shared" ref="A5066:A5074" si="2335">"05/12/2020 14:50:17.143"</f>
        <v>05/12/2020 14:50:17.143</v>
      </c>
      <c r="C5066" t="str">
        <f t="shared" si="2313"/>
        <v>FFDFD3C0</v>
      </c>
      <c r="D5066" t="s">
        <v>113</v>
      </c>
      <c r="E5066">
        <v>3</v>
      </c>
      <c r="H5066">
        <v>164</v>
      </c>
      <c r="I5066" t="s">
        <v>114</v>
      </c>
      <c r="J5066" t="s">
        <v>115</v>
      </c>
      <c r="K5066">
        <v>0</v>
      </c>
      <c r="L5066">
        <v>3</v>
      </c>
      <c r="M5066">
        <v>0</v>
      </c>
      <c r="N5066">
        <v>2</v>
      </c>
      <c r="O5066">
        <v>1</v>
      </c>
      <c r="P5066">
        <v>0</v>
      </c>
      <c r="Q5066">
        <v>0</v>
      </c>
      <c r="S5066" t="str">
        <f t="shared" ref="S5066:S5074" si="2336">"14:50:34.945"</f>
        <v>14:50:34.945</v>
      </c>
      <c r="T5066" t="str">
        <f t="shared" ref="T5066:T5074" si="2337">"14:50:34.845"</f>
        <v>14:50:34.845</v>
      </c>
      <c r="U5066" t="str">
        <f t="shared" si="2334"/>
        <v>A9808D</v>
      </c>
      <c r="V5066">
        <v>0</v>
      </c>
      <c r="W5066">
        <v>0</v>
      </c>
      <c r="X5066">
        <v>1</v>
      </c>
      <c r="Z5066">
        <v>0</v>
      </c>
      <c r="AA5066">
        <v>9</v>
      </c>
      <c r="AB5066">
        <v>3</v>
      </c>
      <c r="AC5066">
        <v>0</v>
      </c>
      <c r="AD5066">
        <v>10</v>
      </c>
      <c r="AE5066">
        <v>0</v>
      </c>
      <c r="AF5066">
        <v>3</v>
      </c>
      <c r="AG5066">
        <v>2</v>
      </c>
      <c r="AH5066">
        <v>0</v>
      </c>
      <c r="AI5066" t="s">
        <v>174</v>
      </c>
      <c r="AJ5066">
        <v>28.23319</v>
      </c>
      <c r="AK5066" t="s">
        <v>1124</v>
      </c>
      <c r="AL5066">
        <v>-82.371174999999994</v>
      </c>
      <c r="AM5066">
        <v>100</v>
      </c>
      <c r="AN5066">
        <v>2100</v>
      </c>
      <c r="AO5066" t="s">
        <v>118</v>
      </c>
      <c r="AP5066">
        <v>-102</v>
      </c>
      <c r="AQ5066">
        <v>-53</v>
      </c>
      <c r="AR5066">
        <v>-896</v>
      </c>
      <c r="AZ5066">
        <v>1200</v>
      </c>
      <c r="BA5066">
        <v>1</v>
      </c>
      <c r="BB5066" t="str">
        <f t="shared" si="2314"/>
        <v xml:space="preserve">N711JA  </v>
      </c>
      <c r="BC5066">
        <v>1</v>
      </c>
      <c r="BE5066">
        <v>0</v>
      </c>
      <c r="BF5066">
        <v>0</v>
      </c>
      <c r="BG5066">
        <v>0</v>
      </c>
      <c r="BH5066">
        <v>2175</v>
      </c>
      <c r="BI5066">
        <v>1</v>
      </c>
      <c r="BJ5066">
        <v>1</v>
      </c>
      <c r="BK5066">
        <v>0</v>
      </c>
      <c r="BL5066">
        <v>0</v>
      </c>
      <c r="BO5066">
        <v>0</v>
      </c>
      <c r="BP5066">
        <v>0</v>
      </c>
      <c r="BW5066" t="str">
        <f t="shared" ref="BW5066:BW5074" si="2338">"14:50:34.952"</f>
        <v>14:50:34.952</v>
      </c>
      <c r="CJ5066">
        <v>0</v>
      </c>
      <c r="CK5066">
        <v>2</v>
      </c>
      <c r="CL5066">
        <v>0</v>
      </c>
      <c r="CM5066">
        <v>2</v>
      </c>
      <c r="CN5066">
        <v>0</v>
      </c>
      <c r="CO5066">
        <v>7</v>
      </c>
      <c r="CP5066" t="s">
        <v>119</v>
      </c>
      <c r="CQ5066">
        <v>343</v>
      </c>
      <c r="CR5066">
        <v>1</v>
      </c>
      <c r="CW5066">
        <v>11107242</v>
      </c>
      <c r="CY5066">
        <v>1</v>
      </c>
      <c r="CZ5066">
        <v>0</v>
      </c>
      <c r="DA5066">
        <v>0</v>
      </c>
      <c r="DB5066">
        <v>0</v>
      </c>
      <c r="DC5066">
        <v>0</v>
      </c>
      <c r="DD5066">
        <v>1</v>
      </c>
      <c r="DE5066">
        <v>0</v>
      </c>
      <c r="DF5066">
        <v>0</v>
      </c>
      <c r="DG5066">
        <v>0</v>
      </c>
      <c r="DH5066">
        <v>0</v>
      </c>
      <c r="DI5066">
        <v>0</v>
      </c>
    </row>
    <row r="5067" spans="1:113" x14ac:dyDescent="0.3">
      <c r="A5067" t="str">
        <f t="shared" si="2335"/>
        <v>05/12/2020 14:50:17.143</v>
      </c>
      <c r="C5067" t="str">
        <f t="shared" si="2313"/>
        <v>FFDFD3C0</v>
      </c>
      <c r="D5067" t="s">
        <v>138</v>
      </c>
      <c r="E5067">
        <v>2</v>
      </c>
      <c r="H5067">
        <v>8</v>
      </c>
      <c r="I5067" t="s">
        <v>139</v>
      </c>
      <c r="J5067" t="s">
        <v>136</v>
      </c>
      <c r="K5067">
        <v>0</v>
      </c>
      <c r="L5067">
        <v>3</v>
      </c>
      <c r="M5067">
        <v>0</v>
      </c>
      <c r="N5067">
        <v>2</v>
      </c>
      <c r="O5067">
        <v>1</v>
      </c>
      <c r="P5067">
        <v>0</v>
      </c>
      <c r="Q5067">
        <v>0</v>
      </c>
      <c r="S5067" t="str">
        <f t="shared" si="2336"/>
        <v>14:50:34.945</v>
      </c>
      <c r="T5067" t="str">
        <f t="shared" si="2337"/>
        <v>14:50:34.845</v>
      </c>
      <c r="U5067" t="str">
        <f t="shared" si="2334"/>
        <v>A9808D</v>
      </c>
      <c r="V5067">
        <v>0</v>
      </c>
      <c r="W5067">
        <v>0</v>
      </c>
      <c r="X5067">
        <v>1</v>
      </c>
      <c r="Z5067">
        <v>0</v>
      </c>
      <c r="AA5067">
        <v>9</v>
      </c>
      <c r="AB5067">
        <v>3</v>
      </c>
      <c r="AC5067">
        <v>0</v>
      </c>
      <c r="AD5067">
        <v>10</v>
      </c>
      <c r="AE5067">
        <v>0</v>
      </c>
      <c r="AF5067">
        <v>3</v>
      </c>
      <c r="AG5067">
        <v>2</v>
      </c>
      <c r="AH5067">
        <v>0</v>
      </c>
      <c r="AI5067" t="s">
        <v>174</v>
      </c>
      <c r="AJ5067">
        <v>28.23319</v>
      </c>
      <c r="AK5067" t="s">
        <v>1124</v>
      </c>
      <c r="AL5067">
        <v>-82.371174999999994</v>
      </c>
      <c r="AM5067">
        <v>100</v>
      </c>
      <c r="AN5067">
        <v>2100</v>
      </c>
      <c r="AO5067" t="s">
        <v>118</v>
      </c>
      <c r="AP5067">
        <v>-102</v>
      </c>
      <c r="AQ5067">
        <v>-53</v>
      </c>
      <c r="AR5067">
        <v>-896</v>
      </c>
      <c r="AZ5067">
        <v>1200</v>
      </c>
      <c r="BA5067">
        <v>1</v>
      </c>
      <c r="BB5067" t="str">
        <f t="shared" si="2314"/>
        <v xml:space="preserve">N711JA  </v>
      </c>
      <c r="BC5067">
        <v>1</v>
      </c>
      <c r="BE5067">
        <v>0</v>
      </c>
      <c r="BF5067">
        <v>0</v>
      </c>
      <c r="BG5067">
        <v>0</v>
      </c>
      <c r="BH5067">
        <v>2175</v>
      </c>
      <c r="BI5067">
        <v>1</v>
      </c>
      <c r="BJ5067">
        <v>1</v>
      </c>
      <c r="BK5067">
        <v>0</v>
      </c>
      <c r="BL5067">
        <v>0</v>
      </c>
      <c r="BO5067">
        <v>0</v>
      </c>
      <c r="BP5067">
        <v>0</v>
      </c>
      <c r="BW5067" t="str">
        <f t="shared" si="2338"/>
        <v>14:50:34.952</v>
      </c>
      <c r="CJ5067">
        <v>0</v>
      </c>
      <c r="CK5067">
        <v>2</v>
      </c>
      <c r="CL5067">
        <v>0</v>
      </c>
      <c r="CM5067">
        <v>2</v>
      </c>
      <c r="CN5067">
        <v>0</v>
      </c>
      <c r="CO5067">
        <v>7</v>
      </c>
      <c r="CP5067" t="s">
        <v>119</v>
      </c>
      <c r="CQ5067">
        <v>343</v>
      </c>
      <c r="CR5067">
        <v>1</v>
      </c>
      <c r="CW5067">
        <v>11107242</v>
      </c>
      <c r="CY5067">
        <v>1</v>
      </c>
      <c r="CZ5067">
        <v>0</v>
      </c>
      <c r="DA5067">
        <v>1</v>
      </c>
      <c r="DB5067">
        <v>0</v>
      </c>
      <c r="DC5067">
        <v>0</v>
      </c>
      <c r="DD5067">
        <v>1</v>
      </c>
      <c r="DE5067">
        <v>0</v>
      </c>
      <c r="DF5067">
        <v>0</v>
      </c>
      <c r="DG5067">
        <v>0</v>
      </c>
      <c r="DH5067">
        <v>0</v>
      </c>
      <c r="DI5067">
        <v>0</v>
      </c>
    </row>
    <row r="5068" spans="1:113" x14ac:dyDescent="0.3">
      <c r="A5068" t="str">
        <f t="shared" si="2335"/>
        <v>05/12/2020 14:50:17.143</v>
      </c>
      <c r="C5068" t="str">
        <f t="shared" si="2313"/>
        <v>FFDFD3C0</v>
      </c>
      <c r="D5068" t="s">
        <v>131</v>
      </c>
      <c r="E5068">
        <v>10</v>
      </c>
      <c r="F5068">
        <v>2010</v>
      </c>
      <c r="G5068" t="s">
        <v>132</v>
      </c>
      <c r="J5068" t="s">
        <v>133</v>
      </c>
      <c r="K5068">
        <v>0</v>
      </c>
      <c r="L5068">
        <v>3</v>
      </c>
      <c r="M5068">
        <v>0</v>
      </c>
      <c r="N5068">
        <v>2</v>
      </c>
      <c r="O5068">
        <v>1</v>
      </c>
      <c r="P5068">
        <v>0</v>
      </c>
      <c r="Q5068">
        <v>0</v>
      </c>
      <c r="S5068" t="str">
        <f t="shared" si="2336"/>
        <v>14:50:34.945</v>
      </c>
      <c r="T5068" t="str">
        <f t="shared" si="2337"/>
        <v>14:50:34.845</v>
      </c>
      <c r="U5068" t="str">
        <f t="shared" si="2334"/>
        <v>A9808D</v>
      </c>
      <c r="V5068">
        <v>0</v>
      </c>
      <c r="W5068">
        <v>0</v>
      </c>
      <c r="X5068">
        <v>1</v>
      </c>
      <c r="Z5068">
        <v>0</v>
      </c>
      <c r="AA5068">
        <v>9</v>
      </c>
      <c r="AB5068">
        <v>3</v>
      </c>
      <c r="AC5068">
        <v>0</v>
      </c>
      <c r="AD5068">
        <v>10</v>
      </c>
      <c r="AE5068">
        <v>0</v>
      </c>
      <c r="AF5068">
        <v>3</v>
      </c>
      <c r="AG5068">
        <v>2</v>
      </c>
      <c r="AH5068">
        <v>0</v>
      </c>
      <c r="AI5068" t="s">
        <v>174</v>
      </c>
      <c r="AJ5068">
        <v>28.23319</v>
      </c>
      <c r="AK5068" t="s">
        <v>1124</v>
      </c>
      <c r="AL5068">
        <v>-82.371174999999994</v>
      </c>
      <c r="AM5068">
        <v>100</v>
      </c>
      <c r="AN5068">
        <v>2100</v>
      </c>
      <c r="AO5068" t="s">
        <v>118</v>
      </c>
      <c r="AP5068">
        <v>-102</v>
      </c>
      <c r="AQ5068">
        <v>-53</v>
      </c>
      <c r="AR5068">
        <v>-896</v>
      </c>
      <c r="AZ5068">
        <v>1200</v>
      </c>
      <c r="BA5068">
        <v>1</v>
      </c>
      <c r="BB5068" t="str">
        <f t="shared" si="2314"/>
        <v xml:space="preserve">N711JA  </v>
      </c>
      <c r="BC5068">
        <v>1</v>
      </c>
      <c r="BE5068">
        <v>0</v>
      </c>
      <c r="BF5068">
        <v>0</v>
      </c>
      <c r="BG5068">
        <v>0</v>
      </c>
      <c r="BH5068">
        <v>2175</v>
      </c>
      <c r="BI5068">
        <v>1</v>
      </c>
      <c r="BJ5068">
        <v>1</v>
      </c>
      <c r="BK5068">
        <v>0</v>
      </c>
      <c r="BL5068">
        <v>0</v>
      </c>
      <c r="BO5068">
        <v>0</v>
      </c>
      <c r="BP5068">
        <v>0</v>
      </c>
      <c r="BW5068" t="str">
        <f t="shared" si="2338"/>
        <v>14:50:34.952</v>
      </c>
      <c r="CJ5068">
        <v>0</v>
      </c>
      <c r="CK5068">
        <v>2</v>
      </c>
      <c r="CL5068">
        <v>0</v>
      </c>
      <c r="CM5068">
        <v>2</v>
      </c>
      <c r="CN5068">
        <v>0</v>
      </c>
      <c r="CO5068">
        <v>7</v>
      </c>
      <c r="CP5068" t="s">
        <v>119</v>
      </c>
      <c r="CQ5068">
        <v>343</v>
      </c>
      <c r="CR5068">
        <v>1</v>
      </c>
      <c r="CW5068">
        <v>11107242</v>
      </c>
      <c r="CY5068">
        <v>1</v>
      </c>
      <c r="CZ5068">
        <v>0</v>
      </c>
      <c r="DA5068">
        <v>1</v>
      </c>
      <c r="DB5068">
        <v>0</v>
      </c>
      <c r="DC5068">
        <v>0</v>
      </c>
      <c r="DD5068">
        <v>1</v>
      </c>
      <c r="DE5068">
        <v>0</v>
      </c>
      <c r="DF5068">
        <v>0</v>
      </c>
      <c r="DG5068">
        <v>0</v>
      </c>
      <c r="DH5068">
        <v>0</v>
      </c>
      <c r="DI5068">
        <v>0</v>
      </c>
    </row>
    <row r="5069" spans="1:113" x14ac:dyDescent="0.3">
      <c r="A5069" t="str">
        <f t="shared" si="2335"/>
        <v>05/12/2020 14:50:17.143</v>
      </c>
      <c r="C5069" t="str">
        <f t="shared" si="2313"/>
        <v>FFDFD3C0</v>
      </c>
      <c r="D5069" t="s">
        <v>138</v>
      </c>
      <c r="E5069">
        <v>3</v>
      </c>
      <c r="H5069">
        <v>9</v>
      </c>
      <c r="I5069" t="s">
        <v>140</v>
      </c>
      <c r="J5069" t="s">
        <v>136</v>
      </c>
      <c r="K5069">
        <v>0</v>
      </c>
      <c r="L5069">
        <v>3</v>
      </c>
      <c r="M5069">
        <v>0</v>
      </c>
      <c r="N5069">
        <v>2</v>
      </c>
      <c r="O5069">
        <v>1</v>
      </c>
      <c r="P5069">
        <v>0</v>
      </c>
      <c r="Q5069">
        <v>0</v>
      </c>
      <c r="S5069" t="str">
        <f t="shared" si="2336"/>
        <v>14:50:34.945</v>
      </c>
      <c r="T5069" t="str">
        <f t="shared" si="2337"/>
        <v>14:50:34.845</v>
      </c>
      <c r="U5069" t="str">
        <f t="shared" si="2334"/>
        <v>A9808D</v>
      </c>
      <c r="V5069">
        <v>0</v>
      </c>
      <c r="W5069">
        <v>0</v>
      </c>
      <c r="X5069">
        <v>1</v>
      </c>
      <c r="Z5069">
        <v>0</v>
      </c>
      <c r="AA5069">
        <v>9</v>
      </c>
      <c r="AB5069">
        <v>3</v>
      </c>
      <c r="AC5069">
        <v>0</v>
      </c>
      <c r="AD5069">
        <v>10</v>
      </c>
      <c r="AE5069">
        <v>0</v>
      </c>
      <c r="AF5069">
        <v>3</v>
      </c>
      <c r="AG5069">
        <v>2</v>
      </c>
      <c r="AH5069">
        <v>0</v>
      </c>
      <c r="AI5069" t="s">
        <v>174</v>
      </c>
      <c r="AJ5069">
        <v>28.23319</v>
      </c>
      <c r="AK5069" t="s">
        <v>1124</v>
      </c>
      <c r="AL5069">
        <v>-82.371174999999994</v>
      </c>
      <c r="AM5069">
        <v>100</v>
      </c>
      <c r="AN5069">
        <v>2100</v>
      </c>
      <c r="AO5069" t="s">
        <v>118</v>
      </c>
      <c r="AP5069">
        <v>-102</v>
      </c>
      <c r="AQ5069">
        <v>-53</v>
      </c>
      <c r="AR5069">
        <v>-896</v>
      </c>
      <c r="AZ5069">
        <v>1200</v>
      </c>
      <c r="BA5069">
        <v>1</v>
      </c>
      <c r="BB5069" t="str">
        <f t="shared" si="2314"/>
        <v xml:space="preserve">N711JA  </v>
      </c>
      <c r="BC5069">
        <v>1</v>
      </c>
      <c r="BE5069">
        <v>0</v>
      </c>
      <c r="BF5069">
        <v>0</v>
      </c>
      <c r="BG5069">
        <v>0</v>
      </c>
      <c r="BH5069">
        <v>2175</v>
      </c>
      <c r="BI5069">
        <v>1</v>
      </c>
      <c r="BJ5069">
        <v>1</v>
      </c>
      <c r="BK5069">
        <v>0</v>
      </c>
      <c r="BL5069">
        <v>0</v>
      </c>
      <c r="BO5069">
        <v>0</v>
      </c>
      <c r="BP5069">
        <v>0</v>
      </c>
      <c r="BW5069" t="str">
        <f t="shared" si="2338"/>
        <v>14:50:34.952</v>
      </c>
      <c r="CJ5069">
        <v>0</v>
      </c>
      <c r="CK5069">
        <v>2</v>
      </c>
      <c r="CL5069">
        <v>0</v>
      </c>
      <c r="CM5069">
        <v>2</v>
      </c>
      <c r="CN5069">
        <v>0</v>
      </c>
      <c r="CO5069">
        <v>7</v>
      </c>
      <c r="CP5069" t="s">
        <v>119</v>
      </c>
      <c r="CQ5069">
        <v>343</v>
      </c>
      <c r="CR5069">
        <v>1</v>
      </c>
      <c r="CW5069">
        <v>11107242</v>
      </c>
      <c r="CY5069">
        <v>1</v>
      </c>
      <c r="CZ5069">
        <v>0</v>
      </c>
      <c r="DA5069">
        <v>1</v>
      </c>
      <c r="DB5069">
        <v>0</v>
      </c>
      <c r="DC5069">
        <v>0</v>
      </c>
      <c r="DD5069">
        <v>1</v>
      </c>
      <c r="DE5069">
        <v>0</v>
      </c>
      <c r="DF5069">
        <v>0</v>
      </c>
      <c r="DG5069">
        <v>0</v>
      </c>
      <c r="DH5069">
        <v>0</v>
      </c>
      <c r="DI5069">
        <v>0</v>
      </c>
    </row>
    <row r="5070" spans="1:113" x14ac:dyDescent="0.3">
      <c r="A5070" t="str">
        <f t="shared" si="2335"/>
        <v>05/12/2020 14:50:17.143</v>
      </c>
      <c r="C5070" t="str">
        <f t="shared" si="2313"/>
        <v>FFDFD3C0</v>
      </c>
      <c r="D5070" t="s">
        <v>126</v>
      </c>
      <c r="E5070">
        <v>7</v>
      </c>
      <c r="F5070">
        <v>1007</v>
      </c>
      <c r="G5070" t="s">
        <v>127</v>
      </c>
      <c r="J5070" t="s">
        <v>128</v>
      </c>
      <c r="K5070">
        <v>0</v>
      </c>
      <c r="L5070">
        <v>3</v>
      </c>
      <c r="M5070">
        <v>0</v>
      </c>
      <c r="N5070">
        <v>2</v>
      </c>
      <c r="O5070">
        <v>1</v>
      </c>
      <c r="P5070">
        <v>0</v>
      </c>
      <c r="Q5070">
        <v>0</v>
      </c>
      <c r="S5070" t="str">
        <f t="shared" si="2336"/>
        <v>14:50:34.945</v>
      </c>
      <c r="T5070" t="str">
        <f t="shared" si="2337"/>
        <v>14:50:34.845</v>
      </c>
      <c r="U5070" t="str">
        <f t="shared" si="2334"/>
        <v>A9808D</v>
      </c>
      <c r="V5070">
        <v>0</v>
      </c>
      <c r="W5070">
        <v>0</v>
      </c>
      <c r="X5070">
        <v>1</v>
      </c>
      <c r="Z5070">
        <v>0</v>
      </c>
      <c r="AA5070">
        <v>9</v>
      </c>
      <c r="AB5070">
        <v>3</v>
      </c>
      <c r="AC5070">
        <v>0</v>
      </c>
      <c r="AD5070">
        <v>10</v>
      </c>
      <c r="AE5070">
        <v>0</v>
      </c>
      <c r="AF5070">
        <v>3</v>
      </c>
      <c r="AG5070">
        <v>2</v>
      </c>
      <c r="AH5070">
        <v>0</v>
      </c>
      <c r="AI5070" t="s">
        <v>174</v>
      </c>
      <c r="AJ5070">
        <v>28.23319</v>
      </c>
      <c r="AK5070" t="s">
        <v>1124</v>
      </c>
      <c r="AL5070">
        <v>-82.371174999999994</v>
      </c>
      <c r="AM5070">
        <v>100</v>
      </c>
      <c r="AN5070">
        <v>2100</v>
      </c>
      <c r="AO5070" t="s">
        <v>118</v>
      </c>
      <c r="AP5070">
        <v>-102</v>
      </c>
      <c r="AQ5070">
        <v>-53</v>
      </c>
      <c r="AR5070">
        <v>-896</v>
      </c>
      <c r="AZ5070">
        <v>1200</v>
      </c>
      <c r="BA5070">
        <v>1</v>
      </c>
      <c r="BB5070" t="str">
        <f t="shared" si="2314"/>
        <v xml:space="preserve">N711JA  </v>
      </c>
      <c r="BC5070">
        <v>1</v>
      </c>
      <c r="BE5070">
        <v>0</v>
      </c>
      <c r="BF5070">
        <v>0</v>
      </c>
      <c r="BG5070">
        <v>0</v>
      </c>
      <c r="BH5070">
        <v>2175</v>
      </c>
      <c r="BI5070">
        <v>1</v>
      </c>
      <c r="BJ5070">
        <v>1</v>
      </c>
      <c r="BK5070">
        <v>0</v>
      </c>
      <c r="BL5070">
        <v>0</v>
      </c>
      <c r="BO5070">
        <v>0</v>
      </c>
      <c r="BP5070">
        <v>0</v>
      </c>
      <c r="BW5070" t="str">
        <f t="shared" si="2338"/>
        <v>14:50:34.952</v>
      </c>
      <c r="CJ5070">
        <v>0</v>
      </c>
      <c r="CK5070">
        <v>2</v>
      </c>
      <c r="CL5070">
        <v>0</v>
      </c>
      <c r="CM5070">
        <v>2</v>
      </c>
      <c r="CN5070">
        <v>0</v>
      </c>
      <c r="CO5070">
        <v>7</v>
      </c>
      <c r="CP5070" t="s">
        <v>119</v>
      </c>
      <c r="CQ5070">
        <v>343</v>
      </c>
      <c r="CR5070">
        <v>1</v>
      </c>
      <c r="CW5070">
        <v>11107242</v>
      </c>
      <c r="CY5070">
        <v>1</v>
      </c>
      <c r="CZ5070">
        <v>0</v>
      </c>
      <c r="DA5070">
        <v>1</v>
      </c>
      <c r="DB5070">
        <v>0</v>
      </c>
      <c r="DC5070">
        <v>0</v>
      </c>
      <c r="DD5070">
        <v>1</v>
      </c>
      <c r="DE5070">
        <v>0</v>
      </c>
      <c r="DF5070">
        <v>0</v>
      </c>
      <c r="DG5070">
        <v>0</v>
      </c>
      <c r="DH5070">
        <v>0</v>
      </c>
      <c r="DI5070">
        <v>0</v>
      </c>
    </row>
    <row r="5071" spans="1:113" x14ac:dyDescent="0.3">
      <c r="A5071" t="str">
        <f t="shared" si="2335"/>
        <v>05/12/2020 14:50:17.143</v>
      </c>
      <c r="C5071" t="str">
        <f t="shared" si="2313"/>
        <v>FFDFD3C0</v>
      </c>
      <c r="D5071" t="s">
        <v>131</v>
      </c>
      <c r="E5071">
        <v>12</v>
      </c>
      <c r="F5071">
        <v>2012</v>
      </c>
      <c r="G5071" t="s">
        <v>137</v>
      </c>
      <c r="J5071" t="s">
        <v>133</v>
      </c>
      <c r="K5071">
        <v>0</v>
      </c>
      <c r="L5071">
        <v>3</v>
      </c>
      <c r="M5071">
        <v>0</v>
      </c>
      <c r="N5071">
        <v>2</v>
      </c>
      <c r="O5071">
        <v>1</v>
      </c>
      <c r="P5071">
        <v>0</v>
      </c>
      <c r="Q5071">
        <v>0</v>
      </c>
      <c r="S5071" t="str">
        <f t="shared" si="2336"/>
        <v>14:50:34.945</v>
      </c>
      <c r="T5071" t="str">
        <f t="shared" si="2337"/>
        <v>14:50:34.845</v>
      </c>
      <c r="U5071" t="str">
        <f t="shared" si="2334"/>
        <v>A9808D</v>
      </c>
      <c r="V5071">
        <v>0</v>
      </c>
      <c r="W5071">
        <v>0</v>
      </c>
      <c r="X5071">
        <v>1</v>
      </c>
      <c r="Z5071">
        <v>0</v>
      </c>
      <c r="AA5071">
        <v>9</v>
      </c>
      <c r="AB5071">
        <v>3</v>
      </c>
      <c r="AC5071">
        <v>0</v>
      </c>
      <c r="AD5071">
        <v>10</v>
      </c>
      <c r="AE5071">
        <v>0</v>
      </c>
      <c r="AF5071">
        <v>3</v>
      </c>
      <c r="AG5071">
        <v>2</v>
      </c>
      <c r="AH5071">
        <v>0</v>
      </c>
      <c r="AI5071" t="s">
        <v>174</v>
      </c>
      <c r="AJ5071">
        <v>28.23319</v>
      </c>
      <c r="AK5071" t="s">
        <v>1124</v>
      </c>
      <c r="AL5071">
        <v>-82.371174999999994</v>
      </c>
      <c r="AM5071">
        <v>100</v>
      </c>
      <c r="AN5071">
        <v>2100</v>
      </c>
      <c r="AO5071" t="s">
        <v>118</v>
      </c>
      <c r="AP5071">
        <v>-102</v>
      </c>
      <c r="AQ5071">
        <v>-53</v>
      </c>
      <c r="AR5071">
        <v>-896</v>
      </c>
      <c r="AZ5071">
        <v>1200</v>
      </c>
      <c r="BA5071">
        <v>1</v>
      </c>
      <c r="BB5071" t="str">
        <f t="shared" si="2314"/>
        <v xml:space="preserve">N711JA  </v>
      </c>
      <c r="BC5071">
        <v>1</v>
      </c>
      <c r="BE5071">
        <v>0</v>
      </c>
      <c r="BF5071">
        <v>0</v>
      </c>
      <c r="BG5071">
        <v>0</v>
      </c>
      <c r="BH5071">
        <v>2175</v>
      </c>
      <c r="BI5071">
        <v>1</v>
      </c>
      <c r="BJ5071">
        <v>1</v>
      </c>
      <c r="BK5071">
        <v>0</v>
      </c>
      <c r="BL5071">
        <v>0</v>
      </c>
      <c r="BO5071">
        <v>0</v>
      </c>
      <c r="BP5071">
        <v>0</v>
      </c>
      <c r="BW5071" t="str">
        <f t="shared" si="2338"/>
        <v>14:50:34.952</v>
      </c>
      <c r="CJ5071">
        <v>0</v>
      </c>
      <c r="CK5071">
        <v>2</v>
      </c>
      <c r="CL5071">
        <v>0</v>
      </c>
      <c r="CM5071">
        <v>2</v>
      </c>
      <c r="CN5071">
        <v>0</v>
      </c>
      <c r="CO5071">
        <v>7</v>
      </c>
      <c r="CP5071" t="s">
        <v>119</v>
      </c>
      <c r="CQ5071">
        <v>343</v>
      </c>
      <c r="CR5071">
        <v>1</v>
      </c>
      <c r="CW5071">
        <v>11107242</v>
      </c>
      <c r="CY5071">
        <v>1</v>
      </c>
      <c r="CZ5071">
        <v>0</v>
      </c>
      <c r="DA5071">
        <v>1</v>
      </c>
      <c r="DB5071">
        <v>0</v>
      </c>
      <c r="DC5071">
        <v>0</v>
      </c>
      <c r="DD5071">
        <v>1</v>
      </c>
      <c r="DE5071">
        <v>0</v>
      </c>
      <c r="DF5071">
        <v>0</v>
      </c>
      <c r="DG5071">
        <v>0</v>
      </c>
      <c r="DH5071">
        <v>0</v>
      </c>
      <c r="DI5071">
        <v>0</v>
      </c>
    </row>
    <row r="5072" spans="1:113" x14ac:dyDescent="0.3">
      <c r="A5072" t="str">
        <f t="shared" si="2335"/>
        <v>05/12/2020 14:50:17.143</v>
      </c>
      <c r="C5072" t="str">
        <f t="shared" si="2313"/>
        <v>FFDFD3C0</v>
      </c>
      <c r="D5072" t="s">
        <v>131</v>
      </c>
      <c r="E5072">
        <v>18</v>
      </c>
      <c r="F5072">
        <v>2018</v>
      </c>
      <c r="G5072" t="s">
        <v>161</v>
      </c>
      <c r="J5072" t="s">
        <v>133</v>
      </c>
      <c r="K5072">
        <v>0</v>
      </c>
      <c r="L5072">
        <v>3</v>
      </c>
      <c r="M5072">
        <v>0</v>
      </c>
      <c r="N5072">
        <v>2</v>
      </c>
      <c r="O5072">
        <v>1</v>
      </c>
      <c r="P5072">
        <v>0</v>
      </c>
      <c r="Q5072">
        <v>0</v>
      </c>
      <c r="S5072" t="str">
        <f t="shared" si="2336"/>
        <v>14:50:34.945</v>
      </c>
      <c r="T5072" t="str">
        <f t="shared" si="2337"/>
        <v>14:50:34.845</v>
      </c>
      <c r="U5072" t="str">
        <f t="shared" si="2334"/>
        <v>A9808D</v>
      </c>
      <c r="V5072">
        <v>0</v>
      </c>
      <c r="W5072">
        <v>0</v>
      </c>
      <c r="X5072">
        <v>1</v>
      </c>
      <c r="Z5072">
        <v>0</v>
      </c>
      <c r="AA5072">
        <v>9</v>
      </c>
      <c r="AB5072">
        <v>3</v>
      </c>
      <c r="AC5072">
        <v>0</v>
      </c>
      <c r="AD5072">
        <v>10</v>
      </c>
      <c r="AE5072">
        <v>0</v>
      </c>
      <c r="AF5072">
        <v>3</v>
      </c>
      <c r="AG5072">
        <v>2</v>
      </c>
      <c r="AH5072">
        <v>0</v>
      </c>
      <c r="AI5072" t="s">
        <v>174</v>
      </c>
      <c r="AJ5072">
        <v>28.23319</v>
      </c>
      <c r="AK5072" t="s">
        <v>1124</v>
      </c>
      <c r="AL5072">
        <v>-82.371174999999994</v>
      </c>
      <c r="AM5072">
        <v>100</v>
      </c>
      <c r="AN5072">
        <v>2100</v>
      </c>
      <c r="AO5072" t="s">
        <v>118</v>
      </c>
      <c r="AP5072">
        <v>-102</v>
      </c>
      <c r="AQ5072">
        <v>-53</v>
      </c>
      <c r="AR5072">
        <v>-896</v>
      </c>
      <c r="AZ5072">
        <v>1200</v>
      </c>
      <c r="BA5072">
        <v>1</v>
      </c>
      <c r="BB5072" t="str">
        <f t="shared" si="2314"/>
        <v xml:space="preserve">N711JA  </v>
      </c>
      <c r="BC5072">
        <v>1</v>
      </c>
      <c r="BE5072">
        <v>0</v>
      </c>
      <c r="BF5072">
        <v>0</v>
      </c>
      <c r="BG5072">
        <v>0</v>
      </c>
      <c r="BH5072">
        <v>2175</v>
      </c>
      <c r="BI5072">
        <v>1</v>
      </c>
      <c r="BJ5072">
        <v>1</v>
      </c>
      <c r="BK5072">
        <v>0</v>
      </c>
      <c r="BL5072">
        <v>0</v>
      </c>
      <c r="BO5072">
        <v>0</v>
      </c>
      <c r="BP5072">
        <v>0</v>
      </c>
      <c r="BW5072" t="str">
        <f t="shared" si="2338"/>
        <v>14:50:34.952</v>
      </c>
      <c r="CJ5072">
        <v>0</v>
      </c>
      <c r="CK5072">
        <v>2</v>
      </c>
      <c r="CL5072">
        <v>0</v>
      </c>
      <c r="CM5072">
        <v>2</v>
      </c>
      <c r="CN5072">
        <v>0</v>
      </c>
      <c r="CO5072">
        <v>7</v>
      </c>
      <c r="CP5072" t="s">
        <v>119</v>
      </c>
      <c r="CQ5072">
        <v>343</v>
      </c>
      <c r="CR5072">
        <v>1</v>
      </c>
      <c r="CW5072">
        <v>11107242</v>
      </c>
      <c r="CY5072">
        <v>1</v>
      </c>
      <c r="CZ5072">
        <v>0</v>
      </c>
      <c r="DA5072">
        <v>1</v>
      </c>
      <c r="DB5072">
        <v>0</v>
      </c>
      <c r="DC5072">
        <v>0</v>
      </c>
      <c r="DD5072">
        <v>1</v>
      </c>
      <c r="DE5072">
        <v>0</v>
      </c>
      <c r="DF5072">
        <v>0</v>
      </c>
      <c r="DG5072">
        <v>0</v>
      </c>
      <c r="DH5072">
        <v>0</v>
      </c>
      <c r="DI5072">
        <v>0</v>
      </c>
    </row>
    <row r="5073" spans="1:113" x14ac:dyDescent="0.3">
      <c r="A5073" t="str">
        <f t="shared" si="2335"/>
        <v>05/12/2020 14:50:17.143</v>
      </c>
      <c r="C5073" t="str">
        <f t="shared" si="2313"/>
        <v>FFDFD3C0</v>
      </c>
      <c r="D5073" t="s">
        <v>134</v>
      </c>
      <c r="E5073">
        <v>12</v>
      </c>
      <c r="H5073">
        <v>64</v>
      </c>
      <c r="I5073" t="s">
        <v>135</v>
      </c>
      <c r="J5073" t="s">
        <v>136</v>
      </c>
      <c r="K5073">
        <v>0</v>
      </c>
      <c r="L5073">
        <v>3</v>
      </c>
      <c r="M5073">
        <v>0</v>
      </c>
      <c r="N5073">
        <v>2</v>
      </c>
      <c r="O5073">
        <v>1</v>
      </c>
      <c r="P5073">
        <v>0</v>
      </c>
      <c r="Q5073">
        <v>0</v>
      </c>
      <c r="S5073" t="str">
        <f t="shared" si="2336"/>
        <v>14:50:34.945</v>
      </c>
      <c r="T5073" t="str">
        <f t="shared" si="2337"/>
        <v>14:50:34.845</v>
      </c>
      <c r="U5073" t="str">
        <f t="shared" si="2334"/>
        <v>A9808D</v>
      </c>
      <c r="V5073">
        <v>0</v>
      </c>
      <c r="W5073">
        <v>0</v>
      </c>
      <c r="X5073">
        <v>1</v>
      </c>
      <c r="Z5073">
        <v>0</v>
      </c>
      <c r="AA5073">
        <v>9</v>
      </c>
      <c r="AB5073">
        <v>3</v>
      </c>
      <c r="AC5073">
        <v>0</v>
      </c>
      <c r="AD5073">
        <v>10</v>
      </c>
      <c r="AE5073">
        <v>0</v>
      </c>
      <c r="AF5073">
        <v>3</v>
      </c>
      <c r="AG5073">
        <v>2</v>
      </c>
      <c r="AH5073">
        <v>0</v>
      </c>
      <c r="AI5073" t="s">
        <v>174</v>
      </c>
      <c r="AJ5073">
        <v>28.23319</v>
      </c>
      <c r="AK5073" t="s">
        <v>1124</v>
      </c>
      <c r="AL5073">
        <v>-82.371174999999994</v>
      </c>
      <c r="AM5073">
        <v>100</v>
      </c>
      <c r="AN5073">
        <v>2100</v>
      </c>
      <c r="AO5073" t="s">
        <v>118</v>
      </c>
      <c r="AP5073">
        <v>-102</v>
      </c>
      <c r="AQ5073">
        <v>-53</v>
      </c>
      <c r="AR5073">
        <v>-896</v>
      </c>
      <c r="AZ5073">
        <v>1200</v>
      </c>
      <c r="BA5073">
        <v>1</v>
      </c>
      <c r="BB5073" t="str">
        <f t="shared" si="2314"/>
        <v xml:space="preserve">N711JA  </v>
      </c>
      <c r="BC5073">
        <v>1</v>
      </c>
      <c r="BE5073">
        <v>0</v>
      </c>
      <c r="BF5073">
        <v>0</v>
      </c>
      <c r="BG5073">
        <v>0</v>
      </c>
      <c r="BH5073">
        <v>2175</v>
      </c>
      <c r="BI5073">
        <v>1</v>
      </c>
      <c r="BJ5073">
        <v>1</v>
      </c>
      <c r="BK5073">
        <v>0</v>
      </c>
      <c r="BL5073">
        <v>0</v>
      </c>
      <c r="BO5073">
        <v>0</v>
      </c>
      <c r="BP5073">
        <v>0</v>
      </c>
      <c r="BW5073" t="str">
        <f t="shared" si="2338"/>
        <v>14:50:34.952</v>
      </c>
      <c r="CJ5073">
        <v>0</v>
      </c>
      <c r="CK5073">
        <v>2</v>
      </c>
      <c r="CL5073">
        <v>0</v>
      </c>
      <c r="CM5073">
        <v>2</v>
      </c>
      <c r="CN5073">
        <v>0</v>
      </c>
      <c r="CO5073">
        <v>7</v>
      </c>
      <c r="CP5073" t="s">
        <v>119</v>
      </c>
      <c r="CQ5073">
        <v>343</v>
      </c>
      <c r="CR5073">
        <v>1</v>
      </c>
      <c r="CW5073">
        <v>11107242</v>
      </c>
      <c r="CY5073">
        <v>1</v>
      </c>
      <c r="CZ5073">
        <v>0</v>
      </c>
      <c r="DA5073">
        <v>1</v>
      </c>
      <c r="DB5073">
        <v>0</v>
      </c>
      <c r="DC5073">
        <v>0</v>
      </c>
      <c r="DD5073">
        <v>1</v>
      </c>
      <c r="DE5073">
        <v>0</v>
      </c>
      <c r="DF5073">
        <v>0</v>
      </c>
      <c r="DG5073">
        <v>0</v>
      </c>
      <c r="DH5073">
        <v>0</v>
      </c>
      <c r="DI5073">
        <v>0</v>
      </c>
    </row>
    <row r="5074" spans="1:113" x14ac:dyDescent="0.3">
      <c r="A5074" t="str">
        <f t="shared" si="2335"/>
        <v>05/12/2020 14:50:17.143</v>
      </c>
      <c r="C5074" t="str">
        <f t="shared" si="2313"/>
        <v>FFDFD3C0</v>
      </c>
      <c r="D5074" t="s">
        <v>126</v>
      </c>
      <c r="E5074">
        <v>6</v>
      </c>
      <c r="F5074">
        <v>1006</v>
      </c>
      <c r="G5074" t="s">
        <v>114</v>
      </c>
      <c r="J5074" t="s">
        <v>128</v>
      </c>
      <c r="K5074">
        <v>0</v>
      </c>
      <c r="L5074">
        <v>3</v>
      </c>
      <c r="M5074">
        <v>0</v>
      </c>
      <c r="N5074">
        <v>2</v>
      </c>
      <c r="O5074">
        <v>1</v>
      </c>
      <c r="P5074">
        <v>0</v>
      </c>
      <c r="Q5074">
        <v>0</v>
      </c>
      <c r="S5074" t="str">
        <f t="shared" si="2336"/>
        <v>14:50:34.945</v>
      </c>
      <c r="T5074" t="str">
        <f t="shared" si="2337"/>
        <v>14:50:34.845</v>
      </c>
      <c r="U5074" t="str">
        <f t="shared" si="2334"/>
        <v>A9808D</v>
      </c>
      <c r="V5074">
        <v>0</v>
      </c>
      <c r="W5074">
        <v>0</v>
      </c>
      <c r="X5074">
        <v>1</v>
      </c>
      <c r="Z5074">
        <v>0</v>
      </c>
      <c r="AA5074">
        <v>9</v>
      </c>
      <c r="AB5074">
        <v>3</v>
      </c>
      <c r="AC5074">
        <v>0</v>
      </c>
      <c r="AD5074">
        <v>10</v>
      </c>
      <c r="AE5074">
        <v>0</v>
      </c>
      <c r="AF5074">
        <v>3</v>
      </c>
      <c r="AG5074">
        <v>2</v>
      </c>
      <c r="AH5074">
        <v>0</v>
      </c>
      <c r="AI5074" t="s">
        <v>174</v>
      </c>
      <c r="AJ5074">
        <v>28.23319</v>
      </c>
      <c r="AK5074" t="s">
        <v>1124</v>
      </c>
      <c r="AL5074">
        <v>-82.371174999999994</v>
      </c>
      <c r="AM5074">
        <v>100</v>
      </c>
      <c r="AN5074">
        <v>2100</v>
      </c>
      <c r="AO5074" t="s">
        <v>118</v>
      </c>
      <c r="AP5074">
        <v>-102</v>
      </c>
      <c r="AQ5074">
        <v>-53</v>
      </c>
      <c r="AR5074">
        <v>-896</v>
      </c>
      <c r="AZ5074">
        <v>1200</v>
      </c>
      <c r="BA5074">
        <v>1</v>
      </c>
      <c r="BB5074" t="str">
        <f t="shared" si="2314"/>
        <v xml:space="preserve">N711JA  </v>
      </c>
      <c r="BC5074">
        <v>1</v>
      </c>
      <c r="BE5074">
        <v>0</v>
      </c>
      <c r="BF5074">
        <v>0</v>
      </c>
      <c r="BG5074">
        <v>0</v>
      </c>
      <c r="BH5074">
        <v>2175</v>
      </c>
      <c r="BI5074">
        <v>1</v>
      </c>
      <c r="BJ5074">
        <v>1</v>
      </c>
      <c r="BK5074">
        <v>0</v>
      </c>
      <c r="BL5074">
        <v>0</v>
      </c>
      <c r="BO5074">
        <v>0</v>
      </c>
      <c r="BP5074">
        <v>0</v>
      </c>
      <c r="BW5074" t="str">
        <f t="shared" si="2338"/>
        <v>14:50:34.952</v>
      </c>
      <c r="CJ5074">
        <v>0</v>
      </c>
      <c r="CK5074">
        <v>2</v>
      </c>
      <c r="CL5074">
        <v>0</v>
      </c>
      <c r="CM5074">
        <v>2</v>
      </c>
      <c r="CN5074">
        <v>0</v>
      </c>
      <c r="CO5074">
        <v>7</v>
      </c>
      <c r="CP5074" t="s">
        <v>119</v>
      </c>
      <c r="CQ5074">
        <v>343</v>
      </c>
      <c r="CR5074">
        <v>1</v>
      </c>
      <c r="CW5074">
        <v>11107242</v>
      </c>
      <c r="CY5074">
        <v>1</v>
      </c>
      <c r="CZ5074">
        <v>0</v>
      </c>
      <c r="DA5074">
        <v>1</v>
      </c>
      <c r="DB5074">
        <v>0</v>
      </c>
      <c r="DC5074">
        <v>0</v>
      </c>
      <c r="DD5074">
        <v>1</v>
      </c>
      <c r="DE5074">
        <v>0</v>
      </c>
      <c r="DF5074">
        <v>0</v>
      </c>
      <c r="DG5074">
        <v>0</v>
      </c>
      <c r="DH5074">
        <v>0</v>
      </c>
      <c r="DI5074">
        <v>0</v>
      </c>
    </row>
    <row r="5075" spans="1:113" x14ac:dyDescent="0.3">
      <c r="A5075" t="str">
        <f t="shared" ref="A5075:A5083" si="2339">"05/12/2020 14:50:18.152"</f>
        <v>05/12/2020 14:50:18.152</v>
      </c>
      <c r="C5075" t="str">
        <f t="shared" si="2313"/>
        <v>FFDFD3C0</v>
      </c>
      <c r="D5075" t="s">
        <v>113</v>
      </c>
      <c r="E5075">
        <v>3</v>
      </c>
      <c r="H5075">
        <v>164</v>
      </c>
      <c r="I5075" t="s">
        <v>114</v>
      </c>
      <c r="J5075" t="s">
        <v>115</v>
      </c>
      <c r="K5075">
        <v>0</v>
      </c>
      <c r="L5075">
        <v>3</v>
      </c>
      <c r="M5075">
        <v>0</v>
      </c>
      <c r="N5075">
        <v>2</v>
      </c>
      <c r="O5075">
        <v>1</v>
      </c>
      <c r="P5075">
        <v>0</v>
      </c>
      <c r="Q5075">
        <v>0</v>
      </c>
      <c r="S5075" t="str">
        <f t="shared" ref="S5075:S5083" si="2340">"14:50:35.992"</f>
        <v>14:50:35.992</v>
      </c>
      <c r="T5075" t="str">
        <f t="shared" ref="T5075:T5083" si="2341">"14:50:35.792"</f>
        <v>14:50:35.792</v>
      </c>
      <c r="U5075" t="str">
        <f t="shared" si="2334"/>
        <v>A9808D</v>
      </c>
      <c r="V5075">
        <v>0</v>
      </c>
      <c r="W5075">
        <v>0</v>
      </c>
      <c r="X5075">
        <v>1</v>
      </c>
      <c r="Z5075">
        <v>0</v>
      </c>
      <c r="AA5075">
        <v>9</v>
      </c>
      <c r="AB5075">
        <v>3</v>
      </c>
      <c r="AC5075">
        <v>0</v>
      </c>
      <c r="AD5075">
        <v>10</v>
      </c>
      <c r="AE5075">
        <v>0</v>
      </c>
      <c r="AF5075">
        <v>3</v>
      </c>
      <c r="AG5075">
        <v>2</v>
      </c>
      <c r="AH5075">
        <v>0</v>
      </c>
      <c r="AI5075" t="s">
        <v>1125</v>
      </c>
      <c r="AJ5075">
        <v>28.232932000000002</v>
      </c>
      <c r="AK5075" t="s">
        <v>1126</v>
      </c>
      <c r="AL5075">
        <v>-82.371733000000006</v>
      </c>
      <c r="AM5075">
        <v>100</v>
      </c>
      <c r="AN5075">
        <v>2100</v>
      </c>
      <c r="AO5075" t="s">
        <v>118</v>
      </c>
      <c r="AP5075">
        <v>-102</v>
      </c>
      <c r="AQ5075">
        <v>-53</v>
      </c>
      <c r="AR5075">
        <v>-960</v>
      </c>
      <c r="AZ5075">
        <v>1200</v>
      </c>
      <c r="BA5075">
        <v>1</v>
      </c>
      <c r="BB5075" t="str">
        <f t="shared" si="2314"/>
        <v xml:space="preserve">N711JA  </v>
      </c>
      <c r="BC5075">
        <v>1</v>
      </c>
      <c r="BE5075">
        <v>0</v>
      </c>
      <c r="BF5075">
        <v>0</v>
      </c>
      <c r="BG5075">
        <v>0</v>
      </c>
      <c r="BH5075">
        <v>2175</v>
      </c>
      <c r="BI5075">
        <v>1</v>
      </c>
      <c r="BJ5075">
        <v>1</v>
      </c>
      <c r="BK5075">
        <v>0</v>
      </c>
      <c r="BL5075">
        <v>0</v>
      </c>
      <c r="BO5075">
        <v>0</v>
      </c>
      <c r="BP5075">
        <v>0</v>
      </c>
      <c r="BW5075" t="str">
        <f t="shared" ref="BW5075:BW5083" si="2342">"14:50:35.993"</f>
        <v>14:50:35.993</v>
      </c>
      <c r="CJ5075">
        <v>0</v>
      </c>
      <c r="CK5075">
        <v>2</v>
      </c>
      <c r="CL5075">
        <v>0</v>
      </c>
      <c r="CM5075">
        <v>2</v>
      </c>
      <c r="CN5075">
        <v>0</v>
      </c>
      <c r="CO5075">
        <v>7</v>
      </c>
      <c r="CP5075" t="s">
        <v>119</v>
      </c>
      <c r="CQ5075">
        <v>343</v>
      </c>
      <c r="CR5075">
        <v>1</v>
      </c>
      <c r="CW5075">
        <v>11108333</v>
      </c>
      <c r="CY5075">
        <v>1</v>
      </c>
      <c r="CZ5075">
        <v>0</v>
      </c>
      <c r="DA5075">
        <v>0</v>
      </c>
      <c r="DB5075">
        <v>0</v>
      </c>
      <c r="DC5075">
        <v>0</v>
      </c>
      <c r="DD5075">
        <v>1</v>
      </c>
      <c r="DE5075">
        <v>0</v>
      </c>
      <c r="DF5075">
        <v>0</v>
      </c>
      <c r="DG5075">
        <v>0</v>
      </c>
      <c r="DH5075">
        <v>0</v>
      </c>
      <c r="DI5075">
        <v>0</v>
      </c>
    </row>
    <row r="5076" spans="1:113" x14ac:dyDescent="0.3">
      <c r="A5076" t="str">
        <f t="shared" si="2339"/>
        <v>05/12/2020 14:50:18.152</v>
      </c>
      <c r="C5076" t="str">
        <f t="shared" si="2313"/>
        <v>FFDFD3C0</v>
      </c>
      <c r="D5076" t="s">
        <v>126</v>
      </c>
      <c r="E5076">
        <v>7</v>
      </c>
      <c r="F5076">
        <v>1007</v>
      </c>
      <c r="G5076" t="s">
        <v>127</v>
      </c>
      <c r="J5076" t="s">
        <v>128</v>
      </c>
      <c r="K5076">
        <v>0</v>
      </c>
      <c r="L5076">
        <v>3</v>
      </c>
      <c r="M5076">
        <v>0</v>
      </c>
      <c r="N5076">
        <v>2</v>
      </c>
      <c r="O5076">
        <v>1</v>
      </c>
      <c r="P5076">
        <v>0</v>
      </c>
      <c r="Q5076">
        <v>0</v>
      </c>
      <c r="S5076" t="str">
        <f t="shared" si="2340"/>
        <v>14:50:35.992</v>
      </c>
      <c r="T5076" t="str">
        <f t="shared" si="2341"/>
        <v>14:50:35.792</v>
      </c>
      <c r="U5076" t="str">
        <f t="shared" si="2334"/>
        <v>A9808D</v>
      </c>
      <c r="V5076">
        <v>0</v>
      </c>
      <c r="W5076">
        <v>0</v>
      </c>
      <c r="X5076">
        <v>1</v>
      </c>
      <c r="Z5076">
        <v>0</v>
      </c>
      <c r="AA5076">
        <v>9</v>
      </c>
      <c r="AB5076">
        <v>3</v>
      </c>
      <c r="AC5076">
        <v>0</v>
      </c>
      <c r="AD5076">
        <v>10</v>
      </c>
      <c r="AE5076">
        <v>0</v>
      </c>
      <c r="AF5076">
        <v>3</v>
      </c>
      <c r="AG5076">
        <v>2</v>
      </c>
      <c r="AH5076">
        <v>0</v>
      </c>
      <c r="AI5076" t="s">
        <v>1125</v>
      </c>
      <c r="AJ5076">
        <v>28.232932000000002</v>
      </c>
      <c r="AK5076" t="s">
        <v>1126</v>
      </c>
      <c r="AL5076">
        <v>-82.371733000000006</v>
      </c>
      <c r="AM5076">
        <v>100</v>
      </c>
      <c r="AN5076">
        <v>2100</v>
      </c>
      <c r="AO5076" t="s">
        <v>118</v>
      </c>
      <c r="AP5076">
        <v>-102</v>
      </c>
      <c r="AQ5076">
        <v>-53</v>
      </c>
      <c r="AR5076">
        <v>-960</v>
      </c>
      <c r="AZ5076">
        <v>1200</v>
      </c>
      <c r="BA5076">
        <v>1</v>
      </c>
      <c r="BB5076" t="str">
        <f t="shared" si="2314"/>
        <v xml:space="preserve">N711JA  </v>
      </c>
      <c r="BC5076">
        <v>1</v>
      </c>
      <c r="BE5076">
        <v>0</v>
      </c>
      <c r="BF5076">
        <v>0</v>
      </c>
      <c r="BG5076">
        <v>0</v>
      </c>
      <c r="BH5076">
        <v>2175</v>
      </c>
      <c r="BI5076">
        <v>1</v>
      </c>
      <c r="BJ5076">
        <v>1</v>
      </c>
      <c r="BK5076">
        <v>0</v>
      </c>
      <c r="BL5076">
        <v>0</v>
      </c>
      <c r="BO5076">
        <v>0</v>
      </c>
      <c r="BP5076">
        <v>0</v>
      </c>
      <c r="BW5076" t="str">
        <f t="shared" si="2342"/>
        <v>14:50:35.993</v>
      </c>
      <c r="CJ5076">
        <v>0</v>
      </c>
      <c r="CK5076">
        <v>2</v>
      </c>
      <c r="CL5076">
        <v>0</v>
      </c>
      <c r="CM5076">
        <v>2</v>
      </c>
      <c r="CN5076">
        <v>0</v>
      </c>
      <c r="CO5076">
        <v>7</v>
      </c>
      <c r="CP5076" t="s">
        <v>119</v>
      </c>
      <c r="CQ5076">
        <v>343</v>
      </c>
      <c r="CR5076">
        <v>1</v>
      </c>
      <c r="CW5076">
        <v>11108333</v>
      </c>
      <c r="CY5076">
        <v>1</v>
      </c>
      <c r="CZ5076">
        <v>0</v>
      </c>
      <c r="DA5076">
        <v>1</v>
      </c>
      <c r="DB5076">
        <v>0</v>
      </c>
      <c r="DC5076">
        <v>0</v>
      </c>
      <c r="DD5076">
        <v>1</v>
      </c>
      <c r="DE5076">
        <v>0</v>
      </c>
      <c r="DF5076">
        <v>0</v>
      </c>
      <c r="DG5076">
        <v>0</v>
      </c>
      <c r="DH5076">
        <v>0</v>
      </c>
      <c r="DI5076">
        <v>0</v>
      </c>
    </row>
    <row r="5077" spans="1:113" x14ac:dyDescent="0.3">
      <c r="A5077" t="str">
        <f t="shared" si="2339"/>
        <v>05/12/2020 14:50:18.152</v>
      </c>
      <c r="C5077" t="str">
        <f t="shared" si="2313"/>
        <v>FFDFD3C0</v>
      </c>
      <c r="D5077" t="s">
        <v>131</v>
      </c>
      <c r="E5077">
        <v>10</v>
      </c>
      <c r="F5077">
        <v>2010</v>
      </c>
      <c r="G5077" t="s">
        <v>132</v>
      </c>
      <c r="J5077" t="s">
        <v>133</v>
      </c>
      <c r="K5077">
        <v>0</v>
      </c>
      <c r="L5077">
        <v>3</v>
      </c>
      <c r="M5077">
        <v>0</v>
      </c>
      <c r="N5077">
        <v>2</v>
      </c>
      <c r="O5077">
        <v>1</v>
      </c>
      <c r="P5077">
        <v>0</v>
      </c>
      <c r="Q5077">
        <v>0</v>
      </c>
      <c r="S5077" t="str">
        <f t="shared" si="2340"/>
        <v>14:50:35.992</v>
      </c>
      <c r="T5077" t="str">
        <f t="shared" si="2341"/>
        <v>14:50:35.792</v>
      </c>
      <c r="U5077" t="str">
        <f t="shared" si="2334"/>
        <v>A9808D</v>
      </c>
      <c r="V5077">
        <v>0</v>
      </c>
      <c r="W5077">
        <v>0</v>
      </c>
      <c r="X5077">
        <v>1</v>
      </c>
      <c r="Z5077">
        <v>0</v>
      </c>
      <c r="AA5077">
        <v>9</v>
      </c>
      <c r="AB5077">
        <v>3</v>
      </c>
      <c r="AC5077">
        <v>0</v>
      </c>
      <c r="AD5077">
        <v>10</v>
      </c>
      <c r="AE5077">
        <v>0</v>
      </c>
      <c r="AF5077">
        <v>3</v>
      </c>
      <c r="AG5077">
        <v>2</v>
      </c>
      <c r="AH5077">
        <v>0</v>
      </c>
      <c r="AI5077" t="s">
        <v>1125</v>
      </c>
      <c r="AJ5077">
        <v>28.232932000000002</v>
      </c>
      <c r="AK5077" t="s">
        <v>1126</v>
      </c>
      <c r="AL5077">
        <v>-82.371733000000006</v>
      </c>
      <c r="AM5077">
        <v>100</v>
      </c>
      <c r="AN5077">
        <v>2100</v>
      </c>
      <c r="AO5077" t="s">
        <v>118</v>
      </c>
      <c r="AP5077">
        <v>-102</v>
      </c>
      <c r="AQ5077">
        <v>-53</v>
      </c>
      <c r="AR5077">
        <v>-960</v>
      </c>
      <c r="AZ5077">
        <v>1200</v>
      </c>
      <c r="BA5077">
        <v>1</v>
      </c>
      <c r="BB5077" t="str">
        <f t="shared" si="2314"/>
        <v xml:space="preserve">N711JA  </v>
      </c>
      <c r="BC5077">
        <v>1</v>
      </c>
      <c r="BE5077">
        <v>0</v>
      </c>
      <c r="BF5077">
        <v>0</v>
      </c>
      <c r="BG5077">
        <v>0</v>
      </c>
      <c r="BH5077">
        <v>2175</v>
      </c>
      <c r="BI5077">
        <v>1</v>
      </c>
      <c r="BJ5077">
        <v>1</v>
      </c>
      <c r="BK5077">
        <v>0</v>
      </c>
      <c r="BL5077">
        <v>0</v>
      </c>
      <c r="BO5077">
        <v>0</v>
      </c>
      <c r="BP5077">
        <v>0</v>
      </c>
      <c r="BW5077" t="str">
        <f t="shared" si="2342"/>
        <v>14:50:35.993</v>
      </c>
      <c r="CJ5077">
        <v>0</v>
      </c>
      <c r="CK5077">
        <v>2</v>
      </c>
      <c r="CL5077">
        <v>0</v>
      </c>
      <c r="CM5077">
        <v>2</v>
      </c>
      <c r="CN5077">
        <v>0</v>
      </c>
      <c r="CO5077">
        <v>7</v>
      </c>
      <c r="CP5077" t="s">
        <v>119</v>
      </c>
      <c r="CQ5077">
        <v>343</v>
      </c>
      <c r="CR5077">
        <v>1</v>
      </c>
      <c r="CW5077">
        <v>11108333</v>
      </c>
      <c r="CY5077">
        <v>1</v>
      </c>
      <c r="CZ5077">
        <v>0</v>
      </c>
      <c r="DA5077">
        <v>1</v>
      </c>
      <c r="DB5077">
        <v>0</v>
      </c>
      <c r="DC5077">
        <v>0</v>
      </c>
      <c r="DD5077">
        <v>1</v>
      </c>
      <c r="DE5077">
        <v>0</v>
      </c>
      <c r="DF5077">
        <v>0</v>
      </c>
      <c r="DG5077">
        <v>0</v>
      </c>
      <c r="DH5077">
        <v>0</v>
      </c>
      <c r="DI5077">
        <v>0</v>
      </c>
    </row>
    <row r="5078" spans="1:113" x14ac:dyDescent="0.3">
      <c r="A5078" t="str">
        <f t="shared" si="2339"/>
        <v>05/12/2020 14:50:18.152</v>
      </c>
      <c r="C5078" t="str">
        <f t="shared" ref="C5078:C5141" si="2343">"FFDFD3C0"</f>
        <v>FFDFD3C0</v>
      </c>
      <c r="D5078" t="s">
        <v>131</v>
      </c>
      <c r="E5078">
        <v>12</v>
      </c>
      <c r="F5078">
        <v>2012</v>
      </c>
      <c r="G5078" t="s">
        <v>137</v>
      </c>
      <c r="J5078" t="s">
        <v>133</v>
      </c>
      <c r="K5078">
        <v>0</v>
      </c>
      <c r="L5078">
        <v>3</v>
      </c>
      <c r="M5078">
        <v>0</v>
      </c>
      <c r="N5078">
        <v>2</v>
      </c>
      <c r="O5078">
        <v>1</v>
      </c>
      <c r="P5078">
        <v>0</v>
      </c>
      <c r="Q5078">
        <v>0</v>
      </c>
      <c r="S5078" t="str">
        <f t="shared" si="2340"/>
        <v>14:50:35.992</v>
      </c>
      <c r="T5078" t="str">
        <f t="shared" si="2341"/>
        <v>14:50:35.792</v>
      </c>
      <c r="U5078" t="str">
        <f t="shared" si="2334"/>
        <v>A9808D</v>
      </c>
      <c r="V5078">
        <v>0</v>
      </c>
      <c r="W5078">
        <v>0</v>
      </c>
      <c r="X5078">
        <v>1</v>
      </c>
      <c r="Z5078">
        <v>0</v>
      </c>
      <c r="AA5078">
        <v>9</v>
      </c>
      <c r="AB5078">
        <v>3</v>
      </c>
      <c r="AC5078">
        <v>0</v>
      </c>
      <c r="AD5078">
        <v>10</v>
      </c>
      <c r="AE5078">
        <v>0</v>
      </c>
      <c r="AF5078">
        <v>3</v>
      </c>
      <c r="AG5078">
        <v>2</v>
      </c>
      <c r="AH5078">
        <v>0</v>
      </c>
      <c r="AI5078" t="s">
        <v>1125</v>
      </c>
      <c r="AJ5078">
        <v>28.232932000000002</v>
      </c>
      <c r="AK5078" t="s">
        <v>1126</v>
      </c>
      <c r="AL5078">
        <v>-82.371733000000006</v>
      </c>
      <c r="AM5078">
        <v>100</v>
      </c>
      <c r="AN5078">
        <v>2100</v>
      </c>
      <c r="AO5078" t="s">
        <v>118</v>
      </c>
      <c r="AP5078">
        <v>-102</v>
      </c>
      <c r="AQ5078">
        <v>-53</v>
      </c>
      <c r="AR5078">
        <v>-960</v>
      </c>
      <c r="AZ5078">
        <v>1200</v>
      </c>
      <c r="BA5078">
        <v>1</v>
      </c>
      <c r="BB5078" t="str">
        <f t="shared" ref="BB5078:BB5141" si="2344">"N711JA  "</f>
        <v xml:space="preserve">N711JA  </v>
      </c>
      <c r="BC5078">
        <v>1</v>
      </c>
      <c r="BE5078">
        <v>0</v>
      </c>
      <c r="BF5078">
        <v>0</v>
      </c>
      <c r="BG5078">
        <v>0</v>
      </c>
      <c r="BH5078">
        <v>2175</v>
      </c>
      <c r="BI5078">
        <v>1</v>
      </c>
      <c r="BJ5078">
        <v>1</v>
      </c>
      <c r="BK5078">
        <v>0</v>
      </c>
      <c r="BL5078">
        <v>0</v>
      </c>
      <c r="BO5078">
        <v>0</v>
      </c>
      <c r="BP5078">
        <v>0</v>
      </c>
      <c r="BW5078" t="str">
        <f t="shared" si="2342"/>
        <v>14:50:35.993</v>
      </c>
      <c r="CJ5078">
        <v>0</v>
      </c>
      <c r="CK5078">
        <v>2</v>
      </c>
      <c r="CL5078">
        <v>0</v>
      </c>
      <c r="CM5078">
        <v>2</v>
      </c>
      <c r="CN5078">
        <v>0</v>
      </c>
      <c r="CO5078">
        <v>7</v>
      </c>
      <c r="CP5078" t="s">
        <v>119</v>
      </c>
      <c r="CQ5078">
        <v>343</v>
      </c>
      <c r="CR5078">
        <v>1</v>
      </c>
      <c r="CW5078">
        <v>11108333</v>
      </c>
      <c r="CY5078">
        <v>1</v>
      </c>
      <c r="CZ5078">
        <v>0</v>
      </c>
      <c r="DA5078">
        <v>1</v>
      </c>
      <c r="DB5078">
        <v>0</v>
      </c>
      <c r="DC5078">
        <v>0</v>
      </c>
      <c r="DD5078">
        <v>1</v>
      </c>
      <c r="DE5078">
        <v>0</v>
      </c>
      <c r="DF5078">
        <v>0</v>
      </c>
      <c r="DG5078">
        <v>0</v>
      </c>
      <c r="DH5078">
        <v>0</v>
      </c>
      <c r="DI5078">
        <v>0</v>
      </c>
    </row>
    <row r="5079" spans="1:113" x14ac:dyDescent="0.3">
      <c r="A5079" t="str">
        <f t="shared" si="2339"/>
        <v>05/12/2020 14:50:18.152</v>
      </c>
      <c r="C5079" t="str">
        <f t="shared" si="2343"/>
        <v>FFDFD3C0</v>
      </c>
      <c r="D5079" t="s">
        <v>138</v>
      </c>
      <c r="E5079">
        <v>2</v>
      </c>
      <c r="H5079">
        <v>8</v>
      </c>
      <c r="I5079" t="s">
        <v>139</v>
      </c>
      <c r="J5079" t="s">
        <v>136</v>
      </c>
      <c r="K5079">
        <v>0</v>
      </c>
      <c r="L5079">
        <v>3</v>
      </c>
      <c r="M5079">
        <v>0</v>
      </c>
      <c r="N5079">
        <v>2</v>
      </c>
      <c r="O5079">
        <v>1</v>
      </c>
      <c r="P5079">
        <v>0</v>
      </c>
      <c r="Q5079">
        <v>0</v>
      </c>
      <c r="S5079" t="str">
        <f t="shared" si="2340"/>
        <v>14:50:35.992</v>
      </c>
      <c r="T5079" t="str">
        <f t="shared" si="2341"/>
        <v>14:50:35.792</v>
      </c>
      <c r="U5079" t="str">
        <f t="shared" si="2334"/>
        <v>A9808D</v>
      </c>
      <c r="V5079">
        <v>0</v>
      </c>
      <c r="W5079">
        <v>0</v>
      </c>
      <c r="X5079">
        <v>1</v>
      </c>
      <c r="Z5079">
        <v>0</v>
      </c>
      <c r="AA5079">
        <v>9</v>
      </c>
      <c r="AB5079">
        <v>3</v>
      </c>
      <c r="AC5079">
        <v>0</v>
      </c>
      <c r="AD5079">
        <v>10</v>
      </c>
      <c r="AE5079">
        <v>0</v>
      </c>
      <c r="AF5079">
        <v>3</v>
      </c>
      <c r="AG5079">
        <v>2</v>
      </c>
      <c r="AH5079">
        <v>0</v>
      </c>
      <c r="AI5079" t="s">
        <v>1125</v>
      </c>
      <c r="AJ5079">
        <v>28.232932000000002</v>
      </c>
      <c r="AK5079" t="s">
        <v>1126</v>
      </c>
      <c r="AL5079">
        <v>-82.371733000000006</v>
      </c>
      <c r="AM5079">
        <v>100</v>
      </c>
      <c r="AN5079">
        <v>2100</v>
      </c>
      <c r="AO5079" t="s">
        <v>118</v>
      </c>
      <c r="AP5079">
        <v>-102</v>
      </c>
      <c r="AQ5079">
        <v>-53</v>
      </c>
      <c r="AR5079">
        <v>-960</v>
      </c>
      <c r="AZ5079">
        <v>1200</v>
      </c>
      <c r="BA5079">
        <v>1</v>
      </c>
      <c r="BB5079" t="str">
        <f t="shared" si="2344"/>
        <v xml:space="preserve">N711JA  </v>
      </c>
      <c r="BC5079">
        <v>1</v>
      </c>
      <c r="BE5079">
        <v>0</v>
      </c>
      <c r="BF5079">
        <v>0</v>
      </c>
      <c r="BG5079">
        <v>0</v>
      </c>
      <c r="BH5079">
        <v>2175</v>
      </c>
      <c r="BI5079">
        <v>1</v>
      </c>
      <c r="BJ5079">
        <v>1</v>
      </c>
      <c r="BK5079">
        <v>0</v>
      </c>
      <c r="BL5079">
        <v>0</v>
      </c>
      <c r="BO5079">
        <v>0</v>
      </c>
      <c r="BP5079">
        <v>0</v>
      </c>
      <c r="BW5079" t="str">
        <f t="shared" si="2342"/>
        <v>14:50:35.993</v>
      </c>
      <c r="CJ5079">
        <v>0</v>
      </c>
      <c r="CK5079">
        <v>2</v>
      </c>
      <c r="CL5079">
        <v>0</v>
      </c>
      <c r="CM5079">
        <v>2</v>
      </c>
      <c r="CN5079">
        <v>0</v>
      </c>
      <c r="CO5079">
        <v>7</v>
      </c>
      <c r="CP5079" t="s">
        <v>119</v>
      </c>
      <c r="CQ5079">
        <v>343</v>
      </c>
      <c r="CR5079">
        <v>1</v>
      </c>
      <c r="CW5079">
        <v>11108333</v>
      </c>
      <c r="CY5079">
        <v>1</v>
      </c>
      <c r="CZ5079">
        <v>0</v>
      </c>
      <c r="DA5079">
        <v>1</v>
      </c>
      <c r="DB5079">
        <v>0</v>
      </c>
      <c r="DC5079">
        <v>0</v>
      </c>
      <c r="DD5079">
        <v>1</v>
      </c>
      <c r="DE5079">
        <v>0</v>
      </c>
      <c r="DF5079">
        <v>0</v>
      </c>
      <c r="DG5079">
        <v>0</v>
      </c>
      <c r="DH5079">
        <v>0</v>
      </c>
      <c r="DI5079">
        <v>0</v>
      </c>
    </row>
    <row r="5080" spans="1:113" x14ac:dyDescent="0.3">
      <c r="A5080" t="str">
        <f t="shared" si="2339"/>
        <v>05/12/2020 14:50:18.152</v>
      </c>
      <c r="C5080" t="str">
        <f t="shared" si="2343"/>
        <v>FFDFD3C0</v>
      </c>
      <c r="D5080" t="s">
        <v>138</v>
      </c>
      <c r="E5080">
        <v>3</v>
      </c>
      <c r="H5080">
        <v>9</v>
      </c>
      <c r="I5080" t="s">
        <v>140</v>
      </c>
      <c r="J5080" t="s">
        <v>136</v>
      </c>
      <c r="K5080">
        <v>0</v>
      </c>
      <c r="L5080">
        <v>3</v>
      </c>
      <c r="M5080">
        <v>0</v>
      </c>
      <c r="N5080">
        <v>2</v>
      </c>
      <c r="O5080">
        <v>1</v>
      </c>
      <c r="P5080">
        <v>0</v>
      </c>
      <c r="Q5080">
        <v>0</v>
      </c>
      <c r="S5080" t="str">
        <f t="shared" si="2340"/>
        <v>14:50:35.992</v>
      </c>
      <c r="T5080" t="str">
        <f t="shared" si="2341"/>
        <v>14:50:35.792</v>
      </c>
      <c r="U5080" t="str">
        <f t="shared" si="2334"/>
        <v>A9808D</v>
      </c>
      <c r="V5080">
        <v>0</v>
      </c>
      <c r="W5080">
        <v>0</v>
      </c>
      <c r="X5080">
        <v>1</v>
      </c>
      <c r="Z5080">
        <v>0</v>
      </c>
      <c r="AA5080">
        <v>9</v>
      </c>
      <c r="AB5080">
        <v>3</v>
      </c>
      <c r="AC5080">
        <v>0</v>
      </c>
      <c r="AD5080">
        <v>10</v>
      </c>
      <c r="AE5080">
        <v>0</v>
      </c>
      <c r="AF5080">
        <v>3</v>
      </c>
      <c r="AG5080">
        <v>2</v>
      </c>
      <c r="AH5080">
        <v>0</v>
      </c>
      <c r="AI5080" t="s">
        <v>1125</v>
      </c>
      <c r="AJ5080">
        <v>28.232932000000002</v>
      </c>
      <c r="AK5080" t="s">
        <v>1126</v>
      </c>
      <c r="AL5080">
        <v>-82.371733000000006</v>
      </c>
      <c r="AM5080">
        <v>100</v>
      </c>
      <c r="AN5080">
        <v>2100</v>
      </c>
      <c r="AO5080" t="s">
        <v>118</v>
      </c>
      <c r="AP5080">
        <v>-102</v>
      </c>
      <c r="AQ5080">
        <v>-53</v>
      </c>
      <c r="AR5080">
        <v>-960</v>
      </c>
      <c r="AZ5080">
        <v>1200</v>
      </c>
      <c r="BA5080">
        <v>1</v>
      </c>
      <c r="BB5080" t="str">
        <f t="shared" si="2344"/>
        <v xml:space="preserve">N711JA  </v>
      </c>
      <c r="BC5080">
        <v>1</v>
      </c>
      <c r="BE5080">
        <v>0</v>
      </c>
      <c r="BF5080">
        <v>0</v>
      </c>
      <c r="BG5080">
        <v>0</v>
      </c>
      <c r="BH5080">
        <v>2175</v>
      </c>
      <c r="BI5080">
        <v>1</v>
      </c>
      <c r="BJ5080">
        <v>1</v>
      </c>
      <c r="BK5080">
        <v>0</v>
      </c>
      <c r="BL5080">
        <v>0</v>
      </c>
      <c r="BO5080">
        <v>0</v>
      </c>
      <c r="BP5080">
        <v>0</v>
      </c>
      <c r="BW5080" t="str">
        <f t="shared" si="2342"/>
        <v>14:50:35.993</v>
      </c>
      <c r="CJ5080">
        <v>0</v>
      </c>
      <c r="CK5080">
        <v>2</v>
      </c>
      <c r="CL5080">
        <v>0</v>
      </c>
      <c r="CM5080">
        <v>2</v>
      </c>
      <c r="CN5080">
        <v>0</v>
      </c>
      <c r="CO5080">
        <v>7</v>
      </c>
      <c r="CP5080" t="s">
        <v>119</v>
      </c>
      <c r="CQ5080">
        <v>343</v>
      </c>
      <c r="CR5080">
        <v>1</v>
      </c>
      <c r="CW5080">
        <v>11108333</v>
      </c>
      <c r="CY5080">
        <v>1</v>
      </c>
      <c r="CZ5080">
        <v>0</v>
      </c>
      <c r="DA5080">
        <v>1</v>
      </c>
      <c r="DB5080">
        <v>0</v>
      </c>
      <c r="DC5080">
        <v>0</v>
      </c>
      <c r="DD5080">
        <v>1</v>
      </c>
      <c r="DE5080">
        <v>0</v>
      </c>
      <c r="DF5080">
        <v>0</v>
      </c>
      <c r="DG5080">
        <v>0</v>
      </c>
      <c r="DH5080">
        <v>0</v>
      </c>
      <c r="DI5080">
        <v>0</v>
      </c>
    </row>
    <row r="5081" spans="1:113" x14ac:dyDescent="0.3">
      <c r="A5081" t="str">
        <f t="shared" si="2339"/>
        <v>05/12/2020 14:50:18.152</v>
      </c>
      <c r="C5081" t="str">
        <f t="shared" si="2343"/>
        <v>FFDFD3C0</v>
      </c>
      <c r="D5081" t="s">
        <v>131</v>
      </c>
      <c r="E5081">
        <v>18</v>
      </c>
      <c r="F5081">
        <v>2018</v>
      </c>
      <c r="G5081" t="s">
        <v>161</v>
      </c>
      <c r="J5081" t="s">
        <v>133</v>
      </c>
      <c r="K5081">
        <v>0</v>
      </c>
      <c r="L5081">
        <v>3</v>
      </c>
      <c r="M5081">
        <v>0</v>
      </c>
      <c r="N5081">
        <v>2</v>
      </c>
      <c r="O5081">
        <v>1</v>
      </c>
      <c r="P5081">
        <v>0</v>
      </c>
      <c r="Q5081">
        <v>0</v>
      </c>
      <c r="S5081" t="str">
        <f t="shared" si="2340"/>
        <v>14:50:35.992</v>
      </c>
      <c r="T5081" t="str">
        <f t="shared" si="2341"/>
        <v>14:50:35.792</v>
      </c>
      <c r="U5081" t="str">
        <f t="shared" si="2334"/>
        <v>A9808D</v>
      </c>
      <c r="V5081">
        <v>0</v>
      </c>
      <c r="W5081">
        <v>0</v>
      </c>
      <c r="X5081">
        <v>1</v>
      </c>
      <c r="Z5081">
        <v>0</v>
      </c>
      <c r="AA5081">
        <v>9</v>
      </c>
      <c r="AB5081">
        <v>3</v>
      </c>
      <c r="AC5081">
        <v>0</v>
      </c>
      <c r="AD5081">
        <v>10</v>
      </c>
      <c r="AE5081">
        <v>0</v>
      </c>
      <c r="AF5081">
        <v>3</v>
      </c>
      <c r="AG5081">
        <v>2</v>
      </c>
      <c r="AH5081">
        <v>0</v>
      </c>
      <c r="AI5081" t="s">
        <v>1125</v>
      </c>
      <c r="AJ5081">
        <v>28.232932000000002</v>
      </c>
      <c r="AK5081" t="s">
        <v>1126</v>
      </c>
      <c r="AL5081">
        <v>-82.371733000000006</v>
      </c>
      <c r="AM5081">
        <v>100</v>
      </c>
      <c r="AN5081">
        <v>2100</v>
      </c>
      <c r="AO5081" t="s">
        <v>118</v>
      </c>
      <c r="AP5081">
        <v>-102</v>
      </c>
      <c r="AQ5081">
        <v>-53</v>
      </c>
      <c r="AR5081">
        <v>-960</v>
      </c>
      <c r="AZ5081">
        <v>1200</v>
      </c>
      <c r="BA5081">
        <v>1</v>
      </c>
      <c r="BB5081" t="str">
        <f t="shared" si="2344"/>
        <v xml:space="preserve">N711JA  </v>
      </c>
      <c r="BC5081">
        <v>1</v>
      </c>
      <c r="BE5081">
        <v>0</v>
      </c>
      <c r="BF5081">
        <v>0</v>
      </c>
      <c r="BG5081">
        <v>0</v>
      </c>
      <c r="BH5081">
        <v>2175</v>
      </c>
      <c r="BI5081">
        <v>1</v>
      </c>
      <c r="BJ5081">
        <v>1</v>
      </c>
      <c r="BK5081">
        <v>0</v>
      </c>
      <c r="BL5081">
        <v>0</v>
      </c>
      <c r="BO5081">
        <v>0</v>
      </c>
      <c r="BP5081">
        <v>0</v>
      </c>
      <c r="BW5081" t="str">
        <f t="shared" si="2342"/>
        <v>14:50:35.993</v>
      </c>
      <c r="CJ5081">
        <v>0</v>
      </c>
      <c r="CK5081">
        <v>2</v>
      </c>
      <c r="CL5081">
        <v>0</v>
      </c>
      <c r="CM5081">
        <v>2</v>
      </c>
      <c r="CN5081">
        <v>0</v>
      </c>
      <c r="CO5081">
        <v>7</v>
      </c>
      <c r="CP5081" t="s">
        <v>119</v>
      </c>
      <c r="CQ5081">
        <v>343</v>
      </c>
      <c r="CR5081">
        <v>1</v>
      </c>
      <c r="CW5081">
        <v>11108333</v>
      </c>
      <c r="CY5081">
        <v>1</v>
      </c>
      <c r="CZ5081">
        <v>0</v>
      </c>
      <c r="DA5081">
        <v>1</v>
      </c>
      <c r="DB5081">
        <v>0</v>
      </c>
      <c r="DC5081">
        <v>0</v>
      </c>
      <c r="DD5081">
        <v>1</v>
      </c>
      <c r="DE5081">
        <v>0</v>
      </c>
      <c r="DF5081">
        <v>0</v>
      </c>
      <c r="DG5081">
        <v>0</v>
      </c>
      <c r="DH5081">
        <v>0</v>
      </c>
      <c r="DI5081">
        <v>0</v>
      </c>
    </row>
    <row r="5082" spans="1:113" x14ac:dyDescent="0.3">
      <c r="A5082" t="str">
        <f t="shared" si="2339"/>
        <v>05/12/2020 14:50:18.152</v>
      </c>
      <c r="C5082" t="str">
        <f t="shared" si="2343"/>
        <v>FFDFD3C0</v>
      </c>
      <c r="D5082" t="s">
        <v>134</v>
      </c>
      <c r="E5082">
        <v>12</v>
      </c>
      <c r="H5082">
        <v>64</v>
      </c>
      <c r="I5082" t="s">
        <v>135</v>
      </c>
      <c r="J5082" t="s">
        <v>136</v>
      </c>
      <c r="K5082">
        <v>0</v>
      </c>
      <c r="L5082">
        <v>3</v>
      </c>
      <c r="M5082">
        <v>0</v>
      </c>
      <c r="N5082">
        <v>2</v>
      </c>
      <c r="O5082">
        <v>1</v>
      </c>
      <c r="P5082">
        <v>0</v>
      </c>
      <c r="Q5082">
        <v>0</v>
      </c>
      <c r="S5082" t="str">
        <f t="shared" si="2340"/>
        <v>14:50:35.992</v>
      </c>
      <c r="T5082" t="str">
        <f t="shared" si="2341"/>
        <v>14:50:35.792</v>
      </c>
      <c r="U5082" t="str">
        <f t="shared" si="2334"/>
        <v>A9808D</v>
      </c>
      <c r="V5082">
        <v>0</v>
      </c>
      <c r="W5082">
        <v>0</v>
      </c>
      <c r="X5082">
        <v>1</v>
      </c>
      <c r="Z5082">
        <v>0</v>
      </c>
      <c r="AA5082">
        <v>9</v>
      </c>
      <c r="AB5082">
        <v>3</v>
      </c>
      <c r="AC5082">
        <v>0</v>
      </c>
      <c r="AD5082">
        <v>10</v>
      </c>
      <c r="AE5082">
        <v>0</v>
      </c>
      <c r="AF5082">
        <v>3</v>
      </c>
      <c r="AG5082">
        <v>2</v>
      </c>
      <c r="AH5082">
        <v>0</v>
      </c>
      <c r="AI5082" t="s">
        <v>1125</v>
      </c>
      <c r="AJ5082">
        <v>28.232932000000002</v>
      </c>
      <c r="AK5082" t="s">
        <v>1126</v>
      </c>
      <c r="AL5082">
        <v>-82.371733000000006</v>
      </c>
      <c r="AM5082">
        <v>100</v>
      </c>
      <c r="AN5082">
        <v>2100</v>
      </c>
      <c r="AO5082" t="s">
        <v>118</v>
      </c>
      <c r="AP5082">
        <v>-102</v>
      </c>
      <c r="AQ5082">
        <v>-53</v>
      </c>
      <c r="AR5082">
        <v>-960</v>
      </c>
      <c r="AZ5082">
        <v>1200</v>
      </c>
      <c r="BA5082">
        <v>1</v>
      </c>
      <c r="BB5082" t="str">
        <f t="shared" si="2344"/>
        <v xml:space="preserve">N711JA  </v>
      </c>
      <c r="BC5082">
        <v>1</v>
      </c>
      <c r="BE5082">
        <v>0</v>
      </c>
      <c r="BF5082">
        <v>0</v>
      </c>
      <c r="BG5082">
        <v>0</v>
      </c>
      <c r="BH5082">
        <v>2175</v>
      </c>
      <c r="BI5082">
        <v>1</v>
      </c>
      <c r="BJ5082">
        <v>1</v>
      </c>
      <c r="BK5082">
        <v>0</v>
      </c>
      <c r="BL5082">
        <v>0</v>
      </c>
      <c r="BO5082">
        <v>0</v>
      </c>
      <c r="BP5082">
        <v>0</v>
      </c>
      <c r="BW5082" t="str">
        <f t="shared" si="2342"/>
        <v>14:50:35.993</v>
      </c>
      <c r="CJ5082">
        <v>0</v>
      </c>
      <c r="CK5082">
        <v>2</v>
      </c>
      <c r="CL5082">
        <v>0</v>
      </c>
      <c r="CM5082">
        <v>2</v>
      </c>
      <c r="CN5082">
        <v>0</v>
      </c>
      <c r="CO5082">
        <v>7</v>
      </c>
      <c r="CP5082" t="s">
        <v>119</v>
      </c>
      <c r="CQ5082">
        <v>343</v>
      </c>
      <c r="CR5082">
        <v>1</v>
      </c>
      <c r="CW5082">
        <v>11108333</v>
      </c>
      <c r="CY5082">
        <v>1</v>
      </c>
      <c r="CZ5082">
        <v>0</v>
      </c>
      <c r="DA5082">
        <v>1</v>
      </c>
      <c r="DB5082">
        <v>0</v>
      </c>
      <c r="DC5082">
        <v>0</v>
      </c>
      <c r="DD5082">
        <v>1</v>
      </c>
      <c r="DE5082">
        <v>0</v>
      </c>
      <c r="DF5082">
        <v>0</v>
      </c>
      <c r="DG5082">
        <v>0</v>
      </c>
      <c r="DH5082">
        <v>0</v>
      </c>
      <c r="DI5082">
        <v>0</v>
      </c>
    </row>
    <row r="5083" spans="1:113" x14ac:dyDescent="0.3">
      <c r="A5083" t="str">
        <f t="shared" si="2339"/>
        <v>05/12/2020 14:50:18.152</v>
      </c>
      <c r="C5083" t="str">
        <f t="shared" si="2343"/>
        <v>FFDFD3C0</v>
      </c>
      <c r="D5083" t="s">
        <v>126</v>
      </c>
      <c r="E5083">
        <v>6</v>
      </c>
      <c r="F5083">
        <v>1006</v>
      </c>
      <c r="G5083" t="s">
        <v>114</v>
      </c>
      <c r="J5083" t="s">
        <v>128</v>
      </c>
      <c r="K5083">
        <v>0</v>
      </c>
      <c r="L5083">
        <v>3</v>
      </c>
      <c r="M5083">
        <v>0</v>
      </c>
      <c r="N5083">
        <v>2</v>
      </c>
      <c r="O5083">
        <v>1</v>
      </c>
      <c r="P5083">
        <v>0</v>
      </c>
      <c r="Q5083">
        <v>0</v>
      </c>
      <c r="S5083" t="str">
        <f t="shared" si="2340"/>
        <v>14:50:35.992</v>
      </c>
      <c r="T5083" t="str">
        <f t="shared" si="2341"/>
        <v>14:50:35.792</v>
      </c>
      <c r="U5083" t="str">
        <f t="shared" si="2334"/>
        <v>A9808D</v>
      </c>
      <c r="V5083">
        <v>0</v>
      </c>
      <c r="W5083">
        <v>0</v>
      </c>
      <c r="X5083">
        <v>1</v>
      </c>
      <c r="Z5083">
        <v>0</v>
      </c>
      <c r="AA5083">
        <v>9</v>
      </c>
      <c r="AB5083">
        <v>3</v>
      </c>
      <c r="AC5083">
        <v>0</v>
      </c>
      <c r="AD5083">
        <v>10</v>
      </c>
      <c r="AE5083">
        <v>0</v>
      </c>
      <c r="AF5083">
        <v>3</v>
      </c>
      <c r="AG5083">
        <v>2</v>
      </c>
      <c r="AH5083">
        <v>0</v>
      </c>
      <c r="AI5083" t="s">
        <v>1125</v>
      </c>
      <c r="AJ5083">
        <v>28.232932000000002</v>
      </c>
      <c r="AK5083" t="s">
        <v>1126</v>
      </c>
      <c r="AL5083">
        <v>-82.371733000000006</v>
      </c>
      <c r="AM5083">
        <v>100</v>
      </c>
      <c r="AN5083">
        <v>2100</v>
      </c>
      <c r="AO5083" t="s">
        <v>118</v>
      </c>
      <c r="AP5083">
        <v>-102</v>
      </c>
      <c r="AQ5083">
        <v>-53</v>
      </c>
      <c r="AR5083">
        <v>-960</v>
      </c>
      <c r="AZ5083">
        <v>1200</v>
      </c>
      <c r="BA5083">
        <v>1</v>
      </c>
      <c r="BB5083" t="str">
        <f t="shared" si="2344"/>
        <v xml:space="preserve">N711JA  </v>
      </c>
      <c r="BC5083">
        <v>1</v>
      </c>
      <c r="BE5083">
        <v>0</v>
      </c>
      <c r="BF5083">
        <v>0</v>
      </c>
      <c r="BG5083">
        <v>0</v>
      </c>
      <c r="BH5083">
        <v>2175</v>
      </c>
      <c r="BI5083">
        <v>1</v>
      </c>
      <c r="BJ5083">
        <v>1</v>
      </c>
      <c r="BK5083">
        <v>0</v>
      </c>
      <c r="BL5083">
        <v>0</v>
      </c>
      <c r="BO5083">
        <v>0</v>
      </c>
      <c r="BP5083">
        <v>0</v>
      </c>
      <c r="BW5083" t="str">
        <f t="shared" si="2342"/>
        <v>14:50:35.993</v>
      </c>
      <c r="CJ5083">
        <v>0</v>
      </c>
      <c r="CK5083">
        <v>2</v>
      </c>
      <c r="CL5083">
        <v>0</v>
      </c>
      <c r="CM5083">
        <v>2</v>
      </c>
      <c r="CN5083">
        <v>0</v>
      </c>
      <c r="CO5083">
        <v>7</v>
      </c>
      <c r="CP5083" t="s">
        <v>119</v>
      </c>
      <c r="CQ5083">
        <v>343</v>
      </c>
      <c r="CR5083">
        <v>1</v>
      </c>
      <c r="CW5083">
        <v>11108333</v>
      </c>
      <c r="CY5083">
        <v>1</v>
      </c>
      <c r="CZ5083">
        <v>0</v>
      </c>
      <c r="DA5083">
        <v>1</v>
      </c>
      <c r="DB5083">
        <v>0</v>
      </c>
      <c r="DC5083">
        <v>0</v>
      </c>
      <c r="DD5083">
        <v>1</v>
      </c>
      <c r="DE5083">
        <v>0</v>
      </c>
      <c r="DF5083">
        <v>0</v>
      </c>
      <c r="DG5083">
        <v>0</v>
      </c>
      <c r="DH5083">
        <v>0</v>
      </c>
      <c r="DI5083">
        <v>0</v>
      </c>
    </row>
    <row r="5084" spans="1:113" x14ac:dyDescent="0.3">
      <c r="A5084" t="str">
        <f t="shared" ref="A5084:A5092" si="2345">"05/12/2020 14:50:19.163"</f>
        <v>05/12/2020 14:50:19.163</v>
      </c>
      <c r="C5084" t="str">
        <f t="shared" si="2343"/>
        <v>FFDFD3C0</v>
      </c>
      <c r="D5084" t="s">
        <v>131</v>
      </c>
      <c r="E5084">
        <v>10</v>
      </c>
      <c r="F5084">
        <v>2010</v>
      </c>
      <c r="G5084" t="s">
        <v>132</v>
      </c>
      <c r="J5084" t="s">
        <v>133</v>
      </c>
      <c r="K5084">
        <v>0</v>
      </c>
      <c r="L5084">
        <v>3</v>
      </c>
      <c r="M5084">
        <v>0</v>
      </c>
      <c r="N5084">
        <v>2</v>
      </c>
      <c r="O5084">
        <v>1</v>
      </c>
      <c r="P5084">
        <v>0</v>
      </c>
      <c r="Q5084">
        <v>0</v>
      </c>
      <c r="S5084" t="str">
        <f t="shared" ref="S5084:S5092" si="2346">"14:50:36.992"</f>
        <v>14:50:36.992</v>
      </c>
      <c r="T5084" t="str">
        <f t="shared" ref="T5084:T5092" si="2347">"14:50:36.892"</f>
        <v>14:50:36.892</v>
      </c>
      <c r="U5084" t="str">
        <f t="shared" si="2334"/>
        <v>A9808D</v>
      </c>
      <c r="V5084">
        <v>0</v>
      </c>
      <c r="W5084">
        <v>0</v>
      </c>
      <c r="X5084">
        <v>1</v>
      </c>
      <c r="Z5084">
        <v>0</v>
      </c>
      <c r="AA5084">
        <v>9</v>
      </c>
      <c r="AB5084">
        <v>3</v>
      </c>
      <c r="AC5084">
        <v>0</v>
      </c>
      <c r="AD5084">
        <v>10</v>
      </c>
      <c r="AE5084">
        <v>0</v>
      </c>
      <c r="AF5084">
        <v>3</v>
      </c>
      <c r="AG5084">
        <v>2</v>
      </c>
      <c r="AH5084">
        <v>0</v>
      </c>
      <c r="AI5084" t="s">
        <v>1127</v>
      </c>
      <c r="AJ5084">
        <v>28.232717999999998</v>
      </c>
      <c r="AK5084" t="s">
        <v>1128</v>
      </c>
      <c r="AL5084">
        <v>-82.37227</v>
      </c>
      <c r="AM5084">
        <v>100</v>
      </c>
      <c r="AN5084">
        <v>2000</v>
      </c>
      <c r="AO5084" t="s">
        <v>118</v>
      </c>
      <c r="AP5084">
        <v>-102</v>
      </c>
      <c r="AQ5084">
        <v>-54</v>
      </c>
      <c r="AR5084">
        <v>-1024</v>
      </c>
      <c r="AZ5084">
        <v>1200</v>
      </c>
      <c r="BA5084">
        <v>1</v>
      </c>
      <c r="BB5084" t="str">
        <f t="shared" si="2344"/>
        <v xml:space="preserve">N711JA  </v>
      </c>
      <c r="BC5084">
        <v>1</v>
      </c>
      <c r="BE5084">
        <v>0</v>
      </c>
      <c r="BF5084">
        <v>0</v>
      </c>
      <c r="BG5084">
        <v>0</v>
      </c>
      <c r="BH5084">
        <v>2250</v>
      </c>
      <c r="BI5084">
        <v>1</v>
      </c>
      <c r="BJ5084">
        <v>1</v>
      </c>
      <c r="BK5084">
        <v>0</v>
      </c>
      <c r="BL5084">
        <v>0</v>
      </c>
      <c r="BO5084">
        <v>0</v>
      </c>
      <c r="BP5084">
        <v>0</v>
      </c>
      <c r="BW5084" t="str">
        <f t="shared" ref="BW5084:BW5092" si="2348">"14:50:36.995"</f>
        <v>14:50:36.995</v>
      </c>
      <c r="CJ5084">
        <v>0</v>
      </c>
      <c r="CK5084">
        <v>2</v>
      </c>
      <c r="CL5084">
        <v>0</v>
      </c>
      <c r="CM5084">
        <v>2</v>
      </c>
      <c r="CN5084">
        <v>0</v>
      </c>
      <c r="CO5084">
        <v>7</v>
      </c>
      <c r="CP5084" t="s">
        <v>119</v>
      </c>
      <c r="CQ5084">
        <v>343</v>
      </c>
      <c r="CR5084">
        <v>1</v>
      </c>
      <c r="CW5084">
        <v>11109436</v>
      </c>
      <c r="CY5084">
        <v>1</v>
      </c>
      <c r="CZ5084">
        <v>0</v>
      </c>
      <c r="DA5084">
        <v>0</v>
      </c>
      <c r="DB5084">
        <v>0</v>
      </c>
      <c r="DC5084">
        <v>0</v>
      </c>
      <c r="DD5084">
        <v>1</v>
      </c>
      <c r="DE5084">
        <v>0</v>
      </c>
      <c r="DF5084">
        <v>0</v>
      </c>
      <c r="DG5084">
        <v>0</v>
      </c>
      <c r="DH5084">
        <v>0</v>
      </c>
      <c r="DI5084">
        <v>0</v>
      </c>
    </row>
    <row r="5085" spans="1:113" x14ac:dyDescent="0.3">
      <c r="A5085" t="str">
        <f t="shared" si="2345"/>
        <v>05/12/2020 14:50:19.163</v>
      </c>
      <c r="C5085" t="str">
        <f t="shared" si="2343"/>
        <v>FFDFD3C0</v>
      </c>
      <c r="D5085" t="s">
        <v>126</v>
      </c>
      <c r="E5085">
        <v>7</v>
      </c>
      <c r="F5085">
        <v>1007</v>
      </c>
      <c r="G5085" t="s">
        <v>127</v>
      </c>
      <c r="J5085" t="s">
        <v>128</v>
      </c>
      <c r="K5085">
        <v>0</v>
      </c>
      <c r="L5085">
        <v>3</v>
      </c>
      <c r="M5085">
        <v>0</v>
      </c>
      <c r="N5085">
        <v>2</v>
      </c>
      <c r="O5085">
        <v>1</v>
      </c>
      <c r="P5085">
        <v>0</v>
      </c>
      <c r="Q5085">
        <v>0</v>
      </c>
      <c r="S5085" t="str">
        <f t="shared" si="2346"/>
        <v>14:50:36.992</v>
      </c>
      <c r="T5085" t="str">
        <f t="shared" si="2347"/>
        <v>14:50:36.892</v>
      </c>
      <c r="U5085" t="str">
        <f t="shared" si="2334"/>
        <v>A9808D</v>
      </c>
      <c r="V5085">
        <v>0</v>
      </c>
      <c r="W5085">
        <v>0</v>
      </c>
      <c r="X5085">
        <v>1</v>
      </c>
      <c r="Z5085">
        <v>0</v>
      </c>
      <c r="AA5085">
        <v>9</v>
      </c>
      <c r="AB5085">
        <v>3</v>
      </c>
      <c r="AC5085">
        <v>0</v>
      </c>
      <c r="AD5085">
        <v>10</v>
      </c>
      <c r="AE5085">
        <v>0</v>
      </c>
      <c r="AF5085">
        <v>3</v>
      </c>
      <c r="AG5085">
        <v>2</v>
      </c>
      <c r="AH5085">
        <v>0</v>
      </c>
      <c r="AI5085" t="s">
        <v>1127</v>
      </c>
      <c r="AJ5085">
        <v>28.232717999999998</v>
      </c>
      <c r="AK5085" t="s">
        <v>1128</v>
      </c>
      <c r="AL5085">
        <v>-82.37227</v>
      </c>
      <c r="AM5085">
        <v>100</v>
      </c>
      <c r="AN5085">
        <v>2000</v>
      </c>
      <c r="AO5085" t="s">
        <v>118</v>
      </c>
      <c r="AP5085">
        <v>-102</v>
      </c>
      <c r="AQ5085">
        <v>-54</v>
      </c>
      <c r="AR5085">
        <v>-1024</v>
      </c>
      <c r="AZ5085">
        <v>1200</v>
      </c>
      <c r="BA5085">
        <v>1</v>
      </c>
      <c r="BB5085" t="str">
        <f t="shared" si="2344"/>
        <v xml:space="preserve">N711JA  </v>
      </c>
      <c r="BC5085">
        <v>1</v>
      </c>
      <c r="BE5085">
        <v>0</v>
      </c>
      <c r="BF5085">
        <v>0</v>
      </c>
      <c r="BG5085">
        <v>0</v>
      </c>
      <c r="BH5085">
        <v>2250</v>
      </c>
      <c r="BI5085">
        <v>1</v>
      </c>
      <c r="BJ5085">
        <v>1</v>
      </c>
      <c r="BK5085">
        <v>0</v>
      </c>
      <c r="BL5085">
        <v>0</v>
      </c>
      <c r="BO5085">
        <v>0</v>
      </c>
      <c r="BP5085">
        <v>0</v>
      </c>
      <c r="BW5085" t="str">
        <f t="shared" si="2348"/>
        <v>14:50:36.995</v>
      </c>
      <c r="CJ5085">
        <v>0</v>
      </c>
      <c r="CK5085">
        <v>2</v>
      </c>
      <c r="CL5085">
        <v>0</v>
      </c>
      <c r="CM5085">
        <v>2</v>
      </c>
      <c r="CN5085">
        <v>0</v>
      </c>
      <c r="CO5085">
        <v>7</v>
      </c>
      <c r="CP5085" t="s">
        <v>119</v>
      </c>
      <c r="CQ5085">
        <v>343</v>
      </c>
      <c r="CR5085">
        <v>1</v>
      </c>
      <c r="CW5085">
        <v>11109436</v>
      </c>
      <c r="CY5085">
        <v>1</v>
      </c>
      <c r="CZ5085">
        <v>0</v>
      </c>
      <c r="DA5085">
        <v>1</v>
      </c>
      <c r="DB5085">
        <v>0</v>
      </c>
      <c r="DC5085">
        <v>0</v>
      </c>
      <c r="DD5085">
        <v>1</v>
      </c>
      <c r="DE5085">
        <v>0</v>
      </c>
      <c r="DF5085">
        <v>0</v>
      </c>
      <c r="DG5085">
        <v>0</v>
      </c>
      <c r="DH5085">
        <v>0</v>
      </c>
      <c r="DI5085">
        <v>0</v>
      </c>
    </row>
    <row r="5086" spans="1:113" x14ac:dyDescent="0.3">
      <c r="A5086" t="str">
        <f t="shared" si="2345"/>
        <v>05/12/2020 14:50:19.163</v>
      </c>
      <c r="C5086" t="str">
        <f t="shared" si="2343"/>
        <v>FFDFD3C0</v>
      </c>
      <c r="D5086" t="s">
        <v>113</v>
      </c>
      <c r="E5086">
        <v>3</v>
      </c>
      <c r="H5086">
        <v>164</v>
      </c>
      <c r="I5086" t="s">
        <v>114</v>
      </c>
      <c r="J5086" t="s">
        <v>115</v>
      </c>
      <c r="K5086">
        <v>0</v>
      </c>
      <c r="L5086">
        <v>3</v>
      </c>
      <c r="M5086">
        <v>0</v>
      </c>
      <c r="N5086">
        <v>2</v>
      </c>
      <c r="O5086">
        <v>1</v>
      </c>
      <c r="P5086">
        <v>0</v>
      </c>
      <c r="Q5086">
        <v>0</v>
      </c>
      <c r="S5086" t="str">
        <f t="shared" si="2346"/>
        <v>14:50:36.992</v>
      </c>
      <c r="T5086" t="str">
        <f t="shared" si="2347"/>
        <v>14:50:36.892</v>
      </c>
      <c r="U5086" t="str">
        <f t="shared" si="2334"/>
        <v>A9808D</v>
      </c>
      <c r="V5086">
        <v>0</v>
      </c>
      <c r="W5086">
        <v>0</v>
      </c>
      <c r="X5086">
        <v>1</v>
      </c>
      <c r="Z5086">
        <v>0</v>
      </c>
      <c r="AA5086">
        <v>9</v>
      </c>
      <c r="AB5086">
        <v>3</v>
      </c>
      <c r="AC5086">
        <v>0</v>
      </c>
      <c r="AD5086">
        <v>10</v>
      </c>
      <c r="AE5086">
        <v>0</v>
      </c>
      <c r="AF5086">
        <v>3</v>
      </c>
      <c r="AG5086">
        <v>2</v>
      </c>
      <c r="AH5086">
        <v>0</v>
      </c>
      <c r="AI5086" t="s">
        <v>1127</v>
      </c>
      <c r="AJ5086">
        <v>28.232717999999998</v>
      </c>
      <c r="AK5086" t="s">
        <v>1128</v>
      </c>
      <c r="AL5086">
        <v>-82.37227</v>
      </c>
      <c r="AM5086">
        <v>100</v>
      </c>
      <c r="AN5086">
        <v>2000</v>
      </c>
      <c r="AO5086" t="s">
        <v>118</v>
      </c>
      <c r="AP5086">
        <v>-102</v>
      </c>
      <c r="AQ5086">
        <v>-54</v>
      </c>
      <c r="AR5086">
        <v>-1024</v>
      </c>
      <c r="AZ5086">
        <v>1200</v>
      </c>
      <c r="BA5086">
        <v>1</v>
      </c>
      <c r="BB5086" t="str">
        <f t="shared" si="2344"/>
        <v xml:space="preserve">N711JA  </v>
      </c>
      <c r="BC5086">
        <v>1</v>
      </c>
      <c r="BE5086">
        <v>0</v>
      </c>
      <c r="BF5086">
        <v>0</v>
      </c>
      <c r="BG5086">
        <v>0</v>
      </c>
      <c r="BH5086">
        <v>2250</v>
      </c>
      <c r="BI5086">
        <v>1</v>
      </c>
      <c r="BJ5086">
        <v>1</v>
      </c>
      <c r="BK5086">
        <v>0</v>
      </c>
      <c r="BL5086">
        <v>0</v>
      </c>
      <c r="BO5086">
        <v>0</v>
      </c>
      <c r="BP5086">
        <v>0</v>
      </c>
      <c r="BW5086" t="str">
        <f t="shared" si="2348"/>
        <v>14:50:36.995</v>
      </c>
      <c r="CJ5086">
        <v>0</v>
      </c>
      <c r="CK5086">
        <v>2</v>
      </c>
      <c r="CL5086">
        <v>0</v>
      </c>
      <c r="CM5086">
        <v>2</v>
      </c>
      <c r="CN5086">
        <v>0</v>
      </c>
      <c r="CO5086">
        <v>7</v>
      </c>
      <c r="CP5086" t="s">
        <v>119</v>
      </c>
      <c r="CQ5086">
        <v>343</v>
      </c>
      <c r="CR5086">
        <v>1</v>
      </c>
      <c r="CW5086">
        <v>11109436</v>
      </c>
      <c r="CY5086">
        <v>1</v>
      </c>
      <c r="CZ5086">
        <v>0</v>
      </c>
      <c r="DA5086">
        <v>1</v>
      </c>
      <c r="DB5086">
        <v>0</v>
      </c>
      <c r="DC5086">
        <v>0</v>
      </c>
      <c r="DD5086">
        <v>1</v>
      </c>
      <c r="DE5086">
        <v>0</v>
      </c>
      <c r="DF5086">
        <v>0</v>
      </c>
      <c r="DG5086">
        <v>0</v>
      </c>
      <c r="DH5086">
        <v>0</v>
      </c>
      <c r="DI5086">
        <v>0</v>
      </c>
    </row>
    <row r="5087" spans="1:113" x14ac:dyDescent="0.3">
      <c r="A5087" t="str">
        <f t="shared" si="2345"/>
        <v>05/12/2020 14:50:19.163</v>
      </c>
      <c r="C5087" t="str">
        <f t="shared" si="2343"/>
        <v>FFDFD3C0</v>
      </c>
      <c r="D5087" t="s">
        <v>131</v>
      </c>
      <c r="E5087">
        <v>12</v>
      </c>
      <c r="F5087">
        <v>2012</v>
      </c>
      <c r="G5087" t="s">
        <v>137</v>
      </c>
      <c r="J5087" t="s">
        <v>133</v>
      </c>
      <c r="K5087">
        <v>0</v>
      </c>
      <c r="L5087">
        <v>3</v>
      </c>
      <c r="M5087">
        <v>0</v>
      </c>
      <c r="N5087">
        <v>2</v>
      </c>
      <c r="O5087">
        <v>1</v>
      </c>
      <c r="P5087">
        <v>0</v>
      </c>
      <c r="Q5087">
        <v>0</v>
      </c>
      <c r="S5087" t="str">
        <f t="shared" si="2346"/>
        <v>14:50:36.992</v>
      </c>
      <c r="T5087" t="str">
        <f t="shared" si="2347"/>
        <v>14:50:36.892</v>
      </c>
      <c r="U5087" t="str">
        <f t="shared" si="2334"/>
        <v>A9808D</v>
      </c>
      <c r="V5087">
        <v>0</v>
      </c>
      <c r="W5087">
        <v>0</v>
      </c>
      <c r="X5087">
        <v>1</v>
      </c>
      <c r="Z5087">
        <v>0</v>
      </c>
      <c r="AA5087">
        <v>9</v>
      </c>
      <c r="AB5087">
        <v>3</v>
      </c>
      <c r="AC5087">
        <v>0</v>
      </c>
      <c r="AD5087">
        <v>10</v>
      </c>
      <c r="AE5087">
        <v>0</v>
      </c>
      <c r="AF5087">
        <v>3</v>
      </c>
      <c r="AG5087">
        <v>2</v>
      </c>
      <c r="AH5087">
        <v>0</v>
      </c>
      <c r="AI5087" t="s">
        <v>1127</v>
      </c>
      <c r="AJ5087">
        <v>28.232717999999998</v>
      </c>
      <c r="AK5087" t="s">
        <v>1128</v>
      </c>
      <c r="AL5087">
        <v>-82.37227</v>
      </c>
      <c r="AM5087">
        <v>100</v>
      </c>
      <c r="AN5087">
        <v>2000</v>
      </c>
      <c r="AO5087" t="s">
        <v>118</v>
      </c>
      <c r="AP5087">
        <v>-102</v>
      </c>
      <c r="AQ5087">
        <v>-54</v>
      </c>
      <c r="AR5087">
        <v>-1024</v>
      </c>
      <c r="AZ5087">
        <v>1200</v>
      </c>
      <c r="BA5087">
        <v>1</v>
      </c>
      <c r="BB5087" t="str">
        <f t="shared" si="2344"/>
        <v xml:space="preserve">N711JA  </v>
      </c>
      <c r="BC5087">
        <v>1</v>
      </c>
      <c r="BE5087">
        <v>0</v>
      </c>
      <c r="BF5087">
        <v>0</v>
      </c>
      <c r="BG5087">
        <v>0</v>
      </c>
      <c r="BH5087">
        <v>2250</v>
      </c>
      <c r="BI5087">
        <v>1</v>
      </c>
      <c r="BJ5087">
        <v>1</v>
      </c>
      <c r="BK5087">
        <v>0</v>
      </c>
      <c r="BL5087">
        <v>0</v>
      </c>
      <c r="BO5087">
        <v>0</v>
      </c>
      <c r="BP5087">
        <v>0</v>
      </c>
      <c r="BW5087" t="str">
        <f t="shared" si="2348"/>
        <v>14:50:36.995</v>
      </c>
      <c r="CJ5087">
        <v>0</v>
      </c>
      <c r="CK5087">
        <v>2</v>
      </c>
      <c r="CL5087">
        <v>0</v>
      </c>
      <c r="CM5087">
        <v>2</v>
      </c>
      <c r="CN5087">
        <v>0</v>
      </c>
      <c r="CO5087">
        <v>7</v>
      </c>
      <c r="CP5087" t="s">
        <v>119</v>
      </c>
      <c r="CQ5087">
        <v>343</v>
      </c>
      <c r="CR5087">
        <v>1</v>
      </c>
      <c r="CW5087">
        <v>11109436</v>
      </c>
      <c r="CY5087">
        <v>1</v>
      </c>
      <c r="CZ5087">
        <v>0</v>
      </c>
      <c r="DA5087">
        <v>1</v>
      </c>
      <c r="DB5087">
        <v>0</v>
      </c>
      <c r="DC5087">
        <v>0</v>
      </c>
      <c r="DD5087">
        <v>1</v>
      </c>
      <c r="DE5087">
        <v>0</v>
      </c>
      <c r="DF5087">
        <v>0</v>
      </c>
      <c r="DG5087">
        <v>0</v>
      </c>
      <c r="DH5087">
        <v>0</v>
      </c>
      <c r="DI5087">
        <v>0</v>
      </c>
    </row>
    <row r="5088" spans="1:113" x14ac:dyDescent="0.3">
      <c r="A5088" t="str">
        <f t="shared" si="2345"/>
        <v>05/12/2020 14:50:19.163</v>
      </c>
      <c r="C5088" t="str">
        <f t="shared" si="2343"/>
        <v>FFDFD3C0</v>
      </c>
      <c r="D5088" t="s">
        <v>138</v>
      </c>
      <c r="E5088">
        <v>2</v>
      </c>
      <c r="H5088">
        <v>8</v>
      </c>
      <c r="I5088" t="s">
        <v>139</v>
      </c>
      <c r="J5088" t="s">
        <v>136</v>
      </c>
      <c r="K5088">
        <v>0</v>
      </c>
      <c r="L5088">
        <v>3</v>
      </c>
      <c r="M5088">
        <v>0</v>
      </c>
      <c r="N5088">
        <v>2</v>
      </c>
      <c r="O5088">
        <v>1</v>
      </c>
      <c r="P5088">
        <v>0</v>
      </c>
      <c r="Q5088">
        <v>0</v>
      </c>
      <c r="S5088" t="str">
        <f t="shared" si="2346"/>
        <v>14:50:36.992</v>
      </c>
      <c r="T5088" t="str">
        <f t="shared" si="2347"/>
        <v>14:50:36.892</v>
      </c>
      <c r="U5088" t="str">
        <f t="shared" si="2334"/>
        <v>A9808D</v>
      </c>
      <c r="V5088">
        <v>0</v>
      </c>
      <c r="W5088">
        <v>0</v>
      </c>
      <c r="X5088">
        <v>1</v>
      </c>
      <c r="Z5088">
        <v>0</v>
      </c>
      <c r="AA5088">
        <v>9</v>
      </c>
      <c r="AB5088">
        <v>3</v>
      </c>
      <c r="AC5088">
        <v>0</v>
      </c>
      <c r="AD5088">
        <v>10</v>
      </c>
      <c r="AE5088">
        <v>0</v>
      </c>
      <c r="AF5088">
        <v>3</v>
      </c>
      <c r="AG5088">
        <v>2</v>
      </c>
      <c r="AH5088">
        <v>0</v>
      </c>
      <c r="AI5088" t="s">
        <v>1127</v>
      </c>
      <c r="AJ5088">
        <v>28.232717999999998</v>
      </c>
      <c r="AK5088" t="s">
        <v>1128</v>
      </c>
      <c r="AL5088">
        <v>-82.37227</v>
      </c>
      <c r="AM5088">
        <v>100</v>
      </c>
      <c r="AN5088">
        <v>2000</v>
      </c>
      <c r="AO5088" t="s">
        <v>118</v>
      </c>
      <c r="AP5088">
        <v>-102</v>
      </c>
      <c r="AQ5088">
        <v>-54</v>
      </c>
      <c r="AR5088">
        <v>-1024</v>
      </c>
      <c r="AZ5088">
        <v>1200</v>
      </c>
      <c r="BA5088">
        <v>1</v>
      </c>
      <c r="BB5088" t="str">
        <f t="shared" si="2344"/>
        <v xml:space="preserve">N711JA  </v>
      </c>
      <c r="BC5088">
        <v>1</v>
      </c>
      <c r="BE5088">
        <v>0</v>
      </c>
      <c r="BF5088">
        <v>0</v>
      </c>
      <c r="BG5088">
        <v>0</v>
      </c>
      <c r="BH5088">
        <v>2250</v>
      </c>
      <c r="BI5088">
        <v>1</v>
      </c>
      <c r="BJ5088">
        <v>1</v>
      </c>
      <c r="BK5088">
        <v>0</v>
      </c>
      <c r="BL5088">
        <v>0</v>
      </c>
      <c r="BO5088">
        <v>0</v>
      </c>
      <c r="BP5088">
        <v>0</v>
      </c>
      <c r="BW5088" t="str">
        <f t="shared" si="2348"/>
        <v>14:50:36.995</v>
      </c>
      <c r="CJ5088">
        <v>0</v>
      </c>
      <c r="CK5088">
        <v>2</v>
      </c>
      <c r="CL5088">
        <v>0</v>
      </c>
      <c r="CM5088">
        <v>2</v>
      </c>
      <c r="CN5088">
        <v>0</v>
      </c>
      <c r="CO5088">
        <v>7</v>
      </c>
      <c r="CP5088" t="s">
        <v>119</v>
      </c>
      <c r="CQ5088">
        <v>343</v>
      </c>
      <c r="CR5088">
        <v>1</v>
      </c>
      <c r="CW5088">
        <v>11109436</v>
      </c>
      <c r="CY5088">
        <v>1</v>
      </c>
      <c r="CZ5088">
        <v>0</v>
      </c>
      <c r="DA5088">
        <v>1</v>
      </c>
      <c r="DB5088">
        <v>0</v>
      </c>
      <c r="DC5088">
        <v>0</v>
      </c>
      <c r="DD5088">
        <v>1</v>
      </c>
      <c r="DE5088">
        <v>0</v>
      </c>
      <c r="DF5088">
        <v>0</v>
      </c>
      <c r="DG5088">
        <v>0</v>
      </c>
      <c r="DH5088">
        <v>0</v>
      </c>
      <c r="DI5088">
        <v>0</v>
      </c>
    </row>
    <row r="5089" spans="1:113" x14ac:dyDescent="0.3">
      <c r="A5089" t="str">
        <f t="shared" si="2345"/>
        <v>05/12/2020 14:50:19.163</v>
      </c>
      <c r="C5089" t="str">
        <f t="shared" si="2343"/>
        <v>FFDFD3C0</v>
      </c>
      <c r="D5089" t="s">
        <v>131</v>
      </c>
      <c r="E5089">
        <v>18</v>
      </c>
      <c r="F5089">
        <v>2018</v>
      </c>
      <c r="G5089" t="s">
        <v>161</v>
      </c>
      <c r="J5089" t="s">
        <v>133</v>
      </c>
      <c r="K5089">
        <v>0</v>
      </c>
      <c r="L5089">
        <v>3</v>
      </c>
      <c r="M5089">
        <v>0</v>
      </c>
      <c r="N5089">
        <v>2</v>
      </c>
      <c r="O5089">
        <v>1</v>
      </c>
      <c r="P5089">
        <v>0</v>
      </c>
      <c r="Q5089">
        <v>0</v>
      </c>
      <c r="S5089" t="str">
        <f t="shared" si="2346"/>
        <v>14:50:36.992</v>
      </c>
      <c r="T5089" t="str">
        <f t="shared" si="2347"/>
        <v>14:50:36.892</v>
      </c>
      <c r="U5089" t="str">
        <f t="shared" si="2334"/>
        <v>A9808D</v>
      </c>
      <c r="V5089">
        <v>0</v>
      </c>
      <c r="W5089">
        <v>0</v>
      </c>
      <c r="X5089">
        <v>1</v>
      </c>
      <c r="Z5089">
        <v>0</v>
      </c>
      <c r="AA5089">
        <v>9</v>
      </c>
      <c r="AB5089">
        <v>3</v>
      </c>
      <c r="AC5089">
        <v>0</v>
      </c>
      <c r="AD5089">
        <v>10</v>
      </c>
      <c r="AE5089">
        <v>0</v>
      </c>
      <c r="AF5089">
        <v>3</v>
      </c>
      <c r="AG5089">
        <v>2</v>
      </c>
      <c r="AH5089">
        <v>0</v>
      </c>
      <c r="AI5089" t="s">
        <v>1127</v>
      </c>
      <c r="AJ5089">
        <v>28.232717999999998</v>
      </c>
      <c r="AK5089" t="s">
        <v>1128</v>
      </c>
      <c r="AL5089">
        <v>-82.37227</v>
      </c>
      <c r="AM5089">
        <v>100</v>
      </c>
      <c r="AN5089">
        <v>2000</v>
      </c>
      <c r="AO5089" t="s">
        <v>118</v>
      </c>
      <c r="AP5089">
        <v>-102</v>
      </c>
      <c r="AQ5089">
        <v>-54</v>
      </c>
      <c r="AR5089">
        <v>-1024</v>
      </c>
      <c r="AZ5089">
        <v>1200</v>
      </c>
      <c r="BA5089">
        <v>1</v>
      </c>
      <c r="BB5089" t="str">
        <f t="shared" si="2344"/>
        <v xml:space="preserve">N711JA  </v>
      </c>
      <c r="BC5089">
        <v>1</v>
      </c>
      <c r="BE5089">
        <v>0</v>
      </c>
      <c r="BF5089">
        <v>0</v>
      </c>
      <c r="BG5089">
        <v>0</v>
      </c>
      <c r="BH5089">
        <v>2250</v>
      </c>
      <c r="BI5089">
        <v>1</v>
      </c>
      <c r="BJ5089">
        <v>1</v>
      </c>
      <c r="BK5089">
        <v>0</v>
      </c>
      <c r="BL5089">
        <v>0</v>
      </c>
      <c r="BO5089">
        <v>0</v>
      </c>
      <c r="BP5089">
        <v>0</v>
      </c>
      <c r="BW5089" t="str">
        <f t="shared" si="2348"/>
        <v>14:50:36.995</v>
      </c>
      <c r="CJ5089">
        <v>0</v>
      </c>
      <c r="CK5089">
        <v>2</v>
      </c>
      <c r="CL5089">
        <v>0</v>
      </c>
      <c r="CM5089">
        <v>2</v>
      </c>
      <c r="CN5089">
        <v>0</v>
      </c>
      <c r="CO5089">
        <v>7</v>
      </c>
      <c r="CP5089" t="s">
        <v>119</v>
      </c>
      <c r="CQ5089">
        <v>343</v>
      </c>
      <c r="CR5089">
        <v>1</v>
      </c>
      <c r="CW5089">
        <v>11109436</v>
      </c>
      <c r="CY5089">
        <v>1</v>
      </c>
      <c r="CZ5089">
        <v>0</v>
      </c>
      <c r="DA5089">
        <v>1</v>
      </c>
      <c r="DB5089">
        <v>0</v>
      </c>
      <c r="DC5089">
        <v>0</v>
      </c>
      <c r="DD5089">
        <v>1</v>
      </c>
      <c r="DE5089">
        <v>0</v>
      </c>
      <c r="DF5089">
        <v>0</v>
      </c>
      <c r="DG5089">
        <v>0</v>
      </c>
      <c r="DH5089">
        <v>0</v>
      </c>
      <c r="DI5089">
        <v>0</v>
      </c>
    </row>
    <row r="5090" spans="1:113" x14ac:dyDescent="0.3">
      <c r="A5090" t="str">
        <f t="shared" si="2345"/>
        <v>05/12/2020 14:50:19.163</v>
      </c>
      <c r="C5090" t="str">
        <f t="shared" si="2343"/>
        <v>FFDFD3C0</v>
      </c>
      <c r="D5090" t="s">
        <v>138</v>
      </c>
      <c r="E5090">
        <v>3</v>
      </c>
      <c r="H5090">
        <v>9</v>
      </c>
      <c r="I5090" t="s">
        <v>140</v>
      </c>
      <c r="J5090" t="s">
        <v>136</v>
      </c>
      <c r="K5090">
        <v>0</v>
      </c>
      <c r="L5090">
        <v>3</v>
      </c>
      <c r="M5090">
        <v>0</v>
      </c>
      <c r="N5090">
        <v>2</v>
      </c>
      <c r="O5090">
        <v>1</v>
      </c>
      <c r="P5090">
        <v>0</v>
      </c>
      <c r="Q5090">
        <v>0</v>
      </c>
      <c r="S5090" t="str">
        <f t="shared" si="2346"/>
        <v>14:50:36.992</v>
      </c>
      <c r="T5090" t="str">
        <f t="shared" si="2347"/>
        <v>14:50:36.892</v>
      </c>
      <c r="U5090" t="str">
        <f t="shared" si="2334"/>
        <v>A9808D</v>
      </c>
      <c r="V5090">
        <v>0</v>
      </c>
      <c r="W5090">
        <v>0</v>
      </c>
      <c r="X5090">
        <v>1</v>
      </c>
      <c r="Z5090">
        <v>0</v>
      </c>
      <c r="AA5090">
        <v>9</v>
      </c>
      <c r="AB5090">
        <v>3</v>
      </c>
      <c r="AC5090">
        <v>0</v>
      </c>
      <c r="AD5090">
        <v>10</v>
      </c>
      <c r="AE5090">
        <v>0</v>
      </c>
      <c r="AF5090">
        <v>3</v>
      </c>
      <c r="AG5090">
        <v>2</v>
      </c>
      <c r="AH5090">
        <v>0</v>
      </c>
      <c r="AI5090" t="s">
        <v>1127</v>
      </c>
      <c r="AJ5090">
        <v>28.232717999999998</v>
      </c>
      <c r="AK5090" t="s">
        <v>1128</v>
      </c>
      <c r="AL5090">
        <v>-82.37227</v>
      </c>
      <c r="AM5090">
        <v>100</v>
      </c>
      <c r="AN5090">
        <v>2000</v>
      </c>
      <c r="AO5090" t="s">
        <v>118</v>
      </c>
      <c r="AP5090">
        <v>-102</v>
      </c>
      <c r="AQ5090">
        <v>-54</v>
      </c>
      <c r="AR5090">
        <v>-1024</v>
      </c>
      <c r="AZ5090">
        <v>1200</v>
      </c>
      <c r="BA5090">
        <v>1</v>
      </c>
      <c r="BB5090" t="str">
        <f t="shared" si="2344"/>
        <v xml:space="preserve">N711JA  </v>
      </c>
      <c r="BC5090">
        <v>1</v>
      </c>
      <c r="BE5090">
        <v>0</v>
      </c>
      <c r="BF5090">
        <v>0</v>
      </c>
      <c r="BG5090">
        <v>0</v>
      </c>
      <c r="BH5090">
        <v>2250</v>
      </c>
      <c r="BI5090">
        <v>1</v>
      </c>
      <c r="BJ5090">
        <v>1</v>
      </c>
      <c r="BK5090">
        <v>0</v>
      </c>
      <c r="BL5090">
        <v>0</v>
      </c>
      <c r="BO5090">
        <v>0</v>
      </c>
      <c r="BP5090">
        <v>0</v>
      </c>
      <c r="BW5090" t="str">
        <f t="shared" si="2348"/>
        <v>14:50:36.995</v>
      </c>
      <c r="CJ5090">
        <v>0</v>
      </c>
      <c r="CK5090">
        <v>2</v>
      </c>
      <c r="CL5090">
        <v>0</v>
      </c>
      <c r="CM5090">
        <v>2</v>
      </c>
      <c r="CN5090">
        <v>0</v>
      </c>
      <c r="CO5090">
        <v>7</v>
      </c>
      <c r="CP5090" t="s">
        <v>119</v>
      </c>
      <c r="CQ5090">
        <v>343</v>
      </c>
      <c r="CR5090">
        <v>1</v>
      </c>
      <c r="CW5090">
        <v>11109436</v>
      </c>
      <c r="CY5090">
        <v>1</v>
      </c>
      <c r="CZ5090">
        <v>0</v>
      </c>
      <c r="DA5090">
        <v>1</v>
      </c>
      <c r="DB5090">
        <v>0</v>
      </c>
      <c r="DC5090">
        <v>0</v>
      </c>
      <c r="DD5090">
        <v>1</v>
      </c>
      <c r="DE5090">
        <v>0</v>
      </c>
      <c r="DF5090">
        <v>0</v>
      </c>
      <c r="DG5090">
        <v>0</v>
      </c>
      <c r="DH5090">
        <v>0</v>
      </c>
      <c r="DI5090">
        <v>0</v>
      </c>
    </row>
    <row r="5091" spans="1:113" x14ac:dyDescent="0.3">
      <c r="A5091" t="str">
        <f t="shared" si="2345"/>
        <v>05/12/2020 14:50:19.163</v>
      </c>
      <c r="C5091" t="str">
        <f t="shared" si="2343"/>
        <v>FFDFD3C0</v>
      </c>
      <c r="D5091" t="s">
        <v>126</v>
      </c>
      <c r="E5091">
        <v>6</v>
      </c>
      <c r="F5091">
        <v>1006</v>
      </c>
      <c r="G5091" t="s">
        <v>114</v>
      </c>
      <c r="J5091" t="s">
        <v>128</v>
      </c>
      <c r="K5091">
        <v>0</v>
      </c>
      <c r="L5091">
        <v>3</v>
      </c>
      <c r="M5091">
        <v>0</v>
      </c>
      <c r="N5091">
        <v>2</v>
      </c>
      <c r="O5091">
        <v>1</v>
      </c>
      <c r="P5091">
        <v>0</v>
      </c>
      <c r="Q5091">
        <v>0</v>
      </c>
      <c r="S5091" t="str">
        <f t="shared" si="2346"/>
        <v>14:50:36.992</v>
      </c>
      <c r="T5091" t="str">
        <f t="shared" si="2347"/>
        <v>14:50:36.892</v>
      </c>
      <c r="U5091" t="str">
        <f t="shared" si="2334"/>
        <v>A9808D</v>
      </c>
      <c r="V5091">
        <v>0</v>
      </c>
      <c r="W5091">
        <v>0</v>
      </c>
      <c r="X5091">
        <v>1</v>
      </c>
      <c r="Z5091">
        <v>0</v>
      </c>
      <c r="AA5091">
        <v>9</v>
      </c>
      <c r="AB5091">
        <v>3</v>
      </c>
      <c r="AC5091">
        <v>0</v>
      </c>
      <c r="AD5091">
        <v>10</v>
      </c>
      <c r="AE5091">
        <v>0</v>
      </c>
      <c r="AF5091">
        <v>3</v>
      </c>
      <c r="AG5091">
        <v>2</v>
      </c>
      <c r="AH5091">
        <v>0</v>
      </c>
      <c r="AI5091" t="s">
        <v>1127</v>
      </c>
      <c r="AJ5091">
        <v>28.232717999999998</v>
      </c>
      <c r="AK5091" t="s">
        <v>1128</v>
      </c>
      <c r="AL5091">
        <v>-82.37227</v>
      </c>
      <c r="AM5091">
        <v>100</v>
      </c>
      <c r="AN5091">
        <v>2000</v>
      </c>
      <c r="AO5091" t="s">
        <v>118</v>
      </c>
      <c r="AP5091">
        <v>-102</v>
      </c>
      <c r="AQ5091">
        <v>-54</v>
      </c>
      <c r="AR5091">
        <v>-1024</v>
      </c>
      <c r="AZ5091">
        <v>1200</v>
      </c>
      <c r="BA5091">
        <v>1</v>
      </c>
      <c r="BB5091" t="str">
        <f t="shared" si="2344"/>
        <v xml:space="preserve">N711JA  </v>
      </c>
      <c r="BC5091">
        <v>1</v>
      </c>
      <c r="BE5091">
        <v>0</v>
      </c>
      <c r="BF5091">
        <v>0</v>
      </c>
      <c r="BG5091">
        <v>0</v>
      </c>
      <c r="BH5091">
        <v>2250</v>
      </c>
      <c r="BI5091">
        <v>1</v>
      </c>
      <c r="BJ5091">
        <v>1</v>
      </c>
      <c r="BK5091">
        <v>0</v>
      </c>
      <c r="BL5091">
        <v>0</v>
      </c>
      <c r="BO5091">
        <v>0</v>
      </c>
      <c r="BP5091">
        <v>0</v>
      </c>
      <c r="BW5091" t="str">
        <f t="shared" si="2348"/>
        <v>14:50:36.995</v>
      </c>
      <c r="CJ5091">
        <v>0</v>
      </c>
      <c r="CK5091">
        <v>2</v>
      </c>
      <c r="CL5091">
        <v>0</v>
      </c>
      <c r="CM5091">
        <v>2</v>
      </c>
      <c r="CN5091">
        <v>0</v>
      </c>
      <c r="CO5091">
        <v>7</v>
      </c>
      <c r="CP5091" t="s">
        <v>119</v>
      </c>
      <c r="CQ5091">
        <v>343</v>
      </c>
      <c r="CR5091">
        <v>1</v>
      </c>
      <c r="CW5091">
        <v>11109436</v>
      </c>
      <c r="CY5091">
        <v>1</v>
      </c>
      <c r="CZ5091">
        <v>0</v>
      </c>
      <c r="DA5091">
        <v>1</v>
      </c>
      <c r="DB5091">
        <v>0</v>
      </c>
      <c r="DC5091">
        <v>0</v>
      </c>
      <c r="DD5091">
        <v>1</v>
      </c>
      <c r="DE5091">
        <v>0</v>
      </c>
      <c r="DF5091">
        <v>0</v>
      </c>
      <c r="DG5091">
        <v>0</v>
      </c>
      <c r="DH5091">
        <v>0</v>
      </c>
      <c r="DI5091">
        <v>0</v>
      </c>
    </row>
    <row r="5092" spans="1:113" x14ac:dyDescent="0.3">
      <c r="A5092" t="str">
        <f t="shared" si="2345"/>
        <v>05/12/2020 14:50:19.163</v>
      </c>
      <c r="C5092" t="str">
        <f t="shared" si="2343"/>
        <v>FFDFD3C0</v>
      </c>
      <c r="D5092" t="s">
        <v>134</v>
      </c>
      <c r="E5092">
        <v>12</v>
      </c>
      <c r="H5092">
        <v>64</v>
      </c>
      <c r="I5092" t="s">
        <v>135</v>
      </c>
      <c r="J5092" t="s">
        <v>136</v>
      </c>
      <c r="K5092">
        <v>0</v>
      </c>
      <c r="L5092">
        <v>3</v>
      </c>
      <c r="M5092">
        <v>0</v>
      </c>
      <c r="N5092">
        <v>2</v>
      </c>
      <c r="O5092">
        <v>1</v>
      </c>
      <c r="P5092">
        <v>0</v>
      </c>
      <c r="Q5092">
        <v>0</v>
      </c>
      <c r="S5092" t="str">
        <f t="shared" si="2346"/>
        <v>14:50:36.992</v>
      </c>
      <c r="T5092" t="str">
        <f t="shared" si="2347"/>
        <v>14:50:36.892</v>
      </c>
      <c r="U5092" t="str">
        <f t="shared" si="2334"/>
        <v>A9808D</v>
      </c>
      <c r="V5092">
        <v>0</v>
      </c>
      <c r="W5092">
        <v>0</v>
      </c>
      <c r="X5092">
        <v>1</v>
      </c>
      <c r="Z5092">
        <v>0</v>
      </c>
      <c r="AA5092">
        <v>9</v>
      </c>
      <c r="AB5092">
        <v>3</v>
      </c>
      <c r="AC5092">
        <v>0</v>
      </c>
      <c r="AD5092">
        <v>10</v>
      </c>
      <c r="AE5092">
        <v>0</v>
      </c>
      <c r="AF5092">
        <v>3</v>
      </c>
      <c r="AG5092">
        <v>2</v>
      </c>
      <c r="AH5092">
        <v>0</v>
      </c>
      <c r="AI5092" t="s">
        <v>1127</v>
      </c>
      <c r="AJ5092">
        <v>28.232717999999998</v>
      </c>
      <c r="AK5092" t="s">
        <v>1128</v>
      </c>
      <c r="AL5092">
        <v>-82.37227</v>
      </c>
      <c r="AM5092">
        <v>100</v>
      </c>
      <c r="AN5092">
        <v>2000</v>
      </c>
      <c r="AO5092" t="s">
        <v>118</v>
      </c>
      <c r="AP5092">
        <v>-102</v>
      </c>
      <c r="AQ5092">
        <v>-54</v>
      </c>
      <c r="AR5092">
        <v>-1024</v>
      </c>
      <c r="AZ5092">
        <v>1200</v>
      </c>
      <c r="BA5092">
        <v>1</v>
      </c>
      <c r="BB5092" t="str">
        <f t="shared" si="2344"/>
        <v xml:space="preserve">N711JA  </v>
      </c>
      <c r="BC5092">
        <v>1</v>
      </c>
      <c r="BE5092">
        <v>0</v>
      </c>
      <c r="BF5092">
        <v>0</v>
      </c>
      <c r="BG5092">
        <v>0</v>
      </c>
      <c r="BH5092">
        <v>2250</v>
      </c>
      <c r="BI5092">
        <v>1</v>
      </c>
      <c r="BJ5092">
        <v>1</v>
      </c>
      <c r="BK5092">
        <v>0</v>
      </c>
      <c r="BL5092">
        <v>0</v>
      </c>
      <c r="BO5092">
        <v>0</v>
      </c>
      <c r="BP5092">
        <v>0</v>
      </c>
      <c r="BW5092" t="str">
        <f t="shared" si="2348"/>
        <v>14:50:36.995</v>
      </c>
      <c r="CJ5092">
        <v>0</v>
      </c>
      <c r="CK5092">
        <v>2</v>
      </c>
      <c r="CL5092">
        <v>0</v>
      </c>
      <c r="CM5092">
        <v>2</v>
      </c>
      <c r="CN5092">
        <v>0</v>
      </c>
      <c r="CO5092">
        <v>7</v>
      </c>
      <c r="CP5092" t="s">
        <v>119</v>
      </c>
      <c r="CQ5092">
        <v>343</v>
      </c>
      <c r="CR5092">
        <v>1</v>
      </c>
      <c r="CW5092">
        <v>11109436</v>
      </c>
      <c r="CY5092">
        <v>1</v>
      </c>
      <c r="CZ5092">
        <v>0</v>
      </c>
      <c r="DA5092">
        <v>1</v>
      </c>
      <c r="DB5092">
        <v>0</v>
      </c>
      <c r="DC5092">
        <v>0</v>
      </c>
      <c r="DD5092">
        <v>1</v>
      </c>
      <c r="DE5092">
        <v>0</v>
      </c>
      <c r="DF5092">
        <v>0</v>
      </c>
      <c r="DG5092">
        <v>0</v>
      </c>
      <c r="DH5092">
        <v>0</v>
      </c>
      <c r="DI5092">
        <v>0</v>
      </c>
    </row>
    <row r="5093" spans="1:113" x14ac:dyDescent="0.3">
      <c r="A5093" t="str">
        <f t="shared" ref="A5093:A5101" si="2349">"05/12/2020 14:50:20.128"</f>
        <v>05/12/2020 14:50:20.128</v>
      </c>
      <c r="C5093" t="str">
        <f t="shared" si="2343"/>
        <v>FFDFD3C0</v>
      </c>
      <c r="D5093" t="s">
        <v>131</v>
      </c>
      <c r="E5093">
        <v>18</v>
      </c>
      <c r="F5093">
        <v>2018</v>
      </c>
      <c r="G5093" t="s">
        <v>161</v>
      </c>
      <c r="J5093" t="s">
        <v>133</v>
      </c>
      <c r="K5093">
        <v>0</v>
      </c>
      <c r="L5093">
        <v>3</v>
      </c>
      <c r="M5093">
        <v>0</v>
      </c>
      <c r="N5093">
        <v>2</v>
      </c>
      <c r="O5093">
        <v>1</v>
      </c>
      <c r="P5093">
        <v>0</v>
      </c>
      <c r="Q5093">
        <v>0</v>
      </c>
      <c r="S5093" t="str">
        <f t="shared" ref="S5093:T5101" si="2350">"14:50:37.969"</f>
        <v>14:50:37.969</v>
      </c>
      <c r="T5093" t="str">
        <f t="shared" si="2350"/>
        <v>14:50:37.969</v>
      </c>
      <c r="U5093" t="str">
        <f t="shared" si="2334"/>
        <v>A9808D</v>
      </c>
      <c r="V5093">
        <v>0</v>
      </c>
      <c r="W5093">
        <v>0</v>
      </c>
      <c r="X5093">
        <v>1</v>
      </c>
      <c r="Z5093">
        <v>0</v>
      </c>
      <c r="AA5093">
        <v>9</v>
      </c>
      <c r="AB5093">
        <v>3</v>
      </c>
      <c r="AC5093">
        <v>0</v>
      </c>
      <c r="AD5093">
        <v>10</v>
      </c>
      <c r="AE5093">
        <v>0</v>
      </c>
      <c r="AF5093">
        <v>3</v>
      </c>
      <c r="AG5093">
        <v>2</v>
      </c>
      <c r="AH5093">
        <v>0</v>
      </c>
      <c r="AI5093" t="s">
        <v>1129</v>
      </c>
      <c r="AJ5093">
        <v>28.232438999999999</v>
      </c>
      <c r="AK5093" t="s">
        <v>1130</v>
      </c>
      <c r="AL5093">
        <v>-82.372784999999993</v>
      </c>
      <c r="AM5093">
        <v>100</v>
      </c>
      <c r="AN5093">
        <v>2000</v>
      </c>
      <c r="AO5093" t="s">
        <v>118</v>
      </c>
      <c r="AP5093">
        <v>-102</v>
      </c>
      <c r="AQ5093">
        <v>-54</v>
      </c>
      <c r="AR5093">
        <v>-1024</v>
      </c>
      <c r="AZ5093">
        <v>1200</v>
      </c>
      <c r="BA5093">
        <v>1</v>
      </c>
      <c r="BB5093" t="str">
        <f t="shared" si="2344"/>
        <v xml:space="preserve">N711JA  </v>
      </c>
      <c r="BC5093">
        <v>1</v>
      </c>
      <c r="BE5093">
        <v>0</v>
      </c>
      <c r="BF5093">
        <v>0</v>
      </c>
      <c r="BG5093">
        <v>0</v>
      </c>
      <c r="BH5093">
        <v>2125</v>
      </c>
      <c r="BI5093">
        <v>1</v>
      </c>
      <c r="BJ5093">
        <v>1</v>
      </c>
      <c r="BK5093">
        <v>0</v>
      </c>
      <c r="BL5093">
        <v>0</v>
      </c>
      <c r="BO5093">
        <v>0</v>
      </c>
      <c r="BP5093">
        <v>0</v>
      </c>
      <c r="BW5093" t="str">
        <f t="shared" ref="BW5093:BW5101" si="2351">"14:50:37.969"</f>
        <v>14:50:37.969</v>
      </c>
      <c r="CJ5093">
        <v>0</v>
      </c>
      <c r="CK5093">
        <v>2</v>
      </c>
      <c r="CL5093">
        <v>0</v>
      </c>
      <c r="CM5093">
        <v>2</v>
      </c>
      <c r="CN5093">
        <v>0</v>
      </c>
      <c r="CO5093">
        <v>6</v>
      </c>
      <c r="CP5093" t="s">
        <v>119</v>
      </c>
      <c r="CQ5093">
        <v>343</v>
      </c>
      <c r="CR5093">
        <v>2</v>
      </c>
      <c r="CW5093">
        <v>13376524</v>
      </c>
      <c r="CY5093">
        <v>1</v>
      </c>
      <c r="CZ5093">
        <v>0</v>
      </c>
      <c r="DA5093">
        <v>0</v>
      </c>
      <c r="DB5093">
        <v>0</v>
      </c>
      <c r="DC5093">
        <v>0</v>
      </c>
      <c r="DD5093">
        <v>1</v>
      </c>
      <c r="DE5093">
        <v>0</v>
      </c>
      <c r="DF5093">
        <v>0</v>
      </c>
      <c r="DG5093">
        <v>0</v>
      </c>
      <c r="DH5093">
        <v>0</v>
      </c>
      <c r="DI5093">
        <v>0</v>
      </c>
    </row>
    <row r="5094" spans="1:113" x14ac:dyDescent="0.3">
      <c r="A5094" t="str">
        <f t="shared" si="2349"/>
        <v>05/12/2020 14:50:20.128</v>
      </c>
      <c r="C5094" t="str">
        <f t="shared" si="2343"/>
        <v>FFDFD3C0</v>
      </c>
      <c r="D5094" t="s">
        <v>138</v>
      </c>
      <c r="E5094">
        <v>2</v>
      </c>
      <c r="H5094">
        <v>8</v>
      </c>
      <c r="I5094" t="s">
        <v>139</v>
      </c>
      <c r="J5094" t="s">
        <v>136</v>
      </c>
      <c r="K5094">
        <v>0</v>
      </c>
      <c r="L5094">
        <v>3</v>
      </c>
      <c r="M5094">
        <v>0</v>
      </c>
      <c r="N5094">
        <v>2</v>
      </c>
      <c r="O5094">
        <v>1</v>
      </c>
      <c r="P5094">
        <v>0</v>
      </c>
      <c r="Q5094">
        <v>0</v>
      </c>
      <c r="S5094" t="str">
        <f t="shared" si="2350"/>
        <v>14:50:37.969</v>
      </c>
      <c r="T5094" t="str">
        <f t="shared" si="2350"/>
        <v>14:50:37.969</v>
      </c>
      <c r="U5094" t="str">
        <f t="shared" si="2334"/>
        <v>A9808D</v>
      </c>
      <c r="V5094">
        <v>0</v>
      </c>
      <c r="W5094">
        <v>0</v>
      </c>
      <c r="X5094">
        <v>1</v>
      </c>
      <c r="Z5094">
        <v>0</v>
      </c>
      <c r="AA5094">
        <v>9</v>
      </c>
      <c r="AB5094">
        <v>3</v>
      </c>
      <c r="AC5094">
        <v>0</v>
      </c>
      <c r="AD5094">
        <v>10</v>
      </c>
      <c r="AE5094">
        <v>0</v>
      </c>
      <c r="AF5094">
        <v>3</v>
      </c>
      <c r="AG5094">
        <v>2</v>
      </c>
      <c r="AH5094">
        <v>0</v>
      </c>
      <c r="AI5094" t="s">
        <v>1129</v>
      </c>
      <c r="AJ5094">
        <v>28.232438999999999</v>
      </c>
      <c r="AK5094" t="s">
        <v>1130</v>
      </c>
      <c r="AL5094">
        <v>-82.372784999999993</v>
      </c>
      <c r="AM5094">
        <v>100</v>
      </c>
      <c r="AN5094">
        <v>2000</v>
      </c>
      <c r="AO5094" t="s">
        <v>118</v>
      </c>
      <c r="AP5094">
        <v>-102</v>
      </c>
      <c r="AQ5094">
        <v>-54</v>
      </c>
      <c r="AR5094">
        <v>-1024</v>
      </c>
      <c r="AZ5094">
        <v>1200</v>
      </c>
      <c r="BA5094">
        <v>1</v>
      </c>
      <c r="BB5094" t="str">
        <f t="shared" si="2344"/>
        <v xml:space="preserve">N711JA  </v>
      </c>
      <c r="BC5094">
        <v>1</v>
      </c>
      <c r="BE5094">
        <v>0</v>
      </c>
      <c r="BF5094">
        <v>0</v>
      </c>
      <c r="BG5094">
        <v>0</v>
      </c>
      <c r="BH5094">
        <v>2125</v>
      </c>
      <c r="BI5094">
        <v>1</v>
      </c>
      <c r="BJ5094">
        <v>1</v>
      </c>
      <c r="BK5094">
        <v>0</v>
      </c>
      <c r="BL5094">
        <v>0</v>
      </c>
      <c r="BO5094">
        <v>0</v>
      </c>
      <c r="BP5094">
        <v>0</v>
      </c>
      <c r="BW5094" t="str">
        <f t="shared" si="2351"/>
        <v>14:50:37.969</v>
      </c>
      <c r="CJ5094">
        <v>0</v>
      </c>
      <c r="CK5094">
        <v>2</v>
      </c>
      <c r="CL5094">
        <v>0</v>
      </c>
      <c r="CM5094">
        <v>2</v>
      </c>
      <c r="CN5094">
        <v>0</v>
      </c>
      <c r="CO5094">
        <v>6</v>
      </c>
      <c r="CP5094" t="s">
        <v>119</v>
      </c>
      <c r="CQ5094">
        <v>343</v>
      </c>
      <c r="CR5094">
        <v>2</v>
      </c>
      <c r="CW5094">
        <v>13376524</v>
      </c>
      <c r="CY5094">
        <v>1</v>
      </c>
      <c r="CZ5094">
        <v>0</v>
      </c>
      <c r="DA5094">
        <v>1</v>
      </c>
      <c r="DB5094">
        <v>0</v>
      </c>
      <c r="DC5094">
        <v>0</v>
      </c>
      <c r="DD5094">
        <v>1</v>
      </c>
      <c r="DE5094">
        <v>0</v>
      </c>
      <c r="DF5094">
        <v>0</v>
      </c>
      <c r="DG5094">
        <v>0</v>
      </c>
      <c r="DH5094">
        <v>0</v>
      </c>
      <c r="DI5094">
        <v>0</v>
      </c>
    </row>
    <row r="5095" spans="1:113" x14ac:dyDescent="0.3">
      <c r="A5095" t="str">
        <f t="shared" si="2349"/>
        <v>05/12/2020 14:50:20.128</v>
      </c>
      <c r="C5095" t="str">
        <f t="shared" si="2343"/>
        <v>FFDFD3C0</v>
      </c>
      <c r="D5095" t="s">
        <v>138</v>
      </c>
      <c r="E5095">
        <v>3</v>
      </c>
      <c r="H5095">
        <v>9</v>
      </c>
      <c r="I5095" t="s">
        <v>140</v>
      </c>
      <c r="J5095" t="s">
        <v>136</v>
      </c>
      <c r="K5095">
        <v>0</v>
      </c>
      <c r="L5095">
        <v>3</v>
      </c>
      <c r="M5095">
        <v>0</v>
      </c>
      <c r="N5095">
        <v>2</v>
      </c>
      <c r="O5095">
        <v>1</v>
      </c>
      <c r="P5095">
        <v>0</v>
      </c>
      <c r="Q5095">
        <v>0</v>
      </c>
      <c r="S5095" t="str">
        <f t="shared" si="2350"/>
        <v>14:50:37.969</v>
      </c>
      <c r="T5095" t="str">
        <f t="shared" si="2350"/>
        <v>14:50:37.969</v>
      </c>
      <c r="U5095" t="str">
        <f t="shared" si="2334"/>
        <v>A9808D</v>
      </c>
      <c r="V5095">
        <v>0</v>
      </c>
      <c r="W5095">
        <v>0</v>
      </c>
      <c r="X5095">
        <v>1</v>
      </c>
      <c r="Z5095">
        <v>0</v>
      </c>
      <c r="AA5095">
        <v>9</v>
      </c>
      <c r="AB5095">
        <v>3</v>
      </c>
      <c r="AC5095">
        <v>0</v>
      </c>
      <c r="AD5095">
        <v>10</v>
      </c>
      <c r="AE5095">
        <v>0</v>
      </c>
      <c r="AF5095">
        <v>3</v>
      </c>
      <c r="AG5095">
        <v>2</v>
      </c>
      <c r="AH5095">
        <v>0</v>
      </c>
      <c r="AI5095" t="s">
        <v>1129</v>
      </c>
      <c r="AJ5095">
        <v>28.232438999999999</v>
      </c>
      <c r="AK5095" t="s">
        <v>1130</v>
      </c>
      <c r="AL5095">
        <v>-82.372784999999993</v>
      </c>
      <c r="AM5095">
        <v>100</v>
      </c>
      <c r="AN5095">
        <v>2000</v>
      </c>
      <c r="AO5095" t="s">
        <v>118</v>
      </c>
      <c r="AP5095">
        <v>-102</v>
      </c>
      <c r="AQ5095">
        <v>-54</v>
      </c>
      <c r="AR5095">
        <v>-1024</v>
      </c>
      <c r="AZ5095">
        <v>1200</v>
      </c>
      <c r="BA5095">
        <v>1</v>
      </c>
      <c r="BB5095" t="str">
        <f t="shared" si="2344"/>
        <v xml:space="preserve">N711JA  </v>
      </c>
      <c r="BC5095">
        <v>1</v>
      </c>
      <c r="BE5095">
        <v>0</v>
      </c>
      <c r="BF5095">
        <v>0</v>
      </c>
      <c r="BG5095">
        <v>0</v>
      </c>
      <c r="BH5095">
        <v>2125</v>
      </c>
      <c r="BI5095">
        <v>1</v>
      </c>
      <c r="BJ5095">
        <v>1</v>
      </c>
      <c r="BK5095">
        <v>0</v>
      </c>
      <c r="BL5095">
        <v>0</v>
      </c>
      <c r="BO5095">
        <v>0</v>
      </c>
      <c r="BP5095">
        <v>0</v>
      </c>
      <c r="BW5095" t="str">
        <f t="shared" si="2351"/>
        <v>14:50:37.969</v>
      </c>
      <c r="CJ5095">
        <v>0</v>
      </c>
      <c r="CK5095">
        <v>2</v>
      </c>
      <c r="CL5095">
        <v>0</v>
      </c>
      <c r="CM5095">
        <v>2</v>
      </c>
      <c r="CN5095">
        <v>0</v>
      </c>
      <c r="CO5095">
        <v>6</v>
      </c>
      <c r="CP5095" t="s">
        <v>119</v>
      </c>
      <c r="CQ5095">
        <v>343</v>
      </c>
      <c r="CR5095">
        <v>2</v>
      </c>
      <c r="CW5095">
        <v>13376524</v>
      </c>
      <c r="CY5095">
        <v>1</v>
      </c>
      <c r="CZ5095">
        <v>0</v>
      </c>
      <c r="DA5095">
        <v>1</v>
      </c>
      <c r="DB5095">
        <v>0</v>
      </c>
      <c r="DC5095">
        <v>0</v>
      </c>
      <c r="DD5095">
        <v>1</v>
      </c>
      <c r="DE5095">
        <v>0</v>
      </c>
      <c r="DF5095">
        <v>0</v>
      </c>
      <c r="DG5095">
        <v>0</v>
      </c>
      <c r="DH5095">
        <v>0</v>
      </c>
      <c r="DI5095">
        <v>0</v>
      </c>
    </row>
    <row r="5096" spans="1:113" x14ac:dyDescent="0.3">
      <c r="A5096" t="str">
        <f t="shared" si="2349"/>
        <v>05/12/2020 14:50:20.128</v>
      </c>
      <c r="C5096" t="str">
        <f t="shared" si="2343"/>
        <v>FFDFD3C0</v>
      </c>
      <c r="D5096" t="s">
        <v>126</v>
      </c>
      <c r="E5096">
        <v>6</v>
      </c>
      <c r="F5096">
        <v>1006</v>
      </c>
      <c r="G5096" t="s">
        <v>114</v>
      </c>
      <c r="J5096" t="s">
        <v>128</v>
      </c>
      <c r="K5096">
        <v>0</v>
      </c>
      <c r="L5096">
        <v>3</v>
      </c>
      <c r="M5096">
        <v>0</v>
      </c>
      <c r="N5096">
        <v>2</v>
      </c>
      <c r="O5096">
        <v>1</v>
      </c>
      <c r="P5096">
        <v>0</v>
      </c>
      <c r="Q5096">
        <v>0</v>
      </c>
      <c r="S5096" t="str">
        <f t="shared" si="2350"/>
        <v>14:50:37.969</v>
      </c>
      <c r="T5096" t="str">
        <f t="shared" si="2350"/>
        <v>14:50:37.969</v>
      </c>
      <c r="U5096" t="str">
        <f t="shared" si="2334"/>
        <v>A9808D</v>
      </c>
      <c r="V5096">
        <v>0</v>
      </c>
      <c r="W5096">
        <v>0</v>
      </c>
      <c r="X5096">
        <v>1</v>
      </c>
      <c r="Z5096">
        <v>0</v>
      </c>
      <c r="AA5096">
        <v>9</v>
      </c>
      <c r="AB5096">
        <v>3</v>
      </c>
      <c r="AC5096">
        <v>0</v>
      </c>
      <c r="AD5096">
        <v>10</v>
      </c>
      <c r="AE5096">
        <v>0</v>
      </c>
      <c r="AF5096">
        <v>3</v>
      </c>
      <c r="AG5096">
        <v>2</v>
      </c>
      <c r="AH5096">
        <v>0</v>
      </c>
      <c r="AI5096" t="s">
        <v>1129</v>
      </c>
      <c r="AJ5096">
        <v>28.232438999999999</v>
      </c>
      <c r="AK5096" t="s">
        <v>1130</v>
      </c>
      <c r="AL5096">
        <v>-82.372784999999993</v>
      </c>
      <c r="AM5096">
        <v>100</v>
      </c>
      <c r="AN5096">
        <v>2000</v>
      </c>
      <c r="AO5096" t="s">
        <v>118</v>
      </c>
      <c r="AP5096">
        <v>-102</v>
      </c>
      <c r="AQ5096">
        <v>-54</v>
      </c>
      <c r="AR5096">
        <v>-1024</v>
      </c>
      <c r="AZ5096">
        <v>1200</v>
      </c>
      <c r="BA5096">
        <v>1</v>
      </c>
      <c r="BB5096" t="str">
        <f t="shared" si="2344"/>
        <v xml:space="preserve">N711JA  </v>
      </c>
      <c r="BC5096">
        <v>1</v>
      </c>
      <c r="BE5096">
        <v>0</v>
      </c>
      <c r="BF5096">
        <v>0</v>
      </c>
      <c r="BG5096">
        <v>0</v>
      </c>
      <c r="BH5096">
        <v>2125</v>
      </c>
      <c r="BI5096">
        <v>1</v>
      </c>
      <c r="BJ5096">
        <v>1</v>
      </c>
      <c r="BK5096">
        <v>0</v>
      </c>
      <c r="BL5096">
        <v>0</v>
      </c>
      <c r="BO5096">
        <v>0</v>
      </c>
      <c r="BP5096">
        <v>0</v>
      </c>
      <c r="BW5096" t="str">
        <f t="shared" si="2351"/>
        <v>14:50:37.969</v>
      </c>
      <c r="CJ5096">
        <v>0</v>
      </c>
      <c r="CK5096">
        <v>2</v>
      </c>
      <c r="CL5096">
        <v>0</v>
      </c>
      <c r="CM5096">
        <v>2</v>
      </c>
      <c r="CN5096">
        <v>0</v>
      </c>
      <c r="CO5096">
        <v>6</v>
      </c>
      <c r="CP5096" t="s">
        <v>119</v>
      </c>
      <c r="CQ5096">
        <v>343</v>
      </c>
      <c r="CR5096">
        <v>2</v>
      </c>
      <c r="CW5096">
        <v>13376524</v>
      </c>
      <c r="CY5096">
        <v>1</v>
      </c>
      <c r="CZ5096">
        <v>0</v>
      </c>
      <c r="DA5096">
        <v>1</v>
      </c>
      <c r="DB5096">
        <v>0</v>
      </c>
      <c r="DC5096">
        <v>0</v>
      </c>
      <c r="DD5096">
        <v>1</v>
      </c>
      <c r="DE5096">
        <v>0</v>
      </c>
      <c r="DF5096">
        <v>0</v>
      </c>
      <c r="DG5096">
        <v>0</v>
      </c>
      <c r="DH5096">
        <v>0</v>
      </c>
      <c r="DI5096">
        <v>0</v>
      </c>
    </row>
    <row r="5097" spans="1:113" x14ac:dyDescent="0.3">
      <c r="A5097" t="str">
        <f t="shared" si="2349"/>
        <v>05/12/2020 14:50:20.128</v>
      </c>
      <c r="C5097" t="str">
        <f t="shared" si="2343"/>
        <v>FFDFD3C0</v>
      </c>
      <c r="D5097" t="s">
        <v>134</v>
      </c>
      <c r="E5097">
        <v>12</v>
      </c>
      <c r="H5097">
        <v>64</v>
      </c>
      <c r="I5097" t="s">
        <v>135</v>
      </c>
      <c r="J5097" t="s">
        <v>136</v>
      </c>
      <c r="K5097">
        <v>0</v>
      </c>
      <c r="L5097">
        <v>3</v>
      </c>
      <c r="M5097">
        <v>0</v>
      </c>
      <c r="N5097">
        <v>2</v>
      </c>
      <c r="O5097">
        <v>1</v>
      </c>
      <c r="P5097">
        <v>0</v>
      </c>
      <c r="Q5097">
        <v>0</v>
      </c>
      <c r="S5097" t="str">
        <f t="shared" si="2350"/>
        <v>14:50:37.969</v>
      </c>
      <c r="T5097" t="str">
        <f t="shared" si="2350"/>
        <v>14:50:37.969</v>
      </c>
      <c r="U5097" t="str">
        <f t="shared" si="2334"/>
        <v>A9808D</v>
      </c>
      <c r="V5097">
        <v>0</v>
      </c>
      <c r="W5097">
        <v>0</v>
      </c>
      <c r="X5097">
        <v>1</v>
      </c>
      <c r="Z5097">
        <v>0</v>
      </c>
      <c r="AA5097">
        <v>9</v>
      </c>
      <c r="AB5097">
        <v>3</v>
      </c>
      <c r="AC5097">
        <v>0</v>
      </c>
      <c r="AD5097">
        <v>10</v>
      </c>
      <c r="AE5097">
        <v>0</v>
      </c>
      <c r="AF5097">
        <v>3</v>
      </c>
      <c r="AG5097">
        <v>2</v>
      </c>
      <c r="AH5097">
        <v>0</v>
      </c>
      <c r="AI5097" t="s">
        <v>1129</v>
      </c>
      <c r="AJ5097">
        <v>28.232438999999999</v>
      </c>
      <c r="AK5097" t="s">
        <v>1130</v>
      </c>
      <c r="AL5097">
        <v>-82.372784999999993</v>
      </c>
      <c r="AM5097">
        <v>100</v>
      </c>
      <c r="AN5097">
        <v>2000</v>
      </c>
      <c r="AO5097" t="s">
        <v>118</v>
      </c>
      <c r="AP5097">
        <v>-102</v>
      </c>
      <c r="AQ5097">
        <v>-54</v>
      </c>
      <c r="AR5097">
        <v>-1024</v>
      </c>
      <c r="AZ5097">
        <v>1200</v>
      </c>
      <c r="BA5097">
        <v>1</v>
      </c>
      <c r="BB5097" t="str">
        <f t="shared" si="2344"/>
        <v xml:space="preserve">N711JA  </v>
      </c>
      <c r="BC5097">
        <v>1</v>
      </c>
      <c r="BE5097">
        <v>0</v>
      </c>
      <c r="BF5097">
        <v>0</v>
      </c>
      <c r="BG5097">
        <v>0</v>
      </c>
      <c r="BH5097">
        <v>2125</v>
      </c>
      <c r="BI5097">
        <v>1</v>
      </c>
      <c r="BJ5097">
        <v>1</v>
      </c>
      <c r="BK5097">
        <v>0</v>
      </c>
      <c r="BL5097">
        <v>0</v>
      </c>
      <c r="BO5097">
        <v>0</v>
      </c>
      <c r="BP5097">
        <v>0</v>
      </c>
      <c r="BW5097" t="str">
        <f t="shared" si="2351"/>
        <v>14:50:37.969</v>
      </c>
      <c r="CJ5097">
        <v>0</v>
      </c>
      <c r="CK5097">
        <v>2</v>
      </c>
      <c r="CL5097">
        <v>0</v>
      </c>
      <c r="CM5097">
        <v>2</v>
      </c>
      <c r="CN5097">
        <v>0</v>
      </c>
      <c r="CO5097">
        <v>6</v>
      </c>
      <c r="CP5097" t="s">
        <v>119</v>
      </c>
      <c r="CQ5097">
        <v>343</v>
      </c>
      <c r="CR5097">
        <v>2</v>
      </c>
      <c r="CW5097">
        <v>13376524</v>
      </c>
      <c r="CY5097">
        <v>1</v>
      </c>
      <c r="CZ5097">
        <v>0</v>
      </c>
      <c r="DA5097">
        <v>1</v>
      </c>
      <c r="DB5097">
        <v>0</v>
      </c>
      <c r="DC5097">
        <v>0</v>
      </c>
      <c r="DD5097">
        <v>1</v>
      </c>
      <c r="DE5097">
        <v>0</v>
      </c>
      <c r="DF5097">
        <v>0</v>
      </c>
      <c r="DG5097">
        <v>0</v>
      </c>
      <c r="DH5097">
        <v>0</v>
      </c>
      <c r="DI5097">
        <v>0</v>
      </c>
    </row>
    <row r="5098" spans="1:113" x14ac:dyDescent="0.3">
      <c r="A5098" t="str">
        <f t="shared" si="2349"/>
        <v>05/12/2020 14:50:20.128</v>
      </c>
      <c r="C5098" t="str">
        <f t="shared" si="2343"/>
        <v>FFDFD3C0</v>
      </c>
      <c r="D5098" t="s">
        <v>131</v>
      </c>
      <c r="E5098">
        <v>10</v>
      </c>
      <c r="F5098">
        <v>2010</v>
      </c>
      <c r="G5098" t="s">
        <v>132</v>
      </c>
      <c r="J5098" t="s">
        <v>133</v>
      </c>
      <c r="K5098">
        <v>0</v>
      </c>
      <c r="L5098">
        <v>3</v>
      </c>
      <c r="M5098">
        <v>0</v>
      </c>
      <c r="N5098">
        <v>2</v>
      </c>
      <c r="O5098">
        <v>1</v>
      </c>
      <c r="P5098">
        <v>0</v>
      </c>
      <c r="Q5098">
        <v>0</v>
      </c>
      <c r="S5098" t="str">
        <f t="shared" si="2350"/>
        <v>14:50:37.969</v>
      </c>
      <c r="T5098" t="str">
        <f t="shared" si="2350"/>
        <v>14:50:37.969</v>
      </c>
      <c r="U5098" t="str">
        <f t="shared" si="2334"/>
        <v>A9808D</v>
      </c>
      <c r="V5098">
        <v>0</v>
      </c>
      <c r="W5098">
        <v>0</v>
      </c>
      <c r="X5098">
        <v>1</v>
      </c>
      <c r="Z5098">
        <v>0</v>
      </c>
      <c r="AA5098">
        <v>9</v>
      </c>
      <c r="AB5098">
        <v>3</v>
      </c>
      <c r="AC5098">
        <v>0</v>
      </c>
      <c r="AD5098">
        <v>10</v>
      </c>
      <c r="AE5098">
        <v>0</v>
      </c>
      <c r="AF5098">
        <v>3</v>
      </c>
      <c r="AG5098">
        <v>2</v>
      </c>
      <c r="AH5098">
        <v>0</v>
      </c>
      <c r="AI5098" t="s">
        <v>1129</v>
      </c>
      <c r="AJ5098">
        <v>28.232438999999999</v>
      </c>
      <c r="AK5098" t="s">
        <v>1130</v>
      </c>
      <c r="AL5098">
        <v>-82.372784999999993</v>
      </c>
      <c r="AM5098">
        <v>100</v>
      </c>
      <c r="AN5098">
        <v>2000</v>
      </c>
      <c r="AO5098" t="s">
        <v>118</v>
      </c>
      <c r="AP5098">
        <v>-102</v>
      </c>
      <c r="AQ5098">
        <v>-54</v>
      </c>
      <c r="AR5098">
        <v>-1024</v>
      </c>
      <c r="AZ5098">
        <v>1200</v>
      </c>
      <c r="BA5098">
        <v>1</v>
      </c>
      <c r="BB5098" t="str">
        <f t="shared" si="2344"/>
        <v xml:space="preserve">N711JA  </v>
      </c>
      <c r="BC5098">
        <v>1</v>
      </c>
      <c r="BE5098">
        <v>0</v>
      </c>
      <c r="BF5098">
        <v>0</v>
      </c>
      <c r="BG5098">
        <v>0</v>
      </c>
      <c r="BH5098">
        <v>2125</v>
      </c>
      <c r="BI5098">
        <v>1</v>
      </c>
      <c r="BJ5098">
        <v>1</v>
      </c>
      <c r="BK5098">
        <v>0</v>
      </c>
      <c r="BL5098">
        <v>0</v>
      </c>
      <c r="BO5098">
        <v>0</v>
      </c>
      <c r="BP5098">
        <v>0</v>
      </c>
      <c r="BW5098" t="str">
        <f t="shared" si="2351"/>
        <v>14:50:37.969</v>
      </c>
      <c r="CJ5098">
        <v>0</v>
      </c>
      <c r="CK5098">
        <v>2</v>
      </c>
      <c r="CL5098">
        <v>0</v>
      </c>
      <c r="CM5098">
        <v>2</v>
      </c>
      <c r="CN5098">
        <v>0</v>
      </c>
      <c r="CO5098">
        <v>6</v>
      </c>
      <c r="CP5098" t="s">
        <v>119</v>
      </c>
      <c r="CQ5098">
        <v>343</v>
      </c>
      <c r="CR5098">
        <v>2</v>
      </c>
      <c r="CW5098">
        <v>13376524</v>
      </c>
      <c r="CY5098">
        <v>1</v>
      </c>
      <c r="CZ5098">
        <v>0</v>
      </c>
      <c r="DA5098">
        <v>1</v>
      </c>
      <c r="DB5098">
        <v>0</v>
      </c>
      <c r="DC5098">
        <v>0</v>
      </c>
      <c r="DD5098">
        <v>1</v>
      </c>
      <c r="DE5098">
        <v>0</v>
      </c>
      <c r="DF5098">
        <v>0</v>
      </c>
      <c r="DG5098">
        <v>0</v>
      </c>
      <c r="DH5098">
        <v>0</v>
      </c>
      <c r="DI5098">
        <v>0</v>
      </c>
    </row>
    <row r="5099" spans="1:113" x14ac:dyDescent="0.3">
      <c r="A5099" t="str">
        <f t="shared" si="2349"/>
        <v>05/12/2020 14:50:20.128</v>
      </c>
      <c r="C5099" t="str">
        <f t="shared" si="2343"/>
        <v>FFDFD3C0</v>
      </c>
      <c r="D5099" t="s">
        <v>126</v>
      </c>
      <c r="E5099">
        <v>7</v>
      </c>
      <c r="F5099">
        <v>1007</v>
      </c>
      <c r="G5099" t="s">
        <v>127</v>
      </c>
      <c r="J5099" t="s">
        <v>128</v>
      </c>
      <c r="K5099">
        <v>0</v>
      </c>
      <c r="L5099">
        <v>3</v>
      </c>
      <c r="M5099">
        <v>0</v>
      </c>
      <c r="N5099">
        <v>2</v>
      </c>
      <c r="O5099">
        <v>1</v>
      </c>
      <c r="P5099">
        <v>0</v>
      </c>
      <c r="Q5099">
        <v>0</v>
      </c>
      <c r="S5099" t="str">
        <f t="shared" si="2350"/>
        <v>14:50:37.969</v>
      </c>
      <c r="T5099" t="str">
        <f t="shared" si="2350"/>
        <v>14:50:37.969</v>
      </c>
      <c r="U5099" t="str">
        <f t="shared" si="2334"/>
        <v>A9808D</v>
      </c>
      <c r="V5099">
        <v>0</v>
      </c>
      <c r="W5099">
        <v>0</v>
      </c>
      <c r="X5099">
        <v>1</v>
      </c>
      <c r="Z5099">
        <v>0</v>
      </c>
      <c r="AA5099">
        <v>9</v>
      </c>
      <c r="AB5099">
        <v>3</v>
      </c>
      <c r="AC5099">
        <v>0</v>
      </c>
      <c r="AD5099">
        <v>10</v>
      </c>
      <c r="AE5099">
        <v>0</v>
      </c>
      <c r="AF5099">
        <v>3</v>
      </c>
      <c r="AG5099">
        <v>2</v>
      </c>
      <c r="AH5099">
        <v>0</v>
      </c>
      <c r="AI5099" t="s">
        <v>1129</v>
      </c>
      <c r="AJ5099">
        <v>28.232438999999999</v>
      </c>
      <c r="AK5099" t="s">
        <v>1130</v>
      </c>
      <c r="AL5099">
        <v>-82.372784999999993</v>
      </c>
      <c r="AM5099">
        <v>100</v>
      </c>
      <c r="AN5099">
        <v>2000</v>
      </c>
      <c r="AO5099" t="s">
        <v>118</v>
      </c>
      <c r="AP5099">
        <v>-102</v>
      </c>
      <c r="AQ5099">
        <v>-54</v>
      </c>
      <c r="AR5099">
        <v>-1024</v>
      </c>
      <c r="AZ5099">
        <v>1200</v>
      </c>
      <c r="BA5099">
        <v>1</v>
      </c>
      <c r="BB5099" t="str">
        <f t="shared" si="2344"/>
        <v xml:space="preserve">N711JA  </v>
      </c>
      <c r="BC5099">
        <v>1</v>
      </c>
      <c r="BE5099">
        <v>0</v>
      </c>
      <c r="BF5099">
        <v>0</v>
      </c>
      <c r="BG5099">
        <v>0</v>
      </c>
      <c r="BH5099">
        <v>2125</v>
      </c>
      <c r="BI5099">
        <v>1</v>
      </c>
      <c r="BJ5099">
        <v>1</v>
      </c>
      <c r="BK5099">
        <v>0</v>
      </c>
      <c r="BL5099">
        <v>0</v>
      </c>
      <c r="BO5099">
        <v>0</v>
      </c>
      <c r="BP5099">
        <v>0</v>
      </c>
      <c r="BW5099" t="str">
        <f t="shared" si="2351"/>
        <v>14:50:37.969</v>
      </c>
      <c r="CJ5099">
        <v>0</v>
      </c>
      <c r="CK5099">
        <v>2</v>
      </c>
      <c r="CL5099">
        <v>0</v>
      </c>
      <c r="CM5099">
        <v>2</v>
      </c>
      <c r="CN5099">
        <v>0</v>
      </c>
      <c r="CO5099">
        <v>6</v>
      </c>
      <c r="CP5099" t="s">
        <v>119</v>
      </c>
      <c r="CQ5099">
        <v>343</v>
      </c>
      <c r="CR5099">
        <v>2</v>
      </c>
      <c r="CW5099">
        <v>13376524</v>
      </c>
      <c r="CY5099">
        <v>1</v>
      </c>
      <c r="CZ5099">
        <v>0</v>
      </c>
      <c r="DA5099">
        <v>1</v>
      </c>
      <c r="DB5099">
        <v>0</v>
      </c>
      <c r="DC5099">
        <v>0</v>
      </c>
      <c r="DD5099">
        <v>1</v>
      </c>
      <c r="DE5099">
        <v>0</v>
      </c>
      <c r="DF5099">
        <v>0</v>
      </c>
      <c r="DG5099">
        <v>0</v>
      </c>
      <c r="DH5099">
        <v>0</v>
      </c>
      <c r="DI5099">
        <v>0</v>
      </c>
    </row>
    <row r="5100" spans="1:113" x14ac:dyDescent="0.3">
      <c r="A5100" t="str">
        <f t="shared" si="2349"/>
        <v>05/12/2020 14:50:20.128</v>
      </c>
      <c r="C5100" t="str">
        <f t="shared" si="2343"/>
        <v>FFDFD3C0</v>
      </c>
      <c r="D5100" t="s">
        <v>131</v>
      </c>
      <c r="E5100">
        <v>12</v>
      </c>
      <c r="F5100">
        <v>2012</v>
      </c>
      <c r="G5100" t="s">
        <v>137</v>
      </c>
      <c r="J5100" t="s">
        <v>133</v>
      </c>
      <c r="K5100">
        <v>0</v>
      </c>
      <c r="L5100">
        <v>3</v>
      </c>
      <c r="M5100">
        <v>0</v>
      </c>
      <c r="N5100">
        <v>2</v>
      </c>
      <c r="O5100">
        <v>1</v>
      </c>
      <c r="P5100">
        <v>0</v>
      </c>
      <c r="Q5100">
        <v>0</v>
      </c>
      <c r="S5100" t="str">
        <f t="shared" si="2350"/>
        <v>14:50:37.969</v>
      </c>
      <c r="T5100" t="str">
        <f t="shared" si="2350"/>
        <v>14:50:37.969</v>
      </c>
      <c r="U5100" t="str">
        <f t="shared" si="2334"/>
        <v>A9808D</v>
      </c>
      <c r="V5100">
        <v>0</v>
      </c>
      <c r="W5100">
        <v>0</v>
      </c>
      <c r="X5100">
        <v>1</v>
      </c>
      <c r="Z5100">
        <v>0</v>
      </c>
      <c r="AA5100">
        <v>9</v>
      </c>
      <c r="AB5100">
        <v>3</v>
      </c>
      <c r="AC5100">
        <v>0</v>
      </c>
      <c r="AD5100">
        <v>10</v>
      </c>
      <c r="AE5100">
        <v>0</v>
      </c>
      <c r="AF5100">
        <v>3</v>
      </c>
      <c r="AG5100">
        <v>2</v>
      </c>
      <c r="AH5100">
        <v>0</v>
      </c>
      <c r="AI5100" t="s">
        <v>1129</v>
      </c>
      <c r="AJ5100">
        <v>28.232438999999999</v>
      </c>
      <c r="AK5100" t="s">
        <v>1130</v>
      </c>
      <c r="AL5100">
        <v>-82.372784999999993</v>
      </c>
      <c r="AM5100">
        <v>100</v>
      </c>
      <c r="AN5100">
        <v>2000</v>
      </c>
      <c r="AO5100" t="s">
        <v>118</v>
      </c>
      <c r="AP5100">
        <v>-102</v>
      </c>
      <c r="AQ5100">
        <v>-54</v>
      </c>
      <c r="AR5100">
        <v>-1024</v>
      </c>
      <c r="AZ5100">
        <v>1200</v>
      </c>
      <c r="BA5100">
        <v>1</v>
      </c>
      <c r="BB5100" t="str">
        <f t="shared" si="2344"/>
        <v xml:space="preserve">N711JA  </v>
      </c>
      <c r="BC5100">
        <v>1</v>
      </c>
      <c r="BE5100">
        <v>0</v>
      </c>
      <c r="BF5100">
        <v>0</v>
      </c>
      <c r="BG5100">
        <v>0</v>
      </c>
      <c r="BH5100">
        <v>2125</v>
      </c>
      <c r="BI5100">
        <v>1</v>
      </c>
      <c r="BJ5100">
        <v>1</v>
      </c>
      <c r="BK5100">
        <v>0</v>
      </c>
      <c r="BL5100">
        <v>0</v>
      </c>
      <c r="BO5100">
        <v>0</v>
      </c>
      <c r="BP5100">
        <v>0</v>
      </c>
      <c r="BW5100" t="str">
        <f t="shared" si="2351"/>
        <v>14:50:37.969</v>
      </c>
      <c r="CJ5100">
        <v>0</v>
      </c>
      <c r="CK5100">
        <v>2</v>
      </c>
      <c r="CL5100">
        <v>0</v>
      </c>
      <c r="CM5100">
        <v>2</v>
      </c>
      <c r="CN5100">
        <v>0</v>
      </c>
      <c r="CO5100">
        <v>6</v>
      </c>
      <c r="CP5100" t="s">
        <v>119</v>
      </c>
      <c r="CQ5100">
        <v>343</v>
      </c>
      <c r="CR5100">
        <v>2</v>
      </c>
      <c r="CW5100">
        <v>13376524</v>
      </c>
      <c r="CY5100">
        <v>1</v>
      </c>
      <c r="CZ5100">
        <v>0</v>
      </c>
      <c r="DA5100">
        <v>1</v>
      </c>
      <c r="DB5100">
        <v>0</v>
      </c>
      <c r="DC5100">
        <v>0</v>
      </c>
      <c r="DD5100">
        <v>1</v>
      </c>
      <c r="DE5100">
        <v>0</v>
      </c>
      <c r="DF5100">
        <v>0</v>
      </c>
      <c r="DG5100">
        <v>0</v>
      </c>
      <c r="DH5100">
        <v>0</v>
      </c>
      <c r="DI5100">
        <v>0</v>
      </c>
    </row>
    <row r="5101" spans="1:113" x14ac:dyDescent="0.3">
      <c r="A5101" t="str">
        <f t="shared" si="2349"/>
        <v>05/12/2020 14:50:20.128</v>
      </c>
      <c r="C5101" t="str">
        <f t="shared" si="2343"/>
        <v>FFDFD3C0</v>
      </c>
      <c r="D5101" t="s">
        <v>113</v>
      </c>
      <c r="E5101">
        <v>3</v>
      </c>
      <c r="H5101">
        <v>164</v>
      </c>
      <c r="I5101" t="s">
        <v>114</v>
      </c>
      <c r="J5101" t="s">
        <v>115</v>
      </c>
      <c r="K5101">
        <v>0</v>
      </c>
      <c r="L5101">
        <v>3</v>
      </c>
      <c r="M5101">
        <v>0</v>
      </c>
      <c r="N5101">
        <v>2</v>
      </c>
      <c r="O5101">
        <v>1</v>
      </c>
      <c r="P5101">
        <v>0</v>
      </c>
      <c r="Q5101">
        <v>0</v>
      </c>
      <c r="S5101" t="str">
        <f t="shared" si="2350"/>
        <v>14:50:37.969</v>
      </c>
      <c r="T5101" t="str">
        <f t="shared" si="2350"/>
        <v>14:50:37.969</v>
      </c>
      <c r="U5101" t="str">
        <f t="shared" si="2334"/>
        <v>A9808D</v>
      </c>
      <c r="V5101">
        <v>0</v>
      </c>
      <c r="W5101">
        <v>0</v>
      </c>
      <c r="X5101">
        <v>1</v>
      </c>
      <c r="Z5101">
        <v>0</v>
      </c>
      <c r="AA5101">
        <v>9</v>
      </c>
      <c r="AB5101">
        <v>3</v>
      </c>
      <c r="AC5101">
        <v>0</v>
      </c>
      <c r="AD5101">
        <v>10</v>
      </c>
      <c r="AE5101">
        <v>0</v>
      </c>
      <c r="AF5101">
        <v>3</v>
      </c>
      <c r="AG5101">
        <v>2</v>
      </c>
      <c r="AH5101">
        <v>0</v>
      </c>
      <c r="AI5101" t="s">
        <v>1129</v>
      </c>
      <c r="AJ5101">
        <v>28.232438999999999</v>
      </c>
      <c r="AK5101" t="s">
        <v>1130</v>
      </c>
      <c r="AL5101">
        <v>-82.372784999999993</v>
      </c>
      <c r="AM5101">
        <v>100</v>
      </c>
      <c r="AN5101">
        <v>2000</v>
      </c>
      <c r="AO5101" t="s">
        <v>118</v>
      </c>
      <c r="AP5101">
        <v>-102</v>
      </c>
      <c r="AQ5101">
        <v>-54</v>
      </c>
      <c r="AR5101">
        <v>-1024</v>
      </c>
      <c r="AZ5101">
        <v>1200</v>
      </c>
      <c r="BA5101">
        <v>1</v>
      </c>
      <c r="BB5101" t="str">
        <f t="shared" si="2344"/>
        <v xml:space="preserve">N711JA  </v>
      </c>
      <c r="BC5101">
        <v>1</v>
      </c>
      <c r="BE5101">
        <v>0</v>
      </c>
      <c r="BF5101">
        <v>0</v>
      </c>
      <c r="BG5101">
        <v>0</v>
      </c>
      <c r="BH5101">
        <v>2125</v>
      </c>
      <c r="BI5101">
        <v>1</v>
      </c>
      <c r="BJ5101">
        <v>1</v>
      </c>
      <c r="BK5101">
        <v>0</v>
      </c>
      <c r="BL5101">
        <v>0</v>
      </c>
      <c r="BO5101">
        <v>0</v>
      </c>
      <c r="BP5101">
        <v>0</v>
      </c>
      <c r="BW5101" t="str">
        <f t="shared" si="2351"/>
        <v>14:50:37.969</v>
      </c>
      <c r="CJ5101">
        <v>0</v>
      </c>
      <c r="CK5101">
        <v>2</v>
      </c>
      <c r="CL5101">
        <v>0</v>
      </c>
      <c r="CM5101">
        <v>2</v>
      </c>
      <c r="CN5101">
        <v>0</v>
      </c>
      <c r="CO5101">
        <v>6</v>
      </c>
      <c r="CP5101" t="s">
        <v>119</v>
      </c>
      <c r="CQ5101">
        <v>343</v>
      </c>
      <c r="CR5101">
        <v>2</v>
      </c>
      <c r="CW5101">
        <v>13376524</v>
      </c>
      <c r="CY5101">
        <v>1</v>
      </c>
      <c r="CZ5101">
        <v>0</v>
      </c>
      <c r="DA5101">
        <v>1</v>
      </c>
      <c r="DB5101">
        <v>0</v>
      </c>
      <c r="DC5101">
        <v>0</v>
      </c>
      <c r="DD5101">
        <v>1</v>
      </c>
      <c r="DE5101">
        <v>0</v>
      </c>
      <c r="DF5101">
        <v>0</v>
      </c>
      <c r="DG5101">
        <v>0</v>
      </c>
      <c r="DH5101">
        <v>0</v>
      </c>
      <c r="DI5101">
        <v>0</v>
      </c>
    </row>
    <row r="5102" spans="1:113" x14ac:dyDescent="0.3">
      <c r="A5102" t="str">
        <f t="shared" ref="A5102:A5110" si="2352">"05/12/2020 14:50:20.985"</f>
        <v>05/12/2020 14:50:20.985</v>
      </c>
      <c r="C5102" t="str">
        <f t="shared" si="2343"/>
        <v>FFDFD3C0</v>
      </c>
      <c r="D5102" t="s">
        <v>131</v>
      </c>
      <c r="E5102">
        <v>18</v>
      </c>
      <c r="F5102">
        <v>2018</v>
      </c>
      <c r="G5102" t="s">
        <v>161</v>
      </c>
      <c r="J5102" t="s">
        <v>133</v>
      </c>
      <c r="K5102">
        <v>0</v>
      </c>
      <c r="L5102">
        <v>3</v>
      </c>
      <c r="M5102">
        <v>0</v>
      </c>
      <c r="N5102">
        <v>2</v>
      </c>
      <c r="O5102">
        <v>1</v>
      </c>
      <c r="P5102">
        <v>0</v>
      </c>
      <c r="Q5102">
        <v>0</v>
      </c>
      <c r="S5102" t="str">
        <f t="shared" ref="S5102:S5110" si="2353">"14:50:38.820"</f>
        <v>14:50:38.820</v>
      </c>
      <c r="T5102" t="str">
        <f t="shared" ref="T5102:T5110" si="2354">"14:50:38.420"</f>
        <v>14:50:38.420</v>
      </c>
      <c r="U5102" t="str">
        <f t="shared" si="2334"/>
        <v>A9808D</v>
      </c>
      <c r="V5102">
        <v>0</v>
      </c>
      <c r="W5102">
        <v>0</v>
      </c>
      <c r="X5102">
        <v>1</v>
      </c>
      <c r="Z5102">
        <v>0</v>
      </c>
      <c r="AA5102">
        <v>9</v>
      </c>
      <c r="AB5102">
        <v>3</v>
      </c>
      <c r="AC5102">
        <v>0</v>
      </c>
      <c r="AD5102">
        <v>10</v>
      </c>
      <c r="AE5102">
        <v>0</v>
      </c>
      <c r="AF5102">
        <v>3</v>
      </c>
      <c r="AG5102">
        <v>2</v>
      </c>
      <c r="AH5102">
        <v>0</v>
      </c>
      <c r="AI5102" t="s">
        <v>1131</v>
      </c>
      <c r="AJ5102">
        <v>28.232244999999999</v>
      </c>
      <c r="AK5102" t="s">
        <v>1132</v>
      </c>
      <c r="AL5102">
        <v>-82.373214000000004</v>
      </c>
      <c r="AM5102">
        <v>100</v>
      </c>
      <c r="AN5102">
        <v>2000</v>
      </c>
      <c r="AO5102" t="s">
        <v>118</v>
      </c>
      <c r="AP5102">
        <v>-102</v>
      </c>
      <c r="AQ5102">
        <v>-55</v>
      </c>
      <c r="AR5102">
        <v>-1088</v>
      </c>
      <c r="AZ5102">
        <v>1200</v>
      </c>
      <c r="BA5102">
        <v>1</v>
      </c>
      <c r="BB5102" t="str">
        <f t="shared" si="2344"/>
        <v xml:space="preserve">N711JA  </v>
      </c>
      <c r="BC5102">
        <v>1</v>
      </c>
      <c r="BE5102">
        <v>0</v>
      </c>
      <c r="BF5102">
        <v>0</v>
      </c>
      <c r="BG5102">
        <v>0</v>
      </c>
      <c r="BH5102">
        <v>2125</v>
      </c>
      <c r="BI5102">
        <v>1</v>
      </c>
      <c r="BJ5102">
        <v>1</v>
      </c>
      <c r="BK5102">
        <v>0</v>
      </c>
      <c r="BL5102">
        <v>0</v>
      </c>
      <c r="BO5102">
        <v>0</v>
      </c>
      <c r="BP5102">
        <v>0</v>
      </c>
      <c r="BW5102" t="str">
        <f t="shared" ref="BW5102:BW5110" si="2355">"14:50:38.825"</f>
        <v>14:50:38.825</v>
      </c>
      <c r="CJ5102">
        <v>0</v>
      </c>
      <c r="CK5102">
        <v>2</v>
      </c>
      <c r="CL5102">
        <v>0</v>
      </c>
      <c r="CM5102">
        <v>2</v>
      </c>
      <c r="CN5102">
        <v>0</v>
      </c>
      <c r="CO5102">
        <v>7</v>
      </c>
      <c r="CP5102" t="s">
        <v>119</v>
      </c>
      <c r="CQ5102">
        <v>343</v>
      </c>
      <c r="CR5102">
        <v>1</v>
      </c>
      <c r="CW5102">
        <v>11111458</v>
      </c>
      <c r="CY5102">
        <v>1</v>
      </c>
      <c r="CZ5102">
        <v>0</v>
      </c>
      <c r="DA5102">
        <v>0</v>
      </c>
      <c r="DB5102">
        <v>0</v>
      </c>
      <c r="DC5102">
        <v>0</v>
      </c>
      <c r="DD5102">
        <v>1</v>
      </c>
      <c r="DE5102">
        <v>0</v>
      </c>
      <c r="DF5102">
        <v>0</v>
      </c>
      <c r="DG5102">
        <v>0</v>
      </c>
      <c r="DH5102">
        <v>0</v>
      </c>
      <c r="DI5102">
        <v>0</v>
      </c>
    </row>
    <row r="5103" spans="1:113" x14ac:dyDescent="0.3">
      <c r="A5103" t="str">
        <f t="shared" si="2352"/>
        <v>05/12/2020 14:50:20.985</v>
      </c>
      <c r="C5103" t="str">
        <f t="shared" si="2343"/>
        <v>FFDFD3C0</v>
      </c>
      <c r="D5103" t="s">
        <v>113</v>
      </c>
      <c r="E5103">
        <v>3</v>
      </c>
      <c r="H5103">
        <v>164</v>
      </c>
      <c r="I5103" t="s">
        <v>114</v>
      </c>
      <c r="J5103" t="s">
        <v>115</v>
      </c>
      <c r="K5103">
        <v>0</v>
      </c>
      <c r="L5103">
        <v>3</v>
      </c>
      <c r="M5103">
        <v>0</v>
      </c>
      <c r="N5103">
        <v>2</v>
      </c>
      <c r="O5103">
        <v>1</v>
      </c>
      <c r="P5103">
        <v>0</v>
      </c>
      <c r="Q5103">
        <v>0</v>
      </c>
      <c r="S5103" t="str">
        <f t="shared" si="2353"/>
        <v>14:50:38.820</v>
      </c>
      <c r="T5103" t="str">
        <f t="shared" si="2354"/>
        <v>14:50:38.420</v>
      </c>
      <c r="U5103" t="str">
        <f t="shared" si="2334"/>
        <v>A9808D</v>
      </c>
      <c r="V5103">
        <v>0</v>
      </c>
      <c r="W5103">
        <v>0</v>
      </c>
      <c r="X5103">
        <v>1</v>
      </c>
      <c r="Z5103">
        <v>0</v>
      </c>
      <c r="AA5103">
        <v>9</v>
      </c>
      <c r="AB5103">
        <v>3</v>
      </c>
      <c r="AC5103">
        <v>0</v>
      </c>
      <c r="AD5103">
        <v>10</v>
      </c>
      <c r="AE5103">
        <v>0</v>
      </c>
      <c r="AF5103">
        <v>3</v>
      </c>
      <c r="AG5103">
        <v>2</v>
      </c>
      <c r="AH5103">
        <v>0</v>
      </c>
      <c r="AI5103" t="s">
        <v>1131</v>
      </c>
      <c r="AJ5103">
        <v>28.232244999999999</v>
      </c>
      <c r="AK5103" t="s">
        <v>1132</v>
      </c>
      <c r="AL5103">
        <v>-82.373214000000004</v>
      </c>
      <c r="AM5103">
        <v>100</v>
      </c>
      <c r="AN5103">
        <v>2000</v>
      </c>
      <c r="AO5103" t="s">
        <v>118</v>
      </c>
      <c r="AP5103">
        <v>-102</v>
      </c>
      <c r="AQ5103">
        <v>-55</v>
      </c>
      <c r="AR5103">
        <v>-1088</v>
      </c>
      <c r="AZ5103">
        <v>1200</v>
      </c>
      <c r="BA5103">
        <v>1</v>
      </c>
      <c r="BB5103" t="str">
        <f t="shared" si="2344"/>
        <v xml:space="preserve">N711JA  </v>
      </c>
      <c r="BC5103">
        <v>1</v>
      </c>
      <c r="BE5103">
        <v>0</v>
      </c>
      <c r="BF5103">
        <v>0</v>
      </c>
      <c r="BG5103">
        <v>0</v>
      </c>
      <c r="BH5103">
        <v>2125</v>
      </c>
      <c r="BI5103">
        <v>1</v>
      </c>
      <c r="BJ5103">
        <v>1</v>
      </c>
      <c r="BK5103">
        <v>0</v>
      </c>
      <c r="BL5103">
        <v>0</v>
      </c>
      <c r="BO5103">
        <v>0</v>
      </c>
      <c r="BP5103">
        <v>0</v>
      </c>
      <c r="BW5103" t="str">
        <f t="shared" si="2355"/>
        <v>14:50:38.825</v>
      </c>
      <c r="CJ5103">
        <v>0</v>
      </c>
      <c r="CK5103">
        <v>2</v>
      </c>
      <c r="CL5103">
        <v>0</v>
      </c>
      <c r="CM5103">
        <v>2</v>
      </c>
      <c r="CN5103">
        <v>0</v>
      </c>
      <c r="CO5103">
        <v>7</v>
      </c>
      <c r="CP5103" t="s">
        <v>119</v>
      </c>
      <c r="CQ5103">
        <v>343</v>
      </c>
      <c r="CR5103">
        <v>1</v>
      </c>
      <c r="CW5103">
        <v>11111458</v>
      </c>
      <c r="CY5103">
        <v>1</v>
      </c>
      <c r="CZ5103">
        <v>0</v>
      </c>
      <c r="DA5103">
        <v>1</v>
      </c>
      <c r="DB5103">
        <v>0</v>
      </c>
      <c r="DC5103">
        <v>0</v>
      </c>
      <c r="DD5103">
        <v>1</v>
      </c>
      <c r="DE5103">
        <v>0</v>
      </c>
      <c r="DF5103">
        <v>0</v>
      </c>
      <c r="DG5103">
        <v>0</v>
      </c>
      <c r="DH5103">
        <v>0</v>
      </c>
      <c r="DI5103">
        <v>0</v>
      </c>
    </row>
    <row r="5104" spans="1:113" x14ac:dyDescent="0.3">
      <c r="A5104" t="str">
        <f t="shared" si="2352"/>
        <v>05/12/2020 14:50:20.985</v>
      </c>
      <c r="C5104" t="str">
        <f t="shared" si="2343"/>
        <v>FFDFD3C0</v>
      </c>
      <c r="D5104" t="s">
        <v>138</v>
      </c>
      <c r="E5104">
        <v>2</v>
      </c>
      <c r="H5104">
        <v>8</v>
      </c>
      <c r="I5104" t="s">
        <v>139</v>
      </c>
      <c r="J5104" t="s">
        <v>136</v>
      </c>
      <c r="K5104">
        <v>0</v>
      </c>
      <c r="L5104">
        <v>3</v>
      </c>
      <c r="M5104">
        <v>0</v>
      </c>
      <c r="N5104">
        <v>2</v>
      </c>
      <c r="O5104">
        <v>1</v>
      </c>
      <c r="P5104">
        <v>0</v>
      </c>
      <c r="Q5104">
        <v>0</v>
      </c>
      <c r="S5104" t="str">
        <f t="shared" si="2353"/>
        <v>14:50:38.820</v>
      </c>
      <c r="T5104" t="str">
        <f t="shared" si="2354"/>
        <v>14:50:38.420</v>
      </c>
      <c r="U5104" t="str">
        <f t="shared" si="2334"/>
        <v>A9808D</v>
      </c>
      <c r="V5104">
        <v>0</v>
      </c>
      <c r="W5104">
        <v>0</v>
      </c>
      <c r="X5104">
        <v>1</v>
      </c>
      <c r="Z5104">
        <v>0</v>
      </c>
      <c r="AA5104">
        <v>9</v>
      </c>
      <c r="AB5104">
        <v>3</v>
      </c>
      <c r="AC5104">
        <v>0</v>
      </c>
      <c r="AD5104">
        <v>10</v>
      </c>
      <c r="AE5104">
        <v>0</v>
      </c>
      <c r="AF5104">
        <v>3</v>
      </c>
      <c r="AG5104">
        <v>2</v>
      </c>
      <c r="AH5104">
        <v>0</v>
      </c>
      <c r="AI5104" t="s">
        <v>1131</v>
      </c>
      <c r="AJ5104">
        <v>28.232244999999999</v>
      </c>
      <c r="AK5104" t="s">
        <v>1132</v>
      </c>
      <c r="AL5104">
        <v>-82.373214000000004</v>
      </c>
      <c r="AM5104">
        <v>100</v>
      </c>
      <c r="AN5104">
        <v>2000</v>
      </c>
      <c r="AO5104" t="s">
        <v>118</v>
      </c>
      <c r="AP5104">
        <v>-102</v>
      </c>
      <c r="AQ5104">
        <v>-55</v>
      </c>
      <c r="AR5104">
        <v>-1088</v>
      </c>
      <c r="AZ5104">
        <v>1200</v>
      </c>
      <c r="BA5104">
        <v>1</v>
      </c>
      <c r="BB5104" t="str">
        <f t="shared" si="2344"/>
        <v xml:space="preserve">N711JA  </v>
      </c>
      <c r="BC5104">
        <v>1</v>
      </c>
      <c r="BE5104">
        <v>0</v>
      </c>
      <c r="BF5104">
        <v>0</v>
      </c>
      <c r="BG5104">
        <v>0</v>
      </c>
      <c r="BH5104">
        <v>2125</v>
      </c>
      <c r="BI5104">
        <v>1</v>
      </c>
      <c r="BJ5104">
        <v>1</v>
      </c>
      <c r="BK5104">
        <v>0</v>
      </c>
      <c r="BL5104">
        <v>0</v>
      </c>
      <c r="BO5104">
        <v>0</v>
      </c>
      <c r="BP5104">
        <v>0</v>
      </c>
      <c r="BW5104" t="str">
        <f t="shared" si="2355"/>
        <v>14:50:38.825</v>
      </c>
      <c r="CJ5104">
        <v>0</v>
      </c>
      <c r="CK5104">
        <v>2</v>
      </c>
      <c r="CL5104">
        <v>0</v>
      </c>
      <c r="CM5104">
        <v>2</v>
      </c>
      <c r="CN5104">
        <v>0</v>
      </c>
      <c r="CO5104">
        <v>7</v>
      </c>
      <c r="CP5104" t="s">
        <v>119</v>
      </c>
      <c r="CQ5104">
        <v>343</v>
      </c>
      <c r="CR5104">
        <v>1</v>
      </c>
      <c r="CW5104">
        <v>11111458</v>
      </c>
      <c r="CY5104">
        <v>1</v>
      </c>
      <c r="CZ5104">
        <v>0</v>
      </c>
      <c r="DA5104">
        <v>1</v>
      </c>
      <c r="DB5104">
        <v>0</v>
      </c>
      <c r="DC5104">
        <v>0</v>
      </c>
      <c r="DD5104">
        <v>1</v>
      </c>
      <c r="DE5104">
        <v>0</v>
      </c>
      <c r="DF5104">
        <v>0</v>
      </c>
      <c r="DG5104">
        <v>0</v>
      </c>
      <c r="DH5104">
        <v>0</v>
      </c>
      <c r="DI5104">
        <v>0</v>
      </c>
    </row>
    <row r="5105" spans="1:113" x14ac:dyDescent="0.3">
      <c r="A5105" t="str">
        <f t="shared" si="2352"/>
        <v>05/12/2020 14:50:20.985</v>
      </c>
      <c r="C5105" t="str">
        <f t="shared" si="2343"/>
        <v>FFDFD3C0</v>
      </c>
      <c r="D5105" t="s">
        <v>138</v>
      </c>
      <c r="E5105">
        <v>3</v>
      </c>
      <c r="H5105">
        <v>9</v>
      </c>
      <c r="I5105" t="s">
        <v>140</v>
      </c>
      <c r="J5105" t="s">
        <v>136</v>
      </c>
      <c r="K5105">
        <v>0</v>
      </c>
      <c r="L5105">
        <v>3</v>
      </c>
      <c r="M5105">
        <v>0</v>
      </c>
      <c r="N5105">
        <v>2</v>
      </c>
      <c r="O5105">
        <v>1</v>
      </c>
      <c r="P5105">
        <v>0</v>
      </c>
      <c r="Q5105">
        <v>0</v>
      </c>
      <c r="S5105" t="str">
        <f t="shared" si="2353"/>
        <v>14:50:38.820</v>
      </c>
      <c r="T5105" t="str">
        <f t="shared" si="2354"/>
        <v>14:50:38.420</v>
      </c>
      <c r="U5105" t="str">
        <f t="shared" si="2334"/>
        <v>A9808D</v>
      </c>
      <c r="V5105">
        <v>0</v>
      </c>
      <c r="W5105">
        <v>0</v>
      </c>
      <c r="X5105">
        <v>1</v>
      </c>
      <c r="Z5105">
        <v>0</v>
      </c>
      <c r="AA5105">
        <v>9</v>
      </c>
      <c r="AB5105">
        <v>3</v>
      </c>
      <c r="AC5105">
        <v>0</v>
      </c>
      <c r="AD5105">
        <v>10</v>
      </c>
      <c r="AE5105">
        <v>0</v>
      </c>
      <c r="AF5105">
        <v>3</v>
      </c>
      <c r="AG5105">
        <v>2</v>
      </c>
      <c r="AH5105">
        <v>0</v>
      </c>
      <c r="AI5105" t="s">
        <v>1131</v>
      </c>
      <c r="AJ5105">
        <v>28.232244999999999</v>
      </c>
      <c r="AK5105" t="s">
        <v>1132</v>
      </c>
      <c r="AL5105">
        <v>-82.373214000000004</v>
      </c>
      <c r="AM5105">
        <v>100</v>
      </c>
      <c r="AN5105">
        <v>2000</v>
      </c>
      <c r="AO5105" t="s">
        <v>118</v>
      </c>
      <c r="AP5105">
        <v>-102</v>
      </c>
      <c r="AQ5105">
        <v>-55</v>
      </c>
      <c r="AR5105">
        <v>-1088</v>
      </c>
      <c r="AZ5105">
        <v>1200</v>
      </c>
      <c r="BA5105">
        <v>1</v>
      </c>
      <c r="BB5105" t="str">
        <f t="shared" si="2344"/>
        <v xml:space="preserve">N711JA  </v>
      </c>
      <c r="BC5105">
        <v>1</v>
      </c>
      <c r="BE5105">
        <v>0</v>
      </c>
      <c r="BF5105">
        <v>0</v>
      </c>
      <c r="BG5105">
        <v>0</v>
      </c>
      <c r="BH5105">
        <v>2125</v>
      </c>
      <c r="BI5105">
        <v>1</v>
      </c>
      <c r="BJ5105">
        <v>1</v>
      </c>
      <c r="BK5105">
        <v>0</v>
      </c>
      <c r="BL5105">
        <v>0</v>
      </c>
      <c r="BO5105">
        <v>0</v>
      </c>
      <c r="BP5105">
        <v>0</v>
      </c>
      <c r="BW5105" t="str">
        <f t="shared" si="2355"/>
        <v>14:50:38.825</v>
      </c>
      <c r="CJ5105">
        <v>0</v>
      </c>
      <c r="CK5105">
        <v>2</v>
      </c>
      <c r="CL5105">
        <v>0</v>
      </c>
      <c r="CM5105">
        <v>2</v>
      </c>
      <c r="CN5105">
        <v>0</v>
      </c>
      <c r="CO5105">
        <v>7</v>
      </c>
      <c r="CP5105" t="s">
        <v>119</v>
      </c>
      <c r="CQ5105">
        <v>343</v>
      </c>
      <c r="CR5105">
        <v>1</v>
      </c>
      <c r="CW5105">
        <v>11111458</v>
      </c>
      <c r="CY5105">
        <v>1</v>
      </c>
      <c r="CZ5105">
        <v>0</v>
      </c>
      <c r="DA5105">
        <v>1</v>
      </c>
      <c r="DB5105">
        <v>0</v>
      </c>
      <c r="DC5105">
        <v>0</v>
      </c>
      <c r="DD5105">
        <v>1</v>
      </c>
      <c r="DE5105">
        <v>0</v>
      </c>
      <c r="DF5105">
        <v>0</v>
      </c>
      <c r="DG5105">
        <v>0</v>
      </c>
      <c r="DH5105">
        <v>0</v>
      </c>
      <c r="DI5105">
        <v>0</v>
      </c>
    </row>
    <row r="5106" spans="1:113" x14ac:dyDescent="0.3">
      <c r="A5106" t="str">
        <f t="shared" si="2352"/>
        <v>05/12/2020 14:50:20.985</v>
      </c>
      <c r="C5106" t="str">
        <f t="shared" si="2343"/>
        <v>FFDFD3C0</v>
      </c>
      <c r="D5106" t="s">
        <v>126</v>
      </c>
      <c r="E5106">
        <v>6</v>
      </c>
      <c r="F5106">
        <v>1006</v>
      </c>
      <c r="G5106" t="s">
        <v>114</v>
      </c>
      <c r="J5106" t="s">
        <v>128</v>
      </c>
      <c r="K5106">
        <v>0</v>
      </c>
      <c r="L5106">
        <v>3</v>
      </c>
      <c r="M5106">
        <v>0</v>
      </c>
      <c r="N5106">
        <v>2</v>
      </c>
      <c r="O5106">
        <v>1</v>
      </c>
      <c r="P5106">
        <v>0</v>
      </c>
      <c r="Q5106">
        <v>0</v>
      </c>
      <c r="S5106" t="str">
        <f t="shared" si="2353"/>
        <v>14:50:38.820</v>
      </c>
      <c r="T5106" t="str">
        <f t="shared" si="2354"/>
        <v>14:50:38.420</v>
      </c>
      <c r="U5106" t="str">
        <f t="shared" si="2334"/>
        <v>A9808D</v>
      </c>
      <c r="V5106">
        <v>0</v>
      </c>
      <c r="W5106">
        <v>0</v>
      </c>
      <c r="X5106">
        <v>1</v>
      </c>
      <c r="Z5106">
        <v>0</v>
      </c>
      <c r="AA5106">
        <v>9</v>
      </c>
      <c r="AB5106">
        <v>3</v>
      </c>
      <c r="AC5106">
        <v>0</v>
      </c>
      <c r="AD5106">
        <v>10</v>
      </c>
      <c r="AE5106">
        <v>0</v>
      </c>
      <c r="AF5106">
        <v>3</v>
      </c>
      <c r="AG5106">
        <v>2</v>
      </c>
      <c r="AH5106">
        <v>0</v>
      </c>
      <c r="AI5106" t="s">
        <v>1131</v>
      </c>
      <c r="AJ5106">
        <v>28.232244999999999</v>
      </c>
      <c r="AK5106" t="s">
        <v>1132</v>
      </c>
      <c r="AL5106">
        <v>-82.373214000000004</v>
      </c>
      <c r="AM5106">
        <v>100</v>
      </c>
      <c r="AN5106">
        <v>2000</v>
      </c>
      <c r="AO5106" t="s">
        <v>118</v>
      </c>
      <c r="AP5106">
        <v>-102</v>
      </c>
      <c r="AQ5106">
        <v>-55</v>
      </c>
      <c r="AR5106">
        <v>-1088</v>
      </c>
      <c r="AZ5106">
        <v>1200</v>
      </c>
      <c r="BA5106">
        <v>1</v>
      </c>
      <c r="BB5106" t="str">
        <f t="shared" si="2344"/>
        <v xml:space="preserve">N711JA  </v>
      </c>
      <c r="BC5106">
        <v>1</v>
      </c>
      <c r="BE5106">
        <v>0</v>
      </c>
      <c r="BF5106">
        <v>0</v>
      </c>
      <c r="BG5106">
        <v>0</v>
      </c>
      <c r="BH5106">
        <v>2125</v>
      </c>
      <c r="BI5106">
        <v>1</v>
      </c>
      <c r="BJ5106">
        <v>1</v>
      </c>
      <c r="BK5106">
        <v>0</v>
      </c>
      <c r="BL5106">
        <v>0</v>
      </c>
      <c r="BO5106">
        <v>0</v>
      </c>
      <c r="BP5106">
        <v>0</v>
      </c>
      <c r="BW5106" t="str">
        <f t="shared" si="2355"/>
        <v>14:50:38.825</v>
      </c>
      <c r="CJ5106">
        <v>0</v>
      </c>
      <c r="CK5106">
        <v>2</v>
      </c>
      <c r="CL5106">
        <v>0</v>
      </c>
      <c r="CM5106">
        <v>2</v>
      </c>
      <c r="CN5106">
        <v>0</v>
      </c>
      <c r="CO5106">
        <v>7</v>
      </c>
      <c r="CP5106" t="s">
        <v>119</v>
      </c>
      <c r="CQ5106">
        <v>343</v>
      </c>
      <c r="CR5106">
        <v>1</v>
      </c>
      <c r="CW5106">
        <v>11111458</v>
      </c>
      <c r="CY5106">
        <v>1</v>
      </c>
      <c r="CZ5106">
        <v>0</v>
      </c>
      <c r="DA5106">
        <v>1</v>
      </c>
      <c r="DB5106">
        <v>0</v>
      </c>
      <c r="DC5106">
        <v>0</v>
      </c>
      <c r="DD5106">
        <v>1</v>
      </c>
      <c r="DE5106">
        <v>0</v>
      </c>
      <c r="DF5106">
        <v>0</v>
      </c>
      <c r="DG5106">
        <v>0</v>
      </c>
      <c r="DH5106">
        <v>0</v>
      </c>
      <c r="DI5106">
        <v>0</v>
      </c>
    </row>
    <row r="5107" spans="1:113" x14ac:dyDescent="0.3">
      <c r="A5107" t="str">
        <f t="shared" si="2352"/>
        <v>05/12/2020 14:50:20.985</v>
      </c>
      <c r="C5107" t="str">
        <f t="shared" si="2343"/>
        <v>FFDFD3C0</v>
      </c>
      <c r="D5107" t="s">
        <v>134</v>
      </c>
      <c r="E5107">
        <v>12</v>
      </c>
      <c r="H5107">
        <v>64</v>
      </c>
      <c r="I5107" t="s">
        <v>135</v>
      </c>
      <c r="J5107" t="s">
        <v>136</v>
      </c>
      <c r="K5107">
        <v>0</v>
      </c>
      <c r="L5107">
        <v>3</v>
      </c>
      <c r="M5107">
        <v>0</v>
      </c>
      <c r="N5107">
        <v>2</v>
      </c>
      <c r="O5107">
        <v>1</v>
      </c>
      <c r="P5107">
        <v>0</v>
      </c>
      <c r="Q5107">
        <v>0</v>
      </c>
      <c r="S5107" t="str">
        <f t="shared" si="2353"/>
        <v>14:50:38.820</v>
      </c>
      <c r="T5107" t="str">
        <f t="shared" si="2354"/>
        <v>14:50:38.420</v>
      </c>
      <c r="U5107" t="str">
        <f t="shared" si="2334"/>
        <v>A9808D</v>
      </c>
      <c r="V5107">
        <v>0</v>
      </c>
      <c r="W5107">
        <v>0</v>
      </c>
      <c r="X5107">
        <v>1</v>
      </c>
      <c r="Z5107">
        <v>0</v>
      </c>
      <c r="AA5107">
        <v>9</v>
      </c>
      <c r="AB5107">
        <v>3</v>
      </c>
      <c r="AC5107">
        <v>0</v>
      </c>
      <c r="AD5107">
        <v>10</v>
      </c>
      <c r="AE5107">
        <v>0</v>
      </c>
      <c r="AF5107">
        <v>3</v>
      </c>
      <c r="AG5107">
        <v>2</v>
      </c>
      <c r="AH5107">
        <v>0</v>
      </c>
      <c r="AI5107" t="s">
        <v>1131</v>
      </c>
      <c r="AJ5107">
        <v>28.232244999999999</v>
      </c>
      <c r="AK5107" t="s">
        <v>1132</v>
      </c>
      <c r="AL5107">
        <v>-82.373214000000004</v>
      </c>
      <c r="AM5107">
        <v>100</v>
      </c>
      <c r="AN5107">
        <v>2000</v>
      </c>
      <c r="AO5107" t="s">
        <v>118</v>
      </c>
      <c r="AP5107">
        <v>-102</v>
      </c>
      <c r="AQ5107">
        <v>-55</v>
      </c>
      <c r="AR5107">
        <v>-1088</v>
      </c>
      <c r="AZ5107">
        <v>1200</v>
      </c>
      <c r="BA5107">
        <v>1</v>
      </c>
      <c r="BB5107" t="str">
        <f t="shared" si="2344"/>
        <v xml:space="preserve">N711JA  </v>
      </c>
      <c r="BC5107">
        <v>1</v>
      </c>
      <c r="BE5107">
        <v>0</v>
      </c>
      <c r="BF5107">
        <v>0</v>
      </c>
      <c r="BG5107">
        <v>0</v>
      </c>
      <c r="BH5107">
        <v>2125</v>
      </c>
      <c r="BI5107">
        <v>1</v>
      </c>
      <c r="BJ5107">
        <v>1</v>
      </c>
      <c r="BK5107">
        <v>0</v>
      </c>
      <c r="BL5107">
        <v>0</v>
      </c>
      <c r="BO5107">
        <v>0</v>
      </c>
      <c r="BP5107">
        <v>0</v>
      </c>
      <c r="BW5107" t="str">
        <f t="shared" si="2355"/>
        <v>14:50:38.825</v>
      </c>
      <c r="CJ5107">
        <v>0</v>
      </c>
      <c r="CK5107">
        <v>2</v>
      </c>
      <c r="CL5107">
        <v>0</v>
      </c>
      <c r="CM5107">
        <v>2</v>
      </c>
      <c r="CN5107">
        <v>0</v>
      </c>
      <c r="CO5107">
        <v>7</v>
      </c>
      <c r="CP5107" t="s">
        <v>119</v>
      </c>
      <c r="CQ5107">
        <v>343</v>
      </c>
      <c r="CR5107">
        <v>1</v>
      </c>
      <c r="CW5107">
        <v>11111458</v>
      </c>
      <c r="CY5107">
        <v>1</v>
      </c>
      <c r="CZ5107">
        <v>0</v>
      </c>
      <c r="DA5107">
        <v>1</v>
      </c>
      <c r="DB5107">
        <v>0</v>
      </c>
      <c r="DC5107">
        <v>0</v>
      </c>
      <c r="DD5107">
        <v>1</v>
      </c>
      <c r="DE5107">
        <v>0</v>
      </c>
      <c r="DF5107">
        <v>0</v>
      </c>
      <c r="DG5107">
        <v>0</v>
      </c>
      <c r="DH5107">
        <v>0</v>
      </c>
      <c r="DI5107">
        <v>0</v>
      </c>
    </row>
    <row r="5108" spans="1:113" x14ac:dyDescent="0.3">
      <c r="A5108" t="str">
        <f t="shared" si="2352"/>
        <v>05/12/2020 14:50:20.985</v>
      </c>
      <c r="C5108" t="str">
        <f t="shared" si="2343"/>
        <v>FFDFD3C0</v>
      </c>
      <c r="D5108" t="s">
        <v>131</v>
      </c>
      <c r="E5108">
        <v>10</v>
      </c>
      <c r="F5108">
        <v>2010</v>
      </c>
      <c r="G5108" t="s">
        <v>132</v>
      </c>
      <c r="J5108" t="s">
        <v>133</v>
      </c>
      <c r="K5108">
        <v>0</v>
      </c>
      <c r="L5108">
        <v>3</v>
      </c>
      <c r="M5108">
        <v>0</v>
      </c>
      <c r="N5108">
        <v>2</v>
      </c>
      <c r="O5108">
        <v>1</v>
      </c>
      <c r="P5108">
        <v>0</v>
      </c>
      <c r="Q5108">
        <v>0</v>
      </c>
      <c r="S5108" t="str">
        <f t="shared" si="2353"/>
        <v>14:50:38.820</v>
      </c>
      <c r="T5108" t="str">
        <f t="shared" si="2354"/>
        <v>14:50:38.420</v>
      </c>
      <c r="U5108" t="str">
        <f t="shared" si="2334"/>
        <v>A9808D</v>
      </c>
      <c r="V5108">
        <v>0</v>
      </c>
      <c r="W5108">
        <v>0</v>
      </c>
      <c r="X5108">
        <v>1</v>
      </c>
      <c r="Z5108">
        <v>0</v>
      </c>
      <c r="AA5108">
        <v>9</v>
      </c>
      <c r="AB5108">
        <v>3</v>
      </c>
      <c r="AC5108">
        <v>0</v>
      </c>
      <c r="AD5108">
        <v>10</v>
      </c>
      <c r="AE5108">
        <v>0</v>
      </c>
      <c r="AF5108">
        <v>3</v>
      </c>
      <c r="AG5108">
        <v>2</v>
      </c>
      <c r="AH5108">
        <v>0</v>
      </c>
      <c r="AI5108" t="s">
        <v>1131</v>
      </c>
      <c r="AJ5108">
        <v>28.232244999999999</v>
      </c>
      <c r="AK5108" t="s">
        <v>1132</v>
      </c>
      <c r="AL5108">
        <v>-82.373214000000004</v>
      </c>
      <c r="AM5108">
        <v>100</v>
      </c>
      <c r="AN5108">
        <v>2000</v>
      </c>
      <c r="AO5108" t="s">
        <v>118</v>
      </c>
      <c r="AP5108">
        <v>-102</v>
      </c>
      <c r="AQ5108">
        <v>-55</v>
      </c>
      <c r="AR5108">
        <v>-1088</v>
      </c>
      <c r="AZ5108">
        <v>1200</v>
      </c>
      <c r="BA5108">
        <v>1</v>
      </c>
      <c r="BB5108" t="str">
        <f t="shared" si="2344"/>
        <v xml:space="preserve">N711JA  </v>
      </c>
      <c r="BC5108">
        <v>1</v>
      </c>
      <c r="BE5108">
        <v>0</v>
      </c>
      <c r="BF5108">
        <v>0</v>
      </c>
      <c r="BG5108">
        <v>0</v>
      </c>
      <c r="BH5108">
        <v>2125</v>
      </c>
      <c r="BI5108">
        <v>1</v>
      </c>
      <c r="BJ5108">
        <v>1</v>
      </c>
      <c r="BK5108">
        <v>0</v>
      </c>
      <c r="BL5108">
        <v>0</v>
      </c>
      <c r="BO5108">
        <v>0</v>
      </c>
      <c r="BP5108">
        <v>0</v>
      </c>
      <c r="BW5108" t="str">
        <f t="shared" si="2355"/>
        <v>14:50:38.825</v>
      </c>
      <c r="CJ5108">
        <v>0</v>
      </c>
      <c r="CK5108">
        <v>2</v>
      </c>
      <c r="CL5108">
        <v>0</v>
      </c>
      <c r="CM5108">
        <v>2</v>
      </c>
      <c r="CN5108">
        <v>0</v>
      </c>
      <c r="CO5108">
        <v>7</v>
      </c>
      <c r="CP5108" t="s">
        <v>119</v>
      </c>
      <c r="CQ5108">
        <v>343</v>
      </c>
      <c r="CR5108">
        <v>1</v>
      </c>
      <c r="CW5108">
        <v>11111458</v>
      </c>
      <c r="CY5108">
        <v>1</v>
      </c>
      <c r="CZ5108">
        <v>0</v>
      </c>
      <c r="DA5108">
        <v>1</v>
      </c>
      <c r="DB5108">
        <v>0</v>
      </c>
      <c r="DC5108">
        <v>0</v>
      </c>
      <c r="DD5108">
        <v>1</v>
      </c>
      <c r="DE5108">
        <v>0</v>
      </c>
      <c r="DF5108">
        <v>0</v>
      </c>
      <c r="DG5108">
        <v>0</v>
      </c>
      <c r="DH5108">
        <v>0</v>
      </c>
      <c r="DI5108">
        <v>0</v>
      </c>
    </row>
    <row r="5109" spans="1:113" x14ac:dyDescent="0.3">
      <c r="A5109" t="str">
        <f t="shared" si="2352"/>
        <v>05/12/2020 14:50:20.985</v>
      </c>
      <c r="C5109" t="str">
        <f t="shared" si="2343"/>
        <v>FFDFD3C0</v>
      </c>
      <c r="D5109" t="s">
        <v>126</v>
      </c>
      <c r="E5109">
        <v>7</v>
      </c>
      <c r="F5109">
        <v>1007</v>
      </c>
      <c r="G5109" t="s">
        <v>127</v>
      </c>
      <c r="J5109" t="s">
        <v>128</v>
      </c>
      <c r="K5109">
        <v>0</v>
      </c>
      <c r="L5109">
        <v>3</v>
      </c>
      <c r="M5109">
        <v>0</v>
      </c>
      <c r="N5109">
        <v>2</v>
      </c>
      <c r="O5109">
        <v>1</v>
      </c>
      <c r="P5109">
        <v>0</v>
      </c>
      <c r="Q5109">
        <v>0</v>
      </c>
      <c r="S5109" t="str">
        <f t="shared" si="2353"/>
        <v>14:50:38.820</v>
      </c>
      <c r="T5109" t="str">
        <f t="shared" si="2354"/>
        <v>14:50:38.420</v>
      </c>
      <c r="U5109" t="str">
        <f t="shared" si="2334"/>
        <v>A9808D</v>
      </c>
      <c r="V5109">
        <v>0</v>
      </c>
      <c r="W5109">
        <v>0</v>
      </c>
      <c r="X5109">
        <v>1</v>
      </c>
      <c r="Z5109">
        <v>0</v>
      </c>
      <c r="AA5109">
        <v>9</v>
      </c>
      <c r="AB5109">
        <v>3</v>
      </c>
      <c r="AC5109">
        <v>0</v>
      </c>
      <c r="AD5109">
        <v>10</v>
      </c>
      <c r="AE5109">
        <v>0</v>
      </c>
      <c r="AF5109">
        <v>3</v>
      </c>
      <c r="AG5109">
        <v>2</v>
      </c>
      <c r="AH5109">
        <v>0</v>
      </c>
      <c r="AI5109" t="s">
        <v>1131</v>
      </c>
      <c r="AJ5109">
        <v>28.232244999999999</v>
      </c>
      <c r="AK5109" t="s">
        <v>1132</v>
      </c>
      <c r="AL5109">
        <v>-82.373214000000004</v>
      </c>
      <c r="AM5109">
        <v>100</v>
      </c>
      <c r="AN5109">
        <v>2000</v>
      </c>
      <c r="AO5109" t="s">
        <v>118</v>
      </c>
      <c r="AP5109">
        <v>-102</v>
      </c>
      <c r="AQ5109">
        <v>-55</v>
      </c>
      <c r="AR5109">
        <v>-1088</v>
      </c>
      <c r="AZ5109">
        <v>1200</v>
      </c>
      <c r="BA5109">
        <v>1</v>
      </c>
      <c r="BB5109" t="str">
        <f t="shared" si="2344"/>
        <v xml:space="preserve">N711JA  </v>
      </c>
      <c r="BC5109">
        <v>1</v>
      </c>
      <c r="BE5109">
        <v>0</v>
      </c>
      <c r="BF5109">
        <v>0</v>
      </c>
      <c r="BG5109">
        <v>0</v>
      </c>
      <c r="BH5109">
        <v>2125</v>
      </c>
      <c r="BI5109">
        <v>1</v>
      </c>
      <c r="BJ5109">
        <v>1</v>
      </c>
      <c r="BK5109">
        <v>0</v>
      </c>
      <c r="BL5109">
        <v>0</v>
      </c>
      <c r="BO5109">
        <v>0</v>
      </c>
      <c r="BP5109">
        <v>0</v>
      </c>
      <c r="BW5109" t="str">
        <f t="shared" si="2355"/>
        <v>14:50:38.825</v>
      </c>
      <c r="CJ5109">
        <v>0</v>
      </c>
      <c r="CK5109">
        <v>2</v>
      </c>
      <c r="CL5109">
        <v>0</v>
      </c>
      <c r="CM5109">
        <v>2</v>
      </c>
      <c r="CN5109">
        <v>0</v>
      </c>
      <c r="CO5109">
        <v>7</v>
      </c>
      <c r="CP5109" t="s">
        <v>119</v>
      </c>
      <c r="CQ5109">
        <v>343</v>
      </c>
      <c r="CR5109">
        <v>1</v>
      </c>
      <c r="CW5109">
        <v>11111458</v>
      </c>
      <c r="CY5109">
        <v>1</v>
      </c>
      <c r="CZ5109">
        <v>0</v>
      </c>
      <c r="DA5109">
        <v>1</v>
      </c>
      <c r="DB5109">
        <v>0</v>
      </c>
      <c r="DC5109">
        <v>0</v>
      </c>
      <c r="DD5109">
        <v>1</v>
      </c>
      <c r="DE5109">
        <v>0</v>
      </c>
      <c r="DF5109">
        <v>0</v>
      </c>
      <c r="DG5109">
        <v>0</v>
      </c>
      <c r="DH5109">
        <v>0</v>
      </c>
      <c r="DI5109">
        <v>0</v>
      </c>
    </row>
    <row r="5110" spans="1:113" x14ac:dyDescent="0.3">
      <c r="A5110" t="str">
        <f t="shared" si="2352"/>
        <v>05/12/2020 14:50:20.985</v>
      </c>
      <c r="C5110" t="str">
        <f t="shared" si="2343"/>
        <v>FFDFD3C0</v>
      </c>
      <c r="D5110" t="s">
        <v>131</v>
      </c>
      <c r="E5110">
        <v>12</v>
      </c>
      <c r="F5110">
        <v>2012</v>
      </c>
      <c r="G5110" t="s">
        <v>137</v>
      </c>
      <c r="J5110" t="s">
        <v>133</v>
      </c>
      <c r="K5110">
        <v>0</v>
      </c>
      <c r="L5110">
        <v>3</v>
      </c>
      <c r="M5110">
        <v>0</v>
      </c>
      <c r="N5110">
        <v>2</v>
      </c>
      <c r="O5110">
        <v>1</v>
      </c>
      <c r="P5110">
        <v>0</v>
      </c>
      <c r="Q5110">
        <v>0</v>
      </c>
      <c r="S5110" t="str">
        <f t="shared" si="2353"/>
        <v>14:50:38.820</v>
      </c>
      <c r="T5110" t="str">
        <f t="shared" si="2354"/>
        <v>14:50:38.420</v>
      </c>
      <c r="U5110" t="str">
        <f t="shared" si="2334"/>
        <v>A9808D</v>
      </c>
      <c r="V5110">
        <v>0</v>
      </c>
      <c r="W5110">
        <v>0</v>
      </c>
      <c r="X5110">
        <v>1</v>
      </c>
      <c r="Z5110">
        <v>0</v>
      </c>
      <c r="AA5110">
        <v>9</v>
      </c>
      <c r="AB5110">
        <v>3</v>
      </c>
      <c r="AC5110">
        <v>0</v>
      </c>
      <c r="AD5110">
        <v>10</v>
      </c>
      <c r="AE5110">
        <v>0</v>
      </c>
      <c r="AF5110">
        <v>3</v>
      </c>
      <c r="AG5110">
        <v>2</v>
      </c>
      <c r="AH5110">
        <v>0</v>
      </c>
      <c r="AI5110" t="s">
        <v>1131</v>
      </c>
      <c r="AJ5110">
        <v>28.232244999999999</v>
      </c>
      <c r="AK5110" t="s">
        <v>1132</v>
      </c>
      <c r="AL5110">
        <v>-82.373214000000004</v>
      </c>
      <c r="AM5110">
        <v>100</v>
      </c>
      <c r="AN5110">
        <v>2000</v>
      </c>
      <c r="AO5110" t="s">
        <v>118</v>
      </c>
      <c r="AP5110">
        <v>-102</v>
      </c>
      <c r="AQ5110">
        <v>-55</v>
      </c>
      <c r="AR5110">
        <v>-1088</v>
      </c>
      <c r="AZ5110">
        <v>1200</v>
      </c>
      <c r="BA5110">
        <v>1</v>
      </c>
      <c r="BB5110" t="str">
        <f t="shared" si="2344"/>
        <v xml:space="preserve">N711JA  </v>
      </c>
      <c r="BC5110">
        <v>1</v>
      </c>
      <c r="BE5110">
        <v>0</v>
      </c>
      <c r="BF5110">
        <v>0</v>
      </c>
      <c r="BG5110">
        <v>0</v>
      </c>
      <c r="BH5110">
        <v>2125</v>
      </c>
      <c r="BI5110">
        <v>1</v>
      </c>
      <c r="BJ5110">
        <v>1</v>
      </c>
      <c r="BK5110">
        <v>0</v>
      </c>
      <c r="BL5110">
        <v>0</v>
      </c>
      <c r="BO5110">
        <v>0</v>
      </c>
      <c r="BP5110">
        <v>0</v>
      </c>
      <c r="BW5110" t="str">
        <f t="shared" si="2355"/>
        <v>14:50:38.825</v>
      </c>
      <c r="CJ5110">
        <v>0</v>
      </c>
      <c r="CK5110">
        <v>2</v>
      </c>
      <c r="CL5110">
        <v>0</v>
      </c>
      <c r="CM5110">
        <v>2</v>
      </c>
      <c r="CN5110">
        <v>0</v>
      </c>
      <c r="CO5110">
        <v>7</v>
      </c>
      <c r="CP5110" t="s">
        <v>119</v>
      </c>
      <c r="CQ5110">
        <v>343</v>
      </c>
      <c r="CR5110">
        <v>1</v>
      </c>
      <c r="CW5110">
        <v>11111458</v>
      </c>
      <c r="CY5110">
        <v>1</v>
      </c>
      <c r="CZ5110">
        <v>0</v>
      </c>
      <c r="DA5110">
        <v>1</v>
      </c>
      <c r="DB5110">
        <v>0</v>
      </c>
      <c r="DC5110">
        <v>0</v>
      </c>
      <c r="DD5110">
        <v>1</v>
      </c>
      <c r="DE5110">
        <v>0</v>
      </c>
      <c r="DF5110">
        <v>0</v>
      </c>
      <c r="DG5110">
        <v>0</v>
      </c>
      <c r="DH5110">
        <v>0</v>
      </c>
      <c r="DI5110">
        <v>0</v>
      </c>
    </row>
    <row r="5111" spans="1:113" x14ac:dyDescent="0.3">
      <c r="A5111" t="str">
        <f t="shared" ref="A5111:A5119" si="2356">"05/12/2020 14:50:22.061"</f>
        <v>05/12/2020 14:50:22.061</v>
      </c>
      <c r="C5111" t="str">
        <f t="shared" si="2343"/>
        <v>FFDFD3C0</v>
      </c>
      <c r="D5111" t="s">
        <v>138</v>
      </c>
      <c r="E5111">
        <v>2</v>
      </c>
      <c r="H5111">
        <v>8</v>
      </c>
      <c r="I5111" t="s">
        <v>139</v>
      </c>
      <c r="J5111" t="s">
        <v>136</v>
      </c>
      <c r="K5111">
        <v>0</v>
      </c>
      <c r="L5111">
        <v>3</v>
      </c>
      <c r="M5111">
        <v>0</v>
      </c>
      <c r="N5111">
        <v>2</v>
      </c>
      <c r="O5111">
        <v>1</v>
      </c>
      <c r="P5111">
        <v>0</v>
      </c>
      <c r="Q5111">
        <v>0</v>
      </c>
      <c r="S5111" t="str">
        <f t="shared" ref="S5111:S5119" si="2357">"14:50:39.859"</f>
        <v>14:50:39.859</v>
      </c>
      <c r="T5111" t="str">
        <f t="shared" ref="T5111:T5119" si="2358">"14:50:39.459"</f>
        <v>14:50:39.459</v>
      </c>
      <c r="U5111" t="str">
        <f t="shared" si="2334"/>
        <v>A9808D</v>
      </c>
      <c r="V5111">
        <v>0</v>
      </c>
      <c r="W5111">
        <v>0</v>
      </c>
      <c r="X5111">
        <v>1</v>
      </c>
      <c r="Z5111">
        <v>0</v>
      </c>
      <c r="AA5111">
        <v>9</v>
      </c>
      <c r="AB5111">
        <v>3</v>
      </c>
      <c r="AC5111">
        <v>0</v>
      </c>
      <c r="AD5111">
        <v>10</v>
      </c>
      <c r="AE5111">
        <v>0</v>
      </c>
      <c r="AF5111">
        <v>3</v>
      </c>
      <c r="AG5111">
        <v>2</v>
      </c>
      <c r="AH5111">
        <v>0</v>
      </c>
      <c r="AI5111" t="s">
        <v>1133</v>
      </c>
      <c r="AJ5111">
        <v>28.231966</v>
      </c>
      <c r="AK5111" t="s">
        <v>1134</v>
      </c>
      <c r="AL5111">
        <v>-82.373814999999993</v>
      </c>
      <c r="AM5111">
        <v>100</v>
      </c>
      <c r="AN5111">
        <v>2000</v>
      </c>
      <c r="AO5111" t="s">
        <v>118</v>
      </c>
      <c r="AP5111">
        <v>-102</v>
      </c>
      <c r="AQ5111">
        <v>-55</v>
      </c>
      <c r="AR5111">
        <v>-1152</v>
      </c>
      <c r="AZ5111">
        <v>1200</v>
      </c>
      <c r="BA5111">
        <v>1</v>
      </c>
      <c r="BB5111" t="str">
        <f t="shared" si="2344"/>
        <v xml:space="preserve">N711JA  </v>
      </c>
      <c r="BC5111">
        <v>1</v>
      </c>
      <c r="BE5111">
        <v>0</v>
      </c>
      <c r="BF5111">
        <v>0</v>
      </c>
      <c r="BG5111">
        <v>0</v>
      </c>
      <c r="BH5111">
        <v>2100</v>
      </c>
      <c r="BI5111">
        <v>1</v>
      </c>
      <c r="BJ5111">
        <v>1</v>
      </c>
      <c r="BK5111">
        <v>0</v>
      </c>
      <c r="BL5111">
        <v>0</v>
      </c>
      <c r="BO5111">
        <v>0</v>
      </c>
      <c r="BP5111">
        <v>0</v>
      </c>
      <c r="BW5111" t="str">
        <f t="shared" ref="BW5111:BW5119" si="2359">"14:50:39.866"</f>
        <v>14:50:39.866</v>
      </c>
      <c r="CJ5111">
        <v>0</v>
      </c>
      <c r="CK5111">
        <v>2</v>
      </c>
      <c r="CL5111">
        <v>0</v>
      </c>
      <c r="CM5111">
        <v>2</v>
      </c>
      <c r="CN5111">
        <v>0</v>
      </c>
      <c r="CO5111">
        <v>7</v>
      </c>
      <c r="CP5111" t="s">
        <v>119</v>
      </c>
      <c r="CQ5111">
        <v>343</v>
      </c>
      <c r="CR5111">
        <v>1</v>
      </c>
      <c r="CW5111">
        <v>11112489</v>
      </c>
      <c r="CY5111">
        <v>1</v>
      </c>
      <c r="CZ5111">
        <v>0</v>
      </c>
      <c r="DA5111">
        <v>0</v>
      </c>
      <c r="DB5111">
        <v>0</v>
      </c>
      <c r="DC5111">
        <v>0</v>
      </c>
      <c r="DD5111">
        <v>1</v>
      </c>
      <c r="DE5111">
        <v>0</v>
      </c>
      <c r="DF5111">
        <v>0</v>
      </c>
      <c r="DG5111">
        <v>0</v>
      </c>
      <c r="DH5111">
        <v>0</v>
      </c>
      <c r="DI5111">
        <v>0</v>
      </c>
    </row>
    <row r="5112" spans="1:113" x14ac:dyDescent="0.3">
      <c r="A5112" t="str">
        <f t="shared" si="2356"/>
        <v>05/12/2020 14:50:22.061</v>
      </c>
      <c r="C5112" t="str">
        <f t="shared" si="2343"/>
        <v>FFDFD3C0</v>
      </c>
      <c r="D5112" t="s">
        <v>138</v>
      </c>
      <c r="E5112">
        <v>3</v>
      </c>
      <c r="H5112">
        <v>9</v>
      </c>
      <c r="I5112" t="s">
        <v>140</v>
      </c>
      <c r="J5112" t="s">
        <v>136</v>
      </c>
      <c r="K5112">
        <v>0</v>
      </c>
      <c r="L5112">
        <v>3</v>
      </c>
      <c r="M5112">
        <v>0</v>
      </c>
      <c r="N5112">
        <v>2</v>
      </c>
      <c r="O5112">
        <v>1</v>
      </c>
      <c r="P5112">
        <v>0</v>
      </c>
      <c r="Q5112">
        <v>0</v>
      </c>
      <c r="S5112" t="str">
        <f t="shared" si="2357"/>
        <v>14:50:39.859</v>
      </c>
      <c r="T5112" t="str">
        <f t="shared" si="2358"/>
        <v>14:50:39.459</v>
      </c>
      <c r="U5112" t="str">
        <f t="shared" si="2334"/>
        <v>A9808D</v>
      </c>
      <c r="V5112">
        <v>0</v>
      </c>
      <c r="W5112">
        <v>0</v>
      </c>
      <c r="X5112">
        <v>1</v>
      </c>
      <c r="Z5112">
        <v>0</v>
      </c>
      <c r="AA5112">
        <v>9</v>
      </c>
      <c r="AB5112">
        <v>3</v>
      </c>
      <c r="AC5112">
        <v>0</v>
      </c>
      <c r="AD5112">
        <v>10</v>
      </c>
      <c r="AE5112">
        <v>0</v>
      </c>
      <c r="AF5112">
        <v>3</v>
      </c>
      <c r="AG5112">
        <v>2</v>
      </c>
      <c r="AH5112">
        <v>0</v>
      </c>
      <c r="AI5112" t="s">
        <v>1133</v>
      </c>
      <c r="AJ5112">
        <v>28.231966</v>
      </c>
      <c r="AK5112" t="s">
        <v>1134</v>
      </c>
      <c r="AL5112">
        <v>-82.373814999999993</v>
      </c>
      <c r="AM5112">
        <v>100</v>
      </c>
      <c r="AN5112">
        <v>2000</v>
      </c>
      <c r="AO5112" t="s">
        <v>118</v>
      </c>
      <c r="AP5112">
        <v>-102</v>
      </c>
      <c r="AQ5112">
        <v>-55</v>
      </c>
      <c r="AR5112">
        <v>-1152</v>
      </c>
      <c r="AZ5112">
        <v>1200</v>
      </c>
      <c r="BA5112">
        <v>1</v>
      </c>
      <c r="BB5112" t="str">
        <f t="shared" si="2344"/>
        <v xml:space="preserve">N711JA  </v>
      </c>
      <c r="BC5112">
        <v>1</v>
      </c>
      <c r="BE5112">
        <v>0</v>
      </c>
      <c r="BF5112">
        <v>0</v>
      </c>
      <c r="BG5112">
        <v>0</v>
      </c>
      <c r="BH5112">
        <v>2100</v>
      </c>
      <c r="BI5112">
        <v>1</v>
      </c>
      <c r="BJ5112">
        <v>1</v>
      </c>
      <c r="BK5112">
        <v>0</v>
      </c>
      <c r="BL5112">
        <v>0</v>
      </c>
      <c r="BO5112">
        <v>0</v>
      </c>
      <c r="BP5112">
        <v>0</v>
      </c>
      <c r="BW5112" t="str">
        <f t="shared" si="2359"/>
        <v>14:50:39.866</v>
      </c>
      <c r="CJ5112">
        <v>0</v>
      </c>
      <c r="CK5112">
        <v>2</v>
      </c>
      <c r="CL5112">
        <v>0</v>
      </c>
      <c r="CM5112">
        <v>2</v>
      </c>
      <c r="CN5112">
        <v>0</v>
      </c>
      <c r="CO5112">
        <v>7</v>
      </c>
      <c r="CP5112" t="s">
        <v>119</v>
      </c>
      <c r="CQ5112">
        <v>343</v>
      </c>
      <c r="CR5112">
        <v>1</v>
      </c>
      <c r="CW5112">
        <v>11112489</v>
      </c>
      <c r="CY5112">
        <v>1</v>
      </c>
      <c r="CZ5112">
        <v>0</v>
      </c>
      <c r="DA5112">
        <v>1</v>
      </c>
      <c r="DB5112">
        <v>0</v>
      </c>
      <c r="DC5112">
        <v>0</v>
      </c>
      <c r="DD5112">
        <v>1</v>
      </c>
      <c r="DE5112">
        <v>0</v>
      </c>
      <c r="DF5112">
        <v>0</v>
      </c>
      <c r="DG5112">
        <v>0</v>
      </c>
      <c r="DH5112">
        <v>0</v>
      </c>
      <c r="DI5112">
        <v>0</v>
      </c>
    </row>
    <row r="5113" spans="1:113" x14ac:dyDescent="0.3">
      <c r="A5113" t="str">
        <f t="shared" si="2356"/>
        <v>05/12/2020 14:50:22.061</v>
      </c>
      <c r="C5113" t="str">
        <f t="shared" si="2343"/>
        <v>FFDFD3C0</v>
      </c>
      <c r="D5113" t="s">
        <v>126</v>
      </c>
      <c r="E5113">
        <v>7</v>
      </c>
      <c r="F5113">
        <v>1007</v>
      </c>
      <c r="G5113" t="s">
        <v>127</v>
      </c>
      <c r="J5113" t="s">
        <v>128</v>
      </c>
      <c r="K5113">
        <v>0</v>
      </c>
      <c r="L5113">
        <v>3</v>
      </c>
      <c r="M5113">
        <v>0</v>
      </c>
      <c r="N5113">
        <v>2</v>
      </c>
      <c r="O5113">
        <v>1</v>
      </c>
      <c r="P5113">
        <v>0</v>
      </c>
      <c r="Q5113">
        <v>0</v>
      </c>
      <c r="S5113" t="str">
        <f t="shared" si="2357"/>
        <v>14:50:39.859</v>
      </c>
      <c r="T5113" t="str">
        <f t="shared" si="2358"/>
        <v>14:50:39.459</v>
      </c>
      <c r="U5113" t="str">
        <f t="shared" si="2334"/>
        <v>A9808D</v>
      </c>
      <c r="V5113">
        <v>0</v>
      </c>
      <c r="W5113">
        <v>0</v>
      </c>
      <c r="X5113">
        <v>1</v>
      </c>
      <c r="Z5113">
        <v>0</v>
      </c>
      <c r="AA5113">
        <v>9</v>
      </c>
      <c r="AB5113">
        <v>3</v>
      </c>
      <c r="AC5113">
        <v>0</v>
      </c>
      <c r="AD5113">
        <v>10</v>
      </c>
      <c r="AE5113">
        <v>0</v>
      </c>
      <c r="AF5113">
        <v>3</v>
      </c>
      <c r="AG5113">
        <v>2</v>
      </c>
      <c r="AH5113">
        <v>0</v>
      </c>
      <c r="AI5113" t="s">
        <v>1133</v>
      </c>
      <c r="AJ5113">
        <v>28.231966</v>
      </c>
      <c r="AK5113" t="s">
        <v>1134</v>
      </c>
      <c r="AL5113">
        <v>-82.373814999999993</v>
      </c>
      <c r="AM5113">
        <v>100</v>
      </c>
      <c r="AN5113">
        <v>2000</v>
      </c>
      <c r="AO5113" t="s">
        <v>118</v>
      </c>
      <c r="AP5113">
        <v>-102</v>
      </c>
      <c r="AQ5113">
        <v>-55</v>
      </c>
      <c r="AR5113">
        <v>-1152</v>
      </c>
      <c r="AZ5113">
        <v>1200</v>
      </c>
      <c r="BA5113">
        <v>1</v>
      </c>
      <c r="BB5113" t="str">
        <f t="shared" si="2344"/>
        <v xml:space="preserve">N711JA  </v>
      </c>
      <c r="BC5113">
        <v>1</v>
      </c>
      <c r="BE5113">
        <v>0</v>
      </c>
      <c r="BF5113">
        <v>0</v>
      </c>
      <c r="BG5113">
        <v>0</v>
      </c>
      <c r="BH5113">
        <v>2100</v>
      </c>
      <c r="BI5113">
        <v>1</v>
      </c>
      <c r="BJ5113">
        <v>1</v>
      </c>
      <c r="BK5113">
        <v>0</v>
      </c>
      <c r="BL5113">
        <v>0</v>
      </c>
      <c r="BO5113">
        <v>0</v>
      </c>
      <c r="BP5113">
        <v>0</v>
      </c>
      <c r="BW5113" t="str">
        <f t="shared" si="2359"/>
        <v>14:50:39.866</v>
      </c>
      <c r="CJ5113">
        <v>0</v>
      </c>
      <c r="CK5113">
        <v>2</v>
      </c>
      <c r="CL5113">
        <v>0</v>
      </c>
      <c r="CM5113">
        <v>2</v>
      </c>
      <c r="CN5113">
        <v>0</v>
      </c>
      <c r="CO5113">
        <v>7</v>
      </c>
      <c r="CP5113" t="s">
        <v>119</v>
      </c>
      <c r="CQ5113">
        <v>343</v>
      </c>
      <c r="CR5113">
        <v>1</v>
      </c>
      <c r="CW5113">
        <v>11112489</v>
      </c>
      <c r="CY5113">
        <v>1</v>
      </c>
      <c r="CZ5113">
        <v>0</v>
      </c>
      <c r="DA5113">
        <v>1</v>
      </c>
      <c r="DB5113">
        <v>0</v>
      </c>
      <c r="DC5113">
        <v>0</v>
      </c>
      <c r="DD5113">
        <v>1</v>
      </c>
      <c r="DE5113">
        <v>0</v>
      </c>
      <c r="DF5113">
        <v>0</v>
      </c>
      <c r="DG5113">
        <v>0</v>
      </c>
      <c r="DH5113">
        <v>0</v>
      </c>
      <c r="DI5113">
        <v>0</v>
      </c>
    </row>
    <row r="5114" spans="1:113" x14ac:dyDescent="0.3">
      <c r="A5114" t="str">
        <f t="shared" si="2356"/>
        <v>05/12/2020 14:50:22.061</v>
      </c>
      <c r="C5114" t="str">
        <f t="shared" si="2343"/>
        <v>FFDFD3C0</v>
      </c>
      <c r="D5114" t="s">
        <v>131</v>
      </c>
      <c r="E5114">
        <v>10</v>
      </c>
      <c r="F5114">
        <v>2010</v>
      </c>
      <c r="G5114" t="s">
        <v>132</v>
      </c>
      <c r="J5114" t="s">
        <v>133</v>
      </c>
      <c r="K5114">
        <v>0</v>
      </c>
      <c r="L5114">
        <v>3</v>
      </c>
      <c r="M5114">
        <v>0</v>
      </c>
      <c r="N5114">
        <v>2</v>
      </c>
      <c r="O5114">
        <v>1</v>
      </c>
      <c r="P5114">
        <v>0</v>
      </c>
      <c r="Q5114">
        <v>0</v>
      </c>
      <c r="S5114" t="str">
        <f t="shared" si="2357"/>
        <v>14:50:39.859</v>
      </c>
      <c r="T5114" t="str">
        <f t="shared" si="2358"/>
        <v>14:50:39.459</v>
      </c>
      <c r="U5114" t="str">
        <f t="shared" si="2334"/>
        <v>A9808D</v>
      </c>
      <c r="V5114">
        <v>0</v>
      </c>
      <c r="W5114">
        <v>0</v>
      </c>
      <c r="X5114">
        <v>1</v>
      </c>
      <c r="Z5114">
        <v>0</v>
      </c>
      <c r="AA5114">
        <v>9</v>
      </c>
      <c r="AB5114">
        <v>3</v>
      </c>
      <c r="AC5114">
        <v>0</v>
      </c>
      <c r="AD5114">
        <v>10</v>
      </c>
      <c r="AE5114">
        <v>0</v>
      </c>
      <c r="AF5114">
        <v>3</v>
      </c>
      <c r="AG5114">
        <v>2</v>
      </c>
      <c r="AH5114">
        <v>0</v>
      </c>
      <c r="AI5114" t="s">
        <v>1133</v>
      </c>
      <c r="AJ5114">
        <v>28.231966</v>
      </c>
      <c r="AK5114" t="s">
        <v>1134</v>
      </c>
      <c r="AL5114">
        <v>-82.373814999999993</v>
      </c>
      <c r="AM5114">
        <v>100</v>
      </c>
      <c r="AN5114">
        <v>2000</v>
      </c>
      <c r="AO5114" t="s">
        <v>118</v>
      </c>
      <c r="AP5114">
        <v>-102</v>
      </c>
      <c r="AQ5114">
        <v>-55</v>
      </c>
      <c r="AR5114">
        <v>-1152</v>
      </c>
      <c r="AZ5114">
        <v>1200</v>
      </c>
      <c r="BA5114">
        <v>1</v>
      </c>
      <c r="BB5114" t="str">
        <f t="shared" si="2344"/>
        <v xml:space="preserve">N711JA  </v>
      </c>
      <c r="BC5114">
        <v>1</v>
      </c>
      <c r="BE5114">
        <v>0</v>
      </c>
      <c r="BF5114">
        <v>0</v>
      </c>
      <c r="BG5114">
        <v>0</v>
      </c>
      <c r="BH5114">
        <v>2100</v>
      </c>
      <c r="BI5114">
        <v>1</v>
      </c>
      <c r="BJ5114">
        <v>1</v>
      </c>
      <c r="BK5114">
        <v>0</v>
      </c>
      <c r="BL5114">
        <v>0</v>
      </c>
      <c r="BO5114">
        <v>0</v>
      </c>
      <c r="BP5114">
        <v>0</v>
      </c>
      <c r="BW5114" t="str">
        <f t="shared" si="2359"/>
        <v>14:50:39.866</v>
      </c>
      <c r="CJ5114">
        <v>0</v>
      </c>
      <c r="CK5114">
        <v>2</v>
      </c>
      <c r="CL5114">
        <v>0</v>
      </c>
      <c r="CM5114">
        <v>2</v>
      </c>
      <c r="CN5114">
        <v>0</v>
      </c>
      <c r="CO5114">
        <v>7</v>
      </c>
      <c r="CP5114" t="s">
        <v>119</v>
      </c>
      <c r="CQ5114">
        <v>343</v>
      </c>
      <c r="CR5114">
        <v>1</v>
      </c>
      <c r="CW5114">
        <v>11112489</v>
      </c>
      <c r="CY5114">
        <v>1</v>
      </c>
      <c r="CZ5114">
        <v>0</v>
      </c>
      <c r="DA5114">
        <v>1</v>
      </c>
      <c r="DB5114">
        <v>0</v>
      </c>
      <c r="DC5114">
        <v>0</v>
      </c>
      <c r="DD5114">
        <v>1</v>
      </c>
      <c r="DE5114">
        <v>0</v>
      </c>
      <c r="DF5114">
        <v>0</v>
      </c>
      <c r="DG5114">
        <v>0</v>
      </c>
      <c r="DH5114">
        <v>0</v>
      </c>
      <c r="DI5114">
        <v>0</v>
      </c>
    </row>
    <row r="5115" spans="1:113" x14ac:dyDescent="0.3">
      <c r="A5115" t="str">
        <f t="shared" si="2356"/>
        <v>05/12/2020 14:50:22.061</v>
      </c>
      <c r="C5115" t="str">
        <f t="shared" si="2343"/>
        <v>FFDFD3C0</v>
      </c>
      <c r="D5115" t="s">
        <v>134</v>
      </c>
      <c r="E5115">
        <v>12</v>
      </c>
      <c r="H5115">
        <v>64</v>
      </c>
      <c r="I5115" t="s">
        <v>135</v>
      </c>
      <c r="J5115" t="s">
        <v>136</v>
      </c>
      <c r="K5115">
        <v>0</v>
      </c>
      <c r="L5115">
        <v>3</v>
      </c>
      <c r="M5115">
        <v>0</v>
      </c>
      <c r="N5115">
        <v>2</v>
      </c>
      <c r="O5115">
        <v>1</v>
      </c>
      <c r="P5115">
        <v>0</v>
      </c>
      <c r="Q5115">
        <v>0</v>
      </c>
      <c r="S5115" t="str">
        <f t="shared" si="2357"/>
        <v>14:50:39.859</v>
      </c>
      <c r="T5115" t="str">
        <f t="shared" si="2358"/>
        <v>14:50:39.459</v>
      </c>
      <c r="U5115" t="str">
        <f t="shared" si="2334"/>
        <v>A9808D</v>
      </c>
      <c r="V5115">
        <v>0</v>
      </c>
      <c r="W5115">
        <v>0</v>
      </c>
      <c r="X5115">
        <v>1</v>
      </c>
      <c r="Z5115">
        <v>0</v>
      </c>
      <c r="AA5115">
        <v>9</v>
      </c>
      <c r="AB5115">
        <v>3</v>
      </c>
      <c r="AC5115">
        <v>0</v>
      </c>
      <c r="AD5115">
        <v>10</v>
      </c>
      <c r="AE5115">
        <v>0</v>
      </c>
      <c r="AF5115">
        <v>3</v>
      </c>
      <c r="AG5115">
        <v>2</v>
      </c>
      <c r="AH5115">
        <v>0</v>
      </c>
      <c r="AI5115" t="s">
        <v>1133</v>
      </c>
      <c r="AJ5115">
        <v>28.231966</v>
      </c>
      <c r="AK5115" t="s">
        <v>1134</v>
      </c>
      <c r="AL5115">
        <v>-82.373814999999993</v>
      </c>
      <c r="AM5115">
        <v>100</v>
      </c>
      <c r="AN5115">
        <v>2000</v>
      </c>
      <c r="AO5115" t="s">
        <v>118</v>
      </c>
      <c r="AP5115">
        <v>-102</v>
      </c>
      <c r="AQ5115">
        <v>-55</v>
      </c>
      <c r="AR5115">
        <v>-1152</v>
      </c>
      <c r="AZ5115">
        <v>1200</v>
      </c>
      <c r="BA5115">
        <v>1</v>
      </c>
      <c r="BB5115" t="str">
        <f t="shared" si="2344"/>
        <v xml:space="preserve">N711JA  </v>
      </c>
      <c r="BC5115">
        <v>1</v>
      </c>
      <c r="BE5115">
        <v>0</v>
      </c>
      <c r="BF5115">
        <v>0</v>
      </c>
      <c r="BG5115">
        <v>0</v>
      </c>
      <c r="BH5115">
        <v>2100</v>
      </c>
      <c r="BI5115">
        <v>1</v>
      </c>
      <c r="BJ5115">
        <v>1</v>
      </c>
      <c r="BK5115">
        <v>0</v>
      </c>
      <c r="BL5115">
        <v>0</v>
      </c>
      <c r="BO5115">
        <v>0</v>
      </c>
      <c r="BP5115">
        <v>0</v>
      </c>
      <c r="BW5115" t="str">
        <f t="shared" si="2359"/>
        <v>14:50:39.866</v>
      </c>
      <c r="CJ5115">
        <v>0</v>
      </c>
      <c r="CK5115">
        <v>2</v>
      </c>
      <c r="CL5115">
        <v>0</v>
      </c>
      <c r="CM5115">
        <v>2</v>
      </c>
      <c r="CN5115">
        <v>0</v>
      </c>
      <c r="CO5115">
        <v>7</v>
      </c>
      <c r="CP5115" t="s">
        <v>119</v>
      </c>
      <c r="CQ5115">
        <v>343</v>
      </c>
      <c r="CR5115">
        <v>1</v>
      </c>
      <c r="CW5115">
        <v>11112489</v>
      </c>
      <c r="CY5115">
        <v>1</v>
      </c>
      <c r="CZ5115">
        <v>0</v>
      </c>
      <c r="DA5115">
        <v>1</v>
      </c>
      <c r="DB5115">
        <v>0</v>
      </c>
      <c r="DC5115">
        <v>0</v>
      </c>
      <c r="DD5115">
        <v>1</v>
      </c>
      <c r="DE5115">
        <v>0</v>
      </c>
      <c r="DF5115">
        <v>0</v>
      </c>
      <c r="DG5115">
        <v>0</v>
      </c>
      <c r="DH5115">
        <v>0</v>
      </c>
      <c r="DI5115">
        <v>0</v>
      </c>
    </row>
    <row r="5116" spans="1:113" x14ac:dyDescent="0.3">
      <c r="A5116" t="str">
        <f t="shared" si="2356"/>
        <v>05/12/2020 14:50:22.061</v>
      </c>
      <c r="C5116" t="str">
        <f t="shared" si="2343"/>
        <v>FFDFD3C0</v>
      </c>
      <c r="D5116" t="s">
        <v>131</v>
      </c>
      <c r="E5116">
        <v>12</v>
      </c>
      <c r="F5116">
        <v>2012</v>
      </c>
      <c r="G5116" t="s">
        <v>137</v>
      </c>
      <c r="J5116" t="s">
        <v>133</v>
      </c>
      <c r="K5116">
        <v>0</v>
      </c>
      <c r="L5116">
        <v>3</v>
      </c>
      <c r="M5116">
        <v>0</v>
      </c>
      <c r="N5116">
        <v>2</v>
      </c>
      <c r="O5116">
        <v>1</v>
      </c>
      <c r="P5116">
        <v>0</v>
      </c>
      <c r="Q5116">
        <v>0</v>
      </c>
      <c r="S5116" t="str">
        <f t="shared" si="2357"/>
        <v>14:50:39.859</v>
      </c>
      <c r="T5116" t="str">
        <f t="shared" si="2358"/>
        <v>14:50:39.459</v>
      </c>
      <c r="U5116" t="str">
        <f t="shared" si="2334"/>
        <v>A9808D</v>
      </c>
      <c r="V5116">
        <v>0</v>
      </c>
      <c r="W5116">
        <v>0</v>
      </c>
      <c r="X5116">
        <v>1</v>
      </c>
      <c r="Z5116">
        <v>0</v>
      </c>
      <c r="AA5116">
        <v>9</v>
      </c>
      <c r="AB5116">
        <v>3</v>
      </c>
      <c r="AC5116">
        <v>0</v>
      </c>
      <c r="AD5116">
        <v>10</v>
      </c>
      <c r="AE5116">
        <v>0</v>
      </c>
      <c r="AF5116">
        <v>3</v>
      </c>
      <c r="AG5116">
        <v>2</v>
      </c>
      <c r="AH5116">
        <v>0</v>
      </c>
      <c r="AI5116" t="s">
        <v>1133</v>
      </c>
      <c r="AJ5116">
        <v>28.231966</v>
      </c>
      <c r="AK5116" t="s">
        <v>1134</v>
      </c>
      <c r="AL5116">
        <v>-82.373814999999993</v>
      </c>
      <c r="AM5116">
        <v>100</v>
      </c>
      <c r="AN5116">
        <v>2000</v>
      </c>
      <c r="AO5116" t="s">
        <v>118</v>
      </c>
      <c r="AP5116">
        <v>-102</v>
      </c>
      <c r="AQ5116">
        <v>-55</v>
      </c>
      <c r="AR5116">
        <v>-1152</v>
      </c>
      <c r="AZ5116">
        <v>1200</v>
      </c>
      <c r="BA5116">
        <v>1</v>
      </c>
      <c r="BB5116" t="str">
        <f t="shared" si="2344"/>
        <v xml:space="preserve">N711JA  </v>
      </c>
      <c r="BC5116">
        <v>1</v>
      </c>
      <c r="BE5116">
        <v>0</v>
      </c>
      <c r="BF5116">
        <v>0</v>
      </c>
      <c r="BG5116">
        <v>0</v>
      </c>
      <c r="BH5116">
        <v>2100</v>
      </c>
      <c r="BI5116">
        <v>1</v>
      </c>
      <c r="BJ5116">
        <v>1</v>
      </c>
      <c r="BK5116">
        <v>0</v>
      </c>
      <c r="BL5116">
        <v>0</v>
      </c>
      <c r="BO5116">
        <v>0</v>
      </c>
      <c r="BP5116">
        <v>0</v>
      </c>
      <c r="BW5116" t="str">
        <f t="shared" si="2359"/>
        <v>14:50:39.866</v>
      </c>
      <c r="CJ5116">
        <v>0</v>
      </c>
      <c r="CK5116">
        <v>2</v>
      </c>
      <c r="CL5116">
        <v>0</v>
      </c>
      <c r="CM5116">
        <v>2</v>
      </c>
      <c r="CN5116">
        <v>0</v>
      </c>
      <c r="CO5116">
        <v>7</v>
      </c>
      <c r="CP5116" t="s">
        <v>119</v>
      </c>
      <c r="CQ5116">
        <v>343</v>
      </c>
      <c r="CR5116">
        <v>1</v>
      </c>
      <c r="CW5116">
        <v>11112489</v>
      </c>
      <c r="CY5116">
        <v>1</v>
      </c>
      <c r="CZ5116">
        <v>0</v>
      </c>
      <c r="DA5116">
        <v>1</v>
      </c>
      <c r="DB5116">
        <v>0</v>
      </c>
      <c r="DC5116">
        <v>0</v>
      </c>
      <c r="DD5116">
        <v>1</v>
      </c>
      <c r="DE5116">
        <v>0</v>
      </c>
      <c r="DF5116">
        <v>0</v>
      </c>
      <c r="DG5116">
        <v>0</v>
      </c>
      <c r="DH5116">
        <v>0</v>
      </c>
      <c r="DI5116">
        <v>0</v>
      </c>
    </row>
    <row r="5117" spans="1:113" x14ac:dyDescent="0.3">
      <c r="A5117" t="str">
        <f t="shared" si="2356"/>
        <v>05/12/2020 14:50:22.061</v>
      </c>
      <c r="C5117" t="str">
        <f t="shared" si="2343"/>
        <v>FFDFD3C0</v>
      </c>
      <c r="D5117" t="s">
        <v>131</v>
      </c>
      <c r="E5117">
        <v>18</v>
      </c>
      <c r="F5117">
        <v>2018</v>
      </c>
      <c r="G5117" t="s">
        <v>161</v>
      </c>
      <c r="J5117" t="s">
        <v>133</v>
      </c>
      <c r="K5117">
        <v>0</v>
      </c>
      <c r="L5117">
        <v>3</v>
      </c>
      <c r="M5117">
        <v>0</v>
      </c>
      <c r="N5117">
        <v>2</v>
      </c>
      <c r="O5117">
        <v>1</v>
      </c>
      <c r="P5117">
        <v>0</v>
      </c>
      <c r="Q5117">
        <v>0</v>
      </c>
      <c r="S5117" t="str">
        <f t="shared" si="2357"/>
        <v>14:50:39.859</v>
      </c>
      <c r="T5117" t="str">
        <f t="shared" si="2358"/>
        <v>14:50:39.459</v>
      </c>
      <c r="U5117" t="str">
        <f t="shared" si="2334"/>
        <v>A9808D</v>
      </c>
      <c r="V5117">
        <v>0</v>
      </c>
      <c r="W5117">
        <v>0</v>
      </c>
      <c r="X5117">
        <v>1</v>
      </c>
      <c r="Z5117">
        <v>0</v>
      </c>
      <c r="AA5117">
        <v>9</v>
      </c>
      <c r="AB5117">
        <v>3</v>
      </c>
      <c r="AC5117">
        <v>0</v>
      </c>
      <c r="AD5117">
        <v>10</v>
      </c>
      <c r="AE5117">
        <v>0</v>
      </c>
      <c r="AF5117">
        <v>3</v>
      </c>
      <c r="AG5117">
        <v>2</v>
      </c>
      <c r="AH5117">
        <v>0</v>
      </c>
      <c r="AI5117" t="s">
        <v>1133</v>
      </c>
      <c r="AJ5117">
        <v>28.231966</v>
      </c>
      <c r="AK5117" t="s">
        <v>1134</v>
      </c>
      <c r="AL5117">
        <v>-82.373814999999993</v>
      </c>
      <c r="AM5117">
        <v>100</v>
      </c>
      <c r="AN5117">
        <v>2000</v>
      </c>
      <c r="AO5117" t="s">
        <v>118</v>
      </c>
      <c r="AP5117">
        <v>-102</v>
      </c>
      <c r="AQ5117">
        <v>-55</v>
      </c>
      <c r="AR5117">
        <v>-1152</v>
      </c>
      <c r="AZ5117">
        <v>1200</v>
      </c>
      <c r="BA5117">
        <v>1</v>
      </c>
      <c r="BB5117" t="str">
        <f t="shared" si="2344"/>
        <v xml:space="preserve">N711JA  </v>
      </c>
      <c r="BC5117">
        <v>1</v>
      </c>
      <c r="BE5117">
        <v>0</v>
      </c>
      <c r="BF5117">
        <v>0</v>
      </c>
      <c r="BG5117">
        <v>0</v>
      </c>
      <c r="BH5117">
        <v>2100</v>
      </c>
      <c r="BI5117">
        <v>1</v>
      </c>
      <c r="BJ5117">
        <v>1</v>
      </c>
      <c r="BK5117">
        <v>0</v>
      </c>
      <c r="BL5117">
        <v>0</v>
      </c>
      <c r="BO5117">
        <v>0</v>
      </c>
      <c r="BP5117">
        <v>0</v>
      </c>
      <c r="BW5117" t="str">
        <f t="shared" si="2359"/>
        <v>14:50:39.866</v>
      </c>
      <c r="CJ5117">
        <v>0</v>
      </c>
      <c r="CK5117">
        <v>2</v>
      </c>
      <c r="CL5117">
        <v>0</v>
      </c>
      <c r="CM5117">
        <v>2</v>
      </c>
      <c r="CN5117">
        <v>0</v>
      </c>
      <c r="CO5117">
        <v>7</v>
      </c>
      <c r="CP5117" t="s">
        <v>119</v>
      </c>
      <c r="CQ5117">
        <v>343</v>
      </c>
      <c r="CR5117">
        <v>1</v>
      </c>
      <c r="CW5117">
        <v>11112489</v>
      </c>
      <c r="CY5117">
        <v>1</v>
      </c>
      <c r="CZ5117">
        <v>0</v>
      </c>
      <c r="DA5117">
        <v>1</v>
      </c>
      <c r="DB5117">
        <v>0</v>
      </c>
      <c r="DC5117">
        <v>0</v>
      </c>
      <c r="DD5117">
        <v>1</v>
      </c>
      <c r="DE5117">
        <v>0</v>
      </c>
      <c r="DF5117">
        <v>0</v>
      </c>
      <c r="DG5117">
        <v>0</v>
      </c>
      <c r="DH5117">
        <v>0</v>
      </c>
      <c r="DI5117">
        <v>0</v>
      </c>
    </row>
    <row r="5118" spans="1:113" x14ac:dyDescent="0.3">
      <c r="A5118" t="str">
        <f t="shared" si="2356"/>
        <v>05/12/2020 14:50:22.061</v>
      </c>
      <c r="C5118" t="str">
        <f t="shared" si="2343"/>
        <v>FFDFD3C0</v>
      </c>
      <c r="D5118" t="s">
        <v>113</v>
      </c>
      <c r="E5118">
        <v>3</v>
      </c>
      <c r="H5118">
        <v>164</v>
      </c>
      <c r="I5118" t="s">
        <v>114</v>
      </c>
      <c r="J5118" t="s">
        <v>115</v>
      </c>
      <c r="K5118">
        <v>0</v>
      </c>
      <c r="L5118">
        <v>3</v>
      </c>
      <c r="M5118">
        <v>0</v>
      </c>
      <c r="N5118">
        <v>2</v>
      </c>
      <c r="O5118">
        <v>1</v>
      </c>
      <c r="P5118">
        <v>0</v>
      </c>
      <c r="Q5118">
        <v>0</v>
      </c>
      <c r="S5118" t="str">
        <f t="shared" si="2357"/>
        <v>14:50:39.859</v>
      </c>
      <c r="T5118" t="str">
        <f t="shared" si="2358"/>
        <v>14:50:39.459</v>
      </c>
      <c r="U5118" t="str">
        <f t="shared" si="2334"/>
        <v>A9808D</v>
      </c>
      <c r="V5118">
        <v>0</v>
      </c>
      <c r="W5118">
        <v>0</v>
      </c>
      <c r="X5118">
        <v>1</v>
      </c>
      <c r="Z5118">
        <v>0</v>
      </c>
      <c r="AA5118">
        <v>9</v>
      </c>
      <c r="AB5118">
        <v>3</v>
      </c>
      <c r="AC5118">
        <v>0</v>
      </c>
      <c r="AD5118">
        <v>10</v>
      </c>
      <c r="AE5118">
        <v>0</v>
      </c>
      <c r="AF5118">
        <v>3</v>
      </c>
      <c r="AG5118">
        <v>2</v>
      </c>
      <c r="AH5118">
        <v>0</v>
      </c>
      <c r="AI5118" t="s">
        <v>1133</v>
      </c>
      <c r="AJ5118">
        <v>28.231966</v>
      </c>
      <c r="AK5118" t="s">
        <v>1134</v>
      </c>
      <c r="AL5118">
        <v>-82.373814999999993</v>
      </c>
      <c r="AM5118">
        <v>100</v>
      </c>
      <c r="AN5118">
        <v>2000</v>
      </c>
      <c r="AO5118" t="s">
        <v>118</v>
      </c>
      <c r="AP5118">
        <v>-102</v>
      </c>
      <c r="AQ5118">
        <v>-55</v>
      </c>
      <c r="AR5118">
        <v>-1152</v>
      </c>
      <c r="AZ5118">
        <v>1200</v>
      </c>
      <c r="BA5118">
        <v>1</v>
      </c>
      <c r="BB5118" t="str">
        <f t="shared" si="2344"/>
        <v xml:space="preserve">N711JA  </v>
      </c>
      <c r="BC5118">
        <v>1</v>
      </c>
      <c r="BE5118">
        <v>0</v>
      </c>
      <c r="BF5118">
        <v>0</v>
      </c>
      <c r="BG5118">
        <v>0</v>
      </c>
      <c r="BH5118">
        <v>2100</v>
      </c>
      <c r="BI5118">
        <v>1</v>
      </c>
      <c r="BJ5118">
        <v>1</v>
      </c>
      <c r="BK5118">
        <v>0</v>
      </c>
      <c r="BL5118">
        <v>0</v>
      </c>
      <c r="BO5118">
        <v>0</v>
      </c>
      <c r="BP5118">
        <v>0</v>
      </c>
      <c r="BW5118" t="str">
        <f t="shared" si="2359"/>
        <v>14:50:39.866</v>
      </c>
      <c r="CJ5118">
        <v>0</v>
      </c>
      <c r="CK5118">
        <v>2</v>
      </c>
      <c r="CL5118">
        <v>0</v>
      </c>
      <c r="CM5118">
        <v>2</v>
      </c>
      <c r="CN5118">
        <v>0</v>
      </c>
      <c r="CO5118">
        <v>7</v>
      </c>
      <c r="CP5118" t="s">
        <v>119</v>
      </c>
      <c r="CQ5118">
        <v>343</v>
      </c>
      <c r="CR5118">
        <v>1</v>
      </c>
      <c r="CW5118">
        <v>11112489</v>
      </c>
      <c r="CY5118">
        <v>1</v>
      </c>
      <c r="CZ5118">
        <v>0</v>
      </c>
      <c r="DA5118">
        <v>1</v>
      </c>
      <c r="DB5118">
        <v>0</v>
      </c>
      <c r="DC5118">
        <v>0</v>
      </c>
      <c r="DD5118">
        <v>1</v>
      </c>
      <c r="DE5118">
        <v>0</v>
      </c>
      <c r="DF5118">
        <v>0</v>
      </c>
      <c r="DG5118">
        <v>0</v>
      </c>
      <c r="DH5118">
        <v>0</v>
      </c>
      <c r="DI5118">
        <v>0</v>
      </c>
    </row>
    <row r="5119" spans="1:113" x14ac:dyDescent="0.3">
      <c r="A5119" t="str">
        <f t="shared" si="2356"/>
        <v>05/12/2020 14:50:22.061</v>
      </c>
      <c r="C5119" t="str">
        <f t="shared" si="2343"/>
        <v>FFDFD3C0</v>
      </c>
      <c r="D5119" t="s">
        <v>126</v>
      </c>
      <c r="E5119">
        <v>6</v>
      </c>
      <c r="F5119">
        <v>1006</v>
      </c>
      <c r="G5119" t="s">
        <v>114</v>
      </c>
      <c r="J5119" t="s">
        <v>128</v>
      </c>
      <c r="K5119">
        <v>0</v>
      </c>
      <c r="L5119">
        <v>3</v>
      </c>
      <c r="M5119">
        <v>0</v>
      </c>
      <c r="N5119">
        <v>2</v>
      </c>
      <c r="O5119">
        <v>1</v>
      </c>
      <c r="P5119">
        <v>0</v>
      </c>
      <c r="Q5119">
        <v>0</v>
      </c>
      <c r="S5119" t="str">
        <f t="shared" si="2357"/>
        <v>14:50:39.859</v>
      </c>
      <c r="T5119" t="str">
        <f t="shared" si="2358"/>
        <v>14:50:39.459</v>
      </c>
      <c r="U5119" t="str">
        <f t="shared" si="2334"/>
        <v>A9808D</v>
      </c>
      <c r="V5119">
        <v>0</v>
      </c>
      <c r="W5119">
        <v>0</v>
      </c>
      <c r="X5119">
        <v>1</v>
      </c>
      <c r="Z5119">
        <v>0</v>
      </c>
      <c r="AA5119">
        <v>9</v>
      </c>
      <c r="AB5119">
        <v>3</v>
      </c>
      <c r="AC5119">
        <v>0</v>
      </c>
      <c r="AD5119">
        <v>10</v>
      </c>
      <c r="AE5119">
        <v>0</v>
      </c>
      <c r="AF5119">
        <v>3</v>
      </c>
      <c r="AG5119">
        <v>2</v>
      </c>
      <c r="AH5119">
        <v>0</v>
      </c>
      <c r="AI5119" t="s">
        <v>1133</v>
      </c>
      <c r="AJ5119">
        <v>28.231966</v>
      </c>
      <c r="AK5119" t="s">
        <v>1134</v>
      </c>
      <c r="AL5119">
        <v>-82.373814999999993</v>
      </c>
      <c r="AM5119">
        <v>100</v>
      </c>
      <c r="AN5119">
        <v>2000</v>
      </c>
      <c r="AO5119" t="s">
        <v>118</v>
      </c>
      <c r="AP5119">
        <v>-102</v>
      </c>
      <c r="AQ5119">
        <v>-55</v>
      </c>
      <c r="AR5119">
        <v>-1152</v>
      </c>
      <c r="AZ5119">
        <v>1200</v>
      </c>
      <c r="BA5119">
        <v>1</v>
      </c>
      <c r="BB5119" t="str">
        <f t="shared" si="2344"/>
        <v xml:space="preserve">N711JA  </v>
      </c>
      <c r="BC5119">
        <v>1</v>
      </c>
      <c r="BE5119">
        <v>0</v>
      </c>
      <c r="BF5119">
        <v>0</v>
      </c>
      <c r="BG5119">
        <v>0</v>
      </c>
      <c r="BH5119">
        <v>2100</v>
      </c>
      <c r="BI5119">
        <v>1</v>
      </c>
      <c r="BJ5119">
        <v>1</v>
      </c>
      <c r="BK5119">
        <v>0</v>
      </c>
      <c r="BL5119">
        <v>0</v>
      </c>
      <c r="BO5119">
        <v>0</v>
      </c>
      <c r="BP5119">
        <v>0</v>
      </c>
      <c r="BW5119" t="str">
        <f t="shared" si="2359"/>
        <v>14:50:39.866</v>
      </c>
      <c r="CJ5119">
        <v>0</v>
      </c>
      <c r="CK5119">
        <v>2</v>
      </c>
      <c r="CL5119">
        <v>0</v>
      </c>
      <c r="CM5119">
        <v>2</v>
      </c>
      <c r="CN5119">
        <v>0</v>
      </c>
      <c r="CO5119">
        <v>7</v>
      </c>
      <c r="CP5119" t="s">
        <v>119</v>
      </c>
      <c r="CQ5119">
        <v>343</v>
      </c>
      <c r="CR5119">
        <v>1</v>
      </c>
      <c r="CW5119">
        <v>11112489</v>
      </c>
      <c r="CY5119">
        <v>1</v>
      </c>
      <c r="CZ5119">
        <v>0</v>
      </c>
      <c r="DA5119">
        <v>1</v>
      </c>
      <c r="DB5119">
        <v>0</v>
      </c>
      <c r="DC5119">
        <v>0</v>
      </c>
      <c r="DD5119">
        <v>1</v>
      </c>
      <c r="DE5119">
        <v>0</v>
      </c>
      <c r="DF5119">
        <v>0</v>
      </c>
      <c r="DG5119">
        <v>0</v>
      </c>
      <c r="DH5119">
        <v>0</v>
      </c>
      <c r="DI5119">
        <v>0</v>
      </c>
    </row>
    <row r="5120" spans="1:113" x14ac:dyDescent="0.3">
      <c r="A5120" t="str">
        <f t="shared" ref="A5120:A5128" si="2360">"05/12/2020 14:50:22.987"</f>
        <v>05/12/2020 14:50:22.987</v>
      </c>
      <c r="C5120" t="str">
        <f t="shared" si="2343"/>
        <v>FFDFD3C0</v>
      </c>
      <c r="D5120" t="s">
        <v>131</v>
      </c>
      <c r="E5120">
        <v>10</v>
      </c>
      <c r="F5120">
        <v>2010</v>
      </c>
      <c r="G5120" t="s">
        <v>132</v>
      </c>
      <c r="J5120" t="s">
        <v>133</v>
      </c>
      <c r="K5120">
        <v>0</v>
      </c>
      <c r="L5120">
        <v>3</v>
      </c>
      <c r="M5120">
        <v>0</v>
      </c>
      <c r="N5120">
        <v>2</v>
      </c>
      <c r="O5120">
        <v>1</v>
      </c>
      <c r="P5120">
        <v>0</v>
      </c>
      <c r="Q5120">
        <v>0</v>
      </c>
      <c r="S5120" t="str">
        <f t="shared" ref="S5120:S5128" si="2361">"14:50:40.836"</f>
        <v>14:50:40.836</v>
      </c>
      <c r="T5120" t="str">
        <f t="shared" ref="T5120:T5128" si="2362">"14:50:40.436"</f>
        <v>14:50:40.436</v>
      </c>
      <c r="U5120" t="str">
        <f t="shared" si="2334"/>
        <v>A9808D</v>
      </c>
      <c r="V5120">
        <v>0</v>
      </c>
      <c r="W5120">
        <v>0</v>
      </c>
      <c r="X5120">
        <v>1</v>
      </c>
      <c r="Z5120">
        <v>0</v>
      </c>
      <c r="AA5120">
        <v>9</v>
      </c>
      <c r="AB5120">
        <v>3</v>
      </c>
      <c r="AC5120">
        <v>0</v>
      </c>
      <c r="AD5120">
        <v>10</v>
      </c>
      <c r="AE5120">
        <v>0</v>
      </c>
      <c r="AF5120">
        <v>3</v>
      </c>
      <c r="AG5120">
        <v>2</v>
      </c>
      <c r="AH5120">
        <v>0</v>
      </c>
      <c r="AI5120" t="s">
        <v>1135</v>
      </c>
      <c r="AJ5120">
        <v>28.231708999999999</v>
      </c>
      <c r="AK5120" t="s">
        <v>1136</v>
      </c>
      <c r="AL5120">
        <v>-82.374371999999994</v>
      </c>
      <c r="AM5120">
        <v>100</v>
      </c>
      <c r="AN5120">
        <v>2000</v>
      </c>
      <c r="AO5120" t="s">
        <v>118</v>
      </c>
      <c r="AP5120">
        <v>-102</v>
      </c>
      <c r="AQ5120">
        <v>-56</v>
      </c>
      <c r="AR5120">
        <v>-1152</v>
      </c>
      <c r="AZ5120">
        <v>1200</v>
      </c>
      <c r="BA5120">
        <v>1</v>
      </c>
      <c r="BB5120" t="str">
        <f t="shared" si="2344"/>
        <v xml:space="preserve">N711JA  </v>
      </c>
      <c r="BC5120">
        <v>1</v>
      </c>
      <c r="BE5120">
        <v>0</v>
      </c>
      <c r="BF5120">
        <v>0</v>
      </c>
      <c r="BG5120">
        <v>0</v>
      </c>
      <c r="BH5120">
        <v>2075</v>
      </c>
      <c r="BI5120">
        <v>1</v>
      </c>
      <c r="BJ5120">
        <v>1</v>
      </c>
      <c r="BK5120">
        <v>0</v>
      </c>
      <c r="BL5120">
        <v>0</v>
      </c>
      <c r="BO5120">
        <v>0</v>
      </c>
      <c r="BP5120">
        <v>0</v>
      </c>
      <c r="BW5120" t="str">
        <f t="shared" ref="BW5120:BW5128" si="2363">"14:50:40.836"</f>
        <v>14:50:40.836</v>
      </c>
      <c r="CJ5120">
        <v>0</v>
      </c>
      <c r="CK5120">
        <v>2</v>
      </c>
      <c r="CL5120">
        <v>0</v>
      </c>
      <c r="CM5120">
        <v>2</v>
      </c>
      <c r="CN5120">
        <v>0</v>
      </c>
      <c r="CO5120">
        <v>7</v>
      </c>
      <c r="CP5120" t="s">
        <v>119</v>
      </c>
      <c r="CQ5120">
        <v>343</v>
      </c>
      <c r="CR5120">
        <v>1</v>
      </c>
      <c r="CW5120">
        <v>11113548</v>
      </c>
      <c r="CY5120">
        <v>1</v>
      </c>
      <c r="CZ5120">
        <v>0</v>
      </c>
      <c r="DA5120">
        <v>0</v>
      </c>
      <c r="DB5120">
        <v>0</v>
      </c>
      <c r="DC5120">
        <v>0</v>
      </c>
      <c r="DD5120">
        <v>1</v>
      </c>
      <c r="DE5120">
        <v>0</v>
      </c>
      <c r="DF5120">
        <v>0</v>
      </c>
      <c r="DG5120">
        <v>0</v>
      </c>
      <c r="DH5120">
        <v>0</v>
      </c>
      <c r="DI5120">
        <v>0</v>
      </c>
    </row>
    <row r="5121" spans="1:113" x14ac:dyDescent="0.3">
      <c r="A5121" t="str">
        <f t="shared" si="2360"/>
        <v>05/12/2020 14:50:22.987</v>
      </c>
      <c r="C5121" t="str">
        <f t="shared" si="2343"/>
        <v>FFDFD3C0</v>
      </c>
      <c r="D5121" t="s">
        <v>126</v>
      </c>
      <c r="E5121">
        <v>7</v>
      </c>
      <c r="F5121">
        <v>1007</v>
      </c>
      <c r="G5121" t="s">
        <v>127</v>
      </c>
      <c r="J5121" t="s">
        <v>128</v>
      </c>
      <c r="K5121">
        <v>0</v>
      </c>
      <c r="L5121">
        <v>3</v>
      </c>
      <c r="M5121">
        <v>0</v>
      </c>
      <c r="N5121">
        <v>2</v>
      </c>
      <c r="O5121">
        <v>1</v>
      </c>
      <c r="P5121">
        <v>0</v>
      </c>
      <c r="Q5121">
        <v>0</v>
      </c>
      <c r="S5121" t="str">
        <f t="shared" si="2361"/>
        <v>14:50:40.836</v>
      </c>
      <c r="T5121" t="str">
        <f t="shared" si="2362"/>
        <v>14:50:40.436</v>
      </c>
      <c r="U5121" t="str">
        <f t="shared" si="2334"/>
        <v>A9808D</v>
      </c>
      <c r="V5121">
        <v>0</v>
      </c>
      <c r="W5121">
        <v>0</v>
      </c>
      <c r="X5121">
        <v>1</v>
      </c>
      <c r="Z5121">
        <v>0</v>
      </c>
      <c r="AA5121">
        <v>9</v>
      </c>
      <c r="AB5121">
        <v>3</v>
      </c>
      <c r="AC5121">
        <v>0</v>
      </c>
      <c r="AD5121">
        <v>10</v>
      </c>
      <c r="AE5121">
        <v>0</v>
      </c>
      <c r="AF5121">
        <v>3</v>
      </c>
      <c r="AG5121">
        <v>2</v>
      </c>
      <c r="AH5121">
        <v>0</v>
      </c>
      <c r="AI5121" t="s">
        <v>1135</v>
      </c>
      <c r="AJ5121">
        <v>28.231708999999999</v>
      </c>
      <c r="AK5121" t="s">
        <v>1136</v>
      </c>
      <c r="AL5121">
        <v>-82.374371999999994</v>
      </c>
      <c r="AM5121">
        <v>100</v>
      </c>
      <c r="AN5121">
        <v>2000</v>
      </c>
      <c r="AO5121" t="s">
        <v>118</v>
      </c>
      <c r="AP5121">
        <v>-102</v>
      </c>
      <c r="AQ5121">
        <v>-56</v>
      </c>
      <c r="AR5121">
        <v>-1152</v>
      </c>
      <c r="AZ5121">
        <v>1200</v>
      </c>
      <c r="BA5121">
        <v>1</v>
      </c>
      <c r="BB5121" t="str">
        <f t="shared" si="2344"/>
        <v xml:space="preserve">N711JA  </v>
      </c>
      <c r="BC5121">
        <v>1</v>
      </c>
      <c r="BE5121">
        <v>0</v>
      </c>
      <c r="BF5121">
        <v>0</v>
      </c>
      <c r="BG5121">
        <v>0</v>
      </c>
      <c r="BH5121">
        <v>2075</v>
      </c>
      <c r="BI5121">
        <v>1</v>
      </c>
      <c r="BJ5121">
        <v>1</v>
      </c>
      <c r="BK5121">
        <v>0</v>
      </c>
      <c r="BL5121">
        <v>0</v>
      </c>
      <c r="BO5121">
        <v>0</v>
      </c>
      <c r="BP5121">
        <v>0</v>
      </c>
      <c r="BW5121" t="str">
        <f t="shared" si="2363"/>
        <v>14:50:40.836</v>
      </c>
      <c r="CJ5121">
        <v>0</v>
      </c>
      <c r="CK5121">
        <v>2</v>
      </c>
      <c r="CL5121">
        <v>0</v>
      </c>
      <c r="CM5121">
        <v>2</v>
      </c>
      <c r="CN5121">
        <v>0</v>
      </c>
      <c r="CO5121">
        <v>7</v>
      </c>
      <c r="CP5121" t="s">
        <v>119</v>
      </c>
      <c r="CQ5121">
        <v>343</v>
      </c>
      <c r="CR5121">
        <v>1</v>
      </c>
      <c r="CW5121">
        <v>11113548</v>
      </c>
      <c r="CY5121">
        <v>1</v>
      </c>
      <c r="CZ5121">
        <v>0</v>
      </c>
      <c r="DA5121">
        <v>1</v>
      </c>
      <c r="DB5121">
        <v>0</v>
      </c>
      <c r="DC5121">
        <v>0</v>
      </c>
      <c r="DD5121">
        <v>1</v>
      </c>
      <c r="DE5121">
        <v>0</v>
      </c>
      <c r="DF5121">
        <v>0</v>
      </c>
      <c r="DG5121">
        <v>0</v>
      </c>
      <c r="DH5121">
        <v>0</v>
      </c>
      <c r="DI5121">
        <v>0</v>
      </c>
    </row>
    <row r="5122" spans="1:113" x14ac:dyDescent="0.3">
      <c r="A5122" t="str">
        <f t="shared" si="2360"/>
        <v>05/12/2020 14:50:22.987</v>
      </c>
      <c r="C5122" t="str">
        <f t="shared" si="2343"/>
        <v>FFDFD3C0</v>
      </c>
      <c r="D5122" t="s">
        <v>131</v>
      </c>
      <c r="E5122">
        <v>12</v>
      </c>
      <c r="F5122">
        <v>2012</v>
      </c>
      <c r="G5122" t="s">
        <v>137</v>
      </c>
      <c r="J5122" t="s">
        <v>133</v>
      </c>
      <c r="K5122">
        <v>0</v>
      </c>
      <c r="L5122">
        <v>3</v>
      </c>
      <c r="M5122">
        <v>0</v>
      </c>
      <c r="N5122">
        <v>2</v>
      </c>
      <c r="O5122">
        <v>1</v>
      </c>
      <c r="P5122">
        <v>0</v>
      </c>
      <c r="Q5122">
        <v>0</v>
      </c>
      <c r="S5122" t="str">
        <f t="shared" si="2361"/>
        <v>14:50:40.836</v>
      </c>
      <c r="T5122" t="str">
        <f t="shared" si="2362"/>
        <v>14:50:40.436</v>
      </c>
      <c r="U5122" t="str">
        <f t="shared" ref="U5122:U5185" si="2364">"A9808D"</f>
        <v>A9808D</v>
      </c>
      <c r="V5122">
        <v>0</v>
      </c>
      <c r="W5122">
        <v>0</v>
      </c>
      <c r="X5122">
        <v>1</v>
      </c>
      <c r="Z5122">
        <v>0</v>
      </c>
      <c r="AA5122">
        <v>9</v>
      </c>
      <c r="AB5122">
        <v>3</v>
      </c>
      <c r="AC5122">
        <v>0</v>
      </c>
      <c r="AD5122">
        <v>10</v>
      </c>
      <c r="AE5122">
        <v>0</v>
      </c>
      <c r="AF5122">
        <v>3</v>
      </c>
      <c r="AG5122">
        <v>2</v>
      </c>
      <c r="AH5122">
        <v>0</v>
      </c>
      <c r="AI5122" t="s">
        <v>1135</v>
      </c>
      <c r="AJ5122">
        <v>28.231708999999999</v>
      </c>
      <c r="AK5122" t="s">
        <v>1136</v>
      </c>
      <c r="AL5122">
        <v>-82.374371999999994</v>
      </c>
      <c r="AM5122">
        <v>100</v>
      </c>
      <c r="AN5122">
        <v>2000</v>
      </c>
      <c r="AO5122" t="s">
        <v>118</v>
      </c>
      <c r="AP5122">
        <v>-102</v>
      </c>
      <c r="AQ5122">
        <v>-56</v>
      </c>
      <c r="AR5122">
        <v>-1152</v>
      </c>
      <c r="AZ5122">
        <v>1200</v>
      </c>
      <c r="BA5122">
        <v>1</v>
      </c>
      <c r="BB5122" t="str">
        <f t="shared" si="2344"/>
        <v xml:space="preserve">N711JA  </v>
      </c>
      <c r="BC5122">
        <v>1</v>
      </c>
      <c r="BE5122">
        <v>0</v>
      </c>
      <c r="BF5122">
        <v>0</v>
      </c>
      <c r="BG5122">
        <v>0</v>
      </c>
      <c r="BH5122">
        <v>2075</v>
      </c>
      <c r="BI5122">
        <v>1</v>
      </c>
      <c r="BJ5122">
        <v>1</v>
      </c>
      <c r="BK5122">
        <v>0</v>
      </c>
      <c r="BL5122">
        <v>0</v>
      </c>
      <c r="BO5122">
        <v>0</v>
      </c>
      <c r="BP5122">
        <v>0</v>
      </c>
      <c r="BW5122" t="str">
        <f t="shared" si="2363"/>
        <v>14:50:40.836</v>
      </c>
      <c r="CJ5122">
        <v>0</v>
      </c>
      <c r="CK5122">
        <v>2</v>
      </c>
      <c r="CL5122">
        <v>0</v>
      </c>
      <c r="CM5122">
        <v>2</v>
      </c>
      <c r="CN5122">
        <v>0</v>
      </c>
      <c r="CO5122">
        <v>7</v>
      </c>
      <c r="CP5122" t="s">
        <v>119</v>
      </c>
      <c r="CQ5122">
        <v>343</v>
      </c>
      <c r="CR5122">
        <v>1</v>
      </c>
      <c r="CW5122">
        <v>11113548</v>
      </c>
      <c r="CY5122">
        <v>1</v>
      </c>
      <c r="CZ5122">
        <v>0</v>
      </c>
      <c r="DA5122">
        <v>1</v>
      </c>
      <c r="DB5122">
        <v>0</v>
      </c>
      <c r="DC5122">
        <v>0</v>
      </c>
      <c r="DD5122">
        <v>1</v>
      </c>
      <c r="DE5122">
        <v>0</v>
      </c>
      <c r="DF5122">
        <v>0</v>
      </c>
      <c r="DG5122">
        <v>0</v>
      </c>
      <c r="DH5122">
        <v>0</v>
      </c>
      <c r="DI5122">
        <v>0</v>
      </c>
    </row>
    <row r="5123" spans="1:113" x14ac:dyDescent="0.3">
      <c r="A5123" t="str">
        <f t="shared" si="2360"/>
        <v>05/12/2020 14:50:22.987</v>
      </c>
      <c r="C5123" t="str">
        <f t="shared" si="2343"/>
        <v>FFDFD3C0</v>
      </c>
      <c r="D5123" t="s">
        <v>134</v>
      </c>
      <c r="E5123">
        <v>12</v>
      </c>
      <c r="H5123">
        <v>64</v>
      </c>
      <c r="I5123" t="s">
        <v>135</v>
      </c>
      <c r="J5123" t="s">
        <v>136</v>
      </c>
      <c r="K5123">
        <v>0</v>
      </c>
      <c r="L5123">
        <v>3</v>
      </c>
      <c r="M5123">
        <v>0</v>
      </c>
      <c r="N5123">
        <v>2</v>
      </c>
      <c r="O5123">
        <v>1</v>
      </c>
      <c r="P5123">
        <v>0</v>
      </c>
      <c r="Q5123">
        <v>0</v>
      </c>
      <c r="S5123" t="str">
        <f t="shared" si="2361"/>
        <v>14:50:40.836</v>
      </c>
      <c r="T5123" t="str">
        <f t="shared" si="2362"/>
        <v>14:50:40.436</v>
      </c>
      <c r="U5123" t="str">
        <f t="shared" si="2364"/>
        <v>A9808D</v>
      </c>
      <c r="V5123">
        <v>0</v>
      </c>
      <c r="W5123">
        <v>0</v>
      </c>
      <c r="X5123">
        <v>1</v>
      </c>
      <c r="Z5123">
        <v>0</v>
      </c>
      <c r="AA5123">
        <v>9</v>
      </c>
      <c r="AB5123">
        <v>3</v>
      </c>
      <c r="AC5123">
        <v>0</v>
      </c>
      <c r="AD5123">
        <v>10</v>
      </c>
      <c r="AE5123">
        <v>0</v>
      </c>
      <c r="AF5123">
        <v>3</v>
      </c>
      <c r="AG5123">
        <v>2</v>
      </c>
      <c r="AH5123">
        <v>0</v>
      </c>
      <c r="AI5123" t="s">
        <v>1135</v>
      </c>
      <c r="AJ5123">
        <v>28.231708999999999</v>
      </c>
      <c r="AK5123" t="s">
        <v>1136</v>
      </c>
      <c r="AL5123">
        <v>-82.374371999999994</v>
      </c>
      <c r="AM5123">
        <v>100</v>
      </c>
      <c r="AN5123">
        <v>2000</v>
      </c>
      <c r="AO5123" t="s">
        <v>118</v>
      </c>
      <c r="AP5123">
        <v>-102</v>
      </c>
      <c r="AQ5123">
        <v>-56</v>
      </c>
      <c r="AR5123">
        <v>-1152</v>
      </c>
      <c r="AZ5123">
        <v>1200</v>
      </c>
      <c r="BA5123">
        <v>1</v>
      </c>
      <c r="BB5123" t="str">
        <f t="shared" si="2344"/>
        <v xml:space="preserve">N711JA  </v>
      </c>
      <c r="BC5123">
        <v>1</v>
      </c>
      <c r="BE5123">
        <v>0</v>
      </c>
      <c r="BF5123">
        <v>0</v>
      </c>
      <c r="BG5123">
        <v>0</v>
      </c>
      <c r="BH5123">
        <v>2075</v>
      </c>
      <c r="BI5123">
        <v>1</v>
      </c>
      <c r="BJ5123">
        <v>1</v>
      </c>
      <c r="BK5123">
        <v>0</v>
      </c>
      <c r="BL5123">
        <v>0</v>
      </c>
      <c r="BO5123">
        <v>0</v>
      </c>
      <c r="BP5123">
        <v>0</v>
      </c>
      <c r="BW5123" t="str">
        <f t="shared" si="2363"/>
        <v>14:50:40.836</v>
      </c>
      <c r="CJ5123">
        <v>0</v>
      </c>
      <c r="CK5123">
        <v>2</v>
      </c>
      <c r="CL5123">
        <v>0</v>
      </c>
      <c r="CM5123">
        <v>2</v>
      </c>
      <c r="CN5123">
        <v>0</v>
      </c>
      <c r="CO5123">
        <v>7</v>
      </c>
      <c r="CP5123" t="s">
        <v>119</v>
      </c>
      <c r="CQ5123">
        <v>343</v>
      </c>
      <c r="CR5123">
        <v>1</v>
      </c>
      <c r="CW5123">
        <v>11113548</v>
      </c>
      <c r="CY5123">
        <v>1</v>
      </c>
      <c r="CZ5123">
        <v>0</v>
      </c>
      <c r="DA5123">
        <v>1</v>
      </c>
      <c r="DB5123">
        <v>0</v>
      </c>
      <c r="DC5123">
        <v>0</v>
      </c>
      <c r="DD5123">
        <v>1</v>
      </c>
      <c r="DE5123">
        <v>0</v>
      </c>
      <c r="DF5123">
        <v>0</v>
      </c>
      <c r="DG5123">
        <v>0</v>
      </c>
      <c r="DH5123">
        <v>0</v>
      </c>
      <c r="DI5123">
        <v>0</v>
      </c>
    </row>
    <row r="5124" spans="1:113" x14ac:dyDescent="0.3">
      <c r="A5124" t="str">
        <f t="shared" si="2360"/>
        <v>05/12/2020 14:50:22.987</v>
      </c>
      <c r="C5124" t="str">
        <f t="shared" si="2343"/>
        <v>FFDFD3C0</v>
      </c>
      <c r="D5124" t="s">
        <v>131</v>
      </c>
      <c r="E5124">
        <v>18</v>
      </c>
      <c r="F5124">
        <v>2018</v>
      </c>
      <c r="G5124" t="s">
        <v>161</v>
      </c>
      <c r="J5124" t="s">
        <v>133</v>
      </c>
      <c r="K5124">
        <v>0</v>
      </c>
      <c r="L5124">
        <v>3</v>
      </c>
      <c r="M5124">
        <v>0</v>
      </c>
      <c r="N5124">
        <v>2</v>
      </c>
      <c r="O5124">
        <v>1</v>
      </c>
      <c r="P5124">
        <v>0</v>
      </c>
      <c r="Q5124">
        <v>0</v>
      </c>
      <c r="S5124" t="str">
        <f t="shared" si="2361"/>
        <v>14:50:40.836</v>
      </c>
      <c r="T5124" t="str">
        <f t="shared" si="2362"/>
        <v>14:50:40.436</v>
      </c>
      <c r="U5124" t="str">
        <f t="shared" si="2364"/>
        <v>A9808D</v>
      </c>
      <c r="V5124">
        <v>0</v>
      </c>
      <c r="W5124">
        <v>0</v>
      </c>
      <c r="X5124">
        <v>1</v>
      </c>
      <c r="Z5124">
        <v>0</v>
      </c>
      <c r="AA5124">
        <v>9</v>
      </c>
      <c r="AB5124">
        <v>3</v>
      </c>
      <c r="AC5124">
        <v>0</v>
      </c>
      <c r="AD5124">
        <v>10</v>
      </c>
      <c r="AE5124">
        <v>0</v>
      </c>
      <c r="AF5124">
        <v>3</v>
      </c>
      <c r="AG5124">
        <v>2</v>
      </c>
      <c r="AH5124">
        <v>0</v>
      </c>
      <c r="AI5124" t="s">
        <v>1135</v>
      </c>
      <c r="AJ5124">
        <v>28.231708999999999</v>
      </c>
      <c r="AK5124" t="s">
        <v>1136</v>
      </c>
      <c r="AL5124">
        <v>-82.374371999999994</v>
      </c>
      <c r="AM5124">
        <v>100</v>
      </c>
      <c r="AN5124">
        <v>2000</v>
      </c>
      <c r="AO5124" t="s">
        <v>118</v>
      </c>
      <c r="AP5124">
        <v>-102</v>
      </c>
      <c r="AQ5124">
        <v>-56</v>
      </c>
      <c r="AR5124">
        <v>-1152</v>
      </c>
      <c r="AZ5124">
        <v>1200</v>
      </c>
      <c r="BA5124">
        <v>1</v>
      </c>
      <c r="BB5124" t="str">
        <f t="shared" si="2344"/>
        <v xml:space="preserve">N711JA  </v>
      </c>
      <c r="BC5124">
        <v>1</v>
      </c>
      <c r="BE5124">
        <v>0</v>
      </c>
      <c r="BF5124">
        <v>0</v>
      </c>
      <c r="BG5124">
        <v>0</v>
      </c>
      <c r="BH5124">
        <v>2075</v>
      </c>
      <c r="BI5124">
        <v>1</v>
      </c>
      <c r="BJ5124">
        <v>1</v>
      </c>
      <c r="BK5124">
        <v>0</v>
      </c>
      <c r="BL5124">
        <v>0</v>
      </c>
      <c r="BO5124">
        <v>0</v>
      </c>
      <c r="BP5124">
        <v>0</v>
      </c>
      <c r="BW5124" t="str">
        <f t="shared" si="2363"/>
        <v>14:50:40.836</v>
      </c>
      <c r="CJ5124">
        <v>0</v>
      </c>
      <c r="CK5124">
        <v>2</v>
      </c>
      <c r="CL5124">
        <v>0</v>
      </c>
      <c r="CM5124">
        <v>2</v>
      </c>
      <c r="CN5124">
        <v>0</v>
      </c>
      <c r="CO5124">
        <v>7</v>
      </c>
      <c r="CP5124" t="s">
        <v>119</v>
      </c>
      <c r="CQ5124">
        <v>343</v>
      </c>
      <c r="CR5124">
        <v>1</v>
      </c>
      <c r="CW5124">
        <v>11113548</v>
      </c>
      <c r="CY5124">
        <v>1</v>
      </c>
      <c r="CZ5124">
        <v>0</v>
      </c>
      <c r="DA5124">
        <v>1</v>
      </c>
      <c r="DB5124">
        <v>0</v>
      </c>
      <c r="DC5124">
        <v>0</v>
      </c>
      <c r="DD5124">
        <v>1</v>
      </c>
      <c r="DE5124">
        <v>0</v>
      </c>
      <c r="DF5124">
        <v>0</v>
      </c>
      <c r="DG5124">
        <v>0</v>
      </c>
      <c r="DH5124">
        <v>0</v>
      </c>
      <c r="DI5124">
        <v>0</v>
      </c>
    </row>
    <row r="5125" spans="1:113" x14ac:dyDescent="0.3">
      <c r="A5125" t="str">
        <f t="shared" si="2360"/>
        <v>05/12/2020 14:50:22.987</v>
      </c>
      <c r="C5125" t="str">
        <f t="shared" si="2343"/>
        <v>FFDFD3C0</v>
      </c>
      <c r="D5125" t="s">
        <v>113</v>
      </c>
      <c r="E5125">
        <v>3</v>
      </c>
      <c r="H5125">
        <v>164</v>
      </c>
      <c r="I5125" t="s">
        <v>114</v>
      </c>
      <c r="J5125" t="s">
        <v>115</v>
      </c>
      <c r="K5125">
        <v>0</v>
      </c>
      <c r="L5125">
        <v>3</v>
      </c>
      <c r="M5125">
        <v>0</v>
      </c>
      <c r="N5125">
        <v>2</v>
      </c>
      <c r="O5125">
        <v>1</v>
      </c>
      <c r="P5125">
        <v>0</v>
      </c>
      <c r="Q5125">
        <v>0</v>
      </c>
      <c r="S5125" t="str">
        <f t="shared" si="2361"/>
        <v>14:50:40.836</v>
      </c>
      <c r="T5125" t="str">
        <f t="shared" si="2362"/>
        <v>14:50:40.436</v>
      </c>
      <c r="U5125" t="str">
        <f t="shared" si="2364"/>
        <v>A9808D</v>
      </c>
      <c r="V5125">
        <v>0</v>
      </c>
      <c r="W5125">
        <v>0</v>
      </c>
      <c r="X5125">
        <v>1</v>
      </c>
      <c r="Z5125">
        <v>0</v>
      </c>
      <c r="AA5125">
        <v>9</v>
      </c>
      <c r="AB5125">
        <v>3</v>
      </c>
      <c r="AC5125">
        <v>0</v>
      </c>
      <c r="AD5125">
        <v>10</v>
      </c>
      <c r="AE5125">
        <v>0</v>
      </c>
      <c r="AF5125">
        <v>3</v>
      </c>
      <c r="AG5125">
        <v>2</v>
      </c>
      <c r="AH5125">
        <v>0</v>
      </c>
      <c r="AI5125" t="s">
        <v>1135</v>
      </c>
      <c r="AJ5125">
        <v>28.231708999999999</v>
      </c>
      <c r="AK5125" t="s">
        <v>1136</v>
      </c>
      <c r="AL5125">
        <v>-82.374371999999994</v>
      </c>
      <c r="AM5125">
        <v>100</v>
      </c>
      <c r="AN5125">
        <v>2000</v>
      </c>
      <c r="AO5125" t="s">
        <v>118</v>
      </c>
      <c r="AP5125">
        <v>-102</v>
      </c>
      <c r="AQ5125">
        <v>-56</v>
      </c>
      <c r="AR5125">
        <v>-1152</v>
      </c>
      <c r="AZ5125">
        <v>1200</v>
      </c>
      <c r="BA5125">
        <v>1</v>
      </c>
      <c r="BB5125" t="str">
        <f t="shared" si="2344"/>
        <v xml:space="preserve">N711JA  </v>
      </c>
      <c r="BC5125">
        <v>1</v>
      </c>
      <c r="BE5125">
        <v>0</v>
      </c>
      <c r="BF5125">
        <v>0</v>
      </c>
      <c r="BG5125">
        <v>0</v>
      </c>
      <c r="BH5125">
        <v>2075</v>
      </c>
      <c r="BI5125">
        <v>1</v>
      </c>
      <c r="BJ5125">
        <v>1</v>
      </c>
      <c r="BK5125">
        <v>0</v>
      </c>
      <c r="BL5125">
        <v>0</v>
      </c>
      <c r="BO5125">
        <v>0</v>
      </c>
      <c r="BP5125">
        <v>0</v>
      </c>
      <c r="BW5125" t="str">
        <f t="shared" si="2363"/>
        <v>14:50:40.836</v>
      </c>
      <c r="CJ5125">
        <v>0</v>
      </c>
      <c r="CK5125">
        <v>2</v>
      </c>
      <c r="CL5125">
        <v>0</v>
      </c>
      <c r="CM5125">
        <v>2</v>
      </c>
      <c r="CN5125">
        <v>0</v>
      </c>
      <c r="CO5125">
        <v>7</v>
      </c>
      <c r="CP5125" t="s">
        <v>119</v>
      </c>
      <c r="CQ5125">
        <v>343</v>
      </c>
      <c r="CR5125">
        <v>1</v>
      </c>
      <c r="CW5125">
        <v>11113548</v>
      </c>
      <c r="CY5125">
        <v>1</v>
      </c>
      <c r="CZ5125">
        <v>0</v>
      </c>
      <c r="DA5125">
        <v>1</v>
      </c>
      <c r="DB5125">
        <v>0</v>
      </c>
      <c r="DC5125">
        <v>0</v>
      </c>
      <c r="DD5125">
        <v>1</v>
      </c>
      <c r="DE5125">
        <v>0</v>
      </c>
      <c r="DF5125">
        <v>0</v>
      </c>
      <c r="DG5125">
        <v>0</v>
      </c>
      <c r="DH5125">
        <v>0</v>
      </c>
      <c r="DI5125">
        <v>0</v>
      </c>
    </row>
    <row r="5126" spans="1:113" x14ac:dyDescent="0.3">
      <c r="A5126" t="str">
        <f t="shared" si="2360"/>
        <v>05/12/2020 14:50:22.987</v>
      </c>
      <c r="C5126" t="str">
        <f t="shared" si="2343"/>
        <v>FFDFD3C0</v>
      </c>
      <c r="D5126" t="s">
        <v>126</v>
      </c>
      <c r="E5126">
        <v>6</v>
      </c>
      <c r="F5126">
        <v>1006</v>
      </c>
      <c r="G5126" t="s">
        <v>114</v>
      </c>
      <c r="J5126" t="s">
        <v>128</v>
      </c>
      <c r="K5126">
        <v>0</v>
      </c>
      <c r="L5126">
        <v>3</v>
      </c>
      <c r="M5126">
        <v>0</v>
      </c>
      <c r="N5126">
        <v>2</v>
      </c>
      <c r="O5126">
        <v>1</v>
      </c>
      <c r="P5126">
        <v>0</v>
      </c>
      <c r="Q5126">
        <v>0</v>
      </c>
      <c r="S5126" t="str">
        <f t="shared" si="2361"/>
        <v>14:50:40.836</v>
      </c>
      <c r="T5126" t="str">
        <f t="shared" si="2362"/>
        <v>14:50:40.436</v>
      </c>
      <c r="U5126" t="str">
        <f t="shared" si="2364"/>
        <v>A9808D</v>
      </c>
      <c r="V5126">
        <v>0</v>
      </c>
      <c r="W5126">
        <v>0</v>
      </c>
      <c r="X5126">
        <v>1</v>
      </c>
      <c r="Z5126">
        <v>0</v>
      </c>
      <c r="AA5126">
        <v>9</v>
      </c>
      <c r="AB5126">
        <v>3</v>
      </c>
      <c r="AC5126">
        <v>0</v>
      </c>
      <c r="AD5126">
        <v>10</v>
      </c>
      <c r="AE5126">
        <v>0</v>
      </c>
      <c r="AF5126">
        <v>3</v>
      </c>
      <c r="AG5126">
        <v>2</v>
      </c>
      <c r="AH5126">
        <v>0</v>
      </c>
      <c r="AI5126" t="s">
        <v>1135</v>
      </c>
      <c r="AJ5126">
        <v>28.231708999999999</v>
      </c>
      <c r="AK5126" t="s">
        <v>1136</v>
      </c>
      <c r="AL5126">
        <v>-82.374371999999994</v>
      </c>
      <c r="AM5126">
        <v>100</v>
      </c>
      <c r="AN5126">
        <v>2000</v>
      </c>
      <c r="AO5126" t="s">
        <v>118</v>
      </c>
      <c r="AP5126">
        <v>-102</v>
      </c>
      <c r="AQ5126">
        <v>-56</v>
      </c>
      <c r="AR5126">
        <v>-1152</v>
      </c>
      <c r="AZ5126">
        <v>1200</v>
      </c>
      <c r="BA5126">
        <v>1</v>
      </c>
      <c r="BB5126" t="str">
        <f t="shared" si="2344"/>
        <v xml:space="preserve">N711JA  </v>
      </c>
      <c r="BC5126">
        <v>1</v>
      </c>
      <c r="BE5126">
        <v>0</v>
      </c>
      <c r="BF5126">
        <v>0</v>
      </c>
      <c r="BG5126">
        <v>0</v>
      </c>
      <c r="BH5126">
        <v>2075</v>
      </c>
      <c r="BI5126">
        <v>1</v>
      </c>
      <c r="BJ5126">
        <v>1</v>
      </c>
      <c r="BK5126">
        <v>0</v>
      </c>
      <c r="BL5126">
        <v>0</v>
      </c>
      <c r="BO5126">
        <v>0</v>
      </c>
      <c r="BP5126">
        <v>0</v>
      </c>
      <c r="BW5126" t="str">
        <f t="shared" si="2363"/>
        <v>14:50:40.836</v>
      </c>
      <c r="CJ5126">
        <v>0</v>
      </c>
      <c r="CK5126">
        <v>2</v>
      </c>
      <c r="CL5126">
        <v>0</v>
      </c>
      <c r="CM5126">
        <v>2</v>
      </c>
      <c r="CN5126">
        <v>0</v>
      </c>
      <c r="CO5126">
        <v>7</v>
      </c>
      <c r="CP5126" t="s">
        <v>119</v>
      </c>
      <c r="CQ5126">
        <v>343</v>
      </c>
      <c r="CR5126">
        <v>1</v>
      </c>
      <c r="CW5126">
        <v>11113548</v>
      </c>
      <c r="CY5126">
        <v>1</v>
      </c>
      <c r="CZ5126">
        <v>0</v>
      </c>
      <c r="DA5126">
        <v>1</v>
      </c>
      <c r="DB5126">
        <v>0</v>
      </c>
      <c r="DC5126">
        <v>0</v>
      </c>
      <c r="DD5126">
        <v>1</v>
      </c>
      <c r="DE5126">
        <v>0</v>
      </c>
      <c r="DF5126">
        <v>0</v>
      </c>
      <c r="DG5126">
        <v>0</v>
      </c>
      <c r="DH5126">
        <v>0</v>
      </c>
      <c r="DI5126">
        <v>0</v>
      </c>
    </row>
    <row r="5127" spans="1:113" x14ac:dyDescent="0.3">
      <c r="A5127" t="str">
        <f t="shared" si="2360"/>
        <v>05/12/2020 14:50:22.987</v>
      </c>
      <c r="C5127" t="str">
        <f t="shared" si="2343"/>
        <v>FFDFD3C0</v>
      </c>
      <c r="D5127" t="s">
        <v>138</v>
      </c>
      <c r="E5127">
        <v>2</v>
      </c>
      <c r="H5127">
        <v>8</v>
      </c>
      <c r="I5127" t="s">
        <v>139</v>
      </c>
      <c r="J5127" t="s">
        <v>136</v>
      </c>
      <c r="K5127">
        <v>0</v>
      </c>
      <c r="L5127">
        <v>3</v>
      </c>
      <c r="M5127">
        <v>0</v>
      </c>
      <c r="N5127">
        <v>2</v>
      </c>
      <c r="O5127">
        <v>1</v>
      </c>
      <c r="P5127">
        <v>0</v>
      </c>
      <c r="Q5127">
        <v>0</v>
      </c>
      <c r="S5127" t="str">
        <f t="shared" si="2361"/>
        <v>14:50:40.836</v>
      </c>
      <c r="T5127" t="str">
        <f t="shared" si="2362"/>
        <v>14:50:40.436</v>
      </c>
      <c r="U5127" t="str">
        <f t="shared" si="2364"/>
        <v>A9808D</v>
      </c>
      <c r="V5127">
        <v>0</v>
      </c>
      <c r="W5127">
        <v>0</v>
      </c>
      <c r="X5127">
        <v>1</v>
      </c>
      <c r="Z5127">
        <v>0</v>
      </c>
      <c r="AA5127">
        <v>9</v>
      </c>
      <c r="AB5127">
        <v>3</v>
      </c>
      <c r="AC5127">
        <v>0</v>
      </c>
      <c r="AD5127">
        <v>10</v>
      </c>
      <c r="AE5127">
        <v>0</v>
      </c>
      <c r="AF5127">
        <v>3</v>
      </c>
      <c r="AG5127">
        <v>2</v>
      </c>
      <c r="AH5127">
        <v>0</v>
      </c>
      <c r="AI5127" t="s">
        <v>1135</v>
      </c>
      <c r="AJ5127">
        <v>28.231708999999999</v>
      </c>
      <c r="AK5127" t="s">
        <v>1136</v>
      </c>
      <c r="AL5127">
        <v>-82.374371999999994</v>
      </c>
      <c r="AM5127">
        <v>100</v>
      </c>
      <c r="AN5127">
        <v>2000</v>
      </c>
      <c r="AO5127" t="s">
        <v>118</v>
      </c>
      <c r="AP5127">
        <v>-102</v>
      </c>
      <c r="AQ5127">
        <v>-56</v>
      </c>
      <c r="AR5127">
        <v>-1152</v>
      </c>
      <c r="AZ5127">
        <v>1200</v>
      </c>
      <c r="BA5127">
        <v>1</v>
      </c>
      <c r="BB5127" t="str">
        <f t="shared" si="2344"/>
        <v xml:space="preserve">N711JA  </v>
      </c>
      <c r="BC5127">
        <v>1</v>
      </c>
      <c r="BE5127">
        <v>0</v>
      </c>
      <c r="BF5127">
        <v>0</v>
      </c>
      <c r="BG5127">
        <v>0</v>
      </c>
      <c r="BH5127">
        <v>2075</v>
      </c>
      <c r="BI5127">
        <v>1</v>
      </c>
      <c r="BJ5127">
        <v>1</v>
      </c>
      <c r="BK5127">
        <v>0</v>
      </c>
      <c r="BL5127">
        <v>0</v>
      </c>
      <c r="BO5127">
        <v>0</v>
      </c>
      <c r="BP5127">
        <v>0</v>
      </c>
      <c r="BW5127" t="str">
        <f t="shared" si="2363"/>
        <v>14:50:40.836</v>
      </c>
      <c r="CJ5127">
        <v>0</v>
      </c>
      <c r="CK5127">
        <v>2</v>
      </c>
      <c r="CL5127">
        <v>0</v>
      </c>
      <c r="CM5127">
        <v>2</v>
      </c>
      <c r="CN5127">
        <v>0</v>
      </c>
      <c r="CO5127">
        <v>7</v>
      </c>
      <c r="CP5127" t="s">
        <v>119</v>
      </c>
      <c r="CQ5127">
        <v>343</v>
      </c>
      <c r="CR5127">
        <v>1</v>
      </c>
      <c r="CW5127">
        <v>11113548</v>
      </c>
      <c r="CY5127">
        <v>1</v>
      </c>
      <c r="CZ5127">
        <v>0</v>
      </c>
      <c r="DA5127">
        <v>1</v>
      </c>
      <c r="DB5127">
        <v>0</v>
      </c>
      <c r="DC5127">
        <v>0</v>
      </c>
      <c r="DD5127">
        <v>1</v>
      </c>
      <c r="DE5127">
        <v>0</v>
      </c>
      <c r="DF5127">
        <v>0</v>
      </c>
      <c r="DG5127">
        <v>0</v>
      </c>
      <c r="DH5127">
        <v>0</v>
      </c>
      <c r="DI5127">
        <v>0</v>
      </c>
    </row>
    <row r="5128" spans="1:113" x14ac:dyDescent="0.3">
      <c r="A5128" t="str">
        <f t="shared" si="2360"/>
        <v>05/12/2020 14:50:22.987</v>
      </c>
      <c r="C5128" t="str">
        <f t="shared" si="2343"/>
        <v>FFDFD3C0</v>
      </c>
      <c r="D5128" t="s">
        <v>138</v>
      </c>
      <c r="E5128">
        <v>3</v>
      </c>
      <c r="H5128">
        <v>9</v>
      </c>
      <c r="I5128" t="s">
        <v>140</v>
      </c>
      <c r="J5128" t="s">
        <v>136</v>
      </c>
      <c r="K5128">
        <v>0</v>
      </c>
      <c r="L5128">
        <v>3</v>
      </c>
      <c r="M5128">
        <v>0</v>
      </c>
      <c r="N5128">
        <v>2</v>
      </c>
      <c r="O5128">
        <v>1</v>
      </c>
      <c r="P5128">
        <v>0</v>
      </c>
      <c r="Q5128">
        <v>0</v>
      </c>
      <c r="S5128" t="str">
        <f t="shared" si="2361"/>
        <v>14:50:40.836</v>
      </c>
      <c r="T5128" t="str">
        <f t="shared" si="2362"/>
        <v>14:50:40.436</v>
      </c>
      <c r="U5128" t="str">
        <f t="shared" si="2364"/>
        <v>A9808D</v>
      </c>
      <c r="V5128">
        <v>0</v>
      </c>
      <c r="W5128">
        <v>0</v>
      </c>
      <c r="X5128">
        <v>1</v>
      </c>
      <c r="Z5128">
        <v>0</v>
      </c>
      <c r="AA5128">
        <v>9</v>
      </c>
      <c r="AB5128">
        <v>3</v>
      </c>
      <c r="AC5128">
        <v>0</v>
      </c>
      <c r="AD5128">
        <v>10</v>
      </c>
      <c r="AE5128">
        <v>0</v>
      </c>
      <c r="AF5128">
        <v>3</v>
      </c>
      <c r="AG5128">
        <v>2</v>
      </c>
      <c r="AH5128">
        <v>0</v>
      </c>
      <c r="AI5128" t="s">
        <v>1135</v>
      </c>
      <c r="AJ5128">
        <v>28.231708999999999</v>
      </c>
      <c r="AK5128" t="s">
        <v>1136</v>
      </c>
      <c r="AL5128">
        <v>-82.374371999999994</v>
      </c>
      <c r="AM5128">
        <v>100</v>
      </c>
      <c r="AN5128">
        <v>2000</v>
      </c>
      <c r="AO5128" t="s">
        <v>118</v>
      </c>
      <c r="AP5128">
        <v>-102</v>
      </c>
      <c r="AQ5128">
        <v>-56</v>
      </c>
      <c r="AR5128">
        <v>-1152</v>
      </c>
      <c r="AZ5128">
        <v>1200</v>
      </c>
      <c r="BA5128">
        <v>1</v>
      </c>
      <c r="BB5128" t="str">
        <f t="shared" si="2344"/>
        <v xml:space="preserve">N711JA  </v>
      </c>
      <c r="BC5128">
        <v>1</v>
      </c>
      <c r="BE5128">
        <v>0</v>
      </c>
      <c r="BF5128">
        <v>0</v>
      </c>
      <c r="BG5128">
        <v>0</v>
      </c>
      <c r="BH5128">
        <v>2075</v>
      </c>
      <c r="BI5128">
        <v>1</v>
      </c>
      <c r="BJ5128">
        <v>1</v>
      </c>
      <c r="BK5128">
        <v>0</v>
      </c>
      <c r="BL5128">
        <v>0</v>
      </c>
      <c r="BO5128">
        <v>0</v>
      </c>
      <c r="BP5128">
        <v>0</v>
      </c>
      <c r="BW5128" t="str">
        <f t="shared" si="2363"/>
        <v>14:50:40.836</v>
      </c>
      <c r="CJ5128">
        <v>0</v>
      </c>
      <c r="CK5128">
        <v>2</v>
      </c>
      <c r="CL5128">
        <v>0</v>
      </c>
      <c r="CM5128">
        <v>2</v>
      </c>
      <c r="CN5128">
        <v>0</v>
      </c>
      <c r="CO5128">
        <v>7</v>
      </c>
      <c r="CP5128" t="s">
        <v>119</v>
      </c>
      <c r="CQ5128">
        <v>343</v>
      </c>
      <c r="CR5128">
        <v>1</v>
      </c>
      <c r="CW5128">
        <v>11113548</v>
      </c>
      <c r="CY5128">
        <v>1</v>
      </c>
      <c r="CZ5128">
        <v>0</v>
      </c>
      <c r="DA5128">
        <v>1</v>
      </c>
      <c r="DB5128">
        <v>0</v>
      </c>
      <c r="DC5128">
        <v>0</v>
      </c>
      <c r="DD5128">
        <v>1</v>
      </c>
      <c r="DE5128">
        <v>0</v>
      </c>
      <c r="DF5128">
        <v>0</v>
      </c>
      <c r="DG5128">
        <v>0</v>
      </c>
      <c r="DH5128">
        <v>0</v>
      </c>
      <c r="DI5128">
        <v>0</v>
      </c>
    </row>
    <row r="5129" spans="1:113" x14ac:dyDescent="0.3">
      <c r="A5129" t="str">
        <f t="shared" ref="A5129:A5137" si="2365">"05/12/2020 14:50:24.001"</f>
        <v>05/12/2020 14:50:24.001</v>
      </c>
      <c r="C5129" t="str">
        <f t="shared" si="2343"/>
        <v>FFDFD3C0</v>
      </c>
      <c r="D5129" t="s">
        <v>131</v>
      </c>
      <c r="E5129">
        <v>18</v>
      </c>
      <c r="F5129">
        <v>2018</v>
      </c>
      <c r="G5129" t="s">
        <v>161</v>
      </c>
      <c r="J5129" t="s">
        <v>133</v>
      </c>
      <c r="K5129">
        <v>0</v>
      </c>
      <c r="L5129">
        <v>3</v>
      </c>
      <c r="M5129">
        <v>0</v>
      </c>
      <c r="N5129">
        <v>2</v>
      </c>
      <c r="O5129">
        <v>1</v>
      </c>
      <c r="P5129">
        <v>0</v>
      </c>
      <c r="Q5129">
        <v>0</v>
      </c>
      <c r="S5129" t="str">
        <f t="shared" ref="S5129:S5137" si="2366">"14:50:41.852"</f>
        <v>14:50:41.852</v>
      </c>
      <c r="T5129" t="str">
        <f t="shared" ref="T5129:T5137" si="2367">"14:50:41.452"</f>
        <v>14:50:41.452</v>
      </c>
      <c r="U5129" t="str">
        <f t="shared" si="2364"/>
        <v>A9808D</v>
      </c>
      <c r="V5129">
        <v>0</v>
      </c>
      <c r="W5129">
        <v>0</v>
      </c>
      <c r="X5129">
        <v>1</v>
      </c>
      <c r="Z5129">
        <v>0</v>
      </c>
      <c r="AA5129">
        <v>9</v>
      </c>
      <c r="AB5129">
        <v>3</v>
      </c>
      <c r="AC5129">
        <v>0</v>
      </c>
      <c r="AD5129">
        <v>10</v>
      </c>
      <c r="AE5129">
        <v>0</v>
      </c>
      <c r="AF5129">
        <v>3</v>
      </c>
      <c r="AG5129">
        <v>2</v>
      </c>
      <c r="AH5129">
        <v>0</v>
      </c>
      <c r="AI5129" t="s">
        <v>1137</v>
      </c>
      <c r="AJ5129">
        <v>28.231473000000001</v>
      </c>
      <c r="AK5129" t="s">
        <v>1138</v>
      </c>
      <c r="AL5129">
        <v>-82.374909000000002</v>
      </c>
      <c r="AM5129">
        <v>100</v>
      </c>
      <c r="AN5129">
        <v>2000</v>
      </c>
      <c r="AO5129" t="s">
        <v>118</v>
      </c>
      <c r="AP5129">
        <v>-103</v>
      </c>
      <c r="AQ5129">
        <v>-56</v>
      </c>
      <c r="AR5129">
        <v>-1152</v>
      </c>
      <c r="AZ5129">
        <v>1200</v>
      </c>
      <c r="BA5129">
        <v>1</v>
      </c>
      <c r="BB5129" t="str">
        <f t="shared" si="2344"/>
        <v xml:space="preserve">N711JA  </v>
      </c>
      <c r="BC5129">
        <v>1</v>
      </c>
      <c r="BE5129">
        <v>0</v>
      </c>
      <c r="BF5129">
        <v>0</v>
      </c>
      <c r="BG5129">
        <v>0</v>
      </c>
      <c r="BH5129">
        <v>2075</v>
      </c>
      <c r="BI5129">
        <v>1</v>
      </c>
      <c r="BJ5129">
        <v>1</v>
      </c>
      <c r="BK5129">
        <v>0</v>
      </c>
      <c r="BL5129">
        <v>0</v>
      </c>
      <c r="BO5129">
        <v>0</v>
      </c>
      <c r="BP5129">
        <v>0</v>
      </c>
      <c r="BW5129" t="str">
        <f t="shared" ref="BW5129:BW5137" si="2368">"14:50:41.852"</f>
        <v>14:50:41.852</v>
      </c>
      <c r="CJ5129">
        <v>0</v>
      </c>
      <c r="CK5129">
        <v>2</v>
      </c>
      <c r="CL5129">
        <v>0</v>
      </c>
      <c r="CM5129">
        <v>2</v>
      </c>
      <c r="CN5129">
        <v>0</v>
      </c>
      <c r="CO5129">
        <v>7</v>
      </c>
      <c r="CP5129" t="s">
        <v>119</v>
      </c>
      <c r="CQ5129">
        <v>343</v>
      </c>
      <c r="CR5129">
        <v>1</v>
      </c>
      <c r="CW5129">
        <v>11114650</v>
      </c>
      <c r="CY5129">
        <v>1</v>
      </c>
      <c r="CZ5129">
        <v>0</v>
      </c>
      <c r="DA5129">
        <v>0</v>
      </c>
      <c r="DB5129">
        <v>0</v>
      </c>
      <c r="DC5129">
        <v>0</v>
      </c>
      <c r="DD5129">
        <v>1</v>
      </c>
      <c r="DE5129">
        <v>0</v>
      </c>
      <c r="DF5129">
        <v>0</v>
      </c>
      <c r="DG5129">
        <v>0</v>
      </c>
      <c r="DH5129">
        <v>0</v>
      </c>
      <c r="DI5129">
        <v>0</v>
      </c>
    </row>
    <row r="5130" spans="1:113" x14ac:dyDescent="0.3">
      <c r="A5130" t="str">
        <f t="shared" si="2365"/>
        <v>05/12/2020 14:50:24.001</v>
      </c>
      <c r="C5130" t="str">
        <f t="shared" si="2343"/>
        <v>FFDFD3C0</v>
      </c>
      <c r="D5130" t="s">
        <v>134</v>
      </c>
      <c r="E5130">
        <v>12</v>
      </c>
      <c r="H5130">
        <v>64</v>
      </c>
      <c r="I5130" t="s">
        <v>135</v>
      </c>
      <c r="J5130" t="s">
        <v>136</v>
      </c>
      <c r="K5130">
        <v>0</v>
      </c>
      <c r="L5130">
        <v>3</v>
      </c>
      <c r="M5130">
        <v>0</v>
      </c>
      <c r="N5130">
        <v>2</v>
      </c>
      <c r="O5130">
        <v>1</v>
      </c>
      <c r="P5130">
        <v>0</v>
      </c>
      <c r="Q5130">
        <v>0</v>
      </c>
      <c r="S5130" t="str">
        <f t="shared" si="2366"/>
        <v>14:50:41.852</v>
      </c>
      <c r="T5130" t="str">
        <f t="shared" si="2367"/>
        <v>14:50:41.452</v>
      </c>
      <c r="U5130" t="str">
        <f t="shared" si="2364"/>
        <v>A9808D</v>
      </c>
      <c r="V5130">
        <v>0</v>
      </c>
      <c r="W5130">
        <v>0</v>
      </c>
      <c r="X5130">
        <v>1</v>
      </c>
      <c r="Z5130">
        <v>0</v>
      </c>
      <c r="AA5130">
        <v>9</v>
      </c>
      <c r="AB5130">
        <v>3</v>
      </c>
      <c r="AC5130">
        <v>0</v>
      </c>
      <c r="AD5130">
        <v>10</v>
      </c>
      <c r="AE5130">
        <v>0</v>
      </c>
      <c r="AF5130">
        <v>3</v>
      </c>
      <c r="AG5130">
        <v>2</v>
      </c>
      <c r="AH5130">
        <v>0</v>
      </c>
      <c r="AI5130" t="s">
        <v>1137</v>
      </c>
      <c r="AJ5130">
        <v>28.231473000000001</v>
      </c>
      <c r="AK5130" t="s">
        <v>1138</v>
      </c>
      <c r="AL5130">
        <v>-82.374909000000002</v>
      </c>
      <c r="AM5130">
        <v>100</v>
      </c>
      <c r="AN5130">
        <v>2000</v>
      </c>
      <c r="AO5130" t="s">
        <v>118</v>
      </c>
      <c r="AP5130">
        <v>-103</v>
      </c>
      <c r="AQ5130">
        <v>-56</v>
      </c>
      <c r="AR5130">
        <v>-1152</v>
      </c>
      <c r="AZ5130">
        <v>1200</v>
      </c>
      <c r="BA5130">
        <v>1</v>
      </c>
      <c r="BB5130" t="str">
        <f t="shared" si="2344"/>
        <v xml:space="preserve">N711JA  </v>
      </c>
      <c r="BC5130">
        <v>1</v>
      </c>
      <c r="BE5130">
        <v>0</v>
      </c>
      <c r="BF5130">
        <v>0</v>
      </c>
      <c r="BG5130">
        <v>0</v>
      </c>
      <c r="BH5130">
        <v>2075</v>
      </c>
      <c r="BI5130">
        <v>1</v>
      </c>
      <c r="BJ5130">
        <v>1</v>
      </c>
      <c r="BK5130">
        <v>0</v>
      </c>
      <c r="BL5130">
        <v>0</v>
      </c>
      <c r="BO5130">
        <v>0</v>
      </c>
      <c r="BP5130">
        <v>0</v>
      </c>
      <c r="BW5130" t="str">
        <f t="shared" si="2368"/>
        <v>14:50:41.852</v>
      </c>
      <c r="CJ5130">
        <v>0</v>
      </c>
      <c r="CK5130">
        <v>2</v>
      </c>
      <c r="CL5130">
        <v>0</v>
      </c>
      <c r="CM5130">
        <v>2</v>
      </c>
      <c r="CN5130">
        <v>0</v>
      </c>
      <c r="CO5130">
        <v>7</v>
      </c>
      <c r="CP5130" t="s">
        <v>119</v>
      </c>
      <c r="CQ5130">
        <v>343</v>
      </c>
      <c r="CR5130">
        <v>1</v>
      </c>
      <c r="CW5130">
        <v>11114650</v>
      </c>
      <c r="CY5130">
        <v>1</v>
      </c>
      <c r="CZ5130">
        <v>0</v>
      </c>
      <c r="DA5130">
        <v>1</v>
      </c>
      <c r="DB5130">
        <v>0</v>
      </c>
      <c r="DC5130">
        <v>0</v>
      </c>
      <c r="DD5130">
        <v>1</v>
      </c>
      <c r="DE5130">
        <v>0</v>
      </c>
      <c r="DF5130">
        <v>0</v>
      </c>
      <c r="DG5130">
        <v>0</v>
      </c>
      <c r="DH5130">
        <v>0</v>
      </c>
      <c r="DI5130">
        <v>0</v>
      </c>
    </row>
    <row r="5131" spans="1:113" x14ac:dyDescent="0.3">
      <c r="A5131" t="str">
        <f t="shared" si="2365"/>
        <v>05/12/2020 14:50:24.001</v>
      </c>
      <c r="C5131" t="str">
        <f t="shared" si="2343"/>
        <v>FFDFD3C0</v>
      </c>
      <c r="D5131" t="s">
        <v>126</v>
      </c>
      <c r="E5131">
        <v>6</v>
      </c>
      <c r="F5131">
        <v>1006</v>
      </c>
      <c r="G5131" t="s">
        <v>114</v>
      </c>
      <c r="J5131" t="s">
        <v>128</v>
      </c>
      <c r="K5131">
        <v>0</v>
      </c>
      <c r="L5131">
        <v>3</v>
      </c>
      <c r="M5131">
        <v>0</v>
      </c>
      <c r="N5131">
        <v>2</v>
      </c>
      <c r="O5131">
        <v>1</v>
      </c>
      <c r="P5131">
        <v>0</v>
      </c>
      <c r="Q5131">
        <v>0</v>
      </c>
      <c r="S5131" t="str">
        <f t="shared" si="2366"/>
        <v>14:50:41.852</v>
      </c>
      <c r="T5131" t="str">
        <f t="shared" si="2367"/>
        <v>14:50:41.452</v>
      </c>
      <c r="U5131" t="str">
        <f t="shared" si="2364"/>
        <v>A9808D</v>
      </c>
      <c r="V5131">
        <v>0</v>
      </c>
      <c r="W5131">
        <v>0</v>
      </c>
      <c r="X5131">
        <v>1</v>
      </c>
      <c r="Z5131">
        <v>0</v>
      </c>
      <c r="AA5131">
        <v>9</v>
      </c>
      <c r="AB5131">
        <v>3</v>
      </c>
      <c r="AC5131">
        <v>0</v>
      </c>
      <c r="AD5131">
        <v>10</v>
      </c>
      <c r="AE5131">
        <v>0</v>
      </c>
      <c r="AF5131">
        <v>3</v>
      </c>
      <c r="AG5131">
        <v>2</v>
      </c>
      <c r="AH5131">
        <v>0</v>
      </c>
      <c r="AI5131" t="s">
        <v>1137</v>
      </c>
      <c r="AJ5131">
        <v>28.231473000000001</v>
      </c>
      <c r="AK5131" t="s">
        <v>1138</v>
      </c>
      <c r="AL5131">
        <v>-82.374909000000002</v>
      </c>
      <c r="AM5131">
        <v>100</v>
      </c>
      <c r="AN5131">
        <v>2000</v>
      </c>
      <c r="AO5131" t="s">
        <v>118</v>
      </c>
      <c r="AP5131">
        <v>-103</v>
      </c>
      <c r="AQ5131">
        <v>-56</v>
      </c>
      <c r="AR5131">
        <v>-1152</v>
      </c>
      <c r="AZ5131">
        <v>1200</v>
      </c>
      <c r="BA5131">
        <v>1</v>
      </c>
      <c r="BB5131" t="str">
        <f t="shared" si="2344"/>
        <v xml:space="preserve">N711JA  </v>
      </c>
      <c r="BC5131">
        <v>1</v>
      </c>
      <c r="BE5131">
        <v>0</v>
      </c>
      <c r="BF5131">
        <v>0</v>
      </c>
      <c r="BG5131">
        <v>0</v>
      </c>
      <c r="BH5131">
        <v>2075</v>
      </c>
      <c r="BI5131">
        <v>1</v>
      </c>
      <c r="BJ5131">
        <v>1</v>
      </c>
      <c r="BK5131">
        <v>0</v>
      </c>
      <c r="BL5131">
        <v>0</v>
      </c>
      <c r="BO5131">
        <v>0</v>
      </c>
      <c r="BP5131">
        <v>0</v>
      </c>
      <c r="BW5131" t="str">
        <f t="shared" si="2368"/>
        <v>14:50:41.852</v>
      </c>
      <c r="CJ5131">
        <v>0</v>
      </c>
      <c r="CK5131">
        <v>2</v>
      </c>
      <c r="CL5131">
        <v>0</v>
      </c>
      <c r="CM5131">
        <v>2</v>
      </c>
      <c r="CN5131">
        <v>0</v>
      </c>
      <c r="CO5131">
        <v>7</v>
      </c>
      <c r="CP5131" t="s">
        <v>119</v>
      </c>
      <c r="CQ5131">
        <v>343</v>
      </c>
      <c r="CR5131">
        <v>1</v>
      </c>
      <c r="CW5131">
        <v>11114650</v>
      </c>
      <c r="CY5131">
        <v>1</v>
      </c>
      <c r="CZ5131">
        <v>0</v>
      </c>
      <c r="DA5131">
        <v>1</v>
      </c>
      <c r="DB5131">
        <v>0</v>
      </c>
      <c r="DC5131">
        <v>0</v>
      </c>
      <c r="DD5131">
        <v>1</v>
      </c>
      <c r="DE5131">
        <v>0</v>
      </c>
      <c r="DF5131">
        <v>0</v>
      </c>
      <c r="DG5131">
        <v>0</v>
      </c>
      <c r="DH5131">
        <v>0</v>
      </c>
      <c r="DI5131">
        <v>0</v>
      </c>
    </row>
    <row r="5132" spans="1:113" x14ac:dyDescent="0.3">
      <c r="A5132" t="str">
        <f t="shared" si="2365"/>
        <v>05/12/2020 14:50:24.001</v>
      </c>
      <c r="C5132" t="str">
        <f t="shared" si="2343"/>
        <v>FFDFD3C0</v>
      </c>
      <c r="D5132" t="s">
        <v>113</v>
      </c>
      <c r="E5132">
        <v>3</v>
      </c>
      <c r="H5132">
        <v>164</v>
      </c>
      <c r="I5132" t="s">
        <v>114</v>
      </c>
      <c r="J5132" t="s">
        <v>115</v>
      </c>
      <c r="K5132">
        <v>0</v>
      </c>
      <c r="L5132">
        <v>3</v>
      </c>
      <c r="M5132">
        <v>0</v>
      </c>
      <c r="N5132">
        <v>2</v>
      </c>
      <c r="O5132">
        <v>1</v>
      </c>
      <c r="P5132">
        <v>0</v>
      </c>
      <c r="Q5132">
        <v>0</v>
      </c>
      <c r="S5132" t="str">
        <f t="shared" si="2366"/>
        <v>14:50:41.852</v>
      </c>
      <c r="T5132" t="str">
        <f t="shared" si="2367"/>
        <v>14:50:41.452</v>
      </c>
      <c r="U5132" t="str">
        <f t="shared" si="2364"/>
        <v>A9808D</v>
      </c>
      <c r="V5132">
        <v>0</v>
      </c>
      <c r="W5132">
        <v>0</v>
      </c>
      <c r="X5132">
        <v>1</v>
      </c>
      <c r="Z5132">
        <v>0</v>
      </c>
      <c r="AA5132">
        <v>9</v>
      </c>
      <c r="AB5132">
        <v>3</v>
      </c>
      <c r="AC5132">
        <v>0</v>
      </c>
      <c r="AD5132">
        <v>10</v>
      </c>
      <c r="AE5132">
        <v>0</v>
      </c>
      <c r="AF5132">
        <v>3</v>
      </c>
      <c r="AG5132">
        <v>2</v>
      </c>
      <c r="AH5132">
        <v>0</v>
      </c>
      <c r="AI5132" t="s">
        <v>1137</v>
      </c>
      <c r="AJ5132">
        <v>28.231473000000001</v>
      </c>
      <c r="AK5132" t="s">
        <v>1138</v>
      </c>
      <c r="AL5132">
        <v>-82.374909000000002</v>
      </c>
      <c r="AM5132">
        <v>100</v>
      </c>
      <c r="AN5132">
        <v>2000</v>
      </c>
      <c r="AO5132" t="s">
        <v>118</v>
      </c>
      <c r="AP5132">
        <v>-103</v>
      </c>
      <c r="AQ5132">
        <v>-56</v>
      </c>
      <c r="AR5132">
        <v>-1152</v>
      </c>
      <c r="AZ5132">
        <v>1200</v>
      </c>
      <c r="BA5132">
        <v>1</v>
      </c>
      <c r="BB5132" t="str">
        <f t="shared" si="2344"/>
        <v xml:space="preserve">N711JA  </v>
      </c>
      <c r="BC5132">
        <v>1</v>
      </c>
      <c r="BE5132">
        <v>0</v>
      </c>
      <c r="BF5132">
        <v>0</v>
      </c>
      <c r="BG5132">
        <v>0</v>
      </c>
      <c r="BH5132">
        <v>2075</v>
      </c>
      <c r="BI5132">
        <v>1</v>
      </c>
      <c r="BJ5132">
        <v>1</v>
      </c>
      <c r="BK5132">
        <v>0</v>
      </c>
      <c r="BL5132">
        <v>0</v>
      </c>
      <c r="BO5132">
        <v>0</v>
      </c>
      <c r="BP5132">
        <v>0</v>
      </c>
      <c r="BW5132" t="str">
        <f t="shared" si="2368"/>
        <v>14:50:41.852</v>
      </c>
      <c r="CJ5132">
        <v>0</v>
      </c>
      <c r="CK5132">
        <v>2</v>
      </c>
      <c r="CL5132">
        <v>0</v>
      </c>
      <c r="CM5132">
        <v>2</v>
      </c>
      <c r="CN5132">
        <v>0</v>
      </c>
      <c r="CO5132">
        <v>7</v>
      </c>
      <c r="CP5132" t="s">
        <v>119</v>
      </c>
      <c r="CQ5132">
        <v>343</v>
      </c>
      <c r="CR5132">
        <v>1</v>
      </c>
      <c r="CW5132">
        <v>11114650</v>
      </c>
      <c r="CY5132">
        <v>1</v>
      </c>
      <c r="CZ5132">
        <v>0</v>
      </c>
      <c r="DA5132">
        <v>1</v>
      </c>
      <c r="DB5132">
        <v>0</v>
      </c>
      <c r="DC5132">
        <v>0</v>
      </c>
      <c r="DD5132">
        <v>1</v>
      </c>
      <c r="DE5132">
        <v>0</v>
      </c>
      <c r="DF5132">
        <v>0</v>
      </c>
      <c r="DG5132">
        <v>0</v>
      </c>
      <c r="DH5132">
        <v>0</v>
      </c>
      <c r="DI5132">
        <v>0</v>
      </c>
    </row>
    <row r="5133" spans="1:113" x14ac:dyDescent="0.3">
      <c r="A5133" t="str">
        <f t="shared" si="2365"/>
        <v>05/12/2020 14:50:24.001</v>
      </c>
      <c r="C5133" t="str">
        <f t="shared" si="2343"/>
        <v>FFDFD3C0</v>
      </c>
      <c r="D5133" t="s">
        <v>138</v>
      </c>
      <c r="E5133">
        <v>2</v>
      </c>
      <c r="H5133">
        <v>8</v>
      </c>
      <c r="I5133" t="s">
        <v>139</v>
      </c>
      <c r="J5133" t="s">
        <v>136</v>
      </c>
      <c r="K5133">
        <v>0</v>
      </c>
      <c r="L5133">
        <v>3</v>
      </c>
      <c r="M5133">
        <v>0</v>
      </c>
      <c r="N5133">
        <v>2</v>
      </c>
      <c r="O5133">
        <v>1</v>
      </c>
      <c r="P5133">
        <v>0</v>
      </c>
      <c r="Q5133">
        <v>0</v>
      </c>
      <c r="S5133" t="str">
        <f t="shared" si="2366"/>
        <v>14:50:41.852</v>
      </c>
      <c r="T5133" t="str">
        <f t="shared" si="2367"/>
        <v>14:50:41.452</v>
      </c>
      <c r="U5133" t="str">
        <f t="shared" si="2364"/>
        <v>A9808D</v>
      </c>
      <c r="V5133">
        <v>0</v>
      </c>
      <c r="W5133">
        <v>0</v>
      </c>
      <c r="X5133">
        <v>1</v>
      </c>
      <c r="Z5133">
        <v>0</v>
      </c>
      <c r="AA5133">
        <v>9</v>
      </c>
      <c r="AB5133">
        <v>3</v>
      </c>
      <c r="AC5133">
        <v>0</v>
      </c>
      <c r="AD5133">
        <v>10</v>
      </c>
      <c r="AE5133">
        <v>0</v>
      </c>
      <c r="AF5133">
        <v>3</v>
      </c>
      <c r="AG5133">
        <v>2</v>
      </c>
      <c r="AH5133">
        <v>0</v>
      </c>
      <c r="AI5133" t="s">
        <v>1137</v>
      </c>
      <c r="AJ5133">
        <v>28.231473000000001</v>
      </c>
      <c r="AK5133" t="s">
        <v>1138</v>
      </c>
      <c r="AL5133">
        <v>-82.374909000000002</v>
      </c>
      <c r="AM5133">
        <v>100</v>
      </c>
      <c r="AN5133">
        <v>2000</v>
      </c>
      <c r="AO5133" t="s">
        <v>118</v>
      </c>
      <c r="AP5133">
        <v>-103</v>
      </c>
      <c r="AQ5133">
        <v>-56</v>
      </c>
      <c r="AR5133">
        <v>-1152</v>
      </c>
      <c r="AZ5133">
        <v>1200</v>
      </c>
      <c r="BA5133">
        <v>1</v>
      </c>
      <c r="BB5133" t="str">
        <f t="shared" si="2344"/>
        <v xml:space="preserve">N711JA  </v>
      </c>
      <c r="BC5133">
        <v>1</v>
      </c>
      <c r="BE5133">
        <v>0</v>
      </c>
      <c r="BF5133">
        <v>0</v>
      </c>
      <c r="BG5133">
        <v>0</v>
      </c>
      <c r="BH5133">
        <v>2075</v>
      </c>
      <c r="BI5133">
        <v>1</v>
      </c>
      <c r="BJ5133">
        <v>1</v>
      </c>
      <c r="BK5133">
        <v>0</v>
      </c>
      <c r="BL5133">
        <v>0</v>
      </c>
      <c r="BO5133">
        <v>0</v>
      </c>
      <c r="BP5133">
        <v>0</v>
      </c>
      <c r="BW5133" t="str">
        <f t="shared" si="2368"/>
        <v>14:50:41.852</v>
      </c>
      <c r="CJ5133">
        <v>0</v>
      </c>
      <c r="CK5133">
        <v>2</v>
      </c>
      <c r="CL5133">
        <v>0</v>
      </c>
      <c r="CM5133">
        <v>2</v>
      </c>
      <c r="CN5133">
        <v>0</v>
      </c>
      <c r="CO5133">
        <v>7</v>
      </c>
      <c r="CP5133" t="s">
        <v>119</v>
      </c>
      <c r="CQ5133">
        <v>343</v>
      </c>
      <c r="CR5133">
        <v>1</v>
      </c>
      <c r="CW5133">
        <v>11114650</v>
      </c>
      <c r="CY5133">
        <v>1</v>
      </c>
      <c r="CZ5133">
        <v>0</v>
      </c>
      <c r="DA5133">
        <v>1</v>
      </c>
      <c r="DB5133">
        <v>0</v>
      </c>
      <c r="DC5133">
        <v>0</v>
      </c>
      <c r="DD5133">
        <v>1</v>
      </c>
      <c r="DE5133">
        <v>0</v>
      </c>
      <c r="DF5133">
        <v>0</v>
      </c>
      <c r="DG5133">
        <v>0</v>
      </c>
      <c r="DH5133">
        <v>0</v>
      </c>
      <c r="DI5133">
        <v>0</v>
      </c>
    </row>
    <row r="5134" spans="1:113" x14ac:dyDescent="0.3">
      <c r="A5134" t="str">
        <f t="shared" si="2365"/>
        <v>05/12/2020 14:50:24.001</v>
      </c>
      <c r="C5134" t="str">
        <f t="shared" si="2343"/>
        <v>FFDFD3C0</v>
      </c>
      <c r="D5134" t="s">
        <v>138</v>
      </c>
      <c r="E5134">
        <v>3</v>
      </c>
      <c r="H5134">
        <v>9</v>
      </c>
      <c r="I5134" t="s">
        <v>140</v>
      </c>
      <c r="J5134" t="s">
        <v>136</v>
      </c>
      <c r="K5134">
        <v>0</v>
      </c>
      <c r="L5134">
        <v>3</v>
      </c>
      <c r="M5134">
        <v>0</v>
      </c>
      <c r="N5134">
        <v>2</v>
      </c>
      <c r="O5134">
        <v>1</v>
      </c>
      <c r="P5134">
        <v>0</v>
      </c>
      <c r="Q5134">
        <v>0</v>
      </c>
      <c r="S5134" t="str">
        <f t="shared" si="2366"/>
        <v>14:50:41.852</v>
      </c>
      <c r="T5134" t="str">
        <f t="shared" si="2367"/>
        <v>14:50:41.452</v>
      </c>
      <c r="U5134" t="str">
        <f t="shared" si="2364"/>
        <v>A9808D</v>
      </c>
      <c r="V5134">
        <v>0</v>
      </c>
      <c r="W5134">
        <v>0</v>
      </c>
      <c r="X5134">
        <v>1</v>
      </c>
      <c r="Z5134">
        <v>0</v>
      </c>
      <c r="AA5134">
        <v>9</v>
      </c>
      <c r="AB5134">
        <v>3</v>
      </c>
      <c r="AC5134">
        <v>0</v>
      </c>
      <c r="AD5134">
        <v>10</v>
      </c>
      <c r="AE5134">
        <v>0</v>
      </c>
      <c r="AF5134">
        <v>3</v>
      </c>
      <c r="AG5134">
        <v>2</v>
      </c>
      <c r="AH5134">
        <v>0</v>
      </c>
      <c r="AI5134" t="s">
        <v>1137</v>
      </c>
      <c r="AJ5134">
        <v>28.231473000000001</v>
      </c>
      <c r="AK5134" t="s">
        <v>1138</v>
      </c>
      <c r="AL5134">
        <v>-82.374909000000002</v>
      </c>
      <c r="AM5134">
        <v>100</v>
      </c>
      <c r="AN5134">
        <v>2000</v>
      </c>
      <c r="AO5134" t="s">
        <v>118</v>
      </c>
      <c r="AP5134">
        <v>-103</v>
      </c>
      <c r="AQ5134">
        <v>-56</v>
      </c>
      <c r="AR5134">
        <v>-1152</v>
      </c>
      <c r="AZ5134">
        <v>1200</v>
      </c>
      <c r="BA5134">
        <v>1</v>
      </c>
      <c r="BB5134" t="str">
        <f t="shared" si="2344"/>
        <v xml:space="preserve">N711JA  </v>
      </c>
      <c r="BC5134">
        <v>1</v>
      </c>
      <c r="BE5134">
        <v>0</v>
      </c>
      <c r="BF5134">
        <v>0</v>
      </c>
      <c r="BG5134">
        <v>0</v>
      </c>
      <c r="BH5134">
        <v>2075</v>
      </c>
      <c r="BI5134">
        <v>1</v>
      </c>
      <c r="BJ5134">
        <v>1</v>
      </c>
      <c r="BK5134">
        <v>0</v>
      </c>
      <c r="BL5134">
        <v>0</v>
      </c>
      <c r="BO5134">
        <v>0</v>
      </c>
      <c r="BP5134">
        <v>0</v>
      </c>
      <c r="BW5134" t="str">
        <f t="shared" si="2368"/>
        <v>14:50:41.852</v>
      </c>
      <c r="CJ5134">
        <v>0</v>
      </c>
      <c r="CK5134">
        <v>2</v>
      </c>
      <c r="CL5134">
        <v>0</v>
      </c>
      <c r="CM5134">
        <v>2</v>
      </c>
      <c r="CN5134">
        <v>0</v>
      </c>
      <c r="CO5134">
        <v>7</v>
      </c>
      <c r="CP5134" t="s">
        <v>119</v>
      </c>
      <c r="CQ5134">
        <v>343</v>
      </c>
      <c r="CR5134">
        <v>1</v>
      </c>
      <c r="CW5134">
        <v>11114650</v>
      </c>
      <c r="CY5134">
        <v>1</v>
      </c>
      <c r="CZ5134">
        <v>0</v>
      </c>
      <c r="DA5134">
        <v>1</v>
      </c>
      <c r="DB5134">
        <v>0</v>
      </c>
      <c r="DC5134">
        <v>0</v>
      </c>
      <c r="DD5134">
        <v>1</v>
      </c>
      <c r="DE5134">
        <v>0</v>
      </c>
      <c r="DF5134">
        <v>0</v>
      </c>
      <c r="DG5134">
        <v>0</v>
      </c>
      <c r="DH5134">
        <v>0</v>
      </c>
      <c r="DI5134">
        <v>0</v>
      </c>
    </row>
    <row r="5135" spans="1:113" x14ac:dyDescent="0.3">
      <c r="A5135" t="str">
        <f t="shared" si="2365"/>
        <v>05/12/2020 14:50:24.001</v>
      </c>
      <c r="C5135" t="str">
        <f t="shared" si="2343"/>
        <v>FFDFD3C0</v>
      </c>
      <c r="D5135" t="s">
        <v>126</v>
      </c>
      <c r="E5135">
        <v>7</v>
      </c>
      <c r="F5135">
        <v>1007</v>
      </c>
      <c r="G5135" t="s">
        <v>127</v>
      </c>
      <c r="J5135" t="s">
        <v>128</v>
      </c>
      <c r="K5135">
        <v>0</v>
      </c>
      <c r="L5135">
        <v>3</v>
      </c>
      <c r="M5135">
        <v>0</v>
      </c>
      <c r="N5135">
        <v>2</v>
      </c>
      <c r="O5135">
        <v>1</v>
      </c>
      <c r="P5135">
        <v>0</v>
      </c>
      <c r="Q5135">
        <v>0</v>
      </c>
      <c r="S5135" t="str">
        <f t="shared" si="2366"/>
        <v>14:50:41.852</v>
      </c>
      <c r="T5135" t="str">
        <f t="shared" si="2367"/>
        <v>14:50:41.452</v>
      </c>
      <c r="U5135" t="str">
        <f t="shared" si="2364"/>
        <v>A9808D</v>
      </c>
      <c r="V5135">
        <v>0</v>
      </c>
      <c r="W5135">
        <v>0</v>
      </c>
      <c r="X5135">
        <v>1</v>
      </c>
      <c r="Z5135">
        <v>0</v>
      </c>
      <c r="AA5135">
        <v>9</v>
      </c>
      <c r="AB5135">
        <v>3</v>
      </c>
      <c r="AC5135">
        <v>0</v>
      </c>
      <c r="AD5135">
        <v>10</v>
      </c>
      <c r="AE5135">
        <v>0</v>
      </c>
      <c r="AF5135">
        <v>3</v>
      </c>
      <c r="AG5135">
        <v>2</v>
      </c>
      <c r="AH5135">
        <v>0</v>
      </c>
      <c r="AI5135" t="s">
        <v>1137</v>
      </c>
      <c r="AJ5135">
        <v>28.231473000000001</v>
      </c>
      <c r="AK5135" t="s">
        <v>1138</v>
      </c>
      <c r="AL5135">
        <v>-82.374909000000002</v>
      </c>
      <c r="AM5135">
        <v>100</v>
      </c>
      <c r="AN5135">
        <v>2000</v>
      </c>
      <c r="AO5135" t="s">
        <v>118</v>
      </c>
      <c r="AP5135">
        <v>-103</v>
      </c>
      <c r="AQ5135">
        <v>-56</v>
      </c>
      <c r="AR5135">
        <v>-1152</v>
      </c>
      <c r="AZ5135">
        <v>1200</v>
      </c>
      <c r="BA5135">
        <v>1</v>
      </c>
      <c r="BB5135" t="str">
        <f t="shared" si="2344"/>
        <v xml:space="preserve">N711JA  </v>
      </c>
      <c r="BC5135">
        <v>1</v>
      </c>
      <c r="BE5135">
        <v>0</v>
      </c>
      <c r="BF5135">
        <v>0</v>
      </c>
      <c r="BG5135">
        <v>0</v>
      </c>
      <c r="BH5135">
        <v>2075</v>
      </c>
      <c r="BI5135">
        <v>1</v>
      </c>
      <c r="BJ5135">
        <v>1</v>
      </c>
      <c r="BK5135">
        <v>0</v>
      </c>
      <c r="BL5135">
        <v>0</v>
      </c>
      <c r="BO5135">
        <v>0</v>
      </c>
      <c r="BP5135">
        <v>0</v>
      </c>
      <c r="BW5135" t="str">
        <f t="shared" si="2368"/>
        <v>14:50:41.852</v>
      </c>
      <c r="CJ5135">
        <v>0</v>
      </c>
      <c r="CK5135">
        <v>2</v>
      </c>
      <c r="CL5135">
        <v>0</v>
      </c>
      <c r="CM5135">
        <v>2</v>
      </c>
      <c r="CN5135">
        <v>0</v>
      </c>
      <c r="CO5135">
        <v>7</v>
      </c>
      <c r="CP5135" t="s">
        <v>119</v>
      </c>
      <c r="CQ5135">
        <v>343</v>
      </c>
      <c r="CR5135">
        <v>1</v>
      </c>
      <c r="CW5135">
        <v>11114650</v>
      </c>
      <c r="CY5135">
        <v>1</v>
      </c>
      <c r="CZ5135">
        <v>0</v>
      </c>
      <c r="DA5135">
        <v>1</v>
      </c>
      <c r="DB5135">
        <v>0</v>
      </c>
      <c r="DC5135">
        <v>0</v>
      </c>
      <c r="DD5135">
        <v>1</v>
      </c>
      <c r="DE5135">
        <v>0</v>
      </c>
      <c r="DF5135">
        <v>0</v>
      </c>
      <c r="DG5135">
        <v>0</v>
      </c>
      <c r="DH5135">
        <v>0</v>
      </c>
      <c r="DI5135">
        <v>0</v>
      </c>
    </row>
    <row r="5136" spans="1:113" x14ac:dyDescent="0.3">
      <c r="A5136" t="str">
        <f t="shared" si="2365"/>
        <v>05/12/2020 14:50:24.001</v>
      </c>
      <c r="C5136" t="str">
        <f t="shared" si="2343"/>
        <v>FFDFD3C0</v>
      </c>
      <c r="D5136" t="s">
        <v>131</v>
      </c>
      <c r="E5136">
        <v>10</v>
      </c>
      <c r="F5136">
        <v>2010</v>
      </c>
      <c r="G5136" t="s">
        <v>132</v>
      </c>
      <c r="J5136" t="s">
        <v>133</v>
      </c>
      <c r="K5136">
        <v>0</v>
      </c>
      <c r="L5136">
        <v>3</v>
      </c>
      <c r="M5136">
        <v>0</v>
      </c>
      <c r="N5136">
        <v>2</v>
      </c>
      <c r="O5136">
        <v>1</v>
      </c>
      <c r="P5136">
        <v>0</v>
      </c>
      <c r="Q5136">
        <v>0</v>
      </c>
      <c r="S5136" t="str">
        <f t="shared" si="2366"/>
        <v>14:50:41.852</v>
      </c>
      <c r="T5136" t="str">
        <f t="shared" si="2367"/>
        <v>14:50:41.452</v>
      </c>
      <c r="U5136" t="str">
        <f t="shared" si="2364"/>
        <v>A9808D</v>
      </c>
      <c r="V5136">
        <v>0</v>
      </c>
      <c r="W5136">
        <v>0</v>
      </c>
      <c r="X5136">
        <v>1</v>
      </c>
      <c r="Z5136">
        <v>0</v>
      </c>
      <c r="AA5136">
        <v>9</v>
      </c>
      <c r="AB5136">
        <v>3</v>
      </c>
      <c r="AC5136">
        <v>0</v>
      </c>
      <c r="AD5136">
        <v>10</v>
      </c>
      <c r="AE5136">
        <v>0</v>
      </c>
      <c r="AF5136">
        <v>3</v>
      </c>
      <c r="AG5136">
        <v>2</v>
      </c>
      <c r="AH5136">
        <v>0</v>
      </c>
      <c r="AI5136" t="s">
        <v>1137</v>
      </c>
      <c r="AJ5136">
        <v>28.231473000000001</v>
      </c>
      <c r="AK5136" t="s">
        <v>1138</v>
      </c>
      <c r="AL5136">
        <v>-82.374909000000002</v>
      </c>
      <c r="AM5136">
        <v>100</v>
      </c>
      <c r="AN5136">
        <v>2000</v>
      </c>
      <c r="AO5136" t="s">
        <v>118</v>
      </c>
      <c r="AP5136">
        <v>-103</v>
      </c>
      <c r="AQ5136">
        <v>-56</v>
      </c>
      <c r="AR5136">
        <v>-1152</v>
      </c>
      <c r="AZ5136">
        <v>1200</v>
      </c>
      <c r="BA5136">
        <v>1</v>
      </c>
      <c r="BB5136" t="str">
        <f t="shared" si="2344"/>
        <v xml:space="preserve">N711JA  </v>
      </c>
      <c r="BC5136">
        <v>1</v>
      </c>
      <c r="BE5136">
        <v>0</v>
      </c>
      <c r="BF5136">
        <v>0</v>
      </c>
      <c r="BG5136">
        <v>0</v>
      </c>
      <c r="BH5136">
        <v>2075</v>
      </c>
      <c r="BI5136">
        <v>1</v>
      </c>
      <c r="BJ5136">
        <v>1</v>
      </c>
      <c r="BK5136">
        <v>0</v>
      </c>
      <c r="BL5136">
        <v>0</v>
      </c>
      <c r="BO5136">
        <v>0</v>
      </c>
      <c r="BP5136">
        <v>0</v>
      </c>
      <c r="BW5136" t="str">
        <f t="shared" si="2368"/>
        <v>14:50:41.852</v>
      </c>
      <c r="CJ5136">
        <v>0</v>
      </c>
      <c r="CK5136">
        <v>2</v>
      </c>
      <c r="CL5136">
        <v>0</v>
      </c>
      <c r="CM5136">
        <v>2</v>
      </c>
      <c r="CN5136">
        <v>0</v>
      </c>
      <c r="CO5136">
        <v>7</v>
      </c>
      <c r="CP5136" t="s">
        <v>119</v>
      </c>
      <c r="CQ5136">
        <v>343</v>
      </c>
      <c r="CR5136">
        <v>1</v>
      </c>
      <c r="CW5136">
        <v>11114650</v>
      </c>
      <c r="CY5136">
        <v>1</v>
      </c>
      <c r="CZ5136">
        <v>0</v>
      </c>
      <c r="DA5136">
        <v>1</v>
      </c>
      <c r="DB5136">
        <v>0</v>
      </c>
      <c r="DC5136">
        <v>0</v>
      </c>
      <c r="DD5136">
        <v>1</v>
      </c>
      <c r="DE5136">
        <v>0</v>
      </c>
      <c r="DF5136">
        <v>0</v>
      </c>
      <c r="DG5136">
        <v>0</v>
      </c>
      <c r="DH5136">
        <v>0</v>
      </c>
      <c r="DI5136">
        <v>0</v>
      </c>
    </row>
    <row r="5137" spans="1:113" x14ac:dyDescent="0.3">
      <c r="A5137" t="str">
        <f t="shared" si="2365"/>
        <v>05/12/2020 14:50:24.001</v>
      </c>
      <c r="C5137" t="str">
        <f t="shared" si="2343"/>
        <v>FFDFD3C0</v>
      </c>
      <c r="D5137" t="s">
        <v>131</v>
      </c>
      <c r="E5137">
        <v>12</v>
      </c>
      <c r="F5137">
        <v>2012</v>
      </c>
      <c r="G5137" t="s">
        <v>137</v>
      </c>
      <c r="J5137" t="s">
        <v>133</v>
      </c>
      <c r="K5137">
        <v>0</v>
      </c>
      <c r="L5137">
        <v>3</v>
      </c>
      <c r="M5137">
        <v>0</v>
      </c>
      <c r="N5137">
        <v>2</v>
      </c>
      <c r="O5137">
        <v>1</v>
      </c>
      <c r="P5137">
        <v>0</v>
      </c>
      <c r="Q5137">
        <v>0</v>
      </c>
      <c r="S5137" t="str">
        <f t="shared" si="2366"/>
        <v>14:50:41.852</v>
      </c>
      <c r="T5137" t="str">
        <f t="shared" si="2367"/>
        <v>14:50:41.452</v>
      </c>
      <c r="U5137" t="str">
        <f t="shared" si="2364"/>
        <v>A9808D</v>
      </c>
      <c r="V5137">
        <v>0</v>
      </c>
      <c r="W5137">
        <v>0</v>
      </c>
      <c r="X5137">
        <v>1</v>
      </c>
      <c r="Z5137">
        <v>0</v>
      </c>
      <c r="AA5137">
        <v>9</v>
      </c>
      <c r="AB5137">
        <v>3</v>
      </c>
      <c r="AC5137">
        <v>0</v>
      </c>
      <c r="AD5137">
        <v>10</v>
      </c>
      <c r="AE5137">
        <v>0</v>
      </c>
      <c r="AF5137">
        <v>3</v>
      </c>
      <c r="AG5137">
        <v>2</v>
      </c>
      <c r="AH5137">
        <v>0</v>
      </c>
      <c r="AI5137" t="s">
        <v>1137</v>
      </c>
      <c r="AJ5137">
        <v>28.231473000000001</v>
      </c>
      <c r="AK5137" t="s">
        <v>1138</v>
      </c>
      <c r="AL5137">
        <v>-82.374909000000002</v>
      </c>
      <c r="AM5137">
        <v>100</v>
      </c>
      <c r="AN5137">
        <v>2000</v>
      </c>
      <c r="AO5137" t="s">
        <v>118</v>
      </c>
      <c r="AP5137">
        <v>-103</v>
      </c>
      <c r="AQ5137">
        <v>-56</v>
      </c>
      <c r="AR5137">
        <v>-1152</v>
      </c>
      <c r="AZ5137">
        <v>1200</v>
      </c>
      <c r="BA5137">
        <v>1</v>
      </c>
      <c r="BB5137" t="str">
        <f t="shared" si="2344"/>
        <v xml:space="preserve">N711JA  </v>
      </c>
      <c r="BC5137">
        <v>1</v>
      </c>
      <c r="BE5137">
        <v>0</v>
      </c>
      <c r="BF5137">
        <v>0</v>
      </c>
      <c r="BG5137">
        <v>0</v>
      </c>
      <c r="BH5137">
        <v>2075</v>
      </c>
      <c r="BI5137">
        <v>1</v>
      </c>
      <c r="BJ5137">
        <v>1</v>
      </c>
      <c r="BK5137">
        <v>0</v>
      </c>
      <c r="BL5137">
        <v>0</v>
      </c>
      <c r="BO5137">
        <v>0</v>
      </c>
      <c r="BP5137">
        <v>0</v>
      </c>
      <c r="BW5137" t="str">
        <f t="shared" si="2368"/>
        <v>14:50:41.852</v>
      </c>
      <c r="CJ5137">
        <v>0</v>
      </c>
      <c r="CK5137">
        <v>2</v>
      </c>
      <c r="CL5137">
        <v>0</v>
      </c>
      <c r="CM5137">
        <v>2</v>
      </c>
      <c r="CN5137">
        <v>0</v>
      </c>
      <c r="CO5137">
        <v>7</v>
      </c>
      <c r="CP5137" t="s">
        <v>119</v>
      </c>
      <c r="CQ5137">
        <v>343</v>
      </c>
      <c r="CR5137">
        <v>1</v>
      </c>
      <c r="CW5137">
        <v>11114650</v>
      </c>
      <c r="CY5137">
        <v>1</v>
      </c>
      <c r="CZ5137">
        <v>0</v>
      </c>
      <c r="DA5137">
        <v>1</v>
      </c>
      <c r="DB5137">
        <v>0</v>
      </c>
      <c r="DC5137">
        <v>0</v>
      </c>
      <c r="DD5137">
        <v>1</v>
      </c>
      <c r="DE5137">
        <v>0</v>
      </c>
      <c r="DF5137">
        <v>0</v>
      </c>
      <c r="DG5137">
        <v>0</v>
      </c>
      <c r="DH5137">
        <v>0</v>
      </c>
      <c r="DI5137">
        <v>0</v>
      </c>
    </row>
    <row r="5138" spans="1:113" x14ac:dyDescent="0.3">
      <c r="A5138" t="str">
        <f t="shared" ref="A5138:A5146" si="2369">"05/12/2020 14:50:25.078"</f>
        <v>05/12/2020 14:50:25.078</v>
      </c>
      <c r="C5138" t="str">
        <f t="shared" si="2343"/>
        <v>FFDFD3C0</v>
      </c>
      <c r="D5138" t="s">
        <v>126</v>
      </c>
      <c r="E5138">
        <v>6</v>
      </c>
      <c r="F5138">
        <v>1006</v>
      </c>
      <c r="G5138" t="s">
        <v>114</v>
      </c>
      <c r="J5138" t="s">
        <v>128</v>
      </c>
      <c r="K5138">
        <v>0</v>
      </c>
      <c r="L5138">
        <v>3</v>
      </c>
      <c r="M5138">
        <v>0</v>
      </c>
      <c r="N5138">
        <v>2</v>
      </c>
      <c r="O5138">
        <v>1</v>
      </c>
      <c r="P5138">
        <v>0</v>
      </c>
      <c r="Q5138">
        <v>0</v>
      </c>
      <c r="S5138" t="str">
        <f t="shared" ref="S5138:S5146" si="2370">"14:50:42.922"</f>
        <v>14:50:42.922</v>
      </c>
      <c r="T5138" t="str">
        <f t="shared" ref="T5138:T5146" si="2371">"14:50:42.822"</f>
        <v>14:50:42.822</v>
      </c>
      <c r="U5138" t="str">
        <f t="shared" si="2364"/>
        <v>A9808D</v>
      </c>
      <c r="V5138">
        <v>0</v>
      </c>
      <c r="W5138">
        <v>0</v>
      </c>
      <c r="X5138">
        <v>1</v>
      </c>
      <c r="Z5138">
        <v>0</v>
      </c>
      <c r="AA5138">
        <v>9</v>
      </c>
      <c r="AB5138">
        <v>3</v>
      </c>
      <c r="AC5138">
        <v>0</v>
      </c>
      <c r="AD5138">
        <v>10</v>
      </c>
      <c r="AE5138">
        <v>0</v>
      </c>
      <c r="AF5138">
        <v>3</v>
      </c>
      <c r="AG5138">
        <v>2</v>
      </c>
      <c r="AH5138">
        <v>0</v>
      </c>
      <c r="AI5138" t="s">
        <v>1139</v>
      </c>
      <c r="AJ5138">
        <v>28.231193999999999</v>
      </c>
      <c r="AK5138" t="s">
        <v>1140</v>
      </c>
      <c r="AL5138">
        <v>-82.375423999999995</v>
      </c>
      <c r="AM5138">
        <v>100</v>
      </c>
      <c r="AN5138">
        <v>1900</v>
      </c>
      <c r="AO5138" t="s">
        <v>118</v>
      </c>
      <c r="AP5138">
        <v>-103</v>
      </c>
      <c r="AQ5138">
        <v>-56</v>
      </c>
      <c r="AR5138">
        <v>-1152</v>
      </c>
      <c r="AZ5138">
        <v>1200</v>
      </c>
      <c r="BA5138">
        <v>1</v>
      </c>
      <c r="BB5138" t="str">
        <f t="shared" si="2344"/>
        <v xml:space="preserve">N711JA  </v>
      </c>
      <c r="BC5138">
        <v>1</v>
      </c>
      <c r="BE5138">
        <v>0</v>
      </c>
      <c r="BF5138">
        <v>0</v>
      </c>
      <c r="BG5138">
        <v>0</v>
      </c>
      <c r="BH5138">
        <v>2050</v>
      </c>
      <c r="BI5138">
        <v>1</v>
      </c>
      <c r="BJ5138">
        <v>1</v>
      </c>
      <c r="BK5138">
        <v>0</v>
      </c>
      <c r="BL5138">
        <v>0</v>
      </c>
      <c r="BO5138">
        <v>0</v>
      </c>
      <c r="BP5138">
        <v>0</v>
      </c>
      <c r="BW5138" t="str">
        <f t="shared" ref="BW5138:BW5146" si="2372">"14:50:42.924"</f>
        <v>14:50:42.924</v>
      </c>
      <c r="CJ5138">
        <v>0</v>
      </c>
      <c r="CK5138">
        <v>2</v>
      </c>
      <c r="CL5138">
        <v>0</v>
      </c>
      <c r="CM5138">
        <v>2</v>
      </c>
      <c r="CN5138">
        <v>0</v>
      </c>
      <c r="CO5138">
        <v>6</v>
      </c>
      <c r="CP5138" t="s">
        <v>119</v>
      </c>
      <c r="CQ5138">
        <v>56</v>
      </c>
      <c r="CR5138">
        <v>2</v>
      </c>
      <c r="CW5138">
        <v>5257265</v>
      </c>
      <c r="CY5138">
        <v>1</v>
      </c>
      <c r="CZ5138">
        <v>0</v>
      </c>
      <c r="DA5138">
        <v>0</v>
      </c>
      <c r="DB5138">
        <v>0</v>
      </c>
      <c r="DC5138">
        <v>0</v>
      </c>
      <c r="DD5138">
        <v>1</v>
      </c>
      <c r="DE5138">
        <v>0</v>
      </c>
      <c r="DF5138">
        <v>0</v>
      </c>
      <c r="DG5138">
        <v>0</v>
      </c>
      <c r="DH5138">
        <v>0</v>
      </c>
      <c r="DI5138">
        <v>0</v>
      </c>
    </row>
    <row r="5139" spans="1:113" x14ac:dyDescent="0.3">
      <c r="A5139" t="str">
        <f t="shared" si="2369"/>
        <v>05/12/2020 14:50:25.078</v>
      </c>
      <c r="C5139" t="str">
        <f t="shared" si="2343"/>
        <v>FFDFD3C0</v>
      </c>
      <c r="D5139" t="s">
        <v>113</v>
      </c>
      <c r="E5139">
        <v>3</v>
      </c>
      <c r="H5139">
        <v>164</v>
      </c>
      <c r="I5139" t="s">
        <v>114</v>
      </c>
      <c r="J5139" t="s">
        <v>115</v>
      </c>
      <c r="K5139">
        <v>0</v>
      </c>
      <c r="L5139">
        <v>3</v>
      </c>
      <c r="M5139">
        <v>0</v>
      </c>
      <c r="N5139">
        <v>2</v>
      </c>
      <c r="O5139">
        <v>1</v>
      </c>
      <c r="P5139">
        <v>0</v>
      </c>
      <c r="Q5139">
        <v>0</v>
      </c>
      <c r="S5139" t="str">
        <f t="shared" si="2370"/>
        <v>14:50:42.922</v>
      </c>
      <c r="T5139" t="str">
        <f t="shared" si="2371"/>
        <v>14:50:42.822</v>
      </c>
      <c r="U5139" t="str">
        <f t="shared" si="2364"/>
        <v>A9808D</v>
      </c>
      <c r="V5139">
        <v>0</v>
      </c>
      <c r="W5139">
        <v>0</v>
      </c>
      <c r="X5139">
        <v>1</v>
      </c>
      <c r="Z5139">
        <v>0</v>
      </c>
      <c r="AA5139">
        <v>9</v>
      </c>
      <c r="AB5139">
        <v>3</v>
      </c>
      <c r="AC5139">
        <v>0</v>
      </c>
      <c r="AD5139">
        <v>10</v>
      </c>
      <c r="AE5139">
        <v>0</v>
      </c>
      <c r="AF5139">
        <v>3</v>
      </c>
      <c r="AG5139">
        <v>2</v>
      </c>
      <c r="AH5139">
        <v>0</v>
      </c>
      <c r="AI5139" t="s">
        <v>1139</v>
      </c>
      <c r="AJ5139">
        <v>28.231193999999999</v>
      </c>
      <c r="AK5139" t="s">
        <v>1140</v>
      </c>
      <c r="AL5139">
        <v>-82.375423999999995</v>
      </c>
      <c r="AM5139">
        <v>100</v>
      </c>
      <c r="AN5139">
        <v>1900</v>
      </c>
      <c r="AO5139" t="s">
        <v>118</v>
      </c>
      <c r="AP5139">
        <v>-103</v>
      </c>
      <c r="AQ5139">
        <v>-56</v>
      </c>
      <c r="AR5139">
        <v>-1152</v>
      </c>
      <c r="AZ5139">
        <v>1200</v>
      </c>
      <c r="BA5139">
        <v>1</v>
      </c>
      <c r="BB5139" t="str">
        <f t="shared" si="2344"/>
        <v xml:space="preserve">N711JA  </v>
      </c>
      <c r="BC5139">
        <v>1</v>
      </c>
      <c r="BE5139">
        <v>0</v>
      </c>
      <c r="BF5139">
        <v>0</v>
      </c>
      <c r="BG5139">
        <v>0</v>
      </c>
      <c r="BH5139">
        <v>2050</v>
      </c>
      <c r="BI5139">
        <v>1</v>
      </c>
      <c r="BJ5139">
        <v>1</v>
      </c>
      <c r="BK5139">
        <v>0</v>
      </c>
      <c r="BL5139">
        <v>0</v>
      </c>
      <c r="BO5139">
        <v>0</v>
      </c>
      <c r="BP5139">
        <v>0</v>
      </c>
      <c r="BW5139" t="str">
        <f t="shared" si="2372"/>
        <v>14:50:42.924</v>
      </c>
      <c r="CJ5139">
        <v>0</v>
      </c>
      <c r="CK5139">
        <v>2</v>
      </c>
      <c r="CL5139">
        <v>0</v>
      </c>
      <c r="CM5139">
        <v>2</v>
      </c>
      <c r="CN5139">
        <v>0</v>
      </c>
      <c r="CO5139">
        <v>6</v>
      </c>
      <c r="CP5139" t="s">
        <v>119</v>
      </c>
      <c r="CQ5139">
        <v>56</v>
      </c>
      <c r="CR5139">
        <v>2</v>
      </c>
      <c r="CW5139">
        <v>5257265</v>
      </c>
      <c r="CY5139">
        <v>1</v>
      </c>
      <c r="CZ5139">
        <v>0</v>
      </c>
      <c r="DA5139">
        <v>1</v>
      </c>
      <c r="DB5139">
        <v>0</v>
      </c>
      <c r="DC5139">
        <v>0</v>
      </c>
      <c r="DD5139">
        <v>1</v>
      </c>
      <c r="DE5139">
        <v>0</v>
      </c>
      <c r="DF5139">
        <v>0</v>
      </c>
      <c r="DG5139">
        <v>0</v>
      </c>
      <c r="DH5139">
        <v>0</v>
      </c>
      <c r="DI5139">
        <v>0</v>
      </c>
    </row>
    <row r="5140" spans="1:113" x14ac:dyDescent="0.3">
      <c r="A5140" t="str">
        <f t="shared" si="2369"/>
        <v>05/12/2020 14:50:25.078</v>
      </c>
      <c r="C5140" t="str">
        <f t="shared" si="2343"/>
        <v>FFDFD3C0</v>
      </c>
      <c r="D5140" t="s">
        <v>138</v>
      </c>
      <c r="E5140">
        <v>3</v>
      </c>
      <c r="H5140">
        <v>9</v>
      </c>
      <c r="I5140" t="s">
        <v>140</v>
      </c>
      <c r="J5140" t="s">
        <v>136</v>
      </c>
      <c r="K5140">
        <v>0</v>
      </c>
      <c r="L5140">
        <v>3</v>
      </c>
      <c r="M5140">
        <v>0</v>
      </c>
      <c r="N5140">
        <v>2</v>
      </c>
      <c r="O5140">
        <v>1</v>
      </c>
      <c r="P5140">
        <v>0</v>
      </c>
      <c r="Q5140">
        <v>0</v>
      </c>
      <c r="S5140" t="str">
        <f t="shared" si="2370"/>
        <v>14:50:42.922</v>
      </c>
      <c r="T5140" t="str">
        <f t="shared" si="2371"/>
        <v>14:50:42.822</v>
      </c>
      <c r="U5140" t="str">
        <f t="shared" si="2364"/>
        <v>A9808D</v>
      </c>
      <c r="V5140">
        <v>0</v>
      </c>
      <c r="W5140">
        <v>0</v>
      </c>
      <c r="X5140">
        <v>1</v>
      </c>
      <c r="Z5140">
        <v>0</v>
      </c>
      <c r="AA5140">
        <v>9</v>
      </c>
      <c r="AB5140">
        <v>3</v>
      </c>
      <c r="AC5140">
        <v>0</v>
      </c>
      <c r="AD5140">
        <v>10</v>
      </c>
      <c r="AE5140">
        <v>0</v>
      </c>
      <c r="AF5140">
        <v>3</v>
      </c>
      <c r="AG5140">
        <v>2</v>
      </c>
      <c r="AH5140">
        <v>0</v>
      </c>
      <c r="AI5140" t="s">
        <v>1139</v>
      </c>
      <c r="AJ5140">
        <v>28.231193999999999</v>
      </c>
      <c r="AK5140" t="s">
        <v>1140</v>
      </c>
      <c r="AL5140">
        <v>-82.375423999999995</v>
      </c>
      <c r="AM5140">
        <v>100</v>
      </c>
      <c r="AN5140">
        <v>1900</v>
      </c>
      <c r="AO5140" t="s">
        <v>118</v>
      </c>
      <c r="AP5140">
        <v>-103</v>
      </c>
      <c r="AQ5140">
        <v>-56</v>
      </c>
      <c r="AR5140">
        <v>-1152</v>
      </c>
      <c r="AZ5140">
        <v>1200</v>
      </c>
      <c r="BA5140">
        <v>1</v>
      </c>
      <c r="BB5140" t="str">
        <f t="shared" si="2344"/>
        <v xml:space="preserve">N711JA  </v>
      </c>
      <c r="BC5140">
        <v>1</v>
      </c>
      <c r="BE5140">
        <v>0</v>
      </c>
      <c r="BF5140">
        <v>0</v>
      </c>
      <c r="BG5140">
        <v>0</v>
      </c>
      <c r="BH5140">
        <v>2050</v>
      </c>
      <c r="BI5140">
        <v>1</v>
      </c>
      <c r="BJ5140">
        <v>1</v>
      </c>
      <c r="BK5140">
        <v>0</v>
      </c>
      <c r="BL5140">
        <v>0</v>
      </c>
      <c r="BO5140">
        <v>0</v>
      </c>
      <c r="BP5140">
        <v>0</v>
      </c>
      <c r="BW5140" t="str">
        <f t="shared" si="2372"/>
        <v>14:50:42.924</v>
      </c>
      <c r="CJ5140">
        <v>0</v>
      </c>
      <c r="CK5140">
        <v>2</v>
      </c>
      <c r="CL5140">
        <v>0</v>
      </c>
      <c r="CM5140">
        <v>2</v>
      </c>
      <c r="CN5140">
        <v>0</v>
      </c>
      <c r="CO5140">
        <v>6</v>
      </c>
      <c r="CP5140" t="s">
        <v>119</v>
      </c>
      <c r="CQ5140">
        <v>56</v>
      </c>
      <c r="CR5140">
        <v>2</v>
      </c>
      <c r="CW5140">
        <v>5257265</v>
      </c>
      <c r="CY5140">
        <v>1</v>
      </c>
      <c r="CZ5140">
        <v>0</v>
      </c>
      <c r="DA5140">
        <v>1</v>
      </c>
      <c r="DB5140">
        <v>0</v>
      </c>
      <c r="DC5140">
        <v>0</v>
      </c>
      <c r="DD5140">
        <v>1</v>
      </c>
      <c r="DE5140">
        <v>0</v>
      </c>
      <c r="DF5140">
        <v>0</v>
      </c>
      <c r="DG5140">
        <v>0</v>
      </c>
      <c r="DH5140">
        <v>0</v>
      </c>
      <c r="DI5140">
        <v>0</v>
      </c>
    </row>
    <row r="5141" spans="1:113" x14ac:dyDescent="0.3">
      <c r="A5141" t="str">
        <f t="shared" si="2369"/>
        <v>05/12/2020 14:50:25.078</v>
      </c>
      <c r="C5141" t="str">
        <f t="shared" si="2343"/>
        <v>FFDFD3C0</v>
      </c>
      <c r="D5141" t="s">
        <v>138</v>
      </c>
      <c r="E5141">
        <v>2</v>
      </c>
      <c r="H5141">
        <v>8</v>
      </c>
      <c r="I5141" t="s">
        <v>139</v>
      </c>
      <c r="J5141" t="s">
        <v>136</v>
      </c>
      <c r="K5141">
        <v>0</v>
      </c>
      <c r="L5141">
        <v>3</v>
      </c>
      <c r="M5141">
        <v>0</v>
      </c>
      <c r="N5141">
        <v>2</v>
      </c>
      <c r="O5141">
        <v>1</v>
      </c>
      <c r="P5141">
        <v>0</v>
      </c>
      <c r="Q5141">
        <v>0</v>
      </c>
      <c r="S5141" t="str">
        <f t="shared" si="2370"/>
        <v>14:50:42.922</v>
      </c>
      <c r="T5141" t="str">
        <f t="shared" si="2371"/>
        <v>14:50:42.822</v>
      </c>
      <c r="U5141" t="str">
        <f t="shared" si="2364"/>
        <v>A9808D</v>
      </c>
      <c r="V5141">
        <v>0</v>
      </c>
      <c r="W5141">
        <v>0</v>
      </c>
      <c r="X5141">
        <v>1</v>
      </c>
      <c r="Z5141">
        <v>0</v>
      </c>
      <c r="AA5141">
        <v>9</v>
      </c>
      <c r="AB5141">
        <v>3</v>
      </c>
      <c r="AC5141">
        <v>0</v>
      </c>
      <c r="AD5141">
        <v>10</v>
      </c>
      <c r="AE5141">
        <v>0</v>
      </c>
      <c r="AF5141">
        <v>3</v>
      </c>
      <c r="AG5141">
        <v>2</v>
      </c>
      <c r="AH5141">
        <v>0</v>
      </c>
      <c r="AI5141" t="s">
        <v>1139</v>
      </c>
      <c r="AJ5141">
        <v>28.231193999999999</v>
      </c>
      <c r="AK5141" t="s">
        <v>1140</v>
      </c>
      <c r="AL5141">
        <v>-82.375423999999995</v>
      </c>
      <c r="AM5141">
        <v>100</v>
      </c>
      <c r="AN5141">
        <v>1900</v>
      </c>
      <c r="AO5141" t="s">
        <v>118</v>
      </c>
      <c r="AP5141">
        <v>-103</v>
      </c>
      <c r="AQ5141">
        <v>-56</v>
      </c>
      <c r="AR5141">
        <v>-1152</v>
      </c>
      <c r="AZ5141">
        <v>1200</v>
      </c>
      <c r="BA5141">
        <v>1</v>
      </c>
      <c r="BB5141" t="str">
        <f t="shared" si="2344"/>
        <v xml:space="preserve">N711JA  </v>
      </c>
      <c r="BC5141">
        <v>1</v>
      </c>
      <c r="BE5141">
        <v>0</v>
      </c>
      <c r="BF5141">
        <v>0</v>
      </c>
      <c r="BG5141">
        <v>0</v>
      </c>
      <c r="BH5141">
        <v>2050</v>
      </c>
      <c r="BI5141">
        <v>1</v>
      </c>
      <c r="BJ5141">
        <v>1</v>
      </c>
      <c r="BK5141">
        <v>0</v>
      </c>
      <c r="BL5141">
        <v>0</v>
      </c>
      <c r="BO5141">
        <v>0</v>
      </c>
      <c r="BP5141">
        <v>0</v>
      </c>
      <c r="BW5141" t="str">
        <f t="shared" si="2372"/>
        <v>14:50:42.924</v>
      </c>
      <c r="CJ5141">
        <v>0</v>
      </c>
      <c r="CK5141">
        <v>2</v>
      </c>
      <c r="CL5141">
        <v>0</v>
      </c>
      <c r="CM5141">
        <v>2</v>
      </c>
      <c r="CN5141">
        <v>0</v>
      </c>
      <c r="CO5141">
        <v>6</v>
      </c>
      <c r="CP5141" t="s">
        <v>119</v>
      </c>
      <c r="CQ5141">
        <v>56</v>
      </c>
      <c r="CR5141">
        <v>2</v>
      </c>
      <c r="CW5141">
        <v>5257265</v>
      </c>
      <c r="CY5141">
        <v>1</v>
      </c>
      <c r="CZ5141">
        <v>0</v>
      </c>
      <c r="DA5141">
        <v>1</v>
      </c>
      <c r="DB5141">
        <v>0</v>
      </c>
      <c r="DC5141">
        <v>0</v>
      </c>
      <c r="DD5141">
        <v>1</v>
      </c>
      <c r="DE5141">
        <v>0</v>
      </c>
      <c r="DF5141">
        <v>0</v>
      </c>
      <c r="DG5141">
        <v>0</v>
      </c>
      <c r="DH5141">
        <v>0</v>
      </c>
      <c r="DI5141">
        <v>0</v>
      </c>
    </row>
    <row r="5142" spans="1:113" x14ac:dyDescent="0.3">
      <c r="A5142" t="str">
        <f t="shared" si="2369"/>
        <v>05/12/2020 14:50:25.078</v>
      </c>
      <c r="C5142" t="str">
        <f t="shared" ref="C5142:C5205" si="2373">"FFDFD3C0"</f>
        <v>FFDFD3C0</v>
      </c>
      <c r="D5142" t="s">
        <v>126</v>
      </c>
      <c r="E5142">
        <v>7</v>
      </c>
      <c r="F5142">
        <v>1007</v>
      </c>
      <c r="G5142" t="s">
        <v>127</v>
      </c>
      <c r="J5142" t="s">
        <v>128</v>
      </c>
      <c r="K5142">
        <v>0</v>
      </c>
      <c r="L5142">
        <v>3</v>
      </c>
      <c r="M5142">
        <v>0</v>
      </c>
      <c r="N5142">
        <v>2</v>
      </c>
      <c r="O5142">
        <v>1</v>
      </c>
      <c r="P5142">
        <v>0</v>
      </c>
      <c r="Q5142">
        <v>0</v>
      </c>
      <c r="S5142" t="str">
        <f t="shared" si="2370"/>
        <v>14:50:42.922</v>
      </c>
      <c r="T5142" t="str">
        <f t="shared" si="2371"/>
        <v>14:50:42.822</v>
      </c>
      <c r="U5142" t="str">
        <f t="shared" si="2364"/>
        <v>A9808D</v>
      </c>
      <c r="V5142">
        <v>0</v>
      </c>
      <c r="W5142">
        <v>0</v>
      </c>
      <c r="X5142">
        <v>1</v>
      </c>
      <c r="Z5142">
        <v>0</v>
      </c>
      <c r="AA5142">
        <v>9</v>
      </c>
      <c r="AB5142">
        <v>3</v>
      </c>
      <c r="AC5142">
        <v>0</v>
      </c>
      <c r="AD5142">
        <v>10</v>
      </c>
      <c r="AE5142">
        <v>0</v>
      </c>
      <c r="AF5142">
        <v>3</v>
      </c>
      <c r="AG5142">
        <v>2</v>
      </c>
      <c r="AH5142">
        <v>0</v>
      </c>
      <c r="AI5142" t="s">
        <v>1139</v>
      </c>
      <c r="AJ5142">
        <v>28.231193999999999</v>
      </c>
      <c r="AK5142" t="s">
        <v>1140</v>
      </c>
      <c r="AL5142">
        <v>-82.375423999999995</v>
      </c>
      <c r="AM5142">
        <v>100</v>
      </c>
      <c r="AN5142">
        <v>1900</v>
      </c>
      <c r="AO5142" t="s">
        <v>118</v>
      </c>
      <c r="AP5142">
        <v>-103</v>
      </c>
      <c r="AQ5142">
        <v>-56</v>
      </c>
      <c r="AR5142">
        <v>-1152</v>
      </c>
      <c r="AZ5142">
        <v>1200</v>
      </c>
      <c r="BA5142">
        <v>1</v>
      </c>
      <c r="BB5142" t="str">
        <f t="shared" ref="BB5142:BB5205" si="2374">"N711JA  "</f>
        <v xml:space="preserve">N711JA  </v>
      </c>
      <c r="BC5142">
        <v>1</v>
      </c>
      <c r="BE5142">
        <v>0</v>
      </c>
      <c r="BF5142">
        <v>0</v>
      </c>
      <c r="BG5142">
        <v>0</v>
      </c>
      <c r="BH5142">
        <v>2050</v>
      </c>
      <c r="BI5142">
        <v>1</v>
      </c>
      <c r="BJ5142">
        <v>1</v>
      </c>
      <c r="BK5142">
        <v>0</v>
      </c>
      <c r="BL5142">
        <v>0</v>
      </c>
      <c r="BO5142">
        <v>0</v>
      </c>
      <c r="BP5142">
        <v>0</v>
      </c>
      <c r="BW5142" t="str">
        <f t="shared" si="2372"/>
        <v>14:50:42.924</v>
      </c>
      <c r="CJ5142">
        <v>0</v>
      </c>
      <c r="CK5142">
        <v>2</v>
      </c>
      <c r="CL5142">
        <v>0</v>
      </c>
      <c r="CM5142">
        <v>2</v>
      </c>
      <c r="CN5142">
        <v>0</v>
      </c>
      <c r="CO5142">
        <v>6</v>
      </c>
      <c r="CP5142" t="s">
        <v>119</v>
      </c>
      <c r="CQ5142">
        <v>56</v>
      </c>
      <c r="CR5142">
        <v>2</v>
      </c>
      <c r="CW5142">
        <v>5257265</v>
      </c>
      <c r="CY5142">
        <v>1</v>
      </c>
      <c r="CZ5142">
        <v>0</v>
      </c>
      <c r="DA5142">
        <v>1</v>
      </c>
      <c r="DB5142">
        <v>0</v>
      </c>
      <c r="DC5142">
        <v>0</v>
      </c>
      <c r="DD5142">
        <v>1</v>
      </c>
      <c r="DE5142">
        <v>0</v>
      </c>
      <c r="DF5142">
        <v>0</v>
      </c>
      <c r="DG5142">
        <v>0</v>
      </c>
      <c r="DH5142">
        <v>0</v>
      </c>
      <c r="DI5142">
        <v>0</v>
      </c>
    </row>
    <row r="5143" spans="1:113" x14ac:dyDescent="0.3">
      <c r="A5143" t="str">
        <f t="shared" si="2369"/>
        <v>05/12/2020 14:50:25.078</v>
      </c>
      <c r="C5143" t="str">
        <f t="shared" si="2373"/>
        <v>FFDFD3C0</v>
      </c>
      <c r="D5143" t="s">
        <v>131</v>
      </c>
      <c r="E5143">
        <v>10</v>
      </c>
      <c r="F5143">
        <v>2010</v>
      </c>
      <c r="G5143" t="s">
        <v>132</v>
      </c>
      <c r="J5143" t="s">
        <v>133</v>
      </c>
      <c r="K5143">
        <v>0</v>
      </c>
      <c r="L5143">
        <v>3</v>
      </c>
      <c r="M5143">
        <v>0</v>
      </c>
      <c r="N5143">
        <v>2</v>
      </c>
      <c r="O5143">
        <v>1</v>
      </c>
      <c r="P5143">
        <v>0</v>
      </c>
      <c r="Q5143">
        <v>0</v>
      </c>
      <c r="S5143" t="str">
        <f t="shared" si="2370"/>
        <v>14:50:42.922</v>
      </c>
      <c r="T5143" t="str">
        <f t="shared" si="2371"/>
        <v>14:50:42.822</v>
      </c>
      <c r="U5143" t="str">
        <f t="shared" si="2364"/>
        <v>A9808D</v>
      </c>
      <c r="V5143">
        <v>0</v>
      </c>
      <c r="W5143">
        <v>0</v>
      </c>
      <c r="X5143">
        <v>1</v>
      </c>
      <c r="Z5143">
        <v>0</v>
      </c>
      <c r="AA5143">
        <v>9</v>
      </c>
      <c r="AB5143">
        <v>3</v>
      </c>
      <c r="AC5143">
        <v>0</v>
      </c>
      <c r="AD5143">
        <v>10</v>
      </c>
      <c r="AE5143">
        <v>0</v>
      </c>
      <c r="AF5143">
        <v>3</v>
      </c>
      <c r="AG5143">
        <v>2</v>
      </c>
      <c r="AH5143">
        <v>0</v>
      </c>
      <c r="AI5143" t="s">
        <v>1139</v>
      </c>
      <c r="AJ5143">
        <v>28.231193999999999</v>
      </c>
      <c r="AK5143" t="s">
        <v>1140</v>
      </c>
      <c r="AL5143">
        <v>-82.375423999999995</v>
      </c>
      <c r="AM5143">
        <v>100</v>
      </c>
      <c r="AN5143">
        <v>1900</v>
      </c>
      <c r="AO5143" t="s">
        <v>118</v>
      </c>
      <c r="AP5143">
        <v>-103</v>
      </c>
      <c r="AQ5143">
        <v>-56</v>
      </c>
      <c r="AR5143">
        <v>-1152</v>
      </c>
      <c r="AZ5143">
        <v>1200</v>
      </c>
      <c r="BA5143">
        <v>1</v>
      </c>
      <c r="BB5143" t="str">
        <f t="shared" si="2374"/>
        <v xml:space="preserve">N711JA  </v>
      </c>
      <c r="BC5143">
        <v>1</v>
      </c>
      <c r="BE5143">
        <v>0</v>
      </c>
      <c r="BF5143">
        <v>0</v>
      </c>
      <c r="BG5143">
        <v>0</v>
      </c>
      <c r="BH5143">
        <v>2050</v>
      </c>
      <c r="BI5143">
        <v>1</v>
      </c>
      <c r="BJ5143">
        <v>1</v>
      </c>
      <c r="BK5143">
        <v>0</v>
      </c>
      <c r="BL5143">
        <v>0</v>
      </c>
      <c r="BO5143">
        <v>0</v>
      </c>
      <c r="BP5143">
        <v>0</v>
      </c>
      <c r="BW5143" t="str">
        <f t="shared" si="2372"/>
        <v>14:50:42.924</v>
      </c>
      <c r="CJ5143">
        <v>0</v>
      </c>
      <c r="CK5143">
        <v>2</v>
      </c>
      <c r="CL5143">
        <v>0</v>
      </c>
      <c r="CM5143">
        <v>2</v>
      </c>
      <c r="CN5143">
        <v>0</v>
      </c>
      <c r="CO5143">
        <v>6</v>
      </c>
      <c r="CP5143" t="s">
        <v>119</v>
      </c>
      <c r="CQ5143">
        <v>56</v>
      </c>
      <c r="CR5143">
        <v>2</v>
      </c>
      <c r="CW5143">
        <v>5257265</v>
      </c>
      <c r="CY5143">
        <v>1</v>
      </c>
      <c r="CZ5143">
        <v>0</v>
      </c>
      <c r="DA5143">
        <v>1</v>
      </c>
      <c r="DB5143">
        <v>0</v>
      </c>
      <c r="DC5143">
        <v>0</v>
      </c>
      <c r="DD5143">
        <v>1</v>
      </c>
      <c r="DE5143">
        <v>0</v>
      </c>
      <c r="DF5143">
        <v>0</v>
      </c>
      <c r="DG5143">
        <v>0</v>
      </c>
      <c r="DH5143">
        <v>0</v>
      </c>
      <c r="DI5143">
        <v>0</v>
      </c>
    </row>
    <row r="5144" spans="1:113" x14ac:dyDescent="0.3">
      <c r="A5144" t="str">
        <f t="shared" si="2369"/>
        <v>05/12/2020 14:50:25.078</v>
      </c>
      <c r="C5144" t="str">
        <f t="shared" si="2373"/>
        <v>FFDFD3C0</v>
      </c>
      <c r="D5144" t="s">
        <v>131</v>
      </c>
      <c r="E5144">
        <v>12</v>
      </c>
      <c r="F5144">
        <v>2012</v>
      </c>
      <c r="G5144" t="s">
        <v>137</v>
      </c>
      <c r="J5144" t="s">
        <v>133</v>
      </c>
      <c r="K5144">
        <v>0</v>
      </c>
      <c r="L5144">
        <v>3</v>
      </c>
      <c r="M5144">
        <v>0</v>
      </c>
      <c r="N5144">
        <v>2</v>
      </c>
      <c r="O5144">
        <v>1</v>
      </c>
      <c r="P5144">
        <v>0</v>
      </c>
      <c r="Q5144">
        <v>0</v>
      </c>
      <c r="S5144" t="str">
        <f t="shared" si="2370"/>
        <v>14:50:42.922</v>
      </c>
      <c r="T5144" t="str">
        <f t="shared" si="2371"/>
        <v>14:50:42.822</v>
      </c>
      <c r="U5144" t="str">
        <f t="shared" si="2364"/>
        <v>A9808D</v>
      </c>
      <c r="V5144">
        <v>0</v>
      </c>
      <c r="W5144">
        <v>0</v>
      </c>
      <c r="X5144">
        <v>1</v>
      </c>
      <c r="Z5144">
        <v>0</v>
      </c>
      <c r="AA5144">
        <v>9</v>
      </c>
      <c r="AB5144">
        <v>3</v>
      </c>
      <c r="AC5144">
        <v>0</v>
      </c>
      <c r="AD5144">
        <v>10</v>
      </c>
      <c r="AE5144">
        <v>0</v>
      </c>
      <c r="AF5144">
        <v>3</v>
      </c>
      <c r="AG5144">
        <v>2</v>
      </c>
      <c r="AH5144">
        <v>0</v>
      </c>
      <c r="AI5144" t="s">
        <v>1139</v>
      </c>
      <c r="AJ5144">
        <v>28.231193999999999</v>
      </c>
      <c r="AK5144" t="s">
        <v>1140</v>
      </c>
      <c r="AL5144">
        <v>-82.375423999999995</v>
      </c>
      <c r="AM5144">
        <v>100</v>
      </c>
      <c r="AN5144">
        <v>1900</v>
      </c>
      <c r="AO5144" t="s">
        <v>118</v>
      </c>
      <c r="AP5144">
        <v>-103</v>
      </c>
      <c r="AQ5144">
        <v>-56</v>
      </c>
      <c r="AR5144">
        <v>-1152</v>
      </c>
      <c r="AZ5144">
        <v>1200</v>
      </c>
      <c r="BA5144">
        <v>1</v>
      </c>
      <c r="BB5144" t="str">
        <f t="shared" si="2374"/>
        <v xml:space="preserve">N711JA  </v>
      </c>
      <c r="BC5144">
        <v>1</v>
      </c>
      <c r="BE5144">
        <v>0</v>
      </c>
      <c r="BF5144">
        <v>0</v>
      </c>
      <c r="BG5144">
        <v>0</v>
      </c>
      <c r="BH5144">
        <v>2050</v>
      </c>
      <c r="BI5144">
        <v>1</v>
      </c>
      <c r="BJ5144">
        <v>1</v>
      </c>
      <c r="BK5144">
        <v>0</v>
      </c>
      <c r="BL5144">
        <v>0</v>
      </c>
      <c r="BO5144">
        <v>0</v>
      </c>
      <c r="BP5144">
        <v>0</v>
      </c>
      <c r="BW5144" t="str">
        <f t="shared" si="2372"/>
        <v>14:50:42.924</v>
      </c>
      <c r="CJ5144">
        <v>0</v>
      </c>
      <c r="CK5144">
        <v>2</v>
      </c>
      <c r="CL5144">
        <v>0</v>
      </c>
      <c r="CM5144">
        <v>2</v>
      </c>
      <c r="CN5144">
        <v>0</v>
      </c>
      <c r="CO5144">
        <v>6</v>
      </c>
      <c r="CP5144" t="s">
        <v>119</v>
      </c>
      <c r="CQ5144">
        <v>56</v>
      </c>
      <c r="CR5144">
        <v>2</v>
      </c>
      <c r="CW5144">
        <v>5257265</v>
      </c>
      <c r="CY5144">
        <v>1</v>
      </c>
      <c r="CZ5144">
        <v>0</v>
      </c>
      <c r="DA5144">
        <v>1</v>
      </c>
      <c r="DB5144">
        <v>0</v>
      </c>
      <c r="DC5144">
        <v>0</v>
      </c>
      <c r="DD5144">
        <v>1</v>
      </c>
      <c r="DE5144">
        <v>0</v>
      </c>
      <c r="DF5144">
        <v>0</v>
      </c>
      <c r="DG5144">
        <v>0</v>
      </c>
      <c r="DH5144">
        <v>0</v>
      </c>
      <c r="DI5144">
        <v>0</v>
      </c>
    </row>
    <row r="5145" spans="1:113" x14ac:dyDescent="0.3">
      <c r="A5145" t="str">
        <f t="shared" si="2369"/>
        <v>05/12/2020 14:50:25.078</v>
      </c>
      <c r="C5145" t="str">
        <f t="shared" si="2373"/>
        <v>FFDFD3C0</v>
      </c>
      <c r="D5145" t="s">
        <v>131</v>
      </c>
      <c r="E5145">
        <v>18</v>
      </c>
      <c r="F5145">
        <v>2018</v>
      </c>
      <c r="G5145" t="s">
        <v>161</v>
      </c>
      <c r="J5145" t="s">
        <v>133</v>
      </c>
      <c r="K5145">
        <v>0</v>
      </c>
      <c r="L5145">
        <v>3</v>
      </c>
      <c r="M5145">
        <v>0</v>
      </c>
      <c r="N5145">
        <v>2</v>
      </c>
      <c r="O5145">
        <v>1</v>
      </c>
      <c r="P5145">
        <v>0</v>
      </c>
      <c r="Q5145">
        <v>0</v>
      </c>
      <c r="S5145" t="str">
        <f t="shared" si="2370"/>
        <v>14:50:42.922</v>
      </c>
      <c r="T5145" t="str">
        <f t="shared" si="2371"/>
        <v>14:50:42.822</v>
      </c>
      <c r="U5145" t="str">
        <f t="shared" si="2364"/>
        <v>A9808D</v>
      </c>
      <c r="V5145">
        <v>0</v>
      </c>
      <c r="W5145">
        <v>0</v>
      </c>
      <c r="X5145">
        <v>1</v>
      </c>
      <c r="Z5145">
        <v>0</v>
      </c>
      <c r="AA5145">
        <v>9</v>
      </c>
      <c r="AB5145">
        <v>3</v>
      </c>
      <c r="AC5145">
        <v>0</v>
      </c>
      <c r="AD5145">
        <v>10</v>
      </c>
      <c r="AE5145">
        <v>0</v>
      </c>
      <c r="AF5145">
        <v>3</v>
      </c>
      <c r="AG5145">
        <v>2</v>
      </c>
      <c r="AH5145">
        <v>0</v>
      </c>
      <c r="AI5145" t="s">
        <v>1139</v>
      </c>
      <c r="AJ5145">
        <v>28.231193999999999</v>
      </c>
      <c r="AK5145" t="s">
        <v>1140</v>
      </c>
      <c r="AL5145">
        <v>-82.375423999999995</v>
      </c>
      <c r="AM5145">
        <v>100</v>
      </c>
      <c r="AN5145">
        <v>1900</v>
      </c>
      <c r="AO5145" t="s">
        <v>118</v>
      </c>
      <c r="AP5145">
        <v>-103</v>
      </c>
      <c r="AQ5145">
        <v>-56</v>
      </c>
      <c r="AR5145">
        <v>-1152</v>
      </c>
      <c r="AZ5145">
        <v>1200</v>
      </c>
      <c r="BA5145">
        <v>1</v>
      </c>
      <c r="BB5145" t="str">
        <f t="shared" si="2374"/>
        <v xml:space="preserve">N711JA  </v>
      </c>
      <c r="BC5145">
        <v>1</v>
      </c>
      <c r="BE5145">
        <v>0</v>
      </c>
      <c r="BF5145">
        <v>0</v>
      </c>
      <c r="BG5145">
        <v>0</v>
      </c>
      <c r="BH5145">
        <v>2050</v>
      </c>
      <c r="BI5145">
        <v>1</v>
      </c>
      <c r="BJ5145">
        <v>1</v>
      </c>
      <c r="BK5145">
        <v>0</v>
      </c>
      <c r="BL5145">
        <v>0</v>
      </c>
      <c r="BO5145">
        <v>0</v>
      </c>
      <c r="BP5145">
        <v>0</v>
      </c>
      <c r="BW5145" t="str">
        <f t="shared" si="2372"/>
        <v>14:50:42.924</v>
      </c>
      <c r="CJ5145">
        <v>0</v>
      </c>
      <c r="CK5145">
        <v>2</v>
      </c>
      <c r="CL5145">
        <v>0</v>
      </c>
      <c r="CM5145">
        <v>2</v>
      </c>
      <c r="CN5145">
        <v>0</v>
      </c>
      <c r="CO5145">
        <v>6</v>
      </c>
      <c r="CP5145" t="s">
        <v>119</v>
      </c>
      <c r="CQ5145">
        <v>56</v>
      </c>
      <c r="CR5145">
        <v>2</v>
      </c>
      <c r="CW5145">
        <v>5257265</v>
      </c>
      <c r="CY5145">
        <v>1</v>
      </c>
      <c r="CZ5145">
        <v>0</v>
      </c>
      <c r="DA5145">
        <v>1</v>
      </c>
      <c r="DB5145">
        <v>0</v>
      </c>
      <c r="DC5145">
        <v>0</v>
      </c>
      <c r="DD5145">
        <v>1</v>
      </c>
      <c r="DE5145">
        <v>0</v>
      </c>
      <c r="DF5145">
        <v>0</v>
      </c>
      <c r="DG5145">
        <v>0</v>
      </c>
      <c r="DH5145">
        <v>0</v>
      </c>
      <c r="DI5145">
        <v>0</v>
      </c>
    </row>
    <row r="5146" spans="1:113" x14ac:dyDescent="0.3">
      <c r="A5146" t="str">
        <f t="shared" si="2369"/>
        <v>05/12/2020 14:50:25.078</v>
      </c>
      <c r="C5146" t="str">
        <f t="shared" si="2373"/>
        <v>FFDFD3C0</v>
      </c>
      <c r="D5146" t="s">
        <v>134</v>
      </c>
      <c r="E5146">
        <v>12</v>
      </c>
      <c r="H5146">
        <v>64</v>
      </c>
      <c r="I5146" t="s">
        <v>135</v>
      </c>
      <c r="J5146" t="s">
        <v>136</v>
      </c>
      <c r="K5146">
        <v>0</v>
      </c>
      <c r="L5146">
        <v>3</v>
      </c>
      <c r="M5146">
        <v>0</v>
      </c>
      <c r="N5146">
        <v>2</v>
      </c>
      <c r="O5146">
        <v>1</v>
      </c>
      <c r="P5146">
        <v>0</v>
      </c>
      <c r="Q5146">
        <v>0</v>
      </c>
      <c r="S5146" t="str">
        <f t="shared" si="2370"/>
        <v>14:50:42.922</v>
      </c>
      <c r="T5146" t="str">
        <f t="shared" si="2371"/>
        <v>14:50:42.822</v>
      </c>
      <c r="U5146" t="str">
        <f t="shared" si="2364"/>
        <v>A9808D</v>
      </c>
      <c r="V5146">
        <v>0</v>
      </c>
      <c r="W5146">
        <v>0</v>
      </c>
      <c r="X5146">
        <v>1</v>
      </c>
      <c r="Z5146">
        <v>0</v>
      </c>
      <c r="AA5146">
        <v>9</v>
      </c>
      <c r="AB5146">
        <v>3</v>
      </c>
      <c r="AC5146">
        <v>0</v>
      </c>
      <c r="AD5146">
        <v>10</v>
      </c>
      <c r="AE5146">
        <v>0</v>
      </c>
      <c r="AF5146">
        <v>3</v>
      </c>
      <c r="AG5146">
        <v>2</v>
      </c>
      <c r="AH5146">
        <v>0</v>
      </c>
      <c r="AI5146" t="s">
        <v>1139</v>
      </c>
      <c r="AJ5146">
        <v>28.231193999999999</v>
      </c>
      <c r="AK5146" t="s">
        <v>1140</v>
      </c>
      <c r="AL5146">
        <v>-82.375423999999995</v>
      </c>
      <c r="AM5146">
        <v>100</v>
      </c>
      <c r="AN5146">
        <v>1900</v>
      </c>
      <c r="AO5146" t="s">
        <v>118</v>
      </c>
      <c r="AP5146">
        <v>-103</v>
      </c>
      <c r="AQ5146">
        <v>-56</v>
      </c>
      <c r="AR5146">
        <v>-1152</v>
      </c>
      <c r="AZ5146">
        <v>1200</v>
      </c>
      <c r="BA5146">
        <v>1</v>
      </c>
      <c r="BB5146" t="str">
        <f t="shared" si="2374"/>
        <v xml:space="preserve">N711JA  </v>
      </c>
      <c r="BC5146">
        <v>1</v>
      </c>
      <c r="BE5146">
        <v>0</v>
      </c>
      <c r="BF5146">
        <v>0</v>
      </c>
      <c r="BG5146">
        <v>0</v>
      </c>
      <c r="BH5146">
        <v>2050</v>
      </c>
      <c r="BI5146">
        <v>1</v>
      </c>
      <c r="BJ5146">
        <v>1</v>
      </c>
      <c r="BK5146">
        <v>0</v>
      </c>
      <c r="BL5146">
        <v>0</v>
      </c>
      <c r="BO5146">
        <v>0</v>
      </c>
      <c r="BP5146">
        <v>0</v>
      </c>
      <c r="BW5146" t="str">
        <f t="shared" si="2372"/>
        <v>14:50:42.924</v>
      </c>
      <c r="CJ5146">
        <v>0</v>
      </c>
      <c r="CK5146">
        <v>2</v>
      </c>
      <c r="CL5146">
        <v>0</v>
      </c>
      <c r="CM5146">
        <v>2</v>
      </c>
      <c r="CN5146">
        <v>0</v>
      </c>
      <c r="CO5146">
        <v>6</v>
      </c>
      <c r="CP5146" t="s">
        <v>119</v>
      </c>
      <c r="CQ5146">
        <v>8</v>
      </c>
      <c r="CR5146">
        <v>3</v>
      </c>
      <c r="CW5146">
        <v>9239049</v>
      </c>
      <c r="CY5146">
        <v>1</v>
      </c>
      <c r="CZ5146">
        <v>0</v>
      </c>
      <c r="DA5146">
        <v>1</v>
      </c>
      <c r="DB5146">
        <v>0</v>
      </c>
      <c r="DC5146">
        <v>0</v>
      </c>
      <c r="DD5146">
        <v>1</v>
      </c>
      <c r="DE5146">
        <v>0</v>
      </c>
      <c r="DF5146">
        <v>0</v>
      </c>
      <c r="DG5146">
        <v>0</v>
      </c>
      <c r="DH5146">
        <v>0</v>
      </c>
      <c r="DI5146">
        <v>0</v>
      </c>
    </row>
    <row r="5147" spans="1:113" x14ac:dyDescent="0.3">
      <c r="A5147" t="str">
        <f t="shared" ref="A5147:A5155" si="2375">"05/12/2020 14:50:25.979"</f>
        <v>05/12/2020 14:50:25.979</v>
      </c>
      <c r="C5147" t="str">
        <f t="shared" si="2373"/>
        <v>FFDFD3C0</v>
      </c>
      <c r="D5147" t="s">
        <v>134</v>
      </c>
      <c r="E5147">
        <v>12</v>
      </c>
      <c r="H5147">
        <v>64</v>
      </c>
      <c r="I5147" t="s">
        <v>135</v>
      </c>
      <c r="J5147" t="s">
        <v>136</v>
      </c>
      <c r="K5147">
        <v>0</v>
      </c>
      <c r="L5147">
        <v>3</v>
      </c>
      <c r="M5147">
        <v>0</v>
      </c>
      <c r="N5147">
        <v>2</v>
      </c>
      <c r="O5147">
        <v>1</v>
      </c>
      <c r="P5147">
        <v>0</v>
      </c>
      <c r="Q5147">
        <v>0</v>
      </c>
      <c r="S5147" t="str">
        <f t="shared" ref="S5147:T5155" si="2376">"14:50:43.813"</f>
        <v>14:50:43.813</v>
      </c>
      <c r="T5147" t="str">
        <f t="shared" si="2376"/>
        <v>14:50:43.813</v>
      </c>
      <c r="U5147" t="str">
        <f t="shared" si="2364"/>
        <v>A9808D</v>
      </c>
      <c r="V5147">
        <v>0</v>
      </c>
      <c r="W5147">
        <v>0</v>
      </c>
      <c r="X5147">
        <v>1</v>
      </c>
      <c r="Z5147">
        <v>0</v>
      </c>
      <c r="AA5147">
        <v>9</v>
      </c>
      <c r="AB5147">
        <v>3</v>
      </c>
      <c r="AC5147">
        <v>0</v>
      </c>
      <c r="AD5147">
        <v>10</v>
      </c>
      <c r="AE5147">
        <v>0</v>
      </c>
      <c r="AF5147">
        <v>3</v>
      </c>
      <c r="AG5147">
        <v>2</v>
      </c>
      <c r="AH5147">
        <v>0</v>
      </c>
      <c r="AI5147" t="s">
        <v>1141</v>
      </c>
      <c r="AJ5147">
        <v>28.230979000000001</v>
      </c>
      <c r="AK5147" t="s">
        <v>1142</v>
      </c>
      <c r="AL5147">
        <v>-82.375917000000001</v>
      </c>
      <c r="AM5147">
        <v>100</v>
      </c>
      <c r="AN5147">
        <v>1900</v>
      </c>
      <c r="AO5147" t="s">
        <v>118</v>
      </c>
      <c r="AP5147">
        <v>-104</v>
      </c>
      <c r="AQ5147">
        <v>-56</v>
      </c>
      <c r="AR5147">
        <v>-1152</v>
      </c>
      <c r="AZ5147">
        <v>1200</v>
      </c>
      <c r="BA5147">
        <v>1</v>
      </c>
      <c r="BB5147" t="str">
        <f t="shared" si="2374"/>
        <v xml:space="preserve">N711JA  </v>
      </c>
      <c r="BC5147">
        <v>1</v>
      </c>
      <c r="BE5147">
        <v>0</v>
      </c>
      <c r="BF5147">
        <v>0</v>
      </c>
      <c r="BG5147">
        <v>0</v>
      </c>
      <c r="BH5147">
        <v>2025</v>
      </c>
      <c r="BI5147">
        <v>1</v>
      </c>
      <c r="BJ5147">
        <v>1</v>
      </c>
      <c r="BK5147">
        <v>0</v>
      </c>
      <c r="BL5147">
        <v>0</v>
      </c>
      <c r="BO5147">
        <v>0</v>
      </c>
      <c r="BP5147">
        <v>0</v>
      </c>
      <c r="BW5147" t="str">
        <f t="shared" ref="BW5147:BW5154" si="2377">"14:50:43.816"</f>
        <v>14:50:43.816</v>
      </c>
      <c r="CJ5147">
        <v>0</v>
      </c>
      <c r="CK5147">
        <v>2</v>
      </c>
      <c r="CL5147">
        <v>0</v>
      </c>
      <c r="CM5147">
        <v>2</v>
      </c>
      <c r="CN5147">
        <v>0</v>
      </c>
      <c r="CO5147">
        <v>6</v>
      </c>
      <c r="CP5147" t="s">
        <v>119</v>
      </c>
      <c r="CQ5147">
        <v>8</v>
      </c>
      <c r="CR5147">
        <v>3</v>
      </c>
      <c r="CW5147">
        <v>9240000</v>
      </c>
      <c r="CY5147">
        <v>1</v>
      </c>
      <c r="CZ5147">
        <v>0</v>
      </c>
      <c r="DA5147">
        <v>0</v>
      </c>
      <c r="DB5147">
        <v>0</v>
      </c>
      <c r="DC5147">
        <v>0</v>
      </c>
      <c r="DD5147">
        <v>1</v>
      </c>
      <c r="DE5147">
        <v>0</v>
      </c>
      <c r="DF5147">
        <v>0</v>
      </c>
      <c r="DG5147">
        <v>0</v>
      </c>
      <c r="DH5147">
        <v>0</v>
      </c>
      <c r="DI5147">
        <v>0</v>
      </c>
    </row>
    <row r="5148" spans="1:113" x14ac:dyDescent="0.3">
      <c r="A5148" t="str">
        <f t="shared" si="2375"/>
        <v>05/12/2020 14:50:25.979</v>
      </c>
      <c r="C5148" t="str">
        <f t="shared" si="2373"/>
        <v>FFDFD3C0</v>
      </c>
      <c r="D5148" t="s">
        <v>126</v>
      </c>
      <c r="E5148">
        <v>6</v>
      </c>
      <c r="F5148">
        <v>1006</v>
      </c>
      <c r="G5148" t="s">
        <v>114</v>
      </c>
      <c r="J5148" t="s">
        <v>128</v>
      </c>
      <c r="K5148">
        <v>0</v>
      </c>
      <c r="L5148">
        <v>3</v>
      </c>
      <c r="M5148">
        <v>0</v>
      </c>
      <c r="N5148">
        <v>2</v>
      </c>
      <c r="O5148">
        <v>1</v>
      </c>
      <c r="P5148">
        <v>0</v>
      </c>
      <c r="Q5148">
        <v>0</v>
      </c>
      <c r="S5148" t="str">
        <f t="shared" si="2376"/>
        <v>14:50:43.813</v>
      </c>
      <c r="T5148" t="str">
        <f t="shared" si="2376"/>
        <v>14:50:43.813</v>
      </c>
      <c r="U5148" t="str">
        <f t="shared" si="2364"/>
        <v>A9808D</v>
      </c>
      <c r="V5148">
        <v>0</v>
      </c>
      <c r="W5148">
        <v>0</v>
      </c>
      <c r="X5148">
        <v>1</v>
      </c>
      <c r="Z5148">
        <v>0</v>
      </c>
      <c r="AA5148">
        <v>9</v>
      </c>
      <c r="AB5148">
        <v>3</v>
      </c>
      <c r="AC5148">
        <v>0</v>
      </c>
      <c r="AD5148">
        <v>10</v>
      </c>
      <c r="AE5148">
        <v>0</v>
      </c>
      <c r="AF5148">
        <v>3</v>
      </c>
      <c r="AG5148">
        <v>2</v>
      </c>
      <c r="AH5148">
        <v>0</v>
      </c>
      <c r="AI5148" t="s">
        <v>1141</v>
      </c>
      <c r="AJ5148">
        <v>28.230979000000001</v>
      </c>
      <c r="AK5148" t="s">
        <v>1142</v>
      </c>
      <c r="AL5148">
        <v>-82.375917000000001</v>
      </c>
      <c r="AM5148">
        <v>100</v>
      </c>
      <c r="AN5148">
        <v>1900</v>
      </c>
      <c r="AO5148" t="s">
        <v>118</v>
      </c>
      <c r="AP5148">
        <v>-104</v>
      </c>
      <c r="AQ5148">
        <v>-56</v>
      </c>
      <c r="AR5148">
        <v>-1152</v>
      </c>
      <c r="AZ5148">
        <v>1200</v>
      </c>
      <c r="BA5148">
        <v>1</v>
      </c>
      <c r="BB5148" t="str">
        <f t="shared" si="2374"/>
        <v xml:space="preserve">N711JA  </v>
      </c>
      <c r="BC5148">
        <v>1</v>
      </c>
      <c r="BE5148">
        <v>0</v>
      </c>
      <c r="BF5148">
        <v>0</v>
      </c>
      <c r="BG5148">
        <v>0</v>
      </c>
      <c r="BH5148">
        <v>2025</v>
      </c>
      <c r="BI5148">
        <v>1</v>
      </c>
      <c r="BJ5148">
        <v>1</v>
      </c>
      <c r="BK5148">
        <v>0</v>
      </c>
      <c r="BL5148">
        <v>0</v>
      </c>
      <c r="BO5148">
        <v>0</v>
      </c>
      <c r="BP5148">
        <v>0</v>
      </c>
      <c r="BW5148" t="str">
        <f t="shared" si="2377"/>
        <v>14:50:43.816</v>
      </c>
      <c r="CJ5148">
        <v>0</v>
      </c>
      <c r="CK5148">
        <v>2</v>
      </c>
      <c r="CL5148">
        <v>0</v>
      </c>
      <c r="CM5148">
        <v>2</v>
      </c>
      <c r="CN5148">
        <v>0</v>
      </c>
      <c r="CO5148">
        <v>6</v>
      </c>
      <c r="CP5148" t="s">
        <v>119</v>
      </c>
      <c r="CQ5148">
        <v>8</v>
      </c>
      <c r="CR5148">
        <v>3</v>
      </c>
      <c r="CW5148">
        <v>9240000</v>
      </c>
      <c r="CY5148">
        <v>1</v>
      </c>
      <c r="CZ5148">
        <v>0</v>
      </c>
      <c r="DA5148">
        <v>1</v>
      </c>
      <c r="DB5148">
        <v>0</v>
      </c>
      <c r="DC5148">
        <v>0</v>
      </c>
      <c r="DD5148">
        <v>1</v>
      </c>
      <c r="DE5148">
        <v>0</v>
      </c>
      <c r="DF5148">
        <v>0</v>
      </c>
      <c r="DG5148">
        <v>0</v>
      </c>
      <c r="DH5148">
        <v>0</v>
      </c>
      <c r="DI5148">
        <v>0</v>
      </c>
    </row>
    <row r="5149" spans="1:113" x14ac:dyDescent="0.3">
      <c r="A5149" t="str">
        <f t="shared" si="2375"/>
        <v>05/12/2020 14:50:25.979</v>
      </c>
      <c r="C5149" t="str">
        <f t="shared" si="2373"/>
        <v>FFDFD3C0</v>
      </c>
      <c r="D5149" t="s">
        <v>113</v>
      </c>
      <c r="E5149">
        <v>3</v>
      </c>
      <c r="H5149">
        <v>164</v>
      </c>
      <c r="I5149" t="s">
        <v>114</v>
      </c>
      <c r="J5149" t="s">
        <v>115</v>
      </c>
      <c r="K5149">
        <v>0</v>
      </c>
      <c r="L5149">
        <v>3</v>
      </c>
      <c r="M5149">
        <v>0</v>
      </c>
      <c r="N5149">
        <v>2</v>
      </c>
      <c r="O5149">
        <v>1</v>
      </c>
      <c r="P5149">
        <v>0</v>
      </c>
      <c r="Q5149">
        <v>0</v>
      </c>
      <c r="S5149" t="str">
        <f t="shared" si="2376"/>
        <v>14:50:43.813</v>
      </c>
      <c r="T5149" t="str">
        <f t="shared" si="2376"/>
        <v>14:50:43.813</v>
      </c>
      <c r="U5149" t="str">
        <f t="shared" si="2364"/>
        <v>A9808D</v>
      </c>
      <c r="V5149">
        <v>0</v>
      </c>
      <c r="W5149">
        <v>0</v>
      </c>
      <c r="X5149">
        <v>1</v>
      </c>
      <c r="Z5149">
        <v>0</v>
      </c>
      <c r="AA5149">
        <v>9</v>
      </c>
      <c r="AB5149">
        <v>3</v>
      </c>
      <c r="AC5149">
        <v>0</v>
      </c>
      <c r="AD5149">
        <v>10</v>
      </c>
      <c r="AE5149">
        <v>0</v>
      </c>
      <c r="AF5149">
        <v>3</v>
      </c>
      <c r="AG5149">
        <v>2</v>
      </c>
      <c r="AH5149">
        <v>0</v>
      </c>
      <c r="AI5149" t="s">
        <v>1141</v>
      </c>
      <c r="AJ5149">
        <v>28.230979000000001</v>
      </c>
      <c r="AK5149" t="s">
        <v>1142</v>
      </c>
      <c r="AL5149">
        <v>-82.375917000000001</v>
      </c>
      <c r="AM5149">
        <v>100</v>
      </c>
      <c r="AN5149">
        <v>1900</v>
      </c>
      <c r="AO5149" t="s">
        <v>118</v>
      </c>
      <c r="AP5149">
        <v>-104</v>
      </c>
      <c r="AQ5149">
        <v>-56</v>
      </c>
      <c r="AR5149">
        <v>-1152</v>
      </c>
      <c r="AZ5149">
        <v>1200</v>
      </c>
      <c r="BA5149">
        <v>1</v>
      </c>
      <c r="BB5149" t="str">
        <f t="shared" si="2374"/>
        <v xml:space="preserve">N711JA  </v>
      </c>
      <c r="BC5149">
        <v>1</v>
      </c>
      <c r="BE5149">
        <v>0</v>
      </c>
      <c r="BF5149">
        <v>0</v>
      </c>
      <c r="BG5149">
        <v>0</v>
      </c>
      <c r="BH5149">
        <v>2025</v>
      </c>
      <c r="BI5149">
        <v>1</v>
      </c>
      <c r="BJ5149">
        <v>1</v>
      </c>
      <c r="BK5149">
        <v>0</v>
      </c>
      <c r="BL5149">
        <v>0</v>
      </c>
      <c r="BO5149">
        <v>0</v>
      </c>
      <c r="BP5149">
        <v>0</v>
      </c>
      <c r="BW5149" t="str">
        <f t="shared" si="2377"/>
        <v>14:50:43.816</v>
      </c>
      <c r="CJ5149">
        <v>0</v>
      </c>
      <c r="CK5149">
        <v>2</v>
      </c>
      <c r="CL5149">
        <v>0</v>
      </c>
      <c r="CM5149">
        <v>2</v>
      </c>
      <c r="CN5149">
        <v>0</v>
      </c>
      <c r="CO5149">
        <v>6</v>
      </c>
      <c r="CP5149" t="s">
        <v>119</v>
      </c>
      <c r="CQ5149">
        <v>8</v>
      </c>
      <c r="CR5149">
        <v>3</v>
      </c>
      <c r="CW5149">
        <v>9240000</v>
      </c>
      <c r="CY5149">
        <v>1</v>
      </c>
      <c r="CZ5149">
        <v>0</v>
      </c>
      <c r="DA5149">
        <v>1</v>
      </c>
      <c r="DB5149">
        <v>0</v>
      </c>
      <c r="DC5149">
        <v>0</v>
      </c>
      <c r="DD5149">
        <v>1</v>
      </c>
      <c r="DE5149">
        <v>0</v>
      </c>
      <c r="DF5149">
        <v>0</v>
      </c>
      <c r="DG5149">
        <v>0</v>
      </c>
      <c r="DH5149">
        <v>0</v>
      </c>
      <c r="DI5149">
        <v>0</v>
      </c>
    </row>
    <row r="5150" spans="1:113" x14ac:dyDescent="0.3">
      <c r="A5150" t="str">
        <f t="shared" si="2375"/>
        <v>05/12/2020 14:50:25.979</v>
      </c>
      <c r="C5150" t="str">
        <f t="shared" si="2373"/>
        <v>FFDFD3C0</v>
      </c>
      <c r="D5150" t="s">
        <v>126</v>
      </c>
      <c r="E5150">
        <v>7</v>
      </c>
      <c r="F5150">
        <v>1007</v>
      </c>
      <c r="G5150" t="s">
        <v>127</v>
      </c>
      <c r="J5150" t="s">
        <v>128</v>
      </c>
      <c r="K5150">
        <v>0</v>
      </c>
      <c r="L5150">
        <v>3</v>
      </c>
      <c r="M5150">
        <v>0</v>
      </c>
      <c r="N5150">
        <v>2</v>
      </c>
      <c r="O5150">
        <v>1</v>
      </c>
      <c r="P5150">
        <v>0</v>
      </c>
      <c r="Q5150">
        <v>0</v>
      </c>
      <c r="S5150" t="str">
        <f t="shared" si="2376"/>
        <v>14:50:43.813</v>
      </c>
      <c r="T5150" t="str">
        <f t="shared" si="2376"/>
        <v>14:50:43.813</v>
      </c>
      <c r="U5150" t="str">
        <f t="shared" si="2364"/>
        <v>A9808D</v>
      </c>
      <c r="V5150">
        <v>0</v>
      </c>
      <c r="W5150">
        <v>0</v>
      </c>
      <c r="X5150">
        <v>1</v>
      </c>
      <c r="Z5150">
        <v>0</v>
      </c>
      <c r="AA5150">
        <v>9</v>
      </c>
      <c r="AB5150">
        <v>3</v>
      </c>
      <c r="AC5150">
        <v>0</v>
      </c>
      <c r="AD5150">
        <v>10</v>
      </c>
      <c r="AE5150">
        <v>0</v>
      </c>
      <c r="AF5150">
        <v>3</v>
      </c>
      <c r="AG5150">
        <v>2</v>
      </c>
      <c r="AH5150">
        <v>0</v>
      </c>
      <c r="AI5150" t="s">
        <v>1141</v>
      </c>
      <c r="AJ5150">
        <v>28.230979000000001</v>
      </c>
      <c r="AK5150" t="s">
        <v>1142</v>
      </c>
      <c r="AL5150">
        <v>-82.375917000000001</v>
      </c>
      <c r="AM5150">
        <v>100</v>
      </c>
      <c r="AN5150">
        <v>1900</v>
      </c>
      <c r="AO5150" t="s">
        <v>118</v>
      </c>
      <c r="AP5150">
        <v>-104</v>
      </c>
      <c r="AQ5150">
        <v>-56</v>
      </c>
      <c r="AR5150">
        <v>-1152</v>
      </c>
      <c r="AZ5150">
        <v>1200</v>
      </c>
      <c r="BA5150">
        <v>1</v>
      </c>
      <c r="BB5150" t="str">
        <f t="shared" si="2374"/>
        <v xml:space="preserve">N711JA  </v>
      </c>
      <c r="BC5150">
        <v>1</v>
      </c>
      <c r="BE5150">
        <v>0</v>
      </c>
      <c r="BF5150">
        <v>0</v>
      </c>
      <c r="BG5150">
        <v>0</v>
      </c>
      <c r="BH5150">
        <v>2025</v>
      </c>
      <c r="BI5150">
        <v>1</v>
      </c>
      <c r="BJ5150">
        <v>1</v>
      </c>
      <c r="BK5150">
        <v>0</v>
      </c>
      <c r="BL5150">
        <v>0</v>
      </c>
      <c r="BO5150">
        <v>0</v>
      </c>
      <c r="BP5150">
        <v>0</v>
      </c>
      <c r="BW5150" t="str">
        <f t="shared" si="2377"/>
        <v>14:50:43.816</v>
      </c>
      <c r="CJ5150">
        <v>0</v>
      </c>
      <c r="CK5150">
        <v>2</v>
      </c>
      <c r="CL5150">
        <v>0</v>
      </c>
      <c r="CM5150">
        <v>2</v>
      </c>
      <c r="CN5150">
        <v>0</v>
      </c>
      <c r="CO5150">
        <v>6</v>
      </c>
      <c r="CP5150" t="s">
        <v>119</v>
      </c>
      <c r="CQ5150">
        <v>8</v>
      </c>
      <c r="CR5150">
        <v>3</v>
      </c>
      <c r="CW5150">
        <v>9240000</v>
      </c>
      <c r="CY5150">
        <v>1</v>
      </c>
      <c r="CZ5150">
        <v>0</v>
      </c>
      <c r="DA5150">
        <v>1</v>
      </c>
      <c r="DB5150">
        <v>0</v>
      </c>
      <c r="DC5150">
        <v>0</v>
      </c>
      <c r="DD5150">
        <v>1</v>
      </c>
      <c r="DE5150">
        <v>0</v>
      </c>
      <c r="DF5150">
        <v>0</v>
      </c>
      <c r="DG5150">
        <v>0</v>
      </c>
      <c r="DH5150">
        <v>0</v>
      </c>
      <c r="DI5150">
        <v>0</v>
      </c>
    </row>
    <row r="5151" spans="1:113" x14ac:dyDescent="0.3">
      <c r="A5151" t="str">
        <f t="shared" si="2375"/>
        <v>05/12/2020 14:50:25.979</v>
      </c>
      <c r="C5151" t="str">
        <f t="shared" si="2373"/>
        <v>FFDFD3C0</v>
      </c>
      <c r="D5151" t="s">
        <v>131</v>
      </c>
      <c r="E5151">
        <v>10</v>
      </c>
      <c r="F5151">
        <v>2010</v>
      </c>
      <c r="G5151" t="s">
        <v>132</v>
      </c>
      <c r="J5151" t="s">
        <v>133</v>
      </c>
      <c r="K5151">
        <v>0</v>
      </c>
      <c r="L5151">
        <v>3</v>
      </c>
      <c r="M5151">
        <v>0</v>
      </c>
      <c r="N5151">
        <v>2</v>
      </c>
      <c r="O5151">
        <v>1</v>
      </c>
      <c r="P5151">
        <v>0</v>
      </c>
      <c r="Q5151">
        <v>0</v>
      </c>
      <c r="S5151" t="str">
        <f t="shared" si="2376"/>
        <v>14:50:43.813</v>
      </c>
      <c r="T5151" t="str">
        <f t="shared" si="2376"/>
        <v>14:50:43.813</v>
      </c>
      <c r="U5151" t="str">
        <f t="shared" si="2364"/>
        <v>A9808D</v>
      </c>
      <c r="V5151">
        <v>0</v>
      </c>
      <c r="W5151">
        <v>0</v>
      </c>
      <c r="X5151">
        <v>1</v>
      </c>
      <c r="Z5151">
        <v>0</v>
      </c>
      <c r="AA5151">
        <v>9</v>
      </c>
      <c r="AB5151">
        <v>3</v>
      </c>
      <c r="AC5151">
        <v>0</v>
      </c>
      <c r="AD5151">
        <v>10</v>
      </c>
      <c r="AE5151">
        <v>0</v>
      </c>
      <c r="AF5151">
        <v>3</v>
      </c>
      <c r="AG5151">
        <v>2</v>
      </c>
      <c r="AH5151">
        <v>0</v>
      </c>
      <c r="AI5151" t="s">
        <v>1141</v>
      </c>
      <c r="AJ5151">
        <v>28.230979000000001</v>
      </c>
      <c r="AK5151" t="s">
        <v>1142</v>
      </c>
      <c r="AL5151">
        <v>-82.375917000000001</v>
      </c>
      <c r="AM5151">
        <v>100</v>
      </c>
      <c r="AN5151">
        <v>1900</v>
      </c>
      <c r="AO5151" t="s">
        <v>118</v>
      </c>
      <c r="AP5151">
        <v>-104</v>
      </c>
      <c r="AQ5151">
        <v>-56</v>
      </c>
      <c r="AR5151">
        <v>-1152</v>
      </c>
      <c r="AZ5151">
        <v>1200</v>
      </c>
      <c r="BA5151">
        <v>1</v>
      </c>
      <c r="BB5151" t="str">
        <f t="shared" si="2374"/>
        <v xml:space="preserve">N711JA  </v>
      </c>
      <c r="BC5151">
        <v>1</v>
      </c>
      <c r="BE5151">
        <v>0</v>
      </c>
      <c r="BF5151">
        <v>0</v>
      </c>
      <c r="BG5151">
        <v>0</v>
      </c>
      <c r="BH5151">
        <v>2025</v>
      </c>
      <c r="BI5151">
        <v>1</v>
      </c>
      <c r="BJ5151">
        <v>1</v>
      </c>
      <c r="BK5151">
        <v>0</v>
      </c>
      <c r="BL5151">
        <v>0</v>
      </c>
      <c r="BO5151">
        <v>0</v>
      </c>
      <c r="BP5151">
        <v>0</v>
      </c>
      <c r="BW5151" t="str">
        <f t="shared" si="2377"/>
        <v>14:50:43.816</v>
      </c>
      <c r="CJ5151">
        <v>0</v>
      </c>
      <c r="CK5151">
        <v>2</v>
      </c>
      <c r="CL5151">
        <v>0</v>
      </c>
      <c r="CM5151">
        <v>2</v>
      </c>
      <c r="CN5151">
        <v>0</v>
      </c>
      <c r="CO5151">
        <v>6</v>
      </c>
      <c r="CP5151" t="s">
        <v>119</v>
      </c>
      <c r="CQ5151">
        <v>8</v>
      </c>
      <c r="CR5151">
        <v>3</v>
      </c>
      <c r="CW5151">
        <v>9240000</v>
      </c>
      <c r="CY5151">
        <v>1</v>
      </c>
      <c r="CZ5151">
        <v>0</v>
      </c>
      <c r="DA5151">
        <v>1</v>
      </c>
      <c r="DB5151">
        <v>0</v>
      </c>
      <c r="DC5151">
        <v>0</v>
      </c>
      <c r="DD5151">
        <v>1</v>
      </c>
      <c r="DE5151">
        <v>0</v>
      </c>
      <c r="DF5151">
        <v>0</v>
      </c>
      <c r="DG5151">
        <v>0</v>
      </c>
      <c r="DH5151">
        <v>0</v>
      </c>
      <c r="DI5151">
        <v>0</v>
      </c>
    </row>
    <row r="5152" spans="1:113" x14ac:dyDescent="0.3">
      <c r="A5152" t="str">
        <f t="shared" si="2375"/>
        <v>05/12/2020 14:50:25.979</v>
      </c>
      <c r="C5152" t="str">
        <f t="shared" si="2373"/>
        <v>FFDFD3C0</v>
      </c>
      <c r="D5152" t="s">
        <v>131</v>
      </c>
      <c r="E5152">
        <v>12</v>
      </c>
      <c r="F5152">
        <v>2012</v>
      </c>
      <c r="G5152" t="s">
        <v>137</v>
      </c>
      <c r="J5152" t="s">
        <v>133</v>
      </c>
      <c r="K5152">
        <v>0</v>
      </c>
      <c r="L5152">
        <v>3</v>
      </c>
      <c r="M5152">
        <v>0</v>
      </c>
      <c r="N5152">
        <v>2</v>
      </c>
      <c r="O5152">
        <v>1</v>
      </c>
      <c r="P5152">
        <v>0</v>
      </c>
      <c r="Q5152">
        <v>0</v>
      </c>
      <c r="S5152" t="str">
        <f t="shared" si="2376"/>
        <v>14:50:43.813</v>
      </c>
      <c r="T5152" t="str">
        <f t="shared" si="2376"/>
        <v>14:50:43.813</v>
      </c>
      <c r="U5152" t="str">
        <f t="shared" si="2364"/>
        <v>A9808D</v>
      </c>
      <c r="V5152">
        <v>0</v>
      </c>
      <c r="W5152">
        <v>0</v>
      </c>
      <c r="X5152">
        <v>1</v>
      </c>
      <c r="Z5152">
        <v>0</v>
      </c>
      <c r="AA5152">
        <v>9</v>
      </c>
      <c r="AB5152">
        <v>3</v>
      </c>
      <c r="AC5152">
        <v>0</v>
      </c>
      <c r="AD5152">
        <v>10</v>
      </c>
      <c r="AE5152">
        <v>0</v>
      </c>
      <c r="AF5152">
        <v>3</v>
      </c>
      <c r="AG5152">
        <v>2</v>
      </c>
      <c r="AH5152">
        <v>0</v>
      </c>
      <c r="AI5152" t="s">
        <v>1141</v>
      </c>
      <c r="AJ5152">
        <v>28.230979000000001</v>
      </c>
      <c r="AK5152" t="s">
        <v>1142</v>
      </c>
      <c r="AL5152">
        <v>-82.375917000000001</v>
      </c>
      <c r="AM5152">
        <v>100</v>
      </c>
      <c r="AN5152">
        <v>1900</v>
      </c>
      <c r="AO5152" t="s">
        <v>118</v>
      </c>
      <c r="AP5152">
        <v>-104</v>
      </c>
      <c r="AQ5152">
        <v>-56</v>
      </c>
      <c r="AR5152">
        <v>-1152</v>
      </c>
      <c r="AZ5152">
        <v>1200</v>
      </c>
      <c r="BA5152">
        <v>1</v>
      </c>
      <c r="BB5152" t="str">
        <f t="shared" si="2374"/>
        <v xml:space="preserve">N711JA  </v>
      </c>
      <c r="BC5152">
        <v>1</v>
      </c>
      <c r="BE5152">
        <v>0</v>
      </c>
      <c r="BF5152">
        <v>0</v>
      </c>
      <c r="BG5152">
        <v>0</v>
      </c>
      <c r="BH5152">
        <v>2025</v>
      </c>
      <c r="BI5152">
        <v>1</v>
      </c>
      <c r="BJ5152">
        <v>1</v>
      </c>
      <c r="BK5152">
        <v>0</v>
      </c>
      <c r="BL5152">
        <v>0</v>
      </c>
      <c r="BO5152">
        <v>0</v>
      </c>
      <c r="BP5152">
        <v>0</v>
      </c>
      <c r="BW5152" t="str">
        <f t="shared" si="2377"/>
        <v>14:50:43.816</v>
      </c>
      <c r="CJ5152">
        <v>0</v>
      </c>
      <c r="CK5152">
        <v>2</v>
      </c>
      <c r="CL5152">
        <v>0</v>
      </c>
      <c r="CM5152">
        <v>2</v>
      </c>
      <c r="CN5152">
        <v>0</v>
      </c>
      <c r="CO5152">
        <v>6</v>
      </c>
      <c r="CP5152" t="s">
        <v>119</v>
      </c>
      <c r="CQ5152">
        <v>8</v>
      </c>
      <c r="CR5152">
        <v>3</v>
      </c>
      <c r="CW5152">
        <v>9240000</v>
      </c>
      <c r="CY5152">
        <v>1</v>
      </c>
      <c r="CZ5152">
        <v>0</v>
      </c>
      <c r="DA5152">
        <v>1</v>
      </c>
      <c r="DB5152">
        <v>0</v>
      </c>
      <c r="DC5152">
        <v>0</v>
      </c>
      <c r="DD5152">
        <v>1</v>
      </c>
      <c r="DE5152">
        <v>0</v>
      </c>
      <c r="DF5152">
        <v>0</v>
      </c>
      <c r="DG5152">
        <v>0</v>
      </c>
      <c r="DH5152">
        <v>0</v>
      </c>
      <c r="DI5152">
        <v>0</v>
      </c>
    </row>
    <row r="5153" spans="1:113" x14ac:dyDescent="0.3">
      <c r="A5153" t="str">
        <f t="shared" si="2375"/>
        <v>05/12/2020 14:50:25.979</v>
      </c>
      <c r="C5153" t="str">
        <f t="shared" si="2373"/>
        <v>FFDFD3C0</v>
      </c>
      <c r="D5153" t="s">
        <v>138</v>
      </c>
      <c r="E5153">
        <v>2</v>
      </c>
      <c r="H5153">
        <v>8</v>
      </c>
      <c r="I5153" t="s">
        <v>139</v>
      </c>
      <c r="J5153" t="s">
        <v>136</v>
      </c>
      <c r="K5153">
        <v>0</v>
      </c>
      <c r="L5153">
        <v>3</v>
      </c>
      <c r="M5153">
        <v>0</v>
      </c>
      <c r="N5153">
        <v>2</v>
      </c>
      <c r="O5153">
        <v>1</v>
      </c>
      <c r="P5153">
        <v>0</v>
      </c>
      <c r="Q5153">
        <v>0</v>
      </c>
      <c r="S5153" t="str">
        <f t="shared" si="2376"/>
        <v>14:50:43.813</v>
      </c>
      <c r="T5153" t="str">
        <f t="shared" si="2376"/>
        <v>14:50:43.813</v>
      </c>
      <c r="U5153" t="str">
        <f t="shared" si="2364"/>
        <v>A9808D</v>
      </c>
      <c r="V5153">
        <v>0</v>
      </c>
      <c r="W5153">
        <v>0</v>
      </c>
      <c r="X5153">
        <v>1</v>
      </c>
      <c r="Z5153">
        <v>0</v>
      </c>
      <c r="AA5153">
        <v>9</v>
      </c>
      <c r="AB5153">
        <v>3</v>
      </c>
      <c r="AC5153">
        <v>0</v>
      </c>
      <c r="AD5153">
        <v>10</v>
      </c>
      <c r="AE5153">
        <v>0</v>
      </c>
      <c r="AF5153">
        <v>3</v>
      </c>
      <c r="AG5153">
        <v>2</v>
      </c>
      <c r="AH5153">
        <v>0</v>
      </c>
      <c r="AI5153" t="s">
        <v>1141</v>
      </c>
      <c r="AJ5153">
        <v>28.230979000000001</v>
      </c>
      <c r="AK5153" t="s">
        <v>1142</v>
      </c>
      <c r="AL5153">
        <v>-82.375917000000001</v>
      </c>
      <c r="AM5153">
        <v>100</v>
      </c>
      <c r="AN5153">
        <v>1900</v>
      </c>
      <c r="AO5153" t="s">
        <v>118</v>
      </c>
      <c r="AP5153">
        <v>-104</v>
      </c>
      <c r="AQ5153">
        <v>-56</v>
      </c>
      <c r="AR5153">
        <v>-1152</v>
      </c>
      <c r="AZ5153">
        <v>1200</v>
      </c>
      <c r="BA5153">
        <v>1</v>
      </c>
      <c r="BB5153" t="str">
        <f t="shared" si="2374"/>
        <v xml:space="preserve">N711JA  </v>
      </c>
      <c r="BC5153">
        <v>1</v>
      </c>
      <c r="BE5153">
        <v>0</v>
      </c>
      <c r="BF5153">
        <v>0</v>
      </c>
      <c r="BG5153">
        <v>0</v>
      </c>
      <c r="BH5153">
        <v>2025</v>
      </c>
      <c r="BI5153">
        <v>1</v>
      </c>
      <c r="BJ5153">
        <v>1</v>
      </c>
      <c r="BK5153">
        <v>0</v>
      </c>
      <c r="BL5153">
        <v>0</v>
      </c>
      <c r="BO5153">
        <v>0</v>
      </c>
      <c r="BP5153">
        <v>0</v>
      </c>
      <c r="BW5153" t="str">
        <f t="shared" si="2377"/>
        <v>14:50:43.816</v>
      </c>
      <c r="CJ5153">
        <v>0</v>
      </c>
      <c r="CK5153">
        <v>2</v>
      </c>
      <c r="CL5153">
        <v>0</v>
      </c>
      <c r="CM5153">
        <v>2</v>
      </c>
      <c r="CN5153">
        <v>0</v>
      </c>
      <c r="CO5153">
        <v>6</v>
      </c>
      <c r="CP5153" t="s">
        <v>119</v>
      </c>
      <c r="CQ5153">
        <v>8</v>
      </c>
      <c r="CR5153">
        <v>3</v>
      </c>
      <c r="CW5153">
        <v>9240000</v>
      </c>
      <c r="CY5153">
        <v>1</v>
      </c>
      <c r="CZ5153">
        <v>0</v>
      </c>
      <c r="DA5153">
        <v>1</v>
      </c>
      <c r="DB5153">
        <v>0</v>
      </c>
      <c r="DC5153">
        <v>0</v>
      </c>
      <c r="DD5153">
        <v>1</v>
      </c>
      <c r="DE5153">
        <v>0</v>
      </c>
      <c r="DF5153">
        <v>0</v>
      </c>
      <c r="DG5153">
        <v>0</v>
      </c>
      <c r="DH5153">
        <v>0</v>
      </c>
      <c r="DI5153">
        <v>0</v>
      </c>
    </row>
    <row r="5154" spans="1:113" x14ac:dyDescent="0.3">
      <c r="A5154" t="str">
        <f t="shared" si="2375"/>
        <v>05/12/2020 14:50:25.979</v>
      </c>
      <c r="C5154" t="str">
        <f t="shared" si="2373"/>
        <v>FFDFD3C0</v>
      </c>
      <c r="D5154" t="s">
        <v>138</v>
      </c>
      <c r="E5154">
        <v>3</v>
      </c>
      <c r="H5154">
        <v>9</v>
      </c>
      <c r="I5154" t="s">
        <v>140</v>
      </c>
      <c r="J5154" t="s">
        <v>136</v>
      </c>
      <c r="K5154">
        <v>0</v>
      </c>
      <c r="L5154">
        <v>3</v>
      </c>
      <c r="M5154">
        <v>0</v>
      </c>
      <c r="N5154">
        <v>2</v>
      </c>
      <c r="O5154">
        <v>1</v>
      </c>
      <c r="P5154">
        <v>0</v>
      </c>
      <c r="Q5154">
        <v>0</v>
      </c>
      <c r="S5154" t="str">
        <f t="shared" si="2376"/>
        <v>14:50:43.813</v>
      </c>
      <c r="T5154" t="str">
        <f t="shared" si="2376"/>
        <v>14:50:43.813</v>
      </c>
      <c r="U5154" t="str">
        <f t="shared" si="2364"/>
        <v>A9808D</v>
      </c>
      <c r="V5154">
        <v>0</v>
      </c>
      <c r="W5154">
        <v>0</v>
      </c>
      <c r="X5154">
        <v>1</v>
      </c>
      <c r="Z5154">
        <v>0</v>
      </c>
      <c r="AA5154">
        <v>9</v>
      </c>
      <c r="AB5154">
        <v>3</v>
      </c>
      <c r="AC5154">
        <v>0</v>
      </c>
      <c r="AD5154">
        <v>10</v>
      </c>
      <c r="AE5154">
        <v>0</v>
      </c>
      <c r="AF5154">
        <v>3</v>
      </c>
      <c r="AG5154">
        <v>2</v>
      </c>
      <c r="AH5154">
        <v>0</v>
      </c>
      <c r="AI5154" t="s">
        <v>1141</v>
      </c>
      <c r="AJ5154">
        <v>28.230979000000001</v>
      </c>
      <c r="AK5154" t="s">
        <v>1142</v>
      </c>
      <c r="AL5154">
        <v>-82.375917000000001</v>
      </c>
      <c r="AM5154">
        <v>100</v>
      </c>
      <c r="AN5154">
        <v>1900</v>
      </c>
      <c r="AO5154" t="s">
        <v>118</v>
      </c>
      <c r="AP5154">
        <v>-104</v>
      </c>
      <c r="AQ5154">
        <v>-56</v>
      </c>
      <c r="AR5154">
        <v>-1152</v>
      </c>
      <c r="AZ5154">
        <v>1200</v>
      </c>
      <c r="BA5154">
        <v>1</v>
      </c>
      <c r="BB5154" t="str">
        <f t="shared" si="2374"/>
        <v xml:space="preserve">N711JA  </v>
      </c>
      <c r="BC5154">
        <v>1</v>
      </c>
      <c r="BE5154">
        <v>0</v>
      </c>
      <c r="BF5154">
        <v>0</v>
      </c>
      <c r="BG5154">
        <v>0</v>
      </c>
      <c r="BH5154">
        <v>2025</v>
      </c>
      <c r="BI5154">
        <v>1</v>
      </c>
      <c r="BJ5154">
        <v>1</v>
      </c>
      <c r="BK5154">
        <v>0</v>
      </c>
      <c r="BL5154">
        <v>0</v>
      </c>
      <c r="BO5154">
        <v>0</v>
      </c>
      <c r="BP5154">
        <v>0</v>
      </c>
      <c r="BW5154" t="str">
        <f t="shared" si="2377"/>
        <v>14:50:43.816</v>
      </c>
      <c r="CJ5154">
        <v>0</v>
      </c>
      <c r="CK5154">
        <v>2</v>
      </c>
      <c r="CL5154">
        <v>0</v>
      </c>
      <c r="CM5154">
        <v>2</v>
      </c>
      <c r="CN5154">
        <v>0</v>
      </c>
      <c r="CO5154">
        <v>6</v>
      </c>
      <c r="CP5154" t="s">
        <v>119</v>
      </c>
      <c r="CQ5154">
        <v>8</v>
      </c>
      <c r="CR5154">
        <v>3</v>
      </c>
      <c r="CW5154">
        <v>9240000</v>
      </c>
      <c r="CY5154">
        <v>1</v>
      </c>
      <c r="CZ5154">
        <v>0</v>
      </c>
      <c r="DA5154">
        <v>1</v>
      </c>
      <c r="DB5154">
        <v>0</v>
      </c>
      <c r="DC5154">
        <v>0</v>
      </c>
      <c r="DD5154">
        <v>1</v>
      </c>
      <c r="DE5154">
        <v>0</v>
      </c>
      <c r="DF5154">
        <v>0</v>
      </c>
      <c r="DG5154">
        <v>0</v>
      </c>
      <c r="DH5154">
        <v>0</v>
      </c>
      <c r="DI5154">
        <v>0</v>
      </c>
    </row>
    <row r="5155" spans="1:113" x14ac:dyDescent="0.3">
      <c r="A5155" t="str">
        <f t="shared" si="2375"/>
        <v>05/12/2020 14:50:25.979</v>
      </c>
      <c r="C5155" t="str">
        <f t="shared" si="2373"/>
        <v>FFDFD3C0</v>
      </c>
      <c r="D5155" t="s">
        <v>131</v>
      </c>
      <c r="E5155">
        <v>18</v>
      </c>
      <c r="F5155">
        <v>2018</v>
      </c>
      <c r="G5155" t="s">
        <v>161</v>
      </c>
      <c r="J5155" t="s">
        <v>133</v>
      </c>
      <c r="K5155">
        <v>0</v>
      </c>
      <c r="L5155">
        <v>3</v>
      </c>
      <c r="M5155">
        <v>0</v>
      </c>
      <c r="N5155">
        <v>2</v>
      </c>
      <c r="O5155">
        <v>1</v>
      </c>
      <c r="P5155">
        <v>0</v>
      </c>
      <c r="Q5155">
        <v>0</v>
      </c>
      <c r="S5155" t="str">
        <f t="shared" si="2376"/>
        <v>14:50:43.813</v>
      </c>
      <c r="T5155" t="str">
        <f t="shared" si="2376"/>
        <v>14:50:43.813</v>
      </c>
      <c r="U5155" t="str">
        <f t="shared" si="2364"/>
        <v>A9808D</v>
      </c>
      <c r="V5155">
        <v>0</v>
      </c>
      <c r="W5155">
        <v>0</v>
      </c>
      <c r="X5155">
        <v>1</v>
      </c>
      <c r="Z5155">
        <v>0</v>
      </c>
      <c r="AA5155">
        <v>9</v>
      </c>
      <c r="AB5155">
        <v>3</v>
      </c>
      <c r="AC5155">
        <v>0</v>
      </c>
      <c r="AD5155">
        <v>10</v>
      </c>
      <c r="AE5155">
        <v>0</v>
      </c>
      <c r="AF5155">
        <v>3</v>
      </c>
      <c r="AG5155">
        <v>2</v>
      </c>
      <c r="AH5155">
        <v>0</v>
      </c>
      <c r="AI5155" t="s">
        <v>1141</v>
      </c>
      <c r="AJ5155">
        <v>28.230979000000001</v>
      </c>
      <c r="AK5155" t="s">
        <v>1142</v>
      </c>
      <c r="AL5155">
        <v>-82.375917000000001</v>
      </c>
      <c r="AM5155">
        <v>100</v>
      </c>
      <c r="AN5155">
        <v>1900</v>
      </c>
      <c r="AO5155" t="s">
        <v>118</v>
      </c>
      <c r="AP5155">
        <v>-104</v>
      </c>
      <c r="AQ5155">
        <v>-56</v>
      </c>
      <c r="AR5155">
        <v>-1152</v>
      </c>
      <c r="AZ5155">
        <v>1200</v>
      </c>
      <c r="BA5155">
        <v>1</v>
      </c>
      <c r="BB5155" t="str">
        <f t="shared" si="2374"/>
        <v xml:space="preserve">N711JA  </v>
      </c>
      <c r="BC5155">
        <v>1</v>
      </c>
      <c r="BE5155">
        <v>0</v>
      </c>
      <c r="BF5155">
        <v>0</v>
      </c>
      <c r="BG5155">
        <v>0</v>
      </c>
      <c r="BH5155">
        <v>2025</v>
      </c>
      <c r="BI5155">
        <v>1</v>
      </c>
      <c r="BJ5155">
        <v>1</v>
      </c>
      <c r="BK5155">
        <v>0</v>
      </c>
      <c r="BL5155">
        <v>0</v>
      </c>
      <c r="BO5155">
        <v>0</v>
      </c>
      <c r="BP5155">
        <v>0</v>
      </c>
      <c r="BW5155" t="str">
        <f>"14:50:43.815"</f>
        <v>14:50:43.815</v>
      </c>
      <c r="CJ5155">
        <v>0</v>
      </c>
      <c r="CK5155">
        <v>2</v>
      </c>
      <c r="CL5155">
        <v>0</v>
      </c>
      <c r="CM5155">
        <v>2</v>
      </c>
      <c r="CN5155">
        <v>0</v>
      </c>
      <c r="CO5155">
        <v>6</v>
      </c>
      <c r="CP5155" t="s">
        <v>119</v>
      </c>
      <c r="CQ5155">
        <v>343</v>
      </c>
      <c r="CR5155">
        <v>2</v>
      </c>
      <c r="CW5155">
        <v>13381048</v>
      </c>
      <c r="CY5155">
        <v>1</v>
      </c>
      <c r="CZ5155">
        <v>0</v>
      </c>
      <c r="DA5155">
        <v>1</v>
      </c>
      <c r="DB5155">
        <v>0</v>
      </c>
      <c r="DC5155">
        <v>0</v>
      </c>
      <c r="DD5155">
        <v>1</v>
      </c>
      <c r="DE5155">
        <v>0</v>
      </c>
      <c r="DF5155">
        <v>0</v>
      </c>
      <c r="DG5155">
        <v>0</v>
      </c>
      <c r="DH5155">
        <v>0</v>
      </c>
      <c r="DI5155">
        <v>0</v>
      </c>
    </row>
    <row r="5156" spans="1:113" x14ac:dyDescent="0.3">
      <c r="A5156" t="str">
        <f t="shared" ref="A5156:A5164" si="2378">"05/12/2020 14:50:26.969"</f>
        <v>05/12/2020 14:50:26.969</v>
      </c>
      <c r="C5156" t="str">
        <f t="shared" si="2373"/>
        <v>FFDFD3C0</v>
      </c>
      <c r="D5156" t="s">
        <v>131</v>
      </c>
      <c r="E5156">
        <v>18</v>
      </c>
      <c r="F5156">
        <v>2018</v>
      </c>
      <c r="G5156" t="s">
        <v>161</v>
      </c>
      <c r="J5156" t="s">
        <v>133</v>
      </c>
      <c r="K5156">
        <v>0</v>
      </c>
      <c r="L5156">
        <v>3</v>
      </c>
      <c r="M5156">
        <v>0</v>
      </c>
      <c r="N5156">
        <v>2</v>
      </c>
      <c r="O5156">
        <v>1</v>
      </c>
      <c r="P5156">
        <v>0</v>
      </c>
      <c r="Q5156">
        <v>0</v>
      </c>
      <c r="S5156" t="str">
        <f t="shared" ref="S5156:T5164" si="2379">"14:50:44.805"</f>
        <v>14:50:44.805</v>
      </c>
      <c r="T5156" t="str">
        <f t="shared" si="2379"/>
        <v>14:50:44.805</v>
      </c>
      <c r="U5156" t="str">
        <f t="shared" si="2364"/>
        <v>A9808D</v>
      </c>
      <c r="V5156">
        <v>0</v>
      </c>
      <c r="W5156">
        <v>0</v>
      </c>
      <c r="X5156">
        <v>1</v>
      </c>
      <c r="Z5156">
        <v>0</v>
      </c>
      <c r="AA5156">
        <v>9</v>
      </c>
      <c r="AB5156">
        <v>3</v>
      </c>
      <c r="AC5156">
        <v>0</v>
      </c>
      <c r="AD5156">
        <v>10</v>
      </c>
      <c r="AE5156">
        <v>0</v>
      </c>
      <c r="AF5156">
        <v>3</v>
      </c>
      <c r="AG5156">
        <v>2</v>
      </c>
      <c r="AH5156">
        <v>0</v>
      </c>
      <c r="AI5156" t="s">
        <v>1143</v>
      </c>
      <c r="AJ5156">
        <v>28.230699999999999</v>
      </c>
      <c r="AK5156" t="s">
        <v>1144</v>
      </c>
      <c r="AL5156">
        <v>-82.376431999999994</v>
      </c>
      <c r="AM5156">
        <v>100</v>
      </c>
      <c r="AN5156">
        <v>1900</v>
      </c>
      <c r="AO5156" t="s">
        <v>118</v>
      </c>
      <c r="AP5156">
        <v>-104</v>
      </c>
      <c r="AQ5156">
        <v>-56</v>
      </c>
      <c r="AR5156">
        <v>-1088</v>
      </c>
      <c r="AZ5156">
        <v>1200</v>
      </c>
      <c r="BA5156">
        <v>1</v>
      </c>
      <c r="BB5156" t="str">
        <f t="shared" si="2374"/>
        <v xml:space="preserve">N711JA  </v>
      </c>
      <c r="BC5156">
        <v>1</v>
      </c>
      <c r="BE5156">
        <v>0</v>
      </c>
      <c r="BF5156">
        <v>0</v>
      </c>
      <c r="BG5156">
        <v>0</v>
      </c>
      <c r="BH5156">
        <v>2000</v>
      </c>
      <c r="BI5156">
        <v>1</v>
      </c>
      <c r="BJ5156">
        <v>1</v>
      </c>
      <c r="BK5156">
        <v>0</v>
      </c>
      <c r="BL5156">
        <v>0</v>
      </c>
      <c r="BO5156">
        <v>0</v>
      </c>
      <c r="BP5156">
        <v>0</v>
      </c>
      <c r="BW5156" t="str">
        <f t="shared" ref="BW5156:BW5164" si="2380">"14:50:44.811"</f>
        <v>14:50:44.811</v>
      </c>
      <c r="CJ5156">
        <v>0</v>
      </c>
      <c r="CK5156">
        <v>2</v>
      </c>
      <c r="CL5156">
        <v>0</v>
      </c>
      <c r="CM5156">
        <v>2</v>
      </c>
      <c r="CN5156">
        <v>0</v>
      </c>
      <c r="CO5156">
        <v>6</v>
      </c>
      <c r="CP5156" t="s">
        <v>119</v>
      </c>
      <c r="CQ5156">
        <v>343</v>
      </c>
      <c r="CR5156">
        <v>1</v>
      </c>
      <c r="CW5156">
        <v>11117723</v>
      </c>
      <c r="CY5156">
        <v>1</v>
      </c>
      <c r="CZ5156">
        <v>0</v>
      </c>
      <c r="DA5156">
        <v>0</v>
      </c>
      <c r="DB5156">
        <v>0</v>
      </c>
      <c r="DC5156">
        <v>0</v>
      </c>
      <c r="DD5156">
        <v>1</v>
      </c>
      <c r="DE5156">
        <v>0</v>
      </c>
      <c r="DF5156">
        <v>0</v>
      </c>
      <c r="DG5156">
        <v>0</v>
      </c>
      <c r="DH5156">
        <v>0</v>
      </c>
      <c r="DI5156">
        <v>0</v>
      </c>
    </row>
    <row r="5157" spans="1:113" x14ac:dyDescent="0.3">
      <c r="A5157" t="str">
        <f t="shared" si="2378"/>
        <v>05/12/2020 14:50:26.969</v>
      </c>
      <c r="C5157" t="str">
        <f t="shared" si="2373"/>
        <v>FFDFD3C0</v>
      </c>
      <c r="D5157" t="s">
        <v>138</v>
      </c>
      <c r="E5157">
        <v>2</v>
      </c>
      <c r="H5157">
        <v>8</v>
      </c>
      <c r="I5157" t="s">
        <v>139</v>
      </c>
      <c r="J5157" t="s">
        <v>136</v>
      </c>
      <c r="K5157">
        <v>0</v>
      </c>
      <c r="L5157">
        <v>3</v>
      </c>
      <c r="M5157">
        <v>0</v>
      </c>
      <c r="N5157">
        <v>2</v>
      </c>
      <c r="O5157">
        <v>1</v>
      </c>
      <c r="P5157">
        <v>0</v>
      </c>
      <c r="Q5157">
        <v>0</v>
      </c>
      <c r="S5157" t="str">
        <f t="shared" si="2379"/>
        <v>14:50:44.805</v>
      </c>
      <c r="T5157" t="str">
        <f t="shared" si="2379"/>
        <v>14:50:44.805</v>
      </c>
      <c r="U5157" t="str">
        <f t="shared" si="2364"/>
        <v>A9808D</v>
      </c>
      <c r="V5157">
        <v>0</v>
      </c>
      <c r="W5157">
        <v>0</v>
      </c>
      <c r="X5157">
        <v>1</v>
      </c>
      <c r="Z5157">
        <v>0</v>
      </c>
      <c r="AA5157">
        <v>9</v>
      </c>
      <c r="AB5157">
        <v>3</v>
      </c>
      <c r="AC5157">
        <v>0</v>
      </c>
      <c r="AD5157">
        <v>10</v>
      </c>
      <c r="AE5157">
        <v>0</v>
      </c>
      <c r="AF5157">
        <v>3</v>
      </c>
      <c r="AG5157">
        <v>2</v>
      </c>
      <c r="AH5157">
        <v>0</v>
      </c>
      <c r="AI5157" t="s">
        <v>1143</v>
      </c>
      <c r="AJ5157">
        <v>28.230699999999999</v>
      </c>
      <c r="AK5157" t="s">
        <v>1144</v>
      </c>
      <c r="AL5157">
        <v>-82.376431999999994</v>
      </c>
      <c r="AM5157">
        <v>100</v>
      </c>
      <c r="AN5157">
        <v>1900</v>
      </c>
      <c r="AO5157" t="s">
        <v>118</v>
      </c>
      <c r="AP5157">
        <v>-104</v>
      </c>
      <c r="AQ5157">
        <v>-56</v>
      </c>
      <c r="AR5157">
        <v>-1088</v>
      </c>
      <c r="AZ5157">
        <v>1200</v>
      </c>
      <c r="BA5157">
        <v>1</v>
      </c>
      <c r="BB5157" t="str">
        <f t="shared" si="2374"/>
        <v xml:space="preserve">N711JA  </v>
      </c>
      <c r="BC5157">
        <v>1</v>
      </c>
      <c r="BE5157">
        <v>0</v>
      </c>
      <c r="BF5157">
        <v>0</v>
      </c>
      <c r="BG5157">
        <v>0</v>
      </c>
      <c r="BH5157">
        <v>2000</v>
      </c>
      <c r="BI5157">
        <v>1</v>
      </c>
      <c r="BJ5157">
        <v>1</v>
      </c>
      <c r="BK5157">
        <v>0</v>
      </c>
      <c r="BL5157">
        <v>0</v>
      </c>
      <c r="BO5157">
        <v>0</v>
      </c>
      <c r="BP5157">
        <v>0</v>
      </c>
      <c r="BW5157" t="str">
        <f t="shared" si="2380"/>
        <v>14:50:44.811</v>
      </c>
      <c r="CJ5157">
        <v>0</v>
      </c>
      <c r="CK5157">
        <v>2</v>
      </c>
      <c r="CL5157">
        <v>0</v>
      </c>
      <c r="CM5157">
        <v>2</v>
      </c>
      <c r="CN5157">
        <v>0</v>
      </c>
      <c r="CO5157">
        <v>6</v>
      </c>
      <c r="CP5157" t="s">
        <v>119</v>
      </c>
      <c r="CQ5157">
        <v>8</v>
      </c>
      <c r="CR5157">
        <v>3</v>
      </c>
      <c r="CW5157">
        <v>9241037</v>
      </c>
      <c r="CY5157">
        <v>1</v>
      </c>
      <c r="CZ5157">
        <v>0</v>
      </c>
      <c r="DA5157">
        <v>1</v>
      </c>
      <c r="DB5157">
        <v>0</v>
      </c>
      <c r="DC5157">
        <v>0</v>
      </c>
      <c r="DD5157">
        <v>1</v>
      </c>
      <c r="DE5157">
        <v>0</v>
      </c>
      <c r="DF5157">
        <v>0</v>
      </c>
      <c r="DG5157">
        <v>0</v>
      </c>
      <c r="DH5157">
        <v>0</v>
      </c>
      <c r="DI5157">
        <v>0</v>
      </c>
    </row>
    <row r="5158" spans="1:113" x14ac:dyDescent="0.3">
      <c r="A5158" t="str">
        <f t="shared" si="2378"/>
        <v>05/12/2020 14:50:26.969</v>
      </c>
      <c r="C5158" t="str">
        <f t="shared" si="2373"/>
        <v>FFDFD3C0</v>
      </c>
      <c r="D5158" t="s">
        <v>138</v>
      </c>
      <c r="E5158">
        <v>3</v>
      </c>
      <c r="H5158">
        <v>9</v>
      </c>
      <c r="I5158" t="s">
        <v>140</v>
      </c>
      <c r="J5158" t="s">
        <v>136</v>
      </c>
      <c r="K5158">
        <v>0</v>
      </c>
      <c r="L5158">
        <v>3</v>
      </c>
      <c r="M5158">
        <v>0</v>
      </c>
      <c r="N5158">
        <v>2</v>
      </c>
      <c r="O5158">
        <v>1</v>
      </c>
      <c r="P5158">
        <v>0</v>
      </c>
      <c r="Q5158">
        <v>0</v>
      </c>
      <c r="S5158" t="str">
        <f t="shared" si="2379"/>
        <v>14:50:44.805</v>
      </c>
      <c r="T5158" t="str">
        <f t="shared" si="2379"/>
        <v>14:50:44.805</v>
      </c>
      <c r="U5158" t="str">
        <f t="shared" si="2364"/>
        <v>A9808D</v>
      </c>
      <c r="V5158">
        <v>0</v>
      </c>
      <c r="W5158">
        <v>0</v>
      </c>
      <c r="X5158">
        <v>1</v>
      </c>
      <c r="Z5158">
        <v>0</v>
      </c>
      <c r="AA5158">
        <v>9</v>
      </c>
      <c r="AB5158">
        <v>3</v>
      </c>
      <c r="AC5158">
        <v>0</v>
      </c>
      <c r="AD5158">
        <v>10</v>
      </c>
      <c r="AE5158">
        <v>0</v>
      </c>
      <c r="AF5158">
        <v>3</v>
      </c>
      <c r="AG5158">
        <v>2</v>
      </c>
      <c r="AH5158">
        <v>0</v>
      </c>
      <c r="AI5158" t="s">
        <v>1143</v>
      </c>
      <c r="AJ5158">
        <v>28.230699999999999</v>
      </c>
      <c r="AK5158" t="s">
        <v>1144</v>
      </c>
      <c r="AL5158">
        <v>-82.376431999999994</v>
      </c>
      <c r="AM5158">
        <v>100</v>
      </c>
      <c r="AN5158">
        <v>1900</v>
      </c>
      <c r="AO5158" t="s">
        <v>118</v>
      </c>
      <c r="AP5158">
        <v>-104</v>
      </c>
      <c r="AQ5158">
        <v>-56</v>
      </c>
      <c r="AR5158">
        <v>-1088</v>
      </c>
      <c r="AZ5158">
        <v>1200</v>
      </c>
      <c r="BA5158">
        <v>1</v>
      </c>
      <c r="BB5158" t="str">
        <f t="shared" si="2374"/>
        <v xml:space="preserve">N711JA  </v>
      </c>
      <c r="BC5158">
        <v>1</v>
      </c>
      <c r="BE5158">
        <v>0</v>
      </c>
      <c r="BF5158">
        <v>0</v>
      </c>
      <c r="BG5158">
        <v>0</v>
      </c>
      <c r="BH5158">
        <v>2000</v>
      </c>
      <c r="BI5158">
        <v>1</v>
      </c>
      <c r="BJ5158">
        <v>1</v>
      </c>
      <c r="BK5158">
        <v>0</v>
      </c>
      <c r="BL5158">
        <v>0</v>
      </c>
      <c r="BO5158">
        <v>0</v>
      </c>
      <c r="BP5158">
        <v>0</v>
      </c>
      <c r="BW5158" t="str">
        <f t="shared" si="2380"/>
        <v>14:50:44.811</v>
      </c>
      <c r="CJ5158">
        <v>0</v>
      </c>
      <c r="CK5158">
        <v>2</v>
      </c>
      <c r="CL5158">
        <v>0</v>
      </c>
      <c r="CM5158">
        <v>2</v>
      </c>
      <c r="CN5158">
        <v>0</v>
      </c>
      <c r="CO5158">
        <v>6</v>
      </c>
      <c r="CP5158" t="s">
        <v>119</v>
      </c>
      <c r="CQ5158">
        <v>8</v>
      </c>
      <c r="CR5158">
        <v>3</v>
      </c>
      <c r="CW5158">
        <v>9241037</v>
      </c>
      <c r="CY5158">
        <v>1</v>
      </c>
      <c r="CZ5158">
        <v>0</v>
      </c>
      <c r="DA5158">
        <v>1</v>
      </c>
      <c r="DB5158">
        <v>0</v>
      </c>
      <c r="DC5158">
        <v>0</v>
      </c>
      <c r="DD5158">
        <v>1</v>
      </c>
      <c r="DE5158">
        <v>0</v>
      </c>
      <c r="DF5158">
        <v>0</v>
      </c>
      <c r="DG5158">
        <v>0</v>
      </c>
      <c r="DH5158">
        <v>0</v>
      </c>
      <c r="DI5158">
        <v>0</v>
      </c>
    </row>
    <row r="5159" spans="1:113" x14ac:dyDescent="0.3">
      <c r="A5159" t="str">
        <f t="shared" si="2378"/>
        <v>05/12/2020 14:50:26.969</v>
      </c>
      <c r="C5159" t="str">
        <f t="shared" si="2373"/>
        <v>FFDFD3C0</v>
      </c>
      <c r="D5159" t="s">
        <v>126</v>
      </c>
      <c r="E5159">
        <v>6</v>
      </c>
      <c r="F5159">
        <v>1006</v>
      </c>
      <c r="G5159" t="s">
        <v>114</v>
      </c>
      <c r="J5159" t="s">
        <v>128</v>
      </c>
      <c r="K5159">
        <v>0</v>
      </c>
      <c r="L5159">
        <v>3</v>
      </c>
      <c r="M5159">
        <v>0</v>
      </c>
      <c r="N5159">
        <v>2</v>
      </c>
      <c r="O5159">
        <v>1</v>
      </c>
      <c r="P5159">
        <v>0</v>
      </c>
      <c r="Q5159">
        <v>0</v>
      </c>
      <c r="S5159" t="str">
        <f t="shared" si="2379"/>
        <v>14:50:44.805</v>
      </c>
      <c r="T5159" t="str">
        <f t="shared" si="2379"/>
        <v>14:50:44.805</v>
      </c>
      <c r="U5159" t="str">
        <f t="shared" si="2364"/>
        <v>A9808D</v>
      </c>
      <c r="V5159">
        <v>0</v>
      </c>
      <c r="W5159">
        <v>0</v>
      </c>
      <c r="X5159">
        <v>1</v>
      </c>
      <c r="Z5159">
        <v>0</v>
      </c>
      <c r="AA5159">
        <v>9</v>
      </c>
      <c r="AB5159">
        <v>3</v>
      </c>
      <c r="AC5159">
        <v>0</v>
      </c>
      <c r="AD5159">
        <v>10</v>
      </c>
      <c r="AE5159">
        <v>0</v>
      </c>
      <c r="AF5159">
        <v>3</v>
      </c>
      <c r="AG5159">
        <v>2</v>
      </c>
      <c r="AH5159">
        <v>0</v>
      </c>
      <c r="AI5159" t="s">
        <v>1143</v>
      </c>
      <c r="AJ5159">
        <v>28.230699999999999</v>
      </c>
      <c r="AK5159" t="s">
        <v>1144</v>
      </c>
      <c r="AL5159">
        <v>-82.376431999999994</v>
      </c>
      <c r="AM5159">
        <v>100</v>
      </c>
      <c r="AN5159">
        <v>1900</v>
      </c>
      <c r="AO5159" t="s">
        <v>118</v>
      </c>
      <c r="AP5159">
        <v>-104</v>
      </c>
      <c r="AQ5159">
        <v>-56</v>
      </c>
      <c r="AR5159">
        <v>-1088</v>
      </c>
      <c r="AZ5159">
        <v>1200</v>
      </c>
      <c r="BA5159">
        <v>1</v>
      </c>
      <c r="BB5159" t="str">
        <f t="shared" si="2374"/>
        <v xml:space="preserve">N711JA  </v>
      </c>
      <c r="BC5159">
        <v>1</v>
      </c>
      <c r="BE5159">
        <v>0</v>
      </c>
      <c r="BF5159">
        <v>0</v>
      </c>
      <c r="BG5159">
        <v>0</v>
      </c>
      <c r="BH5159">
        <v>2000</v>
      </c>
      <c r="BI5159">
        <v>1</v>
      </c>
      <c r="BJ5159">
        <v>1</v>
      </c>
      <c r="BK5159">
        <v>0</v>
      </c>
      <c r="BL5159">
        <v>0</v>
      </c>
      <c r="BO5159">
        <v>0</v>
      </c>
      <c r="BP5159">
        <v>0</v>
      </c>
      <c r="BW5159" t="str">
        <f t="shared" si="2380"/>
        <v>14:50:44.811</v>
      </c>
      <c r="CJ5159">
        <v>0</v>
      </c>
      <c r="CK5159">
        <v>2</v>
      </c>
      <c r="CL5159">
        <v>0</v>
      </c>
      <c r="CM5159">
        <v>2</v>
      </c>
      <c r="CN5159">
        <v>0</v>
      </c>
      <c r="CO5159">
        <v>6</v>
      </c>
      <c r="CP5159" t="s">
        <v>119</v>
      </c>
      <c r="CQ5159">
        <v>8</v>
      </c>
      <c r="CR5159">
        <v>3</v>
      </c>
      <c r="CW5159">
        <v>9241037</v>
      </c>
      <c r="CY5159">
        <v>1</v>
      </c>
      <c r="CZ5159">
        <v>0</v>
      </c>
      <c r="DA5159">
        <v>1</v>
      </c>
      <c r="DB5159">
        <v>0</v>
      </c>
      <c r="DC5159">
        <v>0</v>
      </c>
      <c r="DD5159">
        <v>1</v>
      </c>
      <c r="DE5159">
        <v>0</v>
      </c>
      <c r="DF5159">
        <v>0</v>
      </c>
      <c r="DG5159">
        <v>0</v>
      </c>
      <c r="DH5159">
        <v>0</v>
      </c>
      <c r="DI5159">
        <v>0</v>
      </c>
    </row>
    <row r="5160" spans="1:113" x14ac:dyDescent="0.3">
      <c r="A5160" t="str">
        <f t="shared" si="2378"/>
        <v>05/12/2020 14:50:26.969</v>
      </c>
      <c r="C5160" t="str">
        <f t="shared" si="2373"/>
        <v>FFDFD3C0</v>
      </c>
      <c r="D5160" t="s">
        <v>134</v>
      </c>
      <c r="E5160">
        <v>12</v>
      </c>
      <c r="H5160">
        <v>64</v>
      </c>
      <c r="I5160" t="s">
        <v>135</v>
      </c>
      <c r="J5160" t="s">
        <v>136</v>
      </c>
      <c r="K5160">
        <v>0</v>
      </c>
      <c r="L5160">
        <v>3</v>
      </c>
      <c r="M5160">
        <v>0</v>
      </c>
      <c r="N5160">
        <v>2</v>
      </c>
      <c r="O5160">
        <v>1</v>
      </c>
      <c r="P5160">
        <v>0</v>
      </c>
      <c r="Q5160">
        <v>0</v>
      </c>
      <c r="S5160" t="str">
        <f t="shared" si="2379"/>
        <v>14:50:44.805</v>
      </c>
      <c r="T5160" t="str">
        <f t="shared" si="2379"/>
        <v>14:50:44.805</v>
      </c>
      <c r="U5160" t="str">
        <f t="shared" si="2364"/>
        <v>A9808D</v>
      </c>
      <c r="V5160">
        <v>0</v>
      </c>
      <c r="W5160">
        <v>0</v>
      </c>
      <c r="X5160">
        <v>1</v>
      </c>
      <c r="Z5160">
        <v>0</v>
      </c>
      <c r="AA5160">
        <v>9</v>
      </c>
      <c r="AB5160">
        <v>3</v>
      </c>
      <c r="AC5160">
        <v>0</v>
      </c>
      <c r="AD5160">
        <v>10</v>
      </c>
      <c r="AE5160">
        <v>0</v>
      </c>
      <c r="AF5160">
        <v>3</v>
      </c>
      <c r="AG5160">
        <v>2</v>
      </c>
      <c r="AH5160">
        <v>0</v>
      </c>
      <c r="AI5160" t="s">
        <v>1143</v>
      </c>
      <c r="AJ5160">
        <v>28.230699999999999</v>
      </c>
      <c r="AK5160" t="s">
        <v>1144</v>
      </c>
      <c r="AL5160">
        <v>-82.376431999999994</v>
      </c>
      <c r="AM5160">
        <v>100</v>
      </c>
      <c r="AN5160">
        <v>1900</v>
      </c>
      <c r="AO5160" t="s">
        <v>118</v>
      </c>
      <c r="AP5160">
        <v>-104</v>
      </c>
      <c r="AQ5160">
        <v>-56</v>
      </c>
      <c r="AR5160">
        <v>-1088</v>
      </c>
      <c r="AZ5160">
        <v>1200</v>
      </c>
      <c r="BA5160">
        <v>1</v>
      </c>
      <c r="BB5160" t="str">
        <f t="shared" si="2374"/>
        <v xml:space="preserve">N711JA  </v>
      </c>
      <c r="BC5160">
        <v>1</v>
      </c>
      <c r="BE5160">
        <v>0</v>
      </c>
      <c r="BF5160">
        <v>0</v>
      </c>
      <c r="BG5160">
        <v>0</v>
      </c>
      <c r="BH5160">
        <v>2000</v>
      </c>
      <c r="BI5160">
        <v>1</v>
      </c>
      <c r="BJ5160">
        <v>1</v>
      </c>
      <c r="BK5160">
        <v>0</v>
      </c>
      <c r="BL5160">
        <v>0</v>
      </c>
      <c r="BO5160">
        <v>0</v>
      </c>
      <c r="BP5160">
        <v>0</v>
      </c>
      <c r="BW5160" t="str">
        <f t="shared" si="2380"/>
        <v>14:50:44.811</v>
      </c>
      <c r="CJ5160">
        <v>0</v>
      </c>
      <c r="CK5160">
        <v>2</v>
      </c>
      <c r="CL5160">
        <v>0</v>
      </c>
      <c r="CM5160">
        <v>2</v>
      </c>
      <c r="CN5160">
        <v>0</v>
      </c>
      <c r="CO5160">
        <v>6</v>
      </c>
      <c r="CP5160" t="s">
        <v>119</v>
      </c>
      <c r="CQ5160">
        <v>8</v>
      </c>
      <c r="CR5160">
        <v>3</v>
      </c>
      <c r="CW5160">
        <v>9241037</v>
      </c>
      <c r="CY5160">
        <v>1</v>
      </c>
      <c r="CZ5160">
        <v>0</v>
      </c>
      <c r="DA5160">
        <v>1</v>
      </c>
      <c r="DB5160">
        <v>0</v>
      </c>
      <c r="DC5160">
        <v>0</v>
      </c>
      <c r="DD5160">
        <v>1</v>
      </c>
      <c r="DE5160">
        <v>0</v>
      </c>
      <c r="DF5160">
        <v>0</v>
      </c>
      <c r="DG5160">
        <v>0</v>
      </c>
      <c r="DH5160">
        <v>0</v>
      </c>
      <c r="DI5160">
        <v>0</v>
      </c>
    </row>
    <row r="5161" spans="1:113" x14ac:dyDescent="0.3">
      <c r="A5161" t="str">
        <f t="shared" si="2378"/>
        <v>05/12/2020 14:50:26.969</v>
      </c>
      <c r="C5161" t="str">
        <f t="shared" si="2373"/>
        <v>FFDFD3C0</v>
      </c>
      <c r="D5161" t="s">
        <v>131</v>
      </c>
      <c r="E5161">
        <v>10</v>
      </c>
      <c r="F5161">
        <v>2010</v>
      </c>
      <c r="G5161" t="s">
        <v>132</v>
      </c>
      <c r="J5161" t="s">
        <v>133</v>
      </c>
      <c r="K5161">
        <v>0</v>
      </c>
      <c r="L5161">
        <v>3</v>
      </c>
      <c r="M5161">
        <v>0</v>
      </c>
      <c r="N5161">
        <v>2</v>
      </c>
      <c r="O5161">
        <v>1</v>
      </c>
      <c r="P5161">
        <v>0</v>
      </c>
      <c r="Q5161">
        <v>0</v>
      </c>
      <c r="S5161" t="str">
        <f t="shared" si="2379"/>
        <v>14:50:44.805</v>
      </c>
      <c r="T5161" t="str">
        <f t="shared" si="2379"/>
        <v>14:50:44.805</v>
      </c>
      <c r="U5161" t="str">
        <f t="shared" si="2364"/>
        <v>A9808D</v>
      </c>
      <c r="V5161">
        <v>0</v>
      </c>
      <c r="W5161">
        <v>0</v>
      </c>
      <c r="X5161">
        <v>1</v>
      </c>
      <c r="Z5161">
        <v>0</v>
      </c>
      <c r="AA5161">
        <v>9</v>
      </c>
      <c r="AB5161">
        <v>3</v>
      </c>
      <c r="AC5161">
        <v>0</v>
      </c>
      <c r="AD5161">
        <v>10</v>
      </c>
      <c r="AE5161">
        <v>0</v>
      </c>
      <c r="AF5161">
        <v>3</v>
      </c>
      <c r="AG5161">
        <v>2</v>
      </c>
      <c r="AH5161">
        <v>0</v>
      </c>
      <c r="AI5161" t="s">
        <v>1143</v>
      </c>
      <c r="AJ5161">
        <v>28.230699999999999</v>
      </c>
      <c r="AK5161" t="s">
        <v>1144</v>
      </c>
      <c r="AL5161">
        <v>-82.376431999999994</v>
      </c>
      <c r="AM5161">
        <v>100</v>
      </c>
      <c r="AN5161">
        <v>1900</v>
      </c>
      <c r="AO5161" t="s">
        <v>118</v>
      </c>
      <c r="AP5161">
        <v>-104</v>
      </c>
      <c r="AQ5161">
        <v>-56</v>
      </c>
      <c r="AR5161">
        <v>-1088</v>
      </c>
      <c r="AZ5161">
        <v>1200</v>
      </c>
      <c r="BA5161">
        <v>1</v>
      </c>
      <c r="BB5161" t="str">
        <f t="shared" si="2374"/>
        <v xml:space="preserve">N711JA  </v>
      </c>
      <c r="BC5161">
        <v>1</v>
      </c>
      <c r="BE5161">
        <v>0</v>
      </c>
      <c r="BF5161">
        <v>0</v>
      </c>
      <c r="BG5161">
        <v>0</v>
      </c>
      <c r="BH5161">
        <v>2000</v>
      </c>
      <c r="BI5161">
        <v>1</v>
      </c>
      <c r="BJ5161">
        <v>1</v>
      </c>
      <c r="BK5161">
        <v>0</v>
      </c>
      <c r="BL5161">
        <v>0</v>
      </c>
      <c r="BO5161">
        <v>0</v>
      </c>
      <c r="BP5161">
        <v>0</v>
      </c>
      <c r="BW5161" t="str">
        <f t="shared" si="2380"/>
        <v>14:50:44.811</v>
      </c>
      <c r="CJ5161">
        <v>0</v>
      </c>
      <c r="CK5161">
        <v>2</v>
      </c>
      <c r="CL5161">
        <v>0</v>
      </c>
      <c r="CM5161">
        <v>2</v>
      </c>
      <c r="CN5161">
        <v>0</v>
      </c>
      <c r="CO5161">
        <v>6</v>
      </c>
      <c r="CP5161" t="s">
        <v>119</v>
      </c>
      <c r="CQ5161">
        <v>8</v>
      </c>
      <c r="CR5161">
        <v>3</v>
      </c>
      <c r="CW5161">
        <v>9241037</v>
      </c>
      <c r="CY5161">
        <v>1</v>
      </c>
      <c r="CZ5161">
        <v>0</v>
      </c>
      <c r="DA5161">
        <v>1</v>
      </c>
      <c r="DB5161">
        <v>0</v>
      </c>
      <c r="DC5161">
        <v>0</v>
      </c>
      <c r="DD5161">
        <v>1</v>
      </c>
      <c r="DE5161">
        <v>0</v>
      </c>
      <c r="DF5161">
        <v>0</v>
      </c>
      <c r="DG5161">
        <v>0</v>
      </c>
      <c r="DH5161">
        <v>0</v>
      </c>
      <c r="DI5161">
        <v>0</v>
      </c>
    </row>
    <row r="5162" spans="1:113" x14ac:dyDescent="0.3">
      <c r="A5162" t="str">
        <f t="shared" si="2378"/>
        <v>05/12/2020 14:50:26.969</v>
      </c>
      <c r="C5162" t="str">
        <f t="shared" si="2373"/>
        <v>FFDFD3C0</v>
      </c>
      <c r="D5162" t="s">
        <v>126</v>
      </c>
      <c r="E5162">
        <v>7</v>
      </c>
      <c r="F5162">
        <v>1007</v>
      </c>
      <c r="G5162" t="s">
        <v>127</v>
      </c>
      <c r="J5162" t="s">
        <v>128</v>
      </c>
      <c r="K5162">
        <v>0</v>
      </c>
      <c r="L5162">
        <v>3</v>
      </c>
      <c r="M5162">
        <v>0</v>
      </c>
      <c r="N5162">
        <v>2</v>
      </c>
      <c r="O5162">
        <v>1</v>
      </c>
      <c r="P5162">
        <v>0</v>
      </c>
      <c r="Q5162">
        <v>0</v>
      </c>
      <c r="S5162" t="str">
        <f t="shared" si="2379"/>
        <v>14:50:44.805</v>
      </c>
      <c r="T5162" t="str">
        <f t="shared" si="2379"/>
        <v>14:50:44.805</v>
      </c>
      <c r="U5162" t="str">
        <f t="shared" si="2364"/>
        <v>A9808D</v>
      </c>
      <c r="V5162">
        <v>0</v>
      </c>
      <c r="W5162">
        <v>0</v>
      </c>
      <c r="X5162">
        <v>1</v>
      </c>
      <c r="Z5162">
        <v>0</v>
      </c>
      <c r="AA5162">
        <v>9</v>
      </c>
      <c r="AB5162">
        <v>3</v>
      </c>
      <c r="AC5162">
        <v>0</v>
      </c>
      <c r="AD5162">
        <v>10</v>
      </c>
      <c r="AE5162">
        <v>0</v>
      </c>
      <c r="AF5162">
        <v>3</v>
      </c>
      <c r="AG5162">
        <v>2</v>
      </c>
      <c r="AH5162">
        <v>0</v>
      </c>
      <c r="AI5162" t="s">
        <v>1143</v>
      </c>
      <c r="AJ5162">
        <v>28.230699999999999</v>
      </c>
      <c r="AK5162" t="s">
        <v>1144</v>
      </c>
      <c r="AL5162">
        <v>-82.376431999999994</v>
      </c>
      <c r="AM5162">
        <v>100</v>
      </c>
      <c r="AN5162">
        <v>1900</v>
      </c>
      <c r="AO5162" t="s">
        <v>118</v>
      </c>
      <c r="AP5162">
        <v>-104</v>
      </c>
      <c r="AQ5162">
        <v>-56</v>
      </c>
      <c r="AR5162">
        <v>-1088</v>
      </c>
      <c r="AZ5162">
        <v>1200</v>
      </c>
      <c r="BA5162">
        <v>1</v>
      </c>
      <c r="BB5162" t="str">
        <f t="shared" si="2374"/>
        <v xml:space="preserve">N711JA  </v>
      </c>
      <c r="BC5162">
        <v>1</v>
      </c>
      <c r="BE5162">
        <v>0</v>
      </c>
      <c r="BF5162">
        <v>0</v>
      </c>
      <c r="BG5162">
        <v>0</v>
      </c>
      <c r="BH5162">
        <v>2000</v>
      </c>
      <c r="BI5162">
        <v>1</v>
      </c>
      <c r="BJ5162">
        <v>1</v>
      </c>
      <c r="BK5162">
        <v>0</v>
      </c>
      <c r="BL5162">
        <v>0</v>
      </c>
      <c r="BO5162">
        <v>0</v>
      </c>
      <c r="BP5162">
        <v>0</v>
      </c>
      <c r="BW5162" t="str">
        <f t="shared" si="2380"/>
        <v>14:50:44.811</v>
      </c>
      <c r="CJ5162">
        <v>0</v>
      </c>
      <c r="CK5162">
        <v>2</v>
      </c>
      <c r="CL5162">
        <v>0</v>
      </c>
      <c r="CM5162">
        <v>2</v>
      </c>
      <c r="CN5162">
        <v>0</v>
      </c>
      <c r="CO5162">
        <v>6</v>
      </c>
      <c r="CP5162" t="s">
        <v>119</v>
      </c>
      <c r="CQ5162">
        <v>8</v>
      </c>
      <c r="CR5162">
        <v>3</v>
      </c>
      <c r="CW5162">
        <v>9241037</v>
      </c>
      <c r="CY5162">
        <v>1</v>
      </c>
      <c r="CZ5162">
        <v>0</v>
      </c>
      <c r="DA5162">
        <v>1</v>
      </c>
      <c r="DB5162">
        <v>0</v>
      </c>
      <c r="DC5162">
        <v>0</v>
      </c>
      <c r="DD5162">
        <v>1</v>
      </c>
      <c r="DE5162">
        <v>0</v>
      </c>
      <c r="DF5162">
        <v>0</v>
      </c>
      <c r="DG5162">
        <v>0</v>
      </c>
      <c r="DH5162">
        <v>0</v>
      </c>
      <c r="DI5162">
        <v>0</v>
      </c>
    </row>
    <row r="5163" spans="1:113" x14ac:dyDescent="0.3">
      <c r="A5163" t="str">
        <f t="shared" si="2378"/>
        <v>05/12/2020 14:50:26.969</v>
      </c>
      <c r="C5163" t="str">
        <f t="shared" si="2373"/>
        <v>FFDFD3C0</v>
      </c>
      <c r="D5163" t="s">
        <v>131</v>
      </c>
      <c r="E5163">
        <v>12</v>
      </c>
      <c r="F5163">
        <v>2012</v>
      </c>
      <c r="G5163" t="s">
        <v>137</v>
      </c>
      <c r="J5163" t="s">
        <v>133</v>
      </c>
      <c r="K5163">
        <v>0</v>
      </c>
      <c r="L5163">
        <v>3</v>
      </c>
      <c r="M5163">
        <v>0</v>
      </c>
      <c r="N5163">
        <v>2</v>
      </c>
      <c r="O5163">
        <v>1</v>
      </c>
      <c r="P5163">
        <v>0</v>
      </c>
      <c r="Q5163">
        <v>0</v>
      </c>
      <c r="S5163" t="str">
        <f t="shared" si="2379"/>
        <v>14:50:44.805</v>
      </c>
      <c r="T5163" t="str">
        <f t="shared" si="2379"/>
        <v>14:50:44.805</v>
      </c>
      <c r="U5163" t="str">
        <f t="shared" si="2364"/>
        <v>A9808D</v>
      </c>
      <c r="V5163">
        <v>0</v>
      </c>
      <c r="W5163">
        <v>0</v>
      </c>
      <c r="X5163">
        <v>1</v>
      </c>
      <c r="Z5163">
        <v>0</v>
      </c>
      <c r="AA5163">
        <v>9</v>
      </c>
      <c r="AB5163">
        <v>3</v>
      </c>
      <c r="AC5163">
        <v>0</v>
      </c>
      <c r="AD5163">
        <v>10</v>
      </c>
      <c r="AE5163">
        <v>0</v>
      </c>
      <c r="AF5163">
        <v>3</v>
      </c>
      <c r="AG5163">
        <v>2</v>
      </c>
      <c r="AH5163">
        <v>0</v>
      </c>
      <c r="AI5163" t="s">
        <v>1143</v>
      </c>
      <c r="AJ5163">
        <v>28.230699999999999</v>
      </c>
      <c r="AK5163" t="s">
        <v>1144</v>
      </c>
      <c r="AL5163">
        <v>-82.376431999999994</v>
      </c>
      <c r="AM5163">
        <v>100</v>
      </c>
      <c r="AN5163">
        <v>1900</v>
      </c>
      <c r="AO5163" t="s">
        <v>118</v>
      </c>
      <c r="AP5163">
        <v>-104</v>
      </c>
      <c r="AQ5163">
        <v>-56</v>
      </c>
      <c r="AR5163">
        <v>-1088</v>
      </c>
      <c r="AZ5163">
        <v>1200</v>
      </c>
      <c r="BA5163">
        <v>1</v>
      </c>
      <c r="BB5163" t="str">
        <f t="shared" si="2374"/>
        <v xml:space="preserve">N711JA  </v>
      </c>
      <c r="BC5163">
        <v>1</v>
      </c>
      <c r="BE5163">
        <v>0</v>
      </c>
      <c r="BF5163">
        <v>0</v>
      </c>
      <c r="BG5163">
        <v>0</v>
      </c>
      <c r="BH5163">
        <v>2000</v>
      </c>
      <c r="BI5163">
        <v>1</v>
      </c>
      <c r="BJ5163">
        <v>1</v>
      </c>
      <c r="BK5163">
        <v>0</v>
      </c>
      <c r="BL5163">
        <v>0</v>
      </c>
      <c r="BO5163">
        <v>0</v>
      </c>
      <c r="BP5163">
        <v>0</v>
      </c>
      <c r="BW5163" t="str">
        <f t="shared" si="2380"/>
        <v>14:50:44.811</v>
      </c>
      <c r="CJ5163">
        <v>0</v>
      </c>
      <c r="CK5163">
        <v>2</v>
      </c>
      <c r="CL5163">
        <v>0</v>
      </c>
      <c r="CM5163">
        <v>2</v>
      </c>
      <c r="CN5163">
        <v>0</v>
      </c>
      <c r="CO5163">
        <v>6</v>
      </c>
      <c r="CP5163" t="s">
        <v>119</v>
      </c>
      <c r="CQ5163">
        <v>8</v>
      </c>
      <c r="CR5163">
        <v>3</v>
      </c>
      <c r="CW5163">
        <v>9241037</v>
      </c>
      <c r="CY5163">
        <v>1</v>
      </c>
      <c r="CZ5163">
        <v>0</v>
      </c>
      <c r="DA5163">
        <v>1</v>
      </c>
      <c r="DB5163">
        <v>0</v>
      </c>
      <c r="DC5163">
        <v>0</v>
      </c>
      <c r="DD5163">
        <v>1</v>
      </c>
      <c r="DE5163">
        <v>0</v>
      </c>
      <c r="DF5163">
        <v>0</v>
      </c>
      <c r="DG5163">
        <v>0</v>
      </c>
      <c r="DH5163">
        <v>0</v>
      </c>
      <c r="DI5163">
        <v>0</v>
      </c>
    </row>
    <row r="5164" spans="1:113" x14ac:dyDescent="0.3">
      <c r="A5164" t="str">
        <f t="shared" si="2378"/>
        <v>05/12/2020 14:50:26.969</v>
      </c>
      <c r="C5164" t="str">
        <f t="shared" si="2373"/>
        <v>FFDFD3C0</v>
      </c>
      <c r="D5164" t="s">
        <v>113</v>
      </c>
      <c r="E5164">
        <v>3</v>
      </c>
      <c r="H5164">
        <v>164</v>
      </c>
      <c r="I5164" t="s">
        <v>114</v>
      </c>
      <c r="J5164" t="s">
        <v>115</v>
      </c>
      <c r="K5164">
        <v>0</v>
      </c>
      <c r="L5164">
        <v>3</v>
      </c>
      <c r="M5164">
        <v>0</v>
      </c>
      <c r="N5164">
        <v>2</v>
      </c>
      <c r="O5164">
        <v>1</v>
      </c>
      <c r="P5164">
        <v>0</v>
      </c>
      <c r="Q5164">
        <v>0</v>
      </c>
      <c r="S5164" t="str">
        <f t="shared" si="2379"/>
        <v>14:50:44.805</v>
      </c>
      <c r="T5164" t="str">
        <f t="shared" si="2379"/>
        <v>14:50:44.805</v>
      </c>
      <c r="U5164" t="str">
        <f t="shared" si="2364"/>
        <v>A9808D</v>
      </c>
      <c r="V5164">
        <v>0</v>
      </c>
      <c r="W5164">
        <v>0</v>
      </c>
      <c r="X5164">
        <v>1</v>
      </c>
      <c r="Z5164">
        <v>0</v>
      </c>
      <c r="AA5164">
        <v>9</v>
      </c>
      <c r="AB5164">
        <v>3</v>
      </c>
      <c r="AC5164">
        <v>0</v>
      </c>
      <c r="AD5164">
        <v>10</v>
      </c>
      <c r="AE5164">
        <v>0</v>
      </c>
      <c r="AF5164">
        <v>3</v>
      </c>
      <c r="AG5164">
        <v>2</v>
      </c>
      <c r="AH5164">
        <v>0</v>
      </c>
      <c r="AI5164" t="s">
        <v>1143</v>
      </c>
      <c r="AJ5164">
        <v>28.230699999999999</v>
      </c>
      <c r="AK5164" t="s">
        <v>1144</v>
      </c>
      <c r="AL5164">
        <v>-82.376431999999994</v>
      </c>
      <c r="AM5164">
        <v>100</v>
      </c>
      <c r="AN5164">
        <v>1900</v>
      </c>
      <c r="AO5164" t="s">
        <v>118</v>
      </c>
      <c r="AP5164">
        <v>-104</v>
      </c>
      <c r="AQ5164">
        <v>-56</v>
      </c>
      <c r="AR5164">
        <v>-1088</v>
      </c>
      <c r="AZ5164">
        <v>1200</v>
      </c>
      <c r="BA5164">
        <v>1</v>
      </c>
      <c r="BB5164" t="str">
        <f t="shared" si="2374"/>
        <v xml:space="preserve">N711JA  </v>
      </c>
      <c r="BC5164">
        <v>1</v>
      </c>
      <c r="BE5164">
        <v>0</v>
      </c>
      <c r="BF5164">
        <v>0</v>
      </c>
      <c r="BG5164">
        <v>0</v>
      </c>
      <c r="BH5164">
        <v>2000</v>
      </c>
      <c r="BI5164">
        <v>1</v>
      </c>
      <c r="BJ5164">
        <v>1</v>
      </c>
      <c r="BK5164">
        <v>0</v>
      </c>
      <c r="BL5164">
        <v>0</v>
      </c>
      <c r="BO5164">
        <v>0</v>
      </c>
      <c r="BP5164">
        <v>0</v>
      </c>
      <c r="BW5164" t="str">
        <f t="shared" si="2380"/>
        <v>14:50:44.811</v>
      </c>
      <c r="CJ5164">
        <v>0</v>
      </c>
      <c r="CK5164">
        <v>2</v>
      </c>
      <c r="CL5164">
        <v>0</v>
      </c>
      <c r="CM5164">
        <v>2</v>
      </c>
      <c r="CN5164">
        <v>0</v>
      </c>
      <c r="CO5164">
        <v>6</v>
      </c>
      <c r="CP5164" t="s">
        <v>119</v>
      </c>
      <c r="CQ5164">
        <v>8</v>
      </c>
      <c r="CR5164">
        <v>3</v>
      </c>
      <c r="CW5164">
        <v>9241037</v>
      </c>
      <c r="CY5164">
        <v>1</v>
      </c>
      <c r="CZ5164">
        <v>0</v>
      </c>
      <c r="DA5164">
        <v>1</v>
      </c>
      <c r="DB5164">
        <v>0</v>
      </c>
      <c r="DC5164">
        <v>0</v>
      </c>
      <c r="DD5164">
        <v>1</v>
      </c>
      <c r="DE5164">
        <v>0</v>
      </c>
      <c r="DF5164">
        <v>0</v>
      </c>
      <c r="DG5164">
        <v>0</v>
      </c>
      <c r="DH5164">
        <v>0</v>
      </c>
      <c r="DI5164">
        <v>0</v>
      </c>
    </row>
    <row r="5165" spans="1:113" x14ac:dyDescent="0.3">
      <c r="A5165" t="str">
        <f t="shared" ref="A5165:A5173" si="2381">"05/12/2020 14:50:27.853"</f>
        <v>05/12/2020 14:50:27.853</v>
      </c>
      <c r="C5165" t="str">
        <f t="shared" si="2373"/>
        <v>FFDFD3C0</v>
      </c>
      <c r="D5165" t="s">
        <v>134</v>
      </c>
      <c r="E5165">
        <v>12</v>
      </c>
      <c r="H5165">
        <v>64</v>
      </c>
      <c r="I5165" t="s">
        <v>135</v>
      </c>
      <c r="J5165" t="s">
        <v>136</v>
      </c>
      <c r="K5165">
        <v>0</v>
      </c>
      <c r="L5165">
        <v>3</v>
      </c>
      <c r="M5165">
        <v>0</v>
      </c>
      <c r="N5165">
        <v>2</v>
      </c>
      <c r="O5165">
        <v>1</v>
      </c>
      <c r="P5165">
        <v>0</v>
      </c>
      <c r="Q5165">
        <v>0</v>
      </c>
      <c r="S5165" t="str">
        <f t="shared" ref="S5165:S5173" si="2382">"14:50:45.680"</f>
        <v>14:50:45.680</v>
      </c>
      <c r="T5165" t="str">
        <f t="shared" ref="T5165:T5173" si="2383">"14:50:45.380"</f>
        <v>14:50:45.380</v>
      </c>
      <c r="U5165" t="str">
        <f t="shared" si="2364"/>
        <v>A9808D</v>
      </c>
      <c r="V5165">
        <v>0</v>
      </c>
      <c r="W5165">
        <v>0</v>
      </c>
      <c r="X5165">
        <v>1</v>
      </c>
      <c r="Z5165">
        <v>0</v>
      </c>
      <c r="AA5165">
        <v>9</v>
      </c>
      <c r="AB5165">
        <v>3</v>
      </c>
      <c r="AC5165">
        <v>0</v>
      </c>
      <c r="AD5165">
        <v>10</v>
      </c>
      <c r="AE5165">
        <v>0</v>
      </c>
      <c r="AF5165">
        <v>3</v>
      </c>
      <c r="AG5165">
        <v>2</v>
      </c>
      <c r="AH5165">
        <v>0</v>
      </c>
      <c r="AI5165" t="s">
        <v>1145</v>
      </c>
      <c r="AJ5165">
        <v>28.230485999999999</v>
      </c>
      <c r="AK5165" t="s">
        <v>1146</v>
      </c>
      <c r="AL5165">
        <v>-82.376947000000001</v>
      </c>
      <c r="AM5165">
        <v>100</v>
      </c>
      <c r="AN5165">
        <v>1900</v>
      </c>
      <c r="AO5165" t="s">
        <v>118</v>
      </c>
      <c r="AP5165">
        <v>-104</v>
      </c>
      <c r="AQ5165">
        <v>-56</v>
      </c>
      <c r="AR5165">
        <v>-1088</v>
      </c>
      <c r="AZ5165">
        <v>1200</v>
      </c>
      <c r="BA5165">
        <v>1</v>
      </c>
      <c r="BB5165" t="str">
        <f t="shared" si="2374"/>
        <v xml:space="preserve">N711JA  </v>
      </c>
      <c r="BC5165">
        <v>1</v>
      </c>
      <c r="BE5165">
        <v>0</v>
      </c>
      <c r="BF5165">
        <v>0</v>
      </c>
      <c r="BG5165">
        <v>0</v>
      </c>
      <c r="BH5165">
        <v>2000</v>
      </c>
      <c r="BI5165">
        <v>1</v>
      </c>
      <c r="BJ5165">
        <v>1</v>
      </c>
      <c r="BK5165">
        <v>0</v>
      </c>
      <c r="BL5165">
        <v>0</v>
      </c>
      <c r="BO5165">
        <v>0</v>
      </c>
      <c r="BP5165">
        <v>0</v>
      </c>
      <c r="BW5165" t="str">
        <f t="shared" ref="BW5165:BW5173" si="2384">"14:50:45.683"</f>
        <v>14:50:45.683</v>
      </c>
      <c r="CJ5165">
        <v>0</v>
      </c>
      <c r="CK5165">
        <v>2</v>
      </c>
      <c r="CL5165">
        <v>0</v>
      </c>
      <c r="CM5165">
        <v>2</v>
      </c>
      <c r="CN5165">
        <v>0</v>
      </c>
      <c r="CO5165">
        <v>6</v>
      </c>
      <c r="CP5165" t="s">
        <v>119</v>
      </c>
      <c r="CQ5165">
        <v>343</v>
      </c>
      <c r="CR5165">
        <v>1</v>
      </c>
      <c r="CW5165">
        <v>11118667</v>
      </c>
      <c r="CY5165">
        <v>1</v>
      </c>
      <c r="CZ5165">
        <v>0</v>
      </c>
      <c r="DA5165">
        <v>0</v>
      </c>
      <c r="DB5165">
        <v>0</v>
      </c>
      <c r="DC5165">
        <v>0</v>
      </c>
      <c r="DD5165">
        <v>1</v>
      </c>
      <c r="DE5165">
        <v>0</v>
      </c>
      <c r="DF5165">
        <v>0</v>
      </c>
      <c r="DG5165">
        <v>0</v>
      </c>
      <c r="DH5165">
        <v>0</v>
      </c>
      <c r="DI5165">
        <v>0</v>
      </c>
    </row>
    <row r="5166" spans="1:113" x14ac:dyDescent="0.3">
      <c r="A5166" t="str">
        <f t="shared" si="2381"/>
        <v>05/12/2020 14:50:27.853</v>
      </c>
      <c r="C5166" t="str">
        <f t="shared" si="2373"/>
        <v>FFDFD3C0</v>
      </c>
      <c r="D5166" t="s">
        <v>131</v>
      </c>
      <c r="E5166">
        <v>10</v>
      </c>
      <c r="F5166">
        <v>2010</v>
      </c>
      <c r="G5166" t="s">
        <v>132</v>
      </c>
      <c r="J5166" t="s">
        <v>133</v>
      </c>
      <c r="K5166">
        <v>0</v>
      </c>
      <c r="L5166">
        <v>3</v>
      </c>
      <c r="M5166">
        <v>0</v>
      </c>
      <c r="N5166">
        <v>2</v>
      </c>
      <c r="O5166">
        <v>1</v>
      </c>
      <c r="P5166">
        <v>0</v>
      </c>
      <c r="Q5166">
        <v>0</v>
      </c>
      <c r="S5166" t="str">
        <f t="shared" si="2382"/>
        <v>14:50:45.680</v>
      </c>
      <c r="T5166" t="str">
        <f t="shared" si="2383"/>
        <v>14:50:45.380</v>
      </c>
      <c r="U5166" t="str">
        <f t="shared" si="2364"/>
        <v>A9808D</v>
      </c>
      <c r="V5166">
        <v>0</v>
      </c>
      <c r="W5166">
        <v>0</v>
      </c>
      <c r="X5166">
        <v>1</v>
      </c>
      <c r="Z5166">
        <v>0</v>
      </c>
      <c r="AA5166">
        <v>9</v>
      </c>
      <c r="AB5166">
        <v>3</v>
      </c>
      <c r="AC5166">
        <v>0</v>
      </c>
      <c r="AD5166">
        <v>10</v>
      </c>
      <c r="AE5166">
        <v>0</v>
      </c>
      <c r="AF5166">
        <v>3</v>
      </c>
      <c r="AG5166">
        <v>2</v>
      </c>
      <c r="AH5166">
        <v>0</v>
      </c>
      <c r="AI5166" t="s">
        <v>1145</v>
      </c>
      <c r="AJ5166">
        <v>28.230485999999999</v>
      </c>
      <c r="AK5166" t="s">
        <v>1146</v>
      </c>
      <c r="AL5166">
        <v>-82.376947000000001</v>
      </c>
      <c r="AM5166">
        <v>100</v>
      </c>
      <c r="AN5166">
        <v>1900</v>
      </c>
      <c r="AO5166" t="s">
        <v>118</v>
      </c>
      <c r="AP5166">
        <v>-104</v>
      </c>
      <c r="AQ5166">
        <v>-56</v>
      </c>
      <c r="AR5166">
        <v>-1088</v>
      </c>
      <c r="AZ5166">
        <v>1200</v>
      </c>
      <c r="BA5166">
        <v>1</v>
      </c>
      <c r="BB5166" t="str">
        <f t="shared" si="2374"/>
        <v xml:space="preserve">N711JA  </v>
      </c>
      <c r="BC5166">
        <v>1</v>
      </c>
      <c r="BE5166">
        <v>0</v>
      </c>
      <c r="BF5166">
        <v>0</v>
      </c>
      <c r="BG5166">
        <v>0</v>
      </c>
      <c r="BH5166">
        <v>2000</v>
      </c>
      <c r="BI5166">
        <v>1</v>
      </c>
      <c r="BJ5166">
        <v>1</v>
      </c>
      <c r="BK5166">
        <v>0</v>
      </c>
      <c r="BL5166">
        <v>0</v>
      </c>
      <c r="BO5166">
        <v>0</v>
      </c>
      <c r="BP5166">
        <v>0</v>
      </c>
      <c r="BW5166" t="str">
        <f t="shared" si="2384"/>
        <v>14:50:45.683</v>
      </c>
      <c r="CJ5166">
        <v>0</v>
      </c>
      <c r="CK5166">
        <v>2</v>
      </c>
      <c r="CL5166">
        <v>0</v>
      </c>
      <c r="CM5166">
        <v>2</v>
      </c>
      <c r="CN5166">
        <v>0</v>
      </c>
      <c r="CO5166">
        <v>6</v>
      </c>
      <c r="CP5166" t="s">
        <v>119</v>
      </c>
      <c r="CQ5166">
        <v>343</v>
      </c>
      <c r="CR5166">
        <v>1</v>
      </c>
      <c r="CW5166">
        <v>11118667</v>
      </c>
      <c r="CY5166">
        <v>1</v>
      </c>
      <c r="CZ5166">
        <v>0</v>
      </c>
      <c r="DA5166">
        <v>1</v>
      </c>
      <c r="DB5166">
        <v>0</v>
      </c>
      <c r="DC5166">
        <v>0</v>
      </c>
      <c r="DD5166">
        <v>1</v>
      </c>
      <c r="DE5166">
        <v>0</v>
      </c>
      <c r="DF5166">
        <v>0</v>
      </c>
      <c r="DG5166">
        <v>0</v>
      </c>
      <c r="DH5166">
        <v>0</v>
      </c>
      <c r="DI5166">
        <v>0</v>
      </c>
    </row>
    <row r="5167" spans="1:113" x14ac:dyDescent="0.3">
      <c r="A5167" t="str">
        <f t="shared" si="2381"/>
        <v>05/12/2020 14:50:27.853</v>
      </c>
      <c r="C5167" t="str">
        <f t="shared" si="2373"/>
        <v>FFDFD3C0</v>
      </c>
      <c r="D5167" t="s">
        <v>126</v>
      </c>
      <c r="E5167">
        <v>7</v>
      </c>
      <c r="F5167">
        <v>1007</v>
      </c>
      <c r="G5167" t="s">
        <v>127</v>
      </c>
      <c r="J5167" t="s">
        <v>128</v>
      </c>
      <c r="K5167">
        <v>0</v>
      </c>
      <c r="L5167">
        <v>3</v>
      </c>
      <c r="M5167">
        <v>0</v>
      </c>
      <c r="N5167">
        <v>2</v>
      </c>
      <c r="O5167">
        <v>1</v>
      </c>
      <c r="P5167">
        <v>0</v>
      </c>
      <c r="Q5167">
        <v>0</v>
      </c>
      <c r="S5167" t="str">
        <f t="shared" si="2382"/>
        <v>14:50:45.680</v>
      </c>
      <c r="T5167" t="str">
        <f t="shared" si="2383"/>
        <v>14:50:45.380</v>
      </c>
      <c r="U5167" t="str">
        <f t="shared" si="2364"/>
        <v>A9808D</v>
      </c>
      <c r="V5167">
        <v>0</v>
      </c>
      <c r="W5167">
        <v>0</v>
      </c>
      <c r="X5167">
        <v>1</v>
      </c>
      <c r="Z5167">
        <v>0</v>
      </c>
      <c r="AA5167">
        <v>9</v>
      </c>
      <c r="AB5167">
        <v>3</v>
      </c>
      <c r="AC5167">
        <v>0</v>
      </c>
      <c r="AD5167">
        <v>10</v>
      </c>
      <c r="AE5167">
        <v>0</v>
      </c>
      <c r="AF5167">
        <v>3</v>
      </c>
      <c r="AG5167">
        <v>2</v>
      </c>
      <c r="AH5167">
        <v>0</v>
      </c>
      <c r="AI5167" t="s">
        <v>1145</v>
      </c>
      <c r="AJ5167">
        <v>28.230485999999999</v>
      </c>
      <c r="AK5167" t="s">
        <v>1146</v>
      </c>
      <c r="AL5167">
        <v>-82.376947000000001</v>
      </c>
      <c r="AM5167">
        <v>100</v>
      </c>
      <c r="AN5167">
        <v>1900</v>
      </c>
      <c r="AO5167" t="s">
        <v>118</v>
      </c>
      <c r="AP5167">
        <v>-104</v>
      </c>
      <c r="AQ5167">
        <v>-56</v>
      </c>
      <c r="AR5167">
        <v>-1088</v>
      </c>
      <c r="AZ5167">
        <v>1200</v>
      </c>
      <c r="BA5167">
        <v>1</v>
      </c>
      <c r="BB5167" t="str">
        <f t="shared" si="2374"/>
        <v xml:space="preserve">N711JA  </v>
      </c>
      <c r="BC5167">
        <v>1</v>
      </c>
      <c r="BE5167">
        <v>0</v>
      </c>
      <c r="BF5167">
        <v>0</v>
      </c>
      <c r="BG5167">
        <v>0</v>
      </c>
      <c r="BH5167">
        <v>2000</v>
      </c>
      <c r="BI5167">
        <v>1</v>
      </c>
      <c r="BJ5167">
        <v>1</v>
      </c>
      <c r="BK5167">
        <v>0</v>
      </c>
      <c r="BL5167">
        <v>0</v>
      </c>
      <c r="BO5167">
        <v>0</v>
      </c>
      <c r="BP5167">
        <v>0</v>
      </c>
      <c r="BW5167" t="str">
        <f t="shared" si="2384"/>
        <v>14:50:45.683</v>
      </c>
      <c r="CJ5167">
        <v>0</v>
      </c>
      <c r="CK5167">
        <v>2</v>
      </c>
      <c r="CL5167">
        <v>0</v>
      </c>
      <c r="CM5167">
        <v>2</v>
      </c>
      <c r="CN5167">
        <v>0</v>
      </c>
      <c r="CO5167">
        <v>6</v>
      </c>
      <c r="CP5167" t="s">
        <v>119</v>
      </c>
      <c r="CQ5167">
        <v>343</v>
      </c>
      <c r="CR5167">
        <v>1</v>
      </c>
      <c r="CW5167">
        <v>11118667</v>
      </c>
      <c r="CY5167">
        <v>1</v>
      </c>
      <c r="CZ5167">
        <v>0</v>
      </c>
      <c r="DA5167">
        <v>1</v>
      </c>
      <c r="DB5167">
        <v>0</v>
      </c>
      <c r="DC5167">
        <v>0</v>
      </c>
      <c r="DD5167">
        <v>1</v>
      </c>
      <c r="DE5167">
        <v>0</v>
      </c>
      <c r="DF5167">
        <v>0</v>
      </c>
      <c r="DG5167">
        <v>0</v>
      </c>
      <c r="DH5167">
        <v>0</v>
      </c>
      <c r="DI5167">
        <v>0</v>
      </c>
    </row>
    <row r="5168" spans="1:113" x14ac:dyDescent="0.3">
      <c r="A5168" t="str">
        <f t="shared" si="2381"/>
        <v>05/12/2020 14:50:27.853</v>
      </c>
      <c r="C5168" t="str">
        <f t="shared" si="2373"/>
        <v>FFDFD3C0</v>
      </c>
      <c r="D5168" t="s">
        <v>131</v>
      </c>
      <c r="E5168">
        <v>12</v>
      </c>
      <c r="F5168">
        <v>2012</v>
      </c>
      <c r="G5168" t="s">
        <v>137</v>
      </c>
      <c r="J5168" t="s">
        <v>133</v>
      </c>
      <c r="K5168">
        <v>0</v>
      </c>
      <c r="L5168">
        <v>3</v>
      </c>
      <c r="M5168">
        <v>0</v>
      </c>
      <c r="N5168">
        <v>2</v>
      </c>
      <c r="O5168">
        <v>1</v>
      </c>
      <c r="P5168">
        <v>0</v>
      </c>
      <c r="Q5168">
        <v>0</v>
      </c>
      <c r="S5168" t="str">
        <f t="shared" si="2382"/>
        <v>14:50:45.680</v>
      </c>
      <c r="T5168" t="str">
        <f t="shared" si="2383"/>
        <v>14:50:45.380</v>
      </c>
      <c r="U5168" t="str">
        <f t="shared" si="2364"/>
        <v>A9808D</v>
      </c>
      <c r="V5168">
        <v>0</v>
      </c>
      <c r="W5168">
        <v>0</v>
      </c>
      <c r="X5168">
        <v>1</v>
      </c>
      <c r="Z5168">
        <v>0</v>
      </c>
      <c r="AA5168">
        <v>9</v>
      </c>
      <c r="AB5168">
        <v>3</v>
      </c>
      <c r="AC5168">
        <v>0</v>
      </c>
      <c r="AD5168">
        <v>10</v>
      </c>
      <c r="AE5168">
        <v>0</v>
      </c>
      <c r="AF5168">
        <v>3</v>
      </c>
      <c r="AG5168">
        <v>2</v>
      </c>
      <c r="AH5168">
        <v>0</v>
      </c>
      <c r="AI5168" t="s">
        <v>1145</v>
      </c>
      <c r="AJ5168">
        <v>28.230485999999999</v>
      </c>
      <c r="AK5168" t="s">
        <v>1146</v>
      </c>
      <c r="AL5168">
        <v>-82.376947000000001</v>
      </c>
      <c r="AM5168">
        <v>100</v>
      </c>
      <c r="AN5168">
        <v>1900</v>
      </c>
      <c r="AO5168" t="s">
        <v>118</v>
      </c>
      <c r="AP5168">
        <v>-104</v>
      </c>
      <c r="AQ5168">
        <v>-56</v>
      </c>
      <c r="AR5168">
        <v>-1088</v>
      </c>
      <c r="AZ5168">
        <v>1200</v>
      </c>
      <c r="BA5168">
        <v>1</v>
      </c>
      <c r="BB5168" t="str">
        <f t="shared" si="2374"/>
        <v xml:space="preserve">N711JA  </v>
      </c>
      <c r="BC5168">
        <v>1</v>
      </c>
      <c r="BE5168">
        <v>0</v>
      </c>
      <c r="BF5168">
        <v>0</v>
      </c>
      <c r="BG5168">
        <v>0</v>
      </c>
      <c r="BH5168">
        <v>2000</v>
      </c>
      <c r="BI5168">
        <v>1</v>
      </c>
      <c r="BJ5168">
        <v>1</v>
      </c>
      <c r="BK5168">
        <v>0</v>
      </c>
      <c r="BL5168">
        <v>0</v>
      </c>
      <c r="BO5168">
        <v>0</v>
      </c>
      <c r="BP5168">
        <v>0</v>
      </c>
      <c r="BW5168" t="str">
        <f t="shared" si="2384"/>
        <v>14:50:45.683</v>
      </c>
      <c r="CJ5168">
        <v>0</v>
      </c>
      <c r="CK5168">
        <v>2</v>
      </c>
      <c r="CL5168">
        <v>0</v>
      </c>
      <c r="CM5168">
        <v>2</v>
      </c>
      <c r="CN5168">
        <v>0</v>
      </c>
      <c r="CO5168">
        <v>6</v>
      </c>
      <c r="CP5168" t="s">
        <v>119</v>
      </c>
      <c r="CQ5168">
        <v>343</v>
      </c>
      <c r="CR5168">
        <v>1</v>
      </c>
      <c r="CW5168">
        <v>11118667</v>
      </c>
      <c r="CY5168">
        <v>1</v>
      </c>
      <c r="CZ5168">
        <v>0</v>
      </c>
      <c r="DA5168">
        <v>1</v>
      </c>
      <c r="DB5168">
        <v>0</v>
      </c>
      <c r="DC5168">
        <v>0</v>
      </c>
      <c r="DD5168">
        <v>1</v>
      </c>
      <c r="DE5168">
        <v>0</v>
      </c>
      <c r="DF5168">
        <v>0</v>
      </c>
      <c r="DG5168">
        <v>0</v>
      </c>
      <c r="DH5168">
        <v>0</v>
      </c>
      <c r="DI5168">
        <v>0</v>
      </c>
    </row>
    <row r="5169" spans="1:113" x14ac:dyDescent="0.3">
      <c r="A5169" t="str">
        <f t="shared" si="2381"/>
        <v>05/12/2020 14:50:27.853</v>
      </c>
      <c r="C5169" t="str">
        <f t="shared" si="2373"/>
        <v>FFDFD3C0</v>
      </c>
      <c r="D5169" t="s">
        <v>113</v>
      </c>
      <c r="E5169">
        <v>3</v>
      </c>
      <c r="H5169">
        <v>164</v>
      </c>
      <c r="I5169" t="s">
        <v>114</v>
      </c>
      <c r="J5169" t="s">
        <v>115</v>
      </c>
      <c r="K5169">
        <v>0</v>
      </c>
      <c r="L5169">
        <v>3</v>
      </c>
      <c r="M5169">
        <v>0</v>
      </c>
      <c r="N5169">
        <v>2</v>
      </c>
      <c r="O5169">
        <v>1</v>
      </c>
      <c r="P5169">
        <v>0</v>
      </c>
      <c r="Q5169">
        <v>0</v>
      </c>
      <c r="S5169" t="str">
        <f t="shared" si="2382"/>
        <v>14:50:45.680</v>
      </c>
      <c r="T5169" t="str">
        <f t="shared" si="2383"/>
        <v>14:50:45.380</v>
      </c>
      <c r="U5169" t="str">
        <f t="shared" si="2364"/>
        <v>A9808D</v>
      </c>
      <c r="V5169">
        <v>0</v>
      </c>
      <c r="W5169">
        <v>0</v>
      </c>
      <c r="X5169">
        <v>1</v>
      </c>
      <c r="Z5169">
        <v>0</v>
      </c>
      <c r="AA5169">
        <v>9</v>
      </c>
      <c r="AB5169">
        <v>3</v>
      </c>
      <c r="AC5169">
        <v>0</v>
      </c>
      <c r="AD5169">
        <v>10</v>
      </c>
      <c r="AE5169">
        <v>0</v>
      </c>
      <c r="AF5169">
        <v>3</v>
      </c>
      <c r="AG5169">
        <v>2</v>
      </c>
      <c r="AH5169">
        <v>0</v>
      </c>
      <c r="AI5169" t="s">
        <v>1145</v>
      </c>
      <c r="AJ5169">
        <v>28.230485999999999</v>
      </c>
      <c r="AK5169" t="s">
        <v>1146</v>
      </c>
      <c r="AL5169">
        <v>-82.376947000000001</v>
      </c>
      <c r="AM5169">
        <v>100</v>
      </c>
      <c r="AN5169">
        <v>1900</v>
      </c>
      <c r="AO5169" t="s">
        <v>118</v>
      </c>
      <c r="AP5169">
        <v>-104</v>
      </c>
      <c r="AQ5169">
        <v>-56</v>
      </c>
      <c r="AR5169">
        <v>-1088</v>
      </c>
      <c r="AZ5169">
        <v>1200</v>
      </c>
      <c r="BA5169">
        <v>1</v>
      </c>
      <c r="BB5169" t="str">
        <f t="shared" si="2374"/>
        <v xml:space="preserve">N711JA  </v>
      </c>
      <c r="BC5169">
        <v>1</v>
      </c>
      <c r="BE5169">
        <v>0</v>
      </c>
      <c r="BF5169">
        <v>0</v>
      </c>
      <c r="BG5169">
        <v>0</v>
      </c>
      <c r="BH5169">
        <v>2000</v>
      </c>
      <c r="BI5169">
        <v>1</v>
      </c>
      <c r="BJ5169">
        <v>1</v>
      </c>
      <c r="BK5169">
        <v>0</v>
      </c>
      <c r="BL5169">
        <v>0</v>
      </c>
      <c r="BO5169">
        <v>0</v>
      </c>
      <c r="BP5169">
        <v>0</v>
      </c>
      <c r="BW5169" t="str">
        <f t="shared" si="2384"/>
        <v>14:50:45.683</v>
      </c>
      <c r="CJ5169">
        <v>0</v>
      </c>
      <c r="CK5169">
        <v>2</v>
      </c>
      <c r="CL5169">
        <v>0</v>
      </c>
      <c r="CM5169">
        <v>2</v>
      </c>
      <c r="CN5169">
        <v>0</v>
      </c>
      <c r="CO5169">
        <v>6</v>
      </c>
      <c r="CP5169" t="s">
        <v>119</v>
      </c>
      <c r="CQ5169">
        <v>343</v>
      </c>
      <c r="CR5169">
        <v>1</v>
      </c>
      <c r="CW5169">
        <v>11118667</v>
      </c>
      <c r="CY5169">
        <v>1</v>
      </c>
      <c r="CZ5169">
        <v>0</v>
      </c>
      <c r="DA5169">
        <v>1</v>
      </c>
      <c r="DB5169">
        <v>0</v>
      </c>
      <c r="DC5169">
        <v>0</v>
      </c>
      <c r="DD5169">
        <v>1</v>
      </c>
      <c r="DE5169">
        <v>0</v>
      </c>
      <c r="DF5169">
        <v>0</v>
      </c>
      <c r="DG5169">
        <v>0</v>
      </c>
      <c r="DH5169">
        <v>0</v>
      </c>
      <c r="DI5169">
        <v>0</v>
      </c>
    </row>
    <row r="5170" spans="1:113" x14ac:dyDescent="0.3">
      <c r="A5170" t="str">
        <f t="shared" si="2381"/>
        <v>05/12/2020 14:50:27.853</v>
      </c>
      <c r="C5170" t="str">
        <f t="shared" si="2373"/>
        <v>FFDFD3C0</v>
      </c>
      <c r="D5170" t="s">
        <v>131</v>
      </c>
      <c r="E5170">
        <v>18</v>
      </c>
      <c r="F5170">
        <v>2018</v>
      </c>
      <c r="G5170" t="s">
        <v>161</v>
      </c>
      <c r="J5170" t="s">
        <v>133</v>
      </c>
      <c r="K5170">
        <v>0</v>
      </c>
      <c r="L5170">
        <v>3</v>
      </c>
      <c r="M5170">
        <v>0</v>
      </c>
      <c r="N5170">
        <v>2</v>
      </c>
      <c r="O5170">
        <v>1</v>
      </c>
      <c r="P5170">
        <v>0</v>
      </c>
      <c r="Q5170">
        <v>0</v>
      </c>
      <c r="S5170" t="str">
        <f t="shared" si="2382"/>
        <v>14:50:45.680</v>
      </c>
      <c r="T5170" t="str">
        <f t="shared" si="2383"/>
        <v>14:50:45.380</v>
      </c>
      <c r="U5170" t="str">
        <f t="shared" si="2364"/>
        <v>A9808D</v>
      </c>
      <c r="V5170">
        <v>0</v>
      </c>
      <c r="W5170">
        <v>0</v>
      </c>
      <c r="X5170">
        <v>1</v>
      </c>
      <c r="Z5170">
        <v>0</v>
      </c>
      <c r="AA5170">
        <v>9</v>
      </c>
      <c r="AB5170">
        <v>3</v>
      </c>
      <c r="AC5170">
        <v>0</v>
      </c>
      <c r="AD5170">
        <v>10</v>
      </c>
      <c r="AE5170">
        <v>0</v>
      </c>
      <c r="AF5170">
        <v>3</v>
      </c>
      <c r="AG5170">
        <v>2</v>
      </c>
      <c r="AH5170">
        <v>0</v>
      </c>
      <c r="AI5170" t="s">
        <v>1145</v>
      </c>
      <c r="AJ5170">
        <v>28.230485999999999</v>
      </c>
      <c r="AK5170" t="s">
        <v>1146</v>
      </c>
      <c r="AL5170">
        <v>-82.376947000000001</v>
      </c>
      <c r="AM5170">
        <v>100</v>
      </c>
      <c r="AN5170">
        <v>1900</v>
      </c>
      <c r="AO5170" t="s">
        <v>118</v>
      </c>
      <c r="AP5170">
        <v>-104</v>
      </c>
      <c r="AQ5170">
        <v>-56</v>
      </c>
      <c r="AR5170">
        <v>-1088</v>
      </c>
      <c r="AZ5170">
        <v>1200</v>
      </c>
      <c r="BA5170">
        <v>1</v>
      </c>
      <c r="BB5170" t="str">
        <f t="shared" si="2374"/>
        <v xml:space="preserve">N711JA  </v>
      </c>
      <c r="BC5170">
        <v>1</v>
      </c>
      <c r="BE5170">
        <v>0</v>
      </c>
      <c r="BF5170">
        <v>0</v>
      </c>
      <c r="BG5170">
        <v>0</v>
      </c>
      <c r="BH5170">
        <v>2000</v>
      </c>
      <c r="BI5170">
        <v>1</v>
      </c>
      <c r="BJ5170">
        <v>1</v>
      </c>
      <c r="BK5170">
        <v>0</v>
      </c>
      <c r="BL5170">
        <v>0</v>
      </c>
      <c r="BO5170">
        <v>0</v>
      </c>
      <c r="BP5170">
        <v>0</v>
      </c>
      <c r="BW5170" t="str">
        <f t="shared" si="2384"/>
        <v>14:50:45.683</v>
      </c>
      <c r="CJ5170">
        <v>0</v>
      </c>
      <c r="CK5170">
        <v>2</v>
      </c>
      <c r="CL5170">
        <v>0</v>
      </c>
      <c r="CM5170">
        <v>2</v>
      </c>
      <c r="CN5170">
        <v>0</v>
      </c>
      <c r="CO5170">
        <v>6</v>
      </c>
      <c r="CP5170" t="s">
        <v>119</v>
      </c>
      <c r="CQ5170">
        <v>343</v>
      </c>
      <c r="CR5170">
        <v>1</v>
      </c>
      <c r="CW5170">
        <v>11118667</v>
      </c>
      <c r="CY5170">
        <v>1</v>
      </c>
      <c r="CZ5170">
        <v>0</v>
      </c>
      <c r="DA5170">
        <v>1</v>
      </c>
      <c r="DB5170">
        <v>0</v>
      </c>
      <c r="DC5170">
        <v>0</v>
      </c>
      <c r="DD5170">
        <v>1</v>
      </c>
      <c r="DE5170">
        <v>0</v>
      </c>
      <c r="DF5170">
        <v>0</v>
      </c>
      <c r="DG5170">
        <v>0</v>
      </c>
      <c r="DH5170">
        <v>0</v>
      </c>
      <c r="DI5170">
        <v>0</v>
      </c>
    </row>
    <row r="5171" spans="1:113" x14ac:dyDescent="0.3">
      <c r="A5171" t="str">
        <f t="shared" si="2381"/>
        <v>05/12/2020 14:50:27.853</v>
      </c>
      <c r="C5171" t="str">
        <f t="shared" si="2373"/>
        <v>FFDFD3C0</v>
      </c>
      <c r="D5171" t="s">
        <v>138</v>
      </c>
      <c r="E5171">
        <v>2</v>
      </c>
      <c r="H5171">
        <v>8</v>
      </c>
      <c r="I5171" t="s">
        <v>139</v>
      </c>
      <c r="J5171" t="s">
        <v>136</v>
      </c>
      <c r="K5171">
        <v>0</v>
      </c>
      <c r="L5171">
        <v>3</v>
      </c>
      <c r="M5171">
        <v>0</v>
      </c>
      <c r="N5171">
        <v>2</v>
      </c>
      <c r="O5171">
        <v>1</v>
      </c>
      <c r="P5171">
        <v>0</v>
      </c>
      <c r="Q5171">
        <v>0</v>
      </c>
      <c r="S5171" t="str">
        <f t="shared" si="2382"/>
        <v>14:50:45.680</v>
      </c>
      <c r="T5171" t="str">
        <f t="shared" si="2383"/>
        <v>14:50:45.380</v>
      </c>
      <c r="U5171" t="str">
        <f t="shared" si="2364"/>
        <v>A9808D</v>
      </c>
      <c r="V5171">
        <v>0</v>
      </c>
      <c r="W5171">
        <v>0</v>
      </c>
      <c r="X5171">
        <v>1</v>
      </c>
      <c r="Z5171">
        <v>0</v>
      </c>
      <c r="AA5171">
        <v>9</v>
      </c>
      <c r="AB5171">
        <v>3</v>
      </c>
      <c r="AC5171">
        <v>0</v>
      </c>
      <c r="AD5171">
        <v>10</v>
      </c>
      <c r="AE5171">
        <v>0</v>
      </c>
      <c r="AF5171">
        <v>3</v>
      </c>
      <c r="AG5171">
        <v>2</v>
      </c>
      <c r="AH5171">
        <v>0</v>
      </c>
      <c r="AI5171" t="s">
        <v>1145</v>
      </c>
      <c r="AJ5171">
        <v>28.230485999999999</v>
      </c>
      <c r="AK5171" t="s">
        <v>1146</v>
      </c>
      <c r="AL5171">
        <v>-82.376947000000001</v>
      </c>
      <c r="AM5171">
        <v>100</v>
      </c>
      <c r="AN5171">
        <v>1900</v>
      </c>
      <c r="AO5171" t="s">
        <v>118</v>
      </c>
      <c r="AP5171">
        <v>-104</v>
      </c>
      <c r="AQ5171">
        <v>-56</v>
      </c>
      <c r="AR5171">
        <v>-1088</v>
      </c>
      <c r="AZ5171">
        <v>1200</v>
      </c>
      <c r="BA5171">
        <v>1</v>
      </c>
      <c r="BB5171" t="str">
        <f t="shared" si="2374"/>
        <v xml:space="preserve">N711JA  </v>
      </c>
      <c r="BC5171">
        <v>1</v>
      </c>
      <c r="BE5171">
        <v>0</v>
      </c>
      <c r="BF5171">
        <v>0</v>
      </c>
      <c r="BG5171">
        <v>0</v>
      </c>
      <c r="BH5171">
        <v>2000</v>
      </c>
      <c r="BI5171">
        <v>1</v>
      </c>
      <c r="BJ5171">
        <v>1</v>
      </c>
      <c r="BK5171">
        <v>0</v>
      </c>
      <c r="BL5171">
        <v>0</v>
      </c>
      <c r="BO5171">
        <v>0</v>
      </c>
      <c r="BP5171">
        <v>0</v>
      </c>
      <c r="BW5171" t="str">
        <f t="shared" si="2384"/>
        <v>14:50:45.683</v>
      </c>
      <c r="CJ5171">
        <v>0</v>
      </c>
      <c r="CK5171">
        <v>2</v>
      </c>
      <c r="CL5171">
        <v>0</v>
      </c>
      <c r="CM5171">
        <v>2</v>
      </c>
      <c r="CN5171">
        <v>0</v>
      </c>
      <c r="CO5171">
        <v>6</v>
      </c>
      <c r="CP5171" t="s">
        <v>119</v>
      </c>
      <c r="CQ5171">
        <v>343</v>
      </c>
      <c r="CR5171">
        <v>1</v>
      </c>
      <c r="CW5171">
        <v>11118667</v>
      </c>
      <c r="CY5171">
        <v>1</v>
      </c>
      <c r="CZ5171">
        <v>0</v>
      </c>
      <c r="DA5171">
        <v>1</v>
      </c>
      <c r="DB5171">
        <v>0</v>
      </c>
      <c r="DC5171">
        <v>0</v>
      </c>
      <c r="DD5171">
        <v>1</v>
      </c>
      <c r="DE5171">
        <v>0</v>
      </c>
      <c r="DF5171">
        <v>0</v>
      </c>
      <c r="DG5171">
        <v>0</v>
      </c>
      <c r="DH5171">
        <v>0</v>
      </c>
      <c r="DI5171">
        <v>0</v>
      </c>
    </row>
    <row r="5172" spans="1:113" x14ac:dyDescent="0.3">
      <c r="A5172" t="str">
        <f t="shared" si="2381"/>
        <v>05/12/2020 14:50:27.853</v>
      </c>
      <c r="C5172" t="str">
        <f t="shared" si="2373"/>
        <v>FFDFD3C0</v>
      </c>
      <c r="D5172" t="s">
        <v>138</v>
      </c>
      <c r="E5172">
        <v>3</v>
      </c>
      <c r="H5172">
        <v>9</v>
      </c>
      <c r="I5172" t="s">
        <v>140</v>
      </c>
      <c r="J5172" t="s">
        <v>136</v>
      </c>
      <c r="K5172">
        <v>0</v>
      </c>
      <c r="L5172">
        <v>3</v>
      </c>
      <c r="M5172">
        <v>0</v>
      </c>
      <c r="N5172">
        <v>2</v>
      </c>
      <c r="O5172">
        <v>1</v>
      </c>
      <c r="P5172">
        <v>0</v>
      </c>
      <c r="Q5172">
        <v>0</v>
      </c>
      <c r="S5172" t="str">
        <f t="shared" si="2382"/>
        <v>14:50:45.680</v>
      </c>
      <c r="T5172" t="str">
        <f t="shared" si="2383"/>
        <v>14:50:45.380</v>
      </c>
      <c r="U5172" t="str">
        <f t="shared" si="2364"/>
        <v>A9808D</v>
      </c>
      <c r="V5172">
        <v>0</v>
      </c>
      <c r="W5172">
        <v>0</v>
      </c>
      <c r="X5172">
        <v>1</v>
      </c>
      <c r="Z5172">
        <v>0</v>
      </c>
      <c r="AA5172">
        <v>9</v>
      </c>
      <c r="AB5172">
        <v>3</v>
      </c>
      <c r="AC5172">
        <v>0</v>
      </c>
      <c r="AD5172">
        <v>10</v>
      </c>
      <c r="AE5172">
        <v>0</v>
      </c>
      <c r="AF5172">
        <v>3</v>
      </c>
      <c r="AG5172">
        <v>2</v>
      </c>
      <c r="AH5172">
        <v>0</v>
      </c>
      <c r="AI5172" t="s">
        <v>1145</v>
      </c>
      <c r="AJ5172">
        <v>28.230485999999999</v>
      </c>
      <c r="AK5172" t="s">
        <v>1146</v>
      </c>
      <c r="AL5172">
        <v>-82.376947000000001</v>
      </c>
      <c r="AM5172">
        <v>100</v>
      </c>
      <c r="AN5172">
        <v>1900</v>
      </c>
      <c r="AO5172" t="s">
        <v>118</v>
      </c>
      <c r="AP5172">
        <v>-104</v>
      </c>
      <c r="AQ5172">
        <v>-56</v>
      </c>
      <c r="AR5172">
        <v>-1088</v>
      </c>
      <c r="AZ5172">
        <v>1200</v>
      </c>
      <c r="BA5172">
        <v>1</v>
      </c>
      <c r="BB5172" t="str">
        <f t="shared" si="2374"/>
        <v xml:space="preserve">N711JA  </v>
      </c>
      <c r="BC5172">
        <v>1</v>
      </c>
      <c r="BE5172">
        <v>0</v>
      </c>
      <c r="BF5172">
        <v>0</v>
      </c>
      <c r="BG5172">
        <v>0</v>
      </c>
      <c r="BH5172">
        <v>2000</v>
      </c>
      <c r="BI5172">
        <v>1</v>
      </c>
      <c r="BJ5172">
        <v>1</v>
      </c>
      <c r="BK5172">
        <v>0</v>
      </c>
      <c r="BL5172">
        <v>0</v>
      </c>
      <c r="BO5172">
        <v>0</v>
      </c>
      <c r="BP5172">
        <v>0</v>
      </c>
      <c r="BW5172" t="str">
        <f t="shared" si="2384"/>
        <v>14:50:45.683</v>
      </c>
      <c r="CJ5172">
        <v>0</v>
      </c>
      <c r="CK5172">
        <v>2</v>
      </c>
      <c r="CL5172">
        <v>0</v>
      </c>
      <c r="CM5172">
        <v>2</v>
      </c>
      <c r="CN5172">
        <v>0</v>
      </c>
      <c r="CO5172">
        <v>6</v>
      </c>
      <c r="CP5172" t="s">
        <v>119</v>
      </c>
      <c r="CQ5172">
        <v>343</v>
      </c>
      <c r="CR5172">
        <v>1</v>
      </c>
      <c r="CW5172">
        <v>11118667</v>
      </c>
      <c r="CY5172">
        <v>1</v>
      </c>
      <c r="CZ5172">
        <v>0</v>
      </c>
      <c r="DA5172">
        <v>1</v>
      </c>
      <c r="DB5172">
        <v>0</v>
      </c>
      <c r="DC5172">
        <v>0</v>
      </c>
      <c r="DD5172">
        <v>1</v>
      </c>
      <c r="DE5172">
        <v>0</v>
      </c>
      <c r="DF5172">
        <v>0</v>
      </c>
      <c r="DG5172">
        <v>0</v>
      </c>
      <c r="DH5172">
        <v>0</v>
      </c>
      <c r="DI5172">
        <v>0</v>
      </c>
    </row>
    <row r="5173" spans="1:113" x14ac:dyDescent="0.3">
      <c r="A5173" t="str">
        <f t="shared" si="2381"/>
        <v>05/12/2020 14:50:27.853</v>
      </c>
      <c r="C5173" t="str">
        <f t="shared" si="2373"/>
        <v>FFDFD3C0</v>
      </c>
      <c r="D5173" t="s">
        <v>126</v>
      </c>
      <c r="E5173">
        <v>6</v>
      </c>
      <c r="F5173">
        <v>1006</v>
      </c>
      <c r="G5173" t="s">
        <v>114</v>
      </c>
      <c r="J5173" t="s">
        <v>128</v>
      </c>
      <c r="K5173">
        <v>0</v>
      </c>
      <c r="L5173">
        <v>3</v>
      </c>
      <c r="M5173">
        <v>0</v>
      </c>
      <c r="N5173">
        <v>2</v>
      </c>
      <c r="O5173">
        <v>1</v>
      </c>
      <c r="P5173">
        <v>0</v>
      </c>
      <c r="Q5173">
        <v>0</v>
      </c>
      <c r="S5173" t="str">
        <f t="shared" si="2382"/>
        <v>14:50:45.680</v>
      </c>
      <c r="T5173" t="str">
        <f t="shared" si="2383"/>
        <v>14:50:45.380</v>
      </c>
      <c r="U5173" t="str">
        <f t="shared" si="2364"/>
        <v>A9808D</v>
      </c>
      <c r="V5173">
        <v>0</v>
      </c>
      <c r="W5173">
        <v>0</v>
      </c>
      <c r="X5173">
        <v>1</v>
      </c>
      <c r="Z5173">
        <v>0</v>
      </c>
      <c r="AA5173">
        <v>9</v>
      </c>
      <c r="AB5173">
        <v>3</v>
      </c>
      <c r="AC5173">
        <v>0</v>
      </c>
      <c r="AD5173">
        <v>10</v>
      </c>
      <c r="AE5173">
        <v>0</v>
      </c>
      <c r="AF5173">
        <v>3</v>
      </c>
      <c r="AG5173">
        <v>2</v>
      </c>
      <c r="AH5173">
        <v>0</v>
      </c>
      <c r="AI5173" t="s">
        <v>1145</v>
      </c>
      <c r="AJ5173">
        <v>28.230485999999999</v>
      </c>
      <c r="AK5173" t="s">
        <v>1146</v>
      </c>
      <c r="AL5173">
        <v>-82.376947000000001</v>
      </c>
      <c r="AM5173">
        <v>100</v>
      </c>
      <c r="AN5173">
        <v>1900</v>
      </c>
      <c r="AO5173" t="s">
        <v>118</v>
      </c>
      <c r="AP5173">
        <v>-104</v>
      </c>
      <c r="AQ5173">
        <v>-56</v>
      </c>
      <c r="AR5173">
        <v>-1088</v>
      </c>
      <c r="AZ5173">
        <v>1200</v>
      </c>
      <c r="BA5173">
        <v>1</v>
      </c>
      <c r="BB5173" t="str">
        <f t="shared" si="2374"/>
        <v xml:space="preserve">N711JA  </v>
      </c>
      <c r="BC5173">
        <v>1</v>
      </c>
      <c r="BE5173">
        <v>0</v>
      </c>
      <c r="BF5173">
        <v>0</v>
      </c>
      <c r="BG5173">
        <v>0</v>
      </c>
      <c r="BH5173">
        <v>2000</v>
      </c>
      <c r="BI5173">
        <v>1</v>
      </c>
      <c r="BJ5173">
        <v>1</v>
      </c>
      <c r="BK5173">
        <v>0</v>
      </c>
      <c r="BL5173">
        <v>0</v>
      </c>
      <c r="BO5173">
        <v>0</v>
      </c>
      <c r="BP5173">
        <v>0</v>
      </c>
      <c r="BW5173" t="str">
        <f t="shared" si="2384"/>
        <v>14:50:45.683</v>
      </c>
      <c r="CJ5173">
        <v>0</v>
      </c>
      <c r="CK5173">
        <v>2</v>
      </c>
      <c r="CL5173">
        <v>0</v>
      </c>
      <c r="CM5173">
        <v>2</v>
      </c>
      <c r="CN5173">
        <v>0</v>
      </c>
      <c r="CO5173">
        <v>6</v>
      </c>
      <c r="CP5173" t="s">
        <v>119</v>
      </c>
      <c r="CQ5173">
        <v>343</v>
      </c>
      <c r="CR5173">
        <v>1</v>
      </c>
      <c r="CW5173">
        <v>11118667</v>
      </c>
      <c r="CY5173">
        <v>1</v>
      </c>
      <c r="CZ5173">
        <v>0</v>
      </c>
      <c r="DA5173">
        <v>1</v>
      </c>
      <c r="DB5173">
        <v>0</v>
      </c>
      <c r="DC5173">
        <v>0</v>
      </c>
      <c r="DD5173">
        <v>1</v>
      </c>
      <c r="DE5173">
        <v>0</v>
      </c>
      <c r="DF5173">
        <v>0</v>
      </c>
      <c r="DG5173">
        <v>0</v>
      </c>
      <c r="DH5173">
        <v>0</v>
      </c>
      <c r="DI5173">
        <v>0</v>
      </c>
    </row>
    <row r="5174" spans="1:113" x14ac:dyDescent="0.3">
      <c r="A5174" t="str">
        <f t="shared" ref="A5174:A5182" si="2385">"05/12/2020 14:50:28.803"</f>
        <v>05/12/2020 14:50:28.803</v>
      </c>
      <c r="C5174" t="str">
        <f t="shared" si="2373"/>
        <v>FFDFD3C0</v>
      </c>
      <c r="D5174" t="s">
        <v>126</v>
      </c>
      <c r="E5174">
        <v>6</v>
      </c>
      <c r="F5174">
        <v>1006</v>
      </c>
      <c r="G5174" t="s">
        <v>114</v>
      </c>
      <c r="J5174" t="s">
        <v>128</v>
      </c>
      <c r="K5174">
        <v>0</v>
      </c>
      <c r="L5174">
        <v>3</v>
      </c>
      <c r="M5174">
        <v>0</v>
      </c>
      <c r="N5174">
        <v>2</v>
      </c>
      <c r="O5174">
        <v>1</v>
      </c>
      <c r="P5174">
        <v>0</v>
      </c>
      <c r="Q5174">
        <v>0</v>
      </c>
      <c r="S5174" t="str">
        <f t="shared" ref="S5174:S5182" si="2386">"14:50:46.641"</f>
        <v>14:50:46.641</v>
      </c>
      <c r="T5174" t="str">
        <f t="shared" ref="T5174:T5182" si="2387">"14:50:46.241"</f>
        <v>14:50:46.241</v>
      </c>
      <c r="U5174" t="str">
        <f t="shared" si="2364"/>
        <v>A9808D</v>
      </c>
      <c r="V5174">
        <v>0</v>
      </c>
      <c r="W5174">
        <v>0</v>
      </c>
      <c r="X5174">
        <v>1</v>
      </c>
      <c r="Z5174">
        <v>0</v>
      </c>
      <c r="AA5174">
        <v>9</v>
      </c>
      <c r="AB5174">
        <v>3</v>
      </c>
      <c r="AC5174">
        <v>0</v>
      </c>
      <c r="AD5174">
        <v>10</v>
      </c>
      <c r="AE5174">
        <v>0</v>
      </c>
      <c r="AF5174">
        <v>3</v>
      </c>
      <c r="AG5174">
        <v>2</v>
      </c>
      <c r="AH5174">
        <v>0</v>
      </c>
      <c r="AI5174" t="s">
        <v>1147</v>
      </c>
      <c r="AJ5174">
        <v>28.230186</v>
      </c>
      <c r="AK5174" t="s">
        <v>387</v>
      </c>
      <c r="AL5174">
        <v>-82.377504999999999</v>
      </c>
      <c r="AM5174">
        <v>100</v>
      </c>
      <c r="AN5174">
        <v>1900</v>
      </c>
      <c r="AO5174" t="s">
        <v>118</v>
      </c>
      <c r="AP5174">
        <v>-105</v>
      </c>
      <c r="AQ5174">
        <v>-55</v>
      </c>
      <c r="AR5174">
        <v>-1088</v>
      </c>
      <c r="AZ5174">
        <v>1200</v>
      </c>
      <c r="BA5174">
        <v>1</v>
      </c>
      <c r="BB5174" t="str">
        <f t="shared" si="2374"/>
        <v xml:space="preserve">N711JA  </v>
      </c>
      <c r="BC5174">
        <v>1</v>
      </c>
      <c r="BE5174">
        <v>0</v>
      </c>
      <c r="BF5174">
        <v>0</v>
      </c>
      <c r="BG5174">
        <v>0</v>
      </c>
      <c r="BH5174">
        <v>1975</v>
      </c>
      <c r="BI5174">
        <v>1</v>
      </c>
      <c r="BJ5174">
        <v>1</v>
      </c>
      <c r="BK5174">
        <v>0</v>
      </c>
      <c r="BL5174">
        <v>0</v>
      </c>
      <c r="BO5174">
        <v>0</v>
      </c>
      <c r="BP5174">
        <v>0</v>
      </c>
      <c r="BW5174" t="str">
        <f t="shared" ref="BW5174:BW5182" si="2388">"14:50:46.645"</f>
        <v>14:50:46.645</v>
      </c>
      <c r="CJ5174">
        <v>0</v>
      </c>
      <c r="CK5174">
        <v>2</v>
      </c>
      <c r="CL5174">
        <v>0</v>
      </c>
      <c r="CM5174">
        <v>2</v>
      </c>
      <c r="CN5174">
        <v>0</v>
      </c>
      <c r="CO5174">
        <v>6</v>
      </c>
      <c r="CP5174" t="s">
        <v>119</v>
      </c>
      <c r="CQ5174">
        <v>56</v>
      </c>
      <c r="CR5174">
        <v>2</v>
      </c>
      <c r="CW5174">
        <v>5261784</v>
      </c>
      <c r="CY5174">
        <v>1</v>
      </c>
      <c r="CZ5174">
        <v>0</v>
      </c>
      <c r="DA5174">
        <v>0</v>
      </c>
      <c r="DB5174">
        <v>0</v>
      </c>
      <c r="DC5174">
        <v>0</v>
      </c>
      <c r="DD5174">
        <v>1</v>
      </c>
      <c r="DE5174">
        <v>0</v>
      </c>
      <c r="DF5174">
        <v>0</v>
      </c>
      <c r="DG5174">
        <v>0</v>
      </c>
      <c r="DH5174">
        <v>0</v>
      </c>
      <c r="DI5174">
        <v>0</v>
      </c>
    </row>
    <row r="5175" spans="1:113" x14ac:dyDescent="0.3">
      <c r="A5175" t="str">
        <f t="shared" si="2385"/>
        <v>05/12/2020 14:50:28.803</v>
      </c>
      <c r="C5175" t="str">
        <f t="shared" si="2373"/>
        <v>FFDFD3C0</v>
      </c>
      <c r="D5175" t="s">
        <v>134</v>
      </c>
      <c r="E5175">
        <v>12</v>
      </c>
      <c r="H5175">
        <v>64</v>
      </c>
      <c r="I5175" t="s">
        <v>135</v>
      </c>
      <c r="J5175" t="s">
        <v>136</v>
      </c>
      <c r="K5175">
        <v>0</v>
      </c>
      <c r="L5175">
        <v>3</v>
      </c>
      <c r="M5175">
        <v>0</v>
      </c>
      <c r="N5175">
        <v>2</v>
      </c>
      <c r="O5175">
        <v>1</v>
      </c>
      <c r="P5175">
        <v>0</v>
      </c>
      <c r="Q5175">
        <v>0</v>
      </c>
      <c r="S5175" t="str">
        <f t="shared" si="2386"/>
        <v>14:50:46.641</v>
      </c>
      <c r="T5175" t="str">
        <f t="shared" si="2387"/>
        <v>14:50:46.241</v>
      </c>
      <c r="U5175" t="str">
        <f t="shared" si="2364"/>
        <v>A9808D</v>
      </c>
      <c r="V5175">
        <v>0</v>
      </c>
      <c r="W5175">
        <v>0</v>
      </c>
      <c r="X5175">
        <v>1</v>
      </c>
      <c r="Z5175">
        <v>0</v>
      </c>
      <c r="AA5175">
        <v>9</v>
      </c>
      <c r="AB5175">
        <v>3</v>
      </c>
      <c r="AC5175">
        <v>0</v>
      </c>
      <c r="AD5175">
        <v>10</v>
      </c>
      <c r="AE5175">
        <v>0</v>
      </c>
      <c r="AF5175">
        <v>3</v>
      </c>
      <c r="AG5175">
        <v>2</v>
      </c>
      <c r="AH5175">
        <v>0</v>
      </c>
      <c r="AI5175" t="s">
        <v>1147</v>
      </c>
      <c r="AJ5175">
        <v>28.230186</v>
      </c>
      <c r="AK5175" t="s">
        <v>387</v>
      </c>
      <c r="AL5175">
        <v>-82.377504999999999</v>
      </c>
      <c r="AM5175">
        <v>100</v>
      </c>
      <c r="AN5175">
        <v>1900</v>
      </c>
      <c r="AO5175" t="s">
        <v>118</v>
      </c>
      <c r="AP5175">
        <v>-105</v>
      </c>
      <c r="AQ5175">
        <v>-55</v>
      </c>
      <c r="AR5175">
        <v>-1088</v>
      </c>
      <c r="AZ5175">
        <v>1200</v>
      </c>
      <c r="BA5175">
        <v>1</v>
      </c>
      <c r="BB5175" t="str">
        <f t="shared" si="2374"/>
        <v xml:space="preserve">N711JA  </v>
      </c>
      <c r="BC5175">
        <v>1</v>
      </c>
      <c r="BE5175">
        <v>0</v>
      </c>
      <c r="BF5175">
        <v>0</v>
      </c>
      <c r="BG5175">
        <v>0</v>
      </c>
      <c r="BH5175">
        <v>1975</v>
      </c>
      <c r="BI5175">
        <v>1</v>
      </c>
      <c r="BJ5175">
        <v>1</v>
      </c>
      <c r="BK5175">
        <v>0</v>
      </c>
      <c r="BL5175">
        <v>0</v>
      </c>
      <c r="BO5175">
        <v>0</v>
      </c>
      <c r="BP5175">
        <v>0</v>
      </c>
      <c r="BW5175" t="str">
        <f t="shared" si="2388"/>
        <v>14:50:46.645</v>
      </c>
      <c r="CJ5175">
        <v>0</v>
      </c>
      <c r="CK5175">
        <v>2</v>
      </c>
      <c r="CL5175">
        <v>0</v>
      </c>
      <c r="CM5175">
        <v>2</v>
      </c>
      <c r="CN5175">
        <v>0</v>
      </c>
      <c r="CO5175">
        <v>6</v>
      </c>
      <c r="CP5175" t="s">
        <v>119</v>
      </c>
      <c r="CQ5175">
        <v>358</v>
      </c>
      <c r="CR5175">
        <v>0</v>
      </c>
      <c r="CW5175">
        <v>5229092</v>
      </c>
      <c r="CY5175">
        <v>1</v>
      </c>
      <c r="CZ5175">
        <v>0</v>
      </c>
      <c r="DA5175">
        <v>1</v>
      </c>
      <c r="DB5175">
        <v>0</v>
      </c>
      <c r="DC5175">
        <v>0</v>
      </c>
      <c r="DD5175">
        <v>1</v>
      </c>
      <c r="DE5175">
        <v>0</v>
      </c>
      <c r="DF5175">
        <v>0</v>
      </c>
      <c r="DG5175">
        <v>0</v>
      </c>
      <c r="DH5175">
        <v>0</v>
      </c>
      <c r="DI5175">
        <v>0</v>
      </c>
    </row>
    <row r="5176" spans="1:113" x14ac:dyDescent="0.3">
      <c r="A5176" t="str">
        <f t="shared" si="2385"/>
        <v>05/12/2020 14:50:28.803</v>
      </c>
      <c r="C5176" t="str">
        <f t="shared" si="2373"/>
        <v>FFDFD3C0</v>
      </c>
      <c r="D5176" t="s">
        <v>131</v>
      </c>
      <c r="E5176">
        <v>10</v>
      </c>
      <c r="F5176">
        <v>2010</v>
      </c>
      <c r="G5176" t="s">
        <v>132</v>
      </c>
      <c r="J5176" t="s">
        <v>133</v>
      </c>
      <c r="K5176">
        <v>0</v>
      </c>
      <c r="L5176">
        <v>3</v>
      </c>
      <c r="M5176">
        <v>0</v>
      </c>
      <c r="N5176">
        <v>2</v>
      </c>
      <c r="O5176">
        <v>1</v>
      </c>
      <c r="P5176">
        <v>0</v>
      </c>
      <c r="Q5176">
        <v>0</v>
      </c>
      <c r="S5176" t="str">
        <f t="shared" si="2386"/>
        <v>14:50:46.641</v>
      </c>
      <c r="T5176" t="str">
        <f t="shared" si="2387"/>
        <v>14:50:46.241</v>
      </c>
      <c r="U5176" t="str">
        <f t="shared" si="2364"/>
        <v>A9808D</v>
      </c>
      <c r="V5176">
        <v>0</v>
      </c>
      <c r="W5176">
        <v>0</v>
      </c>
      <c r="X5176">
        <v>1</v>
      </c>
      <c r="Z5176">
        <v>0</v>
      </c>
      <c r="AA5176">
        <v>9</v>
      </c>
      <c r="AB5176">
        <v>3</v>
      </c>
      <c r="AC5176">
        <v>0</v>
      </c>
      <c r="AD5176">
        <v>10</v>
      </c>
      <c r="AE5176">
        <v>0</v>
      </c>
      <c r="AF5176">
        <v>3</v>
      </c>
      <c r="AG5176">
        <v>2</v>
      </c>
      <c r="AH5176">
        <v>0</v>
      </c>
      <c r="AI5176" t="s">
        <v>1147</v>
      </c>
      <c r="AJ5176">
        <v>28.230186</v>
      </c>
      <c r="AK5176" t="s">
        <v>387</v>
      </c>
      <c r="AL5176">
        <v>-82.377504999999999</v>
      </c>
      <c r="AM5176">
        <v>100</v>
      </c>
      <c r="AN5176">
        <v>1900</v>
      </c>
      <c r="AO5176" t="s">
        <v>118</v>
      </c>
      <c r="AP5176">
        <v>-105</v>
      </c>
      <c r="AQ5176">
        <v>-55</v>
      </c>
      <c r="AR5176">
        <v>-1088</v>
      </c>
      <c r="AZ5176">
        <v>1200</v>
      </c>
      <c r="BA5176">
        <v>1</v>
      </c>
      <c r="BB5176" t="str">
        <f t="shared" si="2374"/>
        <v xml:space="preserve">N711JA  </v>
      </c>
      <c r="BC5176">
        <v>1</v>
      </c>
      <c r="BE5176">
        <v>0</v>
      </c>
      <c r="BF5176">
        <v>0</v>
      </c>
      <c r="BG5176">
        <v>0</v>
      </c>
      <c r="BH5176">
        <v>1975</v>
      </c>
      <c r="BI5176">
        <v>1</v>
      </c>
      <c r="BJ5176">
        <v>1</v>
      </c>
      <c r="BK5176">
        <v>0</v>
      </c>
      <c r="BL5176">
        <v>0</v>
      </c>
      <c r="BO5176">
        <v>0</v>
      </c>
      <c r="BP5176">
        <v>0</v>
      </c>
      <c r="BW5176" t="str">
        <f t="shared" si="2388"/>
        <v>14:50:46.645</v>
      </c>
      <c r="CJ5176">
        <v>0</v>
      </c>
      <c r="CK5176">
        <v>2</v>
      </c>
      <c r="CL5176">
        <v>0</v>
      </c>
      <c r="CM5176">
        <v>2</v>
      </c>
      <c r="CN5176">
        <v>0</v>
      </c>
      <c r="CO5176">
        <v>6</v>
      </c>
      <c r="CP5176" t="s">
        <v>119</v>
      </c>
      <c r="CQ5176">
        <v>56</v>
      </c>
      <c r="CR5176">
        <v>2</v>
      </c>
      <c r="CW5176">
        <v>5261784</v>
      </c>
      <c r="CY5176">
        <v>1</v>
      </c>
      <c r="CZ5176">
        <v>0</v>
      </c>
      <c r="DA5176">
        <v>1</v>
      </c>
      <c r="DB5176">
        <v>0</v>
      </c>
      <c r="DC5176">
        <v>0</v>
      </c>
      <c r="DD5176">
        <v>1</v>
      </c>
      <c r="DE5176">
        <v>0</v>
      </c>
      <c r="DF5176">
        <v>0</v>
      </c>
      <c r="DG5176">
        <v>0</v>
      </c>
      <c r="DH5176">
        <v>0</v>
      </c>
      <c r="DI5176">
        <v>0</v>
      </c>
    </row>
    <row r="5177" spans="1:113" x14ac:dyDescent="0.3">
      <c r="A5177" t="str">
        <f t="shared" si="2385"/>
        <v>05/12/2020 14:50:28.803</v>
      </c>
      <c r="C5177" t="str">
        <f t="shared" si="2373"/>
        <v>FFDFD3C0</v>
      </c>
      <c r="D5177" t="s">
        <v>126</v>
      </c>
      <c r="E5177">
        <v>7</v>
      </c>
      <c r="F5177">
        <v>1007</v>
      </c>
      <c r="G5177" t="s">
        <v>127</v>
      </c>
      <c r="J5177" t="s">
        <v>128</v>
      </c>
      <c r="K5177">
        <v>0</v>
      </c>
      <c r="L5177">
        <v>3</v>
      </c>
      <c r="M5177">
        <v>0</v>
      </c>
      <c r="N5177">
        <v>2</v>
      </c>
      <c r="O5177">
        <v>1</v>
      </c>
      <c r="P5177">
        <v>0</v>
      </c>
      <c r="Q5177">
        <v>0</v>
      </c>
      <c r="S5177" t="str">
        <f t="shared" si="2386"/>
        <v>14:50:46.641</v>
      </c>
      <c r="T5177" t="str">
        <f t="shared" si="2387"/>
        <v>14:50:46.241</v>
      </c>
      <c r="U5177" t="str">
        <f t="shared" si="2364"/>
        <v>A9808D</v>
      </c>
      <c r="V5177">
        <v>0</v>
      </c>
      <c r="W5177">
        <v>0</v>
      </c>
      <c r="X5177">
        <v>1</v>
      </c>
      <c r="Z5177">
        <v>0</v>
      </c>
      <c r="AA5177">
        <v>9</v>
      </c>
      <c r="AB5177">
        <v>3</v>
      </c>
      <c r="AC5177">
        <v>0</v>
      </c>
      <c r="AD5177">
        <v>10</v>
      </c>
      <c r="AE5177">
        <v>0</v>
      </c>
      <c r="AF5177">
        <v>3</v>
      </c>
      <c r="AG5177">
        <v>2</v>
      </c>
      <c r="AH5177">
        <v>0</v>
      </c>
      <c r="AI5177" t="s">
        <v>1147</v>
      </c>
      <c r="AJ5177">
        <v>28.230186</v>
      </c>
      <c r="AK5177" t="s">
        <v>387</v>
      </c>
      <c r="AL5177">
        <v>-82.377504999999999</v>
      </c>
      <c r="AM5177">
        <v>100</v>
      </c>
      <c r="AN5177">
        <v>1900</v>
      </c>
      <c r="AO5177" t="s">
        <v>118</v>
      </c>
      <c r="AP5177">
        <v>-105</v>
      </c>
      <c r="AQ5177">
        <v>-55</v>
      </c>
      <c r="AR5177">
        <v>-1088</v>
      </c>
      <c r="AZ5177">
        <v>1200</v>
      </c>
      <c r="BA5177">
        <v>1</v>
      </c>
      <c r="BB5177" t="str">
        <f t="shared" si="2374"/>
        <v xml:space="preserve">N711JA  </v>
      </c>
      <c r="BC5177">
        <v>1</v>
      </c>
      <c r="BE5177">
        <v>0</v>
      </c>
      <c r="BF5177">
        <v>0</v>
      </c>
      <c r="BG5177">
        <v>0</v>
      </c>
      <c r="BH5177">
        <v>1975</v>
      </c>
      <c r="BI5177">
        <v>1</v>
      </c>
      <c r="BJ5177">
        <v>1</v>
      </c>
      <c r="BK5177">
        <v>0</v>
      </c>
      <c r="BL5177">
        <v>0</v>
      </c>
      <c r="BO5177">
        <v>0</v>
      </c>
      <c r="BP5177">
        <v>0</v>
      </c>
      <c r="BW5177" t="str">
        <f t="shared" si="2388"/>
        <v>14:50:46.645</v>
      </c>
      <c r="CJ5177">
        <v>0</v>
      </c>
      <c r="CK5177">
        <v>2</v>
      </c>
      <c r="CL5177">
        <v>0</v>
      </c>
      <c r="CM5177">
        <v>2</v>
      </c>
      <c r="CN5177">
        <v>0</v>
      </c>
      <c r="CO5177">
        <v>6</v>
      </c>
      <c r="CP5177" t="s">
        <v>119</v>
      </c>
      <c r="CQ5177">
        <v>56</v>
      </c>
      <c r="CR5177">
        <v>2</v>
      </c>
      <c r="CW5177">
        <v>5261784</v>
      </c>
      <c r="CY5177">
        <v>1</v>
      </c>
      <c r="CZ5177">
        <v>0</v>
      </c>
      <c r="DA5177">
        <v>1</v>
      </c>
      <c r="DB5177">
        <v>0</v>
      </c>
      <c r="DC5177">
        <v>0</v>
      </c>
      <c r="DD5177">
        <v>1</v>
      </c>
      <c r="DE5177">
        <v>0</v>
      </c>
      <c r="DF5177">
        <v>0</v>
      </c>
      <c r="DG5177">
        <v>0</v>
      </c>
      <c r="DH5177">
        <v>0</v>
      </c>
      <c r="DI5177">
        <v>0</v>
      </c>
    </row>
    <row r="5178" spans="1:113" x14ac:dyDescent="0.3">
      <c r="A5178" t="str">
        <f t="shared" si="2385"/>
        <v>05/12/2020 14:50:28.803</v>
      </c>
      <c r="C5178" t="str">
        <f t="shared" si="2373"/>
        <v>FFDFD3C0</v>
      </c>
      <c r="D5178" t="s">
        <v>131</v>
      </c>
      <c r="E5178">
        <v>12</v>
      </c>
      <c r="F5178">
        <v>2012</v>
      </c>
      <c r="G5178" t="s">
        <v>137</v>
      </c>
      <c r="J5178" t="s">
        <v>133</v>
      </c>
      <c r="K5178">
        <v>0</v>
      </c>
      <c r="L5178">
        <v>3</v>
      </c>
      <c r="M5178">
        <v>0</v>
      </c>
      <c r="N5178">
        <v>2</v>
      </c>
      <c r="O5178">
        <v>1</v>
      </c>
      <c r="P5178">
        <v>0</v>
      </c>
      <c r="Q5178">
        <v>0</v>
      </c>
      <c r="S5178" t="str">
        <f t="shared" si="2386"/>
        <v>14:50:46.641</v>
      </c>
      <c r="T5178" t="str">
        <f t="shared" si="2387"/>
        <v>14:50:46.241</v>
      </c>
      <c r="U5178" t="str">
        <f t="shared" si="2364"/>
        <v>A9808D</v>
      </c>
      <c r="V5178">
        <v>0</v>
      </c>
      <c r="W5178">
        <v>0</v>
      </c>
      <c r="X5178">
        <v>1</v>
      </c>
      <c r="Z5178">
        <v>0</v>
      </c>
      <c r="AA5178">
        <v>9</v>
      </c>
      <c r="AB5178">
        <v>3</v>
      </c>
      <c r="AC5178">
        <v>0</v>
      </c>
      <c r="AD5178">
        <v>10</v>
      </c>
      <c r="AE5178">
        <v>0</v>
      </c>
      <c r="AF5178">
        <v>3</v>
      </c>
      <c r="AG5178">
        <v>2</v>
      </c>
      <c r="AH5178">
        <v>0</v>
      </c>
      <c r="AI5178" t="s">
        <v>1147</v>
      </c>
      <c r="AJ5178">
        <v>28.230186</v>
      </c>
      <c r="AK5178" t="s">
        <v>387</v>
      </c>
      <c r="AL5178">
        <v>-82.377504999999999</v>
      </c>
      <c r="AM5178">
        <v>100</v>
      </c>
      <c r="AN5178">
        <v>1900</v>
      </c>
      <c r="AO5178" t="s">
        <v>118</v>
      </c>
      <c r="AP5178">
        <v>-105</v>
      </c>
      <c r="AQ5178">
        <v>-55</v>
      </c>
      <c r="AR5178">
        <v>-1088</v>
      </c>
      <c r="AZ5178">
        <v>1200</v>
      </c>
      <c r="BA5178">
        <v>1</v>
      </c>
      <c r="BB5178" t="str">
        <f t="shared" si="2374"/>
        <v xml:space="preserve">N711JA  </v>
      </c>
      <c r="BC5178">
        <v>1</v>
      </c>
      <c r="BE5178">
        <v>0</v>
      </c>
      <c r="BF5178">
        <v>0</v>
      </c>
      <c r="BG5178">
        <v>0</v>
      </c>
      <c r="BH5178">
        <v>1975</v>
      </c>
      <c r="BI5178">
        <v>1</v>
      </c>
      <c r="BJ5178">
        <v>1</v>
      </c>
      <c r="BK5178">
        <v>0</v>
      </c>
      <c r="BL5178">
        <v>0</v>
      </c>
      <c r="BO5178">
        <v>0</v>
      </c>
      <c r="BP5178">
        <v>0</v>
      </c>
      <c r="BW5178" t="str">
        <f t="shared" si="2388"/>
        <v>14:50:46.645</v>
      </c>
      <c r="CJ5178">
        <v>0</v>
      </c>
      <c r="CK5178">
        <v>2</v>
      </c>
      <c r="CL5178">
        <v>0</v>
      </c>
      <c r="CM5178">
        <v>2</v>
      </c>
      <c r="CN5178">
        <v>0</v>
      </c>
      <c r="CO5178">
        <v>6</v>
      </c>
      <c r="CP5178" t="s">
        <v>119</v>
      </c>
      <c r="CQ5178">
        <v>56</v>
      </c>
      <c r="CR5178">
        <v>2</v>
      </c>
      <c r="CW5178">
        <v>5261784</v>
      </c>
      <c r="CY5178">
        <v>1</v>
      </c>
      <c r="CZ5178">
        <v>0</v>
      </c>
      <c r="DA5178">
        <v>1</v>
      </c>
      <c r="DB5178">
        <v>0</v>
      </c>
      <c r="DC5178">
        <v>0</v>
      </c>
      <c r="DD5178">
        <v>1</v>
      </c>
      <c r="DE5178">
        <v>0</v>
      </c>
      <c r="DF5178">
        <v>0</v>
      </c>
      <c r="DG5178">
        <v>0</v>
      </c>
      <c r="DH5178">
        <v>0</v>
      </c>
      <c r="DI5178">
        <v>0</v>
      </c>
    </row>
    <row r="5179" spans="1:113" x14ac:dyDescent="0.3">
      <c r="A5179" t="str">
        <f t="shared" si="2385"/>
        <v>05/12/2020 14:50:28.803</v>
      </c>
      <c r="C5179" t="str">
        <f t="shared" si="2373"/>
        <v>FFDFD3C0</v>
      </c>
      <c r="D5179" t="s">
        <v>131</v>
      </c>
      <c r="E5179">
        <v>18</v>
      </c>
      <c r="F5179">
        <v>2018</v>
      </c>
      <c r="G5179" t="s">
        <v>161</v>
      </c>
      <c r="J5179" t="s">
        <v>133</v>
      </c>
      <c r="K5179">
        <v>0</v>
      </c>
      <c r="L5179">
        <v>3</v>
      </c>
      <c r="M5179">
        <v>0</v>
      </c>
      <c r="N5179">
        <v>2</v>
      </c>
      <c r="O5179">
        <v>1</v>
      </c>
      <c r="P5179">
        <v>0</v>
      </c>
      <c r="Q5179">
        <v>0</v>
      </c>
      <c r="S5179" t="str">
        <f t="shared" si="2386"/>
        <v>14:50:46.641</v>
      </c>
      <c r="T5179" t="str">
        <f t="shared" si="2387"/>
        <v>14:50:46.241</v>
      </c>
      <c r="U5179" t="str">
        <f t="shared" si="2364"/>
        <v>A9808D</v>
      </c>
      <c r="V5179">
        <v>0</v>
      </c>
      <c r="W5179">
        <v>0</v>
      </c>
      <c r="X5179">
        <v>1</v>
      </c>
      <c r="Z5179">
        <v>0</v>
      </c>
      <c r="AA5179">
        <v>9</v>
      </c>
      <c r="AB5179">
        <v>3</v>
      </c>
      <c r="AC5179">
        <v>0</v>
      </c>
      <c r="AD5179">
        <v>10</v>
      </c>
      <c r="AE5179">
        <v>0</v>
      </c>
      <c r="AF5179">
        <v>3</v>
      </c>
      <c r="AG5179">
        <v>2</v>
      </c>
      <c r="AH5179">
        <v>0</v>
      </c>
      <c r="AI5179" t="s">
        <v>1147</v>
      </c>
      <c r="AJ5179">
        <v>28.230186</v>
      </c>
      <c r="AK5179" t="s">
        <v>387</v>
      </c>
      <c r="AL5179">
        <v>-82.377504999999999</v>
      </c>
      <c r="AM5179">
        <v>100</v>
      </c>
      <c r="AN5179">
        <v>1900</v>
      </c>
      <c r="AO5179" t="s">
        <v>118</v>
      </c>
      <c r="AP5179">
        <v>-105</v>
      </c>
      <c r="AQ5179">
        <v>-55</v>
      </c>
      <c r="AR5179">
        <v>-1088</v>
      </c>
      <c r="AZ5179">
        <v>1200</v>
      </c>
      <c r="BA5179">
        <v>1</v>
      </c>
      <c r="BB5179" t="str">
        <f t="shared" si="2374"/>
        <v xml:space="preserve">N711JA  </v>
      </c>
      <c r="BC5179">
        <v>1</v>
      </c>
      <c r="BE5179">
        <v>0</v>
      </c>
      <c r="BF5179">
        <v>0</v>
      </c>
      <c r="BG5179">
        <v>0</v>
      </c>
      <c r="BH5179">
        <v>1975</v>
      </c>
      <c r="BI5179">
        <v>1</v>
      </c>
      <c r="BJ5179">
        <v>1</v>
      </c>
      <c r="BK5179">
        <v>0</v>
      </c>
      <c r="BL5179">
        <v>0</v>
      </c>
      <c r="BO5179">
        <v>0</v>
      </c>
      <c r="BP5179">
        <v>0</v>
      </c>
      <c r="BW5179" t="str">
        <f t="shared" si="2388"/>
        <v>14:50:46.645</v>
      </c>
      <c r="CJ5179">
        <v>0</v>
      </c>
      <c r="CK5179">
        <v>2</v>
      </c>
      <c r="CL5179">
        <v>0</v>
      </c>
      <c r="CM5179">
        <v>2</v>
      </c>
      <c r="CN5179">
        <v>0</v>
      </c>
      <c r="CO5179">
        <v>6</v>
      </c>
      <c r="CP5179" t="s">
        <v>119</v>
      </c>
      <c r="CQ5179">
        <v>56</v>
      </c>
      <c r="CR5179">
        <v>2</v>
      </c>
      <c r="CW5179">
        <v>5261784</v>
      </c>
      <c r="CY5179">
        <v>1</v>
      </c>
      <c r="CZ5179">
        <v>0</v>
      </c>
      <c r="DA5179">
        <v>1</v>
      </c>
      <c r="DB5179">
        <v>0</v>
      </c>
      <c r="DC5179">
        <v>0</v>
      </c>
      <c r="DD5179">
        <v>1</v>
      </c>
      <c r="DE5179">
        <v>0</v>
      </c>
      <c r="DF5179">
        <v>0</v>
      </c>
      <c r="DG5179">
        <v>0</v>
      </c>
      <c r="DH5179">
        <v>0</v>
      </c>
      <c r="DI5179">
        <v>0</v>
      </c>
    </row>
    <row r="5180" spans="1:113" x14ac:dyDescent="0.3">
      <c r="A5180" t="str">
        <f t="shared" si="2385"/>
        <v>05/12/2020 14:50:28.803</v>
      </c>
      <c r="C5180" t="str">
        <f t="shared" si="2373"/>
        <v>FFDFD3C0</v>
      </c>
      <c r="D5180" t="s">
        <v>113</v>
      </c>
      <c r="E5180">
        <v>3</v>
      </c>
      <c r="H5180">
        <v>164</v>
      </c>
      <c r="I5180" t="s">
        <v>114</v>
      </c>
      <c r="J5180" t="s">
        <v>115</v>
      </c>
      <c r="K5180">
        <v>0</v>
      </c>
      <c r="L5180">
        <v>3</v>
      </c>
      <c r="M5180">
        <v>0</v>
      </c>
      <c r="N5180">
        <v>2</v>
      </c>
      <c r="O5180">
        <v>1</v>
      </c>
      <c r="P5180">
        <v>0</v>
      </c>
      <c r="Q5180">
        <v>0</v>
      </c>
      <c r="S5180" t="str">
        <f t="shared" si="2386"/>
        <v>14:50:46.641</v>
      </c>
      <c r="T5180" t="str">
        <f t="shared" si="2387"/>
        <v>14:50:46.241</v>
      </c>
      <c r="U5180" t="str">
        <f t="shared" si="2364"/>
        <v>A9808D</v>
      </c>
      <c r="V5180">
        <v>0</v>
      </c>
      <c r="W5180">
        <v>0</v>
      </c>
      <c r="X5180">
        <v>1</v>
      </c>
      <c r="Z5180">
        <v>0</v>
      </c>
      <c r="AA5180">
        <v>9</v>
      </c>
      <c r="AB5180">
        <v>3</v>
      </c>
      <c r="AC5180">
        <v>0</v>
      </c>
      <c r="AD5180">
        <v>10</v>
      </c>
      <c r="AE5180">
        <v>0</v>
      </c>
      <c r="AF5180">
        <v>3</v>
      </c>
      <c r="AG5180">
        <v>2</v>
      </c>
      <c r="AH5180">
        <v>0</v>
      </c>
      <c r="AI5180" t="s">
        <v>1147</v>
      </c>
      <c r="AJ5180">
        <v>28.230186</v>
      </c>
      <c r="AK5180" t="s">
        <v>387</v>
      </c>
      <c r="AL5180">
        <v>-82.377504999999999</v>
      </c>
      <c r="AM5180">
        <v>100</v>
      </c>
      <c r="AN5180">
        <v>1900</v>
      </c>
      <c r="AO5180" t="s">
        <v>118</v>
      </c>
      <c r="AP5180">
        <v>-105</v>
      </c>
      <c r="AQ5180">
        <v>-55</v>
      </c>
      <c r="AR5180">
        <v>-1088</v>
      </c>
      <c r="AZ5180">
        <v>1200</v>
      </c>
      <c r="BA5180">
        <v>1</v>
      </c>
      <c r="BB5180" t="str">
        <f t="shared" si="2374"/>
        <v xml:space="preserve">N711JA  </v>
      </c>
      <c r="BC5180">
        <v>1</v>
      </c>
      <c r="BE5180">
        <v>0</v>
      </c>
      <c r="BF5180">
        <v>0</v>
      </c>
      <c r="BG5180">
        <v>0</v>
      </c>
      <c r="BH5180">
        <v>1975</v>
      </c>
      <c r="BI5180">
        <v>1</v>
      </c>
      <c r="BJ5180">
        <v>1</v>
      </c>
      <c r="BK5180">
        <v>0</v>
      </c>
      <c r="BL5180">
        <v>0</v>
      </c>
      <c r="BO5180">
        <v>0</v>
      </c>
      <c r="BP5180">
        <v>0</v>
      </c>
      <c r="BW5180" t="str">
        <f t="shared" si="2388"/>
        <v>14:50:46.645</v>
      </c>
      <c r="CJ5180">
        <v>0</v>
      </c>
      <c r="CK5180">
        <v>2</v>
      </c>
      <c r="CL5180">
        <v>0</v>
      </c>
      <c r="CM5180">
        <v>2</v>
      </c>
      <c r="CN5180">
        <v>0</v>
      </c>
      <c r="CO5180">
        <v>6</v>
      </c>
      <c r="CP5180" t="s">
        <v>119</v>
      </c>
      <c r="CQ5180">
        <v>56</v>
      </c>
      <c r="CR5180">
        <v>2</v>
      </c>
      <c r="CW5180">
        <v>5261784</v>
      </c>
      <c r="CY5180">
        <v>1</v>
      </c>
      <c r="CZ5180">
        <v>0</v>
      </c>
      <c r="DA5180">
        <v>1</v>
      </c>
      <c r="DB5180">
        <v>0</v>
      </c>
      <c r="DC5180">
        <v>0</v>
      </c>
      <c r="DD5180">
        <v>1</v>
      </c>
      <c r="DE5180">
        <v>0</v>
      </c>
      <c r="DF5180">
        <v>0</v>
      </c>
      <c r="DG5180">
        <v>0</v>
      </c>
      <c r="DH5180">
        <v>0</v>
      </c>
      <c r="DI5180">
        <v>0</v>
      </c>
    </row>
    <row r="5181" spans="1:113" x14ac:dyDescent="0.3">
      <c r="A5181" t="str">
        <f t="shared" si="2385"/>
        <v>05/12/2020 14:50:28.803</v>
      </c>
      <c r="C5181" t="str">
        <f t="shared" si="2373"/>
        <v>FFDFD3C0</v>
      </c>
      <c r="D5181" t="s">
        <v>138</v>
      </c>
      <c r="E5181">
        <v>2</v>
      </c>
      <c r="H5181">
        <v>8</v>
      </c>
      <c r="I5181" t="s">
        <v>139</v>
      </c>
      <c r="J5181" t="s">
        <v>136</v>
      </c>
      <c r="K5181">
        <v>0</v>
      </c>
      <c r="L5181">
        <v>3</v>
      </c>
      <c r="M5181">
        <v>0</v>
      </c>
      <c r="N5181">
        <v>2</v>
      </c>
      <c r="O5181">
        <v>1</v>
      </c>
      <c r="P5181">
        <v>0</v>
      </c>
      <c r="Q5181">
        <v>0</v>
      </c>
      <c r="S5181" t="str">
        <f t="shared" si="2386"/>
        <v>14:50:46.641</v>
      </c>
      <c r="T5181" t="str">
        <f t="shared" si="2387"/>
        <v>14:50:46.241</v>
      </c>
      <c r="U5181" t="str">
        <f t="shared" si="2364"/>
        <v>A9808D</v>
      </c>
      <c r="V5181">
        <v>0</v>
      </c>
      <c r="W5181">
        <v>0</v>
      </c>
      <c r="X5181">
        <v>1</v>
      </c>
      <c r="Z5181">
        <v>0</v>
      </c>
      <c r="AA5181">
        <v>9</v>
      </c>
      <c r="AB5181">
        <v>3</v>
      </c>
      <c r="AC5181">
        <v>0</v>
      </c>
      <c r="AD5181">
        <v>10</v>
      </c>
      <c r="AE5181">
        <v>0</v>
      </c>
      <c r="AF5181">
        <v>3</v>
      </c>
      <c r="AG5181">
        <v>2</v>
      </c>
      <c r="AH5181">
        <v>0</v>
      </c>
      <c r="AI5181" t="s">
        <v>1147</v>
      </c>
      <c r="AJ5181">
        <v>28.230186</v>
      </c>
      <c r="AK5181" t="s">
        <v>387</v>
      </c>
      <c r="AL5181">
        <v>-82.377504999999999</v>
      </c>
      <c r="AM5181">
        <v>100</v>
      </c>
      <c r="AN5181">
        <v>1900</v>
      </c>
      <c r="AO5181" t="s">
        <v>118</v>
      </c>
      <c r="AP5181">
        <v>-105</v>
      </c>
      <c r="AQ5181">
        <v>-55</v>
      </c>
      <c r="AR5181">
        <v>-1088</v>
      </c>
      <c r="AZ5181">
        <v>1200</v>
      </c>
      <c r="BA5181">
        <v>1</v>
      </c>
      <c r="BB5181" t="str">
        <f t="shared" si="2374"/>
        <v xml:space="preserve">N711JA  </v>
      </c>
      <c r="BC5181">
        <v>1</v>
      </c>
      <c r="BE5181">
        <v>0</v>
      </c>
      <c r="BF5181">
        <v>0</v>
      </c>
      <c r="BG5181">
        <v>0</v>
      </c>
      <c r="BH5181">
        <v>1975</v>
      </c>
      <c r="BI5181">
        <v>1</v>
      </c>
      <c r="BJ5181">
        <v>1</v>
      </c>
      <c r="BK5181">
        <v>0</v>
      </c>
      <c r="BL5181">
        <v>0</v>
      </c>
      <c r="BO5181">
        <v>0</v>
      </c>
      <c r="BP5181">
        <v>0</v>
      </c>
      <c r="BW5181" t="str">
        <f t="shared" si="2388"/>
        <v>14:50:46.645</v>
      </c>
      <c r="CJ5181">
        <v>0</v>
      </c>
      <c r="CK5181">
        <v>2</v>
      </c>
      <c r="CL5181">
        <v>0</v>
      </c>
      <c r="CM5181">
        <v>2</v>
      </c>
      <c r="CN5181">
        <v>0</v>
      </c>
      <c r="CO5181">
        <v>6</v>
      </c>
      <c r="CP5181" t="s">
        <v>119</v>
      </c>
      <c r="CQ5181">
        <v>56</v>
      </c>
      <c r="CR5181">
        <v>2</v>
      </c>
      <c r="CW5181">
        <v>5261784</v>
      </c>
      <c r="CY5181">
        <v>1</v>
      </c>
      <c r="CZ5181">
        <v>0</v>
      </c>
      <c r="DA5181">
        <v>1</v>
      </c>
      <c r="DB5181">
        <v>0</v>
      </c>
      <c r="DC5181">
        <v>0</v>
      </c>
      <c r="DD5181">
        <v>1</v>
      </c>
      <c r="DE5181">
        <v>0</v>
      </c>
      <c r="DF5181">
        <v>0</v>
      </c>
      <c r="DG5181">
        <v>0</v>
      </c>
      <c r="DH5181">
        <v>0</v>
      </c>
      <c r="DI5181">
        <v>0</v>
      </c>
    </row>
    <row r="5182" spans="1:113" x14ac:dyDescent="0.3">
      <c r="A5182" t="str">
        <f t="shared" si="2385"/>
        <v>05/12/2020 14:50:28.803</v>
      </c>
      <c r="C5182" t="str">
        <f t="shared" si="2373"/>
        <v>FFDFD3C0</v>
      </c>
      <c r="D5182" t="s">
        <v>138</v>
      </c>
      <c r="E5182">
        <v>3</v>
      </c>
      <c r="H5182">
        <v>9</v>
      </c>
      <c r="I5182" t="s">
        <v>140</v>
      </c>
      <c r="J5182" t="s">
        <v>136</v>
      </c>
      <c r="K5182">
        <v>0</v>
      </c>
      <c r="L5182">
        <v>3</v>
      </c>
      <c r="M5182">
        <v>0</v>
      </c>
      <c r="N5182">
        <v>2</v>
      </c>
      <c r="O5182">
        <v>1</v>
      </c>
      <c r="P5182">
        <v>0</v>
      </c>
      <c r="Q5182">
        <v>0</v>
      </c>
      <c r="S5182" t="str">
        <f t="shared" si="2386"/>
        <v>14:50:46.641</v>
      </c>
      <c r="T5182" t="str">
        <f t="shared" si="2387"/>
        <v>14:50:46.241</v>
      </c>
      <c r="U5182" t="str">
        <f t="shared" si="2364"/>
        <v>A9808D</v>
      </c>
      <c r="V5182">
        <v>0</v>
      </c>
      <c r="W5182">
        <v>0</v>
      </c>
      <c r="X5182">
        <v>1</v>
      </c>
      <c r="Z5182">
        <v>0</v>
      </c>
      <c r="AA5182">
        <v>9</v>
      </c>
      <c r="AB5182">
        <v>3</v>
      </c>
      <c r="AC5182">
        <v>0</v>
      </c>
      <c r="AD5182">
        <v>10</v>
      </c>
      <c r="AE5182">
        <v>0</v>
      </c>
      <c r="AF5182">
        <v>3</v>
      </c>
      <c r="AG5182">
        <v>2</v>
      </c>
      <c r="AH5182">
        <v>0</v>
      </c>
      <c r="AI5182" t="s">
        <v>1147</v>
      </c>
      <c r="AJ5182">
        <v>28.230186</v>
      </c>
      <c r="AK5182" t="s">
        <v>387</v>
      </c>
      <c r="AL5182">
        <v>-82.377504999999999</v>
      </c>
      <c r="AM5182">
        <v>100</v>
      </c>
      <c r="AN5182">
        <v>1900</v>
      </c>
      <c r="AO5182" t="s">
        <v>118</v>
      </c>
      <c r="AP5182">
        <v>-105</v>
      </c>
      <c r="AQ5182">
        <v>-55</v>
      </c>
      <c r="AR5182">
        <v>-1088</v>
      </c>
      <c r="AZ5182">
        <v>1200</v>
      </c>
      <c r="BA5182">
        <v>1</v>
      </c>
      <c r="BB5182" t="str">
        <f t="shared" si="2374"/>
        <v xml:space="preserve">N711JA  </v>
      </c>
      <c r="BC5182">
        <v>1</v>
      </c>
      <c r="BE5182">
        <v>0</v>
      </c>
      <c r="BF5182">
        <v>0</v>
      </c>
      <c r="BG5182">
        <v>0</v>
      </c>
      <c r="BH5182">
        <v>1975</v>
      </c>
      <c r="BI5182">
        <v>1</v>
      </c>
      <c r="BJ5182">
        <v>1</v>
      </c>
      <c r="BK5182">
        <v>0</v>
      </c>
      <c r="BL5182">
        <v>0</v>
      </c>
      <c r="BO5182">
        <v>0</v>
      </c>
      <c r="BP5182">
        <v>0</v>
      </c>
      <c r="BW5182" t="str">
        <f t="shared" si="2388"/>
        <v>14:50:46.645</v>
      </c>
      <c r="CJ5182">
        <v>0</v>
      </c>
      <c r="CK5182">
        <v>2</v>
      </c>
      <c r="CL5182">
        <v>0</v>
      </c>
      <c r="CM5182">
        <v>2</v>
      </c>
      <c r="CN5182">
        <v>0</v>
      </c>
      <c r="CO5182">
        <v>6</v>
      </c>
      <c r="CP5182" t="s">
        <v>119</v>
      </c>
      <c r="CQ5182">
        <v>56</v>
      </c>
      <c r="CR5182">
        <v>2</v>
      </c>
      <c r="CW5182">
        <v>5261784</v>
      </c>
      <c r="CY5182">
        <v>1</v>
      </c>
      <c r="CZ5182">
        <v>0</v>
      </c>
      <c r="DA5182">
        <v>1</v>
      </c>
      <c r="DB5182">
        <v>0</v>
      </c>
      <c r="DC5182">
        <v>0</v>
      </c>
      <c r="DD5182">
        <v>1</v>
      </c>
      <c r="DE5182">
        <v>0</v>
      </c>
      <c r="DF5182">
        <v>0</v>
      </c>
      <c r="DG5182">
        <v>0</v>
      </c>
      <c r="DH5182">
        <v>0</v>
      </c>
      <c r="DI5182">
        <v>0</v>
      </c>
    </row>
    <row r="5183" spans="1:113" x14ac:dyDescent="0.3">
      <c r="A5183" t="str">
        <f t="shared" ref="A5183:A5191" si="2389">"05/12/2020 14:50:29.784"</f>
        <v>05/12/2020 14:50:29.784</v>
      </c>
      <c r="C5183" t="str">
        <f t="shared" si="2373"/>
        <v>FFDFD3C0</v>
      </c>
      <c r="D5183" t="s">
        <v>131</v>
      </c>
      <c r="E5183">
        <v>18</v>
      </c>
      <c r="F5183">
        <v>2018</v>
      </c>
      <c r="G5183" t="s">
        <v>161</v>
      </c>
      <c r="J5183" t="s">
        <v>133</v>
      </c>
      <c r="K5183">
        <v>0</v>
      </c>
      <c r="L5183">
        <v>3</v>
      </c>
      <c r="M5183">
        <v>0</v>
      </c>
      <c r="N5183">
        <v>2</v>
      </c>
      <c r="O5183">
        <v>1</v>
      </c>
      <c r="P5183">
        <v>0</v>
      </c>
      <c r="Q5183">
        <v>0</v>
      </c>
      <c r="S5183" t="str">
        <f t="shared" ref="S5183:S5191" si="2390">"14:50:47.625"</f>
        <v>14:50:47.625</v>
      </c>
      <c r="T5183" t="str">
        <f t="shared" ref="T5183:T5191" si="2391">"14:50:47.325"</f>
        <v>14:50:47.325</v>
      </c>
      <c r="U5183" t="str">
        <f t="shared" si="2364"/>
        <v>A9808D</v>
      </c>
      <c r="V5183">
        <v>0</v>
      </c>
      <c r="W5183">
        <v>0</v>
      </c>
      <c r="X5183">
        <v>1</v>
      </c>
      <c r="Z5183">
        <v>0</v>
      </c>
      <c r="AA5183">
        <v>9</v>
      </c>
      <c r="AB5183">
        <v>3</v>
      </c>
      <c r="AC5183">
        <v>0</v>
      </c>
      <c r="AD5183">
        <v>10</v>
      </c>
      <c r="AE5183">
        <v>0</v>
      </c>
      <c r="AF5183">
        <v>3</v>
      </c>
      <c r="AG5183">
        <v>2</v>
      </c>
      <c r="AH5183">
        <v>0</v>
      </c>
      <c r="AI5183" t="s">
        <v>1148</v>
      </c>
      <c r="AJ5183">
        <v>28.229970999999999</v>
      </c>
      <c r="AK5183" t="s">
        <v>1149</v>
      </c>
      <c r="AL5183">
        <v>-82.378020000000006</v>
      </c>
      <c r="AM5183">
        <v>100</v>
      </c>
      <c r="AN5183">
        <v>1900</v>
      </c>
      <c r="AO5183" t="s">
        <v>118</v>
      </c>
      <c r="AP5183">
        <v>-106</v>
      </c>
      <c r="AQ5183">
        <v>-54</v>
      </c>
      <c r="AR5183">
        <v>-1088</v>
      </c>
      <c r="AZ5183">
        <v>1200</v>
      </c>
      <c r="BA5183">
        <v>1</v>
      </c>
      <c r="BB5183" t="str">
        <f t="shared" si="2374"/>
        <v xml:space="preserve">N711JA  </v>
      </c>
      <c r="BC5183">
        <v>1</v>
      </c>
      <c r="BE5183">
        <v>0</v>
      </c>
      <c r="BF5183">
        <v>0</v>
      </c>
      <c r="BG5183">
        <v>0</v>
      </c>
      <c r="BH5183">
        <v>1950</v>
      </c>
      <c r="BI5183">
        <v>1</v>
      </c>
      <c r="BJ5183">
        <v>1</v>
      </c>
      <c r="BK5183">
        <v>0</v>
      </c>
      <c r="BL5183">
        <v>0</v>
      </c>
      <c r="BO5183">
        <v>0</v>
      </c>
      <c r="BP5183">
        <v>0</v>
      </c>
      <c r="BW5183" t="str">
        <f t="shared" ref="BW5183:BW5191" si="2392">"14:50:47.629"</f>
        <v>14:50:47.629</v>
      </c>
      <c r="CJ5183">
        <v>0</v>
      </c>
      <c r="CK5183">
        <v>2</v>
      </c>
      <c r="CL5183">
        <v>0</v>
      </c>
      <c r="CM5183">
        <v>2</v>
      </c>
      <c r="CN5183">
        <v>0</v>
      </c>
      <c r="CO5183">
        <v>6</v>
      </c>
      <c r="CP5183" t="s">
        <v>119</v>
      </c>
      <c r="CQ5183">
        <v>343</v>
      </c>
      <c r="CR5183">
        <v>1</v>
      </c>
      <c r="CW5183">
        <v>11120760</v>
      </c>
      <c r="CY5183">
        <v>1</v>
      </c>
      <c r="CZ5183">
        <v>0</v>
      </c>
      <c r="DA5183">
        <v>0</v>
      </c>
      <c r="DB5183">
        <v>0</v>
      </c>
      <c r="DC5183">
        <v>0</v>
      </c>
      <c r="DD5183">
        <v>1</v>
      </c>
      <c r="DE5183">
        <v>0</v>
      </c>
      <c r="DF5183">
        <v>0</v>
      </c>
      <c r="DG5183">
        <v>0</v>
      </c>
      <c r="DH5183">
        <v>0</v>
      </c>
      <c r="DI5183">
        <v>0</v>
      </c>
    </row>
    <row r="5184" spans="1:113" x14ac:dyDescent="0.3">
      <c r="A5184" t="str">
        <f t="shared" si="2389"/>
        <v>05/12/2020 14:50:29.784</v>
      </c>
      <c r="C5184" t="str">
        <f t="shared" si="2373"/>
        <v>FFDFD3C0</v>
      </c>
      <c r="D5184" t="s">
        <v>113</v>
      </c>
      <c r="E5184">
        <v>3</v>
      </c>
      <c r="H5184">
        <v>164</v>
      </c>
      <c r="I5184" t="s">
        <v>114</v>
      </c>
      <c r="J5184" t="s">
        <v>115</v>
      </c>
      <c r="K5184">
        <v>0</v>
      </c>
      <c r="L5184">
        <v>3</v>
      </c>
      <c r="M5184">
        <v>0</v>
      </c>
      <c r="N5184">
        <v>2</v>
      </c>
      <c r="O5184">
        <v>1</v>
      </c>
      <c r="P5184">
        <v>0</v>
      </c>
      <c r="Q5184">
        <v>0</v>
      </c>
      <c r="S5184" t="str">
        <f t="shared" si="2390"/>
        <v>14:50:47.625</v>
      </c>
      <c r="T5184" t="str">
        <f t="shared" si="2391"/>
        <v>14:50:47.325</v>
      </c>
      <c r="U5184" t="str">
        <f t="shared" si="2364"/>
        <v>A9808D</v>
      </c>
      <c r="V5184">
        <v>0</v>
      </c>
      <c r="W5184">
        <v>0</v>
      </c>
      <c r="X5184">
        <v>1</v>
      </c>
      <c r="Z5184">
        <v>0</v>
      </c>
      <c r="AA5184">
        <v>9</v>
      </c>
      <c r="AB5184">
        <v>3</v>
      </c>
      <c r="AC5184">
        <v>0</v>
      </c>
      <c r="AD5184">
        <v>10</v>
      </c>
      <c r="AE5184">
        <v>0</v>
      </c>
      <c r="AF5184">
        <v>3</v>
      </c>
      <c r="AG5184">
        <v>2</v>
      </c>
      <c r="AH5184">
        <v>0</v>
      </c>
      <c r="AI5184" t="s">
        <v>1148</v>
      </c>
      <c r="AJ5184">
        <v>28.229970999999999</v>
      </c>
      <c r="AK5184" t="s">
        <v>1149</v>
      </c>
      <c r="AL5184">
        <v>-82.378020000000006</v>
      </c>
      <c r="AM5184">
        <v>100</v>
      </c>
      <c r="AN5184">
        <v>1900</v>
      </c>
      <c r="AO5184" t="s">
        <v>118</v>
      </c>
      <c r="AP5184">
        <v>-106</v>
      </c>
      <c r="AQ5184">
        <v>-54</v>
      </c>
      <c r="AR5184">
        <v>-1088</v>
      </c>
      <c r="AZ5184">
        <v>1200</v>
      </c>
      <c r="BA5184">
        <v>1</v>
      </c>
      <c r="BB5184" t="str">
        <f t="shared" si="2374"/>
        <v xml:space="preserve">N711JA  </v>
      </c>
      <c r="BC5184">
        <v>1</v>
      </c>
      <c r="BE5184">
        <v>0</v>
      </c>
      <c r="BF5184">
        <v>0</v>
      </c>
      <c r="BG5184">
        <v>0</v>
      </c>
      <c r="BH5184">
        <v>1950</v>
      </c>
      <c r="BI5184">
        <v>1</v>
      </c>
      <c r="BJ5184">
        <v>1</v>
      </c>
      <c r="BK5184">
        <v>0</v>
      </c>
      <c r="BL5184">
        <v>0</v>
      </c>
      <c r="BO5184">
        <v>0</v>
      </c>
      <c r="BP5184">
        <v>0</v>
      </c>
      <c r="BW5184" t="str">
        <f t="shared" si="2392"/>
        <v>14:50:47.629</v>
      </c>
      <c r="CJ5184">
        <v>0</v>
      </c>
      <c r="CK5184">
        <v>2</v>
      </c>
      <c r="CL5184">
        <v>0</v>
      </c>
      <c r="CM5184">
        <v>2</v>
      </c>
      <c r="CN5184">
        <v>0</v>
      </c>
      <c r="CO5184">
        <v>6</v>
      </c>
      <c r="CP5184" t="s">
        <v>119</v>
      </c>
      <c r="CQ5184">
        <v>8</v>
      </c>
      <c r="CR5184">
        <v>3</v>
      </c>
      <c r="CW5184">
        <v>9243898</v>
      </c>
      <c r="CY5184">
        <v>1</v>
      </c>
      <c r="CZ5184">
        <v>0</v>
      </c>
      <c r="DA5184">
        <v>1</v>
      </c>
      <c r="DB5184">
        <v>0</v>
      </c>
      <c r="DC5184">
        <v>0</v>
      </c>
      <c r="DD5184">
        <v>1</v>
      </c>
      <c r="DE5184">
        <v>0</v>
      </c>
      <c r="DF5184">
        <v>0</v>
      </c>
      <c r="DG5184">
        <v>0</v>
      </c>
      <c r="DH5184">
        <v>0</v>
      </c>
      <c r="DI5184">
        <v>0</v>
      </c>
    </row>
    <row r="5185" spans="1:113" x14ac:dyDescent="0.3">
      <c r="A5185" t="str">
        <f t="shared" si="2389"/>
        <v>05/12/2020 14:50:29.784</v>
      </c>
      <c r="C5185" t="str">
        <f t="shared" si="2373"/>
        <v>FFDFD3C0</v>
      </c>
      <c r="D5185" t="s">
        <v>138</v>
      </c>
      <c r="E5185">
        <v>2</v>
      </c>
      <c r="H5185">
        <v>8</v>
      </c>
      <c r="I5185" t="s">
        <v>139</v>
      </c>
      <c r="J5185" t="s">
        <v>136</v>
      </c>
      <c r="K5185">
        <v>0</v>
      </c>
      <c r="L5185">
        <v>3</v>
      </c>
      <c r="M5185">
        <v>0</v>
      </c>
      <c r="N5185">
        <v>2</v>
      </c>
      <c r="O5185">
        <v>1</v>
      </c>
      <c r="P5185">
        <v>0</v>
      </c>
      <c r="Q5185">
        <v>0</v>
      </c>
      <c r="S5185" t="str">
        <f t="shared" si="2390"/>
        <v>14:50:47.625</v>
      </c>
      <c r="T5185" t="str">
        <f t="shared" si="2391"/>
        <v>14:50:47.325</v>
      </c>
      <c r="U5185" t="str">
        <f t="shared" si="2364"/>
        <v>A9808D</v>
      </c>
      <c r="V5185">
        <v>0</v>
      </c>
      <c r="W5185">
        <v>0</v>
      </c>
      <c r="X5185">
        <v>1</v>
      </c>
      <c r="Z5185">
        <v>0</v>
      </c>
      <c r="AA5185">
        <v>9</v>
      </c>
      <c r="AB5185">
        <v>3</v>
      </c>
      <c r="AC5185">
        <v>0</v>
      </c>
      <c r="AD5185">
        <v>10</v>
      </c>
      <c r="AE5185">
        <v>0</v>
      </c>
      <c r="AF5185">
        <v>3</v>
      </c>
      <c r="AG5185">
        <v>2</v>
      </c>
      <c r="AH5185">
        <v>0</v>
      </c>
      <c r="AI5185" t="s">
        <v>1148</v>
      </c>
      <c r="AJ5185">
        <v>28.229970999999999</v>
      </c>
      <c r="AK5185" t="s">
        <v>1149</v>
      </c>
      <c r="AL5185">
        <v>-82.378020000000006</v>
      </c>
      <c r="AM5185">
        <v>100</v>
      </c>
      <c r="AN5185">
        <v>1900</v>
      </c>
      <c r="AO5185" t="s">
        <v>118</v>
      </c>
      <c r="AP5185">
        <v>-106</v>
      </c>
      <c r="AQ5185">
        <v>-54</v>
      </c>
      <c r="AR5185">
        <v>-1088</v>
      </c>
      <c r="AZ5185">
        <v>1200</v>
      </c>
      <c r="BA5185">
        <v>1</v>
      </c>
      <c r="BB5185" t="str">
        <f t="shared" si="2374"/>
        <v xml:space="preserve">N711JA  </v>
      </c>
      <c r="BC5185">
        <v>1</v>
      </c>
      <c r="BE5185">
        <v>0</v>
      </c>
      <c r="BF5185">
        <v>0</v>
      </c>
      <c r="BG5185">
        <v>0</v>
      </c>
      <c r="BH5185">
        <v>1950</v>
      </c>
      <c r="BI5185">
        <v>1</v>
      </c>
      <c r="BJ5185">
        <v>1</v>
      </c>
      <c r="BK5185">
        <v>0</v>
      </c>
      <c r="BL5185">
        <v>0</v>
      </c>
      <c r="BO5185">
        <v>0</v>
      </c>
      <c r="BP5185">
        <v>0</v>
      </c>
      <c r="BW5185" t="str">
        <f t="shared" si="2392"/>
        <v>14:50:47.629</v>
      </c>
      <c r="CJ5185">
        <v>0</v>
      </c>
      <c r="CK5185">
        <v>2</v>
      </c>
      <c r="CL5185">
        <v>0</v>
      </c>
      <c r="CM5185">
        <v>2</v>
      </c>
      <c r="CN5185">
        <v>0</v>
      </c>
      <c r="CO5185">
        <v>6</v>
      </c>
      <c r="CP5185" t="s">
        <v>119</v>
      </c>
      <c r="CQ5185">
        <v>8</v>
      </c>
      <c r="CR5185">
        <v>3</v>
      </c>
      <c r="CW5185">
        <v>9243898</v>
      </c>
      <c r="CY5185">
        <v>1</v>
      </c>
      <c r="CZ5185">
        <v>0</v>
      </c>
      <c r="DA5185">
        <v>1</v>
      </c>
      <c r="DB5185">
        <v>0</v>
      </c>
      <c r="DC5185">
        <v>0</v>
      </c>
      <c r="DD5185">
        <v>1</v>
      </c>
      <c r="DE5185">
        <v>0</v>
      </c>
      <c r="DF5185">
        <v>0</v>
      </c>
      <c r="DG5185">
        <v>0</v>
      </c>
      <c r="DH5185">
        <v>0</v>
      </c>
      <c r="DI5185">
        <v>0</v>
      </c>
    </row>
    <row r="5186" spans="1:113" x14ac:dyDescent="0.3">
      <c r="A5186" t="str">
        <f t="shared" si="2389"/>
        <v>05/12/2020 14:50:29.784</v>
      </c>
      <c r="C5186" t="str">
        <f t="shared" si="2373"/>
        <v>FFDFD3C0</v>
      </c>
      <c r="D5186" t="s">
        <v>126</v>
      </c>
      <c r="E5186">
        <v>6</v>
      </c>
      <c r="F5186">
        <v>1006</v>
      </c>
      <c r="G5186" t="s">
        <v>114</v>
      </c>
      <c r="J5186" t="s">
        <v>128</v>
      </c>
      <c r="K5186">
        <v>0</v>
      </c>
      <c r="L5186">
        <v>3</v>
      </c>
      <c r="M5186">
        <v>0</v>
      </c>
      <c r="N5186">
        <v>2</v>
      </c>
      <c r="O5186">
        <v>1</v>
      </c>
      <c r="P5186">
        <v>0</v>
      </c>
      <c r="Q5186">
        <v>0</v>
      </c>
      <c r="S5186" t="str">
        <f t="shared" si="2390"/>
        <v>14:50:47.625</v>
      </c>
      <c r="T5186" t="str">
        <f t="shared" si="2391"/>
        <v>14:50:47.325</v>
      </c>
      <c r="U5186" t="str">
        <f t="shared" ref="U5186:U5249" si="2393">"A9808D"</f>
        <v>A9808D</v>
      </c>
      <c r="V5186">
        <v>0</v>
      </c>
      <c r="W5186">
        <v>0</v>
      </c>
      <c r="X5186">
        <v>1</v>
      </c>
      <c r="Z5186">
        <v>0</v>
      </c>
      <c r="AA5186">
        <v>9</v>
      </c>
      <c r="AB5186">
        <v>3</v>
      </c>
      <c r="AC5186">
        <v>0</v>
      </c>
      <c r="AD5186">
        <v>10</v>
      </c>
      <c r="AE5186">
        <v>0</v>
      </c>
      <c r="AF5186">
        <v>3</v>
      </c>
      <c r="AG5186">
        <v>2</v>
      </c>
      <c r="AH5186">
        <v>0</v>
      </c>
      <c r="AI5186" t="s">
        <v>1148</v>
      </c>
      <c r="AJ5186">
        <v>28.229970999999999</v>
      </c>
      <c r="AK5186" t="s">
        <v>1149</v>
      </c>
      <c r="AL5186">
        <v>-82.378020000000006</v>
      </c>
      <c r="AM5186">
        <v>100</v>
      </c>
      <c r="AN5186">
        <v>1900</v>
      </c>
      <c r="AO5186" t="s">
        <v>118</v>
      </c>
      <c r="AP5186">
        <v>-106</v>
      </c>
      <c r="AQ5186">
        <v>-54</v>
      </c>
      <c r="AR5186">
        <v>-1088</v>
      </c>
      <c r="AZ5186">
        <v>1200</v>
      </c>
      <c r="BA5186">
        <v>1</v>
      </c>
      <c r="BB5186" t="str">
        <f t="shared" si="2374"/>
        <v xml:space="preserve">N711JA  </v>
      </c>
      <c r="BC5186">
        <v>1</v>
      </c>
      <c r="BE5186">
        <v>0</v>
      </c>
      <c r="BF5186">
        <v>0</v>
      </c>
      <c r="BG5186">
        <v>0</v>
      </c>
      <c r="BH5186">
        <v>1950</v>
      </c>
      <c r="BI5186">
        <v>1</v>
      </c>
      <c r="BJ5186">
        <v>1</v>
      </c>
      <c r="BK5186">
        <v>0</v>
      </c>
      <c r="BL5186">
        <v>0</v>
      </c>
      <c r="BO5186">
        <v>0</v>
      </c>
      <c r="BP5186">
        <v>0</v>
      </c>
      <c r="BW5186" t="str">
        <f t="shared" si="2392"/>
        <v>14:50:47.629</v>
      </c>
      <c r="CJ5186">
        <v>0</v>
      </c>
      <c r="CK5186">
        <v>2</v>
      </c>
      <c r="CL5186">
        <v>0</v>
      </c>
      <c r="CM5186">
        <v>2</v>
      </c>
      <c r="CN5186">
        <v>0</v>
      </c>
      <c r="CO5186">
        <v>6</v>
      </c>
      <c r="CP5186" t="s">
        <v>119</v>
      </c>
      <c r="CQ5186">
        <v>358</v>
      </c>
      <c r="CR5186">
        <v>0</v>
      </c>
      <c r="CW5186">
        <v>5230329</v>
      </c>
      <c r="CY5186">
        <v>1</v>
      </c>
      <c r="CZ5186">
        <v>0</v>
      </c>
      <c r="DA5186">
        <v>1</v>
      </c>
      <c r="DB5186">
        <v>0</v>
      </c>
      <c r="DC5186">
        <v>0</v>
      </c>
      <c r="DD5186">
        <v>1</v>
      </c>
      <c r="DE5186">
        <v>0</v>
      </c>
      <c r="DF5186">
        <v>0</v>
      </c>
      <c r="DG5186">
        <v>0</v>
      </c>
      <c r="DH5186">
        <v>0</v>
      </c>
      <c r="DI5186">
        <v>0</v>
      </c>
    </row>
    <row r="5187" spans="1:113" x14ac:dyDescent="0.3">
      <c r="A5187" t="str">
        <f t="shared" si="2389"/>
        <v>05/12/2020 14:50:29.784</v>
      </c>
      <c r="C5187" t="str">
        <f t="shared" si="2373"/>
        <v>FFDFD3C0</v>
      </c>
      <c r="D5187" t="s">
        <v>138</v>
      </c>
      <c r="E5187">
        <v>3</v>
      </c>
      <c r="H5187">
        <v>9</v>
      </c>
      <c r="I5187" t="s">
        <v>140</v>
      </c>
      <c r="J5187" t="s">
        <v>136</v>
      </c>
      <c r="K5187">
        <v>0</v>
      </c>
      <c r="L5187">
        <v>3</v>
      </c>
      <c r="M5187">
        <v>0</v>
      </c>
      <c r="N5187">
        <v>2</v>
      </c>
      <c r="O5187">
        <v>1</v>
      </c>
      <c r="P5187">
        <v>0</v>
      </c>
      <c r="Q5187">
        <v>0</v>
      </c>
      <c r="S5187" t="str">
        <f t="shared" si="2390"/>
        <v>14:50:47.625</v>
      </c>
      <c r="T5187" t="str">
        <f t="shared" si="2391"/>
        <v>14:50:47.325</v>
      </c>
      <c r="U5187" t="str">
        <f t="shared" si="2393"/>
        <v>A9808D</v>
      </c>
      <c r="V5187">
        <v>0</v>
      </c>
      <c r="W5187">
        <v>0</v>
      </c>
      <c r="X5187">
        <v>1</v>
      </c>
      <c r="Z5187">
        <v>0</v>
      </c>
      <c r="AA5187">
        <v>9</v>
      </c>
      <c r="AB5187">
        <v>3</v>
      </c>
      <c r="AC5187">
        <v>0</v>
      </c>
      <c r="AD5187">
        <v>10</v>
      </c>
      <c r="AE5187">
        <v>0</v>
      </c>
      <c r="AF5187">
        <v>3</v>
      </c>
      <c r="AG5187">
        <v>2</v>
      </c>
      <c r="AH5187">
        <v>0</v>
      </c>
      <c r="AI5187" t="s">
        <v>1148</v>
      </c>
      <c r="AJ5187">
        <v>28.229970999999999</v>
      </c>
      <c r="AK5187" t="s">
        <v>1149</v>
      </c>
      <c r="AL5187">
        <v>-82.378020000000006</v>
      </c>
      <c r="AM5187">
        <v>100</v>
      </c>
      <c r="AN5187">
        <v>1900</v>
      </c>
      <c r="AO5187" t="s">
        <v>118</v>
      </c>
      <c r="AP5187">
        <v>-106</v>
      </c>
      <c r="AQ5187">
        <v>-54</v>
      </c>
      <c r="AR5187">
        <v>-1088</v>
      </c>
      <c r="AZ5187">
        <v>1200</v>
      </c>
      <c r="BA5187">
        <v>1</v>
      </c>
      <c r="BB5187" t="str">
        <f t="shared" si="2374"/>
        <v xml:space="preserve">N711JA  </v>
      </c>
      <c r="BC5187">
        <v>1</v>
      </c>
      <c r="BE5187">
        <v>0</v>
      </c>
      <c r="BF5187">
        <v>0</v>
      </c>
      <c r="BG5187">
        <v>0</v>
      </c>
      <c r="BH5187">
        <v>1950</v>
      </c>
      <c r="BI5187">
        <v>1</v>
      </c>
      <c r="BJ5187">
        <v>1</v>
      </c>
      <c r="BK5187">
        <v>0</v>
      </c>
      <c r="BL5187">
        <v>0</v>
      </c>
      <c r="BO5187">
        <v>0</v>
      </c>
      <c r="BP5187">
        <v>0</v>
      </c>
      <c r="BW5187" t="str">
        <f t="shared" si="2392"/>
        <v>14:50:47.629</v>
      </c>
      <c r="CJ5187">
        <v>0</v>
      </c>
      <c r="CK5187">
        <v>2</v>
      </c>
      <c r="CL5187">
        <v>0</v>
      </c>
      <c r="CM5187">
        <v>2</v>
      </c>
      <c r="CN5187">
        <v>0</v>
      </c>
      <c r="CO5187">
        <v>6</v>
      </c>
      <c r="CP5187" t="s">
        <v>119</v>
      </c>
      <c r="CQ5187">
        <v>358</v>
      </c>
      <c r="CR5187">
        <v>0</v>
      </c>
      <c r="CW5187">
        <v>5230329</v>
      </c>
      <c r="CY5187">
        <v>1</v>
      </c>
      <c r="CZ5187">
        <v>0</v>
      </c>
      <c r="DA5187">
        <v>1</v>
      </c>
      <c r="DB5187">
        <v>0</v>
      </c>
      <c r="DC5187">
        <v>0</v>
      </c>
      <c r="DD5187">
        <v>1</v>
      </c>
      <c r="DE5187">
        <v>0</v>
      </c>
      <c r="DF5187">
        <v>0</v>
      </c>
      <c r="DG5187">
        <v>0</v>
      </c>
      <c r="DH5187">
        <v>0</v>
      </c>
      <c r="DI5187">
        <v>0</v>
      </c>
    </row>
    <row r="5188" spans="1:113" x14ac:dyDescent="0.3">
      <c r="A5188" t="str">
        <f t="shared" si="2389"/>
        <v>05/12/2020 14:50:29.784</v>
      </c>
      <c r="C5188" t="str">
        <f t="shared" si="2373"/>
        <v>FFDFD3C0</v>
      </c>
      <c r="D5188" t="s">
        <v>134</v>
      </c>
      <c r="E5188">
        <v>12</v>
      </c>
      <c r="H5188">
        <v>64</v>
      </c>
      <c r="I5188" t="s">
        <v>135</v>
      </c>
      <c r="J5188" t="s">
        <v>136</v>
      </c>
      <c r="K5188">
        <v>0</v>
      </c>
      <c r="L5188">
        <v>3</v>
      </c>
      <c r="M5188">
        <v>0</v>
      </c>
      <c r="N5188">
        <v>2</v>
      </c>
      <c r="O5188">
        <v>1</v>
      </c>
      <c r="P5188">
        <v>0</v>
      </c>
      <c r="Q5188">
        <v>0</v>
      </c>
      <c r="S5188" t="str">
        <f t="shared" si="2390"/>
        <v>14:50:47.625</v>
      </c>
      <c r="T5188" t="str">
        <f t="shared" si="2391"/>
        <v>14:50:47.325</v>
      </c>
      <c r="U5188" t="str">
        <f t="shared" si="2393"/>
        <v>A9808D</v>
      </c>
      <c r="V5188">
        <v>0</v>
      </c>
      <c r="W5188">
        <v>0</v>
      </c>
      <c r="X5188">
        <v>1</v>
      </c>
      <c r="Z5188">
        <v>0</v>
      </c>
      <c r="AA5188">
        <v>9</v>
      </c>
      <c r="AB5188">
        <v>3</v>
      </c>
      <c r="AC5188">
        <v>0</v>
      </c>
      <c r="AD5188">
        <v>10</v>
      </c>
      <c r="AE5188">
        <v>0</v>
      </c>
      <c r="AF5188">
        <v>3</v>
      </c>
      <c r="AG5188">
        <v>2</v>
      </c>
      <c r="AH5188">
        <v>0</v>
      </c>
      <c r="AI5188" t="s">
        <v>1148</v>
      </c>
      <c r="AJ5188">
        <v>28.229970999999999</v>
      </c>
      <c r="AK5188" t="s">
        <v>1149</v>
      </c>
      <c r="AL5188">
        <v>-82.378020000000006</v>
      </c>
      <c r="AM5188">
        <v>100</v>
      </c>
      <c r="AN5188">
        <v>1900</v>
      </c>
      <c r="AO5188" t="s">
        <v>118</v>
      </c>
      <c r="AP5188">
        <v>-106</v>
      </c>
      <c r="AQ5188">
        <v>-54</v>
      </c>
      <c r="AR5188">
        <v>-1088</v>
      </c>
      <c r="AZ5188">
        <v>1200</v>
      </c>
      <c r="BA5188">
        <v>1</v>
      </c>
      <c r="BB5188" t="str">
        <f t="shared" si="2374"/>
        <v xml:space="preserve">N711JA  </v>
      </c>
      <c r="BC5188">
        <v>1</v>
      </c>
      <c r="BE5188">
        <v>0</v>
      </c>
      <c r="BF5188">
        <v>0</v>
      </c>
      <c r="BG5188">
        <v>0</v>
      </c>
      <c r="BH5188">
        <v>1950</v>
      </c>
      <c r="BI5188">
        <v>1</v>
      </c>
      <c r="BJ5188">
        <v>1</v>
      </c>
      <c r="BK5188">
        <v>0</v>
      </c>
      <c r="BL5188">
        <v>0</v>
      </c>
      <c r="BO5188">
        <v>0</v>
      </c>
      <c r="BP5188">
        <v>0</v>
      </c>
      <c r="BW5188" t="str">
        <f t="shared" si="2392"/>
        <v>14:50:47.629</v>
      </c>
      <c r="CJ5188">
        <v>0</v>
      </c>
      <c r="CK5188">
        <v>2</v>
      </c>
      <c r="CL5188">
        <v>0</v>
      </c>
      <c r="CM5188">
        <v>2</v>
      </c>
      <c r="CN5188">
        <v>0</v>
      </c>
      <c r="CO5188">
        <v>6</v>
      </c>
      <c r="CP5188" t="s">
        <v>119</v>
      </c>
      <c r="CQ5188">
        <v>358</v>
      </c>
      <c r="CR5188">
        <v>0</v>
      </c>
      <c r="CW5188">
        <v>5230329</v>
      </c>
      <c r="CY5188">
        <v>1</v>
      </c>
      <c r="CZ5188">
        <v>0</v>
      </c>
      <c r="DA5188">
        <v>1</v>
      </c>
      <c r="DB5188">
        <v>0</v>
      </c>
      <c r="DC5188">
        <v>0</v>
      </c>
      <c r="DD5188">
        <v>1</v>
      </c>
      <c r="DE5188">
        <v>0</v>
      </c>
      <c r="DF5188">
        <v>0</v>
      </c>
      <c r="DG5188">
        <v>0</v>
      </c>
      <c r="DH5188">
        <v>0</v>
      </c>
      <c r="DI5188">
        <v>0</v>
      </c>
    </row>
    <row r="5189" spans="1:113" x14ac:dyDescent="0.3">
      <c r="A5189" t="str">
        <f t="shared" si="2389"/>
        <v>05/12/2020 14:50:29.784</v>
      </c>
      <c r="C5189" t="str">
        <f t="shared" si="2373"/>
        <v>FFDFD3C0</v>
      </c>
      <c r="D5189" t="s">
        <v>126</v>
      </c>
      <c r="E5189">
        <v>7</v>
      </c>
      <c r="F5189">
        <v>1007</v>
      </c>
      <c r="G5189" t="s">
        <v>127</v>
      </c>
      <c r="J5189" t="s">
        <v>128</v>
      </c>
      <c r="K5189">
        <v>0</v>
      </c>
      <c r="L5189">
        <v>3</v>
      </c>
      <c r="M5189">
        <v>0</v>
      </c>
      <c r="N5189">
        <v>2</v>
      </c>
      <c r="O5189">
        <v>1</v>
      </c>
      <c r="P5189">
        <v>0</v>
      </c>
      <c r="Q5189">
        <v>0</v>
      </c>
      <c r="S5189" t="str">
        <f t="shared" si="2390"/>
        <v>14:50:47.625</v>
      </c>
      <c r="T5189" t="str">
        <f t="shared" si="2391"/>
        <v>14:50:47.325</v>
      </c>
      <c r="U5189" t="str">
        <f t="shared" si="2393"/>
        <v>A9808D</v>
      </c>
      <c r="V5189">
        <v>0</v>
      </c>
      <c r="W5189">
        <v>0</v>
      </c>
      <c r="X5189">
        <v>1</v>
      </c>
      <c r="Z5189">
        <v>0</v>
      </c>
      <c r="AA5189">
        <v>9</v>
      </c>
      <c r="AB5189">
        <v>3</v>
      </c>
      <c r="AC5189">
        <v>0</v>
      </c>
      <c r="AD5189">
        <v>10</v>
      </c>
      <c r="AE5189">
        <v>0</v>
      </c>
      <c r="AF5189">
        <v>3</v>
      </c>
      <c r="AG5189">
        <v>2</v>
      </c>
      <c r="AH5189">
        <v>0</v>
      </c>
      <c r="AI5189" t="s">
        <v>1148</v>
      </c>
      <c r="AJ5189">
        <v>28.229970999999999</v>
      </c>
      <c r="AK5189" t="s">
        <v>1149</v>
      </c>
      <c r="AL5189">
        <v>-82.378020000000006</v>
      </c>
      <c r="AM5189">
        <v>100</v>
      </c>
      <c r="AN5189">
        <v>1900</v>
      </c>
      <c r="AO5189" t="s">
        <v>118</v>
      </c>
      <c r="AP5189">
        <v>-106</v>
      </c>
      <c r="AQ5189">
        <v>-54</v>
      </c>
      <c r="AR5189">
        <v>-1088</v>
      </c>
      <c r="AZ5189">
        <v>1200</v>
      </c>
      <c r="BA5189">
        <v>1</v>
      </c>
      <c r="BB5189" t="str">
        <f t="shared" si="2374"/>
        <v xml:space="preserve">N711JA  </v>
      </c>
      <c r="BC5189">
        <v>1</v>
      </c>
      <c r="BE5189">
        <v>0</v>
      </c>
      <c r="BF5189">
        <v>0</v>
      </c>
      <c r="BG5189">
        <v>0</v>
      </c>
      <c r="BH5189">
        <v>1950</v>
      </c>
      <c r="BI5189">
        <v>1</v>
      </c>
      <c r="BJ5189">
        <v>1</v>
      </c>
      <c r="BK5189">
        <v>0</v>
      </c>
      <c r="BL5189">
        <v>0</v>
      </c>
      <c r="BO5189">
        <v>0</v>
      </c>
      <c r="BP5189">
        <v>0</v>
      </c>
      <c r="BW5189" t="str">
        <f t="shared" si="2392"/>
        <v>14:50:47.629</v>
      </c>
      <c r="CJ5189">
        <v>0</v>
      </c>
      <c r="CK5189">
        <v>2</v>
      </c>
      <c r="CL5189">
        <v>0</v>
      </c>
      <c r="CM5189">
        <v>2</v>
      </c>
      <c r="CN5189">
        <v>0</v>
      </c>
      <c r="CO5189">
        <v>6</v>
      </c>
      <c r="CP5189" t="s">
        <v>119</v>
      </c>
      <c r="CQ5189">
        <v>358</v>
      </c>
      <c r="CR5189">
        <v>0</v>
      </c>
      <c r="CW5189">
        <v>5230329</v>
      </c>
      <c r="CY5189">
        <v>1</v>
      </c>
      <c r="CZ5189">
        <v>0</v>
      </c>
      <c r="DA5189">
        <v>1</v>
      </c>
      <c r="DB5189">
        <v>0</v>
      </c>
      <c r="DC5189">
        <v>0</v>
      </c>
      <c r="DD5189">
        <v>1</v>
      </c>
      <c r="DE5189">
        <v>0</v>
      </c>
      <c r="DF5189">
        <v>0</v>
      </c>
      <c r="DG5189">
        <v>0</v>
      </c>
      <c r="DH5189">
        <v>0</v>
      </c>
      <c r="DI5189">
        <v>0</v>
      </c>
    </row>
    <row r="5190" spans="1:113" x14ac:dyDescent="0.3">
      <c r="A5190" t="str">
        <f t="shared" si="2389"/>
        <v>05/12/2020 14:50:29.784</v>
      </c>
      <c r="C5190" t="str">
        <f t="shared" si="2373"/>
        <v>FFDFD3C0</v>
      </c>
      <c r="D5190" t="s">
        <v>131</v>
      </c>
      <c r="E5190">
        <v>10</v>
      </c>
      <c r="F5190">
        <v>2010</v>
      </c>
      <c r="G5190" t="s">
        <v>132</v>
      </c>
      <c r="J5190" t="s">
        <v>133</v>
      </c>
      <c r="K5190">
        <v>0</v>
      </c>
      <c r="L5190">
        <v>3</v>
      </c>
      <c r="M5190">
        <v>0</v>
      </c>
      <c r="N5190">
        <v>2</v>
      </c>
      <c r="O5190">
        <v>1</v>
      </c>
      <c r="P5190">
        <v>0</v>
      </c>
      <c r="Q5190">
        <v>0</v>
      </c>
      <c r="S5190" t="str">
        <f t="shared" si="2390"/>
        <v>14:50:47.625</v>
      </c>
      <c r="T5190" t="str">
        <f t="shared" si="2391"/>
        <v>14:50:47.325</v>
      </c>
      <c r="U5190" t="str">
        <f t="shared" si="2393"/>
        <v>A9808D</v>
      </c>
      <c r="V5190">
        <v>0</v>
      </c>
      <c r="W5190">
        <v>0</v>
      </c>
      <c r="X5190">
        <v>1</v>
      </c>
      <c r="Z5190">
        <v>0</v>
      </c>
      <c r="AA5190">
        <v>9</v>
      </c>
      <c r="AB5190">
        <v>3</v>
      </c>
      <c r="AC5190">
        <v>0</v>
      </c>
      <c r="AD5190">
        <v>10</v>
      </c>
      <c r="AE5190">
        <v>0</v>
      </c>
      <c r="AF5190">
        <v>3</v>
      </c>
      <c r="AG5190">
        <v>2</v>
      </c>
      <c r="AH5190">
        <v>0</v>
      </c>
      <c r="AI5190" t="s">
        <v>1148</v>
      </c>
      <c r="AJ5190">
        <v>28.229970999999999</v>
      </c>
      <c r="AK5190" t="s">
        <v>1149</v>
      </c>
      <c r="AL5190">
        <v>-82.378020000000006</v>
      </c>
      <c r="AM5190">
        <v>100</v>
      </c>
      <c r="AN5190">
        <v>1900</v>
      </c>
      <c r="AO5190" t="s">
        <v>118</v>
      </c>
      <c r="AP5190">
        <v>-106</v>
      </c>
      <c r="AQ5190">
        <v>-54</v>
      </c>
      <c r="AR5190">
        <v>-1088</v>
      </c>
      <c r="AZ5190">
        <v>1200</v>
      </c>
      <c r="BA5190">
        <v>1</v>
      </c>
      <c r="BB5190" t="str">
        <f t="shared" si="2374"/>
        <v xml:space="preserve">N711JA  </v>
      </c>
      <c r="BC5190">
        <v>1</v>
      </c>
      <c r="BE5190">
        <v>0</v>
      </c>
      <c r="BF5190">
        <v>0</v>
      </c>
      <c r="BG5190">
        <v>0</v>
      </c>
      <c r="BH5190">
        <v>1950</v>
      </c>
      <c r="BI5190">
        <v>1</v>
      </c>
      <c r="BJ5190">
        <v>1</v>
      </c>
      <c r="BK5190">
        <v>0</v>
      </c>
      <c r="BL5190">
        <v>0</v>
      </c>
      <c r="BO5190">
        <v>0</v>
      </c>
      <c r="BP5190">
        <v>0</v>
      </c>
      <c r="BW5190" t="str">
        <f t="shared" si="2392"/>
        <v>14:50:47.629</v>
      </c>
      <c r="CJ5190">
        <v>0</v>
      </c>
      <c r="CK5190">
        <v>2</v>
      </c>
      <c r="CL5190">
        <v>0</v>
      </c>
      <c r="CM5190">
        <v>2</v>
      </c>
      <c r="CN5190">
        <v>0</v>
      </c>
      <c r="CO5190">
        <v>6</v>
      </c>
      <c r="CP5190" t="s">
        <v>119</v>
      </c>
      <c r="CQ5190">
        <v>358</v>
      </c>
      <c r="CR5190">
        <v>0</v>
      </c>
      <c r="CW5190">
        <v>5230329</v>
      </c>
      <c r="CY5190">
        <v>1</v>
      </c>
      <c r="CZ5190">
        <v>0</v>
      </c>
      <c r="DA5190">
        <v>1</v>
      </c>
      <c r="DB5190">
        <v>0</v>
      </c>
      <c r="DC5190">
        <v>0</v>
      </c>
      <c r="DD5190">
        <v>1</v>
      </c>
      <c r="DE5190">
        <v>0</v>
      </c>
      <c r="DF5190">
        <v>0</v>
      </c>
      <c r="DG5190">
        <v>0</v>
      </c>
      <c r="DH5190">
        <v>0</v>
      </c>
      <c r="DI5190">
        <v>0</v>
      </c>
    </row>
    <row r="5191" spans="1:113" x14ac:dyDescent="0.3">
      <c r="A5191" t="str">
        <f t="shared" si="2389"/>
        <v>05/12/2020 14:50:29.784</v>
      </c>
      <c r="C5191" t="str">
        <f t="shared" si="2373"/>
        <v>FFDFD3C0</v>
      </c>
      <c r="D5191" t="s">
        <v>131</v>
      </c>
      <c r="E5191">
        <v>12</v>
      </c>
      <c r="F5191">
        <v>2012</v>
      </c>
      <c r="G5191" t="s">
        <v>137</v>
      </c>
      <c r="J5191" t="s">
        <v>133</v>
      </c>
      <c r="K5191">
        <v>0</v>
      </c>
      <c r="L5191">
        <v>3</v>
      </c>
      <c r="M5191">
        <v>0</v>
      </c>
      <c r="N5191">
        <v>2</v>
      </c>
      <c r="O5191">
        <v>1</v>
      </c>
      <c r="P5191">
        <v>0</v>
      </c>
      <c r="Q5191">
        <v>0</v>
      </c>
      <c r="S5191" t="str">
        <f t="shared" si="2390"/>
        <v>14:50:47.625</v>
      </c>
      <c r="T5191" t="str">
        <f t="shared" si="2391"/>
        <v>14:50:47.325</v>
      </c>
      <c r="U5191" t="str">
        <f t="shared" si="2393"/>
        <v>A9808D</v>
      </c>
      <c r="V5191">
        <v>0</v>
      </c>
      <c r="W5191">
        <v>0</v>
      </c>
      <c r="X5191">
        <v>1</v>
      </c>
      <c r="Z5191">
        <v>0</v>
      </c>
      <c r="AA5191">
        <v>9</v>
      </c>
      <c r="AB5191">
        <v>3</v>
      </c>
      <c r="AC5191">
        <v>0</v>
      </c>
      <c r="AD5191">
        <v>10</v>
      </c>
      <c r="AE5191">
        <v>0</v>
      </c>
      <c r="AF5191">
        <v>3</v>
      </c>
      <c r="AG5191">
        <v>2</v>
      </c>
      <c r="AH5191">
        <v>0</v>
      </c>
      <c r="AI5191" t="s">
        <v>1148</v>
      </c>
      <c r="AJ5191">
        <v>28.229970999999999</v>
      </c>
      <c r="AK5191" t="s">
        <v>1149</v>
      </c>
      <c r="AL5191">
        <v>-82.378020000000006</v>
      </c>
      <c r="AM5191">
        <v>100</v>
      </c>
      <c r="AN5191">
        <v>1900</v>
      </c>
      <c r="AO5191" t="s">
        <v>118</v>
      </c>
      <c r="AP5191">
        <v>-106</v>
      </c>
      <c r="AQ5191">
        <v>-54</v>
      </c>
      <c r="AR5191">
        <v>-1088</v>
      </c>
      <c r="AZ5191">
        <v>1200</v>
      </c>
      <c r="BA5191">
        <v>1</v>
      </c>
      <c r="BB5191" t="str">
        <f t="shared" si="2374"/>
        <v xml:space="preserve">N711JA  </v>
      </c>
      <c r="BC5191">
        <v>1</v>
      </c>
      <c r="BE5191">
        <v>0</v>
      </c>
      <c r="BF5191">
        <v>0</v>
      </c>
      <c r="BG5191">
        <v>0</v>
      </c>
      <c r="BH5191">
        <v>1950</v>
      </c>
      <c r="BI5191">
        <v>1</v>
      </c>
      <c r="BJ5191">
        <v>1</v>
      </c>
      <c r="BK5191">
        <v>0</v>
      </c>
      <c r="BL5191">
        <v>0</v>
      </c>
      <c r="BO5191">
        <v>0</v>
      </c>
      <c r="BP5191">
        <v>0</v>
      </c>
      <c r="BW5191" t="str">
        <f t="shared" si="2392"/>
        <v>14:50:47.629</v>
      </c>
      <c r="CJ5191">
        <v>0</v>
      </c>
      <c r="CK5191">
        <v>2</v>
      </c>
      <c r="CL5191">
        <v>0</v>
      </c>
      <c r="CM5191">
        <v>2</v>
      </c>
      <c r="CN5191">
        <v>0</v>
      </c>
      <c r="CO5191">
        <v>6</v>
      </c>
      <c r="CP5191" t="s">
        <v>119</v>
      </c>
      <c r="CQ5191">
        <v>8</v>
      </c>
      <c r="CR5191">
        <v>3</v>
      </c>
      <c r="CW5191">
        <v>9243898</v>
      </c>
      <c r="CY5191">
        <v>1</v>
      </c>
      <c r="CZ5191">
        <v>0</v>
      </c>
      <c r="DA5191">
        <v>1</v>
      </c>
      <c r="DB5191">
        <v>0</v>
      </c>
      <c r="DC5191">
        <v>0</v>
      </c>
      <c r="DD5191">
        <v>1</v>
      </c>
      <c r="DE5191">
        <v>0</v>
      </c>
      <c r="DF5191">
        <v>0</v>
      </c>
      <c r="DG5191">
        <v>0</v>
      </c>
      <c r="DH5191">
        <v>0</v>
      </c>
      <c r="DI5191">
        <v>0</v>
      </c>
    </row>
    <row r="5192" spans="1:113" x14ac:dyDescent="0.3">
      <c r="A5192" t="str">
        <f t="shared" ref="A5192:A5200" si="2394">"05/12/2020 14:50:30.837"</f>
        <v>05/12/2020 14:50:30.837</v>
      </c>
      <c r="C5192" t="str">
        <f t="shared" si="2373"/>
        <v>FFDFD3C0</v>
      </c>
      <c r="D5192" t="s">
        <v>134</v>
      </c>
      <c r="E5192">
        <v>12</v>
      </c>
      <c r="H5192">
        <v>64</v>
      </c>
      <c r="I5192" t="s">
        <v>135</v>
      </c>
      <c r="J5192" t="s">
        <v>136</v>
      </c>
      <c r="K5192">
        <v>0</v>
      </c>
      <c r="L5192">
        <v>3</v>
      </c>
      <c r="M5192">
        <v>0</v>
      </c>
      <c r="N5192">
        <v>2</v>
      </c>
      <c r="O5192">
        <v>1</v>
      </c>
      <c r="P5192">
        <v>0</v>
      </c>
      <c r="Q5192">
        <v>0</v>
      </c>
      <c r="S5192" t="str">
        <f t="shared" ref="S5192:S5200" si="2395">"14:50:48.664"</f>
        <v>14:50:48.664</v>
      </c>
      <c r="T5192" t="str">
        <f t="shared" ref="T5192:T5200" si="2396">"14:50:48.264"</f>
        <v>14:50:48.264</v>
      </c>
      <c r="U5192" t="str">
        <f t="shared" si="2393"/>
        <v>A9808D</v>
      </c>
      <c r="V5192">
        <v>0</v>
      </c>
      <c r="W5192">
        <v>0</v>
      </c>
      <c r="X5192">
        <v>1</v>
      </c>
      <c r="Z5192">
        <v>0</v>
      </c>
      <c r="AA5192">
        <v>9</v>
      </c>
      <c r="AB5192">
        <v>3</v>
      </c>
      <c r="AC5192">
        <v>0</v>
      </c>
      <c r="AD5192">
        <v>10</v>
      </c>
      <c r="AE5192">
        <v>0</v>
      </c>
      <c r="AF5192">
        <v>3</v>
      </c>
      <c r="AG5192">
        <v>2</v>
      </c>
      <c r="AH5192">
        <v>0</v>
      </c>
      <c r="AI5192" t="s">
        <v>1150</v>
      </c>
      <c r="AJ5192">
        <v>28.229692</v>
      </c>
      <c r="AK5192" t="s">
        <v>1151</v>
      </c>
      <c r="AL5192">
        <v>-82.378620999999995</v>
      </c>
      <c r="AM5192">
        <v>100</v>
      </c>
      <c r="AN5192">
        <v>1800</v>
      </c>
      <c r="AO5192" t="s">
        <v>118</v>
      </c>
      <c r="AP5192">
        <v>-106</v>
      </c>
      <c r="AQ5192">
        <v>-54</v>
      </c>
      <c r="AR5192">
        <v>-1152</v>
      </c>
      <c r="AZ5192">
        <v>1200</v>
      </c>
      <c r="BA5192">
        <v>1</v>
      </c>
      <c r="BB5192" t="str">
        <f t="shared" si="2374"/>
        <v xml:space="preserve">N711JA  </v>
      </c>
      <c r="BC5192">
        <v>1</v>
      </c>
      <c r="BE5192">
        <v>0</v>
      </c>
      <c r="BF5192">
        <v>0</v>
      </c>
      <c r="BG5192">
        <v>0</v>
      </c>
      <c r="BH5192">
        <v>1950</v>
      </c>
      <c r="BI5192">
        <v>1</v>
      </c>
      <c r="BJ5192">
        <v>1</v>
      </c>
      <c r="BK5192">
        <v>0</v>
      </c>
      <c r="BL5192">
        <v>0</v>
      </c>
      <c r="BO5192">
        <v>0</v>
      </c>
      <c r="BP5192">
        <v>0</v>
      </c>
      <c r="BW5192" t="str">
        <f>"14:50:48.670"</f>
        <v>14:50:48.670</v>
      </c>
      <c r="CJ5192">
        <v>0</v>
      </c>
      <c r="CK5192">
        <v>2</v>
      </c>
      <c r="CL5192">
        <v>0</v>
      </c>
      <c r="CM5192">
        <v>2</v>
      </c>
      <c r="CN5192">
        <v>0</v>
      </c>
      <c r="CO5192">
        <v>7</v>
      </c>
      <c r="CP5192" t="s">
        <v>119</v>
      </c>
      <c r="CQ5192">
        <v>358</v>
      </c>
      <c r="CR5192">
        <v>0</v>
      </c>
      <c r="CW5192">
        <v>5231611</v>
      </c>
      <c r="CY5192">
        <v>1</v>
      </c>
      <c r="CZ5192">
        <v>0</v>
      </c>
      <c r="DA5192">
        <v>0</v>
      </c>
      <c r="DB5192">
        <v>0</v>
      </c>
      <c r="DC5192">
        <v>0</v>
      </c>
      <c r="DD5192">
        <v>1</v>
      </c>
      <c r="DE5192">
        <v>0</v>
      </c>
      <c r="DF5192">
        <v>0</v>
      </c>
      <c r="DG5192">
        <v>0</v>
      </c>
      <c r="DH5192">
        <v>0</v>
      </c>
      <c r="DI5192">
        <v>0</v>
      </c>
    </row>
    <row r="5193" spans="1:113" x14ac:dyDescent="0.3">
      <c r="A5193" t="str">
        <f t="shared" si="2394"/>
        <v>05/12/2020 14:50:30.837</v>
      </c>
      <c r="C5193" t="str">
        <f t="shared" si="2373"/>
        <v>FFDFD3C0</v>
      </c>
      <c r="D5193" t="s">
        <v>131</v>
      </c>
      <c r="E5193">
        <v>18</v>
      </c>
      <c r="F5193">
        <v>2018</v>
      </c>
      <c r="G5193" t="s">
        <v>161</v>
      </c>
      <c r="J5193" t="s">
        <v>133</v>
      </c>
      <c r="K5193">
        <v>0</v>
      </c>
      <c r="L5193">
        <v>3</v>
      </c>
      <c r="M5193">
        <v>0</v>
      </c>
      <c r="N5193">
        <v>2</v>
      </c>
      <c r="O5193">
        <v>1</v>
      </c>
      <c r="P5193">
        <v>0</v>
      </c>
      <c r="Q5193">
        <v>0</v>
      </c>
      <c r="S5193" t="str">
        <f t="shared" si="2395"/>
        <v>14:50:48.664</v>
      </c>
      <c r="T5193" t="str">
        <f t="shared" si="2396"/>
        <v>14:50:48.264</v>
      </c>
      <c r="U5193" t="str">
        <f t="shared" si="2393"/>
        <v>A9808D</v>
      </c>
      <c r="V5193">
        <v>0</v>
      </c>
      <c r="W5193">
        <v>0</v>
      </c>
      <c r="X5193">
        <v>1</v>
      </c>
      <c r="Z5193">
        <v>0</v>
      </c>
      <c r="AA5193">
        <v>9</v>
      </c>
      <c r="AB5193">
        <v>3</v>
      </c>
      <c r="AC5193">
        <v>0</v>
      </c>
      <c r="AD5193">
        <v>10</v>
      </c>
      <c r="AE5193">
        <v>0</v>
      </c>
      <c r="AF5193">
        <v>3</v>
      </c>
      <c r="AG5193">
        <v>2</v>
      </c>
      <c r="AH5193">
        <v>0</v>
      </c>
      <c r="AI5193" t="s">
        <v>1150</v>
      </c>
      <c r="AJ5193">
        <v>28.229692</v>
      </c>
      <c r="AK5193" t="s">
        <v>1151</v>
      </c>
      <c r="AL5193">
        <v>-82.378620999999995</v>
      </c>
      <c r="AM5193">
        <v>100</v>
      </c>
      <c r="AN5193">
        <v>1800</v>
      </c>
      <c r="AO5193" t="s">
        <v>118</v>
      </c>
      <c r="AP5193">
        <v>-106</v>
      </c>
      <c r="AQ5193">
        <v>-54</v>
      </c>
      <c r="AR5193">
        <v>-1152</v>
      </c>
      <c r="AZ5193">
        <v>1200</v>
      </c>
      <c r="BA5193">
        <v>1</v>
      </c>
      <c r="BB5193" t="str">
        <f t="shared" si="2374"/>
        <v xml:space="preserve">N711JA  </v>
      </c>
      <c r="BC5193">
        <v>1</v>
      </c>
      <c r="BE5193">
        <v>0</v>
      </c>
      <c r="BF5193">
        <v>0</v>
      </c>
      <c r="BG5193">
        <v>0</v>
      </c>
      <c r="BH5193">
        <v>1950</v>
      </c>
      <c r="BI5193">
        <v>1</v>
      </c>
      <c r="BJ5193">
        <v>1</v>
      </c>
      <c r="BK5193">
        <v>0</v>
      </c>
      <c r="BL5193">
        <v>0</v>
      </c>
      <c r="BO5193">
        <v>0</v>
      </c>
      <c r="BP5193">
        <v>0</v>
      </c>
      <c r="BW5193" t="str">
        <f>"14:50:48.671"</f>
        <v>14:50:48.671</v>
      </c>
      <c r="CJ5193">
        <v>0</v>
      </c>
      <c r="CK5193">
        <v>2</v>
      </c>
      <c r="CL5193">
        <v>0</v>
      </c>
      <c r="CM5193">
        <v>2</v>
      </c>
      <c r="CN5193">
        <v>0</v>
      </c>
      <c r="CO5193">
        <v>6</v>
      </c>
      <c r="CP5193" t="s">
        <v>119</v>
      </c>
      <c r="CQ5193">
        <v>56</v>
      </c>
      <c r="CR5193">
        <v>2</v>
      </c>
      <c r="CW5193">
        <v>5264353</v>
      </c>
      <c r="CY5193">
        <v>1</v>
      </c>
      <c r="CZ5193">
        <v>0</v>
      </c>
      <c r="DA5193">
        <v>1</v>
      </c>
      <c r="DB5193">
        <v>0</v>
      </c>
      <c r="DC5193">
        <v>0</v>
      </c>
      <c r="DD5193">
        <v>1</v>
      </c>
      <c r="DE5193">
        <v>0</v>
      </c>
      <c r="DF5193">
        <v>0</v>
      </c>
      <c r="DG5193">
        <v>0</v>
      </c>
      <c r="DH5193">
        <v>0</v>
      </c>
      <c r="DI5193">
        <v>0</v>
      </c>
    </row>
    <row r="5194" spans="1:113" x14ac:dyDescent="0.3">
      <c r="A5194" t="str">
        <f t="shared" si="2394"/>
        <v>05/12/2020 14:50:30.837</v>
      </c>
      <c r="C5194" t="str">
        <f t="shared" si="2373"/>
        <v>FFDFD3C0</v>
      </c>
      <c r="D5194" t="s">
        <v>113</v>
      </c>
      <c r="E5194">
        <v>3</v>
      </c>
      <c r="H5194">
        <v>164</v>
      </c>
      <c r="I5194" t="s">
        <v>114</v>
      </c>
      <c r="J5194" t="s">
        <v>115</v>
      </c>
      <c r="K5194">
        <v>0</v>
      </c>
      <c r="L5194">
        <v>3</v>
      </c>
      <c r="M5194">
        <v>0</v>
      </c>
      <c r="N5194">
        <v>2</v>
      </c>
      <c r="O5194">
        <v>1</v>
      </c>
      <c r="P5194">
        <v>0</v>
      </c>
      <c r="Q5194">
        <v>0</v>
      </c>
      <c r="S5194" t="str">
        <f t="shared" si="2395"/>
        <v>14:50:48.664</v>
      </c>
      <c r="T5194" t="str">
        <f t="shared" si="2396"/>
        <v>14:50:48.264</v>
      </c>
      <c r="U5194" t="str">
        <f t="shared" si="2393"/>
        <v>A9808D</v>
      </c>
      <c r="V5194">
        <v>0</v>
      </c>
      <c r="W5194">
        <v>0</v>
      </c>
      <c r="X5194">
        <v>1</v>
      </c>
      <c r="Z5194">
        <v>0</v>
      </c>
      <c r="AA5194">
        <v>9</v>
      </c>
      <c r="AB5194">
        <v>3</v>
      </c>
      <c r="AC5194">
        <v>0</v>
      </c>
      <c r="AD5194">
        <v>10</v>
      </c>
      <c r="AE5194">
        <v>0</v>
      </c>
      <c r="AF5194">
        <v>3</v>
      </c>
      <c r="AG5194">
        <v>2</v>
      </c>
      <c r="AH5194">
        <v>0</v>
      </c>
      <c r="AI5194" t="s">
        <v>1150</v>
      </c>
      <c r="AJ5194">
        <v>28.229692</v>
      </c>
      <c r="AK5194" t="s">
        <v>1151</v>
      </c>
      <c r="AL5194">
        <v>-82.378620999999995</v>
      </c>
      <c r="AM5194">
        <v>100</v>
      </c>
      <c r="AN5194">
        <v>1800</v>
      </c>
      <c r="AO5194" t="s">
        <v>118</v>
      </c>
      <c r="AP5194">
        <v>-106</v>
      </c>
      <c r="AQ5194">
        <v>-54</v>
      </c>
      <c r="AR5194">
        <v>-1152</v>
      </c>
      <c r="AZ5194">
        <v>1200</v>
      </c>
      <c r="BA5194">
        <v>1</v>
      </c>
      <c r="BB5194" t="str">
        <f t="shared" si="2374"/>
        <v xml:space="preserve">N711JA  </v>
      </c>
      <c r="BC5194">
        <v>1</v>
      </c>
      <c r="BE5194">
        <v>0</v>
      </c>
      <c r="BF5194">
        <v>0</v>
      </c>
      <c r="BG5194">
        <v>0</v>
      </c>
      <c r="BH5194">
        <v>1950</v>
      </c>
      <c r="BI5194">
        <v>1</v>
      </c>
      <c r="BJ5194">
        <v>1</v>
      </c>
      <c r="BK5194">
        <v>0</v>
      </c>
      <c r="BL5194">
        <v>0</v>
      </c>
      <c r="BO5194">
        <v>0</v>
      </c>
      <c r="BP5194">
        <v>0</v>
      </c>
      <c r="BW5194" t="str">
        <f>"14:50:48.671"</f>
        <v>14:50:48.671</v>
      </c>
      <c r="CJ5194">
        <v>0</v>
      </c>
      <c r="CK5194">
        <v>2</v>
      </c>
      <c r="CL5194">
        <v>0</v>
      </c>
      <c r="CM5194">
        <v>2</v>
      </c>
      <c r="CN5194">
        <v>0</v>
      </c>
      <c r="CO5194">
        <v>6</v>
      </c>
      <c r="CP5194" t="s">
        <v>119</v>
      </c>
      <c r="CQ5194">
        <v>56</v>
      </c>
      <c r="CR5194">
        <v>2</v>
      </c>
      <c r="CW5194">
        <v>5264353</v>
      </c>
      <c r="CY5194">
        <v>1</v>
      </c>
      <c r="CZ5194">
        <v>0</v>
      </c>
      <c r="DA5194">
        <v>1</v>
      </c>
      <c r="DB5194">
        <v>0</v>
      </c>
      <c r="DC5194">
        <v>0</v>
      </c>
      <c r="DD5194">
        <v>1</v>
      </c>
      <c r="DE5194">
        <v>0</v>
      </c>
      <c r="DF5194">
        <v>0</v>
      </c>
      <c r="DG5194">
        <v>0</v>
      </c>
      <c r="DH5194">
        <v>0</v>
      </c>
      <c r="DI5194">
        <v>0</v>
      </c>
    </row>
    <row r="5195" spans="1:113" x14ac:dyDescent="0.3">
      <c r="A5195" t="str">
        <f t="shared" si="2394"/>
        <v>05/12/2020 14:50:30.837</v>
      </c>
      <c r="C5195" t="str">
        <f t="shared" si="2373"/>
        <v>FFDFD3C0</v>
      </c>
      <c r="D5195" t="s">
        <v>126</v>
      </c>
      <c r="E5195">
        <v>6</v>
      </c>
      <c r="F5195">
        <v>1006</v>
      </c>
      <c r="G5195" t="s">
        <v>114</v>
      </c>
      <c r="J5195" t="s">
        <v>128</v>
      </c>
      <c r="K5195">
        <v>0</v>
      </c>
      <c r="L5195">
        <v>3</v>
      </c>
      <c r="M5195">
        <v>0</v>
      </c>
      <c r="N5195">
        <v>2</v>
      </c>
      <c r="O5195">
        <v>1</v>
      </c>
      <c r="P5195">
        <v>0</v>
      </c>
      <c r="Q5195">
        <v>0</v>
      </c>
      <c r="S5195" t="str">
        <f t="shared" si="2395"/>
        <v>14:50:48.664</v>
      </c>
      <c r="T5195" t="str">
        <f t="shared" si="2396"/>
        <v>14:50:48.264</v>
      </c>
      <c r="U5195" t="str">
        <f t="shared" si="2393"/>
        <v>A9808D</v>
      </c>
      <c r="V5195">
        <v>0</v>
      </c>
      <c r="W5195">
        <v>0</v>
      </c>
      <c r="X5195">
        <v>1</v>
      </c>
      <c r="Z5195">
        <v>0</v>
      </c>
      <c r="AA5195">
        <v>9</v>
      </c>
      <c r="AB5195">
        <v>3</v>
      </c>
      <c r="AC5195">
        <v>0</v>
      </c>
      <c r="AD5195">
        <v>10</v>
      </c>
      <c r="AE5195">
        <v>0</v>
      </c>
      <c r="AF5195">
        <v>3</v>
      </c>
      <c r="AG5195">
        <v>2</v>
      </c>
      <c r="AH5195">
        <v>0</v>
      </c>
      <c r="AI5195" t="s">
        <v>1150</v>
      </c>
      <c r="AJ5195">
        <v>28.229692</v>
      </c>
      <c r="AK5195" t="s">
        <v>1151</v>
      </c>
      <c r="AL5195">
        <v>-82.378620999999995</v>
      </c>
      <c r="AM5195">
        <v>100</v>
      </c>
      <c r="AN5195">
        <v>1800</v>
      </c>
      <c r="AO5195" t="s">
        <v>118</v>
      </c>
      <c r="AP5195">
        <v>-106</v>
      </c>
      <c r="AQ5195">
        <v>-54</v>
      </c>
      <c r="AR5195">
        <v>-1152</v>
      </c>
      <c r="AZ5195">
        <v>1200</v>
      </c>
      <c r="BA5195">
        <v>1</v>
      </c>
      <c r="BB5195" t="str">
        <f t="shared" si="2374"/>
        <v xml:space="preserve">N711JA  </v>
      </c>
      <c r="BC5195">
        <v>1</v>
      </c>
      <c r="BE5195">
        <v>0</v>
      </c>
      <c r="BF5195">
        <v>0</v>
      </c>
      <c r="BG5195">
        <v>0</v>
      </c>
      <c r="BH5195">
        <v>1950</v>
      </c>
      <c r="BI5195">
        <v>1</v>
      </c>
      <c r="BJ5195">
        <v>1</v>
      </c>
      <c r="BK5195">
        <v>0</v>
      </c>
      <c r="BL5195">
        <v>0</v>
      </c>
      <c r="BO5195">
        <v>0</v>
      </c>
      <c r="BP5195">
        <v>0</v>
      </c>
      <c r="BW5195" t="str">
        <f>"14:50:48.670"</f>
        <v>14:50:48.670</v>
      </c>
      <c r="CJ5195">
        <v>0</v>
      </c>
      <c r="CK5195">
        <v>2</v>
      </c>
      <c r="CL5195">
        <v>0</v>
      </c>
      <c r="CM5195">
        <v>2</v>
      </c>
      <c r="CN5195">
        <v>0</v>
      </c>
      <c r="CO5195">
        <v>7</v>
      </c>
      <c r="CP5195" t="s">
        <v>119</v>
      </c>
      <c r="CQ5195">
        <v>358</v>
      </c>
      <c r="CR5195">
        <v>0</v>
      </c>
      <c r="CW5195">
        <v>5231611</v>
      </c>
      <c r="CY5195">
        <v>1</v>
      </c>
      <c r="CZ5195">
        <v>0</v>
      </c>
      <c r="DA5195">
        <v>1</v>
      </c>
      <c r="DB5195">
        <v>0</v>
      </c>
      <c r="DC5195">
        <v>0</v>
      </c>
      <c r="DD5195">
        <v>1</v>
      </c>
      <c r="DE5195">
        <v>0</v>
      </c>
      <c r="DF5195">
        <v>0</v>
      </c>
      <c r="DG5195">
        <v>0</v>
      </c>
      <c r="DH5195">
        <v>0</v>
      </c>
      <c r="DI5195">
        <v>0</v>
      </c>
    </row>
    <row r="5196" spans="1:113" x14ac:dyDescent="0.3">
      <c r="A5196" t="str">
        <f t="shared" si="2394"/>
        <v>05/12/2020 14:50:30.837</v>
      </c>
      <c r="C5196" t="str">
        <f t="shared" si="2373"/>
        <v>FFDFD3C0</v>
      </c>
      <c r="D5196" t="s">
        <v>138</v>
      </c>
      <c r="E5196">
        <v>2</v>
      </c>
      <c r="H5196">
        <v>8</v>
      </c>
      <c r="I5196" t="s">
        <v>139</v>
      </c>
      <c r="J5196" t="s">
        <v>136</v>
      </c>
      <c r="K5196">
        <v>0</v>
      </c>
      <c r="L5196">
        <v>3</v>
      </c>
      <c r="M5196">
        <v>0</v>
      </c>
      <c r="N5196">
        <v>2</v>
      </c>
      <c r="O5196">
        <v>1</v>
      </c>
      <c r="P5196">
        <v>0</v>
      </c>
      <c r="Q5196">
        <v>0</v>
      </c>
      <c r="S5196" t="str">
        <f t="shared" si="2395"/>
        <v>14:50:48.664</v>
      </c>
      <c r="T5196" t="str">
        <f t="shared" si="2396"/>
        <v>14:50:48.264</v>
      </c>
      <c r="U5196" t="str">
        <f t="shared" si="2393"/>
        <v>A9808D</v>
      </c>
      <c r="V5196">
        <v>0</v>
      </c>
      <c r="W5196">
        <v>0</v>
      </c>
      <c r="X5196">
        <v>1</v>
      </c>
      <c r="Z5196">
        <v>0</v>
      </c>
      <c r="AA5196">
        <v>9</v>
      </c>
      <c r="AB5196">
        <v>3</v>
      </c>
      <c r="AC5196">
        <v>0</v>
      </c>
      <c r="AD5196">
        <v>10</v>
      </c>
      <c r="AE5196">
        <v>0</v>
      </c>
      <c r="AF5196">
        <v>3</v>
      </c>
      <c r="AG5196">
        <v>2</v>
      </c>
      <c r="AH5196">
        <v>0</v>
      </c>
      <c r="AI5196" t="s">
        <v>1150</v>
      </c>
      <c r="AJ5196">
        <v>28.229692</v>
      </c>
      <c r="AK5196" t="s">
        <v>1151</v>
      </c>
      <c r="AL5196">
        <v>-82.378620999999995</v>
      </c>
      <c r="AM5196">
        <v>100</v>
      </c>
      <c r="AN5196">
        <v>1800</v>
      </c>
      <c r="AO5196" t="s">
        <v>118</v>
      </c>
      <c r="AP5196">
        <v>-106</v>
      </c>
      <c r="AQ5196">
        <v>-54</v>
      </c>
      <c r="AR5196">
        <v>-1152</v>
      </c>
      <c r="AZ5196">
        <v>1200</v>
      </c>
      <c r="BA5196">
        <v>1</v>
      </c>
      <c r="BB5196" t="str">
        <f t="shared" si="2374"/>
        <v xml:space="preserve">N711JA  </v>
      </c>
      <c r="BC5196">
        <v>1</v>
      </c>
      <c r="BE5196">
        <v>0</v>
      </c>
      <c r="BF5196">
        <v>0</v>
      </c>
      <c r="BG5196">
        <v>0</v>
      </c>
      <c r="BH5196">
        <v>1950</v>
      </c>
      <c r="BI5196">
        <v>1</v>
      </c>
      <c r="BJ5196">
        <v>1</v>
      </c>
      <c r="BK5196">
        <v>0</v>
      </c>
      <c r="BL5196">
        <v>0</v>
      </c>
      <c r="BO5196">
        <v>0</v>
      </c>
      <c r="BP5196">
        <v>0</v>
      </c>
      <c r="BW5196" t="str">
        <f>"14:50:48.671"</f>
        <v>14:50:48.671</v>
      </c>
      <c r="CJ5196">
        <v>0</v>
      </c>
      <c r="CK5196">
        <v>2</v>
      </c>
      <c r="CL5196">
        <v>0</v>
      </c>
      <c r="CM5196">
        <v>2</v>
      </c>
      <c r="CN5196">
        <v>0</v>
      </c>
      <c r="CO5196">
        <v>6</v>
      </c>
      <c r="CP5196" t="s">
        <v>119</v>
      </c>
      <c r="CQ5196">
        <v>56</v>
      </c>
      <c r="CR5196">
        <v>2</v>
      </c>
      <c r="CW5196">
        <v>5264353</v>
      </c>
      <c r="CY5196">
        <v>1</v>
      </c>
      <c r="CZ5196">
        <v>0</v>
      </c>
      <c r="DA5196">
        <v>1</v>
      </c>
      <c r="DB5196">
        <v>0</v>
      </c>
      <c r="DC5196">
        <v>0</v>
      </c>
      <c r="DD5196">
        <v>1</v>
      </c>
      <c r="DE5196">
        <v>0</v>
      </c>
      <c r="DF5196">
        <v>0</v>
      </c>
      <c r="DG5196">
        <v>0</v>
      </c>
      <c r="DH5196">
        <v>0</v>
      </c>
      <c r="DI5196">
        <v>0</v>
      </c>
    </row>
    <row r="5197" spans="1:113" x14ac:dyDescent="0.3">
      <c r="A5197" t="str">
        <f t="shared" si="2394"/>
        <v>05/12/2020 14:50:30.837</v>
      </c>
      <c r="C5197" t="str">
        <f t="shared" si="2373"/>
        <v>FFDFD3C0</v>
      </c>
      <c r="D5197" t="s">
        <v>138</v>
      </c>
      <c r="E5197">
        <v>3</v>
      </c>
      <c r="H5197">
        <v>9</v>
      </c>
      <c r="I5197" t="s">
        <v>140</v>
      </c>
      <c r="J5197" t="s">
        <v>136</v>
      </c>
      <c r="K5197">
        <v>0</v>
      </c>
      <c r="L5197">
        <v>3</v>
      </c>
      <c r="M5197">
        <v>0</v>
      </c>
      <c r="N5197">
        <v>2</v>
      </c>
      <c r="O5197">
        <v>1</v>
      </c>
      <c r="P5197">
        <v>0</v>
      </c>
      <c r="Q5197">
        <v>0</v>
      </c>
      <c r="S5197" t="str">
        <f t="shared" si="2395"/>
        <v>14:50:48.664</v>
      </c>
      <c r="T5197" t="str">
        <f t="shared" si="2396"/>
        <v>14:50:48.264</v>
      </c>
      <c r="U5197" t="str">
        <f t="shared" si="2393"/>
        <v>A9808D</v>
      </c>
      <c r="V5197">
        <v>0</v>
      </c>
      <c r="W5197">
        <v>0</v>
      </c>
      <c r="X5197">
        <v>1</v>
      </c>
      <c r="Z5197">
        <v>0</v>
      </c>
      <c r="AA5197">
        <v>9</v>
      </c>
      <c r="AB5197">
        <v>3</v>
      </c>
      <c r="AC5197">
        <v>0</v>
      </c>
      <c r="AD5197">
        <v>10</v>
      </c>
      <c r="AE5197">
        <v>0</v>
      </c>
      <c r="AF5197">
        <v>3</v>
      </c>
      <c r="AG5197">
        <v>2</v>
      </c>
      <c r="AH5197">
        <v>0</v>
      </c>
      <c r="AI5197" t="s">
        <v>1150</v>
      </c>
      <c r="AJ5197">
        <v>28.229692</v>
      </c>
      <c r="AK5197" t="s">
        <v>1151</v>
      </c>
      <c r="AL5197">
        <v>-82.378620999999995</v>
      </c>
      <c r="AM5197">
        <v>100</v>
      </c>
      <c r="AN5197">
        <v>1800</v>
      </c>
      <c r="AO5197" t="s">
        <v>118</v>
      </c>
      <c r="AP5197">
        <v>-106</v>
      </c>
      <c r="AQ5197">
        <v>-54</v>
      </c>
      <c r="AR5197">
        <v>-1152</v>
      </c>
      <c r="AZ5197">
        <v>1200</v>
      </c>
      <c r="BA5197">
        <v>1</v>
      </c>
      <c r="BB5197" t="str">
        <f t="shared" si="2374"/>
        <v xml:space="preserve">N711JA  </v>
      </c>
      <c r="BC5197">
        <v>1</v>
      </c>
      <c r="BE5197">
        <v>0</v>
      </c>
      <c r="BF5197">
        <v>0</v>
      </c>
      <c r="BG5197">
        <v>0</v>
      </c>
      <c r="BH5197">
        <v>1950</v>
      </c>
      <c r="BI5197">
        <v>1</v>
      </c>
      <c r="BJ5197">
        <v>1</v>
      </c>
      <c r="BK5197">
        <v>0</v>
      </c>
      <c r="BL5197">
        <v>0</v>
      </c>
      <c r="BO5197">
        <v>0</v>
      </c>
      <c r="BP5197">
        <v>0</v>
      </c>
      <c r="BW5197" t="str">
        <f>"14:50:48.670"</f>
        <v>14:50:48.670</v>
      </c>
      <c r="CJ5197">
        <v>0</v>
      </c>
      <c r="CK5197">
        <v>2</v>
      </c>
      <c r="CL5197">
        <v>0</v>
      </c>
      <c r="CM5197">
        <v>2</v>
      </c>
      <c r="CN5197">
        <v>0</v>
      </c>
      <c r="CO5197">
        <v>7</v>
      </c>
      <c r="CP5197" t="s">
        <v>119</v>
      </c>
      <c r="CQ5197">
        <v>358</v>
      </c>
      <c r="CR5197">
        <v>0</v>
      </c>
      <c r="CW5197">
        <v>5231611</v>
      </c>
      <c r="CY5197">
        <v>1</v>
      </c>
      <c r="CZ5197">
        <v>0</v>
      </c>
      <c r="DA5197">
        <v>1</v>
      </c>
      <c r="DB5197">
        <v>0</v>
      </c>
      <c r="DC5197">
        <v>0</v>
      </c>
      <c r="DD5197">
        <v>1</v>
      </c>
      <c r="DE5197">
        <v>0</v>
      </c>
      <c r="DF5197">
        <v>0</v>
      </c>
      <c r="DG5197">
        <v>0</v>
      </c>
      <c r="DH5197">
        <v>0</v>
      </c>
      <c r="DI5197">
        <v>0</v>
      </c>
    </row>
    <row r="5198" spans="1:113" x14ac:dyDescent="0.3">
      <c r="A5198" t="str">
        <f t="shared" si="2394"/>
        <v>05/12/2020 14:50:30.837</v>
      </c>
      <c r="C5198" t="str">
        <f t="shared" si="2373"/>
        <v>FFDFD3C0</v>
      </c>
      <c r="D5198" t="s">
        <v>126</v>
      </c>
      <c r="E5198">
        <v>7</v>
      </c>
      <c r="F5198">
        <v>1007</v>
      </c>
      <c r="G5198" t="s">
        <v>127</v>
      </c>
      <c r="J5198" t="s">
        <v>128</v>
      </c>
      <c r="K5198">
        <v>0</v>
      </c>
      <c r="L5198">
        <v>3</v>
      </c>
      <c r="M5198">
        <v>0</v>
      </c>
      <c r="N5198">
        <v>2</v>
      </c>
      <c r="O5198">
        <v>1</v>
      </c>
      <c r="P5198">
        <v>0</v>
      </c>
      <c r="Q5198">
        <v>0</v>
      </c>
      <c r="S5198" t="str">
        <f t="shared" si="2395"/>
        <v>14:50:48.664</v>
      </c>
      <c r="T5198" t="str">
        <f t="shared" si="2396"/>
        <v>14:50:48.264</v>
      </c>
      <c r="U5198" t="str">
        <f t="shared" si="2393"/>
        <v>A9808D</v>
      </c>
      <c r="V5198">
        <v>0</v>
      </c>
      <c r="W5198">
        <v>0</v>
      </c>
      <c r="X5198">
        <v>1</v>
      </c>
      <c r="Z5198">
        <v>0</v>
      </c>
      <c r="AA5198">
        <v>9</v>
      </c>
      <c r="AB5198">
        <v>3</v>
      </c>
      <c r="AC5198">
        <v>0</v>
      </c>
      <c r="AD5198">
        <v>10</v>
      </c>
      <c r="AE5198">
        <v>0</v>
      </c>
      <c r="AF5198">
        <v>3</v>
      </c>
      <c r="AG5198">
        <v>2</v>
      </c>
      <c r="AH5198">
        <v>0</v>
      </c>
      <c r="AI5198" t="s">
        <v>1150</v>
      </c>
      <c r="AJ5198">
        <v>28.229692</v>
      </c>
      <c r="AK5198" t="s">
        <v>1151</v>
      </c>
      <c r="AL5198">
        <v>-82.378620999999995</v>
      </c>
      <c r="AM5198">
        <v>100</v>
      </c>
      <c r="AN5198">
        <v>1800</v>
      </c>
      <c r="AO5198" t="s">
        <v>118</v>
      </c>
      <c r="AP5198">
        <v>-106</v>
      </c>
      <c r="AQ5198">
        <v>-54</v>
      </c>
      <c r="AR5198">
        <v>-1152</v>
      </c>
      <c r="AZ5198">
        <v>1200</v>
      </c>
      <c r="BA5198">
        <v>1</v>
      </c>
      <c r="BB5198" t="str">
        <f t="shared" si="2374"/>
        <v xml:space="preserve">N711JA  </v>
      </c>
      <c r="BC5198">
        <v>1</v>
      </c>
      <c r="BE5198">
        <v>0</v>
      </c>
      <c r="BF5198">
        <v>0</v>
      </c>
      <c r="BG5198">
        <v>0</v>
      </c>
      <c r="BH5198">
        <v>1950</v>
      </c>
      <c r="BI5198">
        <v>1</v>
      </c>
      <c r="BJ5198">
        <v>1</v>
      </c>
      <c r="BK5198">
        <v>0</v>
      </c>
      <c r="BL5198">
        <v>0</v>
      </c>
      <c r="BO5198">
        <v>0</v>
      </c>
      <c r="BP5198">
        <v>0</v>
      </c>
      <c r="BW5198" t="str">
        <f>"14:50:48.670"</f>
        <v>14:50:48.670</v>
      </c>
      <c r="CJ5198">
        <v>0</v>
      </c>
      <c r="CK5198">
        <v>2</v>
      </c>
      <c r="CL5198">
        <v>0</v>
      </c>
      <c r="CM5198">
        <v>2</v>
      </c>
      <c r="CN5198">
        <v>0</v>
      </c>
      <c r="CO5198">
        <v>7</v>
      </c>
      <c r="CP5198" t="s">
        <v>119</v>
      </c>
      <c r="CQ5198">
        <v>358</v>
      </c>
      <c r="CR5198">
        <v>0</v>
      </c>
      <c r="CW5198">
        <v>5231611</v>
      </c>
      <c r="CY5198">
        <v>1</v>
      </c>
      <c r="CZ5198">
        <v>0</v>
      </c>
      <c r="DA5198">
        <v>1</v>
      </c>
      <c r="DB5198">
        <v>0</v>
      </c>
      <c r="DC5198">
        <v>0</v>
      </c>
      <c r="DD5198">
        <v>1</v>
      </c>
      <c r="DE5198">
        <v>0</v>
      </c>
      <c r="DF5198">
        <v>0</v>
      </c>
      <c r="DG5198">
        <v>0</v>
      </c>
      <c r="DH5198">
        <v>0</v>
      </c>
      <c r="DI5198">
        <v>0</v>
      </c>
    </row>
    <row r="5199" spans="1:113" x14ac:dyDescent="0.3">
      <c r="A5199" t="str">
        <f t="shared" si="2394"/>
        <v>05/12/2020 14:50:30.837</v>
      </c>
      <c r="C5199" t="str">
        <f t="shared" si="2373"/>
        <v>FFDFD3C0</v>
      </c>
      <c r="D5199" t="s">
        <v>131</v>
      </c>
      <c r="E5199">
        <v>10</v>
      </c>
      <c r="F5199">
        <v>2010</v>
      </c>
      <c r="G5199" t="s">
        <v>132</v>
      </c>
      <c r="J5199" t="s">
        <v>133</v>
      </c>
      <c r="K5199">
        <v>0</v>
      </c>
      <c r="L5199">
        <v>3</v>
      </c>
      <c r="M5199">
        <v>0</v>
      </c>
      <c r="N5199">
        <v>2</v>
      </c>
      <c r="O5199">
        <v>1</v>
      </c>
      <c r="P5199">
        <v>0</v>
      </c>
      <c r="Q5199">
        <v>0</v>
      </c>
      <c r="S5199" t="str">
        <f t="shared" si="2395"/>
        <v>14:50:48.664</v>
      </c>
      <c r="T5199" t="str">
        <f t="shared" si="2396"/>
        <v>14:50:48.264</v>
      </c>
      <c r="U5199" t="str">
        <f t="shared" si="2393"/>
        <v>A9808D</v>
      </c>
      <c r="V5199">
        <v>0</v>
      </c>
      <c r="W5199">
        <v>0</v>
      </c>
      <c r="X5199">
        <v>1</v>
      </c>
      <c r="Z5199">
        <v>0</v>
      </c>
      <c r="AA5199">
        <v>9</v>
      </c>
      <c r="AB5199">
        <v>3</v>
      </c>
      <c r="AC5199">
        <v>0</v>
      </c>
      <c r="AD5199">
        <v>10</v>
      </c>
      <c r="AE5199">
        <v>0</v>
      </c>
      <c r="AF5199">
        <v>3</v>
      </c>
      <c r="AG5199">
        <v>2</v>
      </c>
      <c r="AH5199">
        <v>0</v>
      </c>
      <c r="AI5199" t="s">
        <v>1150</v>
      </c>
      <c r="AJ5199">
        <v>28.229692</v>
      </c>
      <c r="AK5199" t="s">
        <v>1151</v>
      </c>
      <c r="AL5199">
        <v>-82.378620999999995</v>
      </c>
      <c r="AM5199">
        <v>100</v>
      </c>
      <c r="AN5199">
        <v>1800</v>
      </c>
      <c r="AO5199" t="s">
        <v>118</v>
      </c>
      <c r="AP5199">
        <v>-106</v>
      </c>
      <c r="AQ5199">
        <v>-54</v>
      </c>
      <c r="AR5199">
        <v>-1152</v>
      </c>
      <c r="AZ5199">
        <v>1200</v>
      </c>
      <c r="BA5199">
        <v>1</v>
      </c>
      <c r="BB5199" t="str">
        <f t="shared" si="2374"/>
        <v xml:space="preserve">N711JA  </v>
      </c>
      <c r="BC5199">
        <v>1</v>
      </c>
      <c r="BE5199">
        <v>0</v>
      </c>
      <c r="BF5199">
        <v>0</v>
      </c>
      <c r="BG5199">
        <v>0</v>
      </c>
      <c r="BH5199">
        <v>1950</v>
      </c>
      <c r="BI5199">
        <v>1</v>
      </c>
      <c r="BJ5199">
        <v>1</v>
      </c>
      <c r="BK5199">
        <v>0</v>
      </c>
      <c r="BL5199">
        <v>0</v>
      </c>
      <c r="BO5199">
        <v>0</v>
      </c>
      <c r="BP5199">
        <v>0</v>
      </c>
      <c r="BW5199" t="str">
        <f>"14:50:48.670"</f>
        <v>14:50:48.670</v>
      </c>
      <c r="CJ5199">
        <v>0</v>
      </c>
      <c r="CK5199">
        <v>2</v>
      </c>
      <c r="CL5199">
        <v>0</v>
      </c>
      <c r="CM5199">
        <v>2</v>
      </c>
      <c r="CN5199">
        <v>0</v>
      </c>
      <c r="CO5199">
        <v>7</v>
      </c>
      <c r="CP5199" t="s">
        <v>119</v>
      </c>
      <c r="CQ5199">
        <v>358</v>
      </c>
      <c r="CR5199">
        <v>0</v>
      </c>
      <c r="CW5199">
        <v>5231611</v>
      </c>
      <c r="CY5199">
        <v>1</v>
      </c>
      <c r="CZ5199">
        <v>0</v>
      </c>
      <c r="DA5199">
        <v>1</v>
      </c>
      <c r="DB5199">
        <v>0</v>
      </c>
      <c r="DC5199">
        <v>0</v>
      </c>
      <c r="DD5199">
        <v>1</v>
      </c>
      <c r="DE5199">
        <v>0</v>
      </c>
      <c r="DF5199">
        <v>0</v>
      </c>
      <c r="DG5199">
        <v>0</v>
      </c>
      <c r="DH5199">
        <v>0</v>
      </c>
      <c r="DI5199">
        <v>0</v>
      </c>
    </row>
    <row r="5200" spans="1:113" x14ac:dyDescent="0.3">
      <c r="A5200" t="str">
        <f t="shared" si="2394"/>
        <v>05/12/2020 14:50:30.837</v>
      </c>
      <c r="C5200" t="str">
        <f t="shared" si="2373"/>
        <v>FFDFD3C0</v>
      </c>
      <c r="D5200" t="s">
        <v>131</v>
      </c>
      <c r="E5200">
        <v>12</v>
      </c>
      <c r="F5200">
        <v>2012</v>
      </c>
      <c r="G5200" t="s">
        <v>137</v>
      </c>
      <c r="J5200" t="s">
        <v>133</v>
      </c>
      <c r="K5200">
        <v>0</v>
      </c>
      <c r="L5200">
        <v>3</v>
      </c>
      <c r="M5200">
        <v>0</v>
      </c>
      <c r="N5200">
        <v>2</v>
      </c>
      <c r="O5200">
        <v>1</v>
      </c>
      <c r="P5200">
        <v>0</v>
      </c>
      <c r="Q5200">
        <v>0</v>
      </c>
      <c r="S5200" t="str">
        <f t="shared" si="2395"/>
        <v>14:50:48.664</v>
      </c>
      <c r="T5200" t="str">
        <f t="shared" si="2396"/>
        <v>14:50:48.264</v>
      </c>
      <c r="U5200" t="str">
        <f t="shared" si="2393"/>
        <v>A9808D</v>
      </c>
      <c r="V5200">
        <v>0</v>
      </c>
      <c r="W5200">
        <v>0</v>
      </c>
      <c r="X5200">
        <v>1</v>
      </c>
      <c r="Z5200">
        <v>0</v>
      </c>
      <c r="AA5200">
        <v>9</v>
      </c>
      <c r="AB5200">
        <v>3</v>
      </c>
      <c r="AC5200">
        <v>0</v>
      </c>
      <c r="AD5200">
        <v>10</v>
      </c>
      <c r="AE5200">
        <v>0</v>
      </c>
      <c r="AF5200">
        <v>3</v>
      </c>
      <c r="AG5200">
        <v>2</v>
      </c>
      <c r="AH5200">
        <v>0</v>
      </c>
      <c r="AI5200" t="s">
        <v>1150</v>
      </c>
      <c r="AJ5200">
        <v>28.229692</v>
      </c>
      <c r="AK5200" t="s">
        <v>1151</v>
      </c>
      <c r="AL5200">
        <v>-82.378620999999995</v>
      </c>
      <c r="AM5200">
        <v>100</v>
      </c>
      <c r="AN5200">
        <v>1800</v>
      </c>
      <c r="AO5200" t="s">
        <v>118</v>
      </c>
      <c r="AP5200">
        <v>-106</v>
      </c>
      <c r="AQ5200">
        <v>-54</v>
      </c>
      <c r="AR5200">
        <v>-1152</v>
      </c>
      <c r="AZ5200">
        <v>1200</v>
      </c>
      <c r="BA5200">
        <v>1</v>
      </c>
      <c r="BB5200" t="str">
        <f t="shared" si="2374"/>
        <v xml:space="preserve">N711JA  </v>
      </c>
      <c r="BC5200">
        <v>1</v>
      </c>
      <c r="BE5200">
        <v>0</v>
      </c>
      <c r="BF5200">
        <v>0</v>
      </c>
      <c r="BG5200">
        <v>0</v>
      </c>
      <c r="BH5200">
        <v>1950</v>
      </c>
      <c r="BI5200">
        <v>1</v>
      </c>
      <c r="BJ5200">
        <v>1</v>
      </c>
      <c r="BK5200">
        <v>0</v>
      </c>
      <c r="BL5200">
        <v>0</v>
      </c>
      <c r="BO5200">
        <v>0</v>
      </c>
      <c r="BP5200">
        <v>0</v>
      </c>
      <c r="BW5200" t="str">
        <f>"14:50:48.671"</f>
        <v>14:50:48.671</v>
      </c>
      <c r="CJ5200">
        <v>0</v>
      </c>
      <c r="CK5200">
        <v>2</v>
      </c>
      <c r="CL5200">
        <v>0</v>
      </c>
      <c r="CM5200">
        <v>2</v>
      </c>
      <c r="CN5200">
        <v>0</v>
      </c>
      <c r="CO5200">
        <v>6</v>
      </c>
      <c r="CP5200" t="s">
        <v>119</v>
      </c>
      <c r="CQ5200">
        <v>56</v>
      </c>
      <c r="CR5200">
        <v>2</v>
      </c>
      <c r="CW5200">
        <v>5264353</v>
      </c>
      <c r="CY5200">
        <v>1</v>
      </c>
      <c r="CZ5200">
        <v>0</v>
      </c>
      <c r="DA5200">
        <v>1</v>
      </c>
      <c r="DB5200">
        <v>0</v>
      </c>
      <c r="DC5200">
        <v>0</v>
      </c>
      <c r="DD5200">
        <v>1</v>
      </c>
      <c r="DE5200">
        <v>0</v>
      </c>
      <c r="DF5200">
        <v>0</v>
      </c>
      <c r="DG5200">
        <v>0</v>
      </c>
      <c r="DH5200">
        <v>0</v>
      </c>
      <c r="DI5200">
        <v>0</v>
      </c>
    </row>
    <row r="5201" spans="1:113" x14ac:dyDescent="0.3">
      <c r="A5201" t="str">
        <f t="shared" ref="A5201:A5208" si="2397">"05/12/2020 14:50:31.680"</f>
        <v>05/12/2020 14:50:31.680</v>
      </c>
      <c r="C5201" t="str">
        <f t="shared" si="2373"/>
        <v>FFDFD3C0</v>
      </c>
      <c r="D5201" t="s">
        <v>138</v>
      </c>
      <c r="E5201">
        <v>3</v>
      </c>
      <c r="H5201">
        <v>9</v>
      </c>
      <c r="I5201" t="s">
        <v>140</v>
      </c>
      <c r="J5201" t="s">
        <v>136</v>
      </c>
      <c r="K5201">
        <v>0</v>
      </c>
      <c r="L5201">
        <v>3</v>
      </c>
      <c r="M5201">
        <v>0</v>
      </c>
      <c r="N5201">
        <v>2</v>
      </c>
      <c r="O5201">
        <v>1</v>
      </c>
      <c r="P5201">
        <v>0</v>
      </c>
      <c r="Q5201">
        <v>0</v>
      </c>
      <c r="S5201" t="str">
        <f t="shared" ref="S5201:S5208" si="2398">"14:50:49.516"</f>
        <v>14:50:49.516</v>
      </c>
      <c r="T5201" t="str">
        <f t="shared" ref="T5201:T5208" si="2399">"14:50:49.316"</f>
        <v>14:50:49.316</v>
      </c>
      <c r="U5201" t="str">
        <f t="shared" si="2393"/>
        <v>A9808D</v>
      </c>
      <c r="V5201">
        <v>0</v>
      </c>
      <c r="W5201">
        <v>0</v>
      </c>
      <c r="X5201">
        <v>1</v>
      </c>
      <c r="Z5201">
        <v>0</v>
      </c>
      <c r="AA5201">
        <v>9</v>
      </c>
      <c r="AB5201">
        <v>3</v>
      </c>
      <c r="AC5201">
        <v>0</v>
      </c>
      <c r="AD5201">
        <v>10</v>
      </c>
      <c r="AE5201">
        <v>0</v>
      </c>
      <c r="AF5201">
        <v>3</v>
      </c>
      <c r="AG5201">
        <v>2</v>
      </c>
      <c r="AH5201">
        <v>0</v>
      </c>
      <c r="AI5201" t="s">
        <v>1152</v>
      </c>
      <c r="AJ5201">
        <v>28.229520000000001</v>
      </c>
      <c r="AK5201" t="s">
        <v>1153</v>
      </c>
      <c r="AL5201">
        <v>-82.379092999999997</v>
      </c>
      <c r="AM5201">
        <v>100</v>
      </c>
      <c r="AN5201">
        <v>1800</v>
      </c>
      <c r="AO5201" t="s">
        <v>118</v>
      </c>
      <c r="AP5201">
        <v>-107</v>
      </c>
      <c r="AQ5201">
        <v>-53</v>
      </c>
      <c r="AR5201">
        <v>-1152</v>
      </c>
      <c r="AZ5201">
        <v>1200</v>
      </c>
      <c r="BA5201">
        <v>1</v>
      </c>
      <c r="BB5201" t="str">
        <f t="shared" si="2374"/>
        <v xml:space="preserve">N711JA  </v>
      </c>
      <c r="BC5201">
        <v>1</v>
      </c>
      <c r="BE5201">
        <v>0</v>
      </c>
      <c r="BF5201">
        <v>0</v>
      </c>
      <c r="BG5201">
        <v>0</v>
      </c>
      <c r="BH5201">
        <v>1925</v>
      </c>
      <c r="BI5201">
        <v>1</v>
      </c>
      <c r="BJ5201">
        <v>1</v>
      </c>
      <c r="BK5201">
        <v>0</v>
      </c>
      <c r="BL5201">
        <v>0</v>
      </c>
      <c r="BO5201">
        <v>0</v>
      </c>
      <c r="BP5201">
        <v>0</v>
      </c>
      <c r="BW5201" t="str">
        <f t="shared" ref="BW5201:BW5208" si="2400">"14:50:49.522"</f>
        <v>14:50:49.522</v>
      </c>
      <c r="CJ5201">
        <v>0</v>
      </c>
      <c r="CK5201">
        <v>2</v>
      </c>
      <c r="CL5201">
        <v>0</v>
      </c>
      <c r="CM5201">
        <v>2</v>
      </c>
      <c r="CN5201">
        <v>0</v>
      </c>
      <c r="CO5201">
        <v>7</v>
      </c>
      <c r="CP5201" t="s">
        <v>119</v>
      </c>
      <c r="CQ5201">
        <v>358</v>
      </c>
      <c r="CR5201">
        <v>0</v>
      </c>
      <c r="CW5201">
        <v>5232635</v>
      </c>
      <c r="CY5201">
        <v>1</v>
      </c>
      <c r="CZ5201">
        <v>0</v>
      </c>
      <c r="DA5201">
        <v>0</v>
      </c>
      <c r="DB5201">
        <v>0</v>
      </c>
      <c r="DC5201">
        <v>0</v>
      </c>
      <c r="DD5201">
        <v>1</v>
      </c>
      <c r="DE5201">
        <v>0</v>
      </c>
      <c r="DF5201">
        <v>0</v>
      </c>
      <c r="DG5201">
        <v>0</v>
      </c>
      <c r="DH5201">
        <v>0</v>
      </c>
      <c r="DI5201">
        <v>0</v>
      </c>
    </row>
    <row r="5202" spans="1:113" x14ac:dyDescent="0.3">
      <c r="A5202" t="str">
        <f t="shared" si="2397"/>
        <v>05/12/2020 14:50:31.680</v>
      </c>
      <c r="C5202" t="str">
        <f t="shared" si="2373"/>
        <v>FFDFD3C0</v>
      </c>
      <c r="D5202" t="s">
        <v>138</v>
      </c>
      <c r="E5202">
        <v>2</v>
      </c>
      <c r="H5202">
        <v>8</v>
      </c>
      <c r="I5202" t="s">
        <v>139</v>
      </c>
      <c r="J5202" t="s">
        <v>136</v>
      </c>
      <c r="K5202">
        <v>0</v>
      </c>
      <c r="L5202">
        <v>3</v>
      </c>
      <c r="M5202">
        <v>0</v>
      </c>
      <c r="N5202">
        <v>2</v>
      </c>
      <c r="O5202">
        <v>1</v>
      </c>
      <c r="P5202">
        <v>0</v>
      </c>
      <c r="Q5202">
        <v>0</v>
      </c>
      <c r="S5202" t="str">
        <f t="shared" si="2398"/>
        <v>14:50:49.516</v>
      </c>
      <c r="T5202" t="str">
        <f t="shared" si="2399"/>
        <v>14:50:49.316</v>
      </c>
      <c r="U5202" t="str">
        <f t="shared" si="2393"/>
        <v>A9808D</v>
      </c>
      <c r="V5202">
        <v>0</v>
      </c>
      <c r="W5202">
        <v>0</v>
      </c>
      <c r="X5202">
        <v>1</v>
      </c>
      <c r="Z5202">
        <v>0</v>
      </c>
      <c r="AA5202">
        <v>9</v>
      </c>
      <c r="AB5202">
        <v>3</v>
      </c>
      <c r="AC5202">
        <v>0</v>
      </c>
      <c r="AD5202">
        <v>10</v>
      </c>
      <c r="AE5202">
        <v>0</v>
      </c>
      <c r="AF5202">
        <v>3</v>
      </c>
      <c r="AG5202">
        <v>2</v>
      </c>
      <c r="AH5202">
        <v>0</v>
      </c>
      <c r="AI5202" t="s">
        <v>1152</v>
      </c>
      <c r="AJ5202">
        <v>28.229520000000001</v>
      </c>
      <c r="AK5202" t="s">
        <v>1153</v>
      </c>
      <c r="AL5202">
        <v>-82.379092999999997</v>
      </c>
      <c r="AM5202">
        <v>100</v>
      </c>
      <c r="AN5202">
        <v>1800</v>
      </c>
      <c r="AO5202" t="s">
        <v>118</v>
      </c>
      <c r="AP5202">
        <v>-107</v>
      </c>
      <c r="AQ5202">
        <v>-53</v>
      </c>
      <c r="AR5202">
        <v>-1152</v>
      </c>
      <c r="AZ5202">
        <v>1200</v>
      </c>
      <c r="BA5202">
        <v>1</v>
      </c>
      <c r="BB5202" t="str">
        <f t="shared" si="2374"/>
        <v xml:space="preserve">N711JA  </v>
      </c>
      <c r="BC5202">
        <v>1</v>
      </c>
      <c r="BE5202">
        <v>0</v>
      </c>
      <c r="BF5202">
        <v>0</v>
      </c>
      <c r="BG5202">
        <v>0</v>
      </c>
      <c r="BH5202">
        <v>1925</v>
      </c>
      <c r="BI5202">
        <v>1</v>
      </c>
      <c r="BJ5202">
        <v>1</v>
      </c>
      <c r="BK5202">
        <v>0</v>
      </c>
      <c r="BL5202">
        <v>0</v>
      </c>
      <c r="BO5202">
        <v>0</v>
      </c>
      <c r="BP5202">
        <v>0</v>
      </c>
      <c r="BW5202" t="str">
        <f t="shared" si="2400"/>
        <v>14:50:49.522</v>
      </c>
      <c r="CJ5202">
        <v>0</v>
      </c>
      <c r="CK5202">
        <v>2</v>
      </c>
      <c r="CL5202">
        <v>0</v>
      </c>
      <c r="CM5202">
        <v>2</v>
      </c>
      <c r="CN5202">
        <v>0</v>
      </c>
      <c r="CO5202">
        <v>6</v>
      </c>
      <c r="CP5202" t="s">
        <v>119</v>
      </c>
      <c r="CQ5202">
        <v>56</v>
      </c>
      <c r="CR5202">
        <v>2</v>
      </c>
      <c r="CW5202">
        <v>5265359</v>
      </c>
      <c r="CY5202">
        <v>1</v>
      </c>
      <c r="CZ5202">
        <v>0</v>
      </c>
      <c r="DA5202">
        <v>1</v>
      </c>
      <c r="DB5202">
        <v>0</v>
      </c>
      <c r="DC5202">
        <v>0</v>
      </c>
      <c r="DD5202">
        <v>1</v>
      </c>
      <c r="DE5202">
        <v>0</v>
      </c>
      <c r="DF5202">
        <v>0</v>
      </c>
      <c r="DG5202">
        <v>0</v>
      </c>
      <c r="DH5202">
        <v>0</v>
      </c>
      <c r="DI5202">
        <v>0</v>
      </c>
    </row>
    <row r="5203" spans="1:113" x14ac:dyDescent="0.3">
      <c r="A5203" t="str">
        <f t="shared" si="2397"/>
        <v>05/12/2020 14:50:31.680</v>
      </c>
      <c r="C5203" t="str">
        <f t="shared" si="2373"/>
        <v>FFDFD3C0</v>
      </c>
      <c r="D5203" t="s">
        <v>126</v>
      </c>
      <c r="E5203">
        <v>7</v>
      </c>
      <c r="F5203">
        <v>1007</v>
      </c>
      <c r="G5203" t="s">
        <v>127</v>
      </c>
      <c r="J5203" t="s">
        <v>128</v>
      </c>
      <c r="K5203">
        <v>0</v>
      </c>
      <c r="L5203">
        <v>3</v>
      </c>
      <c r="M5203">
        <v>0</v>
      </c>
      <c r="N5203">
        <v>2</v>
      </c>
      <c r="O5203">
        <v>1</v>
      </c>
      <c r="P5203">
        <v>0</v>
      </c>
      <c r="Q5203">
        <v>0</v>
      </c>
      <c r="S5203" t="str">
        <f t="shared" si="2398"/>
        <v>14:50:49.516</v>
      </c>
      <c r="T5203" t="str">
        <f t="shared" si="2399"/>
        <v>14:50:49.316</v>
      </c>
      <c r="U5203" t="str">
        <f t="shared" si="2393"/>
        <v>A9808D</v>
      </c>
      <c r="V5203">
        <v>0</v>
      </c>
      <c r="W5203">
        <v>0</v>
      </c>
      <c r="X5203">
        <v>1</v>
      </c>
      <c r="Z5203">
        <v>0</v>
      </c>
      <c r="AA5203">
        <v>9</v>
      </c>
      <c r="AB5203">
        <v>3</v>
      </c>
      <c r="AC5203">
        <v>0</v>
      </c>
      <c r="AD5203">
        <v>10</v>
      </c>
      <c r="AE5203">
        <v>0</v>
      </c>
      <c r="AF5203">
        <v>3</v>
      </c>
      <c r="AG5203">
        <v>2</v>
      </c>
      <c r="AH5203">
        <v>0</v>
      </c>
      <c r="AI5203" t="s">
        <v>1152</v>
      </c>
      <c r="AJ5203">
        <v>28.229520000000001</v>
      </c>
      <c r="AK5203" t="s">
        <v>1153</v>
      </c>
      <c r="AL5203">
        <v>-82.379092999999997</v>
      </c>
      <c r="AM5203">
        <v>100</v>
      </c>
      <c r="AN5203">
        <v>1800</v>
      </c>
      <c r="AO5203" t="s">
        <v>118</v>
      </c>
      <c r="AP5203">
        <v>-107</v>
      </c>
      <c r="AQ5203">
        <v>-53</v>
      </c>
      <c r="AR5203">
        <v>-1152</v>
      </c>
      <c r="AZ5203">
        <v>1200</v>
      </c>
      <c r="BA5203">
        <v>1</v>
      </c>
      <c r="BB5203" t="str">
        <f t="shared" si="2374"/>
        <v xml:space="preserve">N711JA  </v>
      </c>
      <c r="BC5203">
        <v>1</v>
      </c>
      <c r="BE5203">
        <v>0</v>
      </c>
      <c r="BF5203">
        <v>0</v>
      </c>
      <c r="BG5203">
        <v>0</v>
      </c>
      <c r="BH5203">
        <v>1925</v>
      </c>
      <c r="BI5203">
        <v>1</v>
      </c>
      <c r="BJ5203">
        <v>1</v>
      </c>
      <c r="BK5203">
        <v>0</v>
      </c>
      <c r="BL5203">
        <v>0</v>
      </c>
      <c r="BO5203">
        <v>0</v>
      </c>
      <c r="BP5203">
        <v>0</v>
      </c>
      <c r="BW5203" t="str">
        <f t="shared" si="2400"/>
        <v>14:50:49.522</v>
      </c>
      <c r="CJ5203">
        <v>0</v>
      </c>
      <c r="CK5203">
        <v>2</v>
      </c>
      <c r="CL5203">
        <v>0</v>
      </c>
      <c r="CM5203">
        <v>2</v>
      </c>
      <c r="CN5203">
        <v>0</v>
      </c>
      <c r="CO5203">
        <v>7</v>
      </c>
      <c r="CP5203" t="s">
        <v>119</v>
      </c>
      <c r="CQ5203">
        <v>358</v>
      </c>
      <c r="CR5203">
        <v>0</v>
      </c>
      <c r="CW5203">
        <v>5232635</v>
      </c>
      <c r="CY5203">
        <v>1</v>
      </c>
      <c r="CZ5203">
        <v>0</v>
      </c>
      <c r="DA5203">
        <v>1</v>
      </c>
      <c r="DB5203">
        <v>0</v>
      </c>
      <c r="DC5203">
        <v>0</v>
      </c>
      <c r="DD5203">
        <v>1</v>
      </c>
      <c r="DE5203">
        <v>0</v>
      </c>
      <c r="DF5203">
        <v>0</v>
      </c>
      <c r="DG5203">
        <v>0</v>
      </c>
      <c r="DH5203">
        <v>0</v>
      </c>
      <c r="DI5203">
        <v>0</v>
      </c>
    </row>
    <row r="5204" spans="1:113" x14ac:dyDescent="0.3">
      <c r="A5204" t="str">
        <f t="shared" si="2397"/>
        <v>05/12/2020 14:50:31.680</v>
      </c>
      <c r="C5204" t="str">
        <f t="shared" si="2373"/>
        <v>FFDFD3C0</v>
      </c>
      <c r="D5204" t="s">
        <v>131</v>
      </c>
      <c r="E5204">
        <v>10</v>
      </c>
      <c r="F5204">
        <v>2010</v>
      </c>
      <c r="G5204" t="s">
        <v>132</v>
      </c>
      <c r="J5204" t="s">
        <v>133</v>
      </c>
      <c r="K5204">
        <v>0</v>
      </c>
      <c r="L5204">
        <v>3</v>
      </c>
      <c r="M5204">
        <v>0</v>
      </c>
      <c r="N5204">
        <v>2</v>
      </c>
      <c r="O5204">
        <v>1</v>
      </c>
      <c r="P5204">
        <v>0</v>
      </c>
      <c r="Q5204">
        <v>0</v>
      </c>
      <c r="S5204" t="str">
        <f t="shared" si="2398"/>
        <v>14:50:49.516</v>
      </c>
      <c r="T5204" t="str">
        <f t="shared" si="2399"/>
        <v>14:50:49.316</v>
      </c>
      <c r="U5204" t="str">
        <f t="shared" si="2393"/>
        <v>A9808D</v>
      </c>
      <c r="V5204">
        <v>0</v>
      </c>
      <c r="W5204">
        <v>0</v>
      </c>
      <c r="X5204">
        <v>1</v>
      </c>
      <c r="Z5204">
        <v>0</v>
      </c>
      <c r="AA5204">
        <v>9</v>
      </c>
      <c r="AB5204">
        <v>3</v>
      </c>
      <c r="AC5204">
        <v>0</v>
      </c>
      <c r="AD5204">
        <v>10</v>
      </c>
      <c r="AE5204">
        <v>0</v>
      </c>
      <c r="AF5204">
        <v>3</v>
      </c>
      <c r="AG5204">
        <v>2</v>
      </c>
      <c r="AH5204">
        <v>0</v>
      </c>
      <c r="AI5204" t="s">
        <v>1152</v>
      </c>
      <c r="AJ5204">
        <v>28.229520000000001</v>
      </c>
      <c r="AK5204" t="s">
        <v>1153</v>
      </c>
      <c r="AL5204">
        <v>-82.379092999999997</v>
      </c>
      <c r="AM5204">
        <v>100</v>
      </c>
      <c r="AN5204">
        <v>1800</v>
      </c>
      <c r="AO5204" t="s">
        <v>118</v>
      </c>
      <c r="AP5204">
        <v>-107</v>
      </c>
      <c r="AQ5204">
        <v>-53</v>
      </c>
      <c r="AR5204">
        <v>-1152</v>
      </c>
      <c r="AZ5204">
        <v>1200</v>
      </c>
      <c r="BA5204">
        <v>1</v>
      </c>
      <c r="BB5204" t="str">
        <f t="shared" si="2374"/>
        <v xml:space="preserve">N711JA  </v>
      </c>
      <c r="BC5204">
        <v>1</v>
      </c>
      <c r="BE5204">
        <v>0</v>
      </c>
      <c r="BF5204">
        <v>0</v>
      </c>
      <c r="BG5204">
        <v>0</v>
      </c>
      <c r="BH5204">
        <v>1925</v>
      </c>
      <c r="BI5204">
        <v>1</v>
      </c>
      <c r="BJ5204">
        <v>1</v>
      </c>
      <c r="BK5204">
        <v>0</v>
      </c>
      <c r="BL5204">
        <v>0</v>
      </c>
      <c r="BO5204">
        <v>0</v>
      </c>
      <c r="BP5204">
        <v>0</v>
      </c>
      <c r="BW5204" t="str">
        <f t="shared" si="2400"/>
        <v>14:50:49.522</v>
      </c>
      <c r="CJ5204">
        <v>0</v>
      </c>
      <c r="CK5204">
        <v>2</v>
      </c>
      <c r="CL5204">
        <v>0</v>
      </c>
      <c r="CM5204">
        <v>2</v>
      </c>
      <c r="CN5204">
        <v>0</v>
      </c>
      <c r="CO5204">
        <v>7</v>
      </c>
      <c r="CP5204" t="s">
        <v>119</v>
      </c>
      <c r="CQ5204">
        <v>358</v>
      </c>
      <c r="CR5204">
        <v>0</v>
      </c>
      <c r="CW5204">
        <v>5232635</v>
      </c>
      <c r="CY5204">
        <v>1</v>
      </c>
      <c r="CZ5204">
        <v>0</v>
      </c>
      <c r="DA5204">
        <v>1</v>
      </c>
      <c r="DB5204">
        <v>0</v>
      </c>
      <c r="DC5204">
        <v>0</v>
      </c>
      <c r="DD5204">
        <v>1</v>
      </c>
      <c r="DE5204">
        <v>0</v>
      </c>
      <c r="DF5204">
        <v>0</v>
      </c>
      <c r="DG5204">
        <v>0</v>
      </c>
      <c r="DH5204">
        <v>0</v>
      </c>
      <c r="DI5204">
        <v>0</v>
      </c>
    </row>
    <row r="5205" spans="1:113" x14ac:dyDescent="0.3">
      <c r="A5205" t="str">
        <f t="shared" si="2397"/>
        <v>05/12/2020 14:50:31.680</v>
      </c>
      <c r="C5205" t="str">
        <f t="shared" si="2373"/>
        <v>FFDFD3C0</v>
      </c>
      <c r="D5205" t="s">
        <v>131</v>
      </c>
      <c r="E5205">
        <v>12</v>
      </c>
      <c r="F5205">
        <v>2012</v>
      </c>
      <c r="G5205" t="s">
        <v>137</v>
      </c>
      <c r="J5205" t="s">
        <v>133</v>
      </c>
      <c r="K5205">
        <v>0</v>
      </c>
      <c r="L5205">
        <v>3</v>
      </c>
      <c r="M5205">
        <v>0</v>
      </c>
      <c r="N5205">
        <v>2</v>
      </c>
      <c r="O5205">
        <v>1</v>
      </c>
      <c r="P5205">
        <v>0</v>
      </c>
      <c r="Q5205">
        <v>0</v>
      </c>
      <c r="S5205" t="str">
        <f t="shared" si="2398"/>
        <v>14:50:49.516</v>
      </c>
      <c r="T5205" t="str">
        <f t="shared" si="2399"/>
        <v>14:50:49.316</v>
      </c>
      <c r="U5205" t="str">
        <f t="shared" si="2393"/>
        <v>A9808D</v>
      </c>
      <c r="V5205">
        <v>0</v>
      </c>
      <c r="W5205">
        <v>0</v>
      </c>
      <c r="X5205">
        <v>1</v>
      </c>
      <c r="Z5205">
        <v>0</v>
      </c>
      <c r="AA5205">
        <v>9</v>
      </c>
      <c r="AB5205">
        <v>3</v>
      </c>
      <c r="AC5205">
        <v>0</v>
      </c>
      <c r="AD5205">
        <v>10</v>
      </c>
      <c r="AE5205">
        <v>0</v>
      </c>
      <c r="AF5205">
        <v>3</v>
      </c>
      <c r="AG5205">
        <v>2</v>
      </c>
      <c r="AH5205">
        <v>0</v>
      </c>
      <c r="AI5205" t="s">
        <v>1152</v>
      </c>
      <c r="AJ5205">
        <v>28.229520000000001</v>
      </c>
      <c r="AK5205" t="s">
        <v>1153</v>
      </c>
      <c r="AL5205">
        <v>-82.379092999999997</v>
      </c>
      <c r="AM5205">
        <v>100</v>
      </c>
      <c r="AN5205">
        <v>1800</v>
      </c>
      <c r="AO5205" t="s">
        <v>118</v>
      </c>
      <c r="AP5205">
        <v>-107</v>
      </c>
      <c r="AQ5205">
        <v>-53</v>
      </c>
      <c r="AR5205">
        <v>-1152</v>
      </c>
      <c r="AZ5205">
        <v>1200</v>
      </c>
      <c r="BA5205">
        <v>1</v>
      </c>
      <c r="BB5205" t="str">
        <f t="shared" si="2374"/>
        <v xml:space="preserve">N711JA  </v>
      </c>
      <c r="BC5205">
        <v>1</v>
      </c>
      <c r="BE5205">
        <v>0</v>
      </c>
      <c r="BF5205">
        <v>0</v>
      </c>
      <c r="BG5205">
        <v>0</v>
      </c>
      <c r="BH5205">
        <v>1925</v>
      </c>
      <c r="BI5205">
        <v>1</v>
      </c>
      <c r="BJ5205">
        <v>1</v>
      </c>
      <c r="BK5205">
        <v>0</v>
      </c>
      <c r="BL5205">
        <v>0</v>
      </c>
      <c r="BO5205">
        <v>0</v>
      </c>
      <c r="BP5205">
        <v>0</v>
      </c>
      <c r="BW5205" t="str">
        <f t="shared" si="2400"/>
        <v>14:50:49.522</v>
      </c>
      <c r="CJ5205">
        <v>0</v>
      </c>
      <c r="CK5205">
        <v>2</v>
      </c>
      <c r="CL5205">
        <v>0</v>
      </c>
      <c r="CM5205">
        <v>2</v>
      </c>
      <c r="CN5205">
        <v>0</v>
      </c>
      <c r="CO5205">
        <v>6</v>
      </c>
      <c r="CP5205" t="s">
        <v>119</v>
      </c>
      <c r="CQ5205">
        <v>56</v>
      </c>
      <c r="CR5205">
        <v>2</v>
      </c>
      <c r="CW5205">
        <v>5265359</v>
      </c>
      <c r="CY5205">
        <v>1</v>
      </c>
      <c r="CZ5205">
        <v>0</v>
      </c>
      <c r="DA5205">
        <v>1</v>
      </c>
      <c r="DB5205">
        <v>0</v>
      </c>
      <c r="DC5205">
        <v>0</v>
      </c>
      <c r="DD5205">
        <v>1</v>
      </c>
      <c r="DE5205">
        <v>0</v>
      </c>
      <c r="DF5205">
        <v>0</v>
      </c>
      <c r="DG5205">
        <v>0</v>
      </c>
      <c r="DH5205">
        <v>0</v>
      </c>
      <c r="DI5205">
        <v>0</v>
      </c>
    </row>
    <row r="5206" spans="1:113" x14ac:dyDescent="0.3">
      <c r="A5206" t="str">
        <f t="shared" si="2397"/>
        <v>05/12/2020 14:50:31.680</v>
      </c>
      <c r="C5206" t="str">
        <f t="shared" ref="C5206:C5269" si="2401">"FFDFD3C0"</f>
        <v>FFDFD3C0</v>
      </c>
      <c r="D5206" t="s">
        <v>134</v>
      </c>
      <c r="E5206">
        <v>12</v>
      </c>
      <c r="H5206">
        <v>64</v>
      </c>
      <c r="I5206" t="s">
        <v>135</v>
      </c>
      <c r="J5206" t="s">
        <v>136</v>
      </c>
      <c r="K5206">
        <v>0</v>
      </c>
      <c r="L5206">
        <v>3</v>
      </c>
      <c r="M5206">
        <v>0</v>
      </c>
      <c r="N5206">
        <v>2</v>
      </c>
      <c r="O5206">
        <v>1</v>
      </c>
      <c r="P5206">
        <v>0</v>
      </c>
      <c r="Q5206">
        <v>0</v>
      </c>
      <c r="S5206" t="str">
        <f t="shared" si="2398"/>
        <v>14:50:49.516</v>
      </c>
      <c r="T5206" t="str">
        <f t="shared" si="2399"/>
        <v>14:50:49.316</v>
      </c>
      <c r="U5206" t="str">
        <f t="shared" si="2393"/>
        <v>A9808D</v>
      </c>
      <c r="V5206">
        <v>0</v>
      </c>
      <c r="W5206">
        <v>0</v>
      </c>
      <c r="X5206">
        <v>1</v>
      </c>
      <c r="Z5206">
        <v>0</v>
      </c>
      <c r="AA5206">
        <v>9</v>
      </c>
      <c r="AB5206">
        <v>3</v>
      </c>
      <c r="AC5206">
        <v>0</v>
      </c>
      <c r="AD5206">
        <v>10</v>
      </c>
      <c r="AE5206">
        <v>0</v>
      </c>
      <c r="AF5206">
        <v>3</v>
      </c>
      <c r="AG5206">
        <v>2</v>
      </c>
      <c r="AH5206">
        <v>0</v>
      </c>
      <c r="AI5206" t="s">
        <v>1152</v>
      </c>
      <c r="AJ5206">
        <v>28.229520000000001</v>
      </c>
      <c r="AK5206" t="s">
        <v>1153</v>
      </c>
      <c r="AL5206">
        <v>-82.379092999999997</v>
      </c>
      <c r="AM5206">
        <v>100</v>
      </c>
      <c r="AN5206">
        <v>1800</v>
      </c>
      <c r="AO5206" t="s">
        <v>118</v>
      </c>
      <c r="AP5206">
        <v>-107</v>
      </c>
      <c r="AQ5206">
        <v>-53</v>
      </c>
      <c r="AR5206">
        <v>-1152</v>
      </c>
      <c r="AZ5206">
        <v>1200</v>
      </c>
      <c r="BA5206">
        <v>1</v>
      </c>
      <c r="BB5206" t="str">
        <f t="shared" ref="BB5206:BB5269" si="2402">"N711JA  "</f>
        <v xml:space="preserve">N711JA  </v>
      </c>
      <c r="BC5206">
        <v>1</v>
      </c>
      <c r="BE5206">
        <v>0</v>
      </c>
      <c r="BF5206">
        <v>0</v>
      </c>
      <c r="BG5206">
        <v>0</v>
      </c>
      <c r="BH5206">
        <v>1925</v>
      </c>
      <c r="BI5206">
        <v>1</v>
      </c>
      <c r="BJ5206">
        <v>1</v>
      </c>
      <c r="BK5206">
        <v>0</v>
      </c>
      <c r="BL5206">
        <v>0</v>
      </c>
      <c r="BO5206">
        <v>0</v>
      </c>
      <c r="BP5206">
        <v>0</v>
      </c>
      <c r="BW5206" t="str">
        <f t="shared" si="2400"/>
        <v>14:50:49.522</v>
      </c>
      <c r="CJ5206">
        <v>0</v>
      </c>
      <c r="CK5206">
        <v>2</v>
      </c>
      <c r="CL5206">
        <v>0</v>
      </c>
      <c r="CM5206">
        <v>2</v>
      </c>
      <c r="CN5206">
        <v>0</v>
      </c>
      <c r="CO5206">
        <v>7</v>
      </c>
      <c r="CP5206" t="s">
        <v>119</v>
      </c>
      <c r="CQ5206">
        <v>358</v>
      </c>
      <c r="CR5206">
        <v>0</v>
      </c>
      <c r="CW5206">
        <v>5232635</v>
      </c>
      <c r="CY5206">
        <v>1</v>
      </c>
      <c r="CZ5206">
        <v>0</v>
      </c>
      <c r="DA5206">
        <v>1</v>
      </c>
      <c r="DB5206">
        <v>0</v>
      </c>
      <c r="DC5206">
        <v>0</v>
      </c>
      <c r="DD5206">
        <v>1</v>
      </c>
      <c r="DE5206">
        <v>0</v>
      </c>
      <c r="DF5206">
        <v>0</v>
      </c>
      <c r="DG5206">
        <v>0</v>
      </c>
      <c r="DH5206">
        <v>0</v>
      </c>
      <c r="DI5206">
        <v>0</v>
      </c>
    </row>
    <row r="5207" spans="1:113" x14ac:dyDescent="0.3">
      <c r="A5207" t="str">
        <f t="shared" si="2397"/>
        <v>05/12/2020 14:50:31.680</v>
      </c>
      <c r="C5207" t="str">
        <f t="shared" si="2401"/>
        <v>FFDFD3C0</v>
      </c>
      <c r="D5207" t="s">
        <v>126</v>
      </c>
      <c r="E5207">
        <v>6</v>
      </c>
      <c r="F5207">
        <v>1006</v>
      </c>
      <c r="G5207" t="s">
        <v>114</v>
      </c>
      <c r="J5207" t="s">
        <v>128</v>
      </c>
      <c r="K5207">
        <v>0</v>
      </c>
      <c r="L5207">
        <v>3</v>
      </c>
      <c r="M5207">
        <v>0</v>
      </c>
      <c r="N5207">
        <v>2</v>
      </c>
      <c r="O5207">
        <v>1</v>
      </c>
      <c r="P5207">
        <v>0</v>
      </c>
      <c r="Q5207">
        <v>0</v>
      </c>
      <c r="S5207" t="str">
        <f t="shared" si="2398"/>
        <v>14:50:49.516</v>
      </c>
      <c r="T5207" t="str">
        <f t="shared" si="2399"/>
        <v>14:50:49.316</v>
      </c>
      <c r="U5207" t="str">
        <f t="shared" si="2393"/>
        <v>A9808D</v>
      </c>
      <c r="V5207">
        <v>0</v>
      </c>
      <c r="W5207">
        <v>0</v>
      </c>
      <c r="X5207">
        <v>1</v>
      </c>
      <c r="Z5207">
        <v>0</v>
      </c>
      <c r="AA5207">
        <v>9</v>
      </c>
      <c r="AB5207">
        <v>3</v>
      </c>
      <c r="AC5207">
        <v>0</v>
      </c>
      <c r="AD5207">
        <v>10</v>
      </c>
      <c r="AE5207">
        <v>0</v>
      </c>
      <c r="AF5207">
        <v>3</v>
      </c>
      <c r="AG5207">
        <v>2</v>
      </c>
      <c r="AH5207">
        <v>0</v>
      </c>
      <c r="AI5207" t="s">
        <v>1152</v>
      </c>
      <c r="AJ5207">
        <v>28.229520000000001</v>
      </c>
      <c r="AK5207" t="s">
        <v>1153</v>
      </c>
      <c r="AL5207">
        <v>-82.379092999999997</v>
      </c>
      <c r="AM5207">
        <v>100</v>
      </c>
      <c r="AN5207">
        <v>1800</v>
      </c>
      <c r="AO5207" t="s">
        <v>118</v>
      </c>
      <c r="AP5207">
        <v>-107</v>
      </c>
      <c r="AQ5207">
        <v>-53</v>
      </c>
      <c r="AR5207">
        <v>-1152</v>
      </c>
      <c r="AZ5207">
        <v>1200</v>
      </c>
      <c r="BA5207">
        <v>1</v>
      </c>
      <c r="BB5207" t="str">
        <f t="shared" si="2402"/>
        <v xml:space="preserve">N711JA  </v>
      </c>
      <c r="BC5207">
        <v>1</v>
      </c>
      <c r="BE5207">
        <v>0</v>
      </c>
      <c r="BF5207">
        <v>0</v>
      </c>
      <c r="BG5207">
        <v>0</v>
      </c>
      <c r="BH5207">
        <v>1925</v>
      </c>
      <c r="BI5207">
        <v>1</v>
      </c>
      <c r="BJ5207">
        <v>1</v>
      </c>
      <c r="BK5207">
        <v>0</v>
      </c>
      <c r="BL5207">
        <v>0</v>
      </c>
      <c r="BO5207">
        <v>0</v>
      </c>
      <c r="BP5207">
        <v>0</v>
      </c>
      <c r="BW5207" t="str">
        <f t="shared" si="2400"/>
        <v>14:50:49.522</v>
      </c>
      <c r="CJ5207">
        <v>0</v>
      </c>
      <c r="CK5207">
        <v>2</v>
      </c>
      <c r="CL5207">
        <v>0</v>
      </c>
      <c r="CM5207">
        <v>2</v>
      </c>
      <c r="CN5207">
        <v>0</v>
      </c>
      <c r="CO5207">
        <v>7</v>
      </c>
      <c r="CP5207" t="s">
        <v>119</v>
      </c>
      <c r="CQ5207">
        <v>358</v>
      </c>
      <c r="CR5207">
        <v>0</v>
      </c>
      <c r="CW5207">
        <v>5232635</v>
      </c>
      <c r="CY5207">
        <v>1</v>
      </c>
      <c r="CZ5207">
        <v>0</v>
      </c>
      <c r="DA5207">
        <v>1</v>
      </c>
      <c r="DB5207">
        <v>0</v>
      </c>
      <c r="DC5207">
        <v>0</v>
      </c>
      <c r="DD5207">
        <v>1</v>
      </c>
      <c r="DE5207">
        <v>0</v>
      </c>
      <c r="DF5207">
        <v>0</v>
      </c>
      <c r="DG5207">
        <v>0</v>
      </c>
      <c r="DH5207">
        <v>0</v>
      </c>
      <c r="DI5207">
        <v>0</v>
      </c>
    </row>
    <row r="5208" spans="1:113" x14ac:dyDescent="0.3">
      <c r="A5208" t="str">
        <f t="shared" si="2397"/>
        <v>05/12/2020 14:50:31.680</v>
      </c>
      <c r="C5208" t="str">
        <f t="shared" si="2401"/>
        <v>FFDFD3C0</v>
      </c>
      <c r="D5208" t="s">
        <v>113</v>
      </c>
      <c r="E5208">
        <v>3</v>
      </c>
      <c r="H5208">
        <v>164</v>
      </c>
      <c r="I5208" t="s">
        <v>114</v>
      </c>
      <c r="J5208" t="s">
        <v>115</v>
      </c>
      <c r="K5208">
        <v>0</v>
      </c>
      <c r="L5208">
        <v>3</v>
      </c>
      <c r="M5208">
        <v>0</v>
      </c>
      <c r="N5208">
        <v>2</v>
      </c>
      <c r="O5208">
        <v>1</v>
      </c>
      <c r="P5208">
        <v>0</v>
      </c>
      <c r="Q5208">
        <v>0</v>
      </c>
      <c r="S5208" t="str">
        <f t="shared" si="2398"/>
        <v>14:50:49.516</v>
      </c>
      <c r="T5208" t="str">
        <f t="shared" si="2399"/>
        <v>14:50:49.316</v>
      </c>
      <c r="U5208" t="str">
        <f t="shared" si="2393"/>
        <v>A9808D</v>
      </c>
      <c r="V5208">
        <v>0</v>
      </c>
      <c r="W5208">
        <v>0</v>
      </c>
      <c r="X5208">
        <v>1</v>
      </c>
      <c r="Z5208">
        <v>0</v>
      </c>
      <c r="AA5208">
        <v>9</v>
      </c>
      <c r="AB5208">
        <v>3</v>
      </c>
      <c r="AC5208">
        <v>0</v>
      </c>
      <c r="AD5208">
        <v>10</v>
      </c>
      <c r="AE5208">
        <v>0</v>
      </c>
      <c r="AF5208">
        <v>3</v>
      </c>
      <c r="AG5208">
        <v>2</v>
      </c>
      <c r="AH5208">
        <v>0</v>
      </c>
      <c r="AI5208" t="s">
        <v>1152</v>
      </c>
      <c r="AJ5208">
        <v>28.229520000000001</v>
      </c>
      <c r="AK5208" t="s">
        <v>1153</v>
      </c>
      <c r="AL5208">
        <v>-82.379092999999997</v>
      </c>
      <c r="AM5208">
        <v>100</v>
      </c>
      <c r="AN5208">
        <v>1800</v>
      </c>
      <c r="AO5208" t="s">
        <v>118</v>
      </c>
      <c r="AP5208">
        <v>-107</v>
      </c>
      <c r="AQ5208">
        <v>-53</v>
      </c>
      <c r="AR5208">
        <v>-1152</v>
      </c>
      <c r="AZ5208">
        <v>1200</v>
      </c>
      <c r="BA5208">
        <v>1</v>
      </c>
      <c r="BB5208" t="str">
        <f t="shared" si="2402"/>
        <v xml:space="preserve">N711JA  </v>
      </c>
      <c r="BC5208">
        <v>1</v>
      </c>
      <c r="BE5208">
        <v>0</v>
      </c>
      <c r="BF5208">
        <v>0</v>
      </c>
      <c r="BG5208">
        <v>0</v>
      </c>
      <c r="BH5208">
        <v>1925</v>
      </c>
      <c r="BI5208">
        <v>1</v>
      </c>
      <c r="BJ5208">
        <v>1</v>
      </c>
      <c r="BK5208">
        <v>0</v>
      </c>
      <c r="BL5208">
        <v>0</v>
      </c>
      <c r="BO5208">
        <v>0</v>
      </c>
      <c r="BP5208">
        <v>0</v>
      </c>
      <c r="BW5208" t="str">
        <f t="shared" si="2400"/>
        <v>14:50:49.522</v>
      </c>
      <c r="CJ5208">
        <v>0</v>
      </c>
      <c r="CK5208">
        <v>2</v>
      </c>
      <c r="CL5208">
        <v>0</v>
      </c>
      <c r="CM5208">
        <v>2</v>
      </c>
      <c r="CN5208">
        <v>0</v>
      </c>
      <c r="CO5208">
        <v>6</v>
      </c>
      <c r="CP5208" t="s">
        <v>119</v>
      </c>
      <c r="CQ5208">
        <v>56</v>
      </c>
      <c r="CR5208">
        <v>2</v>
      </c>
      <c r="CW5208">
        <v>5265359</v>
      </c>
      <c r="CY5208">
        <v>1</v>
      </c>
      <c r="CZ5208">
        <v>0</v>
      </c>
      <c r="DA5208">
        <v>1</v>
      </c>
      <c r="DB5208">
        <v>0</v>
      </c>
      <c r="DC5208">
        <v>0</v>
      </c>
      <c r="DD5208">
        <v>1</v>
      </c>
      <c r="DE5208">
        <v>0</v>
      </c>
      <c r="DF5208">
        <v>0</v>
      </c>
      <c r="DG5208">
        <v>0</v>
      </c>
      <c r="DH5208">
        <v>0</v>
      </c>
      <c r="DI5208">
        <v>0</v>
      </c>
    </row>
    <row r="5209" spans="1:113" x14ac:dyDescent="0.3">
      <c r="A5209" t="str">
        <f t="shared" ref="A5209:A5216" si="2403">"05/12/2020 14:50:32.692"</f>
        <v>05/12/2020 14:50:32.692</v>
      </c>
      <c r="C5209" t="str">
        <f t="shared" si="2401"/>
        <v>FFDFD3C0</v>
      </c>
      <c r="D5209" t="s">
        <v>138</v>
      </c>
      <c r="E5209">
        <v>3</v>
      </c>
      <c r="H5209">
        <v>9</v>
      </c>
      <c r="I5209" t="s">
        <v>140</v>
      </c>
      <c r="J5209" t="s">
        <v>136</v>
      </c>
      <c r="K5209">
        <v>0</v>
      </c>
      <c r="L5209">
        <v>3</v>
      </c>
      <c r="M5209">
        <v>0</v>
      </c>
      <c r="N5209">
        <v>2</v>
      </c>
      <c r="O5209">
        <v>1</v>
      </c>
      <c r="P5209">
        <v>0</v>
      </c>
      <c r="Q5209">
        <v>0</v>
      </c>
      <c r="S5209" t="str">
        <f t="shared" ref="S5209:S5216" si="2404">"14:50:50.531"</f>
        <v>14:50:50.531</v>
      </c>
      <c r="T5209" t="str">
        <f t="shared" ref="T5209:T5216" si="2405">"14:50:50.331"</f>
        <v>14:50:50.331</v>
      </c>
      <c r="U5209" t="str">
        <f t="shared" si="2393"/>
        <v>A9808D</v>
      </c>
      <c r="V5209">
        <v>0</v>
      </c>
      <c r="W5209">
        <v>0</v>
      </c>
      <c r="X5209">
        <v>1</v>
      </c>
      <c r="Z5209">
        <v>0</v>
      </c>
      <c r="AA5209">
        <v>9</v>
      </c>
      <c r="AB5209">
        <v>3</v>
      </c>
      <c r="AC5209">
        <v>0</v>
      </c>
      <c r="AD5209">
        <v>10</v>
      </c>
      <c r="AE5209">
        <v>0</v>
      </c>
      <c r="AF5209">
        <v>3</v>
      </c>
      <c r="AG5209">
        <v>2</v>
      </c>
      <c r="AH5209">
        <v>0</v>
      </c>
      <c r="AI5209" t="s">
        <v>1154</v>
      </c>
      <c r="AJ5209">
        <v>28.229220000000002</v>
      </c>
      <c r="AK5209" t="s">
        <v>1155</v>
      </c>
      <c r="AL5209">
        <v>-82.379694000000001</v>
      </c>
      <c r="AM5209">
        <v>100</v>
      </c>
      <c r="AN5209">
        <v>1800</v>
      </c>
      <c r="AO5209" t="s">
        <v>118</v>
      </c>
      <c r="AP5209">
        <v>-108</v>
      </c>
      <c r="AQ5209">
        <v>-52</v>
      </c>
      <c r="AR5209">
        <v>-1152</v>
      </c>
      <c r="AZ5209">
        <v>1200</v>
      </c>
      <c r="BA5209">
        <v>1</v>
      </c>
      <c r="BB5209" t="str">
        <f t="shared" si="2402"/>
        <v xml:space="preserve">N711JA  </v>
      </c>
      <c r="BC5209">
        <v>1</v>
      </c>
      <c r="BE5209">
        <v>0</v>
      </c>
      <c r="BF5209">
        <v>0</v>
      </c>
      <c r="BG5209">
        <v>0</v>
      </c>
      <c r="BH5209">
        <v>1900</v>
      </c>
      <c r="BI5209">
        <v>1</v>
      </c>
      <c r="BJ5209">
        <v>1</v>
      </c>
      <c r="BK5209">
        <v>0</v>
      </c>
      <c r="BL5209">
        <v>0</v>
      </c>
      <c r="BO5209">
        <v>0</v>
      </c>
      <c r="BP5209">
        <v>0</v>
      </c>
      <c r="BW5209" t="str">
        <f t="shared" ref="BW5209:BW5216" si="2406">"14:50:50.536"</f>
        <v>14:50:50.536</v>
      </c>
      <c r="CJ5209">
        <v>0</v>
      </c>
      <c r="CK5209">
        <v>2</v>
      </c>
      <c r="CL5209">
        <v>0</v>
      </c>
      <c r="CM5209">
        <v>2</v>
      </c>
      <c r="CN5209">
        <v>0</v>
      </c>
      <c r="CO5209">
        <v>7</v>
      </c>
      <c r="CP5209" t="s">
        <v>119</v>
      </c>
      <c r="CQ5209">
        <v>358</v>
      </c>
      <c r="CR5209">
        <v>0</v>
      </c>
      <c r="CW5209">
        <v>5233866</v>
      </c>
      <c r="CY5209">
        <v>1</v>
      </c>
      <c r="CZ5209">
        <v>0</v>
      </c>
      <c r="DA5209">
        <v>0</v>
      </c>
      <c r="DB5209">
        <v>0</v>
      </c>
      <c r="DC5209">
        <v>0</v>
      </c>
      <c r="DD5209">
        <v>1</v>
      </c>
      <c r="DE5209">
        <v>0</v>
      </c>
      <c r="DF5209">
        <v>0</v>
      </c>
      <c r="DG5209">
        <v>0</v>
      </c>
      <c r="DH5209">
        <v>0</v>
      </c>
      <c r="DI5209">
        <v>0</v>
      </c>
    </row>
    <row r="5210" spans="1:113" x14ac:dyDescent="0.3">
      <c r="A5210" t="str">
        <f t="shared" si="2403"/>
        <v>05/12/2020 14:50:32.692</v>
      </c>
      <c r="C5210" t="str">
        <f t="shared" si="2401"/>
        <v>FFDFD3C0</v>
      </c>
      <c r="D5210" t="s">
        <v>138</v>
      </c>
      <c r="E5210">
        <v>2</v>
      </c>
      <c r="H5210">
        <v>8</v>
      </c>
      <c r="I5210" t="s">
        <v>139</v>
      </c>
      <c r="J5210" t="s">
        <v>136</v>
      </c>
      <c r="K5210">
        <v>0</v>
      </c>
      <c r="L5210">
        <v>3</v>
      </c>
      <c r="M5210">
        <v>0</v>
      </c>
      <c r="N5210">
        <v>2</v>
      </c>
      <c r="O5210">
        <v>1</v>
      </c>
      <c r="P5210">
        <v>0</v>
      </c>
      <c r="Q5210">
        <v>0</v>
      </c>
      <c r="S5210" t="str">
        <f t="shared" si="2404"/>
        <v>14:50:50.531</v>
      </c>
      <c r="T5210" t="str">
        <f t="shared" si="2405"/>
        <v>14:50:50.331</v>
      </c>
      <c r="U5210" t="str">
        <f t="shared" si="2393"/>
        <v>A9808D</v>
      </c>
      <c r="V5210">
        <v>0</v>
      </c>
      <c r="W5210">
        <v>0</v>
      </c>
      <c r="X5210">
        <v>1</v>
      </c>
      <c r="Z5210">
        <v>0</v>
      </c>
      <c r="AA5210">
        <v>9</v>
      </c>
      <c r="AB5210">
        <v>3</v>
      </c>
      <c r="AC5210">
        <v>0</v>
      </c>
      <c r="AD5210">
        <v>10</v>
      </c>
      <c r="AE5210">
        <v>0</v>
      </c>
      <c r="AF5210">
        <v>3</v>
      </c>
      <c r="AG5210">
        <v>2</v>
      </c>
      <c r="AH5210">
        <v>0</v>
      </c>
      <c r="AI5210" t="s">
        <v>1154</v>
      </c>
      <c r="AJ5210">
        <v>28.229220000000002</v>
      </c>
      <c r="AK5210" t="s">
        <v>1155</v>
      </c>
      <c r="AL5210">
        <v>-82.379694000000001</v>
      </c>
      <c r="AM5210">
        <v>100</v>
      </c>
      <c r="AN5210">
        <v>1800</v>
      </c>
      <c r="AO5210" t="s">
        <v>118</v>
      </c>
      <c r="AP5210">
        <v>-108</v>
      </c>
      <c r="AQ5210">
        <v>-52</v>
      </c>
      <c r="AR5210">
        <v>-1152</v>
      </c>
      <c r="AZ5210">
        <v>1200</v>
      </c>
      <c r="BA5210">
        <v>1</v>
      </c>
      <c r="BB5210" t="str">
        <f t="shared" si="2402"/>
        <v xml:space="preserve">N711JA  </v>
      </c>
      <c r="BC5210">
        <v>1</v>
      </c>
      <c r="BE5210">
        <v>0</v>
      </c>
      <c r="BF5210">
        <v>0</v>
      </c>
      <c r="BG5210">
        <v>0</v>
      </c>
      <c r="BH5210">
        <v>1900</v>
      </c>
      <c r="BI5210">
        <v>1</v>
      </c>
      <c r="BJ5210">
        <v>1</v>
      </c>
      <c r="BK5210">
        <v>0</v>
      </c>
      <c r="BL5210">
        <v>0</v>
      </c>
      <c r="BO5210">
        <v>0</v>
      </c>
      <c r="BP5210">
        <v>0</v>
      </c>
      <c r="BW5210" t="str">
        <f t="shared" si="2406"/>
        <v>14:50:50.536</v>
      </c>
      <c r="CJ5210">
        <v>0</v>
      </c>
      <c r="CK5210">
        <v>2</v>
      </c>
      <c r="CL5210">
        <v>0</v>
      </c>
      <c r="CM5210">
        <v>2</v>
      </c>
      <c r="CN5210">
        <v>0</v>
      </c>
      <c r="CO5210">
        <v>6</v>
      </c>
      <c r="CP5210" t="s">
        <v>119</v>
      </c>
      <c r="CQ5210">
        <v>8</v>
      </c>
      <c r="CR5210">
        <v>3</v>
      </c>
      <c r="CW5210">
        <v>9246975</v>
      </c>
      <c r="CY5210">
        <v>1</v>
      </c>
      <c r="CZ5210">
        <v>0</v>
      </c>
      <c r="DA5210">
        <v>1</v>
      </c>
      <c r="DB5210">
        <v>0</v>
      </c>
      <c r="DC5210">
        <v>0</v>
      </c>
      <c r="DD5210">
        <v>1</v>
      </c>
      <c r="DE5210">
        <v>0</v>
      </c>
      <c r="DF5210">
        <v>0</v>
      </c>
      <c r="DG5210">
        <v>0</v>
      </c>
      <c r="DH5210">
        <v>0</v>
      </c>
      <c r="DI5210">
        <v>0</v>
      </c>
    </row>
    <row r="5211" spans="1:113" x14ac:dyDescent="0.3">
      <c r="A5211" t="str">
        <f t="shared" si="2403"/>
        <v>05/12/2020 14:50:32.692</v>
      </c>
      <c r="C5211" t="str">
        <f t="shared" si="2401"/>
        <v>FFDFD3C0</v>
      </c>
      <c r="D5211" t="s">
        <v>126</v>
      </c>
      <c r="E5211">
        <v>7</v>
      </c>
      <c r="F5211">
        <v>1007</v>
      </c>
      <c r="G5211" t="s">
        <v>127</v>
      </c>
      <c r="J5211" t="s">
        <v>128</v>
      </c>
      <c r="K5211">
        <v>0</v>
      </c>
      <c r="L5211">
        <v>3</v>
      </c>
      <c r="M5211">
        <v>0</v>
      </c>
      <c r="N5211">
        <v>2</v>
      </c>
      <c r="O5211">
        <v>1</v>
      </c>
      <c r="P5211">
        <v>0</v>
      </c>
      <c r="Q5211">
        <v>0</v>
      </c>
      <c r="S5211" t="str">
        <f t="shared" si="2404"/>
        <v>14:50:50.531</v>
      </c>
      <c r="T5211" t="str">
        <f t="shared" si="2405"/>
        <v>14:50:50.331</v>
      </c>
      <c r="U5211" t="str">
        <f t="shared" si="2393"/>
        <v>A9808D</v>
      </c>
      <c r="V5211">
        <v>0</v>
      </c>
      <c r="W5211">
        <v>0</v>
      </c>
      <c r="X5211">
        <v>1</v>
      </c>
      <c r="Z5211">
        <v>0</v>
      </c>
      <c r="AA5211">
        <v>9</v>
      </c>
      <c r="AB5211">
        <v>3</v>
      </c>
      <c r="AC5211">
        <v>0</v>
      </c>
      <c r="AD5211">
        <v>10</v>
      </c>
      <c r="AE5211">
        <v>0</v>
      </c>
      <c r="AF5211">
        <v>3</v>
      </c>
      <c r="AG5211">
        <v>2</v>
      </c>
      <c r="AH5211">
        <v>0</v>
      </c>
      <c r="AI5211" t="s">
        <v>1154</v>
      </c>
      <c r="AJ5211">
        <v>28.229220000000002</v>
      </c>
      <c r="AK5211" t="s">
        <v>1155</v>
      </c>
      <c r="AL5211">
        <v>-82.379694000000001</v>
      </c>
      <c r="AM5211">
        <v>100</v>
      </c>
      <c r="AN5211">
        <v>1800</v>
      </c>
      <c r="AO5211" t="s">
        <v>118</v>
      </c>
      <c r="AP5211">
        <v>-108</v>
      </c>
      <c r="AQ5211">
        <v>-52</v>
      </c>
      <c r="AR5211">
        <v>-1152</v>
      </c>
      <c r="AZ5211">
        <v>1200</v>
      </c>
      <c r="BA5211">
        <v>1</v>
      </c>
      <c r="BB5211" t="str">
        <f t="shared" si="2402"/>
        <v xml:space="preserve">N711JA  </v>
      </c>
      <c r="BC5211">
        <v>1</v>
      </c>
      <c r="BE5211">
        <v>0</v>
      </c>
      <c r="BF5211">
        <v>0</v>
      </c>
      <c r="BG5211">
        <v>0</v>
      </c>
      <c r="BH5211">
        <v>1900</v>
      </c>
      <c r="BI5211">
        <v>1</v>
      </c>
      <c r="BJ5211">
        <v>1</v>
      </c>
      <c r="BK5211">
        <v>0</v>
      </c>
      <c r="BL5211">
        <v>0</v>
      </c>
      <c r="BO5211">
        <v>0</v>
      </c>
      <c r="BP5211">
        <v>0</v>
      </c>
      <c r="BW5211" t="str">
        <f t="shared" si="2406"/>
        <v>14:50:50.536</v>
      </c>
      <c r="CJ5211">
        <v>0</v>
      </c>
      <c r="CK5211">
        <v>2</v>
      </c>
      <c r="CL5211">
        <v>0</v>
      </c>
      <c r="CM5211">
        <v>2</v>
      </c>
      <c r="CN5211">
        <v>0</v>
      </c>
      <c r="CO5211">
        <v>7</v>
      </c>
      <c r="CP5211" t="s">
        <v>119</v>
      </c>
      <c r="CQ5211">
        <v>358</v>
      </c>
      <c r="CR5211">
        <v>0</v>
      </c>
      <c r="CW5211">
        <v>5233866</v>
      </c>
      <c r="CY5211">
        <v>1</v>
      </c>
      <c r="CZ5211">
        <v>0</v>
      </c>
      <c r="DA5211">
        <v>1</v>
      </c>
      <c r="DB5211">
        <v>0</v>
      </c>
      <c r="DC5211">
        <v>0</v>
      </c>
      <c r="DD5211">
        <v>1</v>
      </c>
      <c r="DE5211">
        <v>0</v>
      </c>
      <c r="DF5211">
        <v>0</v>
      </c>
      <c r="DG5211">
        <v>0</v>
      </c>
      <c r="DH5211">
        <v>0</v>
      </c>
      <c r="DI5211">
        <v>0</v>
      </c>
    </row>
    <row r="5212" spans="1:113" x14ac:dyDescent="0.3">
      <c r="A5212" t="str">
        <f t="shared" si="2403"/>
        <v>05/12/2020 14:50:32.692</v>
      </c>
      <c r="C5212" t="str">
        <f t="shared" si="2401"/>
        <v>FFDFD3C0</v>
      </c>
      <c r="D5212" t="s">
        <v>131</v>
      </c>
      <c r="E5212">
        <v>10</v>
      </c>
      <c r="F5212">
        <v>2010</v>
      </c>
      <c r="G5212" t="s">
        <v>132</v>
      </c>
      <c r="J5212" t="s">
        <v>133</v>
      </c>
      <c r="K5212">
        <v>0</v>
      </c>
      <c r="L5212">
        <v>3</v>
      </c>
      <c r="M5212">
        <v>0</v>
      </c>
      <c r="N5212">
        <v>2</v>
      </c>
      <c r="O5212">
        <v>1</v>
      </c>
      <c r="P5212">
        <v>0</v>
      </c>
      <c r="Q5212">
        <v>0</v>
      </c>
      <c r="S5212" t="str">
        <f t="shared" si="2404"/>
        <v>14:50:50.531</v>
      </c>
      <c r="T5212" t="str">
        <f t="shared" si="2405"/>
        <v>14:50:50.331</v>
      </c>
      <c r="U5212" t="str">
        <f t="shared" si="2393"/>
        <v>A9808D</v>
      </c>
      <c r="V5212">
        <v>0</v>
      </c>
      <c r="W5212">
        <v>0</v>
      </c>
      <c r="X5212">
        <v>1</v>
      </c>
      <c r="Z5212">
        <v>0</v>
      </c>
      <c r="AA5212">
        <v>9</v>
      </c>
      <c r="AB5212">
        <v>3</v>
      </c>
      <c r="AC5212">
        <v>0</v>
      </c>
      <c r="AD5212">
        <v>10</v>
      </c>
      <c r="AE5212">
        <v>0</v>
      </c>
      <c r="AF5212">
        <v>3</v>
      </c>
      <c r="AG5212">
        <v>2</v>
      </c>
      <c r="AH5212">
        <v>0</v>
      </c>
      <c r="AI5212" t="s">
        <v>1154</v>
      </c>
      <c r="AJ5212">
        <v>28.229220000000002</v>
      </c>
      <c r="AK5212" t="s">
        <v>1155</v>
      </c>
      <c r="AL5212">
        <v>-82.379694000000001</v>
      </c>
      <c r="AM5212">
        <v>100</v>
      </c>
      <c r="AN5212">
        <v>1800</v>
      </c>
      <c r="AO5212" t="s">
        <v>118</v>
      </c>
      <c r="AP5212">
        <v>-108</v>
      </c>
      <c r="AQ5212">
        <v>-52</v>
      </c>
      <c r="AR5212">
        <v>-1152</v>
      </c>
      <c r="AZ5212">
        <v>1200</v>
      </c>
      <c r="BA5212">
        <v>1</v>
      </c>
      <c r="BB5212" t="str">
        <f t="shared" si="2402"/>
        <v xml:space="preserve">N711JA  </v>
      </c>
      <c r="BC5212">
        <v>1</v>
      </c>
      <c r="BE5212">
        <v>0</v>
      </c>
      <c r="BF5212">
        <v>0</v>
      </c>
      <c r="BG5212">
        <v>0</v>
      </c>
      <c r="BH5212">
        <v>1900</v>
      </c>
      <c r="BI5212">
        <v>1</v>
      </c>
      <c r="BJ5212">
        <v>1</v>
      </c>
      <c r="BK5212">
        <v>0</v>
      </c>
      <c r="BL5212">
        <v>0</v>
      </c>
      <c r="BO5212">
        <v>0</v>
      </c>
      <c r="BP5212">
        <v>0</v>
      </c>
      <c r="BW5212" t="str">
        <f t="shared" si="2406"/>
        <v>14:50:50.536</v>
      </c>
      <c r="CJ5212">
        <v>0</v>
      </c>
      <c r="CK5212">
        <v>2</v>
      </c>
      <c r="CL5212">
        <v>0</v>
      </c>
      <c r="CM5212">
        <v>2</v>
      </c>
      <c r="CN5212">
        <v>0</v>
      </c>
      <c r="CO5212">
        <v>7</v>
      </c>
      <c r="CP5212" t="s">
        <v>119</v>
      </c>
      <c r="CQ5212">
        <v>358</v>
      </c>
      <c r="CR5212">
        <v>0</v>
      </c>
      <c r="CW5212">
        <v>5233866</v>
      </c>
      <c r="CY5212">
        <v>1</v>
      </c>
      <c r="CZ5212">
        <v>0</v>
      </c>
      <c r="DA5212">
        <v>1</v>
      </c>
      <c r="DB5212">
        <v>0</v>
      </c>
      <c r="DC5212">
        <v>0</v>
      </c>
      <c r="DD5212">
        <v>1</v>
      </c>
      <c r="DE5212">
        <v>0</v>
      </c>
      <c r="DF5212">
        <v>0</v>
      </c>
      <c r="DG5212">
        <v>0</v>
      </c>
      <c r="DH5212">
        <v>0</v>
      </c>
      <c r="DI5212">
        <v>0</v>
      </c>
    </row>
    <row r="5213" spans="1:113" x14ac:dyDescent="0.3">
      <c r="A5213" t="str">
        <f t="shared" si="2403"/>
        <v>05/12/2020 14:50:32.692</v>
      </c>
      <c r="C5213" t="str">
        <f t="shared" si="2401"/>
        <v>FFDFD3C0</v>
      </c>
      <c r="D5213" t="s">
        <v>131</v>
      </c>
      <c r="E5213">
        <v>12</v>
      </c>
      <c r="F5213">
        <v>2012</v>
      </c>
      <c r="G5213" t="s">
        <v>137</v>
      </c>
      <c r="J5213" t="s">
        <v>133</v>
      </c>
      <c r="K5213">
        <v>0</v>
      </c>
      <c r="L5213">
        <v>3</v>
      </c>
      <c r="M5213">
        <v>0</v>
      </c>
      <c r="N5213">
        <v>2</v>
      </c>
      <c r="O5213">
        <v>1</v>
      </c>
      <c r="P5213">
        <v>0</v>
      </c>
      <c r="Q5213">
        <v>0</v>
      </c>
      <c r="S5213" t="str">
        <f t="shared" si="2404"/>
        <v>14:50:50.531</v>
      </c>
      <c r="T5213" t="str">
        <f t="shared" si="2405"/>
        <v>14:50:50.331</v>
      </c>
      <c r="U5213" t="str">
        <f t="shared" si="2393"/>
        <v>A9808D</v>
      </c>
      <c r="V5213">
        <v>0</v>
      </c>
      <c r="W5213">
        <v>0</v>
      </c>
      <c r="X5213">
        <v>1</v>
      </c>
      <c r="Z5213">
        <v>0</v>
      </c>
      <c r="AA5213">
        <v>9</v>
      </c>
      <c r="AB5213">
        <v>3</v>
      </c>
      <c r="AC5213">
        <v>0</v>
      </c>
      <c r="AD5213">
        <v>10</v>
      </c>
      <c r="AE5213">
        <v>0</v>
      </c>
      <c r="AF5213">
        <v>3</v>
      </c>
      <c r="AG5213">
        <v>2</v>
      </c>
      <c r="AH5213">
        <v>0</v>
      </c>
      <c r="AI5213" t="s">
        <v>1154</v>
      </c>
      <c r="AJ5213">
        <v>28.229220000000002</v>
      </c>
      <c r="AK5213" t="s">
        <v>1155</v>
      </c>
      <c r="AL5213">
        <v>-82.379694000000001</v>
      </c>
      <c r="AM5213">
        <v>100</v>
      </c>
      <c r="AN5213">
        <v>1800</v>
      </c>
      <c r="AO5213" t="s">
        <v>118</v>
      </c>
      <c r="AP5213">
        <v>-108</v>
      </c>
      <c r="AQ5213">
        <v>-52</v>
      </c>
      <c r="AR5213">
        <v>-1152</v>
      </c>
      <c r="AZ5213">
        <v>1200</v>
      </c>
      <c r="BA5213">
        <v>1</v>
      </c>
      <c r="BB5213" t="str">
        <f t="shared" si="2402"/>
        <v xml:space="preserve">N711JA  </v>
      </c>
      <c r="BC5213">
        <v>1</v>
      </c>
      <c r="BE5213">
        <v>0</v>
      </c>
      <c r="BF5213">
        <v>0</v>
      </c>
      <c r="BG5213">
        <v>0</v>
      </c>
      <c r="BH5213">
        <v>1900</v>
      </c>
      <c r="BI5213">
        <v>1</v>
      </c>
      <c r="BJ5213">
        <v>1</v>
      </c>
      <c r="BK5213">
        <v>0</v>
      </c>
      <c r="BL5213">
        <v>0</v>
      </c>
      <c r="BO5213">
        <v>0</v>
      </c>
      <c r="BP5213">
        <v>0</v>
      </c>
      <c r="BW5213" t="str">
        <f t="shared" si="2406"/>
        <v>14:50:50.536</v>
      </c>
      <c r="CJ5213">
        <v>0</v>
      </c>
      <c r="CK5213">
        <v>2</v>
      </c>
      <c r="CL5213">
        <v>0</v>
      </c>
      <c r="CM5213">
        <v>2</v>
      </c>
      <c r="CN5213">
        <v>0</v>
      </c>
      <c r="CO5213">
        <v>6</v>
      </c>
      <c r="CP5213" t="s">
        <v>119</v>
      </c>
      <c r="CQ5213">
        <v>8</v>
      </c>
      <c r="CR5213">
        <v>3</v>
      </c>
      <c r="CW5213">
        <v>9246975</v>
      </c>
      <c r="CY5213">
        <v>1</v>
      </c>
      <c r="CZ5213">
        <v>0</v>
      </c>
      <c r="DA5213">
        <v>1</v>
      </c>
      <c r="DB5213">
        <v>0</v>
      </c>
      <c r="DC5213">
        <v>0</v>
      </c>
      <c r="DD5213">
        <v>1</v>
      </c>
      <c r="DE5213">
        <v>0</v>
      </c>
      <c r="DF5213">
        <v>0</v>
      </c>
      <c r="DG5213">
        <v>0</v>
      </c>
      <c r="DH5213">
        <v>0</v>
      </c>
      <c r="DI5213">
        <v>0</v>
      </c>
    </row>
    <row r="5214" spans="1:113" x14ac:dyDescent="0.3">
      <c r="A5214" t="str">
        <f t="shared" si="2403"/>
        <v>05/12/2020 14:50:32.692</v>
      </c>
      <c r="C5214" t="str">
        <f t="shared" si="2401"/>
        <v>FFDFD3C0</v>
      </c>
      <c r="D5214" t="s">
        <v>134</v>
      </c>
      <c r="E5214">
        <v>12</v>
      </c>
      <c r="H5214">
        <v>64</v>
      </c>
      <c r="I5214" t="s">
        <v>135</v>
      </c>
      <c r="J5214" t="s">
        <v>136</v>
      </c>
      <c r="K5214">
        <v>0</v>
      </c>
      <c r="L5214">
        <v>3</v>
      </c>
      <c r="M5214">
        <v>0</v>
      </c>
      <c r="N5214">
        <v>2</v>
      </c>
      <c r="O5214">
        <v>1</v>
      </c>
      <c r="P5214">
        <v>0</v>
      </c>
      <c r="Q5214">
        <v>0</v>
      </c>
      <c r="S5214" t="str">
        <f t="shared" si="2404"/>
        <v>14:50:50.531</v>
      </c>
      <c r="T5214" t="str">
        <f t="shared" si="2405"/>
        <v>14:50:50.331</v>
      </c>
      <c r="U5214" t="str">
        <f t="shared" si="2393"/>
        <v>A9808D</v>
      </c>
      <c r="V5214">
        <v>0</v>
      </c>
      <c r="W5214">
        <v>0</v>
      </c>
      <c r="X5214">
        <v>1</v>
      </c>
      <c r="Z5214">
        <v>0</v>
      </c>
      <c r="AA5214">
        <v>9</v>
      </c>
      <c r="AB5214">
        <v>3</v>
      </c>
      <c r="AC5214">
        <v>0</v>
      </c>
      <c r="AD5214">
        <v>10</v>
      </c>
      <c r="AE5214">
        <v>0</v>
      </c>
      <c r="AF5214">
        <v>3</v>
      </c>
      <c r="AG5214">
        <v>2</v>
      </c>
      <c r="AH5214">
        <v>0</v>
      </c>
      <c r="AI5214" t="s">
        <v>1154</v>
      </c>
      <c r="AJ5214">
        <v>28.229220000000002</v>
      </c>
      <c r="AK5214" t="s">
        <v>1155</v>
      </c>
      <c r="AL5214">
        <v>-82.379694000000001</v>
      </c>
      <c r="AM5214">
        <v>100</v>
      </c>
      <c r="AN5214">
        <v>1800</v>
      </c>
      <c r="AO5214" t="s">
        <v>118</v>
      </c>
      <c r="AP5214">
        <v>-108</v>
      </c>
      <c r="AQ5214">
        <v>-52</v>
      </c>
      <c r="AR5214">
        <v>-1152</v>
      </c>
      <c r="AZ5214">
        <v>1200</v>
      </c>
      <c r="BA5214">
        <v>1</v>
      </c>
      <c r="BB5214" t="str">
        <f t="shared" si="2402"/>
        <v xml:space="preserve">N711JA  </v>
      </c>
      <c r="BC5214">
        <v>1</v>
      </c>
      <c r="BE5214">
        <v>0</v>
      </c>
      <c r="BF5214">
        <v>0</v>
      </c>
      <c r="BG5214">
        <v>0</v>
      </c>
      <c r="BH5214">
        <v>1900</v>
      </c>
      <c r="BI5214">
        <v>1</v>
      </c>
      <c r="BJ5214">
        <v>1</v>
      </c>
      <c r="BK5214">
        <v>0</v>
      </c>
      <c r="BL5214">
        <v>0</v>
      </c>
      <c r="BO5214">
        <v>0</v>
      </c>
      <c r="BP5214">
        <v>0</v>
      </c>
      <c r="BW5214" t="str">
        <f t="shared" si="2406"/>
        <v>14:50:50.536</v>
      </c>
      <c r="CJ5214">
        <v>0</v>
      </c>
      <c r="CK5214">
        <v>2</v>
      </c>
      <c r="CL5214">
        <v>0</v>
      </c>
      <c r="CM5214">
        <v>2</v>
      </c>
      <c r="CN5214">
        <v>0</v>
      </c>
      <c r="CO5214">
        <v>7</v>
      </c>
      <c r="CP5214" t="s">
        <v>119</v>
      </c>
      <c r="CQ5214">
        <v>358</v>
      </c>
      <c r="CR5214">
        <v>0</v>
      </c>
      <c r="CW5214">
        <v>5233866</v>
      </c>
      <c r="CY5214">
        <v>1</v>
      </c>
      <c r="CZ5214">
        <v>0</v>
      </c>
      <c r="DA5214">
        <v>1</v>
      </c>
      <c r="DB5214">
        <v>0</v>
      </c>
      <c r="DC5214">
        <v>0</v>
      </c>
      <c r="DD5214">
        <v>1</v>
      </c>
      <c r="DE5214">
        <v>0</v>
      </c>
      <c r="DF5214">
        <v>0</v>
      </c>
      <c r="DG5214">
        <v>0</v>
      </c>
      <c r="DH5214">
        <v>0</v>
      </c>
      <c r="DI5214">
        <v>0</v>
      </c>
    </row>
    <row r="5215" spans="1:113" x14ac:dyDescent="0.3">
      <c r="A5215" t="str">
        <f t="shared" si="2403"/>
        <v>05/12/2020 14:50:32.692</v>
      </c>
      <c r="C5215" t="str">
        <f t="shared" si="2401"/>
        <v>FFDFD3C0</v>
      </c>
      <c r="D5215" t="s">
        <v>126</v>
      </c>
      <c r="E5215">
        <v>6</v>
      </c>
      <c r="F5215">
        <v>1006</v>
      </c>
      <c r="G5215" t="s">
        <v>114</v>
      </c>
      <c r="J5215" t="s">
        <v>128</v>
      </c>
      <c r="K5215">
        <v>0</v>
      </c>
      <c r="L5215">
        <v>3</v>
      </c>
      <c r="M5215">
        <v>0</v>
      </c>
      <c r="N5215">
        <v>2</v>
      </c>
      <c r="O5215">
        <v>1</v>
      </c>
      <c r="P5215">
        <v>0</v>
      </c>
      <c r="Q5215">
        <v>0</v>
      </c>
      <c r="S5215" t="str">
        <f t="shared" si="2404"/>
        <v>14:50:50.531</v>
      </c>
      <c r="T5215" t="str">
        <f t="shared" si="2405"/>
        <v>14:50:50.331</v>
      </c>
      <c r="U5215" t="str">
        <f t="shared" si="2393"/>
        <v>A9808D</v>
      </c>
      <c r="V5215">
        <v>0</v>
      </c>
      <c r="W5215">
        <v>0</v>
      </c>
      <c r="X5215">
        <v>1</v>
      </c>
      <c r="Z5215">
        <v>0</v>
      </c>
      <c r="AA5215">
        <v>9</v>
      </c>
      <c r="AB5215">
        <v>3</v>
      </c>
      <c r="AC5215">
        <v>0</v>
      </c>
      <c r="AD5215">
        <v>10</v>
      </c>
      <c r="AE5215">
        <v>0</v>
      </c>
      <c r="AF5215">
        <v>3</v>
      </c>
      <c r="AG5215">
        <v>2</v>
      </c>
      <c r="AH5215">
        <v>0</v>
      </c>
      <c r="AI5215" t="s">
        <v>1154</v>
      </c>
      <c r="AJ5215">
        <v>28.229220000000002</v>
      </c>
      <c r="AK5215" t="s">
        <v>1155</v>
      </c>
      <c r="AL5215">
        <v>-82.379694000000001</v>
      </c>
      <c r="AM5215">
        <v>100</v>
      </c>
      <c r="AN5215">
        <v>1800</v>
      </c>
      <c r="AO5215" t="s">
        <v>118</v>
      </c>
      <c r="AP5215">
        <v>-108</v>
      </c>
      <c r="AQ5215">
        <v>-52</v>
      </c>
      <c r="AR5215">
        <v>-1152</v>
      </c>
      <c r="AZ5215">
        <v>1200</v>
      </c>
      <c r="BA5215">
        <v>1</v>
      </c>
      <c r="BB5215" t="str">
        <f t="shared" si="2402"/>
        <v xml:space="preserve">N711JA  </v>
      </c>
      <c r="BC5215">
        <v>1</v>
      </c>
      <c r="BE5215">
        <v>0</v>
      </c>
      <c r="BF5215">
        <v>0</v>
      </c>
      <c r="BG5215">
        <v>0</v>
      </c>
      <c r="BH5215">
        <v>1900</v>
      </c>
      <c r="BI5215">
        <v>1</v>
      </c>
      <c r="BJ5215">
        <v>1</v>
      </c>
      <c r="BK5215">
        <v>0</v>
      </c>
      <c r="BL5215">
        <v>0</v>
      </c>
      <c r="BO5215">
        <v>0</v>
      </c>
      <c r="BP5215">
        <v>0</v>
      </c>
      <c r="BW5215" t="str">
        <f t="shared" si="2406"/>
        <v>14:50:50.536</v>
      </c>
      <c r="CJ5215">
        <v>0</v>
      </c>
      <c r="CK5215">
        <v>2</v>
      </c>
      <c r="CL5215">
        <v>0</v>
      </c>
      <c r="CM5215">
        <v>2</v>
      </c>
      <c r="CN5215">
        <v>0</v>
      </c>
      <c r="CO5215">
        <v>7</v>
      </c>
      <c r="CP5215" t="s">
        <v>119</v>
      </c>
      <c r="CQ5215">
        <v>358</v>
      </c>
      <c r="CR5215">
        <v>0</v>
      </c>
      <c r="CW5215">
        <v>5233866</v>
      </c>
      <c r="CY5215">
        <v>1</v>
      </c>
      <c r="CZ5215">
        <v>0</v>
      </c>
      <c r="DA5215">
        <v>1</v>
      </c>
      <c r="DB5215">
        <v>0</v>
      </c>
      <c r="DC5215">
        <v>0</v>
      </c>
      <c r="DD5215">
        <v>1</v>
      </c>
      <c r="DE5215">
        <v>0</v>
      </c>
      <c r="DF5215">
        <v>0</v>
      </c>
      <c r="DG5215">
        <v>0</v>
      </c>
      <c r="DH5215">
        <v>0</v>
      </c>
      <c r="DI5215">
        <v>0</v>
      </c>
    </row>
    <row r="5216" spans="1:113" x14ac:dyDescent="0.3">
      <c r="A5216" t="str">
        <f t="shared" si="2403"/>
        <v>05/12/2020 14:50:32.692</v>
      </c>
      <c r="C5216" t="str">
        <f t="shared" si="2401"/>
        <v>FFDFD3C0</v>
      </c>
      <c r="D5216" t="s">
        <v>113</v>
      </c>
      <c r="E5216">
        <v>3</v>
      </c>
      <c r="H5216">
        <v>164</v>
      </c>
      <c r="I5216" t="s">
        <v>114</v>
      </c>
      <c r="J5216" t="s">
        <v>115</v>
      </c>
      <c r="K5216">
        <v>0</v>
      </c>
      <c r="L5216">
        <v>3</v>
      </c>
      <c r="M5216">
        <v>0</v>
      </c>
      <c r="N5216">
        <v>2</v>
      </c>
      <c r="O5216">
        <v>1</v>
      </c>
      <c r="P5216">
        <v>0</v>
      </c>
      <c r="Q5216">
        <v>0</v>
      </c>
      <c r="S5216" t="str">
        <f t="shared" si="2404"/>
        <v>14:50:50.531</v>
      </c>
      <c r="T5216" t="str">
        <f t="shared" si="2405"/>
        <v>14:50:50.331</v>
      </c>
      <c r="U5216" t="str">
        <f t="shared" si="2393"/>
        <v>A9808D</v>
      </c>
      <c r="V5216">
        <v>0</v>
      </c>
      <c r="W5216">
        <v>0</v>
      </c>
      <c r="X5216">
        <v>1</v>
      </c>
      <c r="Z5216">
        <v>0</v>
      </c>
      <c r="AA5216">
        <v>9</v>
      </c>
      <c r="AB5216">
        <v>3</v>
      </c>
      <c r="AC5216">
        <v>0</v>
      </c>
      <c r="AD5216">
        <v>10</v>
      </c>
      <c r="AE5216">
        <v>0</v>
      </c>
      <c r="AF5216">
        <v>3</v>
      </c>
      <c r="AG5216">
        <v>2</v>
      </c>
      <c r="AH5216">
        <v>0</v>
      </c>
      <c r="AI5216" t="s">
        <v>1154</v>
      </c>
      <c r="AJ5216">
        <v>28.229220000000002</v>
      </c>
      <c r="AK5216" t="s">
        <v>1155</v>
      </c>
      <c r="AL5216">
        <v>-82.379694000000001</v>
      </c>
      <c r="AM5216">
        <v>100</v>
      </c>
      <c r="AN5216">
        <v>1800</v>
      </c>
      <c r="AO5216" t="s">
        <v>118</v>
      </c>
      <c r="AP5216">
        <v>-108</v>
      </c>
      <c r="AQ5216">
        <v>-52</v>
      </c>
      <c r="AR5216">
        <v>-1152</v>
      </c>
      <c r="AZ5216">
        <v>1200</v>
      </c>
      <c r="BA5216">
        <v>1</v>
      </c>
      <c r="BB5216" t="str">
        <f t="shared" si="2402"/>
        <v xml:space="preserve">N711JA  </v>
      </c>
      <c r="BC5216">
        <v>1</v>
      </c>
      <c r="BE5216">
        <v>0</v>
      </c>
      <c r="BF5216">
        <v>0</v>
      </c>
      <c r="BG5216">
        <v>0</v>
      </c>
      <c r="BH5216">
        <v>1900</v>
      </c>
      <c r="BI5216">
        <v>1</v>
      </c>
      <c r="BJ5216">
        <v>1</v>
      </c>
      <c r="BK5216">
        <v>0</v>
      </c>
      <c r="BL5216">
        <v>0</v>
      </c>
      <c r="BO5216">
        <v>0</v>
      </c>
      <c r="BP5216">
        <v>0</v>
      </c>
      <c r="BW5216" t="str">
        <f t="shared" si="2406"/>
        <v>14:50:50.536</v>
      </c>
      <c r="CJ5216">
        <v>0</v>
      </c>
      <c r="CK5216">
        <v>2</v>
      </c>
      <c r="CL5216">
        <v>0</v>
      </c>
      <c r="CM5216">
        <v>2</v>
      </c>
      <c r="CN5216">
        <v>0</v>
      </c>
      <c r="CO5216">
        <v>6</v>
      </c>
      <c r="CP5216" t="s">
        <v>119</v>
      </c>
      <c r="CQ5216">
        <v>8</v>
      </c>
      <c r="CR5216">
        <v>3</v>
      </c>
      <c r="CW5216">
        <v>9246975</v>
      </c>
      <c r="CY5216">
        <v>1</v>
      </c>
      <c r="CZ5216">
        <v>0</v>
      </c>
      <c r="DA5216">
        <v>1</v>
      </c>
      <c r="DB5216">
        <v>0</v>
      </c>
      <c r="DC5216">
        <v>0</v>
      </c>
      <c r="DD5216">
        <v>1</v>
      </c>
      <c r="DE5216">
        <v>0</v>
      </c>
      <c r="DF5216">
        <v>0</v>
      </c>
      <c r="DG5216">
        <v>0</v>
      </c>
      <c r="DH5216">
        <v>0</v>
      </c>
      <c r="DI5216">
        <v>0</v>
      </c>
    </row>
    <row r="5217" spans="1:113" x14ac:dyDescent="0.3">
      <c r="A5217" t="str">
        <f t="shared" ref="A5217:A5224" si="2407">"05/12/2020 14:50:33.698"</f>
        <v>05/12/2020 14:50:33.698</v>
      </c>
      <c r="C5217" t="str">
        <f t="shared" si="2401"/>
        <v>FFDFD3C0</v>
      </c>
      <c r="D5217" t="s">
        <v>126</v>
      </c>
      <c r="E5217">
        <v>7</v>
      </c>
      <c r="F5217">
        <v>1007</v>
      </c>
      <c r="G5217" t="s">
        <v>127</v>
      </c>
      <c r="J5217" t="s">
        <v>128</v>
      </c>
      <c r="K5217">
        <v>0</v>
      </c>
      <c r="L5217">
        <v>3</v>
      </c>
      <c r="M5217">
        <v>0</v>
      </c>
      <c r="N5217">
        <v>2</v>
      </c>
      <c r="O5217">
        <v>1</v>
      </c>
      <c r="P5217">
        <v>0</v>
      </c>
      <c r="Q5217">
        <v>0</v>
      </c>
      <c r="S5217" t="str">
        <f t="shared" ref="S5217:S5224" si="2408">"14:50:51.539"</f>
        <v>14:50:51.539</v>
      </c>
      <c r="T5217" t="str">
        <f t="shared" ref="T5217:T5224" si="2409">"14:50:51.139"</f>
        <v>14:50:51.139</v>
      </c>
      <c r="U5217" t="str">
        <f t="shared" si="2393"/>
        <v>A9808D</v>
      </c>
      <c r="V5217">
        <v>0</v>
      </c>
      <c r="W5217">
        <v>0</v>
      </c>
      <c r="X5217">
        <v>1</v>
      </c>
      <c r="Z5217">
        <v>0</v>
      </c>
      <c r="AA5217">
        <v>9</v>
      </c>
      <c r="AB5217">
        <v>3</v>
      </c>
      <c r="AC5217">
        <v>0</v>
      </c>
      <c r="AD5217">
        <v>10</v>
      </c>
      <c r="AE5217">
        <v>0</v>
      </c>
      <c r="AF5217">
        <v>3</v>
      </c>
      <c r="AG5217">
        <v>2</v>
      </c>
      <c r="AH5217">
        <v>0</v>
      </c>
      <c r="AI5217" t="s">
        <v>1156</v>
      </c>
      <c r="AJ5217">
        <v>28.229005000000001</v>
      </c>
      <c r="AK5217" t="s">
        <v>300</v>
      </c>
      <c r="AL5217">
        <v>-82.380273000000003</v>
      </c>
      <c r="AM5217">
        <v>100</v>
      </c>
      <c r="AN5217">
        <v>1800</v>
      </c>
      <c r="AO5217" t="s">
        <v>118</v>
      </c>
      <c r="AP5217">
        <v>-108</v>
      </c>
      <c r="AQ5217">
        <v>-51</v>
      </c>
      <c r="AR5217">
        <v>-1088</v>
      </c>
      <c r="AZ5217">
        <v>1200</v>
      </c>
      <c r="BA5217">
        <v>1</v>
      </c>
      <c r="BB5217" t="str">
        <f t="shared" si="2402"/>
        <v xml:space="preserve">N711JA  </v>
      </c>
      <c r="BC5217">
        <v>1</v>
      </c>
      <c r="BE5217">
        <v>0</v>
      </c>
      <c r="BF5217">
        <v>0</v>
      </c>
      <c r="BG5217">
        <v>0</v>
      </c>
      <c r="BH5217">
        <v>1875</v>
      </c>
      <c r="BI5217">
        <v>1</v>
      </c>
      <c r="BJ5217">
        <v>1</v>
      </c>
      <c r="BK5217">
        <v>0</v>
      </c>
      <c r="BL5217">
        <v>0</v>
      </c>
      <c r="BO5217">
        <v>0</v>
      </c>
      <c r="BP5217">
        <v>0</v>
      </c>
      <c r="BW5217" t="str">
        <f t="shared" ref="BW5217:BW5224" si="2410">"14:50:51.544"</f>
        <v>14:50:51.544</v>
      </c>
      <c r="CJ5217">
        <v>0</v>
      </c>
      <c r="CK5217">
        <v>2</v>
      </c>
      <c r="CL5217">
        <v>0</v>
      </c>
      <c r="CM5217">
        <v>2</v>
      </c>
      <c r="CN5217">
        <v>0</v>
      </c>
      <c r="CO5217">
        <v>7</v>
      </c>
      <c r="CP5217" t="s">
        <v>119</v>
      </c>
      <c r="CQ5217">
        <v>358</v>
      </c>
      <c r="CR5217">
        <v>0</v>
      </c>
      <c r="CW5217">
        <v>5235122</v>
      </c>
      <c r="CY5217">
        <v>1</v>
      </c>
      <c r="CZ5217">
        <v>0</v>
      </c>
      <c r="DA5217">
        <v>0</v>
      </c>
      <c r="DB5217">
        <v>0</v>
      </c>
      <c r="DC5217">
        <v>0</v>
      </c>
      <c r="DD5217">
        <v>1</v>
      </c>
      <c r="DE5217">
        <v>0</v>
      </c>
      <c r="DF5217">
        <v>0</v>
      </c>
      <c r="DG5217">
        <v>0</v>
      </c>
      <c r="DH5217">
        <v>0</v>
      </c>
      <c r="DI5217">
        <v>0</v>
      </c>
    </row>
    <row r="5218" spans="1:113" x14ac:dyDescent="0.3">
      <c r="A5218" t="str">
        <f t="shared" si="2407"/>
        <v>05/12/2020 14:50:33.698</v>
      </c>
      <c r="C5218" t="str">
        <f t="shared" si="2401"/>
        <v>FFDFD3C0</v>
      </c>
      <c r="D5218" t="s">
        <v>138</v>
      </c>
      <c r="E5218">
        <v>2</v>
      </c>
      <c r="H5218">
        <v>8</v>
      </c>
      <c r="I5218" t="s">
        <v>139</v>
      </c>
      <c r="J5218" t="s">
        <v>136</v>
      </c>
      <c r="K5218">
        <v>0</v>
      </c>
      <c r="L5218">
        <v>3</v>
      </c>
      <c r="M5218">
        <v>0</v>
      </c>
      <c r="N5218">
        <v>2</v>
      </c>
      <c r="O5218">
        <v>1</v>
      </c>
      <c r="P5218">
        <v>0</v>
      </c>
      <c r="Q5218">
        <v>0</v>
      </c>
      <c r="S5218" t="str">
        <f t="shared" si="2408"/>
        <v>14:50:51.539</v>
      </c>
      <c r="T5218" t="str">
        <f t="shared" si="2409"/>
        <v>14:50:51.139</v>
      </c>
      <c r="U5218" t="str">
        <f t="shared" si="2393"/>
        <v>A9808D</v>
      </c>
      <c r="V5218">
        <v>0</v>
      </c>
      <c r="W5218">
        <v>0</v>
      </c>
      <c r="X5218">
        <v>1</v>
      </c>
      <c r="Z5218">
        <v>0</v>
      </c>
      <c r="AA5218">
        <v>9</v>
      </c>
      <c r="AB5218">
        <v>3</v>
      </c>
      <c r="AC5218">
        <v>0</v>
      </c>
      <c r="AD5218">
        <v>10</v>
      </c>
      <c r="AE5218">
        <v>0</v>
      </c>
      <c r="AF5218">
        <v>3</v>
      </c>
      <c r="AG5218">
        <v>2</v>
      </c>
      <c r="AH5218">
        <v>0</v>
      </c>
      <c r="AI5218" t="s">
        <v>1156</v>
      </c>
      <c r="AJ5218">
        <v>28.229005000000001</v>
      </c>
      <c r="AK5218" t="s">
        <v>300</v>
      </c>
      <c r="AL5218">
        <v>-82.380273000000003</v>
      </c>
      <c r="AM5218">
        <v>100</v>
      </c>
      <c r="AN5218">
        <v>1800</v>
      </c>
      <c r="AO5218" t="s">
        <v>118</v>
      </c>
      <c r="AP5218">
        <v>-108</v>
      </c>
      <c r="AQ5218">
        <v>-51</v>
      </c>
      <c r="AR5218">
        <v>-1088</v>
      </c>
      <c r="AZ5218">
        <v>1200</v>
      </c>
      <c r="BA5218">
        <v>1</v>
      </c>
      <c r="BB5218" t="str">
        <f t="shared" si="2402"/>
        <v xml:space="preserve">N711JA  </v>
      </c>
      <c r="BC5218">
        <v>1</v>
      </c>
      <c r="BE5218">
        <v>0</v>
      </c>
      <c r="BF5218">
        <v>0</v>
      </c>
      <c r="BG5218">
        <v>0</v>
      </c>
      <c r="BH5218">
        <v>1875</v>
      </c>
      <c r="BI5218">
        <v>1</v>
      </c>
      <c r="BJ5218">
        <v>1</v>
      </c>
      <c r="BK5218">
        <v>0</v>
      </c>
      <c r="BL5218">
        <v>0</v>
      </c>
      <c r="BO5218">
        <v>0</v>
      </c>
      <c r="BP5218">
        <v>0</v>
      </c>
      <c r="BW5218" t="str">
        <f t="shared" si="2410"/>
        <v>14:50:51.544</v>
      </c>
      <c r="CJ5218">
        <v>0</v>
      </c>
      <c r="CK5218">
        <v>2</v>
      </c>
      <c r="CL5218">
        <v>0</v>
      </c>
      <c r="CM5218">
        <v>2</v>
      </c>
      <c r="CN5218">
        <v>0</v>
      </c>
      <c r="CO5218">
        <v>6</v>
      </c>
      <c r="CP5218" t="s">
        <v>119</v>
      </c>
      <c r="CQ5218">
        <v>343</v>
      </c>
      <c r="CR5218">
        <v>1</v>
      </c>
      <c r="CW5218">
        <v>11124851</v>
      </c>
      <c r="CY5218">
        <v>1</v>
      </c>
      <c r="CZ5218">
        <v>0</v>
      </c>
      <c r="DA5218">
        <v>1</v>
      </c>
      <c r="DB5218">
        <v>0</v>
      </c>
      <c r="DC5218">
        <v>0</v>
      </c>
      <c r="DD5218">
        <v>1</v>
      </c>
      <c r="DE5218">
        <v>0</v>
      </c>
      <c r="DF5218">
        <v>0</v>
      </c>
      <c r="DG5218">
        <v>0</v>
      </c>
      <c r="DH5218">
        <v>0</v>
      </c>
      <c r="DI5218">
        <v>0</v>
      </c>
    </row>
    <row r="5219" spans="1:113" x14ac:dyDescent="0.3">
      <c r="A5219" t="str">
        <f t="shared" si="2407"/>
        <v>05/12/2020 14:50:33.698</v>
      </c>
      <c r="C5219" t="str">
        <f t="shared" si="2401"/>
        <v>FFDFD3C0</v>
      </c>
      <c r="D5219" t="s">
        <v>131</v>
      </c>
      <c r="E5219">
        <v>10</v>
      </c>
      <c r="F5219">
        <v>2010</v>
      </c>
      <c r="G5219" t="s">
        <v>132</v>
      </c>
      <c r="J5219" t="s">
        <v>133</v>
      </c>
      <c r="K5219">
        <v>0</v>
      </c>
      <c r="L5219">
        <v>3</v>
      </c>
      <c r="M5219">
        <v>0</v>
      </c>
      <c r="N5219">
        <v>2</v>
      </c>
      <c r="O5219">
        <v>1</v>
      </c>
      <c r="P5219">
        <v>0</v>
      </c>
      <c r="Q5219">
        <v>0</v>
      </c>
      <c r="S5219" t="str">
        <f t="shared" si="2408"/>
        <v>14:50:51.539</v>
      </c>
      <c r="T5219" t="str">
        <f t="shared" si="2409"/>
        <v>14:50:51.139</v>
      </c>
      <c r="U5219" t="str">
        <f t="shared" si="2393"/>
        <v>A9808D</v>
      </c>
      <c r="V5219">
        <v>0</v>
      </c>
      <c r="W5219">
        <v>0</v>
      </c>
      <c r="X5219">
        <v>1</v>
      </c>
      <c r="Z5219">
        <v>0</v>
      </c>
      <c r="AA5219">
        <v>9</v>
      </c>
      <c r="AB5219">
        <v>3</v>
      </c>
      <c r="AC5219">
        <v>0</v>
      </c>
      <c r="AD5219">
        <v>10</v>
      </c>
      <c r="AE5219">
        <v>0</v>
      </c>
      <c r="AF5219">
        <v>3</v>
      </c>
      <c r="AG5219">
        <v>2</v>
      </c>
      <c r="AH5219">
        <v>0</v>
      </c>
      <c r="AI5219" t="s">
        <v>1156</v>
      </c>
      <c r="AJ5219">
        <v>28.229005000000001</v>
      </c>
      <c r="AK5219" t="s">
        <v>300</v>
      </c>
      <c r="AL5219">
        <v>-82.380273000000003</v>
      </c>
      <c r="AM5219">
        <v>100</v>
      </c>
      <c r="AN5219">
        <v>1800</v>
      </c>
      <c r="AO5219" t="s">
        <v>118</v>
      </c>
      <c r="AP5219">
        <v>-108</v>
      </c>
      <c r="AQ5219">
        <v>-51</v>
      </c>
      <c r="AR5219">
        <v>-1088</v>
      </c>
      <c r="AZ5219">
        <v>1200</v>
      </c>
      <c r="BA5219">
        <v>1</v>
      </c>
      <c r="BB5219" t="str">
        <f t="shared" si="2402"/>
        <v xml:space="preserve">N711JA  </v>
      </c>
      <c r="BC5219">
        <v>1</v>
      </c>
      <c r="BE5219">
        <v>0</v>
      </c>
      <c r="BF5219">
        <v>0</v>
      </c>
      <c r="BG5219">
        <v>0</v>
      </c>
      <c r="BH5219">
        <v>1875</v>
      </c>
      <c r="BI5219">
        <v>1</v>
      </c>
      <c r="BJ5219">
        <v>1</v>
      </c>
      <c r="BK5219">
        <v>0</v>
      </c>
      <c r="BL5219">
        <v>0</v>
      </c>
      <c r="BO5219">
        <v>0</v>
      </c>
      <c r="BP5219">
        <v>0</v>
      </c>
      <c r="BW5219" t="str">
        <f t="shared" si="2410"/>
        <v>14:50:51.544</v>
      </c>
      <c r="CJ5219">
        <v>0</v>
      </c>
      <c r="CK5219">
        <v>2</v>
      </c>
      <c r="CL5219">
        <v>0</v>
      </c>
      <c r="CM5219">
        <v>2</v>
      </c>
      <c r="CN5219">
        <v>0</v>
      </c>
      <c r="CO5219">
        <v>7</v>
      </c>
      <c r="CP5219" t="s">
        <v>119</v>
      </c>
      <c r="CQ5219">
        <v>358</v>
      </c>
      <c r="CR5219">
        <v>0</v>
      </c>
      <c r="CW5219">
        <v>5235122</v>
      </c>
      <c r="CY5219">
        <v>1</v>
      </c>
      <c r="CZ5219">
        <v>0</v>
      </c>
      <c r="DA5219">
        <v>1</v>
      </c>
      <c r="DB5219">
        <v>0</v>
      </c>
      <c r="DC5219">
        <v>0</v>
      </c>
      <c r="DD5219">
        <v>1</v>
      </c>
      <c r="DE5219">
        <v>0</v>
      </c>
      <c r="DF5219">
        <v>0</v>
      </c>
      <c r="DG5219">
        <v>0</v>
      </c>
      <c r="DH5219">
        <v>0</v>
      </c>
      <c r="DI5219">
        <v>0</v>
      </c>
    </row>
    <row r="5220" spans="1:113" x14ac:dyDescent="0.3">
      <c r="A5220" t="str">
        <f t="shared" si="2407"/>
        <v>05/12/2020 14:50:33.698</v>
      </c>
      <c r="C5220" t="str">
        <f t="shared" si="2401"/>
        <v>FFDFD3C0</v>
      </c>
      <c r="D5220" t="s">
        <v>138</v>
      </c>
      <c r="E5220">
        <v>3</v>
      </c>
      <c r="H5220">
        <v>9</v>
      </c>
      <c r="I5220" t="s">
        <v>140</v>
      </c>
      <c r="J5220" t="s">
        <v>136</v>
      </c>
      <c r="K5220">
        <v>0</v>
      </c>
      <c r="L5220">
        <v>3</v>
      </c>
      <c r="M5220">
        <v>0</v>
      </c>
      <c r="N5220">
        <v>2</v>
      </c>
      <c r="O5220">
        <v>1</v>
      </c>
      <c r="P5220">
        <v>0</v>
      </c>
      <c r="Q5220">
        <v>0</v>
      </c>
      <c r="S5220" t="str">
        <f t="shared" si="2408"/>
        <v>14:50:51.539</v>
      </c>
      <c r="T5220" t="str">
        <f t="shared" si="2409"/>
        <v>14:50:51.139</v>
      </c>
      <c r="U5220" t="str">
        <f t="shared" si="2393"/>
        <v>A9808D</v>
      </c>
      <c r="V5220">
        <v>0</v>
      </c>
      <c r="W5220">
        <v>0</v>
      </c>
      <c r="X5220">
        <v>1</v>
      </c>
      <c r="Z5220">
        <v>0</v>
      </c>
      <c r="AA5220">
        <v>9</v>
      </c>
      <c r="AB5220">
        <v>3</v>
      </c>
      <c r="AC5220">
        <v>0</v>
      </c>
      <c r="AD5220">
        <v>10</v>
      </c>
      <c r="AE5220">
        <v>0</v>
      </c>
      <c r="AF5220">
        <v>3</v>
      </c>
      <c r="AG5220">
        <v>2</v>
      </c>
      <c r="AH5220">
        <v>0</v>
      </c>
      <c r="AI5220" t="s">
        <v>1156</v>
      </c>
      <c r="AJ5220">
        <v>28.229005000000001</v>
      </c>
      <c r="AK5220" t="s">
        <v>300</v>
      </c>
      <c r="AL5220">
        <v>-82.380273000000003</v>
      </c>
      <c r="AM5220">
        <v>100</v>
      </c>
      <c r="AN5220">
        <v>1800</v>
      </c>
      <c r="AO5220" t="s">
        <v>118</v>
      </c>
      <c r="AP5220">
        <v>-108</v>
      </c>
      <c r="AQ5220">
        <v>-51</v>
      </c>
      <c r="AR5220">
        <v>-1088</v>
      </c>
      <c r="AZ5220">
        <v>1200</v>
      </c>
      <c r="BA5220">
        <v>1</v>
      </c>
      <c r="BB5220" t="str">
        <f t="shared" si="2402"/>
        <v xml:space="preserve">N711JA  </v>
      </c>
      <c r="BC5220">
        <v>1</v>
      </c>
      <c r="BE5220">
        <v>0</v>
      </c>
      <c r="BF5220">
        <v>0</v>
      </c>
      <c r="BG5220">
        <v>0</v>
      </c>
      <c r="BH5220">
        <v>1875</v>
      </c>
      <c r="BI5220">
        <v>1</v>
      </c>
      <c r="BJ5220">
        <v>1</v>
      </c>
      <c r="BK5220">
        <v>0</v>
      </c>
      <c r="BL5220">
        <v>0</v>
      </c>
      <c r="BO5220">
        <v>0</v>
      </c>
      <c r="BP5220">
        <v>0</v>
      </c>
      <c r="BW5220" t="str">
        <f t="shared" si="2410"/>
        <v>14:50:51.544</v>
      </c>
      <c r="CJ5220">
        <v>0</v>
      </c>
      <c r="CK5220">
        <v>2</v>
      </c>
      <c r="CL5220">
        <v>0</v>
      </c>
      <c r="CM5220">
        <v>2</v>
      </c>
      <c r="CN5220">
        <v>0</v>
      </c>
      <c r="CO5220">
        <v>7</v>
      </c>
      <c r="CP5220" t="s">
        <v>119</v>
      </c>
      <c r="CQ5220">
        <v>358</v>
      </c>
      <c r="CR5220">
        <v>0</v>
      </c>
      <c r="CW5220">
        <v>5235122</v>
      </c>
      <c r="CY5220">
        <v>1</v>
      </c>
      <c r="CZ5220">
        <v>0</v>
      </c>
      <c r="DA5220">
        <v>1</v>
      </c>
      <c r="DB5220">
        <v>0</v>
      </c>
      <c r="DC5220">
        <v>0</v>
      </c>
      <c r="DD5220">
        <v>1</v>
      </c>
      <c r="DE5220">
        <v>0</v>
      </c>
      <c r="DF5220">
        <v>0</v>
      </c>
      <c r="DG5220">
        <v>0</v>
      </c>
      <c r="DH5220">
        <v>0</v>
      </c>
      <c r="DI5220">
        <v>0</v>
      </c>
    </row>
    <row r="5221" spans="1:113" x14ac:dyDescent="0.3">
      <c r="A5221" t="str">
        <f t="shared" si="2407"/>
        <v>05/12/2020 14:50:33.698</v>
      </c>
      <c r="C5221" t="str">
        <f t="shared" si="2401"/>
        <v>FFDFD3C0</v>
      </c>
      <c r="D5221" t="s">
        <v>131</v>
      </c>
      <c r="E5221">
        <v>12</v>
      </c>
      <c r="F5221">
        <v>2012</v>
      </c>
      <c r="G5221" t="s">
        <v>137</v>
      </c>
      <c r="J5221" t="s">
        <v>133</v>
      </c>
      <c r="K5221">
        <v>0</v>
      </c>
      <c r="L5221">
        <v>3</v>
      </c>
      <c r="M5221">
        <v>0</v>
      </c>
      <c r="N5221">
        <v>2</v>
      </c>
      <c r="O5221">
        <v>1</v>
      </c>
      <c r="P5221">
        <v>0</v>
      </c>
      <c r="Q5221">
        <v>0</v>
      </c>
      <c r="S5221" t="str">
        <f t="shared" si="2408"/>
        <v>14:50:51.539</v>
      </c>
      <c r="T5221" t="str">
        <f t="shared" si="2409"/>
        <v>14:50:51.139</v>
      </c>
      <c r="U5221" t="str">
        <f t="shared" si="2393"/>
        <v>A9808D</v>
      </c>
      <c r="V5221">
        <v>0</v>
      </c>
      <c r="W5221">
        <v>0</v>
      </c>
      <c r="X5221">
        <v>1</v>
      </c>
      <c r="Z5221">
        <v>0</v>
      </c>
      <c r="AA5221">
        <v>9</v>
      </c>
      <c r="AB5221">
        <v>3</v>
      </c>
      <c r="AC5221">
        <v>0</v>
      </c>
      <c r="AD5221">
        <v>10</v>
      </c>
      <c r="AE5221">
        <v>0</v>
      </c>
      <c r="AF5221">
        <v>3</v>
      </c>
      <c r="AG5221">
        <v>2</v>
      </c>
      <c r="AH5221">
        <v>0</v>
      </c>
      <c r="AI5221" t="s">
        <v>1156</v>
      </c>
      <c r="AJ5221">
        <v>28.229005000000001</v>
      </c>
      <c r="AK5221" t="s">
        <v>300</v>
      </c>
      <c r="AL5221">
        <v>-82.380273000000003</v>
      </c>
      <c r="AM5221">
        <v>100</v>
      </c>
      <c r="AN5221">
        <v>1800</v>
      </c>
      <c r="AO5221" t="s">
        <v>118</v>
      </c>
      <c r="AP5221">
        <v>-108</v>
      </c>
      <c r="AQ5221">
        <v>-51</v>
      </c>
      <c r="AR5221">
        <v>-1088</v>
      </c>
      <c r="AZ5221">
        <v>1200</v>
      </c>
      <c r="BA5221">
        <v>1</v>
      </c>
      <c r="BB5221" t="str">
        <f t="shared" si="2402"/>
        <v xml:space="preserve">N711JA  </v>
      </c>
      <c r="BC5221">
        <v>1</v>
      </c>
      <c r="BE5221">
        <v>0</v>
      </c>
      <c r="BF5221">
        <v>0</v>
      </c>
      <c r="BG5221">
        <v>0</v>
      </c>
      <c r="BH5221">
        <v>1875</v>
      </c>
      <c r="BI5221">
        <v>1</v>
      </c>
      <c r="BJ5221">
        <v>1</v>
      </c>
      <c r="BK5221">
        <v>0</v>
      </c>
      <c r="BL5221">
        <v>0</v>
      </c>
      <c r="BO5221">
        <v>0</v>
      </c>
      <c r="BP5221">
        <v>0</v>
      </c>
      <c r="BW5221" t="str">
        <f t="shared" si="2410"/>
        <v>14:50:51.544</v>
      </c>
      <c r="CJ5221">
        <v>0</v>
      </c>
      <c r="CK5221">
        <v>2</v>
      </c>
      <c r="CL5221">
        <v>0</v>
      </c>
      <c r="CM5221">
        <v>2</v>
      </c>
      <c r="CN5221">
        <v>0</v>
      </c>
      <c r="CO5221">
        <v>6</v>
      </c>
      <c r="CP5221" t="s">
        <v>119</v>
      </c>
      <c r="CQ5221">
        <v>343</v>
      </c>
      <c r="CR5221">
        <v>1</v>
      </c>
      <c r="CW5221">
        <v>11124851</v>
      </c>
      <c r="CY5221">
        <v>1</v>
      </c>
      <c r="CZ5221">
        <v>0</v>
      </c>
      <c r="DA5221">
        <v>1</v>
      </c>
      <c r="DB5221">
        <v>0</v>
      </c>
      <c r="DC5221">
        <v>0</v>
      </c>
      <c r="DD5221">
        <v>1</v>
      </c>
      <c r="DE5221">
        <v>0</v>
      </c>
      <c r="DF5221">
        <v>0</v>
      </c>
      <c r="DG5221">
        <v>0</v>
      </c>
      <c r="DH5221">
        <v>0</v>
      </c>
      <c r="DI5221">
        <v>0</v>
      </c>
    </row>
    <row r="5222" spans="1:113" x14ac:dyDescent="0.3">
      <c r="A5222" t="str">
        <f t="shared" si="2407"/>
        <v>05/12/2020 14:50:33.698</v>
      </c>
      <c r="C5222" t="str">
        <f t="shared" si="2401"/>
        <v>FFDFD3C0</v>
      </c>
      <c r="D5222" t="s">
        <v>134</v>
      </c>
      <c r="E5222">
        <v>12</v>
      </c>
      <c r="H5222">
        <v>64</v>
      </c>
      <c r="I5222" t="s">
        <v>135</v>
      </c>
      <c r="J5222" t="s">
        <v>136</v>
      </c>
      <c r="K5222">
        <v>0</v>
      </c>
      <c r="L5222">
        <v>3</v>
      </c>
      <c r="M5222">
        <v>0</v>
      </c>
      <c r="N5222">
        <v>2</v>
      </c>
      <c r="O5222">
        <v>1</v>
      </c>
      <c r="P5222">
        <v>0</v>
      </c>
      <c r="Q5222">
        <v>0</v>
      </c>
      <c r="S5222" t="str">
        <f t="shared" si="2408"/>
        <v>14:50:51.539</v>
      </c>
      <c r="T5222" t="str">
        <f t="shared" si="2409"/>
        <v>14:50:51.139</v>
      </c>
      <c r="U5222" t="str">
        <f t="shared" si="2393"/>
        <v>A9808D</v>
      </c>
      <c r="V5222">
        <v>0</v>
      </c>
      <c r="W5222">
        <v>0</v>
      </c>
      <c r="X5222">
        <v>1</v>
      </c>
      <c r="Z5222">
        <v>0</v>
      </c>
      <c r="AA5222">
        <v>9</v>
      </c>
      <c r="AB5222">
        <v>3</v>
      </c>
      <c r="AC5222">
        <v>0</v>
      </c>
      <c r="AD5222">
        <v>10</v>
      </c>
      <c r="AE5222">
        <v>0</v>
      </c>
      <c r="AF5222">
        <v>3</v>
      </c>
      <c r="AG5222">
        <v>2</v>
      </c>
      <c r="AH5222">
        <v>0</v>
      </c>
      <c r="AI5222" t="s">
        <v>1156</v>
      </c>
      <c r="AJ5222">
        <v>28.229005000000001</v>
      </c>
      <c r="AK5222" t="s">
        <v>300</v>
      </c>
      <c r="AL5222">
        <v>-82.380273000000003</v>
      </c>
      <c r="AM5222">
        <v>100</v>
      </c>
      <c r="AN5222">
        <v>1800</v>
      </c>
      <c r="AO5222" t="s">
        <v>118</v>
      </c>
      <c r="AP5222">
        <v>-108</v>
      </c>
      <c r="AQ5222">
        <v>-51</v>
      </c>
      <c r="AR5222">
        <v>-1088</v>
      </c>
      <c r="AZ5222">
        <v>1200</v>
      </c>
      <c r="BA5222">
        <v>1</v>
      </c>
      <c r="BB5222" t="str">
        <f t="shared" si="2402"/>
        <v xml:space="preserve">N711JA  </v>
      </c>
      <c r="BC5222">
        <v>1</v>
      </c>
      <c r="BE5222">
        <v>0</v>
      </c>
      <c r="BF5222">
        <v>0</v>
      </c>
      <c r="BG5222">
        <v>0</v>
      </c>
      <c r="BH5222">
        <v>1875</v>
      </c>
      <c r="BI5222">
        <v>1</v>
      </c>
      <c r="BJ5222">
        <v>1</v>
      </c>
      <c r="BK5222">
        <v>0</v>
      </c>
      <c r="BL5222">
        <v>0</v>
      </c>
      <c r="BO5222">
        <v>0</v>
      </c>
      <c r="BP5222">
        <v>0</v>
      </c>
      <c r="BW5222" t="str">
        <f t="shared" si="2410"/>
        <v>14:50:51.544</v>
      </c>
      <c r="CJ5222">
        <v>0</v>
      </c>
      <c r="CK5222">
        <v>2</v>
      </c>
      <c r="CL5222">
        <v>0</v>
      </c>
      <c r="CM5222">
        <v>2</v>
      </c>
      <c r="CN5222">
        <v>0</v>
      </c>
      <c r="CO5222">
        <v>7</v>
      </c>
      <c r="CP5222" t="s">
        <v>119</v>
      </c>
      <c r="CQ5222">
        <v>358</v>
      </c>
      <c r="CR5222">
        <v>0</v>
      </c>
      <c r="CW5222">
        <v>5235122</v>
      </c>
      <c r="CY5222">
        <v>1</v>
      </c>
      <c r="CZ5222">
        <v>0</v>
      </c>
      <c r="DA5222">
        <v>1</v>
      </c>
      <c r="DB5222">
        <v>0</v>
      </c>
      <c r="DC5222">
        <v>0</v>
      </c>
      <c r="DD5222">
        <v>1</v>
      </c>
      <c r="DE5222">
        <v>0</v>
      </c>
      <c r="DF5222">
        <v>0</v>
      </c>
      <c r="DG5222">
        <v>0</v>
      </c>
      <c r="DH5222">
        <v>0</v>
      </c>
      <c r="DI5222">
        <v>0</v>
      </c>
    </row>
    <row r="5223" spans="1:113" x14ac:dyDescent="0.3">
      <c r="A5223" t="str">
        <f t="shared" si="2407"/>
        <v>05/12/2020 14:50:33.698</v>
      </c>
      <c r="C5223" t="str">
        <f t="shared" si="2401"/>
        <v>FFDFD3C0</v>
      </c>
      <c r="D5223" t="s">
        <v>126</v>
      </c>
      <c r="E5223">
        <v>6</v>
      </c>
      <c r="F5223">
        <v>1006</v>
      </c>
      <c r="G5223" t="s">
        <v>114</v>
      </c>
      <c r="J5223" t="s">
        <v>128</v>
      </c>
      <c r="K5223">
        <v>0</v>
      </c>
      <c r="L5223">
        <v>3</v>
      </c>
      <c r="M5223">
        <v>0</v>
      </c>
      <c r="N5223">
        <v>2</v>
      </c>
      <c r="O5223">
        <v>1</v>
      </c>
      <c r="P5223">
        <v>0</v>
      </c>
      <c r="Q5223">
        <v>0</v>
      </c>
      <c r="S5223" t="str">
        <f t="shared" si="2408"/>
        <v>14:50:51.539</v>
      </c>
      <c r="T5223" t="str">
        <f t="shared" si="2409"/>
        <v>14:50:51.139</v>
      </c>
      <c r="U5223" t="str">
        <f t="shared" si="2393"/>
        <v>A9808D</v>
      </c>
      <c r="V5223">
        <v>0</v>
      </c>
      <c r="W5223">
        <v>0</v>
      </c>
      <c r="X5223">
        <v>1</v>
      </c>
      <c r="Z5223">
        <v>0</v>
      </c>
      <c r="AA5223">
        <v>9</v>
      </c>
      <c r="AB5223">
        <v>3</v>
      </c>
      <c r="AC5223">
        <v>0</v>
      </c>
      <c r="AD5223">
        <v>10</v>
      </c>
      <c r="AE5223">
        <v>0</v>
      </c>
      <c r="AF5223">
        <v>3</v>
      </c>
      <c r="AG5223">
        <v>2</v>
      </c>
      <c r="AH5223">
        <v>0</v>
      </c>
      <c r="AI5223" t="s">
        <v>1156</v>
      </c>
      <c r="AJ5223">
        <v>28.229005000000001</v>
      </c>
      <c r="AK5223" t="s">
        <v>300</v>
      </c>
      <c r="AL5223">
        <v>-82.380273000000003</v>
      </c>
      <c r="AM5223">
        <v>100</v>
      </c>
      <c r="AN5223">
        <v>1800</v>
      </c>
      <c r="AO5223" t="s">
        <v>118</v>
      </c>
      <c r="AP5223">
        <v>-108</v>
      </c>
      <c r="AQ5223">
        <v>-51</v>
      </c>
      <c r="AR5223">
        <v>-1088</v>
      </c>
      <c r="AZ5223">
        <v>1200</v>
      </c>
      <c r="BA5223">
        <v>1</v>
      </c>
      <c r="BB5223" t="str">
        <f t="shared" si="2402"/>
        <v xml:space="preserve">N711JA  </v>
      </c>
      <c r="BC5223">
        <v>1</v>
      </c>
      <c r="BE5223">
        <v>0</v>
      </c>
      <c r="BF5223">
        <v>0</v>
      </c>
      <c r="BG5223">
        <v>0</v>
      </c>
      <c r="BH5223">
        <v>1875</v>
      </c>
      <c r="BI5223">
        <v>1</v>
      </c>
      <c r="BJ5223">
        <v>1</v>
      </c>
      <c r="BK5223">
        <v>0</v>
      </c>
      <c r="BL5223">
        <v>0</v>
      </c>
      <c r="BO5223">
        <v>0</v>
      </c>
      <c r="BP5223">
        <v>0</v>
      </c>
      <c r="BW5223" t="str">
        <f t="shared" si="2410"/>
        <v>14:50:51.544</v>
      </c>
      <c r="CJ5223">
        <v>0</v>
      </c>
      <c r="CK5223">
        <v>2</v>
      </c>
      <c r="CL5223">
        <v>0</v>
      </c>
      <c r="CM5223">
        <v>2</v>
      </c>
      <c r="CN5223">
        <v>0</v>
      </c>
      <c r="CO5223">
        <v>7</v>
      </c>
      <c r="CP5223" t="s">
        <v>119</v>
      </c>
      <c r="CQ5223">
        <v>358</v>
      </c>
      <c r="CR5223">
        <v>0</v>
      </c>
      <c r="CW5223">
        <v>5235122</v>
      </c>
      <c r="CY5223">
        <v>1</v>
      </c>
      <c r="CZ5223">
        <v>0</v>
      </c>
      <c r="DA5223">
        <v>1</v>
      </c>
      <c r="DB5223">
        <v>0</v>
      </c>
      <c r="DC5223">
        <v>0</v>
      </c>
      <c r="DD5223">
        <v>1</v>
      </c>
      <c r="DE5223">
        <v>0</v>
      </c>
      <c r="DF5223">
        <v>0</v>
      </c>
      <c r="DG5223">
        <v>0</v>
      </c>
      <c r="DH5223">
        <v>0</v>
      </c>
      <c r="DI5223">
        <v>0</v>
      </c>
    </row>
    <row r="5224" spans="1:113" x14ac:dyDescent="0.3">
      <c r="A5224" t="str">
        <f t="shared" si="2407"/>
        <v>05/12/2020 14:50:33.698</v>
      </c>
      <c r="C5224" t="str">
        <f t="shared" si="2401"/>
        <v>FFDFD3C0</v>
      </c>
      <c r="D5224" t="s">
        <v>113</v>
      </c>
      <c r="E5224">
        <v>3</v>
      </c>
      <c r="H5224">
        <v>164</v>
      </c>
      <c r="I5224" t="s">
        <v>114</v>
      </c>
      <c r="J5224" t="s">
        <v>115</v>
      </c>
      <c r="K5224">
        <v>0</v>
      </c>
      <c r="L5224">
        <v>3</v>
      </c>
      <c r="M5224">
        <v>0</v>
      </c>
      <c r="N5224">
        <v>2</v>
      </c>
      <c r="O5224">
        <v>1</v>
      </c>
      <c r="P5224">
        <v>0</v>
      </c>
      <c r="Q5224">
        <v>0</v>
      </c>
      <c r="S5224" t="str">
        <f t="shared" si="2408"/>
        <v>14:50:51.539</v>
      </c>
      <c r="T5224" t="str">
        <f t="shared" si="2409"/>
        <v>14:50:51.139</v>
      </c>
      <c r="U5224" t="str">
        <f t="shared" si="2393"/>
        <v>A9808D</v>
      </c>
      <c r="V5224">
        <v>0</v>
      </c>
      <c r="W5224">
        <v>0</v>
      </c>
      <c r="X5224">
        <v>1</v>
      </c>
      <c r="Z5224">
        <v>0</v>
      </c>
      <c r="AA5224">
        <v>9</v>
      </c>
      <c r="AB5224">
        <v>3</v>
      </c>
      <c r="AC5224">
        <v>0</v>
      </c>
      <c r="AD5224">
        <v>10</v>
      </c>
      <c r="AE5224">
        <v>0</v>
      </c>
      <c r="AF5224">
        <v>3</v>
      </c>
      <c r="AG5224">
        <v>2</v>
      </c>
      <c r="AH5224">
        <v>0</v>
      </c>
      <c r="AI5224" t="s">
        <v>1156</v>
      </c>
      <c r="AJ5224">
        <v>28.229005000000001</v>
      </c>
      <c r="AK5224" t="s">
        <v>300</v>
      </c>
      <c r="AL5224">
        <v>-82.380273000000003</v>
      </c>
      <c r="AM5224">
        <v>100</v>
      </c>
      <c r="AN5224">
        <v>1800</v>
      </c>
      <c r="AO5224" t="s">
        <v>118</v>
      </c>
      <c r="AP5224">
        <v>-108</v>
      </c>
      <c r="AQ5224">
        <v>-51</v>
      </c>
      <c r="AR5224">
        <v>-1088</v>
      </c>
      <c r="AZ5224">
        <v>1200</v>
      </c>
      <c r="BA5224">
        <v>1</v>
      </c>
      <c r="BB5224" t="str">
        <f t="shared" si="2402"/>
        <v xml:space="preserve">N711JA  </v>
      </c>
      <c r="BC5224">
        <v>1</v>
      </c>
      <c r="BE5224">
        <v>0</v>
      </c>
      <c r="BF5224">
        <v>0</v>
      </c>
      <c r="BG5224">
        <v>0</v>
      </c>
      <c r="BH5224">
        <v>1875</v>
      </c>
      <c r="BI5224">
        <v>1</v>
      </c>
      <c r="BJ5224">
        <v>1</v>
      </c>
      <c r="BK5224">
        <v>0</v>
      </c>
      <c r="BL5224">
        <v>0</v>
      </c>
      <c r="BO5224">
        <v>0</v>
      </c>
      <c r="BP5224">
        <v>0</v>
      </c>
      <c r="BW5224" t="str">
        <f t="shared" si="2410"/>
        <v>14:50:51.544</v>
      </c>
      <c r="CJ5224">
        <v>0</v>
      </c>
      <c r="CK5224">
        <v>2</v>
      </c>
      <c r="CL5224">
        <v>0</v>
      </c>
      <c r="CM5224">
        <v>2</v>
      </c>
      <c r="CN5224">
        <v>0</v>
      </c>
      <c r="CO5224">
        <v>6</v>
      </c>
      <c r="CP5224" t="s">
        <v>119</v>
      </c>
      <c r="CQ5224">
        <v>343</v>
      </c>
      <c r="CR5224">
        <v>1</v>
      </c>
      <c r="CW5224">
        <v>11124851</v>
      </c>
      <c r="CY5224">
        <v>1</v>
      </c>
      <c r="CZ5224">
        <v>0</v>
      </c>
      <c r="DA5224">
        <v>1</v>
      </c>
      <c r="DB5224">
        <v>0</v>
      </c>
      <c r="DC5224">
        <v>0</v>
      </c>
      <c r="DD5224">
        <v>1</v>
      </c>
      <c r="DE5224">
        <v>0</v>
      </c>
      <c r="DF5224">
        <v>0</v>
      </c>
      <c r="DG5224">
        <v>0</v>
      </c>
      <c r="DH5224">
        <v>0</v>
      </c>
      <c r="DI5224">
        <v>0</v>
      </c>
    </row>
    <row r="5225" spans="1:113" x14ac:dyDescent="0.3">
      <c r="A5225" t="str">
        <f t="shared" ref="A5225:A5232" si="2411">"05/12/2020 14:50:34.760"</f>
        <v>05/12/2020 14:50:34.760</v>
      </c>
      <c r="C5225" t="str">
        <f t="shared" si="2401"/>
        <v>FFDFD3C0</v>
      </c>
      <c r="D5225" t="s">
        <v>131</v>
      </c>
      <c r="E5225">
        <v>12</v>
      </c>
      <c r="F5225">
        <v>2012</v>
      </c>
      <c r="G5225" t="s">
        <v>137</v>
      </c>
      <c r="J5225" t="s">
        <v>133</v>
      </c>
      <c r="K5225">
        <v>0</v>
      </c>
      <c r="L5225">
        <v>3</v>
      </c>
      <c r="M5225">
        <v>0</v>
      </c>
      <c r="N5225">
        <v>2</v>
      </c>
      <c r="O5225">
        <v>1</v>
      </c>
      <c r="P5225">
        <v>0</v>
      </c>
      <c r="Q5225">
        <v>0</v>
      </c>
      <c r="S5225" t="str">
        <f t="shared" ref="S5225:T5232" si="2412">"14:50:52.602"</f>
        <v>14:50:52.602</v>
      </c>
      <c r="T5225" t="str">
        <f t="shared" si="2412"/>
        <v>14:50:52.602</v>
      </c>
      <c r="U5225" t="str">
        <f t="shared" si="2393"/>
        <v>A9808D</v>
      </c>
      <c r="V5225">
        <v>0</v>
      </c>
      <c r="W5225">
        <v>0</v>
      </c>
      <c r="X5225">
        <v>1</v>
      </c>
      <c r="Z5225">
        <v>0</v>
      </c>
      <c r="AA5225">
        <v>9</v>
      </c>
      <c r="AB5225">
        <v>3</v>
      </c>
      <c r="AC5225">
        <v>0</v>
      </c>
      <c r="AD5225">
        <v>10</v>
      </c>
      <c r="AE5225">
        <v>0</v>
      </c>
      <c r="AF5225">
        <v>3</v>
      </c>
      <c r="AG5225">
        <v>2</v>
      </c>
      <c r="AH5225">
        <v>0</v>
      </c>
      <c r="AI5225" t="s">
        <v>1157</v>
      </c>
      <c r="AJ5225">
        <v>28.228769</v>
      </c>
      <c r="AK5225" t="s">
        <v>1158</v>
      </c>
      <c r="AL5225">
        <v>-82.380831000000001</v>
      </c>
      <c r="AM5225">
        <v>100</v>
      </c>
      <c r="AN5225">
        <v>1800</v>
      </c>
      <c r="AO5225" t="s">
        <v>118</v>
      </c>
      <c r="AP5225">
        <v>-109</v>
      </c>
      <c r="AQ5225">
        <v>-51</v>
      </c>
      <c r="AR5225">
        <v>-960</v>
      </c>
      <c r="AZ5225">
        <v>1200</v>
      </c>
      <c r="BA5225">
        <v>1</v>
      </c>
      <c r="BB5225" t="str">
        <f t="shared" si="2402"/>
        <v xml:space="preserve">N711JA  </v>
      </c>
      <c r="BC5225">
        <v>1</v>
      </c>
      <c r="BE5225">
        <v>0</v>
      </c>
      <c r="BF5225">
        <v>0</v>
      </c>
      <c r="BG5225">
        <v>0</v>
      </c>
      <c r="BH5225">
        <v>1850</v>
      </c>
      <c r="BI5225">
        <v>1</v>
      </c>
      <c r="BJ5225">
        <v>1</v>
      </c>
      <c r="BK5225">
        <v>0</v>
      </c>
      <c r="BL5225">
        <v>0</v>
      </c>
      <c r="BO5225">
        <v>0</v>
      </c>
      <c r="BP5225">
        <v>0</v>
      </c>
      <c r="BW5225" t="str">
        <f t="shared" ref="BW5225:BW5232" si="2413">"14:50:52.603"</f>
        <v>14:50:52.603</v>
      </c>
      <c r="CJ5225">
        <v>0</v>
      </c>
      <c r="CK5225">
        <v>2</v>
      </c>
      <c r="CL5225">
        <v>0</v>
      </c>
      <c r="CM5225">
        <v>2</v>
      </c>
      <c r="CN5225">
        <v>0</v>
      </c>
      <c r="CO5225">
        <v>7</v>
      </c>
      <c r="CP5225" t="s">
        <v>119</v>
      </c>
      <c r="CQ5225">
        <v>343</v>
      </c>
      <c r="CR5225">
        <v>1</v>
      </c>
      <c r="CW5225">
        <v>11125950</v>
      </c>
      <c r="CY5225">
        <v>1</v>
      </c>
      <c r="CZ5225">
        <v>0</v>
      </c>
      <c r="DA5225">
        <v>0</v>
      </c>
      <c r="DB5225">
        <v>0</v>
      </c>
      <c r="DC5225">
        <v>0</v>
      </c>
      <c r="DD5225">
        <v>1</v>
      </c>
      <c r="DE5225">
        <v>0</v>
      </c>
      <c r="DF5225">
        <v>0</v>
      </c>
      <c r="DG5225">
        <v>0</v>
      </c>
      <c r="DH5225">
        <v>0</v>
      </c>
      <c r="DI5225">
        <v>0</v>
      </c>
    </row>
    <row r="5226" spans="1:113" x14ac:dyDescent="0.3">
      <c r="A5226" t="str">
        <f t="shared" si="2411"/>
        <v>05/12/2020 14:50:34.760</v>
      </c>
      <c r="C5226" t="str">
        <f t="shared" si="2401"/>
        <v>FFDFD3C0</v>
      </c>
      <c r="D5226" t="s">
        <v>138</v>
      </c>
      <c r="E5226">
        <v>2</v>
      </c>
      <c r="H5226">
        <v>8</v>
      </c>
      <c r="I5226" t="s">
        <v>139</v>
      </c>
      <c r="J5226" t="s">
        <v>136</v>
      </c>
      <c r="K5226">
        <v>0</v>
      </c>
      <c r="L5226">
        <v>3</v>
      </c>
      <c r="M5226">
        <v>0</v>
      </c>
      <c r="N5226">
        <v>2</v>
      </c>
      <c r="O5226">
        <v>1</v>
      </c>
      <c r="P5226">
        <v>0</v>
      </c>
      <c r="Q5226">
        <v>0</v>
      </c>
      <c r="S5226" t="str">
        <f t="shared" si="2412"/>
        <v>14:50:52.602</v>
      </c>
      <c r="T5226" t="str">
        <f t="shared" si="2412"/>
        <v>14:50:52.602</v>
      </c>
      <c r="U5226" t="str">
        <f t="shared" si="2393"/>
        <v>A9808D</v>
      </c>
      <c r="V5226">
        <v>0</v>
      </c>
      <c r="W5226">
        <v>0</v>
      </c>
      <c r="X5226">
        <v>1</v>
      </c>
      <c r="Z5226">
        <v>0</v>
      </c>
      <c r="AA5226">
        <v>9</v>
      </c>
      <c r="AB5226">
        <v>3</v>
      </c>
      <c r="AC5226">
        <v>0</v>
      </c>
      <c r="AD5226">
        <v>10</v>
      </c>
      <c r="AE5226">
        <v>0</v>
      </c>
      <c r="AF5226">
        <v>3</v>
      </c>
      <c r="AG5226">
        <v>2</v>
      </c>
      <c r="AH5226">
        <v>0</v>
      </c>
      <c r="AI5226" t="s">
        <v>1157</v>
      </c>
      <c r="AJ5226">
        <v>28.228769</v>
      </c>
      <c r="AK5226" t="s">
        <v>1158</v>
      </c>
      <c r="AL5226">
        <v>-82.380831000000001</v>
      </c>
      <c r="AM5226">
        <v>100</v>
      </c>
      <c r="AN5226">
        <v>1800</v>
      </c>
      <c r="AO5226" t="s">
        <v>118</v>
      </c>
      <c r="AP5226">
        <v>-109</v>
      </c>
      <c r="AQ5226">
        <v>-51</v>
      </c>
      <c r="AR5226">
        <v>-960</v>
      </c>
      <c r="AZ5226">
        <v>1200</v>
      </c>
      <c r="BA5226">
        <v>1</v>
      </c>
      <c r="BB5226" t="str">
        <f t="shared" si="2402"/>
        <v xml:space="preserve">N711JA  </v>
      </c>
      <c r="BC5226">
        <v>1</v>
      </c>
      <c r="BE5226">
        <v>0</v>
      </c>
      <c r="BF5226">
        <v>0</v>
      </c>
      <c r="BG5226">
        <v>0</v>
      </c>
      <c r="BH5226">
        <v>1850</v>
      </c>
      <c r="BI5226">
        <v>1</v>
      </c>
      <c r="BJ5226">
        <v>1</v>
      </c>
      <c r="BK5226">
        <v>0</v>
      </c>
      <c r="BL5226">
        <v>0</v>
      </c>
      <c r="BO5226">
        <v>0</v>
      </c>
      <c r="BP5226">
        <v>0</v>
      </c>
      <c r="BW5226" t="str">
        <f t="shared" si="2413"/>
        <v>14:50:52.603</v>
      </c>
      <c r="CJ5226">
        <v>0</v>
      </c>
      <c r="CK5226">
        <v>2</v>
      </c>
      <c r="CL5226">
        <v>0</v>
      </c>
      <c r="CM5226">
        <v>2</v>
      </c>
      <c r="CN5226">
        <v>0</v>
      </c>
      <c r="CO5226">
        <v>7</v>
      </c>
      <c r="CP5226" t="s">
        <v>119</v>
      </c>
      <c r="CQ5226">
        <v>343</v>
      </c>
      <c r="CR5226">
        <v>1</v>
      </c>
      <c r="CW5226">
        <v>11125950</v>
      </c>
      <c r="CY5226">
        <v>1</v>
      </c>
      <c r="CZ5226">
        <v>0</v>
      </c>
      <c r="DA5226">
        <v>1</v>
      </c>
      <c r="DB5226">
        <v>0</v>
      </c>
      <c r="DC5226">
        <v>0</v>
      </c>
      <c r="DD5226">
        <v>1</v>
      </c>
      <c r="DE5226">
        <v>0</v>
      </c>
      <c r="DF5226">
        <v>0</v>
      </c>
      <c r="DG5226">
        <v>0</v>
      </c>
      <c r="DH5226">
        <v>0</v>
      </c>
      <c r="DI5226">
        <v>0</v>
      </c>
    </row>
    <row r="5227" spans="1:113" x14ac:dyDescent="0.3">
      <c r="A5227" t="str">
        <f t="shared" si="2411"/>
        <v>05/12/2020 14:50:34.760</v>
      </c>
      <c r="C5227" t="str">
        <f t="shared" si="2401"/>
        <v>FFDFD3C0</v>
      </c>
      <c r="D5227" t="s">
        <v>138</v>
      </c>
      <c r="E5227">
        <v>3</v>
      </c>
      <c r="H5227">
        <v>9</v>
      </c>
      <c r="I5227" t="s">
        <v>140</v>
      </c>
      <c r="J5227" t="s">
        <v>136</v>
      </c>
      <c r="K5227">
        <v>0</v>
      </c>
      <c r="L5227">
        <v>3</v>
      </c>
      <c r="M5227">
        <v>0</v>
      </c>
      <c r="N5227">
        <v>2</v>
      </c>
      <c r="O5227">
        <v>1</v>
      </c>
      <c r="P5227">
        <v>0</v>
      </c>
      <c r="Q5227">
        <v>0</v>
      </c>
      <c r="S5227" t="str">
        <f t="shared" si="2412"/>
        <v>14:50:52.602</v>
      </c>
      <c r="T5227" t="str">
        <f t="shared" si="2412"/>
        <v>14:50:52.602</v>
      </c>
      <c r="U5227" t="str">
        <f t="shared" si="2393"/>
        <v>A9808D</v>
      </c>
      <c r="V5227">
        <v>0</v>
      </c>
      <c r="W5227">
        <v>0</v>
      </c>
      <c r="X5227">
        <v>1</v>
      </c>
      <c r="Z5227">
        <v>0</v>
      </c>
      <c r="AA5227">
        <v>9</v>
      </c>
      <c r="AB5227">
        <v>3</v>
      </c>
      <c r="AC5227">
        <v>0</v>
      </c>
      <c r="AD5227">
        <v>10</v>
      </c>
      <c r="AE5227">
        <v>0</v>
      </c>
      <c r="AF5227">
        <v>3</v>
      </c>
      <c r="AG5227">
        <v>2</v>
      </c>
      <c r="AH5227">
        <v>0</v>
      </c>
      <c r="AI5227" t="s">
        <v>1157</v>
      </c>
      <c r="AJ5227">
        <v>28.228769</v>
      </c>
      <c r="AK5227" t="s">
        <v>1158</v>
      </c>
      <c r="AL5227">
        <v>-82.380831000000001</v>
      </c>
      <c r="AM5227">
        <v>100</v>
      </c>
      <c r="AN5227">
        <v>1800</v>
      </c>
      <c r="AO5227" t="s">
        <v>118</v>
      </c>
      <c r="AP5227">
        <v>-109</v>
      </c>
      <c r="AQ5227">
        <v>-51</v>
      </c>
      <c r="AR5227">
        <v>-960</v>
      </c>
      <c r="AZ5227">
        <v>1200</v>
      </c>
      <c r="BA5227">
        <v>1</v>
      </c>
      <c r="BB5227" t="str">
        <f t="shared" si="2402"/>
        <v xml:space="preserve">N711JA  </v>
      </c>
      <c r="BC5227">
        <v>1</v>
      </c>
      <c r="BE5227">
        <v>0</v>
      </c>
      <c r="BF5227">
        <v>0</v>
      </c>
      <c r="BG5227">
        <v>0</v>
      </c>
      <c r="BH5227">
        <v>1850</v>
      </c>
      <c r="BI5227">
        <v>1</v>
      </c>
      <c r="BJ5227">
        <v>1</v>
      </c>
      <c r="BK5227">
        <v>0</v>
      </c>
      <c r="BL5227">
        <v>0</v>
      </c>
      <c r="BO5227">
        <v>0</v>
      </c>
      <c r="BP5227">
        <v>0</v>
      </c>
      <c r="BW5227" t="str">
        <f t="shared" si="2413"/>
        <v>14:50:52.603</v>
      </c>
      <c r="CJ5227">
        <v>0</v>
      </c>
      <c r="CK5227">
        <v>2</v>
      </c>
      <c r="CL5227">
        <v>0</v>
      </c>
      <c r="CM5227">
        <v>2</v>
      </c>
      <c r="CN5227">
        <v>0</v>
      </c>
      <c r="CO5227">
        <v>7</v>
      </c>
      <c r="CP5227" t="s">
        <v>119</v>
      </c>
      <c r="CQ5227">
        <v>343</v>
      </c>
      <c r="CR5227">
        <v>1</v>
      </c>
      <c r="CW5227">
        <v>11125950</v>
      </c>
      <c r="CY5227">
        <v>1</v>
      </c>
      <c r="CZ5227">
        <v>0</v>
      </c>
      <c r="DA5227">
        <v>1</v>
      </c>
      <c r="DB5227">
        <v>0</v>
      </c>
      <c r="DC5227">
        <v>0</v>
      </c>
      <c r="DD5227">
        <v>1</v>
      </c>
      <c r="DE5227">
        <v>0</v>
      </c>
      <c r="DF5227">
        <v>0</v>
      </c>
      <c r="DG5227">
        <v>0</v>
      </c>
      <c r="DH5227">
        <v>0</v>
      </c>
      <c r="DI5227">
        <v>0</v>
      </c>
    </row>
    <row r="5228" spans="1:113" x14ac:dyDescent="0.3">
      <c r="A5228" t="str">
        <f t="shared" si="2411"/>
        <v>05/12/2020 14:50:34.760</v>
      </c>
      <c r="C5228" t="str">
        <f t="shared" si="2401"/>
        <v>FFDFD3C0</v>
      </c>
      <c r="D5228" t="s">
        <v>134</v>
      </c>
      <c r="E5228">
        <v>12</v>
      </c>
      <c r="H5228">
        <v>64</v>
      </c>
      <c r="I5228" t="s">
        <v>135</v>
      </c>
      <c r="J5228" t="s">
        <v>136</v>
      </c>
      <c r="K5228">
        <v>0</v>
      </c>
      <c r="L5228">
        <v>3</v>
      </c>
      <c r="M5228">
        <v>0</v>
      </c>
      <c r="N5228">
        <v>2</v>
      </c>
      <c r="O5228">
        <v>1</v>
      </c>
      <c r="P5228">
        <v>0</v>
      </c>
      <c r="Q5228">
        <v>0</v>
      </c>
      <c r="S5228" t="str">
        <f t="shared" si="2412"/>
        <v>14:50:52.602</v>
      </c>
      <c r="T5228" t="str">
        <f t="shared" si="2412"/>
        <v>14:50:52.602</v>
      </c>
      <c r="U5228" t="str">
        <f t="shared" si="2393"/>
        <v>A9808D</v>
      </c>
      <c r="V5228">
        <v>0</v>
      </c>
      <c r="W5228">
        <v>0</v>
      </c>
      <c r="X5228">
        <v>1</v>
      </c>
      <c r="Z5228">
        <v>0</v>
      </c>
      <c r="AA5228">
        <v>9</v>
      </c>
      <c r="AB5228">
        <v>3</v>
      </c>
      <c r="AC5228">
        <v>0</v>
      </c>
      <c r="AD5228">
        <v>10</v>
      </c>
      <c r="AE5228">
        <v>0</v>
      </c>
      <c r="AF5228">
        <v>3</v>
      </c>
      <c r="AG5228">
        <v>2</v>
      </c>
      <c r="AH5228">
        <v>0</v>
      </c>
      <c r="AI5228" t="s">
        <v>1157</v>
      </c>
      <c r="AJ5228">
        <v>28.228769</v>
      </c>
      <c r="AK5228" t="s">
        <v>1158</v>
      </c>
      <c r="AL5228">
        <v>-82.380831000000001</v>
      </c>
      <c r="AM5228">
        <v>100</v>
      </c>
      <c r="AN5228">
        <v>1800</v>
      </c>
      <c r="AO5228" t="s">
        <v>118</v>
      </c>
      <c r="AP5228">
        <v>-109</v>
      </c>
      <c r="AQ5228">
        <v>-51</v>
      </c>
      <c r="AR5228">
        <v>-960</v>
      </c>
      <c r="AZ5228">
        <v>1200</v>
      </c>
      <c r="BA5228">
        <v>1</v>
      </c>
      <c r="BB5228" t="str">
        <f t="shared" si="2402"/>
        <v xml:space="preserve">N711JA  </v>
      </c>
      <c r="BC5228">
        <v>1</v>
      </c>
      <c r="BE5228">
        <v>0</v>
      </c>
      <c r="BF5228">
        <v>0</v>
      </c>
      <c r="BG5228">
        <v>0</v>
      </c>
      <c r="BH5228">
        <v>1850</v>
      </c>
      <c r="BI5228">
        <v>1</v>
      </c>
      <c r="BJ5228">
        <v>1</v>
      </c>
      <c r="BK5228">
        <v>0</v>
      </c>
      <c r="BL5228">
        <v>0</v>
      </c>
      <c r="BO5228">
        <v>0</v>
      </c>
      <c r="BP5228">
        <v>0</v>
      </c>
      <c r="BW5228" t="str">
        <f t="shared" si="2413"/>
        <v>14:50:52.603</v>
      </c>
      <c r="CJ5228">
        <v>0</v>
      </c>
      <c r="CK5228">
        <v>2</v>
      </c>
      <c r="CL5228">
        <v>0</v>
      </c>
      <c r="CM5228">
        <v>2</v>
      </c>
      <c r="CN5228">
        <v>0</v>
      </c>
      <c r="CO5228">
        <v>7</v>
      </c>
      <c r="CP5228" t="s">
        <v>119</v>
      </c>
      <c r="CQ5228">
        <v>343</v>
      </c>
      <c r="CR5228">
        <v>1</v>
      </c>
      <c r="CW5228">
        <v>11125950</v>
      </c>
      <c r="CY5228">
        <v>1</v>
      </c>
      <c r="CZ5228">
        <v>0</v>
      </c>
      <c r="DA5228">
        <v>1</v>
      </c>
      <c r="DB5228">
        <v>0</v>
      </c>
      <c r="DC5228">
        <v>0</v>
      </c>
      <c r="DD5228">
        <v>1</v>
      </c>
      <c r="DE5228">
        <v>0</v>
      </c>
      <c r="DF5228">
        <v>0</v>
      </c>
      <c r="DG5228">
        <v>0</v>
      </c>
      <c r="DH5228">
        <v>0</v>
      </c>
      <c r="DI5228">
        <v>0</v>
      </c>
    </row>
    <row r="5229" spans="1:113" x14ac:dyDescent="0.3">
      <c r="A5229" t="str">
        <f t="shared" si="2411"/>
        <v>05/12/2020 14:50:34.760</v>
      </c>
      <c r="C5229" t="str">
        <f t="shared" si="2401"/>
        <v>FFDFD3C0</v>
      </c>
      <c r="D5229" t="s">
        <v>126</v>
      </c>
      <c r="E5229">
        <v>6</v>
      </c>
      <c r="F5229">
        <v>1006</v>
      </c>
      <c r="G5229" t="s">
        <v>114</v>
      </c>
      <c r="J5229" t="s">
        <v>128</v>
      </c>
      <c r="K5229">
        <v>0</v>
      </c>
      <c r="L5229">
        <v>3</v>
      </c>
      <c r="M5229">
        <v>0</v>
      </c>
      <c r="N5229">
        <v>2</v>
      </c>
      <c r="O5229">
        <v>1</v>
      </c>
      <c r="P5229">
        <v>0</v>
      </c>
      <c r="Q5229">
        <v>0</v>
      </c>
      <c r="S5229" t="str">
        <f t="shared" si="2412"/>
        <v>14:50:52.602</v>
      </c>
      <c r="T5229" t="str">
        <f t="shared" si="2412"/>
        <v>14:50:52.602</v>
      </c>
      <c r="U5229" t="str">
        <f t="shared" si="2393"/>
        <v>A9808D</v>
      </c>
      <c r="V5229">
        <v>0</v>
      </c>
      <c r="W5229">
        <v>0</v>
      </c>
      <c r="X5229">
        <v>1</v>
      </c>
      <c r="Z5229">
        <v>0</v>
      </c>
      <c r="AA5229">
        <v>9</v>
      </c>
      <c r="AB5229">
        <v>3</v>
      </c>
      <c r="AC5229">
        <v>0</v>
      </c>
      <c r="AD5229">
        <v>10</v>
      </c>
      <c r="AE5229">
        <v>0</v>
      </c>
      <c r="AF5229">
        <v>3</v>
      </c>
      <c r="AG5229">
        <v>2</v>
      </c>
      <c r="AH5229">
        <v>0</v>
      </c>
      <c r="AI5229" t="s">
        <v>1157</v>
      </c>
      <c r="AJ5229">
        <v>28.228769</v>
      </c>
      <c r="AK5229" t="s">
        <v>1158</v>
      </c>
      <c r="AL5229">
        <v>-82.380831000000001</v>
      </c>
      <c r="AM5229">
        <v>100</v>
      </c>
      <c r="AN5229">
        <v>1800</v>
      </c>
      <c r="AO5229" t="s">
        <v>118</v>
      </c>
      <c r="AP5229">
        <v>-109</v>
      </c>
      <c r="AQ5229">
        <v>-51</v>
      </c>
      <c r="AR5229">
        <v>-960</v>
      </c>
      <c r="AZ5229">
        <v>1200</v>
      </c>
      <c r="BA5229">
        <v>1</v>
      </c>
      <c r="BB5229" t="str">
        <f t="shared" si="2402"/>
        <v xml:space="preserve">N711JA  </v>
      </c>
      <c r="BC5229">
        <v>1</v>
      </c>
      <c r="BE5229">
        <v>0</v>
      </c>
      <c r="BF5229">
        <v>0</v>
      </c>
      <c r="BG5229">
        <v>0</v>
      </c>
      <c r="BH5229">
        <v>1850</v>
      </c>
      <c r="BI5229">
        <v>1</v>
      </c>
      <c r="BJ5229">
        <v>1</v>
      </c>
      <c r="BK5229">
        <v>0</v>
      </c>
      <c r="BL5229">
        <v>0</v>
      </c>
      <c r="BO5229">
        <v>0</v>
      </c>
      <c r="BP5229">
        <v>0</v>
      </c>
      <c r="BW5229" t="str">
        <f t="shared" si="2413"/>
        <v>14:50:52.603</v>
      </c>
      <c r="CJ5229">
        <v>0</v>
      </c>
      <c r="CK5229">
        <v>2</v>
      </c>
      <c r="CL5229">
        <v>0</v>
      </c>
      <c r="CM5229">
        <v>2</v>
      </c>
      <c r="CN5229">
        <v>0</v>
      </c>
      <c r="CO5229">
        <v>7</v>
      </c>
      <c r="CP5229" t="s">
        <v>119</v>
      </c>
      <c r="CQ5229">
        <v>343</v>
      </c>
      <c r="CR5229">
        <v>1</v>
      </c>
      <c r="CW5229">
        <v>11125950</v>
      </c>
      <c r="CY5229">
        <v>1</v>
      </c>
      <c r="CZ5229">
        <v>0</v>
      </c>
      <c r="DA5229">
        <v>1</v>
      </c>
      <c r="DB5229">
        <v>0</v>
      </c>
      <c r="DC5229">
        <v>0</v>
      </c>
      <c r="DD5229">
        <v>1</v>
      </c>
      <c r="DE5229">
        <v>0</v>
      </c>
      <c r="DF5229">
        <v>0</v>
      </c>
      <c r="DG5229">
        <v>0</v>
      </c>
      <c r="DH5229">
        <v>0</v>
      </c>
      <c r="DI5229">
        <v>0</v>
      </c>
    </row>
    <row r="5230" spans="1:113" x14ac:dyDescent="0.3">
      <c r="A5230" t="str">
        <f t="shared" si="2411"/>
        <v>05/12/2020 14:50:34.760</v>
      </c>
      <c r="C5230" t="str">
        <f t="shared" si="2401"/>
        <v>FFDFD3C0</v>
      </c>
      <c r="D5230" t="s">
        <v>126</v>
      </c>
      <c r="E5230">
        <v>7</v>
      </c>
      <c r="F5230">
        <v>1007</v>
      </c>
      <c r="G5230" t="s">
        <v>127</v>
      </c>
      <c r="J5230" t="s">
        <v>128</v>
      </c>
      <c r="K5230">
        <v>0</v>
      </c>
      <c r="L5230">
        <v>3</v>
      </c>
      <c r="M5230">
        <v>0</v>
      </c>
      <c r="N5230">
        <v>2</v>
      </c>
      <c r="O5230">
        <v>1</v>
      </c>
      <c r="P5230">
        <v>0</v>
      </c>
      <c r="Q5230">
        <v>0</v>
      </c>
      <c r="S5230" t="str">
        <f t="shared" si="2412"/>
        <v>14:50:52.602</v>
      </c>
      <c r="T5230" t="str">
        <f t="shared" si="2412"/>
        <v>14:50:52.602</v>
      </c>
      <c r="U5230" t="str">
        <f t="shared" si="2393"/>
        <v>A9808D</v>
      </c>
      <c r="V5230">
        <v>0</v>
      </c>
      <c r="W5230">
        <v>0</v>
      </c>
      <c r="X5230">
        <v>1</v>
      </c>
      <c r="Z5230">
        <v>0</v>
      </c>
      <c r="AA5230">
        <v>9</v>
      </c>
      <c r="AB5230">
        <v>3</v>
      </c>
      <c r="AC5230">
        <v>0</v>
      </c>
      <c r="AD5230">
        <v>10</v>
      </c>
      <c r="AE5230">
        <v>0</v>
      </c>
      <c r="AF5230">
        <v>3</v>
      </c>
      <c r="AG5230">
        <v>2</v>
      </c>
      <c r="AH5230">
        <v>0</v>
      </c>
      <c r="AI5230" t="s">
        <v>1157</v>
      </c>
      <c r="AJ5230">
        <v>28.228769</v>
      </c>
      <c r="AK5230" t="s">
        <v>1158</v>
      </c>
      <c r="AL5230">
        <v>-82.380831000000001</v>
      </c>
      <c r="AM5230">
        <v>100</v>
      </c>
      <c r="AN5230">
        <v>1800</v>
      </c>
      <c r="AO5230" t="s">
        <v>118</v>
      </c>
      <c r="AP5230">
        <v>-109</v>
      </c>
      <c r="AQ5230">
        <v>-51</v>
      </c>
      <c r="AR5230">
        <v>-960</v>
      </c>
      <c r="AZ5230">
        <v>1200</v>
      </c>
      <c r="BA5230">
        <v>1</v>
      </c>
      <c r="BB5230" t="str">
        <f t="shared" si="2402"/>
        <v xml:space="preserve">N711JA  </v>
      </c>
      <c r="BC5230">
        <v>1</v>
      </c>
      <c r="BE5230">
        <v>0</v>
      </c>
      <c r="BF5230">
        <v>0</v>
      </c>
      <c r="BG5230">
        <v>0</v>
      </c>
      <c r="BH5230">
        <v>1850</v>
      </c>
      <c r="BI5230">
        <v>1</v>
      </c>
      <c r="BJ5230">
        <v>1</v>
      </c>
      <c r="BK5230">
        <v>0</v>
      </c>
      <c r="BL5230">
        <v>0</v>
      </c>
      <c r="BO5230">
        <v>0</v>
      </c>
      <c r="BP5230">
        <v>0</v>
      </c>
      <c r="BW5230" t="str">
        <f t="shared" si="2413"/>
        <v>14:50:52.603</v>
      </c>
      <c r="CJ5230">
        <v>0</v>
      </c>
      <c r="CK5230">
        <v>2</v>
      </c>
      <c r="CL5230">
        <v>0</v>
      </c>
      <c r="CM5230">
        <v>2</v>
      </c>
      <c r="CN5230">
        <v>0</v>
      </c>
      <c r="CO5230">
        <v>7</v>
      </c>
      <c r="CP5230" t="s">
        <v>119</v>
      </c>
      <c r="CQ5230">
        <v>343</v>
      </c>
      <c r="CR5230">
        <v>1</v>
      </c>
      <c r="CW5230">
        <v>11125950</v>
      </c>
      <c r="CY5230">
        <v>1</v>
      </c>
      <c r="CZ5230">
        <v>0</v>
      </c>
      <c r="DA5230">
        <v>1</v>
      </c>
      <c r="DB5230">
        <v>0</v>
      </c>
      <c r="DC5230">
        <v>0</v>
      </c>
      <c r="DD5230">
        <v>1</v>
      </c>
      <c r="DE5230">
        <v>0</v>
      </c>
      <c r="DF5230">
        <v>0</v>
      </c>
      <c r="DG5230">
        <v>0</v>
      </c>
      <c r="DH5230">
        <v>0</v>
      </c>
      <c r="DI5230">
        <v>0</v>
      </c>
    </row>
    <row r="5231" spans="1:113" x14ac:dyDescent="0.3">
      <c r="A5231" t="str">
        <f t="shared" si="2411"/>
        <v>05/12/2020 14:50:34.760</v>
      </c>
      <c r="C5231" t="str">
        <f t="shared" si="2401"/>
        <v>FFDFD3C0</v>
      </c>
      <c r="D5231" t="s">
        <v>131</v>
      </c>
      <c r="E5231">
        <v>10</v>
      </c>
      <c r="F5231">
        <v>2010</v>
      </c>
      <c r="G5231" t="s">
        <v>132</v>
      </c>
      <c r="J5231" t="s">
        <v>133</v>
      </c>
      <c r="K5231">
        <v>0</v>
      </c>
      <c r="L5231">
        <v>3</v>
      </c>
      <c r="M5231">
        <v>0</v>
      </c>
      <c r="N5231">
        <v>2</v>
      </c>
      <c r="O5231">
        <v>1</v>
      </c>
      <c r="P5231">
        <v>0</v>
      </c>
      <c r="Q5231">
        <v>0</v>
      </c>
      <c r="S5231" t="str">
        <f t="shared" si="2412"/>
        <v>14:50:52.602</v>
      </c>
      <c r="T5231" t="str">
        <f t="shared" si="2412"/>
        <v>14:50:52.602</v>
      </c>
      <c r="U5231" t="str">
        <f t="shared" si="2393"/>
        <v>A9808D</v>
      </c>
      <c r="V5231">
        <v>0</v>
      </c>
      <c r="W5231">
        <v>0</v>
      </c>
      <c r="X5231">
        <v>1</v>
      </c>
      <c r="Z5231">
        <v>0</v>
      </c>
      <c r="AA5231">
        <v>9</v>
      </c>
      <c r="AB5231">
        <v>3</v>
      </c>
      <c r="AC5231">
        <v>0</v>
      </c>
      <c r="AD5231">
        <v>10</v>
      </c>
      <c r="AE5231">
        <v>0</v>
      </c>
      <c r="AF5231">
        <v>3</v>
      </c>
      <c r="AG5231">
        <v>2</v>
      </c>
      <c r="AH5231">
        <v>0</v>
      </c>
      <c r="AI5231" t="s">
        <v>1157</v>
      </c>
      <c r="AJ5231">
        <v>28.228769</v>
      </c>
      <c r="AK5231" t="s">
        <v>1158</v>
      </c>
      <c r="AL5231">
        <v>-82.380831000000001</v>
      </c>
      <c r="AM5231">
        <v>100</v>
      </c>
      <c r="AN5231">
        <v>1800</v>
      </c>
      <c r="AO5231" t="s">
        <v>118</v>
      </c>
      <c r="AP5231">
        <v>-109</v>
      </c>
      <c r="AQ5231">
        <v>-51</v>
      </c>
      <c r="AR5231">
        <v>-960</v>
      </c>
      <c r="AZ5231">
        <v>1200</v>
      </c>
      <c r="BA5231">
        <v>1</v>
      </c>
      <c r="BB5231" t="str">
        <f t="shared" si="2402"/>
        <v xml:space="preserve">N711JA  </v>
      </c>
      <c r="BC5231">
        <v>1</v>
      </c>
      <c r="BE5231">
        <v>0</v>
      </c>
      <c r="BF5231">
        <v>0</v>
      </c>
      <c r="BG5231">
        <v>0</v>
      </c>
      <c r="BH5231">
        <v>1850</v>
      </c>
      <c r="BI5231">
        <v>1</v>
      </c>
      <c r="BJ5231">
        <v>1</v>
      </c>
      <c r="BK5231">
        <v>0</v>
      </c>
      <c r="BL5231">
        <v>0</v>
      </c>
      <c r="BO5231">
        <v>0</v>
      </c>
      <c r="BP5231">
        <v>0</v>
      </c>
      <c r="BW5231" t="str">
        <f t="shared" si="2413"/>
        <v>14:50:52.603</v>
      </c>
      <c r="CJ5231">
        <v>0</v>
      </c>
      <c r="CK5231">
        <v>2</v>
      </c>
      <c r="CL5231">
        <v>0</v>
      </c>
      <c r="CM5231">
        <v>2</v>
      </c>
      <c r="CN5231">
        <v>0</v>
      </c>
      <c r="CO5231">
        <v>7</v>
      </c>
      <c r="CP5231" t="s">
        <v>119</v>
      </c>
      <c r="CQ5231">
        <v>343</v>
      </c>
      <c r="CR5231">
        <v>1</v>
      </c>
      <c r="CW5231">
        <v>11125950</v>
      </c>
      <c r="CY5231">
        <v>1</v>
      </c>
      <c r="CZ5231">
        <v>0</v>
      </c>
      <c r="DA5231">
        <v>1</v>
      </c>
      <c r="DB5231">
        <v>0</v>
      </c>
      <c r="DC5231">
        <v>0</v>
      </c>
      <c r="DD5231">
        <v>1</v>
      </c>
      <c r="DE5231">
        <v>0</v>
      </c>
      <c r="DF5231">
        <v>0</v>
      </c>
      <c r="DG5231">
        <v>0</v>
      </c>
      <c r="DH5231">
        <v>0</v>
      </c>
      <c r="DI5231">
        <v>0</v>
      </c>
    </row>
    <row r="5232" spans="1:113" x14ac:dyDescent="0.3">
      <c r="A5232" t="str">
        <f t="shared" si="2411"/>
        <v>05/12/2020 14:50:34.760</v>
      </c>
      <c r="C5232" t="str">
        <f t="shared" si="2401"/>
        <v>FFDFD3C0</v>
      </c>
      <c r="D5232" t="s">
        <v>113</v>
      </c>
      <c r="E5232">
        <v>3</v>
      </c>
      <c r="H5232">
        <v>164</v>
      </c>
      <c r="I5232" t="s">
        <v>114</v>
      </c>
      <c r="J5232" t="s">
        <v>115</v>
      </c>
      <c r="K5232">
        <v>0</v>
      </c>
      <c r="L5232">
        <v>3</v>
      </c>
      <c r="M5232">
        <v>0</v>
      </c>
      <c r="N5232">
        <v>2</v>
      </c>
      <c r="O5232">
        <v>1</v>
      </c>
      <c r="P5232">
        <v>0</v>
      </c>
      <c r="Q5232">
        <v>0</v>
      </c>
      <c r="S5232" t="str">
        <f t="shared" si="2412"/>
        <v>14:50:52.602</v>
      </c>
      <c r="T5232" t="str">
        <f t="shared" si="2412"/>
        <v>14:50:52.602</v>
      </c>
      <c r="U5232" t="str">
        <f t="shared" si="2393"/>
        <v>A9808D</v>
      </c>
      <c r="V5232">
        <v>0</v>
      </c>
      <c r="W5232">
        <v>0</v>
      </c>
      <c r="X5232">
        <v>1</v>
      </c>
      <c r="Z5232">
        <v>0</v>
      </c>
      <c r="AA5232">
        <v>9</v>
      </c>
      <c r="AB5232">
        <v>3</v>
      </c>
      <c r="AC5232">
        <v>0</v>
      </c>
      <c r="AD5232">
        <v>10</v>
      </c>
      <c r="AE5232">
        <v>0</v>
      </c>
      <c r="AF5232">
        <v>3</v>
      </c>
      <c r="AG5232">
        <v>2</v>
      </c>
      <c r="AH5232">
        <v>0</v>
      </c>
      <c r="AI5232" t="s">
        <v>1157</v>
      </c>
      <c r="AJ5232">
        <v>28.228769</v>
      </c>
      <c r="AK5232" t="s">
        <v>1158</v>
      </c>
      <c r="AL5232">
        <v>-82.380831000000001</v>
      </c>
      <c r="AM5232">
        <v>100</v>
      </c>
      <c r="AN5232">
        <v>1800</v>
      </c>
      <c r="AO5232" t="s">
        <v>118</v>
      </c>
      <c r="AP5232">
        <v>-109</v>
      </c>
      <c r="AQ5232">
        <v>-51</v>
      </c>
      <c r="AR5232">
        <v>-960</v>
      </c>
      <c r="AZ5232">
        <v>1200</v>
      </c>
      <c r="BA5232">
        <v>1</v>
      </c>
      <c r="BB5232" t="str">
        <f t="shared" si="2402"/>
        <v xml:space="preserve">N711JA  </v>
      </c>
      <c r="BC5232">
        <v>1</v>
      </c>
      <c r="BE5232">
        <v>0</v>
      </c>
      <c r="BF5232">
        <v>0</v>
      </c>
      <c r="BG5232">
        <v>0</v>
      </c>
      <c r="BH5232">
        <v>1850</v>
      </c>
      <c r="BI5232">
        <v>1</v>
      </c>
      <c r="BJ5232">
        <v>1</v>
      </c>
      <c r="BK5232">
        <v>0</v>
      </c>
      <c r="BL5232">
        <v>0</v>
      </c>
      <c r="BO5232">
        <v>0</v>
      </c>
      <c r="BP5232">
        <v>0</v>
      </c>
      <c r="BW5232" t="str">
        <f t="shared" si="2413"/>
        <v>14:50:52.603</v>
      </c>
      <c r="CJ5232">
        <v>0</v>
      </c>
      <c r="CK5232">
        <v>2</v>
      </c>
      <c r="CL5232">
        <v>0</v>
      </c>
      <c r="CM5232">
        <v>2</v>
      </c>
      <c r="CN5232">
        <v>0</v>
      </c>
      <c r="CO5232">
        <v>7</v>
      </c>
      <c r="CP5232" t="s">
        <v>119</v>
      </c>
      <c r="CQ5232">
        <v>343</v>
      </c>
      <c r="CR5232">
        <v>1</v>
      </c>
      <c r="CW5232">
        <v>11125950</v>
      </c>
      <c r="CY5232">
        <v>1</v>
      </c>
      <c r="CZ5232">
        <v>0</v>
      </c>
      <c r="DA5232">
        <v>1</v>
      </c>
      <c r="DB5232">
        <v>0</v>
      </c>
      <c r="DC5232">
        <v>0</v>
      </c>
      <c r="DD5232">
        <v>1</v>
      </c>
      <c r="DE5232">
        <v>0</v>
      </c>
      <c r="DF5232">
        <v>0</v>
      </c>
      <c r="DG5232">
        <v>0</v>
      </c>
      <c r="DH5232">
        <v>0</v>
      </c>
      <c r="DI5232">
        <v>0</v>
      </c>
    </row>
    <row r="5233" spans="1:113" x14ac:dyDescent="0.3">
      <c r="A5233" t="str">
        <f t="shared" ref="A5233:A5240" si="2414">"05/12/2020 14:50:35.867"</f>
        <v>05/12/2020 14:50:35.867</v>
      </c>
      <c r="C5233" t="str">
        <f t="shared" si="2401"/>
        <v>FFDFD3C0</v>
      </c>
      <c r="D5233" t="s">
        <v>131</v>
      </c>
      <c r="E5233">
        <v>12</v>
      </c>
      <c r="F5233">
        <v>2012</v>
      </c>
      <c r="G5233" t="s">
        <v>137</v>
      </c>
      <c r="J5233" t="s">
        <v>133</v>
      </c>
      <c r="K5233">
        <v>0</v>
      </c>
      <c r="L5233">
        <v>3</v>
      </c>
      <c r="M5233">
        <v>0</v>
      </c>
      <c r="N5233">
        <v>2</v>
      </c>
      <c r="O5233">
        <v>1</v>
      </c>
      <c r="P5233">
        <v>0</v>
      </c>
      <c r="Q5233">
        <v>0</v>
      </c>
      <c r="S5233" t="str">
        <f t="shared" ref="S5233:S5240" si="2415">"14:50:53.703"</f>
        <v>14:50:53.703</v>
      </c>
      <c r="T5233" t="str">
        <f t="shared" ref="T5233:T5240" si="2416">"14:50:53.203"</f>
        <v>14:50:53.203</v>
      </c>
      <c r="U5233" t="str">
        <f t="shared" si="2393"/>
        <v>A9808D</v>
      </c>
      <c r="V5233">
        <v>0</v>
      </c>
      <c r="W5233">
        <v>0</v>
      </c>
      <c r="X5233">
        <v>1</v>
      </c>
      <c r="Z5233">
        <v>0</v>
      </c>
      <c r="AA5233">
        <v>9</v>
      </c>
      <c r="AB5233">
        <v>3</v>
      </c>
      <c r="AC5233">
        <v>0</v>
      </c>
      <c r="AD5233">
        <v>10</v>
      </c>
      <c r="AE5233">
        <v>0</v>
      </c>
      <c r="AF5233">
        <v>3</v>
      </c>
      <c r="AG5233">
        <v>2</v>
      </c>
      <c r="AH5233">
        <v>0</v>
      </c>
      <c r="AI5233" t="s">
        <v>1159</v>
      </c>
      <c r="AJ5233">
        <v>28.228532999999999</v>
      </c>
      <c r="AK5233" t="s">
        <v>250</v>
      </c>
      <c r="AL5233">
        <v>-82.381474999999995</v>
      </c>
      <c r="AM5233">
        <v>100</v>
      </c>
      <c r="AN5233">
        <v>1800</v>
      </c>
      <c r="AO5233" t="s">
        <v>118</v>
      </c>
      <c r="AP5233">
        <v>-109</v>
      </c>
      <c r="AQ5233">
        <v>-51</v>
      </c>
      <c r="AR5233">
        <v>-896</v>
      </c>
      <c r="AZ5233">
        <v>1200</v>
      </c>
      <c r="BA5233">
        <v>1</v>
      </c>
      <c r="BB5233" t="str">
        <f t="shared" si="2402"/>
        <v xml:space="preserve">N711JA  </v>
      </c>
      <c r="BC5233">
        <v>1</v>
      </c>
      <c r="BE5233">
        <v>0</v>
      </c>
      <c r="BF5233">
        <v>0</v>
      </c>
      <c r="BG5233">
        <v>0</v>
      </c>
      <c r="BH5233">
        <v>1850</v>
      </c>
      <c r="BI5233">
        <v>1</v>
      </c>
      <c r="BJ5233">
        <v>1</v>
      </c>
      <c r="BK5233">
        <v>0</v>
      </c>
      <c r="BL5233">
        <v>0</v>
      </c>
      <c r="BO5233">
        <v>0</v>
      </c>
      <c r="BP5233">
        <v>0</v>
      </c>
      <c r="BW5233" t="str">
        <f t="shared" ref="BW5233:BW5240" si="2417">"14:50:53.703"</f>
        <v>14:50:53.703</v>
      </c>
      <c r="CJ5233">
        <v>0</v>
      </c>
      <c r="CK5233">
        <v>2</v>
      </c>
      <c r="CL5233">
        <v>0</v>
      </c>
      <c r="CM5233">
        <v>2</v>
      </c>
      <c r="CN5233">
        <v>0</v>
      </c>
      <c r="CO5233">
        <v>7</v>
      </c>
      <c r="CP5233" t="s">
        <v>119</v>
      </c>
      <c r="CQ5233">
        <v>343</v>
      </c>
      <c r="CR5233">
        <v>2</v>
      </c>
      <c r="CW5233">
        <v>13388263</v>
      </c>
      <c r="CY5233">
        <v>1</v>
      </c>
      <c r="CZ5233">
        <v>0</v>
      </c>
      <c r="DA5233">
        <v>0</v>
      </c>
      <c r="DB5233">
        <v>0</v>
      </c>
      <c r="DC5233">
        <v>0</v>
      </c>
      <c r="DD5233">
        <v>1</v>
      </c>
      <c r="DE5233">
        <v>0</v>
      </c>
      <c r="DF5233">
        <v>0</v>
      </c>
      <c r="DG5233">
        <v>0</v>
      </c>
      <c r="DH5233">
        <v>0</v>
      </c>
      <c r="DI5233">
        <v>0</v>
      </c>
    </row>
    <row r="5234" spans="1:113" x14ac:dyDescent="0.3">
      <c r="A5234" t="str">
        <f t="shared" si="2414"/>
        <v>05/12/2020 14:50:35.867</v>
      </c>
      <c r="C5234" t="str">
        <f t="shared" si="2401"/>
        <v>FFDFD3C0</v>
      </c>
      <c r="D5234" t="s">
        <v>113</v>
      </c>
      <c r="E5234">
        <v>3</v>
      </c>
      <c r="H5234">
        <v>164</v>
      </c>
      <c r="I5234" t="s">
        <v>114</v>
      </c>
      <c r="J5234" t="s">
        <v>115</v>
      </c>
      <c r="K5234">
        <v>0</v>
      </c>
      <c r="L5234">
        <v>3</v>
      </c>
      <c r="M5234">
        <v>0</v>
      </c>
      <c r="N5234">
        <v>2</v>
      </c>
      <c r="O5234">
        <v>1</v>
      </c>
      <c r="P5234">
        <v>0</v>
      </c>
      <c r="Q5234">
        <v>0</v>
      </c>
      <c r="S5234" t="str">
        <f t="shared" si="2415"/>
        <v>14:50:53.703</v>
      </c>
      <c r="T5234" t="str">
        <f t="shared" si="2416"/>
        <v>14:50:53.203</v>
      </c>
      <c r="U5234" t="str">
        <f t="shared" si="2393"/>
        <v>A9808D</v>
      </c>
      <c r="V5234">
        <v>0</v>
      </c>
      <c r="W5234">
        <v>0</v>
      </c>
      <c r="X5234">
        <v>1</v>
      </c>
      <c r="Z5234">
        <v>0</v>
      </c>
      <c r="AA5234">
        <v>9</v>
      </c>
      <c r="AB5234">
        <v>3</v>
      </c>
      <c r="AC5234">
        <v>0</v>
      </c>
      <c r="AD5234">
        <v>10</v>
      </c>
      <c r="AE5234">
        <v>0</v>
      </c>
      <c r="AF5234">
        <v>3</v>
      </c>
      <c r="AG5234">
        <v>2</v>
      </c>
      <c r="AH5234">
        <v>0</v>
      </c>
      <c r="AI5234" t="s">
        <v>1159</v>
      </c>
      <c r="AJ5234">
        <v>28.228532999999999</v>
      </c>
      <c r="AK5234" t="s">
        <v>250</v>
      </c>
      <c r="AL5234">
        <v>-82.381474999999995</v>
      </c>
      <c r="AM5234">
        <v>100</v>
      </c>
      <c r="AN5234">
        <v>1800</v>
      </c>
      <c r="AO5234" t="s">
        <v>118</v>
      </c>
      <c r="AP5234">
        <v>-109</v>
      </c>
      <c r="AQ5234">
        <v>-51</v>
      </c>
      <c r="AR5234">
        <v>-896</v>
      </c>
      <c r="AZ5234">
        <v>1200</v>
      </c>
      <c r="BA5234">
        <v>1</v>
      </c>
      <c r="BB5234" t="str">
        <f t="shared" si="2402"/>
        <v xml:space="preserve">N711JA  </v>
      </c>
      <c r="BC5234">
        <v>1</v>
      </c>
      <c r="BE5234">
        <v>0</v>
      </c>
      <c r="BF5234">
        <v>0</v>
      </c>
      <c r="BG5234">
        <v>0</v>
      </c>
      <c r="BH5234">
        <v>1850</v>
      </c>
      <c r="BI5234">
        <v>1</v>
      </c>
      <c r="BJ5234">
        <v>1</v>
      </c>
      <c r="BK5234">
        <v>0</v>
      </c>
      <c r="BL5234">
        <v>0</v>
      </c>
      <c r="BO5234">
        <v>0</v>
      </c>
      <c r="BP5234">
        <v>0</v>
      </c>
      <c r="BW5234" t="str">
        <f t="shared" si="2417"/>
        <v>14:50:53.703</v>
      </c>
      <c r="CJ5234">
        <v>0</v>
      </c>
      <c r="CK5234">
        <v>2</v>
      </c>
      <c r="CL5234">
        <v>0</v>
      </c>
      <c r="CM5234">
        <v>2</v>
      </c>
      <c r="CN5234">
        <v>0</v>
      </c>
      <c r="CO5234">
        <v>7</v>
      </c>
      <c r="CP5234" t="s">
        <v>119</v>
      </c>
      <c r="CQ5234">
        <v>343</v>
      </c>
      <c r="CR5234">
        <v>2</v>
      </c>
      <c r="CW5234">
        <v>13388263</v>
      </c>
      <c r="CY5234">
        <v>1</v>
      </c>
      <c r="CZ5234">
        <v>0</v>
      </c>
      <c r="DA5234">
        <v>1</v>
      </c>
      <c r="DB5234">
        <v>0</v>
      </c>
      <c r="DC5234">
        <v>0</v>
      </c>
      <c r="DD5234">
        <v>1</v>
      </c>
      <c r="DE5234">
        <v>0</v>
      </c>
      <c r="DF5234">
        <v>0</v>
      </c>
      <c r="DG5234">
        <v>0</v>
      </c>
      <c r="DH5234">
        <v>0</v>
      </c>
      <c r="DI5234">
        <v>0</v>
      </c>
    </row>
    <row r="5235" spans="1:113" x14ac:dyDescent="0.3">
      <c r="A5235" t="str">
        <f t="shared" si="2414"/>
        <v>05/12/2020 14:50:35.867</v>
      </c>
      <c r="C5235" t="str">
        <f t="shared" si="2401"/>
        <v>FFDFD3C0</v>
      </c>
      <c r="D5235" t="s">
        <v>138</v>
      </c>
      <c r="E5235">
        <v>2</v>
      </c>
      <c r="H5235">
        <v>8</v>
      </c>
      <c r="I5235" t="s">
        <v>139</v>
      </c>
      <c r="J5235" t="s">
        <v>136</v>
      </c>
      <c r="K5235">
        <v>0</v>
      </c>
      <c r="L5235">
        <v>3</v>
      </c>
      <c r="M5235">
        <v>0</v>
      </c>
      <c r="N5235">
        <v>2</v>
      </c>
      <c r="O5235">
        <v>1</v>
      </c>
      <c r="P5235">
        <v>0</v>
      </c>
      <c r="Q5235">
        <v>0</v>
      </c>
      <c r="S5235" t="str">
        <f t="shared" si="2415"/>
        <v>14:50:53.703</v>
      </c>
      <c r="T5235" t="str">
        <f t="shared" si="2416"/>
        <v>14:50:53.203</v>
      </c>
      <c r="U5235" t="str">
        <f t="shared" si="2393"/>
        <v>A9808D</v>
      </c>
      <c r="V5235">
        <v>0</v>
      </c>
      <c r="W5235">
        <v>0</v>
      </c>
      <c r="X5235">
        <v>1</v>
      </c>
      <c r="Z5235">
        <v>0</v>
      </c>
      <c r="AA5235">
        <v>9</v>
      </c>
      <c r="AB5235">
        <v>3</v>
      </c>
      <c r="AC5235">
        <v>0</v>
      </c>
      <c r="AD5235">
        <v>10</v>
      </c>
      <c r="AE5235">
        <v>0</v>
      </c>
      <c r="AF5235">
        <v>3</v>
      </c>
      <c r="AG5235">
        <v>2</v>
      </c>
      <c r="AH5235">
        <v>0</v>
      </c>
      <c r="AI5235" t="s">
        <v>1159</v>
      </c>
      <c r="AJ5235">
        <v>28.228532999999999</v>
      </c>
      <c r="AK5235" t="s">
        <v>250</v>
      </c>
      <c r="AL5235">
        <v>-82.381474999999995</v>
      </c>
      <c r="AM5235">
        <v>100</v>
      </c>
      <c r="AN5235">
        <v>1800</v>
      </c>
      <c r="AO5235" t="s">
        <v>118</v>
      </c>
      <c r="AP5235">
        <v>-109</v>
      </c>
      <c r="AQ5235">
        <v>-51</v>
      </c>
      <c r="AR5235">
        <v>-896</v>
      </c>
      <c r="AZ5235">
        <v>1200</v>
      </c>
      <c r="BA5235">
        <v>1</v>
      </c>
      <c r="BB5235" t="str">
        <f t="shared" si="2402"/>
        <v xml:space="preserve">N711JA  </v>
      </c>
      <c r="BC5235">
        <v>1</v>
      </c>
      <c r="BE5235">
        <v>0</v>
      </c>
      <c r="BF5235">
        <v>0</v>
      </c>
      <c r="BG5235">
        <v>0</v>
      </c>
      <c r="BH5235">
        <v>1850</v>
      </c>
      <c r="BI5235">
        <v>1</v>
      </c>
      <c r="BJ5235">
        <v>1</v>
      </c>
      <c r="BK5235">
        <v>0</v>
      </c>
      <c r="BL5235">
        <v>0</v>
      </c>
      <c r="BO5235">
        <v>0</v>
      </c>
      <c r="BP5235">
        <v>0</v>
      </c>
      <c r="BW5235" t="str">
        <f t="shared" si="2417"/>
        <v>14:50:53.703</v>
      </c>
      <c r="CJ5235">
        <v>0</v>
      </c>
      <c r="CK5235">
        <v>2</v>
      </c>
      <c r="CL5235">
        <v>0</v>
      </c>
      <c r="CM5235">
        <v>2</v>
      </c>
      <c r="CN5235">
        <v>0</v>
      </c>
      <c r="CO5235">
        <v>7</v>
      </c>
      <c r="CP5235" t="s">
        <v>119</v>
      </c>
      <c r="CQ5235">
        <v>343</v>
      </c>
      <c r="CR5235">
        <v>2</v>
      </c>
      <c r="CW5235">
        <v>13388263</v>
      </c>
      <c r="CY5235">
        <v>1</v>
      </c>
      <c r="CZ5235">
        <v>0</v>
      </c>
      <c r="DA5235">
        <v>1</v>
      </c>
      <c r="DB5235">
        <v>0</v>
      </c>
      <c r="DC5235">
        <v>0</v>
      </c>
      <c r="DD5235">
        <v>1</v>
      </c>
      <c r="DE5235">
        <v>0</v>
      </c>
      <c r="DF5235">
        <v>0</v>
      </c>
      <c r="DG5235">
        <v>0</v>
      </c>
      <c r="DH5235">
        <v>0</v>
      </c>
      <c r="DI5235">
        <v>0</v>
      </c>
    </row>
    <row r="5236" spans="1:113" x14ac:dyDescent="0.3">
      <c r="A5236" t="str">
        <f t="shared" si="2414"/>
        <v>05/12/2020 14:50:35.867</v>
      </c>
      <c r="C5236" t="str">
        <f t="shared" si="2401"/>
        <v>FFDFD3C0</v>
      </c>
      <c r="D5236" t="s">
        <v>138</v>
      </c>
      <c r="E5236">
        <v>3</v>
      </c>
      <c r="H5236">
        <v>9</v>
      </c>
      <c r="I5236" t="s">
        <v>140</v>
      </c>
      <c r="J5236" t="s">
        <v>136</v>
      </c>
      <c r="K5236">
        <v>0</v>
      </c>
      <c r="L5236">
        <v>3</v>
      </c>
      <c r="M5236">
        <v>0</v>
      </c>
      <c r="N5236">
        <v>2</v>
      </c>
      <c r="O5236">
        <v>1</v>
      </c>
      <c r="P5236">
        <v>0</v>
      </c>
      <c r="Q5236">
        <v>0</v>
      </c>
      <c r="S5236" t="str">
        <f t="shared" si="2415"/>
        <v>14:50:53.703</v>
      </c>
      <c r="T5236" t="str">
        <f t="shared" si="2416"/>
        <v>14:50:53.203</v>
      </c>
      <c r="U5236" t="str">
        <f t="shared" si="2393"/>
        <v>A9808D</v>
      </c>
      <c r="V5236">
        <v>0</v>
      </c>
      <c r="W5236">
        <v>0</v>
      </c>
      <c r="X5236">
        <v>1</v>
      </c>
      <c r="Z5236">
        <v>0</v>
      </c>
      <c r="AA5236">
        <v>9</v>
      </c>
      <c r="AB5236">
        <v>3</v>
      </c>
      <c r="AC5236">
        <v>0</v>
      </c>
      <c r="AD5236">
        <v>10</v>
      </c>
      <c r="AE5236">
        <v>0</v>
      </c>
      <c r="AF5236">
        <v>3</v>
      </c>
      <c r="AG5236">
        <v>2</v>
      </c>
      <c r="AH5236">
        <v>0</v>
      </c>
      <c r="AI5236" t="s">
        <v>1159</v>
      </c>
      <c r="AJ5236">
        <v>28.228532999999999</v>
      </c>
      <c r="AK5236" t="s">
        <v>250</v>
      </c>
      <c r="AL5236">
        <v>-82.381474999999995</v>
      </c>
      <c r="AM5236">
        <v>100</v>
      </c>
      <c r="AN5236">
        <v>1800</v>
      </c>
      <c r="AO5236" t="s">
        <v>118</v>
      </c>
      <c r="AP5236">
        <v>-109</v>
      </c>
      <c r="AQ5236">
        <v>-51</v>
      </c>
      <c r="AR5236">
        <v>-896</v>
      </c>
      <c r="AZ5236">
        <v>1200</v>
      </c>
      <c r="BA5236">
        <v>1</v>
      </c>
      <c r="BB5236" t="str">
        <f t="shared" si="2402"/>
        <v xml:space="preserve">N711JA  </v>
      </c>
      <c r="BC5236">
        <v>1</v>
      </c>
      <c r="BE5236">
        <v>0</v>
      </c>
      <c r="BF5236">
        <v>0</v>
      </c>
      <c r="BG5236">
        <v>0</v>
      </c>
      <c r="BH5236">
        <v>1850</v>
      </c>
      <c r="BI5236">
        <v>1</v>
      </c>
      <c r="BJ5236">
        <v>1</v>
      </c>
      <c r="BK5236">
        <v>0</v>
      </c>
      <c r="BL5236">
        <v>0</v>
      </c>
      <c r="BO5236">
        <v>0</v>
      </c>
      <c r="BP5236">
        <v>0</v>
      </c>
      <c r="BW5236" t="str">
        <f t="shared" si="2417"/>
        <v>14:50:53.703</v>
      </c>
      <c r="CJ5236">
        <v>0</v>
      </c>
      <c r="CK5236">
        <v>2</v>
      </c>
      <c r="CL5236">
        <v>0</v>
      </c>
      <c r="CM5236">
        <v>2</v>
      </c>
      <c r="CN5236">
        <v>0</v>
      </c>
      <c r="CO5236">
        <v>7</v>
      </c>
      <c r="CP5236" t="s">
        <v>119</v>
      </c>
      <c r="CQ5236">
        <v>343</v>
      </c>
      <c r="CR5236">
        <v>2</v>
      </c>
      <c r="CW5236">
        <v>13388263</v>
      </c>
      <c r="CY5236">
        <v>1</v>
      </c>
      <c r="CZ5236">
        <v>0</v>
      </c>
      <c r="DA5236">
        <v>1</v>
      </c>
      <c r="DB5236">
        <v>0</v>
      </c>
      <c r="DC5236">
        <v>0</v>
      </c>
      <c r="DD5236">
        <v>1</v>
      </c>
      <c r="DE5236">
        <v>0</v>
      </c>
      <c r="DF5236">
        <v>0</v>
      </c>
      <c r="DG5236">
        <v>0</v>
      </c>
      <c r="DH5236">
        <v>0</v>
      </c>
      <c r="DI5236">
        <v>0</v>
      </c>
    </row>
    <row r="5237" spans="1:113" x14ac:dyDescent="0.3">
      <c r="A5237" t="str">
        <f t="shared" si="2414"/>
        <v>05/12/2020 14:50:35.867</v>
      </c>
      <c r="C5237" t="str">
        <f t="shared" si="2401"/>
        <v>FFDFD3C0</v>
      </c>
      <c r="D5237" t="s">
        <v>134</v>
      </c>
      <c r="E5237">
        <v>12</v>
      </c>
      <c r="H5237">
        <v>64</v>
      </c>
      <c r="I5237" t="s">
        <v>135</v>
      </c>
      <c r="J5237" t="s">
        <v>136</v>
      </c>
      <c r="K5237">
        <v>0</v>
      </c>
      <c r="L5237">
        <v>3</v>
      </c>
      <c r="M5237">
        <v>0</v>
      </c>
      <c r="N5237">
        <v>2</v>
      </c>
      <c r="O5237">
        <v>1</v>
      </c>
      <c r="P5237">
        <v>0</v>
      </c>
      <c r="Q5237">
        <v>0</v>
      </c>
      <c r="S5237" t="str">
        <f t="shared" si="2415"/>
        <v>14:50:53.703</v>
      </c>
      <c r="T5237" t="str">
        <f t="shared" si="2416"/>
        <v>14:50:53.203</v>
      </c>
      <c r="U5237" t="str">
        <f t="shared" si="2393"/>
        <v>A9808D</v>
      </c>
      <c r="V5237">
        <v>0</v>
      </c>
      <c r="W5237">
        <v>0</v>
      </c>
      <c r="X5237">
        <v>1</v>
      </c>
      <c r="Z5237">
        <v>0</v>
      </c>
      <c r="AA5237">
        <v>9</v>
      </c>
      <c r="AB5237">
        <v>3</v>
      </c>
      <c r="AC5237">
        <v>0</v>
      </c>
      <c r="AD5237">
        <v>10</v>
      </c>
      <c r="AE5237">
        <v>0</v>
      </c>
      <c r="AF5237">
        <v>3</v>
      </c>
      <c r="AG5237">
        <v>2</v>
      </c>
      <c r="AH5237">
        <v>0</v>
      </c>
      <c r="AI5237" t="s">
        <v>1159</v>
      </c>
      <c r="AJ5237">
        <v>28.228532999999999</v>
      </c>
      <c r="AK5237" t="s">
        <v>250</v>
      </c>
      <c r="AL5237">
        <v>-82.381474999999995</v>
      </c>
      <c r="AM5237">
        <v>100</v>
      </c>
      <c r="AN5237">
        <v>1800</v>
      </c>
      <c r="AO5237" t="s">
        <v>118</v>
      </c>
      <c r="AP5237">
        <v>-109</v>
      </c>
      <c r="AQ5237">
        <v>-51</v>
      </c>
      <c r="AR5237">
        <v>-896</v>
      </c>
      <c r="AZ5237">
        <v>1200</v>
      </c>
      <c r="BA5237">
        <v>1</v>
      </c>
      <c r="BB5237" t="str">
        <f t="shared" si="2402"/>
        <v xml:space="preserve">N711JA  </v>
      </c>
      <c r="BC5237">
        <v>1</v>
      </c>
      <c r="BE5237">
        <v>0</v>
      </c>
      <c r="BF5237">
        <v>0</v>
      </c>
      <c r="BG5237">
        <v>0</v>
      </c>
      <c r="BH5237">
        <v>1850</v>
      </c>
      <c r="BI5237">
        <v>1</v>
      </c>
      <c r="BJ5237">
        <v>1</v>
      </c>
      <c r="BK5237">
        <v>0</v>
      </c>
      <c r="BL5237">
        <v>0</v>
      </c>
      <c r="BO5237">
        <v>0</v>
      </c>
      <c r="BP5237">
        <v>0</v>
      </c>
      <c r="BW5237" t="str">
        <f t="shared" si="2417"/>
        <v>14:50:53.703</v>
      </c>
      <c r="CJ5237">
        <v>0</v>
      </c>
      <c r="CK5237">
        <v>2</v>
      </c>
      <c r="CL5237">
        <v>0</v>
      </c>
      <c r="CM5237">
        <v>2</v>
      </c>
      <c r="CN5237">
        <v>0</v>
      </c>
      <c r="CO5237">
        <v>7</v>
      </c>
      <c r="CP5237" t="s">
        <v>119</v>
      </c>
      <c r="CQ5237">
        <v>343</v>
      </c>
      <c r="CR5237">
        <v>2</v>
      </c>
      <c r="CW5237">
        <v>13388263</v>
      </c>
      <c r="CY5237">
        <v>1</v>
      </c>
      <c r="CZ5237">
        <v>0</v>
      </c>
      <c r="DA5237">
        <v>1</v>
      </c>
      <c r="DB5237">
        <v>0</v>
      </c>
      <c r="DC5237">
        <v>0</v>
      </c>
      <c r="DD5237">
        <v>1</v>
      </c>
      <c r="DE5237">
        <v>0</v>
      </c>
      <c r="DF5237">
        <v>0</v>
      </c>
      <c r="DG5237">
        <v>0</v>
      </c>
      <c r="DH5237">
        <v>0</v>
      </c>
      <c r="DI5237">
        <v>0</v>
      </c>
    </row>
    <row r="5238" spans="1:113" x14ac:dyDescent="0.3">
      <c r="A5238" t="str">
        <f t="shared" si="2414"/>
        <v>05/12/2020 14:50:35.867</v>
      </c>
      <c r="C5238" t="str">
        <f t="shared" si="2401"/>
        <v>FFDFD3C0</v>
      </c>
      <c r="D5238" t="s">
        <v>126</v>
      </c>
      <c r="E5238">
        <v>6</v>
      </c>
      <c r="F5238">
        <v>1006</v>
      </c>
      <c r="G5238" t="s">
        <v>114</v>
      </c>
      <c r="J5238" t="s">
        <v>128</v>
      </c>
      <c r="K5238">
        <v>0</v>
      </c>
      <c r="L5238">
        <v>3</v>
      </c>
      <c r="M5238">
        <v>0</v>
      </c>
      <c r="N5238">
        <v>2</v>
      </c>
      <c r="O5238">
        <v>1</v>
      </c>
      <c r="P5238">
        <v>0</v>
      </c>
      <c r="Q5238">
        <v>0</v>
      </c>
      <c r="S5238" t="str">
        <f t="shared" si="2415"/>
        <v>14:50:53.703</v>
      </c>
      <c r="T5238" t="str">
        <f t="shared" si="2416"/>
        <v>14:50:53.203</v>
      </c>
      <c r="U5238" t="str">
        <f t="shared" si="2393"/>
        <v>A9808D</v>
      </c>
      <c r="V5238">
        <v>0</v>
      </c>
      <c r="W5238">
        <v>0</v>
      </c>
      <c r="X5238">
        <v>1</v>
      </c>
      <c r="Z5238">
        <v>0</v>
      </c>
      <c r="AA5238">
        <v>9</v>
      </c>
      <c r="AB5238">
        <v>3</v>
      </c>
      <c r="AC5238">
        <v>0</v>
      </c>
      <c r="AD5238">
        <v>10</v>
      </c>
      <c r="AE5238">
        <v>0</v>
      </c>
      <c r="AF5238">
        <v>3</v>
      </c>
      <c r="AG5238">
        <v>2</v>
      </c>
      <c r="AH5238">
        <v>0</v>
      </c>
      <c r="AI5238" t="s">
        <v>1159</v>
      </c>
      <c r="AJ5238">
        <v>28.228532999999999</v>
      </c>
      <c r="AK5238" t="s">
        <v>250</v>
      </c>
      <c r="AL5238">
        <v>-82.381474999999995</v>
      </c>
      <c r="AM5238">
        <v>100</v>
      </c>
      <c r="AN5238">
        <v>1800</v>
      </c>
      <c r="AO5238" t="s">
        <v>118</v>
      </c>
      <c r="AP5238">
        <v>-109</v>
      </c>
      <c r="AQ5238">
        <v>-51</v>
      </c>
      <c r="AR5238">
        <v>-896</v>
      </c>
      <c r="AZ5238">
        <v>1200</v>
      </c>
      <c r="BA5238">
        <v>1</v>
      </c>
      <c r="BB5238" t="str">
        <f t="shared" si="2402"/>
        <v xml:space="preserve">N711JA  </v>
      </c>
      <c r="BC5238">
        <v>1</v>
      </c>
      <c r="BE5238">
        <v>0</v>
      </c>
      <c r="BF5238">
        <v>0</v>
      </c>
      <c r="BG5238">
        <v>0</v>
      </c>
      <c r="BH5238">
        <v>1850</v>
      </c>
      <c r="BI5238">
        <v>1</v>
      </c>
      <c r="BJ5238">
        <v>1</v>
      </c>
      <c r="BK5238">
        <v>0</v>
      </c>
      <c r="BL5238">
        <v>0</v>
      </c>
      <c r="BO5238">
        <v>0</v>
      </c>
      <c r="BP5238">
        <v>0</v>
      </c>
      <c r="BW5238" t="str">
        <f t="shared" si="2417"/>
        <v>14:50:53.703</v>
      </c>
      <c r="CJ5238">
        <v>0</v>
      </c>
      <c r="CK5238">
        <v>2</v>
      </c>
      <c r="CL5238">
        <v>0</v>
      </c>
      <c r="CM5238">
        <v>2</v>
      </c>
      <c r="CN5238">
        <v>0</v>
      </c>
      <c r="CO5238">
        <v>7</v>
      </c>
      <c r="CP5238" t="s">
        <v>119</v>
      </c>
      <c r="CQ5238">
        <v>343</v>
      </c>
      <c r="CR5238">
        <v>2</v>
      </c>
      <c r="CW5238">
        <v>13388263</v>
      </c>
      <c r="CY5238">
        <v>1</v>
      </c>
      <c r="CZ5238">
        <v>0</v>
      </c>
      <c r="DA5238">
        <v>1</v>
      </c>
      <c r="DB5238">
        <v>0</v>
      </c>
      <c r="DC5238">
        <v>0</v>
      </c>
      <c r="DD5238">
        <v>1</v>
      </c>
      <c r="DE5238">
        <v>0</v>
      </c>
      <c r="DF5238">
        <v>0</v>
      </c>
      <c r="DG5238">
        <v>0</v>
      </c>
      <c r="DH5238">
        <v>0</v>
      </c>
      <c r="DI5238">
        <v>0</v>
      </c>
    </row>
    <row r="5239" spans="1:113" x14ac:dyDescent="0.3">
      <c r="A5239" t="str">
        <f t="shared" si="2414"/>
        <v>05/12/2020 14:50:35.867</v>
      </c>
      <c r="C5239" t="str">
        <f t="shared" si="2401"/>
        <v>FFDFD3C0</v>
      </c>
      <c r="D5239" t="s">
        <v>126</v>
      </c>
      <c r="E5239">
        <v>7</v>
      </c>
      <c r="F5239">
        <v>1007</v>
      </c>
      <c r="G5239" t="s">
        <v>127</v>
      </c>
      <c r="J5239" t="s">
        <v>128</v>
      </c>
      <c r="K5239">
        <v>0</v>
      </c>
      <c r="L5239">
        <v>3</v>
      </c>
      <c r="M5239">
        <v>0</v>
      </c>
      <c r="N5239">
        <v>2</v>
      </c>
      <c r="O5239">
        <v>1</v>
      </c>
      <c r="P5239">
        <v>0</v>
      </c>
      <c r="Q5239">
        <v>0</v>
      </c>
      <c r="S5239" t="str">
        <f t="shared" si="2415"/>
        <v>14:50:53.703</v>
      </c>
      <c r="T5239" t="str">
        <f t="shared" si="2416"/>
        <v>14:50:53.203</v>
      </c>
      <c r="U5239" t="str">
        <f t="shared" si="2393"/>
        <v>A9808D</v>
      </c>
      <c r="V5239">
        <v>0</v>
      </c>
      <c r="W5239">
        <v>0</v>
      </c>
      <c r="X5239">
        <v>1</v>
      </c>
      <c r="Z5239">
        <v>0</v>
      </c>
      <c r="AA5239">
        <v>9</v>
      </c>
      <c r="AB5239">
        <v>3</v>
      </c>
      <c r="AC5239">
        <v>0</v>
      </c>
      <c r="AD5239">
        <v>10</v>
      </c>
      <c r="AE5239">
        <v>0</v>
      </c>
      <c r="AF5239">
        <v>3</v>
      </c>
      <c r="AG5239">
        <v>2</v>
      </c>
      <c r="AH5239">
        <v>0</v>
      </c>
      <c r="AI5239" t="s">
        <v>1159</v>
      </c>
      <c r="AJ5239">
        <v>28.228532999999999</v>
      </c>
      <c r="AK5239" t="s">
        <v>250</v>
      </c>
      <c r="AL5239">
        <v>-82.381474999999995</v>
      </c>
      <c r="AM5239">
        <v>100</v>
      </c>
      <c r="AN5239">
        <v>1800</v>
      </c>
      <c r="AO5239" t="s">
        <v>118</v>
      </c>
      <c r="AP5239">
        <v>-109</v>
      </c>
      <c r="AQ5239">
        <v>-51</v>
      </c>
      <c r="AR5239">
        <v>-896</v>
      </c>
      <c r="AZ5239">
        <v>1200</v>
      </c>
      <c r="BA5239">
        <v>1</v>
      </c>
      <c r="BB5239" t="str">
        <f t="shared" si="2402"/>
        <v xml:space="preserve">N711JA  </v>
      </c>
      <c r="BC5239">
        <v>1</v>
      </c>
      <c r="BE5239">
        <v>0</v>
      </c>
      <c r="BF5239">
        <v>0</v>
      </c>
      <c r="BG5239">
        <v>0</v>
      </c>
      <c r="BH5239">
        <v>1850</v>
      </c>
      <c r="BI5239">
        <v>1</v>
      </c>
      <c r="BJ5239">
        <v>1</v>
      </c>
      <c r="BK5239">
        <v>0</v>
      </c>
      <c r="BL5239">
        <v>0</v>
      </c>
      <c r="BO5239">
        <v>0</v>
      </c>
      <c r="BP5239">
        <v>0</v>
      </c>
      <c r="BW5239" t="str">
        <f t="shared" si="2417"/>
        <v>14:50:53.703</v>
      </c>
      <c r="CJ5239">
        <v>0</v>
      </c>
      <c r="CK5239">
        <v>2</v>
      </c>
      <c r="CL5239">
        <v>0</v>
      </c>
      <c r="CM5239">
        <v>2</v>
      </c>
      <c r="CN5239">
        <v>0</v>
      </c>
      <c r="CO5239">
        <v>7</v>
      </c>
      <c r="CP5239" t="s">
        <v>119</v>
      </c>
      <c r="CQ5239">
        <v>343</v>
      </c>
      <c r="CR5239">
        <v>2</v>
      </c>
      <c r="CW5239">
        <v>13388263</v>
      </c>
      <c r="CY5239">
        <v>1</v>
      </c>
      <c r="CZ5239">
        <v>0</v>
      </c>
      <c r="DA5239">
        <v>1</v>
      </c>
      <c r="DB5239">
        <v>0</v>
      </c>
      <c r="DC5239">
        <v>0</v>
      </c>
      <c r="DD5239">
        <v>1</v>
      </c>
      <c r="DE5239">
        <v>0</v>
      </c>
      <c r="DF5239">
        <v>0</v>
      </c>
      <c r="DG5239">
        <v>0</v>
      </c>
      <c r="DH5239">
        <v>0</v>
      </c>
      <c r="DI5239">
        <v>0</v>
      </c>
    </row>
    <row r="5240" spans="1:113" x14ac:dyDescent="0.3">
      <c r="A5240" t="str">
        <f t="shared" si="2414"/>
        <v>05/12/2020 14:50:35.867</v>
      </c>
      <c r="C5240" t="str">
        <f t="shared" si="2401"/>
        <v>FFDFD3C0</v>
      </c>
      <c r="D5240" t="s">
        <v>131</v>
      </c>
      <c r="E5240">
        <v>10</v>
      </c>
      <c r="F5240">
        <v>2010</v>
      </c>
      <c r="G5240" t="s">
        <v>132</v>
      </c>
      <c r="J5240" t="s">
        <v>133</v>
      </c>
      <c r="K5240">
        <v>0</v>
      </c>
      <c r="L5240">
        <v>3</v>
      </c>
      <c r="M5240">
        <v>0</v>
      </c>
      <c r="N5240">
        <v>2</v>
      </c>
      <c r="O5240">
        <v>1</v>
      </c>
      <c r="P5240">
        <v>0</v>
      </c>
      <c r="Q5240">
        <v>0</v>
      </c>
      <c r="S5240" t="str">
        <f t="shared" si="2415"/>
        <v>14:50:53.703</v>
      </c>
      <c r="T5240" t="str">
        <f t="shared" si="2416"/>
        <v>14:50:53.203</v>
      </c>
      <c r="U5240" t="str">
        <f t="shared" si="2393"/>
        <v>A9808D</v>
      </c>
      <c r="V5240">
        <v>0</v>
      </c>
      <c r="W5240">
        <v>0</v>
      </c>
      <c r="X5240">
        <v>1</v>
      </c>
      <c r="Z5240">
        <v>0</v>
      </c>
      <c r="AA5240">
        <v>9</v>
      </c>
      <c r="AB5240">
        <v>3</v>
      </c>
      <c r="AC5240">
        <v>0</v>
      </c>
      <c r="AD5240">
        <v>10</v>
      </c>
      <c r="AE5240">
        <v>0</v>
      </c>
      <c r="AF5240">
        <v>3</v>
      </c>
      <c r="AG5240">
        <v>2</v>
      </c>
      <c r="AH5240">
        <v>0</v>
      </c>
      <c r="AI5240" t="s">
        <v>1159</v>
      </c>
      <c r="AJ5240">
        <v>28.228532999999999</v>
      </c>
      <c r="AK5240" t="s">
        <v>250</v>
      </c>
      <c r="AL5240">
        <v>-82.381474999999995</v>
      </c>
      <c r="AM5240">
        <v>100</v>
      </c>
      <c r="AN5240">
        <v>1800</v>
      </c>
      <c r="AO5240" t="s">
        <v>118</v>
      </c>
      <c r="AP5240">
        <v>-109</v>
      </c>
      <c r="AQ5240">
        <v>-51</v>
      </c>
      <c r="AR5240">
        <v>-896</v>
      </c>
      <c r="AZ5240">
        <v>1200</v>
      </c>
      <c r="BA5240">
        <v>1</v>
      </c>
      <c r="BB5240" t="str">
        <f t="shared" si="2402"/>
        <v xml:space="preserve">N711JA  </v>
      </c>
      <c r="BC5240">
        <v>1</v>
      </c>
      <c r="BE5240">
        <v>0</v>
      </c>
      <c r="BF5240">
        <v>0</v>
      </c>
      <c r="BG5240">
        <v>0</v>
      </c>
      <c r="BH5240">
        <v>1850</v>
      </c>
      <c r="BI5240">
        <v>1</v>
      </c>
      <c r="BJ5240">
        <v>1</v>
      </c>
      <c r="BK5240">
        <v>0</v>
      </c>
      <c r="BL5240">
        <v>0</v>
      </c>
      <c r="BO5240">
        <v>0</v>
      </c>
      <c r="BP5240">
        <v>0</v>
      </c>
      <c r="BW5240" t="str">
        <f t="shared" si="2417"/>
        <v>14:50:53.703</v>
      </c>
      <c r="CJ5240">
        <v>0</v>
      </c>
      <c r="CK5240">
        <v>2</v>
      </c>
      <c r="CL5240">
        <v>0</v>
      </c>
      <c r="CM5240">
        <v>2</v>
      </c>
      <c r="CN5240">
        <v>0</v>
      </c>
      <c r="CO5240">
        <v>7</v>
      </c>
      <c r="CP5240" t="s">
        <v>119</v>
      </c>
      <c r="CQ5240">
        <v>343</v>
      </c>
      <c r="CR5240">
        <v>2</v>
      </c>
      <c r="CW5240">
        <v>13388263</v>
      </c>
      <c r="CY5240">
        <v>1</v>
      </c>
      <c r="CZ5240">
        <v>0</v>
      </c>
      <c r="DA5240">
        <v>1</v>
      </c>
      <c r="DB5240">
        <v>0</v>
      </c>
      <c r="DC5240">
        <v>0</v>
      </c>
      <c r="DD5240">
        <v>1</v>
      </c>
      <c r="DE5240">
        <v>0</v>
      </c>
      <c r="DF5240">
        <v>0</v>
      </c>
      <c r="DG5240">
        <v>0</v>
      </c>
      <c r="DH5240">
        <v>0</v>
      </c>
      <c r="DI5240">
        <v>0</v>
      </c>
    </row>
    <row r="5241" spans="1:113" x14ac:dyDescent="0.3">
      <c r="A5241" t="str">
        <f t="shared" ref="A5241:A5248" si="2418">"05/12/2020 14:50:37.006"</f>
        <v>05/12/2020 14:50:37.006</v>
      </c>
      <c r="C5241" t="str">
        <f t="shared" si="2401"/>
        <v>FFDFD3C0</v>
      </c>
      <c r="D5241" t="s">
        <v>126</v>
      </c>
      <c r="E5241">
        <v>6</v>
      </c>
      <c r="F5241">
        <v>1006</v>
      </c>
      <c r="G5241" t="s">
        <v>114</v>
      </c>
      <c r="J5241" t="s">
        <v>128</v>
      </c>
      <c r="K5241">
        <v>0</v>
      </c>
      <c r="L5241">
        <v>3</v>
      </c>
      <c r="M5241">
        <v>0</v>
      </c>
      <c r="N5241">
        <v>2</v>
      </c>
      <c r="O5241">
        <v>1</v>
      </c>
      <c r="P5241">
        <v>0</v>
      </c>
      <c r="Q5241">
        <v>0</v>
      </c>
      <c r="S5241" t="str">
        <f t="shared" ref="S5241:S5248" si="2419">"14:50:54.828"</f>
        <v>14:50:54.828</v>
      </c>
      <c r="T5241" t="str">
        <f t="shared" ref="T5241:T5248" si="2420">"14:50:54.728"</f>
        <v>14:50:54.728</v>
      </c>
      <c r="U5241" t="str">
        <f t="shared" si="2393"/>
        <v>A9808D</v>
      </c>
      <c r="V5241">
        <v>0</v>
      </c>
      <c r="W5241">
        <v>0</v>
      </c>
      <c r="X5241">
        <v>1</v>
      </c>
      <c r="Z5241">
        <v>0</v>
      </c>
      <c r="AA5241">
        <v>9</v>
      </c>
      <c r="AB5241">
        <v>3</v>
      </c>
      <c r="AC5241">
        <v>0</v>
      </c>
      <c r="AD5241">
        <v>10</v>
      </c>
      <c r="AE5241">
        <v>0</v>
      </c>
      <c r="AF5241">
        <v>3</v>
      </c>
      <c r="AG5241">
        <v>2</v>
      </c>
      <c r="AH5241">
        <v>0</v>
      </c>
      <c r="AI5241" t="s">
        <v>1160</v>
      </c>
      <c r="AJ5241">
        <v>28.228232999999999</v>
      </c>
      <c r="AK5241" t="s">
        <v>234</v>
      </c>
      <c r="AL5241">
        <v>-82.382097000000002</v>
      </c>
      <c r="AM5241">
        <v>100</v>
      </c>
      <c r="AN5241">
        <v>1700</v>
      </c>
      <c r="AO5241" t="s">
        <v>118</v>
      </c>
      <c r="AP5241">
        <v>-107</v>
      </c>
      <c r="AQ5241">
        <v>-54</v>
      </c>
      <c r="AR5241">
        <v>-704</v>
      </c>
      <c r="AZ5241">
        <v>1200</v>
      </c>
      <c r="BA5241">
        <v>1</v>
      </c>
      <c r="BB5241" t="str">
        <f t="shared" si="2402"/>
        <v xml:space="preserve">N711JA  </v>
      </c>
      <c r="BC5241">
        <v>1</v>
      </c>
      <c r="BE5241">
        <v>0</v>
      </c>
      <c r="BF5241">
        <v>0</v>
      </c>
      <c r="BG5241">
        <v>0</v>
      </c>
      <c r="BH5241">
        <v>1825</v>
      </c>
      <c r="BI5241">
        <v>1</v>
      </c>
      <c r="BJ5241">
        <v>1</v>
      </c>
      <c r="BK5241">
        <v>0</v>
      </c>
      <c r="BL5241">
        <v>0</v>
      </c>
      <c r="BO5241">
        <v>0</v>
      </c>
      <c r="BP5241">
        <v>0</v>
      </c>
      <c r="BW5241" t="str">
        <f t="shared" ref="BW5241:BW5248" si="2421">"14:50:54.833"</f>
        <v>14:50:54.833</v>
      </c>
      <c r="CJ5241">
        <v>0</v>
      </c>
      <c r="CK5241">
        <v>2</v>
      </c>
      <c r="CL5241">
        <v>0</v>
      </c>
      <c r="CM5241">
        <v>2</v>
      </c>
      <c r="CN5241">
        <v>0</v>
      </c>
      <c r="CO5241">
        <v>7</v>
      </c>
      <c r="CP5241" t="s">
        <v>119</v>
      </c>
      <c r="CQ5241">
        <v>343</v>
      </c>
      <c r="CR5241">
        <v>2</v>
      </c>
      <c r="CW5241">
        <v>13389086</v>
      </c>
      <c r="CY5241">
        <v>1</v>
      </c>
      <c r="CZ5241">
        <v>0</v>
      </c>
      <c r="DA5241">
        <v>0</v>
      </c>
      <c r="DB5241">
        <v>0</v>
      </c>
      <c r="DC5241">
        <v>0</v>
      </c>
      <c r="DD5241">
        <v>1</v>
      </c>
      <c r="DE5241">
        <v>0</v>
      </c>
      <c r="DF5241">
        <v>0</v>
      </c>
      <c r="DG5241">
        <v>0</v>
      </c>
      <c r="DH5241">
        <v>0</v>
      </c>
      <c r="DI5241">
        <v>0</v>
      </c>
    </row>
    <row r="5242" spans="1:113" x14ac:dyDescent="0.3">
      <c r="A5242" t="str">
        <f t="shared" si="2418"/>
        <v>05/12/2020 14:50:37.006</v>
      </c>
      <c r="C5242" t="str">
        <f t="shared" si="2401"/>
        <v>FFDFD3C0</v>
      </c>
      <c r="D5242" t="s">
        <v>134</v>
      </c>
      <c r="E5242">
        <v>12</v>
      </c>
      <c r="H5242">
        <v>64</v>
      </c>
      <c r="I5242" t="s">
        <v>135</v>
      </c>
      <c r="J5242" t="s">
        <v>136</v>
      </c>
      <c r="K5242">
        <v>0</v>
      </c>
      <c r="L5242">
        <v>3</v>
      </c>
      <c r="M5242">
        <v>0</v>
      </c>
      <c r="N5242">
        <v>2</v>
      </c>
      <c r="O5242">
        <v>1</v>
      </c>
      <c r="P5242">
        <v>0</v>
      </c>
      <c r="Q5242">
        <v>0</v>
      </c>
      <c r="S5242" t="str">
        <f t="shared" si="2419"/>
        <v>14:50:54.828</v>
      </c>
      <c r="T5242" t="str">
        <f t="shared" si="2420"/>
        <v>14:50:54.728</v>
      </c>
      <c r="U5242" t="str">
        <f t="shared" si="2393"/>
        <v>A9808D</v>
      </c>
      <c r="V5242">
        <v>0</v>
      </c>
      <c r="W5242">
        <v>0</v>
      </c>
      <c r="X5242">
        <v>1</v>
      </c>
      <c r="Z5242">
        <v>0</v>
      </c>
      <c r="AA5242">
        <v>9</v>
      </c>
      <c r="AB5242">
        <v>3</v>
      </c>
      <c r="AC5242">
        <v>0</v>
      </c>
      <c r="AD5242">
        <v>10</v>
      </c>
      <c r="AE5242">
        <v>0</v>
      </c>
      <c r="AF5242">
        <v>3</v>
      </c>
      <c r="AG5242">
        <v>2</v>
      </c>
      <c r="AH5242">
        <v>0</v>
      </c>
      <c r="AI5242" t="s">
        <v>1160</v>
      </c>
      <c r="AJ5242">
        <v>28.228232999999999</v>
      </c>
      <c r="AK5242" t="s">
        <v>234</v>
      </c>
      <c r="AL5242">
        <v>-82.382097000000002</v>
      </c>
      <c r="AM5242">
        <v>100</v>
      </c>
      <c r="AN5242">
        <v>1700</v>
      </c>
      <c r="AO5242" t="s">
        <v>118</v>
      </c>
      <c r="AP5242">
        <v>-107</v>
      </c>
      <c r="AQ5242">
        <v>-54</v>
      </c>
      <c r="AR5242">
        <v>-704</v>
      </c>
      <c r="AZ5242">
        <v>1200</v>
      </c>
      <c r="BA5242">
        <v>1</v>
      </c>
      <c r="BB5242" t="str">
        <f t="shared" si="2402"/>
        <v xml:space="preserve">N711JA  </v>
      </c>
      <c r="BC5242">
        <v>1</v>
      </c>
      <c r="BE5242">
        <v>0</v>
      </c>
      <c r="BF5242">
        <v>0</v>
      </c>
      <c r="BG5242">
        <v>0</v>
      </c>
      <c r="BH5242">
        <v>1825</v>
      </c>
      <c r="BI5242">
        <v>1</v>
      </c>
      <c r="BJ5242">
        <v>1</v>
      </c>
      <c r="BK5242">
        <v>0</v>
      </c>
      <c r="BL5242">
        <v>0</v>
      </c>
      <c r="BO5242">
        <v>0</v>
      </c>
      <c r="BP5242">
        <v>0</v>
      </c>
      <c r="BW5242" t="str">
        <f t="shared" si="2421"/>
        <v>14:50:54.833</v>
      </c>
      <c r="CJ5242">
        <v>0</v>
      </c>
      <c r="CK5242">
        <v>2</v>
      </c>
      <c r="CL5242">
        <v>0</v>
      </c>
      <c r="CM5242">
        <v>2</v>
      </c>
      <c r="CN5242">
        <v>0</v>
      </c>
      <c r="CO5242">
        <v>7</v>
      </c>
      <c r="CP5242" t="s">
        <v>119</v>
      </c>
      <c r="CQ5242">
        <v>343</v>
      </c>
      <c r="CR5242">
        <v>2</v>
      </c>
      <c r="CW5242">
        <v>13389086</v>
      </c>
      <c r="CY5242">
        <v>1</v>
      </c>
      <c r="CZ5242">
        <v>0</v>
      </c>
      <c r="DA5242">
        <v>1</v>
      </c>
      <c r="DB5242">
        <v>0</v>
      </c>
      <c r="DC5242">
        <v>0</v>
      </c>
      <c r="DD5242">
        <v>1</v>
      </c>
      <c r="DE5242">
        <v>0</v>
      </c>
      <c r="DF5242">
        <v>0</v>
      </c>
      <c r="DG5242">
        <v>0</v>
      </c>
      <c r="DH5242">
        <v>0</v>
      </c>
      <c r="DI5242">
        <v>0</v>
      </c>
    </row>
    <row r="5243" spans="1:113" x14ac:dyDescent="0.3">
      <c r="A5243" t="str">
        <f t="shared" si="2418"/>
        <v>05/12/2020 14:50:37.006</v>
      </c>
      <c r="C5243" t="str">
        <f t="shared" si="2401"/>
        <v>FFDFD3C0</v>
      </c>
      <c r="D5243" t="s">
        <v>126</v>
      </c>
      <c r="E5243">
        <v>7</v>
      </c>
      <c r="F5243">
        <v>1007</v>
      </c>
      <c r="G5243" t="s">
        <v>127</v>
      </c>
      <c r="J5243" t="s">
        <v>128</v>
      </c>
      <c r="K5243">
        <v>0</v>
      </c>
      <c r="L5243">
        <v>3</v>
      </c>
      <c r="M5243">
        <v>0</v>
      </c>
      <c r="N5243">
        <v>2</v>
      </c>
      <c r="O5243">
        <v>1</v>
      </c>
      <c r="P5243">
        <v>0</v>
      </c>
      <c r="Q5243">
        <v>0</v>
      </c>
      <c r="S5243" t="str">
        <f t="shared" si="2419"/>
        <v>14:50:54.828</v>
      </c>
      <c r="T5243" t="str">
        <f t="shared" si="2420"/>
        <v>14:50:54.728</v>
      </c>
      <c r="U5243" t="str">
        <f t="shared" si="2393"/>
        <v>A9808D</v>
      </c>
      <c r="V5243">
        <v>0</v>
      </c>
      <c r="W5243">
        <v>0</v>
      </c>
      <c r="X5243">
        <v>1</v>
      </c>
      <c r="Z5243">
        <v>0</v>
      </c>
      <c r="AA5243">
        <v>9</v>
      </c>
      <c r="AB5243">
        <v>3</v>
      </c>
      <c r="AC5243">
        <v>0</v>
      </c>
      <c r="AD5243">
        <v>10</v>
      </c>
      <c r="AE5243">
        <v>0</v>
      </c>
      <c r="AF5243">
        <v>3</v>
      </c>
      <c r="AG5243">
        <v>2</v>
      </c>
      <c r="AH5243">
        <v>0</v>
      </c>
      <c r="AI5243" t="s">
        <v>1160</v>
      </c>
      <c r="AJ5243">
        <v>28.228232999999999</v>
      </c>
      <c r="AK5243" t="s">
        <v>234</v>
      </c>
      <c r="AL5243">
        <v>-82.382097000000002</v>
      </c>
      <c r="AM5243">
        <v>100</v>
      </c>
      <c r="AN5243">
        <v>1700</v>
      </c>
      <c r="AO5243" t="s">
        <v>118</v>
      </c>
      <c r="AP5243">
        <v>-107</v>
      </c>
      <c r="AQ5243">
        <v>-54</v>
      </c>
      <c r="AR5243">
        <v>-704</v>
      </c>
      <c r="AZ5243">
        <v>1200</v>
      </c>
      <c r="BA5243">
        <v>1</v>
      </c>
      <c r="BB5243" t="str">
        <f t="shared" si="2402"/>
        <v xml:space="preserve">N711JA  </v>
      </c>
      <c r="BC5243">
        <v>1</v>
      </c>
      <c r="BE5243">
        <v>0</v>
      </c>
      <c r="BF5243">
        <v>0</v>
      </c>
      <c r="BG5243">
        <v>0</v>
      </c>
      <c r="BH5243">
        <v>1825</v>
      </c>
      <c r="BI5243">
        <v>1</v>
      </c>
      <c r="BJ5243">
        <v>1</v>
      </c>
      <c r="BK5243">
        <v>0</v>
      </c>
      <c r="BL5243">
        <v>0</v>
      </c>
      <c r="BO5243">
        <v>0</v>
      </c>
      <c r="BP5243">
        <v>0</v>
      </c>
      <c r="BW5243" t="str">
        <f t="shared" si="2421"/>
        <v>14:50:54.833</v>
      </c>
      <c r="CJ5243">
        <v>0</v>
      </c>
      <c r="CK5243">
        <v>2</v>
      </c>
      <c r="CL5243">
        <v>0</v>
      </c>
      <c r="CM5243">
        <v>2</v>
      </c>
      <c r="CN5243">
        <v>0</v>
      </c>
      <c r="CO5243">
        <v>7</v>
      </c>
      <c r="CP5243" t="s">
        <v>119</v>
      </c>
      <c r="CQ5243">
        <v>343</v>
      </c>
      <c r="CR5243">
        <v>2</v>
      </c>
      <c r="CW5243">
        <v>13389086</v>
      </c>
      <c r="CY5243">
        <v>1</v>
      </c>
      <c r="CZ5243">
        <v>0</v>
      </c>
      <c r="DA5243">
        <v>1</v>
      </c>
      <c r="DB5243">
        <v>0</v>
      </c>
      <c r="DC5243">
        <v>0</v>
      </c>
      <c r="DD5243">
        <v>1</v>
      </c>
      <c r="DE5243">
        <v>0</v>
      </c>
      <c r="DF5243">
        <v>0</v>
      </c>
      <c r="DG5243">
        <v>0</v>
      </c>
      <c r="DH5243">
        <v>0</v>
      </c>
      <c r="DI5243">
        <v>0</v>
      </c>
    </row>
    <row r="5244" spans="1:113" x14ac:dyDescent="0.3">
      <c r="A5244" t="str">
        <f t="shared" si="2418"/>
        <v>05/12/2020 14:50:37.006</v>
      </c>
      <c r="C5244" t="str">
        <f t="shared" si="2401"/>
        <v>FFDFD3C0</v>
      </c>
      <c r="D5244" t="s">
        <v>131</v>
      </c>
      <c r="E5244">
        <v>10</v>
      </c>
      <c r="F5244">
        <v>2010</v>
      </c>
      <c r="G5244" t="s">
        <v>132</v>
      </c>
      <c r="J5244" t="s">
        <v>133</v>
      </c>
      <c r="K5244">
        <v>0</v>
      </c>
      <c r="L5244">
        <v>3</v>
      </c>
      <c r="M5244">
        <v>0</v>
      </c>
      <c r="N5244">
        <v>2</v>
      </c>
      <c r="O5244">
        <v>1</v>
      </c>
      <c r="P5244">
        <v>0</v>
      </c>
      <c r="Q5244">
        <v>0</v>
      </c>
      <c r="S5244" t="str">
        <f t="shared" si="2419"/>
        <v>14:50:54.828</v>
      </c>
      <c r="T5244" t="str">
        <f t="shared" si="2420"/>
        <v>14:50:54.728</v>
      </c>
      <c r="U5244" t="str">
        <f t="shared" si="2393"/>
        <v>A9808D</v>
      </c>
      <c r="V5244">
        <v>0</v>
      </c>
      <c r="W5244">
        <v>0</v>
      </c>
      <c r="X5244">
        <v>1</v>
      </c>
      <c r="Z5244">
        <v>0</v>
      </c>
      <c r="AA5244">
        <v>9</v>
      </c>
      <c r="AB5244">
        <v>3</v>
      </c>
      <c r="AC5244">
        <v>0</v>
      </c>
      <c r="AD5244">
        <v>10</v>
      </c>
      <c r="AE5244">
        <v>0</v>
      </c>
      <c r="AF5244">
        <v>3</v>
      </c>
      <c r="AG5244">
        <v>2</v>
      </c>
      <c r="AH5244">
        <v>0</v>
      </c>
      <c r="AI5244" t="s">
        <v>1160</v>
      </c>
      <c r="AJ5244">
        <v>28.228232999999999</v>
      </c>
      <c r="AK5244" t="s">
        <v>234</v>
      </c>
      <c r="AL5244">
        <v>-82.382097000000002</v>
      </c>
      <c r="AM5244">
        <v>100</v>
      </c>
      <c r="AN5244">
        <v>1700</v>
      </c>
      <c r="AO5244" t="s">
        <v>118</v>
      </c>
      <c r="AP5244">
        <v>-107</v>
      </c>
      <c r="AQ5244">
        <v>-54</v>
      </c>
      <c r="AR5244">
        <v>-704</v>
      </c>
      <c r="AZ5244">
        <v>1200</v>
      </c>
      <c r="BA5244">
        <v>1</v>
      </c>
      <c r="BB5244" t="str">
        <f t="shared" si="2402"/>
        <v xml:space="preserve">N711JA  </v>
      </c>
      <c r="BC5244">
        <v>1</v>
      </c>
      <c r="BE5244">
        <v>0</v>
      </c>
      <c r="BF5244">
        <v>0</v>
      </c>
      <c r="BG5244">
        <v>0</v>
      </c>
      <c r="BH5244">
        <v>1825</v>
      </c>
      <c r="BI5244">
        <v>1</v>
      </c>
      <c r="BJ5244">
        <v>1</v>
      </c>
      <c r="BK5244">
        <v>0</v>
      </c>
      <c r="BL5244">
        <v>0</v>
      </c>
      <c r="BO5244">
        <v>0</v>
      </c>
      <c r="BP5244">
        <v>0</v>
      </c>
      <c r="BW5244" t="str">
        <f t="shared" si="2421"/>
        <v>14:50:54.833</v>
      </c>
      <c r="CJ5244">
        <v>0</v>
      </c>
      <c r="CK5244">
        <v>2</v>
      </c>
      <c r="CL5244">
        <v>0</v>
      </c>
      <c r="CM5244">
        <v>2</v>
      </c>
      <c r="CN5244">
        <v>0</v>
      </c>
      <c r="CO5244">
        <v>7</v>
      </c>
      <c r="CP5244" t="s">
        <v>119</v>
      </c>
      <c r="CQ5244">
        <v>343</v>
      </c>
      <c r="CR5244">
        <v>2</v>
      </c>
      <c r="CW5244">
        <v>13389086</v>
      </c>
      <c r="CY5244">
        <v>1</v>
      </c>
      <c r="CZ5244">
        <v>0</v>
      </c>
      <c r="DA5244">
        <v>1</v>
      </c>
      <c r="DB5244">
        <v>0</v>
      </c>
      <c r="DC5244">
        <v>0</v>
      </c>
      <c r="DD5244">
        <v>1</v>
      </c>
      <c r="DE5244">
        <v>0</v>
      </c>
      <c r="DF5244">
        <v>0</v>
      </c>
      <c r="DG5244">
        <v>0</v>
      </c>
      <c r="DH5244">
        <v>0</v>
      </c>
      <c r="DI5244">
        <v>0</v>
      </c>
    </row>
    <row r="5245" spans="1:113" x14ac:dyDescent="0.3">
      <c r="A5245" t="str">
        <f t="shared" si="2418"/>
        <v>05/12/2020 14:50:37.006</v>
      </c>
      <c r="C5245" t="str">
        <f t="shared" si="2401"/>
        <v>FFDFD3C0</v>
      </c>
      <c r="D5245" t="s">
        <v>131</v>
      </c>
      <c r="E5245">
        <v>12</v>
      </c>
      <c r="F5245">
        <v>2012</v>
      </c>
      <c r="G5245" t="s">
        <v>137</v>
      </c>
      <c r="J5245" t="s">
        <v>133</v>
      </c>
      <c r="K5245">
        <v>0</v>
      </c>
      <c r="L5245">
        <v>3</v>
      </c>
      <c r="M5245">
        <v>0</v>
      </c>
      <c r="N5245">
        <v>2</v>
      </c>
      <c r="O5245">
        <v>1</v>
      </c>
      <c r="P5245">
        <v>0</v>
      </c>
      <c r="Q5245">
        <v>0</v>
      </c>
      <c r="S5245" t="str">
        <f t="shared" si="2419"/>
        <v>14:50:54.828</v>
      </c>
      <c r="T5245" t="str">
        <f t="shared" si="2420"/>
        <v>14:50:54.728</v>
      </c>
      <c r="U5245" t="str">
        <f t="shared" si="2393"/>
        <v>A9808D</v>
      </c>
      <c r="V5245">
        <v>0</v>
      </c>
      <c r="W5245">
        <v>0</v>
      </c>
      <c r="X5245">
        <v>1</v>
      </c>
      <c r="Z5245">
        <v>0</v>
      </c>
      <c r="AA5245">
        <v>9</v>
      </c>
      <c r="AB5245">
        <v>3</v>
      </c>
      <c r="AC5245">
        <v>0</v>
      </c>
      <c r="AD5245">
        <v>10</v>
      </c>
      <c r="AE5245">
        <v>0</v>
      </c>
      <c r="AF5245">
        <v>3</v>
      </c>
      <c r="AG5245">
        <v>2</v>
      </c>
      <c r="AH5245">
        <v>0</v>
      </c>
      <c r="AI5245" t="s">
        <v>1160</v>
      </c>
      <c r="AJ5245">
        <v>28.228232999999999</v>
      </c>
      <c r="AK5245" t="s">
        <v>234</v>
      </c>
      <c r="AL5245">
        <v>-82.382097000000002</v>
      </c>
      <c r="AM5245">
        <v>100</v>
      </c>
      <c r="AN5245">
        <v>1700</v>
      </c>
      <c r="AO5245" t="s">
        <v>118</v>
      </c>
      <c r="AP5245">
        <v>-107</v>
      </c>
      <c r="AQ5245">
        <v>-54</v>
      </c>
      <c r="AR5245">
        <v>-704</v>
      </c>
      <c r="AZ5245">
        <v>1200</v>
      </c>
      <c r="BA5245">
        <v>1</v>
      </c>
      <c r="BB5245" t="str">
        <f t="shared" si="2402"/>
        <v xml:space="preserve">N711JA  </v>
      </c>
      <c r="BC5245">
        <v>1</v>
      </c>
      <c r="BE5245">
        <v>0</v>
      </c>
      <c r="BF5245">
        <v>0</v>
      </c>
      <c r="BG5245">
        <v>0</v>
      </c>
      <c r="BH5245">
        <v>1825</v>
      </c>
      <c r="BI5245">
        <v>1</v>
      </c>
      <c r="BJ5245">
        <v>1</v>
      </c>
      <c r="BK5245">
        <v>0</v>
      </c>
      <c r="BL5245">
        <v>0</v>
      </c>
      <c r="BO5245">
        <v>0</v>
      </c>
      <c r="BP5245">
        <v>0</v>
      </c>
      <c r="BW5245" t="str">
        <f t="shared" si="2421"/>
        <v>14:50:54.833</v>
      </c>
      <c r="CJ5245">
        <v>0</v>
      </c>
      <c r="CK5245">
        <v>2</v>
      </c>
      <c r="CL5245">
        <v>0</v>
      </c>
      <c r="CM5245">
        <v>2</v>
      </c>
      <c r="CN5245">
        <v>0</v>
      </c>
      <c r="CO5245">
        <v>7</v>
      </c>
      <c r="CP5245" t="s">
        <v>119</v>
      </c>
      <c r="CQ5245">
        <v>343</v>
      </c>
      <c r="CR5245">
        <v>2</v>
      </c>
      <c r="CW5245">
        <v>13389086</v>
      </c>
      <c r="CY5245">
        <v>1</v>
      </c>
      <c r="CZ5245">
        <v>0</v>
      </c>
      <c r="DA5245">
        <v>1</v>
      </c>
      <c r="DB5245">
        <v>0</v>
      </c>
      <c r="DC5245">
        <v>0</v>
      </c>
      <c r="DD5245">
        <v>1</v>
      </c>
      <c r="DE5245">
        <v>0</v>
      </c>
      <c r="DF5245">
        <v>0</v>
      </c>
      <c r="DG5245">
        <v>0</v>
      </c>
      <c r="DH5245">
        <v>0</v>
      </c>
      <c r="DI5245">
        <v>0</v>
      </c>
    </row>
    <row r="5246" spans="1:113" x14ac:dyDescent="0.3">
      <c r="A5246" t="str">
        <f t="shared" si="2418"/>
        <v>05/12/2020 14:50:37.006</v>
      </c>
      <c r="C5246" t="str">
        <f t="shared" si="2401"/>
        <v>FFDFD3C0</v>
      </c>
      <c r="D5246" t="s">
        <v>113</v>
      </c>
      <c r="E5246">
        <v>3</v>
      </c>
      <c r="H5246">
        <v>164</v>
      </c>
      <c r="I5246" t="s">
        <v>114</v>
      </c>
      <c r="J5246" t="s">
        <v>115</v>
      </c>
      <c r="K5246">
        <v>0</v>
      </c>
      <c r="L5246">
        <v>3</v>
      </c>
      <c r="M5246">
        <v>0</v>
      </c>
      <c r="N5246">
        <v>2</v>
      </c>
      <c r="O5246">
        <v>1</v>
      </c>
      <c r="P5246">
        <v>0</v>
      </c>
      <c r="Q5246">
        <v>0</v>
      </c>
      <c r="S5246" t="str">
        <f t="shared" si="2419"/>
        <v>14:50:54.828</v>
      </c>
      <c r="T5246" t="str">
        <f t="shared" si="2420"/>
        <v>14:50:54.728</v>
      </c>
      <c r="U5246" t="str">
        <f t="shared" si="2393"/>
        <v>A9808D</v>
      </c>
      <c r="V5246">
        <v>0</v>
      </c>
      <c r="W5246">
        <v>0</v>
      </c>
      <c r="X5246">
        <v>1</v>
      </c>
      <c r="Z5246">
        <v>0</v>
      </c>
      <c r="AA5246">
        <v>9</v>
      </c>
      <c r="AB5246">
        <v>3</v>
      </c>
      <c r="AC5246">
        <v>0</v>
      </c>
      <c r="AD5246">
        <v>10</v>
      </c>
      <c r="AE5246">
        <v>0</v>
      </c>
      <c r="AF5246">
        <v>3</v>
      </c>
      <c r="AG5246">
        <v>2</v>
      </c>
      <c r="AH5246">
        <v>0</v>
      </c>
      <c r="AI5246" t="s">
        <v>1160</v>
      </c>
      <c r="AJ5246">
        <v>28.228232999999999</v>
      </c>
      <c r="AK5246" t="s">
        <v>234</v>
      </c>
      <c r="AL5246">
        <v>-82.382097000000002</v>
      </c>
      <c r="AM5246">
        <v>100</v>
      </c>
      <c r="AN5246">
        <v>1700</v>
      </c>
      <c r="AO5246" t="s">
        <v>118</v>
      </c>
      <c r="AP5246">
        <v>-107</v>
      </c>
      <c r="AQ5246">
        <v>-54</v>
      </c>
      <c r="AR5246">
        <v>-704</v>
      </c>
      <c r="AZ5246">
        <v>1200</v>
      </c>
      <c r="BA5246">
        <v>1</v>
      </c>
      <c r="BB5246" t="str">
        <f t="shared" si="2402"/>
        <v xml:space="preserve">N711JA  </v>
      </c>
      <c r="BC5246">
        <v>1</v>
      </c>
      <c r="BE5246">
        <v>0</v>
      </c>
      <c r="BF5246">
        <v>0</v>
      </c>
      <c r="BG5246">
        <v>0</v>
      </c>
      <c r="BH5246">
        <v>1825</v>
      </c>
      <c r="BI5246">
        <v>1</v>
      </c>
      <c r="BJ5246">
        <v>1</v>
      </c>
      <c r="BK5246">
        <v>0</v>
      </c>
      <c r="BL5246">
        <v>0</v>
      </c>
      <c r="BO5246">
        <v>0</v>
      </c>
      <c r="BP5246">
        <v>0</v>
      </c>
      <c r="BW5246" t="str">
        <f t="shared" si="2421"/>
        <v>14:50:54.833</v>
      </c>
      <c r="CJ5246">
        <v>0</v>
      </c>
      <c r="CK5246">
        <v>2</v>
      </c>
      <c r="CL5246">
        <v>0</v>
      </c>
      <c r="CM5246">
        <v>2</v>
      </c>
      <c r="CN5246">
        <v>0</v>
      </c>
      <c r="CO5246">
        <v>7</v>
      </c>
      <c r="CP5246" t="s">
        <v>119</v>
      </c>
      <c r="CQ5246">
        <v>343</v>
      </c>
      <c r="CR5246">
        <v>2</v>
      </c>
      <c r="CW5246">
        <v>13389086</v>
      </c>
      <c r="CY5246">
        <v>1</v>
      </c>
      <c r="CZ5246">
        <v>0</v>
      </c>
      <c r="DA5246">
        <v>1</v>
      </c>
      <c r="DB5246">
        <v>0</v>
      </c>
      <c r="DC5246">
        <v>0</v>
      </c>
      <c r="DD5246">
        <v>1</v>
      </c>
      <c r="DE5246">
        <v>0</v>
      </c>
      <c r="DF5246">
        <v>0</v>
      </c>
      <c r="DG5246">
        <v>0</v>
      </c>
      <c r="DH5246">
        <v>0</v>
      </c>
      <c r="DI5246">
        <v>0</v>
      </c>
    </row>
    <row r="5247" spans="1:113" x14ac:dyDescent="0.3">
      <c r="A5247" t="str">
        <f t="shared" si="2418"/>
        <v>05/12/2020 14:50:37.006</v>
      </c>
      <c r="C5247" t="str">
        <f t="shared" si="2401"/>
        <v>FFDFD3C0</v>
      </c>
      <c r="D5247" t="s">
        <v>138</v>
      </c>
      <c r="E5247">
        <v>2</v>
      </c>
      <c r="H5247">
        <v>8</v>
      </c>
      <c r="I5247" t="s">
        <v>139</v>
      </c>
      <c r="J5247" t="s">
        <v>136</v>
      </c>
      <c r="K5247">
        <v>0</v>
      </c>
      <c r="L5247">
        <v>3</v>
      </c>
      <c r="M5247">
        <v>0</v>
      </c>
      <c r="N5247">
        <v>2</v>
      </c>
      <c r="O5247">
        <v>1</v>
      </c>
      <c r="P5247">
        <v>0</v>
      </c>
      <c r="Q5247">
        <v>0</v>
      </c>
      <c r="S5247" t="str">
        <f t="shared" si="2419"/>
        <v>14:50:54.828</v>
      </c>
      <c r="T5247" t="str">
        <f t="shared" si="2420"/>
        <v>14:50:54.728</v>
      </c>
      <c r="U5247" t="str">
        <f t="shared" si="2393"/>
        <v>A9808D</v>
      </c>
      <c r="V5247">
        <v>0</v>
      </c>
      <c r="W5247">
        <v>0</v>
      </c>
      <c r="X5247">
        <v>1</v>
      </c>
      <c r="Z5247">
        <v>0</v>
      </c>
      <c r="AA5247">
        <v>9</v>
      </c>
      <c r="AB5247">
        <v>3</v>
      </c>
      <c r="AC5247">
        <v>0</v>
      </c>
      <c r="AD5247">
        <v>10</v>
      </c>
      <c r="AE5247">
        <v>0</v>
      </c>
      <c r="AF5247">
        <v>3</v>
      </c>
      <c r="AG5247">
        <v>2</v>
      </c>
      <c r="AH5247">
        <v>0</v>
      </c>
      <c r="AI5247" t="s">
        <v>1160</v>
      </c>
      <c r="AJ5247">
        <v>28.228232999999999</v>
      </c>
      <c r="AK5247" t="s">
        <v>234</v>
      </c>
      <c r="AL5247">
        <v>-82.382097000000002</v>
      </c>
      <c r="AM5247">
        <v>100</v>
      </c>
      <c r="AN5247">
        <v>1700</v>
      </c>
      <c r="AO5247" t="s">
        <v>118</v>
      </c>
      <c r="AP5247">
        <v>-107</v>
      </c>
      <c r="AQ5247">
        <v>-54</v>
      </c>
      <c r="AR5247">
        <v>-704</v>
      </c>
      <c r="AZ5247">
        <v>1200</v>
      </c>
      <c r="BA5247">
        <v>1</v>
      </c>
      <c r="BB5247" t="str">
        <f t="shared" si="2402"/>
        <v xml:space="preserve">N711JA  </v>
      </c>
      <c r="BC5247">
        <v>1</v>
      </c>
      <c r="BE5247">
        <v>0</v>
      </c>
      <c r="BF5247">
        <v>0</v>
      </c>
      <c r="BG5247">
        <v>0</v>
      </c>
      <c r="BH5247">
        <v>1825</v>
      </c>
      <c r="BI5247">
        <v>1</v>
      </c>
      <c r="BJ5247">
        <v>1</v>
      </c>
      <c r="BK5247">
        <v>0</v>
      </c>
      <c r="BL5247">
        <v>0</v>
      </c>
      <c r="BO5247">
        <v>0</v>
      </c>
      <c r="BP5247">
        <v>0</v>
      </c>
      <c r="BW5247" t="str">
        <f t="shared" si="2421"/>
        <v>14:50:54.833</v>
      </c>
      <c r="CJ5247">
        <v>0</v>
      </c>
      <c r="CK5247">
        <v>2</v>
      </c>
      <c r="CL5247">
        <v>0</v>
      </c>
      <c r="CM5247">
        <v>2</v>
      </c>
      <c r="CN5247">
        <v>0</v>
      </c>
      <c r="CO5247">
        <v>7</v>
      </c>
      <c r="CP5247" t="s">
        <v>119</v>
      </c>
      <c r="CQ5247">
        <v>343</v>
      </c>
      <c r="CR5247">
        <v>2</v>
      </c>
      <c r="CW5247">
        <v>13389086</v>
      </c>
      <c r="CY5247">
        <v>1</v>
      </c>
      <c r="CZ5247">
        <v>0</v>
      </c>
      <c r="DA5247">
        <v>1</v>
      </c>
      <c r="DB5247">
        <v>0</v>
      </c>
      <c r="DC5247">
        <v>0</v>
      </c>
      <c r="DD5247">
        <v>1</v>
      </c>
      <c r="DE5247">
        <v>0</v>
      </c>
      <c r="DF5247">
        <v>0</v>
      </c>
      <c r="DG5247">
        <v>0</v>
      </c>
      <c r="DH5247">
        <v>0</v>
      </c>
      <c r="DI5247">
        <v>0</v>
      </c>
    </row>
    <row r="5248" spans="1:113" x14ac:dyDescent="0.3">
      <c r="A5248" t="str">
        <f t="shared" si="2418"/>
        <v>05/12/2020 14:50:37.006</v>
      </c>
      <c r="C5248" t="str">
        <f t="shared" si="2401"/>
        <v>FFDFD3C0</v>
      </c>
      <c r="D5248" t="s">
        <v>138</v>
      </c>
      <c r="E5248">
        <v>3</v>
      </c>
      <c r="H5248">
        <v>9</v>
      </c>
      <c r="I5248" t="s">
        <v>140</v>
      </c>
      <c r="J5248" t="s">
        <v>136</v>
      </c>
      <c r="K5248">
        <v>0</v>
      </c>
      <c r="L5248">
        <v>3</v>
      </c>
      <c r="M5248">
        <v>0</v>
      </c>
      <c r="N5248">
        <v>2</v>
      </c>
      <c r="O5248">
        <v>1</v>
      </c>
      <c r="P5248">
        <v>0</v>
      </c>
      <c r="Q5248">
        <v>0</v>
      </c>
      <c r="S5248" t="str">
        <f t="shared" si="2419"/>
        <v>14:50:54.828</v>
      </c>
      <c r="T5248" t="str">
        <f t="shared" si="2420"/>
        <v>14:50:54.728</v>
      </c>
      <c r="U5248" t="str">
        <f t="shared" si="2393"/>
        <v>A9808D</v>
      </c>
      <c r="V5248">
        <v>0</v>
      </c>
      <c r="W5248">
        <v>0</v>
      </c>
      <c r="X5248">
        <v>1</v>
      </c>
      <c r="Z5248">
        <v>0</v>
      </c>
      <c r="AA5248">
        <v>9</v>
      </c>
      <c r="AB5248">
        <v>3</v>
      </c>
      <c r="AC5248">
        <v>0</v>
      </c>
      <c r="AD5248">
        <v>10</v>
      </c>
      <c r="AE5248">
        <v>0</v>
      </c>
      <c r="AF5248">
        <v>3</v>
      </c>
      <c r="AG5248">
        <v>2</v>
      </c>
      <c r="AH5248">
        <v>0</v>
      </c>
      <c r="AI5248" t="s">
        <v>1160</v>
      </c>
      <c r="AJ5248">
        <v>28.228232999999999</v>
      </c>
      <c r="AK5248" t="s">
        <v>234</v>
      </c>
      <c r="AL5248">
        <v>-82.382097000000002</v>
      </c>
      <c r="AM5248">
        <v>100</v>
      </c>
      <c r="AN5248">
        <v>1700</v>
      </c>
      <c r="AO5248" t="s">
        <v>118</v>
      </c>
      <c r="AP5248">
        <v>-107</v>
      </c>
      <c r="AQ5248">
        <v>-54</v>
      </c>
      <c r="AR5248">
        <v>-704</v>
      </c>
      <c r="AZ5248">
        <v>1200</v>
      </c>
      <c r="BA5248">
        <v>1</v>
      </c>
      <c r="BB5248" t="str">
        <f t="shared" si="2402"/>
        <v xml:space="preserve">N711JA  </v>
      </c>
      <c r="BC5248">
        <v>1</v>
      </c>
      <c r="BE5248">
        <v>0</v>
      </c>
      <c r="BF5248">
        <v>0</v>
      </c>
      <c r="BG5248">
        <v>0</v>
      </c>
      <c r="BH5248">
        <v>1825</v>
      </c>
      <c r="BI5248">
        <v>1</v>
      </c>
      <c r="BJ5248">
        <v>1</v>
      </c>
      <c r="BK5248">
        <v>0</v>
      </c>
      <c r="BL5248">
        <v>0</v>
      </c>
      <c r="BO5248">
        <v>0</v>
      </c>
      <c r="BP5248">
        <v>0</v>
      </c>
      <c r="BW5248" t="str">
        <f t="shared" si="2421"/>
        <v>14:50:54.833</v>
      </c>
      <c r="CJ5248">
        <v>0</v>
      </c>
      <c r="CK5248">
        <v>2</v>
      </c>
      <c r="CL5248">
        <v>0</v>
      </c>
      <c r="CM5248">
        <v>2</v>
      </c>
      <c r="CN5248">
        <v>0</v>
      </c>
      <c r="CO5248">
        <v>7</v>
      </c>
      <c r="CP5248" t="s">
        <v>119</v>
      </c>
      <c r="CQ5248">
        <v>343</v>
      </c>
      <c r="CR5248">
        <v>2</v>
      </c>
      <c r="CW5248">
        <v>13389086</v>
      </c>
      <c r="CY5248">
        <v>1</v>
      </c>
      <c r="CZ5248">
        <v>0</v>
      </c>
      <c r="DA5248">
        <v>1</v>
      </c>
      <c r="DB5248">
        <v>0</v>
      </c>
      <c r="DC5248">
        <v>0</v>
      </c>
      <c r="DD5248">
        <v>1</v>
      </c>
      <c r="DE5248">
        <v>0</v>
      </c>
      <c r="DF5248">
        <v>0</v>
      </c>
      <c r="DG5248">
        <v>0</v>
      </c>
      <c r="DH5248">
        <v>0</v>
      </c>
      <c r="DI5248">
        <v>0</v>
      </c>
    </row>
    <row r="5249" spans="1:113" x14ac:dyDescent="0.3">
      <c r="A5249" t="str">
        <f t="shared" ref="A5249:A5256" si="2422">"05/12/2020 14:50:38.093"</f>
        <v>05/12/2020 14:50:38.093</v>
      </c>
      <c r="C5249" t="str">
        <f t="shared" si="2401"/>
        <v>FFDFD3C0</v>
      </c>
      <c r="D5249" t="s">
        <v>113</v>
      </c>
      <c r="E5249">
        <v>3</v>
      </c>
      <c r="H5249">
        <v>164</v>
      </c>
      <c r="I5249" t="s">
        <v>114</v>
      </c>
      <c r="J5249" t="s">
        <v>115</v>
      </c>
      <c r="K5249">
        <v>0</v>
      </c>
      <c r="L5249">
        <v>3</v>
      </c>
      <c r="M5249">
        <v>0</v>
      </c>
      <c r="N5249">
        <v>2</v>
      </c>
      <c r="O5249">
        <v>1</v>
      </c>
      <c r="P5249">
        <v>0</v>
      </c>
      <c r="Q5249">
        <v>0</v>
      </c>
      <c r="S5249" t="str">
        <f t="shared" ref="S5249:S5256" si="2423">"14:50:55.930"</f>
        <v>14:50:55.930</v>
      </c>
      <c r="T5249" t="str">
        <f t="shared" ref="T5249:T5256" si="2424">"14:50:55.630"</f>
        <v>14:50:55.630</v>
      </c>
      <c r="U5249" t="str">
        <f t="shared" si="2393"/>
        <v>A9808D</v>
      </c>
      <c r="V5249">
        <v>0</v>
      </c>
      <c r="W5249">
        <v>0</v>
      </c>
      <c r="X5249">
        <v>1</v>
      </c>
      <c r="Z5249">
        <v>0</v>
      </c>
      <c r="AA5249">
        <v>9</v>
      </c>
      <c r="AB5249">
        <v>3</v>
      </c>
      <c r="AC5249">
        <v>0</v>
      </c>
      <c r="AD5249">
        <v>10</v>
      </c>
      <c r="AE5249">
        <v>0</v>
      </c>
      <c r="AF5249">
        <v>3</v>
      </c>
      <c r="AG5249">
        <v>2</v>
      </c>
      <c r="AH5249">
        <v>0</v>
      </c>
      <c r="AI5249" t="s">
        <v>1161</v>
      </c>
      <c r="AJ5249">
        <v>28.227975000000001</v>
      </c>
      <c r="AK5249" t="s">
        <v>215</v>
      </c>
      <c r="AL5249">
        <v>-82.382698000000005</v>
      </c>
      <c r="AM5249">
        <v>100</v>
      </c>
      <c r="AN5249">
        <v>1700</v>
      </c>
      <c r="AO5249" t="s">
        <v>118</v>
      </c>
      <c r="AP5249">
        <v>-105</v>
      </c>
      <c r="AQ5249">
        <v>-56</v>
      </c>
      <c r="AR5249">
        <v>-704</v>
      </c>
      <c r="AZ5249">
        <v>1200</v>
      </c>
      <c r="BA5249">
        <v>1</v>
      </c>
      <c r="BB5249" t="str">
        <f t="shared" si="2402"/>
        <v xml:space="preserve">N711JA  </v>
      </c>
      <c r="BC5249">
        <v>1</v>
      </c>
      <c r="BE5249">
        <v>0</v>
      </c>
      <c r="BF5249">
        <v>0</v>
      </c>
      <c r="BG5249">
        <v>0</v>
      </c>
      <c r="BH5249">
        <v>1825</v>
      </c>
      <c r="BI5249">
        <v>1</v>
      </c>
      <c r="BJ5249">
        <v>1</v>
      </c>
      <c r="BK5249">
        <v>0</v>
      </c>
      <c r="BL5249">
        <v>0</v>
      </c>
      <c r="BO5249">
        <v>0</v>
      </c>
      <c r="BP5249">
        <v>0</v>
      </c>
      <c r="BW5249" t="str">
        <f t="shared" ref="BW5249:BW5256" si="2425">"14:50:55.931"</f>
        <v>14:50:55.931</v>
      </c>
      <c r="CJ5249">
        <v>0</v>
      </c>
      <c r="CK5249">
        <v>2</v>
      </c>
      <c r="CL5249">
        <v>0</v>
      </c>
      <c r="CM5249">
        <v>2</v>
      </c>
      <c r="CN5249">
        <v>0</v>
      </c>
      <c r="CO5249">
        <v>7</v>
      </c>
      <c r="CP5249" t="s">
        <v>119</v>
      </c>
      <c r="CQ5249">
        <v>343</v>
      </c>
      <c r="CR5249">
        <v>2</v>
      </c>
      <c r="CW5249">
        <v>13389886</v>
      </c>
      <c r="CY5249">
        <v>1</v>
      </c>
      <c r="CZ5249">
        <v>0</v>
      </c>
      <c r="DA5249">
        <v>0</v>
      </c>
      <c r="DB5249">
        <v>0</v>
      </c>
      <c r="DC5249">
        <v>0</v>
      </c>
      <c r="DD5249">
        <v>1</v>
      </c>
      <c r="DE5249">
        <v>0</v>
      </c>
      <c r="DF5249">
        <v>0</v>
      </c>
      <c r="DG5249">
        <v>0</v>
      </c>
      <c r="DH5249">
        <v>0</v>
      </c>
      <c r="DI5249">
        <v>0</v>
      </c>
    </row>
    <row r="5250" spans="1:113" x14ac:dyDescent="0.3">
      <c r="A5250" t="str">
        <f t="shared" si="2422"/>
        <v>05/12/2020 14:50:38.093</v>
      </c>
      <c r="C5250" t="str">
        <f t="shared" si="2401"/>
        <v>FFDFD3C0</v>
      </c>
      <c r="D5250" t="s">
        <v>138</v>
      </c>
      <c r="E5250">
        <v>2</v>
      </c>
      <c r="H5250">
        <v>8</v>
      </c>
      <c r="I5250" t="s">
        <v>139</v>
      </c>
      <c r="J5250" t="s">
        <v>136</v>
      </c>
      <c r="K5250">
        <v>0</v>
      </c>
      <c r="L5250">
        <v>3</v>
      </c>
      <c r="M5250">
        <v>0</v>
      </c>
      <c r="N5250">
        <v>2</v>
      </c>
      <c r="O5250">
        <v>1</v>
      </c>
      <c r="P5250">
        <v>0</v>
      </c>
      <c r="Q5250">
        <v>0</v>
      </c>
      <c r="S5250" t="str">
        <f t="shared" si="2423"/>
        <v>14:50:55.930</v>
      </c>
      <c r="T5250" t="str">
        <f t="shared" si="2424"/>
        <v>14:50:55.630</v>
      </c>
      <c r="U5250" t="str">
        <f t="shared" ref="U5250:U5313" si="2426">"A9808D"</f>
        <v>A9808D</v>
      </c>
      <c r="V5250">
        <v>0</v>
      </c>
      <c r="W5250">
        <v>0</v>
      </c>
      <c r="X5250">
        <v>1</v>
      </c>
      <c r="Z5250">
        <v>0</v>
      </c>
      <c r="AA5250">
        <v>9</v>
      </c>
      <c r="AB5250">
        <v>3</v>
      </c>
      <c r="AC5250">
        <v>0</v>
      </c>
      <c r="AD5250">
        <v>10</v>
      </c>
      <c r="AE5250">
        <v>0</v>
      </c>
      <c r="AF5250">
        <v>3</v>
      </c>
      <c r="AG5250">
        <v>2</v>
      </c>
      <c r="AH5250">
        <v>0</v>
      </c>
      <c r="AI5250" t="s">
        <v>1161</v>
      </c>
      <c r="AJ5250">
        <v>28.227975000000001</v>
      </c>
      <c r="AK5250" t="s">
        <v>215</v>
      </c>
      <c r="AL5250">
        <v>-82.382698000000005</v>
      </c>
      <c r="AM5250">
        <v>100</v>
      </c>
      <c r="AN5250">
        <v>1700</v>
      </c>
      <c r="AO5250" t="s">
        <v>118</v>
      </c>
      <c r="AP5250">
        <v>-105</v>
      </c>
      <c r="AQ5250">
        <v>-56</v>
      </c>
      <c r="AR5250">
        <v>-704</v>
      </c>
      <c r="AZ5250">
        <v>1200</v>
      </c>
      <c r="BA5250">
        <v>1</v>
      </c>
      <c r="BB5250" t="str">
        <f t="shared" si="2402"/>
        <v xml:space="preserve">N711JA  </v>
      </c>
      <c r="BC5250">
        <v>1</v>
      </c>
      <c r="BE5250">
        <v>0</v>
      </c>
      <c r="BF5250">
        <v>0</v>
      </c>
      <c r="BG5250">
        <v>0</v>
      </c>
      <c r="BH5250">
        <v>1825</v>
      </c>
      <c r="BI5250">
        <v>1</v>
      </c>
      <c r="BJ5250">
        <v>1</v>
      </c>
      <c r="BK5250">
        <v>0</v>
      </c>
      <c r="BL5250">
        <v>0</v>
      </c>
      <c r="BO5250">
        <v>0</v>
      </c>
      <c r="BP5250">
        <v>0</v>
      </c>
      <c r="BW5250" t="str">
        <f t="shared" si="2425"/>
        <v>14:50:55.931</v>
      </c>
      <c r="CJ5250">
        <v>0</v>
      </c>
      <c r="CK5250">
        <v>2</v>
      </c>
      <c r="CL5250">
        <v>0</v>
      </c>
      <c r="CM5250">
        <v>2</v>
      </c>
      <c r="CN5250">
        <v>0</v>
      </c>
      <c r="CO5250">
        <v>7</v>
      </c>
      <c r="CP5250" t="s">
        <v>119</v>
      </c>
      <c r="CQ5250">
        <v>343</v>
      </c>
      <c r="CR5250">
        <v>2</v>
      </c>
      <c r="CW5250">
        <v>13389886</v>
      </c>
      <c r="CY5250">
        <v>1</v>
      </c>
      <c r="CZ5250">
        <v>0</v>
      </c>
      <c r="DA5250">
        <v>1</v>
      </c>
      <c r="DB5250">
        <v>0</v>
      </c>
      <c r="DC5250">
        <v>0</v>
      </c>
      <c r="DD5250">
        <v>1</v>
      </c>
      <c r="DE5250">
        <v>0</v>
      </c>
      <c r="DF5250">
        <v>0</v>
      </c>
      <c r="DG5250">
        <v>0</v>
      </c>
      <c r="DH5250">
        <v>0</v>
      </c>
      <c r="DI5250">
        <v>0</v>
      </c>
    </row>
    <row r="5251" spans="1:113" x14ac:dyDescent="0.3">
      <c r="A5251" t="str">
        <f t="shared" si="2422"/>
        <v>05/12/2020 14:50:38.093</v>
      </c>
      <c r="C5251" t="str">
        <f t="shared" si="2401"/>
        <v>FFDFD3C0</v>
      </c>
      <c r="D5251" t="s">
        <v>138</v>
      </c>
      <c r="E5251">
        <v>3</v>
      </c>
      <c r="H5251">
        <v>9</v>
      </c>
      <c r="I5251" t="s">
        <v>140</v>
      </c>
      <c r="J5251" t="s">
        <v>136</v>
      </c>
      <c r="K5251">
        <v>0</v>
      </c>
      <c r="L5251">
        <v>3</v>
      </c>
      <c r="M5251">
        <v>0</v>
      </c>
      <c r="N5251">
        <v>2</v>
      </c>
      <c r="O5251">
        <v>1</v>
      </c>
      <c r="P5251">
        <v>0</v>
      </c>
      <c r="Q5251">
        <v>0</v>
      </c>
      <c r="S5251" t="str">
        <f t="shared" si="2423"/>
        <v>14:50:55.930</v>
      </c>
      <c r="T5251" t="str">
        <f t="shared" si="2424"/>
        <v>14:50:55.630</v>
      </c>
      <c r="U5251" t="str">
        <f t="shared" si="2426"/>
        <v>A9808D</v>
      </c>
      <c r="V5251">
        <v>0</v>
      </c>
      <c r="W5251">
        <v>0</v>
      </c>
      <c r="X5251">
        <v>1</v>
      </c>
      <c r="Z5251">
        <v>0</v>
      </c>
      <c r="AA5251">
        <v>9</v>
      </c>
      <c r="AB5251">
        <v>3</v>
      </c>
      <c r="AC5251">
        <v>0</v>
      </c>
      <c r="AD5251">
        <v>10</v>
      </c>
      <c r="AE5251">
        <v>0</v>
      </c>
      <c r="AF5251">
        <v>3</v>
      </c>
      <c r="AG5251">
        <v>2</v>
      </c>
      <c r="AH5251">
        <v>0</v>
      </c>
      <c r="AI5251" t="s">
        <v>1161</v>
      </c>
      <c r="AJ5251">
        <v>28.227975000000001</v>
      </c>
      <c r="AK5251" t="s">
        <v>215</v>
      </c>
      <c r="AL5251">
        <v>-82.382698000000005</v>
      </c>
      <c r="AM5251">
        <v>100</v>
      </c>
      <c r="AN5251">
        <v>1700</v>
      </c>
      <c r="AO5251" t="s">
        <v>118</v>
      </c>
      <c r="AP5251">
        <v>-105</v>
      </c>
      <c r="AQ5251">
        <v>-56</v>
      </c>
      <c r="AR5251">
        <v>-704</v>
      </c>
      <c r="AZ5251">
        <v>1200</v>
      </c>
      <c r="BA5251">
        <v>1</v>
      </c>
      <c r="BB5251" t="str">
        <f t="shared" si="2402"/>
        <v xml:space="preserve">N711JA  </v>
      </c>
      <c r="BC5251">
        <v>1</v>
      </c>
      <c r="BE5251">
        <v>0</v>
      </c>
      <c r="BF5251">
        <v>0</v>
      </c>
      <c r="BG5251">
        <v>0</v>
      </c>
      <c r="BH5251">
        <v>1825</v>
      </c>
      <c r="BI5251">
        <v>1</v>
      </c>
      <c r="BJ5251">
        <v>1</v>
      </c>
      <c r="BK5251">
        <v>0</v>
      </c>
      <c r="BL5251">
        <v>0</v>
      </c>
      <c r="BO5251">
        <v>0</v>
      </c>
      <c r="BP5251">
        <v>0</v>
      </c>
      <c r="BW5251" t="str">
        <f t="shared" si="2425"/>
        <v>14:50:55.931</v>
      </c>
      <c r="CJ5251">
        <v>0</v>
      </c>
      <c r="CK5251">
        <v>2</v>
      </c>
      <c r="CL5251">
        <v>0</v>
      </c>
      <c r="CM5251">
        <v>2</v>
      </c>
      <c r="CN5251">
        <v>0</v>
      </c>
      <c r="CO5251">
        <v>7</v>
      </c>
      <c r="CP5251" t="s">
        <v>119</v>
      </c>
      <c r="CQ5251">
        <v>343</v>
      </c>
      <c r="CR5251">
        <v>2</v>
      </c>
      <c r="CW5251">
        <v>13389886</v>
      </c>
      <c r="CY5251">
        <v>1</v>
      </c>
      <c r="CZ5251">
        <v>0</v>
      </c>
      <c r="DA5251">
        <v>1</v>
      </c>
      <c r="DB5251">
        <v>0</v>
      </c>
      <c r="DC5251">
        <v>0</v>
      </c>
      <c r="DD5251">
        <v>1</v>
      </c>
      <c r="DE5251">
        <v>0</v>
      </c>
      <c r="DF5251">
        <v>0</v>
      </c>
      <c r="DG5251">
        <v>0</v>
      </c>
      <c r="DH5251">
        <v>0</v>
      </c>
      <c r="DI5251">
        <v>0</v>
      </c>
    </row>
    <row r="5252" spans="1:113" x14ac:dyDescent="0.3">
      <c r="A5252" t="str">
        <f t="shared" si="2422"/>
        <v>05/12/2020 14:50:38.093</v>
      </c>
      <c r="C5252" t="str">
        <f t="shared" si="2401"/>
        <v>FFDFD3C0</v>
      </c>
      <c r="D5252" t="s">
        <v>126</v>
      </c>
      <c r="E5252">
        <v>6</v>
      </c>
      <c r="F5252">
        <v>1006</v>
      </c>
      <c r="G5252" t="s">
        <v>114</v>
      </c>
      <c r="J5252" t="s">
        <v>128</v>
      </c>
      <c r="K5252">
        <v>0</v>
      </c>
      <c r="L5252">
        <v>3</v>
      </c>
      <c r="M5252">
        <v>0</v>
      </c>
      <c r="N5252">
        <v>2</v>
      </c>
      <c r="O5252">
        <v>1</v>
      </c>
      <c r="P5252">
        <v>0</v>
      </c>
      <c r="Q5252">
        <v>0</v>
      </c>
      <c r="S5252" t="str">
        <f t="shared" si="2423"/>
        <v>14:50:55.930</v>
      </c>
      <c r="T5252" t="str">
        <f t="shared" si="2424"/>
        <v>14:50:55.630</v>
      </c>
      <c r="U5252" t="str">
        <f t="shared" si="2426"/>
        <v>A9808D</v>
      </c>
      <c r="V5252">
        <v>0</v>
      </c>
      <c r="W5252">
        <v>0</v>
      </c>
      <c r="X5252">
        <v>1</v>
      </c>
      <c r="Z5252">
        <v>0</v>
      </c>
      <c r="AA5252">
        <v>9</v>
      </c>
      <c r="AB5252">
        <v>3</v>
      </c>
      <c r="AC5252">
        <v>0</v>
      </c>
      <c r="AD5252">
        <v>10</v>
      </c>
      <c r="AE5252">
        <v>0</v>
      </c>
      <c r="AF5252">
        <v>3</v>
      </c>
      <c r="AG5252">
        <v>2</v>
      </c>
      <c r="AH5252">
        <v>0</v>
      </c>
      <c r="AI5252" t="s">
        <v>1161</v>
      </c>
      <c r="AJ5252">
        <v>28.227975000000001</v>
      </c>
      <c r="AK5252" t="s">
        <v>215</v>
      </c>
      <c r="AL5252">
        <v>-82.382698000000005</v>
      </c>
      <c r="AM5252">
        <v>100</v>
      </c>
      <c r="AN5252">
        <v>1700</v>
      </c>
      <c r="AO5252" t="s">
        <v>118</v>
      </c>
      <c r="AP5252">
        <v>-105</v>
      </c>
      <c r="AQ5252">
        <v>-56</v>
      </c>
      <c r="AR5252">
        <v>-704</v>
      </c>
      <c r="AZ5252">
        <v>1200</v>
      </c>
      <c r="BA5252">
        <v>1</v>
      </c>
      <c r="BB5252" t="str">
        <f t="shared" si="2402"/>
        <v xml:space="preserve">N711JA  </v>
      </c>
      <c r="BC5252">
        <v>1</v>
      </c>
      <c r="BE5252">
        <v>0</v>
      </c>
      <c r="BF5252">
        <v>0</v>
      </c>
      <c r="BG5252">
        <v>0</v>
      </c>
      <c r="BH5252">
        <v>1825</v>
      </c>
      <c r="BI5252">
        <v>1</v>
      </c>
      <c r="BJ5252">
        <v>1</v>
      </c>
      <c r="BK5252">
        <v>0</v>
      </c>
      <c r="BL5252">
        <v>0</v>
      </c>
      <c r="BO5252">
        <v>0</v>
      </c>
      <c r="BP5252">
        <v>0</v>
      </c>
      <c r="BW5252" t="str">
        <f t="shared" si="2425"/>
        <v>14:50:55.931</v>
      </c>
      <c r="CJ5252">
        <v>0</v>
      </c>
      <c r="CK5252">
        <v>2</v>
      </c>
      <c r="CL5252">
        <v>0</v>
      </c>
      <c r="CM5252">
        <v>2</v>
      </c>
      <c r="CN5252">
        <v>0</v>
      </c>
      <c r="CO5252">
        <v>7</v>
      </c>
      <c r="CP5252" t="s">
        <v>119</v>
      </c>
      <c r="CQ5252">
        <v>343</v>
      </c>
      <c r="CR5252">
        <v>2</v>
      </c>
      <c r="CW5252">
        <v>13389886</v>
      </c>
      <c r="CY5252">
        <v>1</v>
      </c>
      <c r="CZ5252">
        <v>0</v>
      </c>
      <c r="DA5252">
        <v>1</v>
      </c>
      <c r="DB5252">
        <v>0</v>
      </c>
      <c r="DC5252">
        <v>0</v>
      </c>
      <c r="DD5252">
        <v>1</v>
      </c>
      <c r="DE5252">
        <v>0</v>
      </c>
      <c r="DF5252">
        <v>0</v>
      </c>
      <c r="DG5252">
        <v>0</v>
      </c>
      <c r="DH5252">
        <v>0</v>
      </c>
      <c r="DI5252">
        <v>0</v>
      </c>
    </row>
    <row r="5253" spans="1:113" x14ac:dyDescent="0.3">
      <c r="A5253" t="str">
        <f t="shared" si="2422"/>
        <v>05/12/2020 14:50:38.093</v>
      </c>
      <c r="C5253" t="str">
        <f t="shared" si="2401"/>
        <v>FFDFD3C0</v>
      </c>
      <c r="D5253" t="s">
        <v>134</v>
      </c>
      <c r="E5253">
        <v>12</v>
      </c>
      <c r="H5253">
        <v>64</v>
      </c>
      <c r="I5253" t="s">
        <v>135</v>
      </c>
      <c r="J5253" t="s">
        <v>136</v>
      </c>
      <c r="K5253">
        <v>0</v>
      </c>
      <c r="L5253">
        <v>3</v>
      </c>
      <c r="M5253">
        <v>0</v>
      </c>
      <c r="N5253">
        <v>2</v>
      </c>
      <c r="O5253">
        <v>1</v>
      </c>
      <c r="P5253">
        <v>0</v>
      </c>
      <c r="Q5253">
        <v>0</v>
      </c>
      <c r="S5253" t="str">
        <f t="shared" si="2423"/>
        <v>14:50:55.930</v>
      </c>
      <c r="T5253" t="str">
        <f t="shared" si="2424"/>
        <v>14:50:55.630</v>
      </c>
      <c r="U5253" t="str">
        <f t="shared" si="2426"/>
        <v>A9808D</v>
      </c>
      <c r="V5253">
        <v>0</v>
      </c>
      <c r="W5253">
        <v>0</v>
      </c>
      <c r="X5253">
        <v>1</v>
      </c>
      <c r="Z5253">
        <v>0</v>
      </c>
      <c r="AA5253">
        <v>9</v>
      </c>
      <c r="AB5253">
        <v>3</v>
      </c>
      <c r="AC5253">
        <v>0</v>
      </c>
      <c r="AD5253">
        <v>10</v>
      </c>
      <c r="AE5253">
        <v>0</v>
      </c>
      <c r="AF5253">
        <v>3</v>
      </c>
      <c r="AG5253">
        <v>2</v>
      </c>
      <c r="AH5253">
        <v>0</v>
      </c>
      <c r="AI5253" t="s">
        <v>1161</v>
      </c>
      <c r="AJ5253">
        <v>28.227975000000001</v>
      </c>
      <c r="AK5253" t="s">
        <v>215</v>
      </c>
      <c r="AL5253">
        <v>-82.382698000000005</v>
      </c>
      <c r="AM5253">
        <v>100</v>
      </c>
      <c r="AN5253">
        <v>1700</v>
      </c>
      <c r="AO5253" t="s">
        <v>118</v>
      </c>
      <c r="AP5253">
        <v>-105</v>
      </c>
      <c r="AQ5253">
        <v>-56</v>
      </c>
      <c r="AR5253">
        <v>-704</v>
      </c>
      <c r="AZ5253">
        <v>1200</v>
      </c>
      <c r="BA5253">
        <v>1</v>
      </c>
      <c r="BB5253" t="str">
        <f t="shared" si="2402"/>
        <v xml:space="preserve">N711JA  </v>
      </c>
      <c r="BC5253">
        <v>1</v>
      </c>
      <c r="BE5253">
        <v>0</v>
      </c>
      <c r="BF5253">
        <v>0</v>
      </c>
      <c r="BG5253">
        <v>0</v>
      </c>
      <c r="BH5253">
        <v>1825</v>
      </c>
      <c r="BI5253">
        <v>1</v>
      </c>
      <c r="BJ5253">
        <v>1</v>
      </c>
      <c r="BK5253">
        <v>0</v>
      </c>
      <c r="BL5253">
        <v>0</v>
      </c>
      <c r="BO5253">
        <v>0</v>
      </c>
      <c r="BP5253">
        <v>0</v>
      </c>
      <c r="BW5253" t="str">
        <f t="shared" si="2425"/>
        <v>14:50:55.931</v>
      </c>
      <c r="CJ5253">
        <v>0</v>
      </c>
      <c r="CK5253">
        <v>2</v>
      </c>
      <c r="CL5253">
        <v>0</v>
      </c>
      <c r="CM5253">
        <v>2</v>
      </c>
      <c r="CN5253">
        <v>0</v>
      </c>
      <c r="CO5253">
        <v>7</v>
      </c>
      <c r="CP5253" t="s">
        <v>119</v>
      </c>
      <c r="CQ5253">
        <v>343</v>
      </c>
      <c r="CR5253">
        <v>2</v>
      </c>
      <c r="CW5253">
        <v>13389886</v>
      </c>
      <c r="CY5253">
        <v>1</v>
      </c>
      <c r="CZ5253">
        <v>0</v>
      </c>
      <c r="DA5253">
        <v>1</v>
      </c>
      <c r="DB5253">
        <v>0</v>
      </c>
      <c r="DC5253">
        <v>0</v>
      </c>
      <c r="DD5253">
        <v>1</v>
      </c>
      <c r="DE5253">
        <v>0</v>
      </c>
      <c r="DF5253">
        <v>0</v>
      </c>
      <c r="DG5253">
        <v>0</v>
      </c>
      <c r="DH5253">
        <v>0</v>
      </c>
      <c r="DI5253">
        <v>0</v>
      </c>
    </row>
    <row r="5254" spans="1:113" x14ac:dyDescent="0.3">
      <c r="A5254" t="str">
        <f t="shared" si="2422"/>
        <v>05/12/2020 14:50:38.093</v>
      </c>
      <c r="C5254" t="str">
        <f t="shared" si="2401"/>
        <v>FFDFD3C0</v>
      </c>
      <c r="D5254" t="s">
        <v>126</v>
      </c>
      <c r="E5254">
        <v>7</v>
      </c>
      <c r="F5254">
        <v>1007</v>
      </c>
      <c r="G5254" t="s">
        <v>127</v>
      </c>
      <c r="J5254" t="s">
        <v>128</v>
      </c>
      <c r="K5254">
        <v>0</v>
      </c>
      <c r="L5254">
        <v>3</v>
      </c>
      <c r="M5254">
        <v>0</v>
      </c>
      <c r="N5254">
        <v>2</v>
      </c>
      <c r="O5254">
        <v>1</v>
      </c>
      <c r="P5254">
        <v>0</v>
      </c>
      <c r="Q5254">
        <v>0</v>
      </c>
      <c r="S5254" t="str">
        <f t="shared" si="2423"/>
        <v>14:50:55.930</v>
      </c>
      <c r="T5254" t="str">
        <f t="shared" si="2424"/>
        <v>14:50:55.630</v>
      </c>
      <c r="U5254" t="str">
        <f t="shared" si="2426"/>
        <v>A9808D</v>
      </c>
      <c r="V5254">
        <v>0</v>
      </c>
      <c r="W5254">
        <v>0</v>
      </c>
      <c r="X5254">
        <v>1</v>
      </c>
      <c r="Z5254">
        <v>0</v>
      </c>
      <c r="AA5254">
        <v>9</v>
      </c>
      <c r="AB5254">
        <v>3</v>
      </c>
      <c r="AC5254">
        <v>0</v>
      </c>
      <c r="AD5254">
        <v>10</v>
      </c>
      <c r="AE5254">
        <v>0</v>
      </c>
      <c r="AF5254">
        <v>3</v>
      </c>
      <c r="AG5254">
        <v>2</v>
      </c>
      <c r="AH5254">
        <v>0</v>
      </c>
      <c r="AI5254" t="s">
        <v>1161</v>
      </c>
      <c r="AJ5254">
        <v>28.227975000000001</v>
      </c>
      <c r="AK5254" t="s">
        <v>215</v>
      </c>
      <c r="AL5254">
        <v>-82.382698000000005</v>
      </c>
      <c r="AM5254">
        <v>100</v>
      </c>
      <c r="AN5254">
        <v>1700</v>
      </c>
      <c r="AO5254" t="s">
        <v>118</v>
      </c>
      <c r="AP5254">
        <v>-105</v>
      </c>
      <c r="AQ5254">
        <v>-56</v>
      </c>
      <c r="AR5254">
        <v>-704</v>
      </c>
      <c r="AZ5254">
        <v>1200</v>
      </c>
      <c r="BA5254">
        <v>1</v>
      </c>
      <c r="BB5254" t="str">
        <f t="shared" si="2402"/>
        <v xml:space="preserve">N711JA  </v>
      </c>
      <c r="BC5254">
        <v>1</v>
      </c>
      <c r="BE5254">
        <v>0</v>
      </c>
      <c r="BF5254">
        <v>0</v>
      </c>
      <c r="BG5254">
        <v>0</v>
      </c>
      <c r="BH5254">
        <v>1825</v>
      </c>
      <c r="BI5254">
        <v>1</v>
      </c>
      <c r="BJ5254">
        <v>1</v>
      </c>
      <c r="BK5254">
        <v>0</v>
      </c>
      <c r="BL5254">
        <v>0</v>
      </c>
      <c r="BO5254">
        <v>0</v>
      </c>
      <c r="BP5254">
        <v>0</v>
      </c>
      <c r="BW5254" t="str">
        <f t="shared" si="2425"/>
        <v>14:50:55.931</v>
      </c>
      <c r="CJ5254">
        <v>0</v>
      </c>
      <c r="CK5254">
        <v>2</v>
      </c>
      <c r="CL5254">
        <v>0</v>
      </c>
      <c r="CM5254">
        <v>2</v>
      </c>
      <c r="CN5254">
        <v>0</v>
      </c>
      <c r="CO5254">
        <v>7</v>
      </c>
      <c r="CP5254" t="s">
        <v>119</v>
      </c>
      <c r="CQ5254">
        <v>343</v>
      </c>
      <c r="CR5254">
        <v>2</v>
      </c>
      <c r="CW5254">
        <v>13389886</v>
      </c>
      <c r="CY5254">
        <v>1</v>
      </c>
      <c r="CZ5254">
        <v>0</v>
      </c>
      <c r="DA5254">
        <v>1</v>
      </c>
      <c r="DB5254">
        <v>0</v>
      </c>
      <c r="DC5254">
        <v>0</v>
      </c>
      <c r="DD5254">
        <v>1</v>
      </c>
      <c r="DE5254">
        <v>0</v>
      </c>
      <c r="DF5254">
        <v>0</v>
      </c>
      <c r="DG5254">
        <v>0</v>
      </c>
      <c r="DH5254">
        <v>0</v>
      </c>
      <c r="DI5254">
        <v>0</v>
      </c>
    </row>
    <row r="5255" spans="1:113" x14ac:dyDescent="0.3">
      <c r="A5255" t="str">
        <f t="shared" si="2422"/>
        <v>05/12/2020 14:50:38.093</v>
      </c>
      <c r="C5255" t="str">
        <f t="shared" si="2401"/>
        <v>FFDFD3C0</v>
      </c>
      <c r="D5255" t="s">
        <v>131</v>
      </c>
      <c r="E5255">
        <v>10</v>
      </c>
      <c r="F5255">
        <v>2010</v>
      </c>
      <c r="G5255" t="s">
        <v>132</v>
      </c>
      <c r="J5255" t="s">
        <v>133</v>
      </c>
      <c r="K5255">
        <v>0</v>
      </c>
      <c r="L5255">
        <v>3</v>
      </c>
      <c r="M5255">
        <v>0</v>
      </c>
      <c r="N5255">
        <v>2</v>
      </c>
      <c r="O5255">
        <v>1</v>
      </c>
      <c r="P5255">
        <v>0</v>
      </c>
      <c r="Q5255">
        <v>0</v>
      </c>
      <c r="S5255" t="str">
        <f t="shared" si="2423"/>
        <v>14:50:55.930</v>
      </c>
      <c r="T5255" t="str">
        <f t="shared" si="2424"/>
        <v>14:50:55.630</v>
      </c>
      <c r="U5255" t="str">
        <f t="shared" si="2426"/>
        <v>A9808D</v>
      </c>
      <c r="V5255">
        <v>0</v>
      </c>
      <c r="W5255">
        <v>0</v>
      </c>
      <c r="X5255">
        <v>1</v>
      </c>
      <c r="Z5255">
        <v>0</v>
      </c>
      <c r="AA5255">
        <v>9</v>
      </c>
      <c r="AB5255">
        <v>3</v>
      </c>
      <c r="AC5255">
        <v>0</v>
      </c>
      <c r="AD5255">
        <v>10</v>
      </c>
      <c r="AE5255">
        <v>0</v>
      </c>
      <c r="AF5255">
        <v>3</v>
      </c>
      <c r="AG5255">
        <v>2</v>
      </c>
      <c r="AH5255">
        <v>0</v>
      </c>
      <c r="AI5255" t="s">
        <v>1161</v>
      </c>
      <c r="AJ5255">
        <v>28.227975000000001</v>
      </c>
      <c r="AK5255" t="s">
        <v>215</v>
      </c>
      <c r="AL5255">
        <v>-82.382698000000005</v>
      </c>
      <c r="AM5255">
        <v>100</v>
      </c>
      <c r="AN5255">
        <v>1700</v>
      </c>
      <c r="AO5255" t="s">
        <v>118</v>
      </c>
      <c r="AP5255">
        <v>-105</v>
      </c>
      <c r="AQ5255">
        <v>-56</v>
      </c>
      <c r="AR5255">
        <v>-704</v>
      </c>
      <c r="AZ5255">
        <v>1200</v>
      </c>
      <c r="BA5255">
        <v>1</v>
      </c>
      <c r="BB5255" t="str">
        <f t="shared" si="2402"/>
        <v xml:space="preserve">N711JA  </v>
      </c>
      <c r="BC5255">
        <v>1</v>
      </c>
      <c r="BE5255">
        <v>0</v>
      </c>
      <c r="BF5255">
        <v>0</v>
      </c>
      <c r="BG5255">
        <v>0</v>
      </c>
      <c r="BH5255">
        <v>1825</v>
      </c>
      <c r="BI5255">
        <v>1</v>
      </c>
      <c r="BJ5255">
        <v>1</v>
      </c>
      <c r="BK5255">
        <v>0</v>
      </c>
      <c r="BL5255">
        <v>0</v>
      </c>
      <c r="BO5255">
        <v>0</v>
      </c>
      <c r="BP5255">
        <v>0</v>
      </c>
      <c r="BW5255" t="str">
        <f t="shared" si="2425"/>
        <v>14:50:55.931</v>
      </c>
      <c r="CJ5255">
        <v>0</v>
      </c>
      <c r="CK5255">
        <v>2</v>
      </c>
      <c r="CL5255">
        <v>0</v>
      </c>
      <c r="CM5255">
        <v>2</v>
      </c>
      <c r="CN5255">
        <v>0</v>
      </c>
      <c r="CO5255">
        <v>7</v>
      </c>
      <c r="CP5255" t="s">
        <v>119</v>
      </c>
      <c r="CQ5255">
        <v>343</v>
      </c>
      <c r="CR5255">
        <v>2</v>
      </c>
      <c r="CW5255">
        <v>13389886</v>
      </c>
      <c r="CY5255">
        <v>1</v>
      </c>
      <c r="CZ5255">
        <v>0</v>
      </c>
      <c r="DA5255">
        <v>1</v>
      </c>
      <c r="DB5255">
        <v>0</v>
      </c>
      <c r="DC5255">
        <v>0</v>
      </c>
      <c r="DD5255">
        <v>1</v>
      </c>
      <c r="DE5255">
        <v>0</v>
      </c>
      <c r="DF5255">
        <v>0</v>
      </c>
      <c r="DG5255">
        <v>0</v>
      </c>
      <c r="DH5255">
        <v>0</v>
      </c>
      <c r="DI5255">
        <v>0</v>
      </c>
    </row>
    <row r="5256" spans="1:113" x14ac:dyDescent="0.3">
      <c r="A5256" t="str">
        <f t="shared" si="2422"/>
        <v>05/12/2020 14:50:38.093</v>
      </c>
      <c r="C5256" t="str">
        <f t="shared" si="2401"/>
        <v>FFDFD3C0</v>
      </c>
      <c r="D5256" t="s">
        <v>131</v>
      </c>
      <c r="E5256">
        <v>12</v>
      </c>
      <c r="F5256">
        <v>2012</v>
      </c>
      <c r="G5256" t="s">
        <v>137</v>
      </c>
      <c r="J5256" t="s">
        <v>133</v>
      </c>
      <c r="K5256">
        <v>0</v>
      </c>
      <c r="L5256">
        <v>3</v>
      </c>
      <c r="M5256">
        <v>0</v>
      </c>
      <c r="N5256">
        <v>2</v>
      </c>
      <c r="O5256">
        <v>1</v>
      </c>
      <c r="P5256">
        <v>0</v>
      </c>
      <c r="Q5256">
        <v>0</v>
      </c>
      <c r="S5256" t="str">
        <f t="shared" si="2423"/>
        <v>14:50:55.930</v>
      </c>
      <c r="T5256" t="str">
        <f t="shared" si="2424"/>
        <v>14:50:55.630</v>
      </c>
      <c r="U5256" t="str">
        <f t="shared" si="2426"/>
        <v>A9808D</v>
      </c>
      <c r="V5256">
        <v>0</v>
      </c>
      <c r="W5256">
        <v>0</v>
      </c>
      <c r="X5256">
        <v>1</v>
      </c>
      <c r="Z5256">
        <v>0</v>
      </c>
      <c r="AA5256">
        <v>9</v>
      </c>
      <c r="AB5256">
        <v>3</v>
      </c>
      <c r="AC5256">
        <v>0</v>
      </c>
      <c r="AD5256">
        <v>10</v>
      </c>
      <c r="AE5256">
        <v>0</v>
      </c>
      <c r="AF5256">
        <v>3</v>
      </c>
      <c r="AG5256">
        <v>2</v>
      </c>
      <c r="AH5256">
        <v>0</v>
      </c>
      <c r="AI5256" t="s">
        <v>1161</v>
      </c>
      <c r="AJ5256">
        <v>28.227975000000001</v>
      </c>
      <c r="AK5256" t="s">
        <v>215</v>
      </c>
      <c r="AL5256">
        <v>-82.382698000000005</v>
      </c>
      <c r="AM5256">
        <v>100</v>
      </c>
      <c r="AN5256">
        <v>1700</v>
      </c>
      <c r="AO5256" t="s">
        <v>118</v>
      </c>
      <c r="AP5256">
        <v>-105</v>
      </c>
      <c r="AQ5256">
        <v>-56</v>
      </c>
      <c r="AR5256">
        <v>-704</v>
      </c>
      <c r="AZ5256">
        <v>1200</v>
      </c>
      <c r="BA5256">
        <v>1</v>
      </c>
      <c r="BB5256" t="str">
        <f t="shared" si="2402"/>
        <v xml:space="preserve">N711JA  </v>
      </c>
      <c r="BC5256">
        <v>1</v>
      </c>
      <c r="BE5256">
        <v>0</v>
      </c>
      <c r="BF5256">
        <v>0</v>
      </c>
      <c r="BG5256">
        <v>0</v>
      </c>
      <c r="BH5256">
        <v>1825</v>
      </c>
      <c r="BI5256">
        <v>1</v>
      </c>
      <c r="BJ5256">
        <v>1</v>
      </c>
      <c r="BK5256">
        <v>0</v>
      </c>
      <c r="BL5256">
        <v>0</v>
      </c>
      <c r="BO5256">
        <v>0</v>
      </c>
      <c r="BP5256">
        <v>0</v>
      </c>
      <c r="BW5256" t="str">
        <f t="shared" si="2425"/>
        <v>14:50:55.931</v>
      </c>
      <c r="CJ5256">
        <v>0</v>
      </c>
      <c r="CK5256">
        <v>2</v>
      </c>
      <c r="CL5256">
        <v>0</v>
      </c>
      <c r="CM5256">
        <v>2</v>
      </c>
      <c r="CN5256">
        <v>0</v>
      </c>
      <c r="CO5256">
        <v>7</v>
      </c>
      <c r="CP5256" t="s">
        <v>119</v>
      </c>
      <c r="CQ5256">
        <v>343</v>
      </c>
      <c r="CR5256">
        <v>2</v>
      </c>
      <c r="CW5256">
        <v>13389886</v>
      </c>
      <c r="CY5256">
        <v>1</v>
      </c>
      <c r="CZ5256">
        <v>0</v>
      </c>
      <c r="DA5256">
        <v>1</v>
      </c>
      <c r="DB5256">
        <v>0</v>
      </c>
      <c r="DC5256">
        <v>0</v>
      </c>
      <c r="DD5256">
        <v>1</v>
      </c>
      <c r="DE5256">
        <v>0</v>
      </c>
      <c r="DF5256">
        <v>0</v>
      </c>
      <c r="DG5256">
        <v>0</v>
      </c>
      <c r="DH5256">
        <v>0</v>
      </c>
      <c r="DI5256">
        <v>0</v>
      </c>
    </row>
    <row r="5257" spans="1:113" x14ac:dyDescent="0.3">
      <c r="A5257" t="str">
        <f t="shared" ref="A5257:A5264" si="2427">"05/12/2020 14:50:38.981"</f>
        <v>05/12/2020 14:50:38.981</v>
      </c>
      <c r="C5257" t="str">
        <f t="shared" si="2401"/>
        <v>FFDFD3C0</v>
      </c>
      <c r="D5257" t="s">
        <v>126</v>
      </c>
      <c r="E5257">
        <v>7</v>
      </c>
      <c r="F5257">
        <v>1007</v>
      </c>
      <c r="G5257" t="s">
        <v>127</v>
      </c>
      <c r="J5257" t="s">
        <v>128</v>
      </c>
      <c r="K5257">
        <v>0</v>
      </c>
      <c r="L5257">
        <v>3</v>
      </c>
      <c r="M5257">
        <v>0</v>
      </c>
      <c r="N5257">
        <v>2</v>
      </c>
      <c r="O5257">
        <v>1</v>
      </c>
      <c r="P5257">
        <v>0</v>
      </c>
      <c r="Q5257">
        <v>0</v>
      </c>
      <c r="S5257" t="str">
        <f t="shared" ref="S5257:S5264" si="2428">"14:50:56.805"</f>
        <v>14:50:56.805</v>
      </c>
      <c r="T5257" t="str">
        <f t="shared" ref="T5257:T5264" si="2429">"14:50:56.605"</f>
        <v>14:50:56.605</v>
      </c>
      <c r="U5257" t="str">
        <f t="shared" si="2426"/>
        <v>A9808D</v>
      </c>
      <c r="V5257">
        <v>0</v>
      </c>
      <c r="W5257">
        <v>0</v>
      </c>
      <c r="X5257">
        <v>1</v>
      </c>
      <c r="Z5257">
        <v>0</v>
      </c>
      <c r="AA5257">
        <v>9</v>
      </c>
      <c r="AB5257">
        <v>3</v>
      </c>
      <c r="AC5257">
        <v>0</v>
      </c>
      <c r="AD5257">
        <v>10</v>
      </c>
      <c r="AE5257">
        <v>0</v>
      </c>
      <c r="AF5257">
        <v>3</v>
      </c>
      <c r="AG5257">
        <v>2</v>
      </c>
      <c r="AH5257">
        <v>0</v>
      </c>
      <c r="AI5257" t="s">
        <v>1162</v>
      </c>
      <c r="AJ5257">
        <v>28.227717999999999</v>
      </c>
      <c r="AK5257" t="s">
        <v>368</v>
      </c>
      <c r="AL5257">
        <v>-82.383149000000003</v>
      </c>
      <c r="AM5257">
        <v>100</v>
      </c>
      <c r="AN5257">
        <v>1700</v>
      </c>
      <c r="AO5257" t="s">
        <v>118</v>
      </c>
      <c r="AP5257">
        <v>-104</v>
      </c>
      <c r="AQ5257">
        <v>-58</v>
      </c>
      <c r="AR5257">
        <v>-640</v>
      </c>
      <c r="AZ5257">
        <v>1200</v>
      </c>
      <c r="BA5257">
        <v>1</v>
      </c>
      <c r="BB5257" t="str">
        <f t="shared" si="2402"/>
        <v xml:space="preserve">N711JA  </v>
      </c>
      <c r="BC5257">
        <v>1</v>
      </c>
      <c r="BE5257">
        <v>0</v>
      </c>
      <c r="BF5257">
        <v>0</v>
      </c>
      <c r="BG5257">
        <v>0</v>
      </c>
      <c r="BH5257">
        <v>1800</v>
      </c>
      <c r="BI5257">
        <v>1</v>
      </c>
      <c r="BJ5257">
        <v>1</v>
      </c>
      <c r="BK5257">
        <v>0</v>
      </c>
      <c r="BL5257">
        <v>0</v>
      </c>
      <c r="BO5257">
        <v>0</v>
      </c>
      <c r="BP5257">
        <v>0</v>
      </c>
      <c r="BW5257" t="str">
        <f t="shared" ref="BW5257:BW5264" si="2430">"14:50:56.812"</f>
        <v>14:50:56.812</v>
      </c>
      <c r="CJ5257">
        <v>0</v>
      </c>
      <c r="CK5257">
        <v>2</v>
      </c>
      <c r="CL5257">
        <v>0</v>
      </c>
      <c r="CM5257">
        <v>2</v>
      </c>
      <c r="CN5257">
        <v>0</v>
      </c>
      <c r="CO5257">
        <v>7</v>
      </c>
      <c r="CP5257" t="s">
        <v>119</v>
      </c>
      <c r="CQ5257">
        <v>358</v>
      </c>
      <c r="CR5257">
        <v>0</v>
      </c>
      <c r="CW5257">
        <v>5241467</v>
      </c>
      <c r="CY5257">
        <v>1</v>
      </c>
      <c r="CZ5257">
        <v>0</v>
      </c>
      <c r="DA5257">
        <v>0</v>
      </c>
      <c r="DB5257">
        <v>0</v>
      </c>
      <c r="DC5257">
        <v>0</v>
      </c>
      <c r="DD5257">
        <v>1</v>
      </c>
      <c r="DE5257">
        <v>0</v>
      </c>
      <c r="DF5257">
        <v>0</v>
      </c>
      <c r="DG5257">
        <v>0</v>
      </c>
      <c r="DH5257">
        <v>0</v>
      </c>
      <c r="DI5257">
        <v>0</v>
      </c>
    </row>
    <row r="5258" spans="1:113" x14ac:dyDescent="0.3">
      <c r="A5258" t="str">
        <f t="shared" si="2427"/>
        <v>05/12/2020 14:50:38.981</v>
      </c>
      <c r="C5258" t="str">
        <f t="shared" si="2401"/>
        <v>FFDFD3C0</v>
      </c>
      <c r="D5258" t="s">
        <v>131</v>
      </c>
      <c r="E5258">
        <v>10</v>
      </c>
      <c r="F5258">
        <v>2010</v>
      </c>
      <c r="G5258" t="s">
        <v>132</v>
      </c>
      <c r="J5258" t="s">
        <v>133</v>
      </c>
      <c r="K5258">
        <v>0</v>
      </c>
      <c r="L5258">
        <v>3</v>
      </c>
      <c r="M5258">
        <v>0</v>
      </c>
      <c r="N5258">
        <v>2</v>
      </c>
      <c r="O5258">
        <v>1</v>
      </c>
      <c r="P5258">
        <v>0</v>
      </c>
      <c r="Q5258">
        <v>0</v>
      </c>
      <c r="S5258" t="str">
        <f t="shared" si="2428"/>
        <v>14:50:56.805</v>
      </c>
      <c r="T5258" t="str">
        <f t="shared" si="2429"/>
        <v>14:50:56.605</v>
      </c>
      <c r="U5258" t="str">
        <f t="shared" si="2426"/>
        <v>A9808D</v>
      </c>
      <c r="V5258">
        <v>0</v>
      </c>
      <c r="W5258">
        <v>0</v>
      </c>
      <c r="X5258">
        <v>1</v>
      </c>
      <c r="Z5258">
        <v>0</v>
      </c>
      <c r="AA5258">
        <v>9</v>
      </c>
      <c r="AB5258">
        <v>3</v>
      </c>
      <c r="AC5258">
        <v>0</v>
      </c>
      <c r="AD5258">
        <v>10</v>
      </c>
      <c r="AE5258">
        <v>0</v>
      </c>
      <c r="AF5258">
        <v>3</v>
      </c>
      <c r="AG5258">
        <v>2</v>
      </c>
      <c r="AH5258">
        <v>0</v>
      </c>
      <c r="AI5258" t="s">
        <v>1162</v>
      </c>
      <c r="AJ5258">
        <v>28.227717999999999</v>
      </c>
      <c r="AK5258" t="s">
        <v>368</v>
      </c>
      <c r="AL5258">
        <v>-82.383149000000003</v>
      </c>
      <c r="AM5258">
        <v>100</v>
      </c>
      <c r="AN5258">
        <v>1700</v>
      </c>
      <c r="AO5258" t="s">
        <v>118</v>
      </c>
      <c r="AP5258">
        <v>-104</v>
      </c>
      <c r="AQ5258">
        <v>-58</v>
      </c>
      <c r="AR5258">
        <v>-640</v>
      </c>
      <c r="AZ5258">
        <v>1200</v>
      </c>
      <c r="BA5258">
        <v>1</v>
      </c>
      <c r="BB5258" t="str">
        <f t="shared" si="2402"/>
        <v xml:space="preserve">N711JA  </v>
      </c>
      <c r="BC5258">
        <v>1</v>
      </c>
      <c r="BE5258">
        <v>0</v>
      </c>
      <c r="BF5258">
        <v>0</v>
      </c>
      <c r="BG5258">
        <v>0</v>
      </c>
      <c r="BH5258">
        <v>1800</v>
      </c>
      <c r="BI5258">
        <v>1</v>
      </c>
      <c r="BJ5258">
        <v>1</v>
      </c>
      <c r="BK5258">
        <v>0</v>
      </c>
      <c r="BL5258">
        <v>0</v>
      </c>
      <c r="BO5258">
        <v>0</v>
      </c>
      <c r="BP5258">
        <v>0</v>
      </c>
      <c r="BW5258" t="str">
        <f t="shared" si="2430"/>
        <v>14:50:56.812</v>
      </c>
      <c r="CJ5258">
        <v>0</v>
      </c>
      <c r="CK5258">
        <v>2</v>
      </c>
      <c r="CL5258">
        <v>0</v>
      </c>
      <c r="CM5258">
        <v>2</v>
      </c>
      <c r="CN5258">
        <v>0</v>
      </c>
      <c r="CO5258">
        <v>7</v>
      </c>
      <c r="CP5258" t="s">
        <v>119</v>
      </c>
      <c r="CQ5258">
        <v>358</v>
      </c>
      <c r="CR5258">
        <v>0</v>
      </c>
      <c r="CW5258">
        <v>5241467</v>
      </c>
      <c r="CY5258">
        <v>1</v>
      </c>
      <c r="CZ5258">
        <v>0</v>
      </c>
      <c r="DA5258">
        <v>1</v>
      </c>
      <c r="DB5258">
        <v>0</v>
      </c>
      <c r="DC5258">
        <v>0</v>
      </c>
      <c r="DD5258">
        <v>1</v>
      </c>
      <c r="DE5258">
        <v>0</v>
      </c>
      <c r="DF5258">
        <v>0</v>
      </c>
      <c r="DG5258">
        <v>0</v>
      </c>
      <c r="DH5258">
        <v>0</v>
      </c>
      <c r="DI5258">
        <v>0</v>
      </c>
    </row>
    <row r="5259" spans="1:113" x14ac:dyDescent="0.3">
      <c r="A5259" t="str">
        <f t="shared" si="2427"/>
        <v>05/12/2020 14:50:38.981</v>
      </c>
      <c r="C5259" t="str">
        <f t="shared" si="2401"/>
        <v>FFDFD3C0</v>
      </c>
      <c r="D5259" t="s">
        <v>131</v>
      </c>
      <c r="E5259">
        <v>12</v>
      </c>
      <c r="F5259">
        <v>2012</v>
      </c>
      <c r="G5259" t="s">
        <v>137</v>
      </c>
      <c r="J5259" t="s">
        <v>133</v>
      </c>
      <c r="K5259">
        <v>0</v>
      </c>
      <c r="L5259">
        <v>3</v>
      </c>
      <c r="M5259">
        <v>0</v>
      </c>
      <c r="N5259">
        <v>2</v>
      </c>
      <c r="O5259">
        <v>1</v>
      </c>
      <c r="P5259">
        <v>0</v>
      </c>
      <c r="Q5259">
        <v>0</v>
      </c>
      <c r="S5259" t="str">
        <f t="shared" si="2428"/>
        <v>14:50:56.805</v>
      </c>
      <c r="T5259" t="str">
        <f t="shared" si="2429"/>
        <v>14:50:56.605</v>
      </c>
      <c r="U5259" t="str">
        <f t="shared" si="2426"/>
        <v>A9808D</v>
      </c>
      <c r="V5259">
        <v>0</v>
      </c>
      <c r="W5259">
        <v>0</v>
      </c>
      <c r="X5259">
        <v>1</v>
      </c>
      <c r="Z5259">
        <v>0</v>
      </c>
      <c r="AA5259">
        <v>9</v>
      </c>
      <c r="AB5259">
        <v>3</v>
      </c>
      <c r="AC5259">
        <v>0</v>
      </c>
      <c r="AD5259">
        <v>10</v>
      </c>
      <c r="AE5259">
        <v>0</v>
      </c>
      <c r="AF5259">
        <v>3</v>
      </c>
      <c r="AG5259">
        <v>2</v>
      </c>
      <c r="AH5259">
        <v>0</v>
      </c>
      <c r="AI5259" t="s">
        <v>1162</v>
      </c>
      <c r="AJ5259">
        <v>28.227717999999999</v>
      </c>
      <c r="AK5259" t="s">
        <v>368</v>
      </c>
      <c r="AL5259">
        <v>-82.383149000000003</v>
      </c>
      <c r="AM5259">
        <v>100</v>
      </c>
      <c r="AN5259">
        <v>1700</v>
      </c>
      <c r="AO5259" t="s">
        <v>118</v>
      </c>
      <c r="AP5259">
        <v>-104</v>
      </c>
      <c r="AQ5259">
        <v>-58</v>
      </c>
      <c r="AR5259">
        <v>-640</v>
      </c>
      <c r="AZ5259">
        <v>1200</v>
      </c>
      <c r="BA5259">
        <v>1</v>
      </c>
      <c r="BB5259" t="str">
        <f t="shared" si="2402"/>
        <v xml:space="preserve">N711JA  </v>
      </c>
      <c r="BC5259">
        <v>1</v>
      </c>
      <c r="BE5259">
        <v>0</v>
      </c>
      <c r="BF5259">
        <v>0</v>
      </c>
      <c r="BG5259">
        <v>0</v>
      </c>
      <c r="BH5259">
        <v>1800</v>
      </c>
      <c r="BI5259">
        <v>1</v>
      </c>
      <c r="BJ5259">
        <v>1</v>
      </c>
      <c r="BK5259">
        <v>0</v>
      </c>
      <c r="BL5259">
        <v>0</v>
      </c>
      <c r="BO5259">
        <v>0</v>
      </c>
      <c r="BP5259">
        <v>0</v>
      </c>
      <c r="BW5259" t="str">
        <f t="shared" si="2430"/>
        <v>14:50:56.812</v>
      </c>
      <c r="CJ5259">
        <v>0</v>
      </c>
      <c r="CK5259">
        <v>2</v>
      </c>
      <c r="CL5259">
        <v>0</v>
      </c>
      <c r="CM5259">
        <v>2</v>
      </c>
      <c r="CN5259">
        <v>0</v>
      </c>
      <c r="CO5259">
        <v>7</v>
      </c>
      <c r="CP5259" t="s">
        <v>119</v>
      </c>
      <c r="CQ5259">
        <v>343</v>
      </c>
      <c r="CR5259">
        <v>1</v>
      </c>
      <c r="CW5259">
        <v>11130258</v>
      </c>
      <c r="CY5259">
        <v>1</v>
      </c>
      <c r="CZ5259">
        <v>0</v>
      </c>
      <c r="DA5259">
        <v>1</v>
      </c>
      <c r="DB5259">
        <v>0</v>
      </c>
      <c r="DC5259">
        <v>0</v>
      </c>
      <c r="DD5259">
        <v>1</v>
      </c>
      <c r="DE5259">
        <v>0</v>
      </c>
      <c r="DF5259">
        <v>0</v>
      </c>
      <c r="DG5259">
        <v>0</v>
      </c>
      <c r="DH5259">
        <v>0</v>
      </c>
      <c r="DI5259">
        <v>0</v>
      </c>
    </row>
    <row r="5260" spans="1:113" x14ac:dyDescent="0.3">
      <c r="A5260" t="str">
        <f t="shared" si="2427"/>
        <v>05/12/2020 14:50:38.981</v>
      </c>
      <c r="C5260" t="str">
        <f t="shared" si="2401"/>
        <v>FFDFD3C0</v>
      </c>
      <c r="D5260" t="s">
        <v>134</v>
      </c>
      <c r="E5260">
        <v>12</v>
      </c>
      <c r="H5260">
        <v>64</v>
      </c>
      <c r="I5260" t="s">
        <v>135</v>
      </c>
      <c r="J5260" t="s">
        <v>136</v>
      </c>
      <c r="K5260">
        <v>0</v>
      </c>
      <c r="L5260">
        <v>3</v>
      </c>
      <c r="M5260">
        <v>0</v>
      </c>
      <c r="N5260">
        <v>2</v>
      </c>
      <c r="O5260">
        <v>1</v>
      </c>
      <c r="P5260">
        <v>0</v>
      </c>
      <c r="Q5260">
        <v>0</v>
      </c>
      <c r="S5260" t="str">
        <f t="shared" si="2428"/>
        <v>14:50:56.805</v>
      </c>
      <c r="T5260" t="str">
        <f t="shared" si="2429"/>
        <v>14:50:56.605</v>
      </c>
      <c r="U5260" t="str">
        <f t="shared" si="2426"/>
        <v>A9808D</v>
      </c>
      <c r="V5260">
        <v>0</v>
      </c>
      <c r="W5260">
        <v>0</v>
      </c>
      <c r="X5260">
        <v>1</v>
      </c>
      <c r="Z5260">
        <v>0</v>
      </c>
      <c r="AA5260">
        <v>9</v>
      </c>
      <c r="AB5260">
        <v>3</v>
      </c>
      <c r="AC5260">
        <v>0</v>
      </c>
      <c r="AD5260">
        <v>10</v>
      </c>
      <c r="AE5260">
        <v>0</v>
      </c>
      <c r="AF5260">
        <v>3</v>
      </c>
      <c r="AG5260">
        <v>2</v>
      </c>
      <c r="AH5260">
        <v>0</v>
      </c>
      <c r="AI5260" t="s">
        <v>1162</v>
      </c>
      <c r="AJ5260">
        <v>28.227717999999999</v>
      </c>
      <c r="AK5260" t="s">
        <v>368</v>
      </c>
      <c r="AL5260">
        <v>-82.383149000000003</v>
      </c>
      <c r="AM5260">
        <v>100</v>
      </c>
      <c r="AN5260">
        <v>1700</v>
      </c>
      <c r="AO5260" t="s">
        <v>118</v>
      </c>
      <c r="AP5260">
        <v>-104</v>
      </c>
      <c r="AQ5260">
        <v>-58</v>
      </c>
      <c r="AR5260">
        <v>-640</v>
      </c>
      <c r="AZ5260">
        <v>1200</v>
      </c>
      <c r="BA5260">
        <v>1</v>
      </c>
      <c r="BB5260" t="str">
        <f t="shared" si="2402"/>
        <v xml:space="preserve">N711JA  </v>
      </c>
      <c r="BC5260">
        <v>1</v>
      </c>
      <c r="BE5260">
        <v>0</v>
      </c>
      <c r="BF5260">
        <v>0</v>
      </c>
      <c r="BG5260">
        <v>0</v>
      </c>
      <c r="BH5260">
        <v>1800</v>
      </c>
      <c r="BI5260">
        <v>1</v>
      </c>
      <c r="BJ5260">
        <v>1</v>
      </c>
      <c r="BK5260">
        <v>0</v>
      </c>
      <c r="BL5260">
        <v>0</v>
      </c>
      <c r="BO5260">
        <v>0</v>
      </c>
      <c r="BP5260">
        <v>0</v>
      </c>
      <c r="BW5260" t="str">
        <f t="shared" si="2430"/>
        <v>14:50:56.812</v>
      </c>
      <c r="CJ5260">
        <v>0</v>
      </c>
      <c r="CK5260">
        <v>2</v>
      </c>
      <c r="CL5260">
        <v>0</v>
      </c>
      <c r="CM5260">
        <v>2</v>
      </c>
      <c r="CN5260">
        <v>0</v>
      </c>
      <c r="CO5260">
        <v>7</v>
      </c>
      <c r="CP5260" t="s">
        <v>119</v>
      </c>
      <c r="CQ5260">
        <v>358</v>
      </c>
      <c r="CR5260">
        <v>0</v>
      </c>
      <c r="CW5260">
        <v>5241467</v>
      </c>
      <c r="CY5260">
        <v>1</v>
      </c>
      <c r="CZ5260">
        <v>0</v>
      </c>
      <c r="DA5260">
        <v>1</v>
      </c>
      <c r="DB5260">
        <v>0</v>
      </c>
      <c r="DC5260">
        <v>0</v>
      </c>
      <c r="DD5260">
        <v>1</v>
      </c>
      <c r="DE5260">
        <v>0</v>
      </c>
      <c r="DF5260">
        <v>0</v>
      </c>
      <c r="DG5260">
        <v>0</v>
      </c>
      <c r="DH5260">
        <v>0</v>
      </c>
      <c r="DI5260">
        <v>0</v>
      </c>
    </row>
    <row r="5261" spans="1:113" x14ac:dyDescent="0.3">
      <c r="A5261" t="str">
        <f t="shared" si="2427"/>
        <v>05/12/2020 14:50:38.981</v>
      </c>
      <c r="C5261" t="str">
        <f t="shared" si="2401"/>
        <v>FFDFD3C0</v>
      </c>
      <c r="D5261" t="s">
        <v>113</v>
      </c>
      <c r="E5261">
        <v>3</v>
      </c>
      <c r="H5261">
        <v>164</v>
      </c>
      <c r="I5261" t="s">
        <v>114</v>
      </c>
      <c r="J5261" t="s">
        <v>115</v>
      </c>
      <c r="K5261">
        <v>0</v>
      </c>
      <c r="L5261">
        <v>3</v>
      </c>
      <c r="M5261">
        <v>0</v>
      </c>
      <c r="N5261">
        <v>2</v>
      </c>
      <c r="O5261">
        <v>1</v>
      </c>
      <c r="P5261">
        <v>0</v>
      </c>
      <c r="Q5261">
        <v>0</v>
      </c>
      <c r="S5261" t="str">
        <f t="shared" si="2428"/>
        <v>14:50:56.805</v>
      </c>
      <c r="T5261" t="str">
        <f t="shared" si="2429"/>
        <v>14:50:56.605</v>
      </c>
      <c r="U5261" t="str">
        <f t="shared" si="2426"/>
        <v>A9808D</v>
      </c>
      <c r="V5261">
        <v>0</v>
      </c>
      <c r="W5261">
        <v>0</v>
      </c>
      <c r="X5261">
        <v>1</v>
      </c>
      <c r="Z5261">
        <v>0</v>
      </c>
      <c r="AA5261">
        <v>9</v>
      </c>
      <c r="AB5261">
        <v>3</v>
      </c>
      <c r="AC5261">
        <v>0</v>
      </c>
      <c r="AD5261">
        <v>10</v>
      </c>
      <c r="AE5261">
        <v>0</v>
      </c>
      <c r="AF5261">
        <v>3</v>
      </c>
      <c r="AG5261">
        <v>2</v>
      </c>
      <c r="AH5261">
        <v>0</v>
      </c>
      <c r="AI5261" t="s">
        <v>1162</v>
      </c>
      <c r="AJ5261">
        <v>28.227717999999999</v>
      </c>
      <c r="AK5261" t="s">
        <v>368</v>
      </c>
      <c r="AL5261">
        <v>-82.383149000000003</v>
      </c>
      <c r="AM5261">
        <v>100</v>
      </c>
      <c r="AN5261">
        <v>1700</v>
      </c>
      <c r="AO5261" t="s">
        <v>118</v>
      </c>
      <c r="AP5261">
        <v>-104</v>
      </c>
      <c r="AQ5261">
        <v>-58</v>
      </c>
      <c r="AR5261">
        <v>-640</v>
      </c>
      <c r="AZ5261">
        <v>1200</v>
      </c>
      <c r="BA5261">
        <v>1</v>
      </c>
      <c r="BB5261" t="str">
        <f t="shared" si="2402"/>
        <v xml:space="preserve">N711JA  </v>
      </c>
      <c r="BC5261">
        <v>1</v>
      </c>
      <c r="BE5261">
        <v>0</v>
      </c>
      <c r="BF5261">
        <v>0</v>
      </c>
      <c r="BG5261">
        <v>0</v>
      </c>
      <c r="BH5261">
        <v>1800</v>
      </c>
      <c r="BI5261">
        <v>1</v>
      </c>
      <c r="BJ5261">
        <v>1</v>
      </c>
      <c r="BK5261">
        <v>0</v>
      </c>
      <c r="BL5261">
        <v>0</v>
      </c>
      <c r="BO5261">
        <v>0</v>
      </c>
      <c r="BP5261">
        <v>0</v>
      </c>
      <c r="BW5261" t="str">
        <f t="shared" si="2430"/>
        <v>14:50:56.812</v>
      </c>
      <c r="CJ5261">
        <v>0</v>
      </c>
      <c r="CK5261">
        <v>2</v>
      </c>
      <c r="CL5261">
        <v>0</v>
      </c>
      <c r="CM5261">
        <v>2</v>
      </c>
      <c r="CN5261">
        <v>0</v>
      </c>
      <c r="CO5261">
        <v>7</v>
      </c>
      <c r="CP5261" t="s">
        <v>119</v>
      </c>
      <c r="CQ5261">
        <v>343</v>
      </c>
      <c r="CR5261">
        <v>1</v>
      </c>
      <c r="CW5261">
        <v>11130258</v>
      </c>
      <c r="CY5261">
        <v>1</v>
      </c>
      <c r="CZ5261">
        <v>0</v>
      </c>
      <c r="DA5261">
        <v>1</v>
      </c>
      <c r="DB5261">
        <v>0</v>
      </c>
      <c r="DC5261">
        <v>0</v>
      </c>
      <c r="DD5261">
        <v>1</v>
      </c>
      <c r="DE5261">
        <v>0</v>
      </c>
      <c r="DF5261">
        <v>0</v>
      </c>
      <c r="DG5261">
        <v>0</v>
      </c>
      <c r="DH5261">
        <v>0</v>
      </c>
      <c r="DI5261">
        <v>0</v>
      </c>
    </row>
    <row r="5262" spans="1:113" x14ac:dyDescent="0.3">
      <c r="A5262" t="str">
        <f t="shared" si="2427"/>
        <v>05/12/2020 14:50:38.981</v>
      </c>
      <c r="C5262" t="str">
        <f t="shared" si="2401"/>
        <v>FFDFD3C0</v>
      </c>
      <c r="D5262" t="s">
        <v>138</v>
      </c>
      <c r="E5262">
        <v>2</v>
      </c>
      <c r="H5262">
        <v>8</v>
      </c>
      <c r="I5262" t="s">
        <v>139</v>
      </c>
      <c r="J5262" t="s">
        <v>136</v>
      </c>
      <c r="K5262">
        <v>0</v>
      </c>
      <c r="L5262">
        <v>3</v>
      </c>
      <c r="M5262">
        <v>0</v>
      </c>
      <c r="N5262">
        <v>2</v>
      </c>
      <c r="O5262">
        <v>1</v>
      </c>
      <c r="P5262">
        <v>0</v>
      </c>
      <c r="Q5262">
        <v>0</v>
      </c>
      <c r="S5262" t="str">
        <f t="shared" si="2428"/>
        <v>14:50:56.805</v>
      </c>
      <c r="T5262" t="str">
        <f t="shared" si="2429"/>
        <v>14:50:56.605</v>
      </c>
      <c r="U5262" t="str">
        <f t="shared" si="2426"/>
        <v>A9808D</v>
      </c>
      <c r="V5262">
        <v>0</v>
      </c>
      <c r="W5262">
        <v>0</v>
      </c>
      <c r="X5262">
        <v>1</v>
      </c>
      <c r="Z5262">
        <v>0</v>
      </c>
      <c r="AA5262">
        <v>9</v>
      </c>
      <c r="AB5262">
        <v>3</v>
      </c>
      <c r="AC5262">
        <v>0</v>
      </c>
      <c r="AD5262">
        <v>10</v>
      </c>
      <c r="AE5262">
        <v>0</v>
      </c>
      <c r="AF5262">
        <v>3</v>
      </c>
      <c r="AG5262">
        <v>2</v>
      </c>
      <c r="AH5262">
        <v>0</v>
      </c>
      <c r="AI5262" t="s">
        <v>1162</v>
      </c>
      <c r="AJ5262">
        <v>28.227717999999999</v>
      </c>
      <c r="AK5262" t="s">
        <v>368</v>
      </c>
      <c r="AL5262">
        <v>-82.383149000000003</v>
      </c>
      <c r="AM5262">
        <v>100</v>
      </c>
      <c r="AN5262">
        <v>1700</v>
      </c>
      <c r="AO5262" t="s">
        <v>118</v>
      </c>
      <c r="AP5262">
        <v>-104</v>
      </c>
      <c r="AQ5262">
        <v>-58</v>
      </c>
      <c r="AR5262">
        <v>-640</v>
      </c>
      <c r="AZ5262">
        <v>1200</v>
      </c>
      <c r="BA5262">
        <v>1</v>
      </c>
      <c r="BB5262" t="str">
        <f t="shared" si="2402"/>
        <v xml:space="preserve">N711JA  </v>
      </c>
      <c r="BC5262">
        <v>1</v>
      </c>
      <c r="BE5262">
        <v>0</v>
      </c>
      <c r="BF5262">
        <v>0</v>
      </c>
      <c r="BG5262">
        <v>0</v>
      </c>
      <c r="BH5262">
        <v>1800</v>
      </c>
      <c r="BI5262">
        <v>1</v>
      </c>
      <c r="BJ5262">
        <v>1</v>
      </c>
      <c r="BK5262">
        <v>0</v>
      </c>
      <c r="BL5262">
        <v>0</v>
      </c>
      <c r="BO5262">
        <v>0</v>
      </c>
      <c r="BP5262">
        <v>0</v>
      </c>
      <c r="BW5262" t="str">
        <f t="shared" si="2430"/>
        <v>14:50:56.812</v>
      </c>
      <c r="CJ5262">
        <v>0</v>
      </c>
      <c r="CK5262">
        <v>2</v>
      </c>
      <c r="CL5262">
        <v>0</v>
      </c>
      <c r="CM5262">
        <v>2</v>
      </c>
      <c r="CN5262">
        <v>0</v>
      </c>
      <c r="CO5262">
        <v>7</v>
      </c>
      <c r="CP5262" t="s">
        <v>119</v>
      </c>
      <c r="CQ5262">
        <v>343</v>
      </c>
      <c r="CR5262">
        <v>1</v>
      </c>
      <c r="CW5262">
        <v>11130258</v>
      </c>
      <c r="CY5262">
        <v>1</v>
      </c>
      <c r="CZ5262">
        <v>0</v>
      </c>
      <c r="DA5262">
        <v>1</v>
      </c>
      <c r="DB5262">
        <v>0</v>
      </c>
      <c r="DC5262">
        <v>0</v>
      </c>
      <c r="DD5262">
        <v>1</v>
      </c>
      <c r="DE5262">
        <v>0</v>
      </c>
      <c r="DF5262">
        <v>0</v>
      </c>
      <c r="DG5262">
        <v>0</v>
      </c>
      <c r="DH5262">
        <v>0</v>
      </c>
      <c r="DI5262">
        <v>0</v>
      </c>
    </row>
    <row r="5263" spans="1:113" x14ac:dyDescent="0.3">
      <c r="A5263" t="str">
        <f t="shared" si="2427"/>
        <v>05/12/2020 14:50:38.981</v>
      </c>
      <c r="C5263" t="str">
        <f t="shared" si="2401"/>
        <v>FFDFD3C0</v>
      </c>
      <c r="D5263" t="s">
        <v>138</v>
      </c>
      <c r="E5263">
        <v>3</v>
      </c>
      <c r="H5263">
        <v>9</v>
      </c>
      <c r="I5263" t="s">
        <v>140</v>
      </c>
      <c r="J5263" t="s">
        <v>136</v>
      </c>
      <c r="K5263">
        <v>0</v>
      </c>
      <c r="L5263">
        <v>3</v>
      </c>
      <c r="M5263">
        <v>0</v>
      </c>
      <c r="N5263">
        <v>2</v>
      </c>
      <c r="O5263">
        <v>1</v>
      </c>
      <c r="P5263">
        <v>0</v>
      </c>
      <c r="Q5263">
        <v>0</v>
      </c>
      <c r="S5263" t="str">
        <f t="shared" si="2428"/>
        <v>14:50:56.805</v>
      </c>
      <c r="T5263" t="str">
        <f t="shared" si="2429"/>
        <v>14:50:56.605</v>
      </c>
      <c r="U5263" t="str">
        <f t="shared" si="2426"/>
        <v>A9808D</v>
      </c>
      <c r="V5263">
        <v>0</v>
      </c>
      <c r="W5263">
        <v>0</v>
      </c>
      <c r="X5263">
        <v>1</v>
      </c>
      <c r="Z5263">
        <v>0</v>
      </c>
      <c r="AA5263">
        <v>9</v>
      </c>
      <c r="AB5263">
        <v>3</v>
      </c>
      <c r="AC5263">
        <v>0</v>
      </c>
      <c r="AD5263">
        <v>10</v>
      </c>
      <c r="AE5263">
        <v>0</v>
      </c>
      <c r="AF5263">
        <v>3</v>
      </c>
      <c r="AG5263">
        <v>2</v>
      </c>
      <c r="AH5263">
        <v>0</v>
      </c>
      <c r="AI5263" t="s">
        <v>1162</v>
      </c>
      <c r="AJ5263">
        <v>28.227717999999999</v>
      </c>
      <c r="AK5263" t="s">
        <v>368</v>
      </c>
      <c r="AL5263">
        <v>-82.383149000000003</v>
      </c>
      <c r="AM5263">
        <v>100</v>
      </c>
      <c r="AN5263">
        <v>1700</v>
      </c>
      <c r="AO5263" t="s">
        <v>118</v>
      </c>
      <c r="AP5263">
        <v>-104</v>
      </c>
      <c r="AQ5263">
        <v>-58</v>
      </c>
      <c r="AR5263">
        <v>-640</v>
      </c>
      <c r="AZ5263">
        <v>1200</v>
      </c>
      <c r="BA5263">
        <v>1</v>
      </c>
      <c r="BB5263" t="str">
        <f t="shared" si="2402"/>
        <v xml:space="preserve">N711JA  </v>
      </c>
      <c r="BC5263">
        <v>1</v>
      </c>
      <c r="BE5263">
        <v>0</v>
      </c>
      <c r="BF5263">
        <v>0</v>
      </c>
      <c r="BG5263">
        <v>0</v>
      </c>
      <c r="BH5263">
        <v>1800</v>
      </c>
      <c r="BI5263">
        <v>1</v>
      </c>
      <c r="BJ5263">
        <v>1</v>
      </c>
      <c r="BK5263">
        <v>0</v>
      </c>
      <c r="BL5263">
        <v>0</v>
      </c>
      <c r="BO5263">
        <v>0</v>
      </c>
      <c r="BP5263">
        <v>0</v>
      </c>
      <c r="BW5263" t="str">
        <f t="shared" si="2430"/>
        <v>14:50:56.812</v>
      </c>
      <c r="CJ5263">
        <v>0</v>
      </c>
      <c r="CK5263">
        <v>2</v>
      </c>
      <c r="CL5263">
        <v>0</v>
      </c>
      <c r="CM5263">
        <v>2</v>
      </c>
      <c r="CN5263">
        <v>0</v>
      </c>
      <c r="CO5263">
        <v>7</v>
      </c>
      <c r="CP5263" t="s">
        <v>119</v>
      </c>
      <c r="CQ5263">
        <v>358</v>
      </c>
      <c r="CR5263">
        <v>0</v>
      </c>
      <c r="CW5263">
        <v>5241467</v>
      </c>
      <c r="CY5263">
        <v>1</v>
      </c>
      <c r="CZ5263">
        <v>0</v>
      </c>
      <c r="DA5263">
        <v>1</v>
      </c>
      <c r="DB5263">
        <v>0</v>
      </c>
      <c r="DC5263">
        <v>0</v>
      </c>
      <c r="DD5263">
        <v>1</v>
      </c>
      <c r="DE5263">
        <v>0</v>
      </c>
      <c r="DF5263">
        <v>0</v>
      </c>
      <c r="DG5263">
        <v>0</v>
      </c>
      <c r="DH5263">
        <v>0</v>
      </c>
      <c r="DI5263">
        <v>0</v>
      </c>
    </row>
    <row r="5264" spans="1:113" x14ac:dyDescent="0.3">
      <c r="A5264" t="str">
        <f t="shared" si="2427"/>
        <v>05/12/2020 14:50:38.981</v>
      </c>
      <c r="C5264" t="str">
        <f t="shared" si="2401"/>
        <v>FFDFD3C0</v>
      </c>
      <c r="D5264" t="s">
        <v>126</v>
      </c>
      <c r="E5264">
        <v>6</v>
      </c>
      <c r="F5264">
        <v>1006</v>
      </c>
      <c r="G5264" t="s">
        <v>114</v>
      </c>
      <c r="J5264" t="s">
        <v>128</v>
      </c>
      <c r="K5264">
        <v>0</v>
      </c>
      <c r="L5264">
        <v>3</v>
      </c>
      <c r="M5264">
        <v>0</v>
      </c>
      <c r="N5264">
        <v>2</v>
      </c>
      <c r="O5264">
        <v>1</v>
      </c>
      <c r="P5264">
        <v>0</v>
      </c>
      <c r="Q5264">
        <v>0</v>
      </c>
      <c r="S5264" t="str">
        <f t="shared" si="2428"/>
        <v>14:50:56.805</v>
      </c>
      <c r="T5264" t="str">
        <f t="shared" si="2429"/>
        <v>14:50:56.605</v>
      </c>
      <c r="U5264" t="str">
        <f t="shared" si="2426"/>
        <v>A9808D</v>
      </c>
      <c r="V5264">
        <v>0</v>
      </c>
      <c r="W5264">
        <v>0</v>
      </c>
      <c r="X5264">
        <v>1</v>
      </c>
      <c r="Z5264">
        <v>0</v>
      </c>
      <c r="AA5264">
        <v>9</v>
      </c>
      <c r="AB5264">
        <v>3</v>
      </c>
      <c r="AC5264">
        <v>0</v>
      </c>
      <c r="AD5264">
        <v>10</v>
      </c>
      <c r="AE5264">
        <v>0</v>
      </c>
      <c r="AF5264">
        <v>3</v>
      </c>
      <c r="AG5264">
        <v>2</v>
      </c>
      <c r="AH5264">
        <v>0</v>
      </c>
      <c r="AI5264" t="s">
        <v>1162</v>
      </c>
      <c r="AJ5264">
        <v>28.227717999999999</v>
      </c>
      <c r="AK5264" t="s">
        <v>368</v>
      </c>
      <c r="AL5264">
        <v>-82.383149000000003</v>
      </c>
      <c r="AM5264">
        <v>100</v>
      </c>
      <c r="AN5264">
        <v>1700</v>
      </c>
      <c r="AO5264" t="s">
        <v>118</v>
      </c>
      <c r="AP5264">
        <v>-104</v>
      </c>
      <c r="AQ5264">
        <v>-58</v>
      </c>
      <c r="AR5264">
        <v>-640</v>
      </c>
      <c r="AZ5264">
        <v>1200</v>
      </c>
      <c r="BA5264">
        <v>1</v>
      </c>
      <c r="BB5264" t="str">
        <f t="shared" si="2402"/>
        <v xml:space="preserve">N711JA  </v>
      </c>
      <c r="BC5264">
        <v>1</v>
      </c>
      <c r="BE5264">
        <v>0</v>
      </c>
      <c r="BF5264">
        <v>0</v>
      </c>
      <c r="BG5264">
        <v>0</v>
      </c>
      <c r="BH5264">
        <v>1800</v>
      </c>
      <c r="BI5264">
        <v>1</v>
      </c>
      <c r="BJ5264">
        <v>1</v>
      </c>
      <c r="BK5264">
        <v>0</v>
      </c>
      <c r="BL5264">
        <v>0</v>
      </c>
      <c r="BO5264">
        <v>0</v>
      </c>
      <c r="BP5264">
        <v>0</v>
      </c>
      <c r="BW5264" t="str">
        <f t="shared" si="2430"/>
        <v>14:50:56.812</v>
      </c>
      <c r="CJ5264">
        <v>0</v>
      </c>
      <c r="CK5264">
        <v>2</v>
      </c>
      <c r="CL5264">
        <v>0</v>
      </c>
      <c r="CM5264">
        <v>2</v>
      </c>
      <c r="CN5264">
        <v>0</v>
      </c>
      <c r="CO5264">
        <v>7</v>
      </c>
      <c r="CP5264" t="s">
        <v>119</v>
      </c>
      <c r="CQ5264">
        <v>358</v>
      </c>
      <c r="CR5264">
        <v>0</v>
      </c>
      <c r="CW5264">
        <v>5241467</v>
      </c>
      <c r="CY5264">
        <v>1</v>
      </c>
      <c r="CZ5264">
        <v>0</v>
      </c>
      <c r="DA5264">
        <v>1</v>
      </c>
      <c r="DB5264">
        <v>0</v>
      </c>
      <c r="DC5264">
        <v>0</v>
      </c>
      <c r="DD5264">
        <v>1</v>
      </c>
      <c r="DE5264">
        <v>0</v>
      </c>
      <c r="DF5264">
        <v>0</v>
      </c>
      <c r="DG5264">
        <v>0</v>
      </c>
      <c r="DH5264">
        <v>0</v>
      </c>
      <c r="DI5264">
        <v>0</v>
      </c>
    </row>
    <row r="5265" spans="1:113" x14ac:dyDescent="0.3">
      <c r="A5265" t="str">
        <f t="shared" ref="A5265:A5272" si="2431">"05/12/2020 14:50:40.081"</f>
        <v>05/12/2020 14:50:40.081</v>
      </c>
      <c r="C5265" t="str">
        <f t="shared" si="2401"/>
        <v>FFDFD3C0</v>
      </c>
      <c r="D5265" t="s">
        <v>138</v>
      </c>
      <c r="E5265">
        <v>3</v>
      </c>
      <c r="H5265">
        <v>9</v>
      </c>
      <c r="I5265" t="s">
        <v>140</v>
      </c>
      <c r="J5265" t="s">
        <v>136</v>
      </c>
      <c r="K5265">
        <v>0</v>
      </c>
      <c r="L5265">
        <v>3</v>
      </c>
      <c r="M5265">
        <v>0</v>
      </c>
      <c r="N5265">
        <v>2</v>
      </c>
      <c r="O5265">
        <v>1</v>
      </c>
      <c r="P5265">
        <v>0</v>
      </c>
      <c r="Q5265">
        <v>0</v>
      </c>
      <c r="S5265" t="str">
        <f t="shared" ref="S5265:S5272" si="2432">"14:50:57.891"</f>
        <v>14:50:57.891</v>
      </c>
      <c r="T5265" t="str">
        <f t="shared" ref="T5265:T5272" si="2433">"14:50:57.591"</f>
        <v>14:50:57.591</v>
      </c>
      <c r="U5265" t="str">
        <f t="shared" si="2426"/>
        <v>A9808D</v>
      </c>
      <c r="V5265">
        <v>0</v>
      </c>
      <c r="W5265">
        <v>0</v>
      </c>
      <c r="X5265">
        <v>1</v>
      </c>
      <c r="Z5265">
        <v>0</v>
      </c>
      <c r="AA5265">
        <v>9</v>
      </c>
      <c r="AB5265">
        <v>3</v>
      </c>
      <c r="AC5265">
        <v>0</v>
      </c>
      <c r="AD5265">
        <v>10</v>
      </c>
      <c r="AE5265">
        <v>0</v>
      </c>
      <c r="AF5265">
        <v>3</v>
      </c>
      <c r="AG5265">
        <v>2</v>
      </c>
      <c r="AH5265">
        <v>0</v>
      </c>
      <c r="AI5265" t="s">
        <v>1163</v>
      </c>
      <c r="AJ5265">
        <v>28.227416999999999</v>
      </c>
      <c r="AK5265" t="s">
        <v>1164</v>
      </c>
      <c r="AL5265">
        <v>-82.383792</v>
      </c>
      <c r="AM5265">
        <v>100</v>
      </c>
      <c r="AN5265">
        <v>1700</v>
      </c>
      <c r="AO5265" t="s">
        <v>118</v>
      </c>
      <c r="AP5265">
        <v>-102</v>
      </c>
      <c r="AQ5265">
        <v>-60</v>
      </c>
      <c r="AR5265">
        <v>-704</v>
      </c>
      <c r="AZ5265">
        <v>1200</v>
      </c>
      <c r="BA5265">
        <v>1</v>
      </c>
      <c r="BB5265" t="str">
        <f t="shared" si="2402"/>
        <v xml:space="preserve">N711JA  </v>
      </c>
      <c r="BC5265">
        <v>1</v>
      </c>
      <c r="BE5265">
        <v>0</v>
      </c>
      <c r="BF5265">
        <v>0</v>
      </c>
      <c r="BG5265">
        <v>0</v>
      </c>
      <c r="BH5265">
        <v>1800</v>
      </c>
      <c r="BI5265">
        <v>1</v>
      </c>
      <c r="BJ5265">
        <v>1</v>
      </c>
      <c r="BK5265">
        <v>0</v>
      </c>
      <c r="BL5265">
        <v>0</v>
      </c>
      <c r="BO5265">
        <v>0</v>
      </c>
      <c r="BP5265">
        <v>0</v>
      </c>
      <c r="BW5265" t="str">
        <f t="shared" ref="BW5265:BW5272" si="2434">"14:50:57.896"</f>
        <v>14:50:57.896</v>
      </c>
      <c r="CJ5265">
        <v>0</v>
      </c>
      <c r="CK5265">
        <v>2</v>
      </c>
      <c r="CL5265">
        <v>0</v>
      </c>
      <c r="CM5265">
        <v>2</v>
      </c>
      <c r="CN5265">
        <v>0</v>
      </c>
      <c r="CO5265">
        <v>7</v>
      </c>
      <c r="CP5265" t="s">
        <v>119</v>
      </c>
      <c r="CQ5265">
        <v>358</v>
      </c>
      <c r="CR5265">
        <v>0</v>
      </c>
      <c r="CW5265">
        <v>5242785</v>
      </c>
      <c r="CY5265">
        <v>1</v>
      </c>
      <c r="CZ5265">
        <v>0</v>
      </c>
      <c r="DA5265">
        <v>0</v>
      </c>
      <c r="DB5265">
        <v>0</v>
      </c>
      <c r="DC5265">
        <v>0</v>
      </c>
      <c r="DD5265">
        <v>1</v>
      </c>
      <c r="DE5265">
        <v>0</v>
      </c>
      <c r="DF5265">
        <v>0</v>
      </c>
      <c r="DG5265">
        <v>0</v>
      </c>
      <c r="DH5265">
        <v>0</v>
      </c>
      <c r="DI5265">
        <v>0</v>
      </c>
    </row>
    <row r="5266" spans="1:113" x14ac:dyDescent="0.3">
      <c r="A5266" t="str">
        <f t="shared" si="2431"/>
        <v>05/12/2020 14:50:40.081</v>
      </c>
      <c r="C5266" t="str">
        <f t="shared" si="2401"/>
        <v>FFDFD3C0</v>
      </c>
      <c r="D5266" t="s">
        <v>126</v>
      </c>
      <c r="E5266">
        <v>7</v>
      </c>
      <c r="F5266">
        <v>1007</v>
      </c>
      <c r="G5266" t="s">
        <v>127</v>
      </c>
      <c r="J5266" t="s">
        <v>128</v>
      </c>
      <c r="K5266">
        <v>0</v>
      </c>
      <c r="L5266">
        <v>3</v>
      </c>
      <c r="M5266">
        <v>0</v>
      </c>
      <c r="N5266">
        <v>2</v>
      </c>
      <c r="O5266">
        <v>1</v>
      </c>
      <c r="P5266">
        <v>0</v>
      </c>
      <c r="Q5266">
        <v>0</v>
      </c>
      <c r="S5266" t="str">
        <f t="shared" si="2432"/>
        <v>14:50:57.891</v>
      </c>
      <c r="T5266" t="str">
        <f t="shared" si="2433"/>
        <v>14:50:57.591</v>
      </c>
      <c r="U5266" t="str">
        <f t="shared" si="2426"/>
        <v>A9808D</v>
      </c>
      <c r="V5266">
        <v>0</v>
      </c>
      <c r="W5266">
        <v>0</v>
      </c>
      <c r="X5266">
        <v>1</v>
      </c>
      <c r="Z5266">
        <v>0</v>
      </c>
      <c r="AA5266">
        <v>9</v>
      </c>
      <c r="AB5266">
        <v>3</v>
      </c>
      <c r="AC5266">
        <v>0</v>
      </c>
      <c r="AD5266">
        <v>10</v>
      </c>
      <c r="AE5266">
        <v>0</v>
      </c>
      <c r="AF5266">
        <v>3</v>
      </c>
      <c r="AG5266">
        <v>2</v>
      </c>
      <c r="AH5266">
        <v>0</v>
      </c>
      <c r="AI5266" t="s">
        <v>1163</v>
      </c>
      <c r="AJ5266">
        <v>28.227416999999999</v>
      </c>
      <c r="AK5266" t="s">
        <v>1164</v>
      </c>
      <c r="AL5266">
        <v>-82.383792</v>
      </c>
      <c r="AM5266">
        <v>100</v>
      </c>
      <c r="AN5266">
        <v>1700</v>
      </c>
      <c r="AO5266" t="s">
        <v>118</v>
      </c>
      <c r="AP5266">
        <v>-102</v>
      </c>
      <c r="AQ5266">
        <v>-60</v>
      </c>
      <c r="AR5266">
        <v>-704</v>
      </c>
      <c r="AZ5266">
        <v>1200</v>
      </c>
      <c r="BA5266">
        <v>1</v>
      </c>
      <c r="BB5266" t="str">
        <f t="shared" si="2402"/>
        <v xml:space="preserve">N711JA  </v>
      </c>
      <c r="BC5266">
        <v>1</v>
      </c>
      <c r="BE5266">
        <v>0</v>
      </c>
      <c r="BF5266">
        <v>0</v>
      </c>
      <c r="BG5266">
        <v>0</v>
      </c>
      <c r="BH5266">
        <v>1800</v>
      </c>
      <c r="BI5266">
        <v>1</v>
      </c>
      <c r="BJ5266">
        <v>1</v>
      </c>
      <c r="BK5266">
        <v>0</v>
      </c>
      <c r="BL5266">
        <v>0</v>
      </c>
      <c r="BO5266">
        <v>0</v>
      </c>
      <c r="BP5266">
        <v>0</v>
      </c>
      <c r="BW5266" t="str">
        <f t="shared" si="2434"/>
        <v>14:50:57.896</v>
      </c>
      <c r="CJ5266">
        <v>0</v>
      </c>
      <c r="CK5266">
        <v>2</v>
      </c>
      <c r="CL5266">
        <v>0</v>
      </c>
      <c r="CM5266">
        <v>2</v>
      </c>
      <c r="CN5266">
        <v>0</v>
      </c>
      <c r="CO5266">
        <v>7</v>
      </c>
      <c r="CP5266" t="s">
        <v>119</v>
      </c>
      <c r="CQ5266">
        <v>358</v>
      </c>
      <c r="CR5266">
        <v>0</v>
      </c>
      <c r="CW5266">
        <v>5242785</v>
      </c>
      <c r="CY5266">
        <v>1</v>
      </c>
      <c r="CZ5266">
        <v>0</v>
      </c>
      <c r="DA5266">
        <v>1</v>
      </c>
      <c r="DB5266">
        <v>0</v>
      </c>
      <c r="DC5266">
        <v>0</v>
      </c>
      <c r="DD5266">
        <v>1</v>
      </c>
      <c r="DE5266">
        <v>0</v>
      </c>
      <c r="DF5266">
        <v>0</v>
      </c>
      <c r="DG5266">
        <v>0</v>
      </c>
      <c r="DH5266">
        <v>0</v>
      </c>
      <c r="DI5266">
        <v>0</v>
      </c>
    </row>
    <row r="5267" spans="1:113" x14ac:dyDescent="0.3">
      <c r="A5267" t="str">
        <f t="shared" si="2431"/>
        <v>05/12/2020 14:50:40.081</v>
      </c>
      <c r="C5267" t="str">
        <f t="shared" si="2401"/>
        <v>FFDFD3C0</v>
      </c>
      <c r="D5267" t="s">
        <v>131</v>
      </c>
      <c r="E5267">
        <v>10</v>
      </c>
      <c r="F5267">
        <v>2010</v>
      </c>
      <c r="G5267" t="s">
        <v>132</v>
      </c>
      <c r="J5267" t="s">
        <v>133</v>
      </c>
      <c r="K5267">
        <v>0</v>
      </c>
      <c r="L5267">
        <v>3</v>
      </c>
      <c r="M5267">
        <v>0</v>
      </c>
      <c r="N5267">
        <v>2</v>
      </c>
      <c r="O5267">
        <v>1</v>
      </c>
      <c r="P5267">
        <v>0</v>
      </c>
      <c r="Q5267">
        <v>0</v>
      </c>
      <c r="S5267" t="str">
        <f t="shared" si="2432"/>
        <v>14:50:57.891</v>
      </c>
      <c r="T5267" t="str">
        <f t="shared" si="2433"/>
        <v>14:50:57.591</v>
      </c>
      <c r="U5267" t="str">
        <f t="shared" si="2426"/>
        <v>A9808D</v>
      </c>
      <c r="V5267">
        <v>0</v>
      </c>
      <c r="W5267">
        <v>0</v>
      </c>
      <c r="X5267">
        <v>1</v>
      </c>
      <c r="Z5267">
        <v>0</v>
      </c>
      <c r="AA5267">
        <v>9</v>
      </c>
      <c r="AB5267">
        <v>3</v>
      </c>
      <c r="AC5267">
        <v>0</v>
      </c>
      <c r="AD5267">
        <v>10</v>
      </c>
      <c r="AE5267">
        <v>0</v>
      </c>
      <c r="AF5267">
        <v>3</v>
      </c>
      <c r="AG5267">
        <v>2</v>
      </c>
      <c r="AH5267">
        <v>0</v>
      </c>
      <c r="AI5267" t="s">
        <v>1163</v>
      </c>
      <c r="AJ5267">
        <v>28.227416999999999</v>
      </c>
      <c r="AK5267" t="s">
        <v>1164</v>
      </c>
      <c r="AL5267">
        <v>-82.383792</v>
      </c>
      <c r="AM5267">
        <v>100</v>
      </c>
      <c r="AN5267">
        <v>1700</v>
      </c>
      <c r="AO5267" t="s">
        <v>118</v>
      </c>
      <c r="AP5267">
        <v>-102</v>
      </c>
      <c r="AQ5267">
        <v>-60</v>
      </c>
      <c r="AR5267">
        <v>-704</v>
      </c>
      <c r="AZ5267">
        <v>1200</v>
      </c>
      <c r="BA5267">
        <v>1</v>
      </c>
      <c r="BB5267" t="str">
        <f t="shared" si="2402"/>
        <v xml:space="preserve">N711JA  </v>
      </c>
      <c r="BC5267">
        <v>1</v>
      </c>
      <c r="BE5267">
        <v>0</v>
      </c>
      <c r="BF5267">
        <v>0</v>
      </c>
      <c r="BG5267">
        <v>0</v>
      </c>
      <c r="BH5267">
        <v>1800</v>
      </c>
      <c r="BI5267">
        <v>1</v>
      </c>
      <c r="BJ5267">
        <v>1</v>
      </c>
      <c r="BK5267">
        <v>0</v>
      </c>
      <c r="BL5267">
        <v>0</v>
      </c>
      <c r="BO5267">
        <v>0</v>
      </c>
      <c r="BP5267">
        <v>0</v>
      </c>
      <c r="BW5267" t="str">
        <f t="shared" si="2434"/>
        <v>14:50:57.896</v>
      </c>
      <c r="CJ5267">
        <v>0</v>
      </c>
      <c r="CK5267">
        <v>2</v>
      </c>
      <c r="CL5267">
        <v>0</v>
      </c>
      <c r="CM5267">
        <v>2</v>
      </c>
      <c r="CN5267">
        <v>0</v>
      </c>
      <c r="CO5267">
        <v>7</v>
      </c>
      <c r="CP5267" t="s">
        <v>119</v>
      </c>
      <c r="CQ5267">
        <v>358</v>
      </c>
      <c r="CR5267">
        <v>0</v>
      </c>
      <c r="CW5267">
        <v>5242785</v>
      </c>
      <c r="CY5267">
        <v>1</v>
      </c>
      <c r="CZ5267">
        <v>0</v>
      </c>
      <c r="DA5267">
        <v>1</v>
      </c>
      <c r="DB5267">
        <v>0</v>
      </c>
      <c r="DC5267">
        <v>0</v>
      </c>
      <c r="DD5267">
        <v>1</v>
      </c>
      <c r="DE5267">
        <v>0</v>
      </c>
      <c r="DF5267">
        <v>0</v>
      </c>
      <c r="DG5267">
        <v>0</v>
      </c>
      <c r="DH5267">
        <v>0</v>
      </c>
      <c r="DI5267">
        <v>0</v>
      </c>
    </row>
    <row r="5268" spans="1:113" x14ac:dyDescent="0.3">
      <c r="A5268" t="str">
        <f t="shared" si="2431"/>
        <v>05/12/2020 14:50:40.081</v>
      </c>
      <c r="C5268" t="str">
        <f t="shared" si="2401"/>
        <v>FFDFD3C0</v>
      </c>
      <c r="D5268" t="s">
        <v>131</v>
      </c>
      <c r="E5268">
        <v>12</v>
      </c>
      <c r="F5268">
        <v>2012</v>
      </c>
      <c r="G5268" t="s">
        <v>137</v>
      </c>
      <c r="J5268" t="s">
        <v>133</v>
      </c>
      <c r="K5268">
        <v>0</v>
      </c>
      <c r="L5268">
        <v>3</v>
      </c>
      <c r="M5268">
        <v>0</v>
      </c>
      <c r="N5268">
        <v>2</v>
      </c>
      <c r="O5268">
        <v>1</v>
      </c>
      <c r="P5268">
        <v>0</v>
      </c>
      <c r="Q5268">
        <v>0</v>
      </c>
      <c r="S5268" t="str">
        <f t="shared" si="2432"/>
        <v>14:50:57.891</v>
      </c>
      <c r="T5268" t="str">
        <f t="shared" si="2433"/>
        <v>14:50:57.591</v>
      </c>
      <c r="U5268" t="str">
        <f t="shared" si="2426"/>
        <v>A9808D</v>
      </c>
      <c r="V5268">
        <v>0</v>
      </c>
      <c r="W5268">
        <v>0</v>
      </c>
      <c r="X5268">
        <v>1</v>
      </c>
      <c r="Z5268">
        <v>0</v>
      </c>
      <c r="AA5268">
        <v>9</v>
      </c>
      <c r="AB5268">
        <v>3</v>
      </c>
      <c r="AC5268">
        <v>0</v>
      </c>
      <c r="AD5268">
        <v>10</v>
      </c>
      <c r="AE5268">
        <v>0</v>
      </c>
      <c r="AF5268">
        <v>3</v>
      </c>
      <c r="AG5268">
        <v>2</v>
      </c>
      <c r="AH5268">
        <v>0</v>
      </c>
      <c r="AI5268" t="s">
        <v>1163</v>
      </c>
      <c r="AJ5268">
        <v>28.227416999999999</v>
      </c>
      <c r="AK5268" t="s">
        <v>1164</v>
      </c>
      <c r="AL5268">
        <v>-82.383792</v>
      </c>
      <c r="AM5268">
        <v>100</v>
      </c>
      <c r="AN5268">
        <v>1700</v>
      </c>
      <c r="AO5268" t="s">
        <v>118</v>
      </c>
      <c r="AP5268">
        <v>-102</v>
      </c>
      <c r="AQ5268">
        <v>-60</v>
      </c>
      <c r="AR5268">
        <v>-704</v>
      </c>
      <c r="AZ5268">
        <v>1200</v>
      </c>
      <c r="BA5268">
        <v>1</v>
      </c>
      <c r="BB5268" t="str">
        <f t="shared" si="2402"/>
        <v xml:space="preserve">N711JA  </v>
      </c>
      <c r="BC5268">
        <v>1</v>
      </c>
      <c r="BE5268">
        <v>0</v>
      </c>
      <c r="BF5268">
        <v>0</v>
      </c>
      <c r="BG5268">
        <v>0</v>
      </c>
      <c r="BH5268">
        <v>1800</v>
      </c>
      <c r="BI5268">
        <v>1</v>
      </c>
      <c r="BJ5268">
        <v>1</v>
      </c>
      <c r="BK5268">
        <v>0</v>
      </c>
      <c r="BL5268">
        <v>0</v>
      </c>
      <c r="BO5268">
        <v>0</v>
      </c>
      <c r="BP5268">
        <v>0</v>
      </c>
      <c r="BW5268" t="str">
        <f t="shared" si="2434"/>
        <v>14:50:57.896</v>
      </c>
      <c r="CJ5268">
        <v>0</v>
      </c>
      <c r="CK5268">
        <v>2</v>
      </c>
      <c r="CL5268">
        <v>0</v>
      </c>
      <c r="CM5268">
        <v>2</v>
      </c>
      <c r="CN5268">
        <v>0</v>
      </c>
      <c r="CO5268">
        <v>7</v>
      </c>
      <c r="CP5268" t="s">
        <v>119</v>
      </c>
      <c r="CQ5268">
        <v>343</v>
      </c>
      <c r="CR5268">
        <v>2</v>
      </c>
      <c r="CW5268">
        <v>13391347</v>
      </c>
      <c r="CY5268">
        <v>1</v>
      </c>
      <c r="CZ5268">
        <v>0</v>
      </c>
      <c r="DA5268">
        <v>1</v>
      </c>
      <c r="DB5268">
        <v>0</v>
      </c>
      <c r="DC5268">
        <v>0</v>
      </c>
      <c r="DD5268">
        <v>1</v>
      </c>
      <c r="DE5268">
        <v>0</v>
      </c>
      <c r="DF5268">
        <v>0</v>
      </c>
      <c r="DG5268">
        <v>0</v>
      </c>
      <c r="DH5268">
        <v>0</v>
      </c>
      <c r="DI5268">
        <v>0</v>
      </c>
    </row>
    <row r="5269" spans="1:113" x14ac:dyDescent="0.3">
      <c r="A5269" t="str">
        <f t="shared" si="2431"/>
        <v>05/12/2020 14:50:40.081</v>
      </c>
      <c r="C5269" t="str">
        <f t="shared" si="2401"/>
        <v>FFDFD3C0</v>
      </c>
      <c r="D5269" t="s">
        <v>134</v>
      </c>
      <c r="E5269">
        <v>12</v>
      </c>
      <c r="H5269">
        <v>64</v>
      </c>
      <c r="I5269" t="s">
        <v>135</v>
      </c>
      <c r="J5269" t="s">
        <v>136</v>
      </c>
      <c r="K5269">
        <v>0</v>
      </c>
      <c r="L5269">
        <v>3</v>
      </c>
      <c r="M5269">
        <v>0</v>
      </c>
      <c r="N5269">
        <v>2</v>
      </c>
      <c r="O5269">
        <v>1</v>
      </c>
      <c r="P5269">
        <v>0</v>
      </c>
      <c r="Q5269">
        <v>0</v>
      </c>
      <c r="S5269" t="str">
        <f t="shared" si="2432"/>
        <v>14:50:57.891</v>
      </c>
      <c r="T5269" t="str">
        <f t="shared" si="2433"/>
        <v>14:50:57.591</v>
      </c>
      <c r="U5269" t="str">
        <f t="shared" si="2426"/>
        <v>A9808D</v>
      </c>
      <c r="V5269">
        <v>0</v>
      </c>
      <c r="W5269">
        <v>0</v>
      </c>
      <c r="X5269">
        <v>1</v>
      </c>
      <c r="Z5269">
        <v>0</v>
      </c>
      <c r="AA5269">
        <v>9</v>
      </c>
      <c r="AB5269">
        <v>3</v>
      </c>
      <c r="AC5269">
        <v>0</v>
      </c>
      <c r="AD5269">
        <v>10</v>
      </c>
      <c r="AE5269">
        <v>0</v>
      </c>
      <c r="AF5269">
        <v>3</v>
      </c>
      <c r="AG5269">
        <v>2</v>
      </c>
      <c r="AH5269">
        <v>0</v>
      </c>
      <c r="AI5269" t="s">
        <v>1163</v>
      </c>
      <c r="AJ5269">
        <v>28.227416999999999</v>
      </c>
      <c r="AK5269" t="s">
        <v>1164</v>
      </c>
      <c r="AL5269">
        <v>-82.383792</v>
      </c>
      <c r="AM5269">
        <v>100</v>
      </c>
      <c r="AN5269">
        <v>1700</v>
      </c>
      <c r="AO5269" t="s">
        <v>118</v>
      </c>
      <c r="AP5269">
        <v>-102</v>
      </c>
      <c r="AQ5269">
        <v>-60</v>
      </c>
      <c r="AR5269">
        <v>-704</v>
      </c>
      <c r="AZ5269">
        <v>1200</v>
      </c>
      <c r="BA5269">
        <v>1</v>
      </c>
      <c r="BB5269" t="str">
        <f t="shared" si="2402"/>
        <v xml:space="preserve">N711JA  </v>
      </c>
      <c r="BC5269">
        <v>1</v>
      </c>
      <c r="BE5269">
        <v>0</v>
      </c>
      <c r="BF5269">
        <v>0</v>
      </c>
      <c r="BG5269">
        <v>0</v>
      </c>
      <c r="BH5269">
        <v>1800</v>
      </c>
      <c r="BI5269">
        <v>1</v>
      </c>
      <c r="BJ5269">
        <v>1</v>
      </c>
      <c r="BK5269">
        <v>0</v>
      </c>
      <c r="BL5269">
        <v>0</v>
      </c>
      <c r="BO5269">
        <v>0</v>
      </c>
      <c r="BP5269">
        <v>0</v>
      </c>
      <c r="BW5269" t="str">
        <f t="shared" si="2434"/>
        <v>14:50:57.896</v>
      </c>
      <c r="CJ5269">
        <v>0</v>
      </c>
      <c r="CK5269">
        <v>2</v>
      </c>
      <c r="CL5269">
        <v>0</v>
      </c>
      <c r="CM5269">
        <v>2</v>
      </c>
      <c r="CN5269">
        <v>0</v>
      </c>
      <c r="CO5269">
        <v>7</v>
      </c>
      <c r="CP5269" t="s">
        <v>119</v>
      </c>
      <c r="CQ5269">
        <v>358</v>
      </c>
      <c r="CR5269">
        <v>0</v>
      </c>
      <c r="CW5269">
        <v>5242785</v>
      </c>
      <c r="CY5269">
        <v>1</v>
      </c>
      <c r="CZ5269">
        <v>0</v>
      </c>
      <c r="DA5269">
        <v>1</v>
      </c>
      <c r="DB5269">
        <v>0</v>
      </c>
      <c r="DC5269">
        <v>0</v>
      </c>
      <c r="DD5269">
        <v>1</v>
      </c>
      <c r="DE5269">
        <v>0</v>
      </c>
      <c r="DF5269">
        <v>0</v>
      </c>
      <c r="DG5269">
        <v>0</v>
      </c>
      <c r="DH5269">
        <v>0</v>
      </c>
      <c r="DI5269">
        <v>0</v>
      </c>
    </row>
    <row r="5270" spans="1:113" x14ac:dyDescent="0.3">
      <c r="A5270" t="str">
        <f t="shared" si="2431"/>
        <v>05/12/2020 14:50:40.081</v>
      </c>
      <c r="C5270" t="str">
        <f t="shared" ref="C5270:C5333" si="2435">"FFDFD3C0"</f>
        <v>FFDFD3C0</v>
      </c>
      <c r="D5270" t="s">
        <v>113</v>
      </c>
      <c r="E5270">
        <v>3</v>
      </c>
      <c r="H5270">
        <v>164</v>
      </c>
      <c r="I5270" t="s">
        <v>114</v>
      </c>
      <c r="J5270" t="s">
        <v>115</v>
      </c>
      <c r="K5270">
        <v>0</v>
      </c>
      <c r="L5270">
        <v>3</v>
      </c>
      <c r="M5270">
        <v>0</v>
      </c>
      <c r="N5270">
        <v>2</v>
      </c>
      <c r="O5270">
        <v>1</v>
      </c>
      <c r="P5270">
        <v>0</v>
      </c>
      <c r="Q5270">
        <v>0</v>
      </c>
      <c r="S5270" t="str">
        <f t="shared" si="2432"/>
        <v>14:50:57.891</v>
      </c>
      <c r="T5270" t="str">
        <f t="shared" si="2433"/>
        <v>14:50:57.591</v>
      </c>
      <c r="U5270" t="str">
        <f t="shared" si="2426"/>
        <v>A9808D</v>
      </c>
      <c r="V5270">
        <v>0</v>
      </c>
      <c r="W5270">
        <v>0</v>
      </c>
      <c r="X5270">
        <v>1</v>
      </c>
      <c r="Z5270">
        <v>0</v>
      </c>
      <c r="AA5270">
        <v>9</v>
      </c>
      <c r="AB5270">
        <v>3</v>
      </c>
      <c r="AC5270">
        <v>0</v>
      </c>
      <c r="AD5270">
        <v>10</v>
      </c>
      <c r="AE5270">
        <v>0</v>
      </c>
      <c r="AF5270">
        <v>3</v>
      </c>
      <c r="AG5270">
        <v>2</v>
      </c>
      <c r="AH5270">
        <v>0</v>
      </c>
      <c r="AI5270" t="s">
        <v>1163</v>
      </c>
      <c r="AJ5270">
        <v>28.227416999999999</v>
      </c>
      <c r="AK5270" t="s">
        <v>1164</v>
      </c>
      <c r="AL5270">
        <v>-82.383792</v>
      </c>
      <c r="AM5270">
        <v>100</v>
      </c>
      <c r="AN5270">
        <v>1700</v>
      </c>
      <c r="AO5270" t="s">
        <v>118</v>
      </c>
      <c r="AP5270">
        <v>-102</v>
      </c>
      <c r="AQ5270">
        <v>-60</v>
      </c>
      <c r="AR5270">
        <v>-704</v>
      </c>
      <c r="AZ5270">
        <v>1200</v>
      </c>
      <c r="BA5270">
        <v>1</v>
      </c>
      <c r="BB5270" t="str">
        <f t="shared" ref="BB5270:BB5333" si="2436">"N711JA  "</f>
        <v xml:space="preserve">N711JA  </v>
      </c>
      <c r="BC5270">
        <v>1</v>
      </c>
      <c r="BE5270">
        <v>0</v>
      </c>
      <c r="BF5270">
        <v>0</v>
      </c>
      <c r="BG5270">
        <v>0</v>
      </c>
      <c r="BH5270">
        <v>1800</v>
      </c>
      <c r="BI5270">
        <v>1</v>
      </c>
      <c r="BJ5270">
        <v>1</v>
      </c>
      <c r="BK5270">
        <v>0</v>
      </c>
      <c r="BL5270">
        <v>0</v>
      </c>
      <c r="BO5270">
        <v>0</v>
      </c>
      <c r="BP5270">
        <v>0</v>
      </c>
      <c r="BW5270" t="str">
        <f t="shared" si="2434"/>
        <v>14:50:57.896</v>
      </c>
      <c r="CJ5270">
        <v>0</v>
      </c>
      <c r="CK5270">
        <v>2</v>
      </c>
      <c r="CL5270">
        <v>0</v>
      </c>
      <c r="CM5270">
        <v>2</v>
      </c>
      <c r="CN5270">
        <v>0</v>
      </c>
      <c r="CO5270">
        <v>7</v>
      </c>
      <c r="CP5270" t="s">
        <v>119</v>
      </c>
      <c r="CQ5270">
        <v>343</v>
      </c>
      <c r="CR5270">
        <v>2</v>
      </c>
      <c r="CW5270">
        <v>13391347</v>
      </c>
      <c r="CY5270">
        <v>1</v>
      </c>
      <c r="CZ5270">
        <v>0</v>
      </c>
      <c r="DA5270">
        <v>1</v>
      </c>
      <c r="DB5270">
        <v>0</v>
      </c>
      <c r="DC5270">
        <v>0</v>
      </c>
      <c r="DD5270">
        <v>1</v>
      </c>
      <c r="DE5270">
        <v>0</v>
      </c>
      <c r="DF5270">
        <v>0</v>
      </c>
      <c r="DG5270">
        <v>0</v>
      </c>
      <c r="DH5270">
        <v>0</v>
      </c>
      <c r="DI5270">
        <v>0</v>
      </c>
    </row>
    <row r="5271" spans="1:113" x14ac:dyDescent="0.3">
      <c r="A5271" t="str">
        <f t="shared" si="2431"/>
        <v>05/12/2020 14:50:40.081</v>
      </c>
      <c r="C5271" t="str">
        <f t="shared" si="2435"/>
        <v>FFDFD3C0</v>
      </c>
      <c r="D5271" t="s">
        <v>126</v>
      </c>
      <c r="E5271">
        <v>6</v>
      </c>
      <c r="F5271">
        <v>1006</v>
      </c>
      <c r="G5271" t="s">
        <v>114</v>
      </c>
      <c r="J5271" t="s">
        <v>128</v>
      </c>
      <c r="K5271">
        <v>0</v>
      </c>
      <c r="L5271">
        <v>3</v>
      </c>
      <c r="M5271">
        <v>0</v>
      </c>
      <c r="N5271">
        <v>2</v>
      </c>
      <c r="O5271">
        <v>1</v>
      </c>
      <c r="P5271">
        <v>0</v>
      </c>
      <c r="Q5271">
        <v>0</v>
      </c>
      <c r="S5271" t="str">
        <f t="shared" si="2432"/>
        <v>14:50:57.891</v>
      </c>
      <c r="T5271" t="str">
        <f t="shared" si="2433"/>
        <v>14:50:57.591</v>
      </c>
      <c r="U5271" t="str">
        <f t="shared" si="2426"/>
        <v>A9808D</v>
      </c>
      <c r="V5271">
        <v>0</v>
      </c>
      <c r="W5271">
        <v>0</v>
      </c>
      <c r="X5271">
        <v>1</v>
      </c>
      <c r="Z5271">
        <v>0</v>
      </c>
      <c r="AA5271">
        <v>9</v>
      </c>
      <c r="AB5271">
        <v>3</v>
      </c>
      <c r="AC5271">
        <v>0</v>
      </c>
      <c r="AD5271">
        <v>10</v>
      </c>
      <c r="AE5271">
        <v>0</v>
      </c>
      <c r="AF5271">
        <v>3</v>
      </c>
      <c r="AG5271">
        <v>2</v>
      </c>
      <c r="AH5271">
        <v>0</v>
      </c>
      <c r="AI5271" t="s">
        <v>1163</v>
      </c>
      <c r="AJ5271">
        <v>28.227416999999999</v>
      </c>
      <c r="AK5271" t="s">
        <v>1164</v>
      </c>
      <c r="AL5271">
        <v>-82.383792</v>
      </c>
      <c r="AM5271">
        <v>100</v>
      </c>
      <c r="AN5271">
        <v>1700</v>
      </c>
      <c r="AO5271" t="s">
        <v>118</v>
      </c>
      <c r="AP5271">
        <v>-102</v>
      </c>
      <c r="AQ5271">
        <v>-60</v>
      </c>
      <c r="AR5271">
        <v>-704</v>
      </c>
      <c r="AZ5271">
        <v>1200</v>
      </c>
      <c r="BA5271">
        <v>1</v>
      </c>
      <c r="BB5271" t="str">
        <f t="shared" si="2436"/>
        <v xml:space="preserve">N711JA  </v>
      </c>
      <c r="BC5271">
        <v>1</v>
      </c>
      <c r="BE5271">
        <v>0</v>
      </c>
      <c r="BF5271">
        <v>0</v>
      </c>
      <c r="BG5271">
        <v>0</v>
      </c>
      <c r="BH5271">
        <v>1800</v>
      </c>
      <c r="BI5271">
        <v>1</v>
      </c>
      <c r="BJ5271">
        <v>1</v>
      </c>
      <c r="BK5271">
        <v>0</v>
      </c>
      <c r="BL5271">
        <v>0</v>
      </c>
      <c r="BO5271">
        <v>0</v>
      </c>
      <c r="BP5271">
        <v>0</v>
      </c>
      <c r="BW5271" t="str">
        <f t="shared" si="2434"/>
        <v>14:50:57.896</v>
      </c>
      <c r="CJ5271">
        <v>0</v>
      </c>
      <c r="CK5271">
        <v>2</v>
      </c>
      <c r="CL5271">
        <v>0</v>
      </c>
      <c r="CM5271">
        <v>2</v>
      </c>
      <c r="CN5271">
        <v>0</v>
      </c>
      <c r="CO5271">
        <v>7</v>
      </c>
      <c r="CP5271" t="s">
        <v>119</v>
      </c>
      <c r="CQ5271">
        <v>358</v>
      </c>
      <c r="CR5271">
        <v>0</v>
      </c>
      <c r="CW5271">
        <v>5242785</v>
      </c>
      <c r="CY5271">
        <v>1</v>
      </c>
      <c r="CZ5271">
        <v>0</v>
      </c>
      <c r="DA5271">
        <v>1</v>
      </c>
      <c r="DB5271">
        <v>0</v>
      </c>
      <c r="DC5271">
        <v>0</v>
      </c>
      <c r="DD5271">
        <v>1</v>
      </c>
      <c r="DE5271">
        <v>0</v>
      </c>
      <c r="DF5271">
        <v>0</v>
      </c>
      <c r="DG5271">
        <v>0</v>
      </c>
      <c r="DH5271">
        <v>0</v>
      </c>
      <c r="DI5271">
        <v>0</v>
      </c>
    </row>
    <row r="5272" spans="1:113" x14ac:dyDescent="0.3">
      <c r="A5272" t="str">
        <f t="shared" si="2431"/>
        <v>05/12/2020 14:50:40.081</v>
      </c>
      <c r="C5272" t="str">
        <f t="shared" si="2435"/>
        <v>FFDFD3C0</v>
      </c>
      <c r="D5272" t="s">
        <v>138</v>
      </c>
      <c r="E5272">
        <v>2</v>
      </c>
      <c r="H5272">
        <v>8</v>
      </c>
      <c r="I5272" t="s">
        <v>139</v>
      </c>
      <c r="J5272" t="s">
        <v>136</v>
      </c>
      <c r="K5272">
        <v>0</v>
      </c>
      <c r="L5272">
        <v>3</v>
      </c>
      <c r="M5272">
        <v>0</v>
      </c>
      <c r="N5272">
        <v>2</v>
      </c>
      <c r="O5272">
        <v>1</v>
      </c>
      <c r="P5272">
        <v>0</v>
      </c>
      <c r="Q5272">
        <v>0</v>
      </c>
      <c r="S5272" t="str">
        <f t="shared" si="2432"/>
        <v>14:50:57.891</v>
      </c>
      <c r="T5272" t="str">
        <f t="shared" si="2433"/>
        <v>14:50:57.591</v>
      </c>
      <c r="U5272" t="str">
        <f t="shared" si="2426"/>
        <v>A9808D</v>
      </c>
      <c r="V5272">
        <v>0</v>
      </c>
      <c r="W5272">
        <v>0</v>
      </c>
      <c r="X5272">
        <v>1</v>
      </c>
      <c r="Z5272">
        <v>0</v>
      </c>
      <c r="AA5272">
        <v>9</v>
      </c>
      <c r="AB5272">
        <v>3</v>
      </c>
      <c r="AC5272">
        <v>0</v>
      </c>
      <c r="AD5272">
        <v>10</v>
      </c>
      <c r="AE5272">
        <v>0</v>
      </c>
      <c r="AF5272">
        <v>3</v>
      </c>
      <c r="AG5272">
        <v>2</v>
      </c>
      <c r="AH5272">
        <v>0</v>
      </c>
      <c r="AI5272" t="s">
        <v>1163</v>
      </c>
      <c r="AJ5272">
        <v>28.227416999999999</v>
      </c>
      <c r="AK5272" t="s">
        <v>1164</v>
      </c>
      <c r="AL5272">
        <v>-82.383792</v>
      </c>
      <c r="AM5272">
        <v>100</v>
      </c>
      <c r="AN5272">
        <v>1700</v>
      </c>
      <c r="AO5272" t="s">
        <v>118</v>
      </c>
      <c r="AP5272">
        <v>-102</v>
      </c>
      <c r="AQ5272">
        <v>-60</v>
      </c>
      <c r="AR5272">
        <v>-704</v>
      </c>
      <c r="AZ5272">
        <v>1200</v>
      </c>
      <c r="BA5272">
        <v>1</v>
      </c>
      <c r="BB5272" t="str">
        <f t="shared" si="2436"/>
        <v xml:space="preserve">N711JA  </v>
      </c>
      <c r="BC5272">
        <v>1</v>
      </c>
      <c r="BE5272">
        <v>0</v>
      </c>
      <c r="BF5272">
        <v>0</v>
      </c>
      <c r="BG5272">
        <v>0</v>
      </c>
      <c r="BH5272">
        <v>1800</v>
      </c>
      <c r="BI5272">
        <v>1</v>
      </c>
      <c r="BJ5272">
        <v>1</v>
      </c>
      <c r="BK5272">
        <v>0</v>
      </c>
      <c r="BL5272">
        <v>0</v>
      </c>
      <c r="BO5272">
        <v>0</v>
      </c>
      <c r="BP5272">
        <v>0</v>
      </c>
      <c r="BW5272" t="str">
        <f t="shared" si="2434"/>
        <v>14:50:57.896</v>
      </c>
      <c r="CJ5272">
        <v>0</v>
      </c>
      <c r="CK5272">
        <v>2</v>
      </c>
      <c r="CL5272">
        <v>0</v>
      </c>
      <c r="CM5272">
        <v>2</v>
      </c>
      <c r="CN5272">
        <v>0</v>
      </c>
      <c r="CO5272">
        <v>7</v>
      </c>
      <c r="CP5272" t="s">
        <v>119</v>
      </c>
      <c r="CQ5272">
        <v>343</v>
      </c>
      <c r="CR5272">
        <v>2</v>
      </c>
      <c r="CW5272">
        <v>13391347</v>
      </c>
      <c r="CY5272">
        <v>1</v>
      </c>
      <c r="CZ5272">
        <v>0</v>
      </c>
      <c r="DA5272">
        <v>1</v>
      </c>
      <c r="DB5272">
        <v>0</v>
      </c>
      <c r="DC5272">
        <v>0</v>
      </c>
      <c r="DD5272">
        <v>1</v>
      </c>
      <c r="DE5272">
        <v>0</v>
      </c>
      <c r="DF5272">
        <v>0</v>
      </c>
      <c r="DG5272">
        <v>0</v>
      </c>
      <c r="DH5272">
        <v>0</v>
      </c>
      <c r="DI5272">
        <v>0</v>
      </c>
    </row>
    <row r="5273" spans="1:113" x14ac:dyDescent="0.3">
      <c r="A5273" t="str">
        <f t="shared" ref="A5273:A5280" si="2437">"05/12/2020 14:50:41.013"</f>
        <v>05/12/2020 14:50:41.013</v>
      </c>
      <c r="C5273" t="str">
        <f t="shared" si="2435"/>
        <v>FFDFD3C0</v>
      </c>
      <c r="D5273" t="s">
        <v>134</v>
      </c>
      <c r="E5273">
        <v>12</v>
      </c>
      <c r="H5273">
        <v>64</v>
      </c>
      <c r="I5273" t="s">
        <v>135</v>
      </c>
      <c r="J5273" t="s">
        <v>136</v>
      </c>
      <c r="K5273">
        <v>0</v>
      </c>
      <c r="L5273">
        <v>3</v>
      </c>
      <c r="M5273">
        <v>0</v>
      </c>
      <c r="N5273">
        <v>2</v>
      </c>
      <c r="O5273">
        <v>1</v>
      </c>
      <c r="P5273">
        <v>0</v>
      </c>
      <c r="Q5273">
        <v>0</v>
      </c>
      <c r="S5273" t="str">
        <f t="shared" ref="S5273:S5280" si="2438">"14:50:58.852"</f>
        <v>14:50:58.852</v>
      </c>
      <c r="T5273" t="str">
        <f t="shared" ref="T5273:T5280" si="2439">"14:50:58.552"</f>
        <v>14:50:58.552</v>
      </c>
      <c r="U5273" t="str">
        <f t="shared" si="2426"/>
        <v>A9808D</v>
      </c>
      <c r="V5273">
        <v>0</v>
      </c>
      <c r="W5273">
        <v>0</v>
      </c>
      <c r="X5273">
        <v>1</v>
      </c>
      <c r="Z5273">
        <v>0</v>
      </c>
      <c r="AA5273">
        <v>9</v>
      </c>
      <c r="AB5273">
        <v>3</v>
      </c>
      <c r="AC5273">
        <v>0</v>
      </c>
      <c r="AD5273">
        <v>10</v>
      </c>
      <c r="AE5273">
        <v>0</v>
      </c>
      <c r="AF5273">
        <v>3</v>
      </c>
      <c r="AG5273">
        <v>2</v>
      </c>
      <c r="AH5273">
        <v>0</v>
      </c>
      <c r="AI5273" t="s">
        <v>1165</v>
      </c>
      <c r="AJ5273">
        <v>28.227096</v>
      </c>
      <c r="AK5273" t="s">
        <v>1166</v>
      </c>
      <c r="AL5273">
        <v>-82.384264000000002</v>
      </c>
      <c r="AM5273">
        <v>100</v>
      </c>
      <c r="AN5273">
        <v>1700</v>
      </c>
      <c r="AO5273" t="s">
        <v>118</v>
      </c>
      <c r="AP5273">
        <v>-100</v>
      </c>
      <c r="AQ5273">
        <v>-63</v>
      </c>
      <c r="AR5273">
        <v>-768</v>
      </c>
      <c r="AZ5273">
        <v>1200</v>
      </c>
      <c r="BA5273">
        <v>1</v>
      </c>
      <c r="BB5273" t="str">
        <f t="shared" si="2436"/>
        <v xml:space="preserve">N711JA  </v>
      </c>
      <c r="BC5273">
        <v>1</v>
      </c>
      <c r="BE5273">
        <v>0</v>
      </c>
      <c r="BF5273">
        <v>0</v>
      </c>
      <c r="BG5273">
        <v>0</v>
      </c>
      <c r="BH5273">
        <v>1775</v>
      </c>
      <c r="BI5273">
        <v>1</v>
      </c>
      <c r="BJ5273">
        <v>1</v>
      </c>
      <c r="BK5273">
        <v>0</v>
      </c>
      <c r="BL5273">
        <v>0</v>
      </c>
      <c r="BO5273">
        <v>0</v>
      </c>
      <c r="BP5273">
        <v>0</v>
      </c>
      <c r="BW5273" t="str">
        <f t="shared" ref="BW5273:BW5280" si="2440">"14:50:58.852"</f>
        <v>14:50:58.852</v>
      </c>
      <c r="CJ5273">
        <v>0</v>
      </c>
      <c r="CK5273">
        <v>2</v>
      </c>
      <c r="CL5273">
        <v>0</v>
      </c>
      <c r="CM5273">
        <v>2</v>
      </c>
      <c r="CN5273">
        <v>0</v>
      </c>
      <c r="CO5273">
        <v>7</v>
      </c>
      <c r="CP5273" t="s">
        <v>119</v>
      </c>
      <c r="CQ5273">
        <v>343</v>
      </c>
      <c r="CR5273">
        <v>1</v>
      </c>
      <c r="CW5273">
        <v>11132264</v>
      </c>
      <c r="CY5273">
        <v>1</v>
      </c>
      <c r="CZ5273">
        <v>0</v>
      </c>
      <c r="DA5273">
        <v>0</v>
      </c>
      <c r="DB5273">
        <v>0</v>
      </c>
      <c r="DC5273">
        <v>0</v>
      </c>
      <c r="DD5273">
        <v>1</v>
      </c>
      <c r="DE5273">
        <v>0</v>
      </c>
      <c r="DF5273">
        <v>0</v>
      </c>
      <c r="DG5273">
        <v>0</v>
      </c>
      <c r="DH5273">
        <v>0</v>
      </c>
      <c r="DI5273">
        <v>0</v>
      </c>
    </row>
    <row r="5274" spans="1:113" x14ac:dyDescent="0.3">
      <c r="A5274" t="str">
        <f t="shared" si="2437"/>
        <v>05/12/2020 14:50:41.013</v>
      </c>
      <c r="C5274" t="str">
        <f t="shared" si="2435"/>
        <v>FFDFD3C0</v>
      </c>
      <c r="D5274" t="s">
        <v>126</v>
      </c>
      <c r="E5274">
        <v>6</v>
      </c>
      <c r="F5274">
        <v>1006</v>
      </c>
      <c r="G5274" t="s">
        <v>114</v>
      </c>
      <c r="J5274" t="s">
        <v>128</v>
      </c>
      <c r="K5274">
        <v>0</v>
      </c>
      <c r="L5274">
        <v>3</v>
      </c>
      <c r="M5274">
        <v>0</v>
      </c>
      <c r="N5274">
        <v>2</v>
      </c>
      <c r="O5274">
        <v>1</v>
      </c>
      <c r="P5274">
        <v>0</v>
      </c>
      <c r="Q5274">
        <v>0</v>
      </c>
      <c r="S5274" t="str">
        <f t="shared" si="2438"/>
        <v>14:50:58.852</v>
      </c>
      <c r="T5274" t="str">
        <f t="shared" si="2439"/>
        <v>14:50:58.552</v>
      </c>
      <c r="U5274" t="str">
        <f t="shared" si="2426"/>
        <v>A9808D</v>
      </c>
      <c r="V5274">
        <v>0</v>
      </c>
      <c r="W5274">
        <v>0</v>
      </c>
      <c r="X5274">
        <v>1</v>
      </c>
      <c r="Z5274">
        <v>0</v>
      </c>
      <c r="AA5274">
        <v>9</v>
      </c>
      <c r="AB5274">
        <v>3</v>
      </c>
      <c r="AC5274">
        <v>0</v>
      </c>
      <c r="AD5274">
        <v>10</v>
      </c>
      <c r="AE5274">
        <v>0</v>
      </c>
      <c r="AF5274">
        <v>3</v>
      </c>
      <c r="AG5274">
        <v>2</v>
      </c>
      <c r="AH5274">
        <v>0</v>
      </c>
      <c r="AI5274" t="s">
        <v>1165</v>
      </c>
      <c r="AJ5274">
        <v>28.227096</v>
      </c>
      <c r="AK5274" t="s">
        <v>1166</v>
      </c>
      <c r="AL5274">
        <v>-82.384264000000002</v>
      </c>
      <c r="AM5274">
        <v>100</v>
      </c>
      <c r="AN5274">
        <v>1700</v>
      </c>
      <c r="AO5274" t="s">
        <v>118</v>
      </c>
      <c r="AP5274">
        <v>-100</v>
      </c>
      <c r="AQ5274">
        <v>-63</v>
      </c>
      <c r="AR5274">
        <v>-768</v>
      </c>
      <c r="AZ5274">
        <v>1200</v>
      </c>
      <c r="BA5274">
        <v>1</v>
      </c>
      <c r="BB5274" t="str">
        <f t="shared" si="2436"/>
        <v xml:space="preserve">N711JA  </v>
      </c>
      <c r="BC5274">
        <v>1</v>
      </c>
      <c r="BE5274">
        <v>0</v>
      </c>
      <c r="BF5274">
        <v>0</v>
      </c>
      <c r="BG5274">
        <v>0</v>
      </c>
      <c r="BH5274">
        <v>1775</v>
      </c>
      <c r="BI5274">
        <v>1</v>
      </c>
      <c r="BJ5274">
        <v>1</v>
      </c>
      <c r="BK5274">
        <v>0</v>
      </c>
      <c r="BL5274">
        <v>0</v>
      </c>
      <c r="BO5274">
        <v>0</v>
      </c>
      <c r="BP5274">
        <v>0</v>
      </c>
      <c r="BW5274" t="str">
        <f t="shared" si="2440"/>
        <v>14:50:58.852</v>
      </c>
      <c r="CJ5274">
        <v>0</v>
      </c>
      <c r="CK5274">
        <v>2</v>
      </c>
      <c r="CL5274">
        <v>0</v>
      </c>
      <c r="CM5274">
        <v>2</v>
      </c>
      <c r="CN5274">
        <v>0</v>
      </c>
      <c r="CO5274">
        <v>7</v>
      </c>
      <c r="CP5274" t="s">
        <v>119</v>
      </c>
      <c r="CQ5274">
        <v>343</v>
      </c>
      <c r="CR5274">
        <v>1</v>
      </c>
      <c r="CW5274">
        <v>11132264</v>
      </c>
      <c r="CY5274">
        <v>1</v>
      </c>
      <c r="CZ5274">
        <v>0</v>
      </c>
      <c r="DA5274">
        <v>1</v>
      </c>
      <c r="DB5274">
        <v>0</v>
      </c>
      <c r="DC5274">
        <v>0</v>
      </c>
      <c r="DD5274">
        <v>1</v>
      </c>
      <c r="DE5274">
        <v>0</v>
      </c>
      <c r="DF5274">
        <v>0</v>
      </c>
      <c r="DG5274">
        <v>0</v>
      </c>
      <c r="DH5274">
        <v>0</v>
      </c>
      <c r="DI5274">
        <v>0</v>
      </c>
    </row>
    <row r="5275" spans="1:113" x14ac:dyDescent="0.3">
      <c r="A5275" t="str">
        <f t="shared" si="2437"/>
        <v>05/12/2020 14:50:41.013</v>
      </c>
      <c r="C5275" t="str">
        <f t="shared" si="2435"/>
        <v>FFDFD3C0</v>
      </c>
      <c r="D5275" t="s">
        <v>113</v>
      </c>
      <c r="E5275">
        <v>3</v>
      </c>
      <c r="H5275">
        <v>164</v>
      </c>
      <c r="I5275" t="s">
        <v>114</v>
      </c>
      <c r="J5275" t="s">
        <v>115</v>
      </c>
      <c r="K5275">
        <v>0</v>
      </c>
      <c r="L5275">
        <v>3</v>
      </c>
      <c r="M5275">
        <v>0</v>
      </c>
      <c r="N5275">
        <v>2</v>
      </c>
      <c r="O5275">
        <v>1</v>
      </c>
      <c r="P5275">
        <v>0</v>
      </c>
      <c r="Q5275">
        <v>0</v>
      </c>
      <c r="S5275" t="str">
        <f t="shared" si="2438"/>
        <v>14:50:58.852</v>
      </c>
      <c r="T5275" t="str">
        <f t="shared" si="2439"/>
        <v>14:50:58.552</v>
      </c>
      <c r="U5275" t="str">
        <f t="shared" si="2426"/>
        <v>A9808D</v>
      </c>
      <c r="V5275">
        <v>0</v>
      </c>
      <c r="W5275">
        <v>0</v>
      </c>
      <c r="X5275">
        <v>1</v>
      </c>
      <c r="Z5275">
        <v>0</v>
      </c>
      <c r="AA5275">
        <v>9</v>
      </c>
      <c r="AB5275">
        <v>3</v>
      </c>
      <c r="AC5275">
        <v>0</v>
      </c>
      <c r="AD5275">
        <v>10</v>
      </c>
      <c r="AE5275">
        <v>0</v>
      </c>
      <c r="AF5275">
        <v>3</v>
      </c>
      <c r="AG5275">
        <v>2</v>
      </c>
      <c r="AH5275">
        <v>0</v>
      </c>
      <c r="AI5275" t="s">
        <v>1165</v>
      </c>
      <c r="AJ5275">
        <v>28.227096</v>
      </c>
      <c r="AK5275" t="s">
        <v>1166</v>
      </c>
      <c r="AL5275">
        <v>-82.384264000000002</v>
      </c>
      <c r="AM5275">
        <v>100</v>
      </c>
      <c r="AN5275">
        <v>1700</v>
      </c>
      <c r="AO5275" t="s">
        <v>118</v>
      </c>
      <c r="AP5275">
        <v>-100</v>
      </c>
      <c r="AQ5275">
        <v>-63</v>
      </c>
      <c r="AR5275">
        <v>-768</v>
      </c>
      <c r="AZ5275">
        <v>1200</v>
      </c>
      <c r="BA5275">
        <v>1</v>
      </c>
      <c r="BB5275" t="str">
        <f t="shared" si="2436"/>
        <v xml:space="preserve">N711JA  </v>
      </c>
      <c r="BC5275">
        <v>1</v>
      </c>
      <c r="BE5275">
        <v>0</v>
      </c>
      <c r="BF5275">
        <v>0</v>
      </c>
      <c r="BG5275">
        <v>0</v>
      </c>
      <c r="BH5275">
        <v>1775</v>
      </c>
      <c r="BI5275">
        <v>1</v>
      </c>
      <c r="BJ5275">
        <v>1</v>
      </c>
      <c r="BK5275">
        <v>0</v>
      </c>
      <c r="BL5275">
        <v>0</v>
      </c>
      <c r="BO5275">
        <v>0</v>
      </c>
      <c r="BP5275">
        <v>0</v>
      </c>
      <c r="BW5275" t="str">
        <f t="shared" si="2440"/>
        <v>14:50:58.852</v>
      </c>
      <c r="CJ5275">
        <v>0</v>
      </c>
      <c r="CK5275">
        <v>2</v>
      </c>
      <c r="CL5275">
        <v>0</v>
      </c>
      <c r="CM5275">
        <v>2</v>
      </c>
      <c r="CN5275">
        <v>0</v>
      </c>
      <c r="CO5275">
        <v>7</v>
      </c>
      <c r="CP5275" t="s">
        <v>119</v>
      </c>
      <c r="CQ5275">
        <v>343</v>
      </c>
      <c r="CR5275">
        <v>1</v>
      </c>
      <c r="CW5275">
        <v>11132264</v>
      </c>
      <c r="CY5275">
        <v>1</v>
      </c>
      <c r="CZ5275">
        <v>0</v>
      </c>
      <c r="DA5275">
        <v>1</v>
      </c>
      <c r="DB5275">
        <v>0</v>
      </c>
      <c r="DC5275">
        <v>0</v>
      </c>
      <c r="DD5275">
        <v>1</v>
      </c>
      <c r="DE5275">
        <v>0</v>
      </c>
      <c r="DF5275">
        <v>0</v>
      </c>
      <c r="DG5275">
        <v>0</v>
      </c>
      <c r="DH5275">
        <v>0</v>
      </c>
      <c r="DI5275">
        <v>0</v>
      </c>
    </row>
    <row r="5276" spans="1:113" x14ac:dyDescent="0.3">
      <c r="A5276" t="str">
        <f t="shared" si="2437"/>
        <v>05/12/2020 14:50:41.013</v>
      </c>
      <c r="C5276" t="str">
        <f t="shared" si="2435"/>
        <v>FFDFD3C0</v>
      </c>
      <c r="D5276" t="s">
        <v>138</v>
      </c>
      <c r="E5276">
        <v>2</v>
      </c>
      <c r="H5276">
        <v>8</v>
      </c>
      <c r="I5276" t="s">
        <v>139</v>
      </c>
      <c r="J5276" t="s">
        <v>136</v>
      </c>
      <c r="K5276">
        <v>0</v>
      </c>
      <c r="L5276">
        <v>3</v>
      </c>
      <c r="M5276">
        <v>0</v>
      </c>
      <c r="N5276">
        <v>2</v>
      </c>
      <c r="O5276">
        <v>1</v>
      </c>
      <c r="P5276">
        <v>0</v>
      </c>
      <c r="Q5276">
        <v>0</v>
      </c>
      <c r="S5276" t="str">
        <f t="shared" si="2438"/>
        <v>14:50:58.852</v>
      </c>
      <c r="T5276" t="str">
        <f t="shared" si="2439"/>
        <v>14:50:58.552</v>
      </c>
      <c r="U5276" t="str">
        <f t="shared" si="2426"/>
        <v>A9808D</v>
      </c>
      <c r="V5276">
        <v>0</v>
      </c>
      <c r="W5276">
        <v>0</v>
      </c>
      <c r="X5276">
        <v>1</v>
      </c>
      <c r="Z5276">
        <v>0</v>
      </c>
      <c r="AA5276">
        <v>9</v>
      </c>
      <c r="AB5276">
        <v>3</v>
      </c>
      <c r="AC5276">
        <v>0</v>
      </c>
      <c r="AD5276">
        <v>10</v>
      </c>
      <c r="AE5276">
        <v>0</v>
      </c>
      <c r="AF5276">
        <v>3</v>
      </c>
      <c r="AG5276">
        <v>2</v>
      </c>
      <c r="AH5276">
        <v>0</v>
      </c>
      <c r="AI5276" t="s">
        <v>1165</v>
      </c>
      <c r="AJ5276">
        <v>28.227096</v>
      </c>
      <c r="AK5276" t="s">
        <v>1166</v>
      </c>
      <c r="AL5276">
        <v>-82.384264000000002</v>
      </c>
      <c r="AM5276">
        <v>100</v>
      </c>
      <c r="AN5276">
        <v>1700</v>
      </c>
      <c r="AO5276" t="s">
        <v>118</v>
      </c>
      <c r="AP5276">
        <v>-100</v>
      </c>
      <c r="AQ5276">
        <v>-63</v>
      </c>
      <c r="AR5276">
        <v>-768</v>
      </c>
      <c r="AZ5276">
        <v>1200</v>
      </c>
      <c r="BA5276">
        <v>1</v>
      </c>
      <c r="BB5276" t="str">
        <f t="shared" si="2436"/>
        <v xml:space="preserve">N711JA  </v>
      </c>
      <c r="BC5276">
        <v>1</v>
      </c>
      <c r="BE5276">
        <v>0</v>
      </c>
      <c r="BF5276">
        <v>0</v>
      </c>
      <c r="BG5276">
        <v>0</v>
      </c>
      <c r="BH5276">
        <v>1775</v>
      </c>
      <c r="BI5276">
        <v>1</v>
      </c>
      <c r="BJ5276">
        <v>1</v>
      </c>
      <c r="BK5276">
        <v>0</v>
      </c>
      <c r="BL5276">
        <v>0</v>
      </c>
      <c r="BO5276">
        <v>0</v>
      </c>
      <c r="BP5276">
        <v>0</v>
      </c>
      <c r="BW5276" t="str">
        <f t="shared" si="2440"/>
        <v>14:50:58.852</v>
      </c>
      <c r="CJ5276">
        <v>0</v>
      </c>
      <c r="CK5276">
        <v>2</v>
      </c>
      <c r="CL5276">
        <v>0</v>
      </c>
      <c r="CM5276">
        <v>2</v>
      </c>
      <c r="CN5276">
        <v>0</v>
      </c>
      <c r="CO5276">
        <v>7</v>
      </c>
      <c r="CP5276" t="s">
        <v>119</v>
      </c>
      <c r="CQ5276">
        <v>343</v>
      </c>
      <c r="CR5276">
        <v>1</v>
      </c>
      <c r="CW5276">
        <v>11132264</v>
      </c>
      <c r="CY5276">
        <v>1</v>
      </c>
      <c r="CZ5276">
        <v>0</v>
      </c>
      <c r="DA5276">
        <v>1</v>
      </c>
      <c r="DB5276">
        <v>0</v>
      </c>
      <c r="DC5276">
        <v>0</v>
      </c>
      <c r="DD5276">
        <v>1</v>
      </c>
      <c r="DE5276">
        <v>0</v>
      </c>
      <c r="DF5276">
        <v>0</v>
      </c>
      <c r="DG5276">
        <v>0</v>
      </c>
      <c r="DH5276">
        <v>0</v>
      </c>
      <c r="DI5276">
        <v>0</v>
      </c>
    </row>
    <row r="5277" spans="1:113" x14ac:dyDescent="0.3">
      <c r="A5277" t="str">
        <f t="shared" si="2437"/>
        <v>05/12/2020 14:50:41.013</v>
      </c>
      <c r="C5277" t="str">
        <f t="shared" si="2435"/>
        <v>FFDFD3C0</v>
      </c>
      <c r="D5277" t="s">
        <v>126</v>
      </c>
      <c r="E5277">
        <v>7</v>
      </c>
      <c r="F5277">
        <v>1007</v>
      </c>
      <c r="G5277" t="s">
        <v>127</v>
      </c>
      <c r="J5277" t="s">
        <v>128</v>
      </c>
      <c r="K5277">
        <v>0</v>
      </c>
      <c r="L5277">
        <v>3</v>
      </c>
      <c r="M5277">
        <v>0</v>
      </c>
      <c r="N5277">
        <v>2</v>
      </c>
      <c r="O5277">
        <v>1</v>
      </c>
      <c r="P5277">
        <v>0</v>
      </c>
      <c r="Q5277">
        <v>0</v>
      </c>
      <c r="S5277" t="str">
        <f t="shared" si="2438"/>
        <v>14:50:58.852</v>
      </c>
      <c r="T5277" t="str">
        <f t="shared" si="2439"/>
        <v>14:50:58.552</v>
      </c>
      <c r="U5277" t="str">
        <f t="shared" si="2426"/>
        <v>A9808D</v>
      </c>
      <c r="V5277">
        <v>0</v>
      </c>
      <c r="W5277">
        <v>0</v>
      </c>
      <c r="X5277">
        <v>1</v>
      </c>
      <c r="Z5277">
        <v>0</v>
      </c>
      <c r="AA5277">
        <v>9</v>
      </c>
      <c r="AB5277">
        <v>3</v>
      </c>
      <c r="AC5277">
        <v>0</v>
      </c>
      <c r="AD5277">
        <v>10</v>
      </c>
      <c r="AE5277">
        <v>0</v>
      </c>
      <c r="AF5277">
        <v>3</v>
      </c>
      <c r="AG5277">
        <v>2</v>
      </c>
      <c r="AH5277">
        <v>0</v>
      </c>
      <c r="AI5277" t="s">
        <v>1165</v>
      </c>
      <c r="AJ5277">
        <v>28.227096</v>
      </c>
      <c r="AK5277" t="s">
        <v>1166</v>
      </c>
      <c r="AL5277">
        <v>-82.384264000000002</v>
      </c>
      <c r="AM5277">
        <v>100</v>
      </c>
      <c r="AN5277">
        <v>1700</v>
      </c>
      <c r="AO5277" t="s">
        <v>118</v>
      </c>
      <c r="AP5277">
        <v>-100</v>
      </c>
      <c r="AQ5277">
        <v>-63</v>
      </c>
      <c r="AR5277">
        <v>-768</v>
      </c>
      <c r="AZ5277">
        <v>1200</v>
      </c>
      <c r="BA5277">
        <v>1</v>
      </c>
      <c r="BB5277" t="str">
        <f t="shared" si="2436"/>
        <v xml:space="preserve">N711JA  </v>
      </c>
      <c r="BC5277">
        <v>1</v>
      </c>
      <c r="BE5277">
        <v>0</v>
      </c>
      <c r="BF5277">
        <v>0</v>
      </c>
      <c r="BG5277">
        <v>0</v>
      </c>
      <c r="BH5277">
        <v>1775</v>
      </c>
      <c r="BI5277">
        <v>1</v>
      </c>
      <c r="BJ5277">
        <v>1</v>
      </c>
      <c r="BK5277">
        <v>0</v>
      </c>
      <c r="BL5277">
        <v>0</v>
      </c>
      <c r="BO5277">
        <v>0</v>
      </c>
      <c r="BP5277">
        <v>0</v>
      </c>
      <c r="BW5277" t="str">
        <f t="shared" si="2440"/>
        <v>14:50:58.852</v>
      </c>
      <c r="CJ5277">
        <v>0</v>
      </c>
      <c r="CK5277">
        <v>2</v>
      </c>
      <c r="CL5277">
        <v>0</v>
      </c>
      <c r="CM5277">
        <v>2</v>
      </c>
      <c r="CN5277">
        <v>0</v>
      </c>
      <c r="CO5277">
        <v>7</v>
      </c>
      <c r="CP5277" t="s">
        <v>119</v>
      </c>
      <c r="CQ5277">
        <v>343</v>
      </c>
      <c r="CR5277">
        <v>1</v>
      </c>
      <c r="CW5277">
        <v>11132264</v>
      </c>
      <c r="CY5277">
        <v>1</v>
      </c>
      <c r="CZ5277">
        <v>0</v>
      </c>
      <c r="DA5277">
        <v>1</v>
      </c>
      <c r="DB5277">
        <v>0</v>
      </c>
      <c r="DC5277">
        <v>0</v>
      </c>
      <c r="DD5277">
        <v>1</v>
      </c>
      <c r="DE5277">
        <v>0</v>
      </c>
      <c r="DF5277">
        <v>0</v>
      </c>
      <c r="DG5277">
        <v>0</v>
      </c>
      <c r="DH5277">
        <v>0</v>
      </c>
      <c r="DI5277">
        <v>0</v>
      </c>
    </row>
    <row r="5278" spans="1:113" x14ac:dyDescent="0.3">
      <c r="A5278" t="str">
        <f t="shared" si="2437"/>
        <v>05/12/2020 14:50:41.013</v>
      </c>
      <c r="C5278" t="str">
        <f t="shared" si="2435"/>
        <v>FFDFD3C0</v>
      </c>
      <c r="D5278" t="s">
        <v>138</v>
      </c>
      <c r="E5278">
        <v>3</v>
      </c>
      <c r="H5278">
        <v>9</v>
      </c>
      <c r="I5278" t="s">
        <v>140</v>
      </c>
      <c r="J5278" t="s">
        <v>136</v>
      </c>
      <c r="K5278">
        <v>0</v>
      </c>
      <c r="L5278">
        <v>3</v>
      </c>
      <c r="M5278">
        <v>0</v>
      </c>
      <c r="N5278">
        <v>2</v>
      </c>
      <c r="O5278">
        <v>1</v>
      </c>
      <c r="P5278">
        <v>0</v>
      </c>
      <c r="Q5278">
        <v>0</v>
      </c>
      <c r="S5278" t="str">
        <f t="shared" si="2438"/>
        <v>14:50:58.852</v>
      </c>
      <c r="T5278" t="str">
        <f t="shared" si="2439"/>
        <v>14:50:58.552</v>
      </c>
      <c r="U5278" t="str">
        <f t="shared" si="2426"/>
        <v>A9808D</v>
      </c>
      <c r="V5278">
        <v>0</v>
      </c>
      <c r="W5278">
        <v>0</v>
      </c>
      <c r="X5278">
        <v>1</v>
      </c>
      <c r="Z5278">
        <v>0</v>
      </c>
      <c r="AA5278">
        <v>9</v>
      </c>
      <c r="AB5278">
        <v>3</v>
      </c>
      <c r="AC5278">
        <v>0</v>
      </c>
      <c r="AD5278">
        <v>10</v>
      </c>
      <c r="AE5278">
        <v>0</v>
      </c>
      <c r="AF5278">
        <v>3</v>
      </c>
      <c r="AG5278">
        <v>2</v>
      </c>
      <c r="AH5278">
        <v>0</v>
      </c>
      <c r="AI5278" t="s">
        <v>1165</v>
      </c>
      <c r="AJ5278">
        <v>28.227096</v>
      </c>
      <c r="AK5278" t="s">
        <v>1166</v>
      </c>
      <c r="AL5278">
        <v>-82.384264000000002</v>
      </c>
      <c r="AM5278">
        <v>100</v>
      </c>
      <c r="AN5278">
        <v>1700</v>
      </c>
      <c r="AO5278" t="s">
        <v>118</v>
      </c>
      <c r="AP5278">
        <v>-100</v>
      </c>
      <c r="AQ5278">
        <v>-63</v>
      </c>
      <c r="AR5278">
        <v>-768</v>
      </c>
      <c r="AZ5278">
        <v>1200</v>
      </c>
      <c r="BA5278">
        <v>1</v>
      </c>
      <c r="BB5278" t="str">
        <f t="shared" si="2436"/>
        <v xml:space="preserve">N711JA  </v>
      </c>
      <c r="BC5278">
        <v>1</v>
      </c>
      <c r="BE5278">
        <v>0</v>
      </c>
      <c r="BF5278">
        <v>0</v>
      </c>
      <c r="BG5278">
        <v>0</v>
      </c>
      <c r="BH5278">
        <v>1775</v>
      </c>
      <c r="BI5278">
        <v>1</v>
      </c>
      <c r="BJ5278">
        <v>1</v>
      </c>
      <c r="BK5278">
        <v>0</v>
      </c>
      <c r="BL5278">
        <v>0</v>
      </c>
      <c r="BO5278">
        <v>0</v>
      </c>
      <c r="BP5278">
        <v>0</v>
      </c>
      <c r="BW5278" t="str">
        <f t="shared" si="2440"/>
        <v>14:50:58.852</v>
      </c>
      <c r="CJ5278">
        <v>0</v>
      </c>
      <c r="CK5278">
        <v>2</v>
      </c>
      <c r="CL5278">
        <v>0</v>
      </c>
      <c r="CM5278">
        <v>2</v>
      </c>
      <c r="CN5278">
        <v>0</v>
      </c>
      <c r="CO5278">
        <v>7</v>
      </c>
      <c r="CP5278" t="s">
        <v>119</v>
      </c>
      <c r="CQ5278">
        <v>343</v>
      </c>
      <c r="CR5278">
        <v>1</v>
      </c>
      <c r="CW5278">
        <v>11132264</v>
      </c>
      <c r="CY5278">
        <v>1</v>
      </c>
      <c r="CZ5278">
        <v>0</v>
      </c>
      <c r="DA5278">
        <v>1</v>
      </c>
      <c r="DB5278">
        <v>0</v>
      </c>
      <c r="DC5278">
        <v>0</v>
      </c>
      <c r="DD5278">
        <v>1</v>
      </c>
      <c r="DE5278">
        <v>0</v>
      </c>
      <c r="DF5278">
        <v>0</v>
      </c>
      <c r="DG5278">
        <v>0</v>
      </c>
      <c r="DH5278">
        <v>0</v>
      </c>
      <c r="DI5278">
        <v>0</v>
      </c>
    </row>
    <row r="5279" spans="1:113" x14ac:dyDescent="0.3">
      <c r="A5279" t="str">
        <f t="shared" si="2437"/>
        <v>05/12/2020 14:50:41.013</v>
      </c>
      <c r="C5279" t="str">
        <f t="shared" si="2435"/>
        <v>FFDFD3C0</v>
      </c>
      <c r="D5279" t="s">
        <v>131</v>
      </c>
      <c r="E5279">
        <v>10</v>
      </c>
      <c r="F5279">
        <v>2010</v>
      </c>
      <c r="G5279" t="s">
        <v>132</v>
      </c>
      <c r="J5279" t="s">
        <v>133</v>
      </c>
      <c r="K5279">
        <v>0</v>
      </c>
      <c r="L5279">
        <v>3</v>
      </c>
      <c r="M5279">
        <v>0</v>
      </c>
      <c r="N5279">
        <v>2</v>
      </c>
      <c r="O5279">
        <v>1</v>
      </c>
      <c r="P5279">
        <v>0</v>
      </c>
      <c r="Q5279">
        <v>0</v>
      </c>
      <c r="S5279" t="str">
        <f t="shared" si="2438"/>
        <v>14:50:58.852</v>
      </c>
      <c r="T5279" t="str">
        <f t="shared" si="2439"/>
        <v>14:50:58.552</v>
      </c>
      <c r="U5279" t="str">
        <f t="shared" si="2426"/>
        <v>A9808D</v>
      </c>
      <c r="V5279">
        <v>0</v>
      </c>
      <c r="W5279">
        <v>0</v>
      </c>
      <c r="X5279">
        <v>1</v>
      </c>
      <c r="Z5279">
        <v>0</v>
      </c>
      <c r="AA5279">
        <v>9</v>
      </c>
      <c r="AB5279">
        <v>3</v>
      </c>
      <c r="AC5279">
        <v>0</v>
      </c>
      <c r="AD5279">
        <v>10</v>
      </c>
      <c r="AE5279">
        <v>0</v>
      </c>
      <c r="AF5279">
        <v>3</v>
      </c>
      <c r="AG5279">
        <v>2</v>
      </c>
      <c r="AH5279">
        <v>0</v>
      </c>
      <c r="AI5279" t="s">
        <v>1165</v>
      </c>
      <c r="AJ5279">
        <v>28.227096</v>
      </c>
      <c r="AK5279" t="s">
        <v>1166</v>
      </c>
      <c r="AL5279">
        <v>-82.384264000000002</v>
      </c>
      <c r="AM5279">
        <v>100</v>
      </c>
      <c r="AN5279">
        <v>1700</v>
      </c>
      <c r="AO5279" t="s">
        <v>118</v>
      </c>
      <c r="AP5279">
        <v>-100</v>
      </c>
      <c r="AQ5279">
        <v>-63</v>
      </c>
      <c r="AR5279">
        <v>-768</v>
      </c>
      <c r="AZ5279">
        <v>1200</v>
      </c>
      <c r="BA5279">
        <v>1</v>
      </c>
      <c r="BB5279" t="str">
        <f t="shared" si="2436"/>
        <v xml:space="preserve">N711JA  </v>
      </c>
      <c r="BC5279">
        <v>1</v>
      </c>
      <c r="BE5279">
        <v>0</v>
      </c>
      <c r="BF5279">
        <v>0</v>
      </c>
      <c r="BG5279">
        <v>0</v>
      </c>
      <c r="BH5279">
        <v>1775</v>
      </c>
      <c r="BI5279">
        <v>1</v>
      </c>
      <c r="BJ5279">
        <v>1</v>
      </c>
      <c r="BK5279">
        <v>0</v>
      </c>
      <c r="BL5279">
        <v>0</v>
      </c>
      <c r="BO5279">
        <v>0</v>
      </c>
      <c r="BP5279">
        <v>0</v>
      </c>
      <c r="BW5279" t="str">
        <f t="shared" si="2440"/>
        <v>14:50:58.852</v>
      </c>
      <c r="CJ5279">
        <v>0</v>
      </c>
      <c r="CK5279">
        <v>2</v>
      </c>
      <c r="CL5279">
        <v>0</v>
      </c>
      <c r="CM5279">
        <v>2</v>
      </c>
      <c r="CN5279">
        <v>0</v>
      </c>
      <c r="CO5279">
        <v>7</v>
      </c>
      <c r="CP5279" t="s">
        <v>119</v>
      </c>
      <c r="CQ5279">
        <v>343</v>
      </c>
      <c r="CR5279">
        <v>1</v>
      </c>
      <c r="CW5279">
        <v>11132264</v>
      </c>
      <c r="CY5279">
        <v>1</v>
      </c>
      <c r="CZ5279">
        <v>0</v>
      </c>
      <c r="DA5279">
        <v>1</v>
      </c>
      <c r="DB5279">
        <v>0</v>
      </c>
      <c r="DC5279">
        <v>0</v>
      </c>
      <c r="DD5279">
        <v>1</v>
      </c>
      <c r="DE5279">
        <v>0</v>
      </c>
      <c r="DF5279">
        <v>0</v>
      </c>
      <c r="DG5279">
        <v>0</v>
      </c>
      <c r="DH5279">
        <v>0</v>
      </c>
      <c r="DI5279">
        <v>0</v>
      </c>
    </row>
    <row r="5280" spans="1:113" x14ac:dyDescent="0.3">
      <c r="A5280" t="str">
        <f t="shared" si="2437"/>
        <v>05/12/2020 14:50:41.013</v>
      </c>
      <c r="C5280" t="str">
        <f t="shared" si="2435"/>
        <v>FFDFD3C0</v>
      </c>
      <c r="D5280" t="s">
        <v>131</v>
      </c>
      <c r="E5280">
        <v>12</v>
      </c>
      <c r="F5280">
        <v>2012</v>
      </c>
      <c r="G5280" t="s">
        <v>137</v>
      </c>
      <c r="J5280" t="s">
        <v>133</v>
      </c>
      <c r="K5280">
        <v>0</v>
      </c>
      <c r="L5280">
        <v>3</v>
      </c>
      <c r="M5280">
        <v>0</v>
      </c>
      <c r="N5280">
        <v>2</v>
      </c>
      <c r="O5280">
        <v>1</v>
      </c>
      <c r="P5280">
        <v>0</v>
      </c>
      <c r="Q5280">
        <v>0</v>
      </c>
      <c r="S5280" t="str">
        <f t="shared" si="2438"/>
        <v>14:50:58.852</v>
      </c>
      <c r="T5280" t="str">
        <f t="shared" si="2439"/>
        <v>14:50:58.552</v>
      </c>
      <c r="U5280" t="str">
        <f t="shared" si="2426"/>
        <v>A9808D</v>
      </c>
      <c r="V5280">
        <v>0</v>
      </c>
      <c r="W5280">
        <v>0</v>
      </c>
      <c r="X5280">
        <v>1</v>
      </c>
      <c r="Z5280">
        <v>0</v>
      </c>
      <c r="AA5280">
        <v>9</v>
      </c>
      <c r="AB5280">
        <v>3</v>
      </c>
      <c r="AC5280">
        <v>0</v>
      </c>
      <c r="AD5280">
        <v>10</v>
      </c>
      <c r="AE5280">
        <v>0</v>
      </c>
      <c r="AF5280">
        <v>3</v>
      </c>
      <c r="AG5280">
        <v>2</v>
      </c>
      <c r="AH5280">
        <v>0</v>
      </c>
      <c r="AI5280" t="s">
        <v>1165</v>
      </c>
      <c r="AJ5280">
        <v>28.227096</v>
      </c>
      <c r="AK5280" t="s">
        <v>1166</v>
      </c>
      <c r="AL5280">
        <v>-82.384264000000002</v>
      </c>
      <c r="AM5280">
        <v>100</v>
      </c>
      <c r="AN5280">
        <v>1700</v>
      </c>
      <c r="AO5280" t="s">
        <v>118</v>
      </c>
      <c r="AP5280">
        <v>-100</v>
      </c>
      <c r="AQ5280">
        <v>-63</v>
      </c>
      <c r="AR5280">
        <v>-768</v>
      </c>
      <c r="AZ5280">
        <v>1200</v>
      </c>
      <c r="BA5280">
        <v>1</v>
      </c>
      <c r="BB5280" t="str">
        <f t="shared" si="2436"/>
        <v xml:space="preserve">N711JA  </v>
      </c>
      <c r="BC5280">
        <v>1</v>
      </c>
      <c r="BE5280">
        <v>0</v>
      </c>
      <c r="BF5280">
        <v>0</v>
      </c>
      <c r="BG5280">
        <v>0</v>
      </c>
      <c r="BH5280">
        <v>1775</v>
      </c>
      <c r="BI5280">
        <v>1</v>
      </c>
      <c r="BJ5280">
        <v>1</v>
      </c>
      <c r="BK5280">
        <v>0</v>
      </c>
      <c r="BL5280">
        <v>0</v>
      </c>
      <c r="BO5280">
        <v>0</v>
      </c>
      <c r="BP5280">
        <v>0</v>
      </c>
      <c r="BW5280" t="str">
        <f t="shared" si="2440"/>
        <v>14:50:58.852</v>
      </c>
      <c r="CJ5280">
        <v>0</v>
      </c>
      <c r="CK5280">
        <v>2</v>
      </c>
      <c r="CL5280">
        <v>0</v>
      </c>
      <c r="CM5280">
        <v>2</v>
      </c>
      <c r="CN5280">
        <v>0</v>
      </c>
      <c r="CO5280">
        <v>7</v>
      </c>
      <c r="CP5280" t="s">
        <v>119</v>
      </c>
      <c r="CQ5280">
        <v>343</v>
      </c>
      <c r="CR5280">
        <v>1</v>
      </c>
      <c r="CW5280">
        <v>11132264</v>
      </c>
      <c r="CY5280">
        <v>1</v>
      </c>
      <c r="CZ5280">
        <v>0</v>
      </c>
      <c r="DA5280">
        <v>1</v>
      </c>
      <c r="DB5280">
        <v>0</v>
      </c>
      <c r="DC5280">
        <v>0</v>
      </c>
      <c r="DD5280">
        <v>1</v>
      </c>
      <c r="DE5280">
        <v>0</v>
      </c>
      <c r="DF5280">
        <v>0</v>
      </c>
      <c r="DG5280">
        <v>0</v>
      </c>
      <c r="DH5280">
        <v>0</v>
      </c>
      <c r="DI5280">
        <v>0</v>
      </c>
    </row>
    <row r="5281" spans="1:113" x14ac:dyDescent="0.3">
      <c r="A5281" t="str">
        <f t="shared" ref="A5281:A5288" si="2441">"05/12/2020 14:50:42.003"</f>
        <v>05/12/2020 14:50:42.003</v>
      </c>
      <c r="C5281" t="str">
        <f t="shared" si="2435"/>
        <v>FFDFD3C0</v>
      </c>
      <c r="D5281" t="s">
        <v>131</v>
      </c>
      <c r="E5281">
        <v>12</v>
      </c>
      <c r="F5281">
        <v>2012</v>
      </c>
      <c r="G5281" t="s">
        <v>137</v>
      </c>
      <c r="J5281" t="s">
        <v>133</v>
      </c>
      <c r="K5281">
        <v>0</v>
      </c>
      <c r="L5281">
        <v>3</v>
      </c>
      <c r="M5281">
        <v>0</v>
      </c>
      <c r="N5281">
        <v>2</v>
      </c>
      <c r="O5281">
        <v>1</v>
      </c>
      <c r="P5281">
        <v>0</v>
      </c>
      <c r="Q5281">
        <v>0</v>
      </c>
      <c r="S5281" t="str">
        <f t="shared" ref="S5281:S5288" si="2442">"14:50:59.852"</f>
        <v>14:50:59.852</v>
      </c>
      <c r="T5281" t="str">
        <f t="shared" ref="T5281:T5288" si="2443">"14:50:59.552"</f>
        <v>14:50:59.552</v>
      </c>
      <c r="U5281" t="str">
        <f t="shared" si="2426"/>
        <v>A9808D</v>
      </c>
      <c r="V5281">
        <v>0</v>
      </c>
      <c r="W5281">
        <v>0</v>
      </c>
      <c r="X5281">
        <v>1</v>
      </c>
      <c r="Z5281">
        <v>0</v>
      </c>
      <c r="AA5281">
        <v>9</v>
      </c>
      <c r="AB5281">
        <v>3</v>
      </c>
      <c r="AC5281">
        <v>0</v>
      </c>
      <c r="AD5281">
        <v>10</v>
      </c>
      <c r="AE5281">
        <v>0</v>
      </c>
      <c r="AF5281">
        <v>3</v>
      </c>
      <c r="AG5281">
        <v>2</v>
      </c>
      <c r="AH5281">
        <v>0</v>
      </c>
      <c r="AI5281" t="s">
        <v>1167</v>
      </c>
      <c r="AJ5281">
        <v>28.226817</v>
      </c>
      <c r="AK5281" t="s">
        <v>1168</v>
      </c>
      <c r="AL5281">
        <v>-82.384800999999996</v>
      </c>
      <c r="AM5281">
        <v>100</v>
      </c>
      <c r="AN5281">
        <v>1700</v>
      </c>
      <c r="AO5281" t="s">
        <v>118</v>
      </c>
      <c r="AP5281">
        <v>-98</v>
      </c>
      <c r="AQ5281">
        <v>-65</v>
      </c>
      <c r="AR5281">
        <v>-768</v>
      </c>
      <c r="AZ5281">
        <v>1200</v>
      </c>
      <c r="BA5281">
        <v>1</v>
      </c>
      <c r="BB5281" t="str">
        <f t="shared" si="2436"/>
        <v xml:space="preserve">N711JA  </v>
      </c>
      <c r="BC5281">
        <v>1</v>
      </c>
      <c r="BE5281">
        <v>0</v>
      </c>
      <c r="BF5281">
        <v>0</v>
      </c>
      <c r="BG5281">
        <v>0</v>
      </c>
      <c r="BH5281">
        <v>1775</v>
      </c>
      <c r="BI5281">
        <v>1</v>
      </c>
      <c r="BJ5281">
        <v>1</v>
      </c>
      <c r="BK5281">
        <v>0</v>
      </c>
      <c r="BL5281">
        <v>0</v>
      </c>
      <c r="BO5281">
        <v>0</v>
      </c>
      <c r="BP5281">
        <v>0</v>
      </c>
      <c r="BW5281" t="str">
        <f t="shared" ref="BW5281:BW5288" si="2444">"14:50:59.854"</f>
        <v>14:50:59.854</v>
      </c>
      <c r="CJ5281">
        <v>0</v>
      </c>
      <c r="CK5281">
        <v>2</v>
      </c>
      <c r="CL5281">
        <v>0</v>
      </c>
      <c r="CM5281">
        <v>2</v>
      </c>
      <c r="CN5281">
        <v>0</v>
      </c>
      <c r="CO5281">
        <v>7</v>
      </c>
      <c r="CP5281" t="s">
        <v>119</v>
      </c>
      <c r="CQ5281">
        <v>343</v>
      </c>
      <c r="CR5281">
        <v>1</v>
      </c>
      <c r="CW5281">
        <v>11133353</v>
      </c>
      <c r="CY5281">
        <v>1</v>
      </c>
      <c r="CZ5281">
        <v>0</v>
      </c>
      <c r="DA5281">
        <v>0</v>
      </c>
      <c r="DB5281">
        <v>0</v>
      </c>
      <c r="DC5281">
        <v>0</v>
      </c>
      <c r="DD5281">
        <v>1</v>
      </c>
      <c r="DE5281">
        <v>0</v>
      </c>
      <c r="DF5281">
        <v>0</v>
      </c>
      <c r="DG5281">
        <v>0</v>
      </c>
      <c r="DH5281">
        <v>0</v>
      </c>
      <c r="DI5281">
        <v>0</v>
      </c>
    </row>
    <row r="5282" spans="1:113" x14ac:dyDescent="0.3">
      <c r="A5282" t="str">
        <f t="shared" si="2441"/>
        <v>05/12/2020 14:50:42.003</v>
      </c>
      <c r="C5282" t="str">
        <f t="shared" si="2435"/>
        <v>FFDFD3C0</v>
      </c>
      <c r="D5282" t="s">
        <v>138</v>
      </c>
      <c r="E5282">
        <v>3</v>
      </c>
      <c r="H5282">
        <v>9</v>
      </c>
      <c r="I5282" t="s">
        <v>140</v>
      </c>
      <c r="J5282" t="s">
        <v>136</v>
      </c>
      <c r="K5282">
        <v>0</v>
      </c>
      <c r="L5282">
        <v>3</v>
      </c>
      <c r="M5282">
        <v>0</v>
      </c>
      <c r="N5282">
        <v>2</v>
      </c>
      <c r="O5282">
        <v>1</v>
      </c>
      <c r="P5282">
        <v>0</v>
      </c>
      <c r="Q5282">
        <v>0</v>
      </c>
      <c r="S5282" t="str">
        <f t="shared" si="2442"/>
        <v>14:50:59.852</v>
      </c>
      <c r="T5282" t="str">
        <f t="shared" si="2443"/>
        <v>14:50:59.552</v>
      </c>
      <c r="U5282" t="str">
        <f t="shared" si="2426"/>
        <v>A9808D</v>
      </c>
      <c r="V5282">
        <v>0</v>
      </c>
      <c r="W5282">
        <v>0</v>
      </c>
      <c r="X5282">
        <v>1</v>
      </c>
      <c r="Z5282">
        <v>0</v>
      </c>
      <c r="AA5282">
        <v>9</v>
      </c>
      <c r="AB5282">
        <v>3</v>
      </c>
      <c r="AC5282">
        <v>0</v>
      </c>
      <c r="AD5282">
        <v>10</v>
      </c>
      <c r="AE5282">
        <v>0</v>
      </c>
      <c r="AF5282">
        <v>3</v>
      </c>
      <c r="AG5282">
        <v>2</v>
      </c>
      <c r="AH5282">
        <v>0</v>
      </c>
      <c r="AI5282" t="s">
        <v>1167</v>
      </c>
      <c r="AJ5282">
        <v>28.226817</v>
      </c>
      <c r="AK5282" t="s">
        <v>1168</v>
      </c>
      <c r="AL5282">
        <v>-82.384800999999996</v>
      </c>
      <c r="AM5282">
        <v>100</v>
      </c>
      <c r="AN5282">
        <v>1700</v>
      </c>
      <c r="AO5282" t="s">
        <v>118</v>
      </c>
      <c r="AP5282">
        <v>-98</v>
      </c>
      <c r="AQ5282">
        <v>-65</v>
      </c>
      <c r="AR5282">
        <v>-768</v>
      </c>
      <c r="AZ5282">
        <v>1200</v>
      </c>
      <c r="BA5282">
        <v>1</v>
      </c>
      <c r="BB5282" t="str">
        <f t="shared" si="2436"/>
        <v xml:space="preserve">N711JA  </v>
      </c>
      <c r="BC5282">
        <v>1</v>
      </c>
      <c r="BE5282">
        <v>0</v>
      </c>
      <c r="BF5282">
        <v>0</v>
      </c>
      <c r="BG5282">
        <v>0</v>
      </c>
      <c r="BH5282">
        <v>1775</v>
      </c>
      <c r="BI5282">
        <v>1</v>
      </c>
      <c r="BJ5282">
        <v>1</v>
      </c>
      <c r="BK5282">
        <v>0</v>
      </c>
      <c r="BL5282">
        <v>0</v>
      </c>
      <c r="BO5282">
        <v>0</v>
      </c>
      <c r="BP5282">
        <v>0</v>
      </c>
      <c r="BW5282" t="str">
        <f t="shared" si="2444"/>
        <v>14:50:59.854</v>
      </c>
      <c r="CJ5282">
        <v>0</v>
      </c>
      <c r="CK5282">
        <v>2</v>
      </c>
      <c r="CL5282">
        <v>0</v>
      </c>
      <c r="CM5282">
        <v>2</v>
      </c>
      <c r="CN5282">
        <v>0</v>
      </c>
      <c r="CO5282">
        <v>7</v>
      </c>
      <c r="CP5282" t="s">
        <v>119</v>
      </c>
      <c r="CQ5282">
        <v>358</v>
      </c>
      <c r="CR5282">
        <v>0</v>
      </c>
      <c r="CW5282">
        <v>5245131</v>
      </c>
      <c r="CY5282">
        <v>1</v>
      </c>
      <c r="CZ5282">
        <v>0</v>
      </c>
      <c r="DA5282">
        <v>1</v>
      </c>
      <c r="DB5282">
        <v>0</v>
      </c>
      <c r="DC5282">
        <v>0</v>
      </c>
      <c r="DD5282">
        <v>1</v>
      </c>
      <c r="DE5282">
        <v>0</v>
      </c>
      <c r="DF5282">
        <v>0</v>
      </c>
      <c r="DG5282">
        <v>0</v>
      </c>
      <c r="DH5282">
        <v>0</v>
      </c>
      <c r="DI5282">
        <v>0</v>
      </c>
    </row>
    <row r="5283" spans="1:113" x14ac:dyDescent="0.3">
      <c r="A5283" t="str">
        <f t="shared" si="2441"/>
        <v>05/12/2020 14:50:42.003</v>
      </c>
      <c r="C5283" t="str">
        <f t="shared" si="2435"/>
        <v>FFDFD3C0</v>
      </c>
      <c r="D5283" t="s">
        <v>134</v>
      </c>
      <c r="E5283">
        <v>12</v>
      </c>
      <c r="H5283">
        <v>64</v>
      </c>
      <c r="I5283" t="s">
        <v>135</v>
      </c>
      <c r="J5283" t="s">
        <v>136</v>
      </c>
      <c r="K5283">
        <v>0</v>
      </c>
      <c r="L5283">
        <v>3</v>
      </c>
      <c r="M5283">
        <v>0</v>
      </c>
      <c r="N5283">
        <v>2</v>
      </c>
      <c r="O5283">
        <v>1</v>
      </c>
      <c r="P5283">
        <v>0</v>
      </c>
      <c r="Q5283">
        <v>0</v>
      </c>
      <c r="S5283" t="str">
        <f t="shared" si="2442"/>
        <v>14:50:59.852</v>
      </c>
      <c r="T5283" t="str">
        <f t="shared" si="2443"/>
        <v>14:50:59.552</v>
      </c>
      <c r="U5283" t="str">
        <f t="shared" si="2426"/>
        <v>A9808D</v>
      </c>
      <c r="V5283">
        <v>0</v>
      </c>
      <c r="W5283">
        <v>0</v>
      </c>
      <c r="X5283">
        <v>1</v>
      </c>
      <c r="Z5283">
        <v>0</v>
      </c>
      <c r="AA5283">
        <v>9</v>
      </c>
      <c r="AB5283">
        <v>3</v>
      </c>
      <c r="AC5283">
        <v>0</v>
      </c>
      <c r="AD5283">
        <v>10</v>
      </c>
      <c r="AE5283">
        <v>0</v>
      </c>
      <c r="AF5283">
        <v>3</v>
      </c>
      <c r="AG5283">
        <v>2</v>
      </c>
      <c r="AH5283">
        <v>0</v>
      </c>
      <c r="AI5283" t="s">
        <v>1167</v>
      </c>
      <c r="AJ5283">
        <v>28.226817</v>
      </c>
      <c r="AK5283" t="s">
        <v>1168</v>
      </c>
      <c r="AL5283">
        <v>-82.384800999999996</v>
      </c>
      <c r="AM5283">
        <v>100</v>
      </c>
      <c r="AN5283">
        <v>1700</v>
      </c>
      <c r="AO5283" t="s">
        <v>118</v>
      </c>
      <c r="AP5283">
        <v>-98</v>
      </c>
      <c r="AQ5283">
        <v>-65</v>
      </c>
      <c r="AR5283">
        <v>-768</v>
      </c>
      <c r="AZ5283">
        <v>1200</v>
      </c>
      <c r="BA5283">
        <v>1</v>
      </c>
      <c r="BB5283" t="str">
        <f t="shared" si="2436"/>
        <v xml:space="preserve">N711JA  </v>
      </c>
      <c r="BC5283">
        <v>1</v>
      </c>
      <c r="BE5283">
        <v>0</v>
      </c>
      <c r="BF5283">
        <v>0</v>
      </c>
      <c r="BG5283">
        <v>0</v>
      </c>
      <c r="BH5283">
        <v>1775</v>
      </c>
      <c r="BI5283">
        <v>1</v>
      </c>
      <c r="BJ5283">
        <v>1</v>
      </c>
      <c r="BK5283">
        <v>0</v>
      </c>
      <c r="BL5283">
        <v>0</v>
      </c>
      <c r="BO5283">
        <v>0</v>
      </c>
      <c r="BP5283">
        <v>0</v>
      </c>
      <c r="BW5283" t="str">
        <f t="shared" si="2444"/>
        <v>14:50:59.854</v>
      </c>
      <c r="CJ5283">
        <v>0</v>
      </c>
      <c r="CK5283">
        <v>2</v>
      </c>
      <c r="CL5283">
        <v>0</v>
      </c>
      <c r="CM5283">
        <v>2</v>
      </c>
      <c r="CN5283">
        <v>0</v>
      </c>
      <c r="CO5283">
        <v>7</v>
      </c>
      <c r="CP5283" t="s">
        <v>119</v>
      </c>
      <c r="CQ5283">
        <v>358</v>
      </c>
      <c r="CR5283">
        <v>0</v>
      </c>
      <c r="CW5283">
        <v>5245131</v>
      </c>
      <c r="CY5283">
        <v>1</v>
      </c>
      <c r="CZ5283">
        <v>0</v>
      </c>
      <c r="DA5283">
        <v>1</v>
      </c>
      <c r="DB5283">
        <v>0</v>
      </c>
      <c r="DC5283">
        <v>0</v>
      </c>
      <c r="DD5283">
        <v>1</v>
      </c>
      <c r="DE5283">
        <v>0</v>
      </c>
      <c r="DF5283">
        <v>0</v>
      </c>
      <c r="DG5283">
        <v>0</v>
      </c>
      <c r="DH5283">
        <v>0</v>
      </c>
      <c r="DI5283">
        <v>0</v>
      </c>
    </row>
    <row r="5284" spans="1:113" x14ac:dyDescent="0.3">
      <c r="A5284" t="str">
        <f t="shared" si="2441"/>
        <v>05/12/2020 14:50:42.003</v>
      </c>
      <c r="C5284" t="str">
        <f t="shared" si="2435"/>
        <v>FFDFD3C0</v>
      </c>
      <c r="D5284" t="s">
        <v>126</v>
      </c>
      <c r="E5284">
        <v>6</v>
      </c>
      <c r="F5284">
        <v>1006</v>
      </c>
      <c r="G5284" t="s">
        <v>114</v>
      </c>
      <c r="J5284" t="s">
        <v>128</v>
      </c>
      <c r="K5284">
        <v>0</v>
      </c>
      <c r="L5284">
        <v>3</v>
      </c>
      <c r="M5284">
        <v>0</v>
      </c>
      <c r="N5284">
        <v>2</v>
      </c>
      <c r="O5284">
        <v>1</v>
      </c>
      <c r="P5284">
        <v>0</v>
      </c>
      <c r="Q5284">
        <v>0</v>
      </c>
      <c r="S5284" t="str">
        <f t="shared" si="2442"/>
        <v>14:50:59.852</v>
      </c>
      <c r="T5284" t="str">
        <f t="shared" si="2443"/>
        <v>14:50:59.552</v>
      </c>
      <c r="U5284" t="str">
        <f t="shared" si="2426"/>
        <v>A9808D</v>
      </c>
      <c r="V5284">
        <v>0</v>
      </c>
      <c r="W5284">
        <v>0</v>
      </c>
      <c r="X5284">
        <v>1</v>
      </c>
      <c r="Z5284">
        <v>0</v>
      </c>
      <c r="AA5284">
        <v>9</v>
      </c>
      <c r="AB5284">
        <v>3</v>
      </c>
      <c r="AC5284">
        <v>0</v>
      </c>
      <c r="AD5284">
        <v>10</v>
      </c>
      <c r="AE5284">
        <v>0</v>
      </c>
      <c r="AF5284">
        <v>3</v>
      </c>
      <c r="AG5284">
        <v>2</v>
      </c>
      <c r="AH5284">
        <v>0</v>
      </c>
      <c r="AI5284" t="s">
        <v>1167</v>
      </c>
      <c r="AJ5284">
        <v>28.226817</v>
      </c>
      <c r="AK5284" t="s">
        <v>1168</v>
      </c>
      <c r="AL5284">
        <v>-82.384800999999996</v>
      </c>
      <c r="AM5284">
        <v>100</v>
      </c>
      <c r="AN5284">
        <v>1700</v>
      </c>
      <c r="AO5284" t="s">
        <v>118</v>
      </c>
      <c r="AP5284">
        <v>-98</v>
      </c>
      <c r="AQ5284">
        <v>-65</v>
      </c>
      <c r="AR5284">
        <v>-768</v>
      </c>
      <c r="AZ5284">
        <v>1200</v>
      </c>
      <c r="BA5284">
        <v>1</v>
      </c>
      <c r="BB5284" t="str">
        <f t="shared" si="2436"/>
        <v xml:space="preserve">N711JA  </v>
      </c>
      <c r="BC5284">
        <v>1</v>
      </c>
      <c r="BE5284">
        <v>0</v>
      </c>
      <c r="BF5284">
        <v>0</v>
      </c>
      <c r="BG5284">
        <v>0</v>
      </c>
      <c r="BH5284">
        <v>1775</v>
      </c>
      <c r="BI5284">
        <v>1</v>
      </c>
      <c r="BJ5284">
        <v>1</v>
      </c>
      <c r="BK5284">
        <v>0</v>
      </c>
      <c r="BL5284">
        <v>0</v>
      </c>
      <c r="BO5284">
        <v>0</v>
      </c>
      <c r="BP5284">
        <v>0</v>
      </c>
      <c r="BW5284" t="str">
        <f t="shared" si="2444"/>
        <v>14:50:59.854</v>
      </c>
      <c r="CJ5284">
        <v>0</v>
      </c>
      <c r="CK5284">
        <v>2</v>
      </c>
      <c r="CL5284">
        <v>0</v>
      </c>
      <c r="CM5284">
        <v>2</v>
      </c>
      <c r="CN5284">
        <v>0</v>
      </c>
      <c r="CO5284">
        <v>7</v>
      </c>
      <c r="CP5284" t="s">
        <v>119</v>
      </c>
      <c r="CQ5284">
        <v>358</v>
      </c>
      <c r="CR5284">
        <v>0</v>
      </c>
      <c r="CW5284">
        <v>5245131</v>
      </c>
      <c r="CY5284">
        <v>1</v>
      </c>
      <c r="CZ5284">
        <v>0</v>
      </c>
      <c r="DA5284">
        <v>1</v>
      </c>
      <c r="DB5284">
        <v>0</v>
      </c>
      <c r="DC5284">
        <v>0</v>
      </c>
      <c r="DD5284">
        <v>1</v>
      </c>
      <c r="DE5284">
        <v>0</v>
      </c>
      <c r="DF5284">
        <v>0</v>
      </c>
      <c r="DG5284">
        <v>0</v>
      </c>
      <c r="DH5284">
        <v>0</v>
      </c>
      <c r="DI5284">
        <v>0</v>
      </c>
    </row>
    <row r="5285" spans="1:113" x14ac:dyDescent="0.3">
      <c r="A5285" t="str">
        <f t="shared" si="2441"/>
        <v>05/12/2020 14:50:42.003</v>
      </c>
      <c r="C5285" t="str">
        <f t="shared" si="2435"/>
        <v>FFDFD3C0</v>
      </c>
      <c r="D5285" t="s">
        <v>113</v>
      </c>
      <c r="E5285">
        <v>3</v>
      </c>
      <c r="H5285">
        <v>164</v>
      </c>
      <c r="I5285" t="s">
        <v>114</v>
      </c>
      <c r="J5285" t="s">
        <v>115</v>
      </c>
      <c r="K5285">
        <v>0</v>
      </c>
      <c r="L5285">
        <v>3</v>
      </c>
      <c r="M5285">
        <v>0</v>
      </c>
      <c r="N5285">
        <v>2</v>
      </c>
      <c r="O5285">
        <v>1</v>
      </c>
      <c r="P5285">
        <v>0</v>
      </c>
      <c r="Q5285">
        <v>0</v>
      </c>
      <c r="S5285" t="str">
        <f t="shared" si="2442"/>
        <v>14:50:59.852</v>
      </c>
      <c r="T5285" t="str">
        <f t="shared" si="2443"/>
        <v>14:50:59.552</v>
      </c>
      <c r="U5285" t="str">
        <f t="shared" si="2426"/>
        <v>A9808D</v>
      </c>
      <c r="V5285">
        <v>0</v>
      </c>
      <c r="W5285">
        <v>0</v>
      </c>
      <c r="X5285">
        <v>1</v>
      </c>
      <c r="Z5285">
        <v>0</v>
      </c>
      <c r="AA5285">
        <v>9</v>
      </c>
      <c r="AB5285">
        <v>3</v>
      </c>
      <c r="AC5285">
        <v>0</v>
      </c>
      <c r="AD5285">
        <v>10</v>
      </c>
      <c r="AE5285">
        <v>0</v>
      </c>
      <c r="AF5285">
        <v>3</v>
      </c>
      <c r="AG5285">
        <v>2</v>
      </c>
      <c r="AH5285">
        <v>0</v>
      </c>
      <c r="AI5285" t="s">
        <v>1167</v>
      </c>
      <c r="AJ5285">
        <v>28.226817</v>
      </c>
      <c r="AK5285" t="s">
        <v>1168</v>
      </c>
      <c r="AL5285">
        <v>-82.384800999999996</v>
      </c>
      <c r="AM5285">
        <v>100</v>
      </c>
      <c r="AN5285">
        <v>1700</v>
      </c>
      <c r="AO5285" t="s">
        <v>118</v>
      </c>
      <c r="AP5285">
        <v>-98</v>
      </c>
      <c r="AQ5285">
        <v>-65</v>
      </c>
      <c r="AR5285">
        <v>-768</v>
      </c>
      <c r="AZ5285">
        <v>1200</v>
      </c>
      <c r="BA5285">
        <v>1</v>
      </c>
      <c r="BB5285" t="str">
        <f t="shared" si="2436"/>
        <v xml:space="preserve">N711JA  </v>
      </c>
      <c r="BC5285">
        <v>1</v>
      </c>
      <c r="BE5285">
        <v>0</v>
      </c>
      <c r="BF5285">
        <v>0</v>
      </c>
      <c r="BG5285">
        <v>0</v>
      </c>
      <c r="BH5285">
        <v>1775</v>
      </c>
      <c r="BI5285">
        <v>1</v>
      </c>
      <c r="BJ5285">
        <v>1</v>
      </c>
      <c r="BK5285">
        <v>0</v>
      </c>
      <c r="BL5285">
        <v>0</v>
      </c>
      <c r="BO5285">
        <v>0</v>
      </c>
      <c r="BP5285">
        <v>0</v>
      </c>
      <c r="BW5285" t="str">
        <f t="shared" si="2444"/>
        <v>14:50:59.854</v>
      </c>
      <c r="CJ5285">
        <v>0</v>
      </c>
      <c r="CK5285">
        <v>2</v>
      </c>
      <c r="CL5285">
        <v>0</v>
      </c>
      <c r="CM5285">
        <v>2</v>
      </c>
      <c r="CN5285">
        <v>0</v>
      </c>
      <c r="CO5285">
        <v>7</v>
      </c>
      <c r="CP5285" t="s">
        <v>119</v>
      </c>
      <c r="CQ5285">
        <v>343</v>
      </c>
      <c r="CR5285">
        <v>1</v>
      </c>
      <c r="CW5285">
        <v>11133353</v>
      </c>
      <c r="CY5285">
        <v>1</v>
      </c>
      <c r="CZ5285">
        <v>0</v>
      </c>
      <c r="DA5285">
        <v>1</v>
      </c>
      <c r="DB5285">
        <v>0</v>
      </c>
      <c r="DC5285">
        <v>0</v>
      </c>
      <c r="DD5285">
        <v>1</v>
      </c>
      <c r="DE5285">
        <v>0</v>
      </c>
      <c r="DF5285">
        <v>0</v>
      </c>
      <c r="DG5285">
        <v>0</v>
      </c>
      <c r="DH5285">
        <v>0</v>
      </c>
      <c r="DI5285">
        <v>0</v>
      </c>
    </row>
    <row r="5286" spans="1:113" x14ac:dyDescent="0.3">
      <c r="A5286" t="str">
        <f t="shared" si="2441"/>
        <v>05/12/2020 14:50:42.003</v>
      </c>
      <c r="C5286" t="str">
        <f t="shared" si="2435"/>
        <v>FFDFD3C0</v>
      </c>
      <c r="D5286" t="s">
        <v>126</v>
      </c>
      <c r="E5286">
        <v>7</v>
      </c>
      <c r="F5286">
        <v>1007</v>
      </c>
      <c r="G5286" t="s">
        <v>127</v>
      </c>
      <c r="J5286" t="s">
        <v>128</v>
      </c>
      <c r="K5286">
        <v>0</v>
      </c>
      <c r="L5286">
        <v>3</v>
      </c>
      <c r="M5286">
        <v>0</v>
      </c>
      <c r="N5286">
        <v>2</v>
      </c>
      <c r="O5286">
        <v>1</v>
      </c>
      <c r="P5286">
        <v>0</v>
      </c>
      <c r="Q5286">
        <v>0</v>
      </c>
      <c r="S5286" t="str">
        <f t="shared" si="2442"/>
        <v>14:50:59.852</v>
      </c>
      <c r="T5286" t="str">
        <f t="shared" si="2443"/>
        <v>14:50:59.552</v>
      </c>
      <c r="U5286" t="str">
        <f t="shared" si="2426"/>
        <v>A9808D</v>
      </c>
      <c r="V5286">
        <v>0</v>
      </c>
      <c r="W5286">
        <v>0</v>
      </c>
      <c r="X5286">
        <v>1</v>
      </c>
      <c r="Z5286">
        <v>0</v>
      </c>
      <c r="AA5286">
        <v>9</v>
      </c>
      <c r="AB5286">
        <v>3</v>
      </c>
      <c r="AC5286">
        <v>0</v>
      </c>
      <c r="AD5286">
        <v>10</v>
      </c>
      <c r="AE5286">
        <v>0</v>
      </c>
      <c r="AF5286">
        <v>3</v>
      </c>
      <c r="AG5286">
        <v>2</v>
      </c>
      <c r="AH5286">
        <v>0</v>
      </c>
      <c r="AI5286" t="s">
        <v>1167</v>
      </c>
      <c r="AJ5286">
        <v>28.226817</v>
      </c>
      <c r="AK5286" t="s">
        <v>1168</v>
      </c>
      <c r="AL5286">
        <v>-82.384800999999996</v>
      </c>
      <c r="AM5286">
        <v>100</v>
      </c>
      <c r="AN5286">
        <v>1700</v>
      </c>
      <c r="AO5286" t="s">
        <v>118</v>
      </c>
      <c r="AP5286">
        <v>-98</v>
      </c>
      <c r="AQ5286">
        <v>-65</v>
      </c>
      <c r="AR5286">
        <v>-768</v>
      </c>
      <c r="AZ5286">
        <v>1200</v>
      </c>
      <c r="BA5286">
        <v>1</v>
      </c>
      <c r="BB5286" t="str">
        <f t="shared" si="2436"/>
        <v xml:space="preserve">N711JA  </v>
      </c>
      <c r="BC5286">
        <v>1</v>
      </c>
      <c r="BE5286">
        <v>0</v>
      </c>
      <c r="BF5286">
        <v>0</v>
      </c>
      <c r="BG5286">
        <v>0</v>
      </c>
      <c r="BH5286">
        <v>1775</v>
      </c>
      <c r="BI5286">
        <v>1</v>
      </c>
      <c r="BJ5286">
        <v>1</v>
      </c>
      <c r="BK5286">
        <v>0</v>
      </c>
      <c r="BL5286">
        <v>0</v>
      </c>
      <c r="BO5286">
        <v>0</v>
      </c>
      <c r="BP5286">
        <v>0</v>
      </c>
      <c r="BW5286" t="str">
        <f t="shared" si="2444"/>
        <v>14:50:59.854</v>
      </c>
      <c r="CJ5286">
        <v>0</v>
      </c>
      <c r="CK5286">
        <v>2</v>
      </c>
      <c r="CL5286">
        <v>0</v>
      </c>
      <c r="CM5286">
        <v>2</v>
      </c>
      <c r="CN5286">
        <v>0</v>
      </c>
      <c r="CO5286">
        <v>7</v>
      </c>
      <c r="CP5286" t="s">
        <v>119</v>
      </c>
      <c r="CQ5286">
        <v>358</v>
      </c>
      <c r="CR5286">
        <v>0</v>
      </c>
      <c r="CW5286">
        <v>5245131</v>
      </c>
      <c r="CY5286">
        <v>1</v>
      </c>
      <c r="CZ5286">
        <v>0</v>
      </c>
      <c r="DA5286">
        <v>1</v>
      </c>
      <c r="DB5286">
        <v>0</v>
      </c>
      <c r="DC5286">
        <v>0</v>
      </c>
      <c r="DD5286">
        <v>1</v>
      </c>
      <c r="DE5286">
        <v>0</v>
      </c>
      <c r="DF5286">
        <v>0</v>
      </c>
      <c r="DG5286">
        <v>0</v>
      </c>
      <c r="DH5286">
        <v>0</v>
      </c>
      <c r="DI5286">
        <v>0</v>
      </c>
    </row>
    <row r="5287" spans="1:113" x14ac:dyDescent="0.3">
      <c r="A5287" t="str">
        <f t="shared" si="2441"/>
        <v>05/12/2020 14:50:42.003</v>
      </c>
      <c r="C5287" t="str">
        <f t="shared" si="2435"/>
        <v>FFDFD3C0</v>
      </c>
      <c r="D5287" t="s">
        <v>131</v>
      </c>
      <c r="E5287">
        <v>10</v>
      </c>
      <c r="F5287">
        <v>2010</v>
      </c>
      <c r="G5287" t="s">
        <v>132</v>
      </c>
      <c r="J5287" t="s">
        <v>133</v>
      </c>
      <c r="K5287">
        <v>0</v>
      </c>
      <c r="L5287">
        <v>3</v>
      </c>
      <c r="M5287">
        <v>0</v>
      </c>
      <c r="N5287">
        <v>2</v>
      </c>
      <c r="O5287">
        <v>1</v>
      </c>
      <c r="P5287">
        <v>0</v>
      </c>
      <c r="Q5287">
        <v>0</v>
      </c>
      <c r="S5287" t="str">
        <f t="shared" si="2442"/>
        <v>14:50:59.852</v>
      </c>
      <c r="T5287" t="str">
        <f t="shared" si="2443"/>
        <v>14:50:59.552</v>
      </c>
      <c r="U5287" t="str">
        <f t="shared" si="2426"/>
        <v>A9808D</v>
      </c>
      <c r="V5287">
        <v>0</v>
      </c>
      <c r="W5287">
        <v>0</v>
      </c>
      <c r="X5287">
        <v>1</v>
      </c>
      <c r="Z5287">
        <v>0</v>
      </c>
      <c r="AA5287">
        <v>9</v>
      </c>
      <c r="AB5287">
        <v>3</v>
      </c>
      <c r="AC5287">
        <v>0</v>
      </c>
      <c r="AD5287">
        <v>10</v>
      </c>
      <c r="AE5287">
        <v>0</v>
      </c>
      <c r="AF5287">
        <v>3</v>
      </c>
      <c r="AG5287">
        <v>2</v>
      </c>
      <c r="AH5287">
        <v>0</v>
      </c>
      <c r="AI5287" t="s">
        <v>1167</v>
      </c>
      <c r="AJ5287">
        <v>28.226817</v>
      </c>
      <c r="AK5287" t="s">
        <v>1168</v>
      </c>
      <c r="AL5287">
        <v>-82.384800999999996</v>
      </c>
      <c r="AM5287">
        <v>100</v>
      </c>
      <c r="AN5287">
        <v>1700</v>
      </c>
      <c r="AO5287" t="s">
        <v>118</v>
      </c>
      <c r="AP5287">
        <v>-98</v>
      </c>
      <c r="AQ5287">
        <v>-65</v>
      </c>
      <c r="AR5287">
        <v>-768</v>
      </c>
      <c r="AZ5287">
        <v>1200</v>
      </c>
      <c r="BA5287">
        <v>1</v>
      </c>
      <c r="BB5287" t="str">
        <f t="shared" si="2436"/>
        <v xml:space="preserve">N711JA  </v>
      </c>
      <c r="BC5287">
        <v>1</v>
      </c>
      <c r="BE5287">
        <v>0</v>
      </c>
      <c r="BF5287">
        <v>0</v>
      </c>
      <c r="BG5287">
        <v>0</v>
      </c>
      <c r="BH5287">
        <v>1775</v>
      </c>
      <c r="BI5287">
        <v>1</v>
      </c>
      <c r="BJ5287">
        <v>1</v>
      </c>
      <c r="BK5287">
        <v>0</v>
      </c>
      <c r="BL5287">
        <v>0</v>
      </c>
      <c r="BO5287">
        <v>0</v>
      </c>
      <c r="BP5287">
        <v>0</v>
      </c>
      <c r="BW5287" t="str">
        <f t="shared" si="2444"/>
        <v>14:50:59.854</v>
      </c>
      <c r="CJ5287">
        <v>0</v>
      </c>
      <c r="CK5287">
        <v>2</v>
      </c>
      <c r="CL5287">
        <v>0</v>
      </c>
      <c r="CM5287">
        <v>2</v>
      </c>
      <c r="CN5287">
        <v>0</v>
      </c>
      <c r="CO5287">
        <v>7</v>
      </c>
      <c r="CP5287" t="s">
        <v>119</v>
      </c>
      <c r="CQ5287">
        <v>358</v>
      </c>
      <c r="CR5287">
        <v>0</v>
      </c>
      <c r="CW5287">
        <v>5245131</v>
      </c>
      <c r="CY5287">
        <v>1</v>
      </c>
      <c r="CZ5287">
        <v>0</v>
      </c>
      <c r="DA5287">
        <v>1</v>
      </c>
      <c r="DB5287">
        <v>0</v>
      </c>
      <c r="DC5287">
        <v>0</v>
      </c>
      <c r="DD5287">
        <v>1</v>
      </c>
      <c r="DE5287">
        <v>0</v>
      </c>
      <c r="DF5287">
        <v>0</v>
      </c>
      <c r="DG5287">
        <v>0</v>
      </c>
      <c r="DH5287">
        <v>0</v>
      </c>
      <c r="DI5287">
        <v>0</v>
      </c>
    </row>
    <row r="5288" spans="1:113" x14ac:dyDescent="0.3">
      <c r="A5288" t="str">
        <f t="shared" si="2441"/>
        <v>05/12/2020 14:50:42.003</v>
      </c>
      <c r="C5288" t="str">
        <f t="shared" si="2435"/>
        <v>FFDFD3C0</v>
      </c>
      <c r="D5288" t="s">
        <v>138</v>
      </c>
      <c r="E5288">
        <v>2</v>
      </c>
      <c r="H5288">
        <v>8</v>
      </c>
      <c r="I5288" t="s">
        <v>139</v>
      </c>
      <c r="J5288" t="s">
        <v>136</v>
      </c>
      <c r="K5288">
        <v>0</v>
      </c>
      <c r="L5288">
        <v>3</v>
      </c>
      <c r="M5288">
        <v>0</v>
      </c>
      <c r="N5288">
        <v>2</v>
      </c>
      <c r="O5288">
        <v>1</v>
      </c>
      <c r="P5288">
        <v>0</v>
      </c>
      <c r="Q5288">
        <v>0</v>
      </c>
      <c r="S5288" t="str">
        <f t="shared" si="2442"/>
        <v>14:50:59.852</v>
      </c>
      <c r="T5288" t="str">
        <f t="shared" si="2443"/>
        <v>14:50:59.552</v>
      </c>
      <c r="U5288" t="str">
        <f t="shared" si="2426"/>
        <v>A9808D</v>
      </c>
      <c r="V5288">
        <v>0</v>
      </c>
      <c r="W5288">
        <v>0</v>
      </c>
      <c r="X5288">
        <v>1</v>
      </c>
      <c r="Z5288">
        <v>0</v>
      </c>
      <c r="AA5288">
        <v>9</v>
      </c>
      <c r="AB5288">
        <v>3</v>
      </c>
      <c r="AC5288">
        <v>0</v>
      </c>
      <c r="AD5288">
        <v>10</v>
      </c>
      <c r="AE5288">
        <v>0</v>
      </c>
      <c r="AF5288">
        <v>3</v>
      </c>
      <c r="AG5288">
        <v>2</v>
      </c>
      <c r="AH5288">
        <v>0</v>
      </c>
      <c r="AI5288" t="s">
        <v>1167</v>
      </c>
      <c r="AJ5288">
        <v>28.226817</v>
      </c>
      <c r="AK5288" t="s">
        <v>1168</v>
      </c>
      <c r="AL5288">
        <v>-82.384800999999996</v>
      </c>
      <c r="AM5288">
        <v>100</v>
      </c>
      <c r="AN5288">
        <v>1700</v>
      </c>
      <c r="AO5288" t="s">
        <v>118</v>
      </c>
      <c r="AP5288">
        <v>-98</v>
      </c>
      <c r="AQ5288">
        <v>-65</v>
      </c>
      <c r="AR5288">
        <v>-768</v>
      </c>
      <c r="AZ5288">
        <v>1200</v>
      </c>
      <c r="BA5288">
        <v>1</v>
      </c>
      <c r="BB5288" t="str">
        <f t="shared" si="2436"/>
        <v xml:space="preserve">N711JA  </v>
      </c>
      <c r="BC5288">
        <v>1</v>
      </c>
      <c r="BE5288">
        <v>0</v>
      </c>
      <c r="BF5288">
        <v>0</v>
      </c>
      <c r="BG5288">
        <v>0</v>
      </c>
      <c r="BH5288">
        <v>1775</v>
      </c>
      <c r="BI5288">
        <v>1</v>
      </c>
      <c r="BJ5288">
        <v>1</v>
      </c>
      <c r="BK5288">
        <v>0</v>
      </c>
      <c r="BL5288">
        <v>0</v>
      </c>
      <c r="BO5288">
        <v>0</v>
      </c>
      <c r="BP5288">
        <v>0</v>
      </c>
      <c r="BW5288" t="str">
        <f t="shared" si="2444"/>
        <v>14:50:59.854</v>
      </c>
      <c r="CJ5288">
        <v>0</v>
      </c>
      <c r="CK5288">
        <v>2</v>
      </c>
      <c r="CL5288">
        <v>0</v>
      </c>
      <c r="CM5288">
        <v>2</v>
      </c>
      <c r="CN5288">
        <v>0</v>
      </c>
      <c r="CO5288">
        <v>7</v>
      </c>
      <c r="CP5288" t="s">
        <v>119</v>
      </c>
      <c r="CQ5288">
        <v>343</v>
      </c>
      <c r="CR5288">
        <v>1</v>
      </c>
      <c r="CW5288">
        <v>11133353</v>
      </c>
      <c r="CY5288">
        <v>1</v>
      </c>
      <c r="CZ5288">
        <v>0</v>
      </c>
      <c r="DA5288">
        <v>1</v>
      </c>
      <c r="DB5288">
        <v>0</v>
      </c>
      <c r="DC5288">
        <v>0</v>
      </c>
      <c r="DD5288">
        <v>1</v>
      </c>
      <c r="DE5288">
        <v>0</v>
      </c>
      <c r="DF5288">
        <v>0</v>
      </c>
      <c r="DG5288">
        <v>0</v>
      </c>
      <c r="DH5288">
        <v>0</v>
      </c>
      <c r="DI5288">
        <v>0</v>
      </c>
    </row>
    <row r="5289" spans="1:113" x14ac:dyDescent="0.3">
      <c r="A5289" t="str">
        <f t="shared" ref="A5289:A5296" si="2445">"05/12/2020 14:50:43.086"</f>
        <v>05/12/2020 14:50:43.086</v>
      </c>
      <c r="C5289" t="str">
        <f t="shared" si="2435"/>
        <v>FFDFD3C0</v>
      </c>
      <c r="D5289" t="s">
        <v>134</v>
      </c>
      <c r="E5289">
        <v>12</v>
      </c>
      <c r="H5289">
        <v>64</v>
      </c>
      <c r="I5289" t="s">
        <v>135</v>
      </c>
      <c r="J5289" t="s">
        <v>136</v>
      </c>
      <c r="K5289">
        <v>0</v>
      </c>
      <c r="L5289">
        <v>3</v>
      </c>
      <c r="M5289">
        <v>0</v>
      </c>
      <c r="N5289">
        <v>2</v>
      </c>
      <c r="O5289">
        <v>1</v>
      </c>
      <c r="P5289">
        <v>0</v>
      </c>
      <c r="Q5289">
        <v>0</v>
      </c>
      <c r="S5289" t="str">
        <f t="shared" ref="S5289:S5296" si="2446">"14:51:00.914"</f>
        <v>14:51:00.914</v>
      </c>
      <c r="T5289" t="str">
        <f t="shared" ref="T5289:T5296" si="2447">"14:51:00.514"</f>
        <v>14:51:00.514</v>
      </c>
      <c r="U5289" t="str">
        <f t="shared" si="2426"/>
        <v>A9808D</v>
      </c>
      <c r="V5289">
        <v>0</v>
      </c>
      <c r="W5289">
        <v>0</v>
      </c>
      <c r="X5289">
        <v>1</v>
      </c>
      <c r="Z5289">
        <v>0</v>
      </c>
      <c r="AA5289">
        <v>9</v>
      </c>
      <c r="AB5289">
        <v>3</v>
      </c>
      <c r="AC5289">
        <v>0</v>
      </c>
      <c r="AD5289">
        <v>10</v>
      </c>
      <c r="AE5289">
        <v>0</v>
      </c>
      <c r="AF5289">
        <v>3</v>
      </c>
      <c r="AG5289">
        <v>2</v>
      </c>
      <c r="AH5289">
        <v>0</v>
      </c>
      <c r="AI5289" t="s">
        <v>1169</v>
      </c>
      <c r="AJ5289">
        <v>28.226472999999999</v>
      </c>
      <c r="AK5289" t="s">
        <v>1170</v>
      </c>
      <c r="AL5289">
        <v>-82.385294000000002</v>
      </c>
      <c r="AM5289">
        <v>100</v>
      </c>
      <c r="AN5289">
        <v>1700</v>
      </c>
      <c r="AO5289" t="s">
        <v>118</v>
      </c>
      <c r="AP5289">
        <v>-97</v>
      </c>
      <c r="AQ5289">
        <v>-67</v>
      </c>
      <c r="AR5289">
        <v>-832</v>
      </c>
      <c r="AZ5289">
        <v>1200</v>
      </c>
      <c r="BA5289">
        <v>1</v>
      </c>
      <c r="BB5289" t="str">
        <f t="shared" si="2436"/>
        <v xml:space="preserve">N711JA  </v>
      </c>
      <c r="BC5289">
        <v>1</v>
      </c>
      <c r="BE5289">
        <v>0</v>
      </c>
      <c r="BF5289">
        <v>0</v>
      </c>
      <c r="BG5289">
        <v>0</v>
      </c>
      <c r="BH5289">
        <v>1750</v>
      </c>
      <c r="BI5289">
        <v>1</v>
      </c>
      <c r="BJ5289">
        <v>1</v>
      </c>
      <c r="BK5289">
        <v>0</v>
      </c>
      <c r="BL5289">
        <v>0</v>
      </c>
      <c r="BO5289">
        <v>0</v>
      </c>
      <c r="BP5289">
        <v>0</v>
      </c>
      <c r="BW5289" t="str">
        <f t="shared" ref="BW5289:BW5296" si="2448">"14:51:00.921"</f>
        <v>14:51:00.921</v>
      </c>
      <c r="CJ5289">
        <v>0</v>
      </c>
      <c r="CK5289">
        <v>2</v>
      </c>
      <c r="CL5289">
        <v>0</v>
      </c>
      <c r="CM5289">
        <v>2</v>
      </c>
      <c r="CN5289">
        <v>0</v>
      </c>
      <c r="CO5289">
        <v>7</v>
      </c>
      <c r="CP5289" t="s">
        <v>119</v>
      </c>
      <c r="CQ5289">
        <v>343</v>
      </c>
      <c r="CR5289">
        <v>1</v>
      </c>
      <c r="CW5289">
        <v>11134527</v>
      </c>
      <c r="CY5289">
        <v>1</v>
      </c>
      <c r="CZ5289">
        <v>0</v>
      </c>
      <c r="DA5289">
        <v>0</v>
      </c>
      <c r="DB5289">
        <v>0</v>
      </c>
      <c r="DC5289">
        <v>0</v>
      </c>
      <c r="DD5289">
        <v>1</v>
      </c>
      <c r="DE5289">
        <v>0</v>
      </c>
      <c r="DF5289">
        <v>0</v>
      </c>
      <c r="DG5289">
        <v>0</v>
      </c>
      <c r="DH5289">
        <v>0</v>
      </c>
      <c r="DI5289">
        <v>0</v>
      </c>
    </row>
    <row r="5290" spans="1:113" x14ac:dyDescent="0.3">
      <c r="A5290" t="str">
        <f t="shared" si="2445"/>
        <v>05/12/2020 14:50:43.086</v>
      </c>
      <c r="C5290" t="str">
        <f t="shared" si="2435"/>
        <v>FFDFD3C0</v>
      </c>
      <c r="D5290" t="s">
        <v>126</v>
      </c>
      <c r="E5290">
        <v>6</v>
      </c>
      <c r="F5290">
        <v>1006</v>
      </c>
      <c r="G5290" t="s">
        <v>114</v>
      </c>
      <c r="J5290" t="s">
        <v>128</v>
      </c>
      <c r="K5290">
        <v>0</v>
      </c>
      <c r="L5290">
        <v>3</v>
      </c>
      <c r="M5290">
        <v>0</v>
      </c>
      <c r="N5290">
        <v>2</v>
      </c>
      <c r="O5290">
        <v>1</v>
      </c>
      <c r="P5290">
        <v>0</v>
      </c>
      <c r="Q5290">
        <v>0</v>
      </c>
      <c r="S5290" t="str">
        <f t="shared" si="2446"/>
        <v>14:51:00.914</v>
      </c>
      <c r="T5290" t="str">
        <f t="shared" si="2447"/>
        <v>14:51:00.514</v>
      </c>
      <c r="U5290" t="str">
        <f t="shared" si="2426"/>
        <v>A9808D</v>
      </c>
      <c r="V5290">
        <v>0</v>
      </c>
      <c r="W5290">
        <v>0</v>
      </c>
      <c r="X5290">
        <v>1</v>
      </c>
      <c r="Z5290">
        <v>0</v>
      </c>
      <c r="AA5290">
        <v>9</v>
      </c>
      <c r="AB5290">
        <v>3</v>
      </c>
      <c r="AC5290">
        <v>0</v>
      </c>
      <c r="AD5290">
        <v>10</v>
      </c>
      <c r="AE5290">
        <v>0</v>
      </c>
      <c r="AF5290">
        <v>3</v>
      </c>
      <c r="AG5290">
        <v>2</v>
      </c>
      <c r="AH5290">
        <v>0</v>
      </c>
      <c r="AI5290" t="s">
        <v>1169</v>
      </c>
      <c r="AJ5290">
        <v>28.226472999999999</v>
      </c>
      <c r="AK5290" t="s">
        <v>1170</v>
      </c>
      <c r="AL5290">
        <v>-82.385294000000002</v>
      </c>
      <c r="AM5290">
        <v>100</v>
      </c>
      <c r="AN5290">
        <v>1700</v>
      </c>
      <c r="AO5290" t="s">
        <v>118</v>
      </c>
      <c r="AP5290">
        <v>-97</v>
      </c>
      <c r="AQ5290">
        <v>-67</v>
      </c>
      <c r="AR5290">
        <v>-832</v>
      </c>
      <c r="AZ5290">
        <v>1200</v>
      </c>
      <c r="BA5290">
        <v>1</v>
      </c>
      <c r="BB5290" t="str">
        <f t="shared" si="2436"/>
        <v xml:space="preserve">N711JA  </v>
      </c>
      <c r="BC5290">
        <v>1</v>
      </c>
      <c r="BE5290">
        <v>0</v>
      </c>
      <c r="BF5290">
        <v>0</v>
      </c>
      <c r="BG5290">
        <v>0</v>
      </c>
      <c r="BH5290">
        <v>1750</v>
      </c>
      <c r="BI5290">
        <v>1</v>
      </c>
      <c r="BJ5290">
        <v>1</v>
      </c>
      <c r="BK5290">
        <v>0</v>
      </c>
      <c r="BL5290">
        <v>0</v>
      </c>
      <c r="BO5290">
        <v>0</v>
      </c>
      <c r="BP5290">
        <v>0</v>
      </c>
      <c r="BW5290" t="str">
        <f t="shared" si="2448"/>
        <v>14:51:00.921</v>
      </c>
      <c r="CJ5290">
        <v>0</v>
      </c>
      <c r="CK5290">
        <v>2</v>
      </c>
      <c r="CL5290">
        <v>0</v>
      </c>
      <c r="CM5290">
        <v>2</v>
      </c>
      <c r="CN5290">
        <v>0</v>
      </c>
      <c r="CO5290">
        <v>7</v>
      </c>
      <c r="CP5290" t="s">
        <v>119</v>
      </c>
      <c r="CQ5290">
        <v>343</v>
      </c>
      <c r="CR5290">
        <v>1</v>
      </c>
      <c r="CW5290">
        <v>11134527</v>
      </c>
      <c r="CY5290">
        <v>1</v>
      </c>
      <c r="CZ5290">
        <v>0</v>
      </c>
      <c r="DA5290">
        <v>1</v>
      </c>
      <c r="DB5290">
        <v>0</v>
      </c>
      <c r="DC5290">
        <v>0</v>
      </c>
      <c r="DD5290">
        <v>1</v>
      </c>
      <c r="DE5290">
        <v>0</v>
      </c>
      <c r="DF5290">
        <v>0</v>
      </c>
      <c r="DG5290">
        <v>0</v>
      </c>
      <c r="DH5290">
        <v>0</v>
      </c>
      <c r="DI5290">
        <v>0</v>
      </c>
    </row>
    <row r="5291" spans="1:113" x14ac:dyDescent="0.3">
      <c r="A5291" t="str">
        <f t="shared" si="2445"/>
        <v>05/12/2020 14:50:43.086</v>
      </c>
      <c r="C5291" t="str">
        <f t="shared" si="2435"/>
        <v>FFDFD3C0</v>
      </c>
      <c r="D5291" t="s">
        <v>126</v>
      </c>
      <c r="E5291">
        <v>7</v>
      </c>
      <c r="F5291">
        <v>1007</v>
      </c>
      <c r="G5291" t="s">
        <v>127</v>
      </c>
      <c r="J5291" t="s">
        <v>128</v>
      </c>
      <c r="K5291">
        <v>0</v>
      </c>
      <c r="L5291">
        <v>3</v>
      </c>
      <c r="M5291">
        <v>0</v>
      </c>
      <c r="N5291">
        <v>2</v>
      </c>
      <c r="O5291">
        <v>1</v>
      </c>
      <c r="P5291">
        <v>0</v>
      </c>
      <c r="Q5291">
        <v>0</v>
      </c>
      <c r="S5291" t="str">
        <f t="shared" si="2446"/>
        <v>14:51:00.914</v>
      </c>
      <c r="T5291" t="str">
        <f t="shared" si="2447"/>
        <v>14:51:00.514</v>
      </c>
      <c r="U5291" t="str">
        <f t="shared" si="2426"/>
        <v>A9808D</v>
      </c>
      <c r="V5291">
        <v>0</v>
      </c>
      <c r="W5291">
        <v>0</v>
      </c>
      <c r="X5291">
        <v>1</v>
      </c>
      <c r="Z5291">
        <v>0</v>
      </c>
      <c r="AA5291">
        <v>9</v>
      </c>
      <c r="AB5291">
        <v>3</v>
      </c>
      <c r="AC5291">
        <v>0</v>
      </c>
      <c r="AD5291">
        <v>10</v>
      </c>
      <c r="AE5291">
        <v>0</v>
      </c>
      <c r="AF5291">
        <v>3</v>
      </c>
      <c r="AG5291">
        <v>2</v>
      </c>
      <c r="AH5291">
        <v>0</v>
      </c>
      <c r="AI5291" t="s">
        <v>1169</v>
      </c>
      <c r="AJ5291">
        <v>28.226472999999999</v>
      </c>
      <c r="AK5291" t="s">
        <v>1170</v>
      </c>
      <c r="AL5291">
        <v>-82.385294000000002</v>
      </c>
      <c r="AM5291">
        <v>100</v>
      </c>
      <c r="AN5291">
        <v>1700</v>
      </c>
      <c r="AO5291" t="s">
        <v>118</v>
      </c>
      <c r="AP5291">
        <v>-97</v>
      </c>
      <c r="AQ5291">
        <v>-67</v>
      </c>
      <c r="AR5291">
        <v>-832</v>
      </c>
      <c r="AZ5291">
        <v>1200</v>
      </c>
      <c r="BA5291">
        <v>1</v>
      </c>
      <c r="BB5291" t="str">
        <f t="shared" si="2436"/>
        <v xml:space="preserve">N711JA  </v>
      </c>
      <c r="BC5291">
        <v>1</v>
      </c>
      <c r="BE5291">
        <v>0</v>
      </c>
      <c r="BF5291">
        <v>0</v>
      </c>
      <c r="BG5291">
        <v>0</v>
      </c>
      <c r="BH5291">
        <v>1750</v>
      </c>
      <c r="BI5291">
        <v>1</v>
      </c>
      <c r="BJ5291">
        <v>1</v>
      </c>
      <c r="BK5291">
        <v>0</v>
      </c>
      <c r="BL5291">
        <v>0</v>
      </c>
      <c r="BO5291">
        <v>0</v>
      </c>
      <c r="BP5291">
        <v>0</v>
      </c>
      <c r="BW5291" t="str">
        <f t="shared" si="2448"/>
        <v>14:51:00.921</v>
      </c>
      <c r="CJ5291">
        <v>0</v>
      </c>
      <c r="CK5291">
        <v>2</v>
      </c>
      <c r="CL5291">
        <v>0</v>
      </c>
      <c r="CM5291">
        <v>2</v>
      </c>
      <c r="CN5291">
        <v>0</v>
      </c>
      <c r="CO5291">
        <v>7</v>
      </c>
      <c r="CP5291" t="s">
        <v>119</v>
      </c>
      <c r="CQ5291">
        <v>343</v>
      </c>
      <c r="CR5291">
        <v>1</v>
      </c>
      <c r="CW5291">
        <v>11134527</v>
      </c>
      <c r="CY5291">
        <v>1</v>
      </c>
      <c r="CZ5291">
        <v>0</v>
      </c>
      <c r="DA5291">
        <v>1</v>
      </c>
      <c r="DB5291">
        <v>0</v>
      </c>
      <c r="DC5291">
        <v>0</v>
      </c>
      <c r="DD5291">
        <v>1</v>
      </c>
      <c r="DE5291">
        <v>0</v>
      </c>
      <c r="DF5291">
        <v>0</v>
      </c>
      <c r="DG5291">
        <v>0</v>
      </c>
      <c r="DH5291">
        <v>0</v>
      </c>
      <c r="DI5291">
        <v>0</v>
      </c>
    </row>
    <row r="5292" spans="1:113" x14ac:dyDescent="0.3">
      <c r="A5292" t="str">
        <f t="shared" si="2445"/>
        <v>05/12/2020 14:50:43.086</v>
      </c>
      <c r="C5292" t="str">
        <f t="shared" si="2435"/>
        <v>FFDFD3C0</v>
      </c>
      <c r="D5292" t="s">
        <v>131</v>
      </c>
      <c r="E5292">
        <v>10</v>
      </c>
      <c r="F5292">
        <v>2010</v>
      </c>
      <c r="G5292" t="s">
        <v>132</v>
      </c>
      <c r="J5292" t="s">
        <v>133</v>
      </c>
      <c r="K5292">
        <v>0</v>
      </c>
      <c r="L5292">
        <v>3</v>
      </c>
      <c r="M5292">
        <v>0</v>
      </c>
      <c r="N5292">
        <v>2</v>
      </c>
      <c r="O5292">
        <v>1</v>
      </c>
      <c r="P5292">
        <v>0</v>
      </c>
      <c r="Q5292">
        <v>0</v>
      </c>
      <c r="S5292" t="str">
        <f t="shared" si="2446"/>
        <v>14:51:00.914</v>
      </c>
      <c r="T5292" t="str">
        <f t="shared" si="2447"/>
        <v>14:51:00.514</v>
      </c>
      <c r="U5292" t="str">
        <f t="shared" si="2426"/>
        <v>A9808D</v>
      </c>
      <c r="V5292">
        <v>0</v>
      </c>
      <c r="W5292">
        <v>0</v>
      </c>
      <c r="X5292">
        <v>1</v>
      </c>
      <c r="Z5292">
        <v>0</v>
      </c>
      <c r="AA5292">
        <v>9</v>
      </c>
      <c r="AB5292">
        <v>3</v>
      </c>
      <c r="AC5292">
        <v>0</v>
      </c>
      <c r="AD5292">
        <v>10</v>
      </c>
      <c r="AE5292">
        <v>0</v>
      </c>
      <c r="AF5292">
        <v>3</v>
      </c>
      <c r="AG5292">
        <v>2</v>
      </c>
      <c r="AH5292">
        <v>0</v>
      </c>
      <c r="AI5292" t="s">
        <v>1169</v>
      </c>
      <c r="AJ5292">
        <v>28.226472999999999</v>
      </c>
      <c r="AK5292" t="s">
        <v>1170</v>
      </c>
      <c r="AL5292">
        <v>-82.385294000000002</v>
      </c>
      <c r="AM5292">
        <v>100</v>
      </c>
      <c r="AN5292">
        <v>1700</v>
      </c>
      <c r="AO5292" t="s">
        <v>118</v>
      </c>
      <c r="AP5292">
        <v>-97</v>
      </c>
      <c r="AQ5292">
        <v>-67</v>
      </c>
      <c r="AR5292">
        <v>-832</v>
      </c>
      <c r="AZ5292">
        <v>1200</v>
      </c>
      <c r="BA5292">
        <v>1</v>
      </c>
      <c r="BB5292" t="str">
        <f t="shared" si="2436"/>
        <v xml:space="preserve">N711JA  </v>
      </c>
      <c r="BC5292">
        <v>1</v>
      </c>
      <c r="BE5292">
        <v>0</v>
      </c>
      <c r="BF5292">
        <v>0</v>
      </c>
      <c r="BG5292">
        <v>0</v>
      </c>
      <c r="BH5292">
        <v>1750</v>
      </c>
      <c r="BI5292">
        <v>1</v>
      </c>
      <c r="BJ5292">
        <v>1</v>
      </c>
      <c r="BK5292">
        <v>0</v>
      </c>
      <c r="BL5292">
        <v>0</v>
      </c>
      <c r="BO5292">
        <v>0</v>
      </c>
      <c r="BP5292">
        <v>0</v>
      </c>
      <c r="BW5292" t="str">
        <f t="shared" si="2448"/>
        <v>14:51:00.921</v>
      </c>
      <c r="CJ5292">
        <v>0</v>
      </c>
      <c r="CK5292">
        <v>2</v>
      </c>
      <c r="CL5292">
        <v>0</v>
      </c>
      <c r="CM5292">
        <v>2</v>
      </c>
      <c r="CN5292">
        <v>0</v>
      </c>
      <c r="CO5292">
        <v>7</v>
      </c>
      <c r="CP5292" t="s">
        <v>119</v>
      </c>
      <c r="CQ5292">
        <v>343</v>
      </c>
      <c r="CR5292">
        <v>1</v>
      </c>
      <c r="CW5292">
        <v>11134527</v>
      </c>
      <c r="CY5292">
        <v>1</v>
      </c>
      <c r="CZ5292">
        <v>0</v>
      </c>
      <c r="DA5292">
        <v>1</v>
      </c>
      <c r="DB5292">
        <v>0</v>
      </c>
      <c r="DC5292">
        <v>0</v>
      </c>
      <c r="DD5292">
        <v>1</v>
      </c>
      <c r="DE5292">
        <v>0</v>
      </c>
      <c r="DF5292">
        <v>0</v>
      </c>
      <c r="DG5292">
        <v>0</v>
      </c>
      <c r="DH5292">
        <v>0</v>
      </c>
      <c r="DI5292">
        <v>0</v>
      </c>
    </row>
    <row r="5293" spans="1:113" x14ac:dyDescent="0.3">
      <c r="A5293" t="str">
        <f t="shared" si="2445"/>
        <v>05/12/2020 14:50:43.086</v>
      </c>
      <c r="C5293" t="str">
        <f t="shared" si="2435"/>
        <v>FFDFD3C0</v>
      </c>
      <c r="D5293" t="s">
        <v>113</v>
      </c>
      <c r="E5293">
        <v>3</v>
      </c>
      <c r="H5293">
        <v>164</v>
      </c>
      <c r="I5293" t="s">
        <v>114</v>
      </c>
      <c r="J5293" t="s">
        <v>115</v>
      </c>
      <c r="K5293">
        <v>0</v>
      </c>
      <c r="L5293">
        <v>3</v>
      </c>
      <c r="M5293">
        <v>0</v>
      </c>
      <c r="N5293">
        <v>2</v>
      </c>
      <c r="O5293">
        <v>1</v>
      </c>
      <c r="P5293">
        <v>0</v>
      </c>
      <c r="Q5293">
        <v>0</v>
      </c>
      <c r="S5293" t="str">
        <f t="shared" si="2446"/>
        <v>14:51:00.914</v>
      </c>
      <c r="T5293" t="str">
        <f t="shared" si="2447"/>
        <v>14:51:00.514</v>
      </c>
      <c r="U5293" t="str">
        <f t="shared" si="2426"/>
        <v>A9808D</v>
      </c>
      <c r="V5293">
        <v>0</v>
      </c>
      <c r="W5293">
        <v>0</v>
      </c>
      <c r="X5293">
        <v>1</v>
      </c>
      <c r="Z5293">
        <v>0</v>
      </c>
      <c r="AA5293">
        <v>9</v>
      </c>
      <c r="AB5293">
        <v>3</v>
      </c>
      <c r="AC5293">
        <v>0</v>
      </c>
      <c r="AD5293">
        <v>10</v>
      </c>
      <c r="AE5293">
        <v>0</v>
      </c>
      <c r="AF5293">
        <v>3</v>
      </c>
      <c r="AG5293">
        <v>2</v>
      </c>
      <c r="AH5293">
        <v>0</v>
      </c>
      <c r="AI5293" t="s">
        <v>1169</v>
      </c>
      <c r="AJ5293">
        <v>28.226472999999999</v>
      </c>
      <c r="AK5293" t="s">
        <v>1170</v>
      </c>
      <c r="AL5293">
        <v>-82.385294000000002</v>
      </c>
      <c r="AM5293">
        <v>100</v>
      </c>
      <c r="AN5293">
        <v>1700</v>
      </c>
      <c r="AO5293" t="s">
        <v>118</v>
      </c>
      <c r="AP5293">
        <v>-97</v>
      </c>
      <c r="AQ5293">
        <v>-67</v>
      </c>
      <c r="AR5293">
        <v>-832</v>
      </c>
      <c r="AZ5293">
        <v>1200</v>
      </c>
      <c r="BA5293">
        <v>1</v>
      </c>
      <c r="BB5293" t="str">
        <f t="shared" si="2436"/>
        <v xml:space="preserve">N711JA  </v>
      </c>
      <c r="BC5293">
        <v>1</v>
      </c>
      <c r="BE5293">
        <v>0</v>
      </c>
      <c r="BF5293">
        <v>0</v>
      </c>
      <c r="BG5293">
        <v>0</v>
      </c>
      <c r="BH5293">
        <v>1750</v>
      </c>
      <c r="BI5293">
        <v>1</v>
      </c>
      <c r="BJ5293">
        <v>1</v>
      </c>
      <c r="BK5293">
        <v>0</v>
      </c>
      <c r="BL5293">
        <v>0</v>
      </c>
      <c r="BO5293">
        <v>0</v>
      </c>
      <c r="BP5293">
        <v>0</v>
      </c>
      <c r="BW5293" t="str">
        <f t="shared" si="2448"/>
        <v>14:51:00.921</v>
      </c>
      <c r="CJ5293">
        <v>0</v>
      </c>
      <c r="CK5293">
        <v>2</v>
      </c>
      <c r="CL5293">
        <v>0</v>
      </c>
      <c r="CM5293">
        <v>2</v>
      </c>
      <c r="CN5293">
        <v>0</v>
      </c>
      <c r="CO5293">
        <v>7</v>
      </c>
      <c r="CP5293" t="s">
        <v>119</v>
      </c>
      <c r="CQ5293">
        <v>343</v>
      </c>
      <c r="CR5293">
        <v>1</v>
      </c>
      <c r="CW5293">
        <v>11134527</v>
      </c>
      <c r="CY5293">
        <v>1</v>
      </c>
      <c r="CZ5293">
        <v>0</v>
      </c>
      <c r="DA5293">
        <v>1</v>
      </c>
      <c r="DB5293">
        <v>0</v>
      </c>
      <c r="DC5293">
        <v>0</v>
      </c>
      <c r="DD5293">
        <v>1</v>
      </c>
      <c r="DE5293">
        <v>0</v>
      </c>
      <c r="DF5293">
        <v>0</v>
      </c>
      <c r="DG5293">
        <v>0</v>
      </c>
      <c r="DH5293">
        <v>0</v>
      </c>
      <c r="DI5293">
        <v>0</v>
      </c>
    </row>
    <row r="5294" spans="1:113" x14ac:dyDescent="0.3">
      <c r="A5294" t="str">
        <f t="shared" si="2445"/>
        <v>05/12/2020 14:50:43.086</v>
      </c>
      <c r="C5294" t="str">
        <f t="shared" si="2435"/>
        <v>FFDFD3C0</v>
      </c>
      <c r="D5294" t="s">
        <v>131</v>
      </c>
      <c r="E5294">
        <v>12</v>
      </c>
      <c r="F5294">
        <v>2012</v>
      </c>
      <c r="G5294" t="s">
        <v>137</v>
      </c>
      <c r="J5294" t="s">
        <v>133</v>
      </c>
      <c r="K5294">
        <v>0</v>
      </c>
      <c r="L5294">
        <v>3</v>
      </c>
      <c r="M5294">
        <v>0</v>
      </c>
      <c r="N5294">
        <v>2</v>
      </c>
      <c r="O5294">
        <v>1</v>
      </c>
      <c r="P5294">
        <v>0</v>
      </c>
      <c r="Q5294">
        <v>0</v>
      </c>
      <c r="S5294" t="str">
        <f t="shared" si="2446"/>
        <v>14:51:00.914</v>
      </c>
      <c r="T5294" t="str">
        <f t="shared" si="2447"/>
        <v>14:51:00.514</v>
      </c>
      <c r="U5294" t="str">
        <f t="shared" si="2426"/>
        <v>A9808D</v>
      </c>
      <c r="V5294">
        <v>0</v>
      </c>
      <c r="W5294">
        <v>0</v>
      </c>
      <c r="X5294">
        <v>1</v>
      </c>
      <c r="Z5294">
        <v>0</v>
      </c>
      <c r="AA5294">
        <v>9</v>
      </c>
      <c r="AB5294">
        <v>3</v>
      </c>
      <c r="AC5294">
        <v>0</v>
      </c>
      <c r="AD5294">
        <v>10</v>
      </c>
      <c r="AE5294">
        <v>0</v>
      </c>
      <c r="AF5294">
        <v>3</v>
      </c>
      <c r="AG5294">
        <v>2</v>
      </c>
      <c r="AH5294">
        <v>0</v>
      </c>
      <c r="AI5294" t="s">
        <v>1169</v>
      </c>
      <c r="AJ5294">
        <v>28.226472999999999</v>
      </c>
      <c r="AK5294" t="s">
        <v>1170</v>
      </c>
      <c r="AL5294">
        <v>-82.385294000000002</v>
      </c>
      <c r="AM5294">
        <v>100</v>
      </c>
      <c r="AN5294">
        <v>1700</v>
      </c>
      <c r="AO5294" t="s">
        <v>118</v>
      </c>
      <c r="AP5294">
        <v>-97</v>
      </c>
      <c r="AQ5294">
        <v>-67</v>
      </c>
      <c r="AR5294">
        <v>-832</v>
      </c>
      <c r="AZ5294">
        <v>1200</v>
      </c>
      <c r="BA5294">
        <v>1</v>
      </c>
      <c r="BB5294" t="str">
        <f t="shared" si="2436"/>
        <v xml:space="preserve">N711JA  </v>
      </c>
      <c r="BC5294">
        <v>1</v>
      </c>
      <c r="BE5294">
        <v>0</v>
      </c>
      <c r="BF5294">
        <v>0</v>
      </c>
      <c r="BG5294">
        <v>0</v>
      </c>
      <c r="BH5294">
        <v>1750</v>
      </c>
      <c r="BI5294">
        <v>1</v>
      </c>
      <c r="BJ5294">
        <v>1</v>
      </c>
      <c r="BK5294">
        <v>0</v>
      </c>
      <c r="BL5294">
        <v>0</v>
      </c>
      <c r="BO5294">
        <v>0</v>
      </c>
      <c r="BP5294">
        <v>0</v>
      </c>
      <c r="BW5294" t="str">
        <f t="shared" si="2448"/>
        <v>14:51:00.921</v>
      </c>
      <c r="CJ5294">
        <v>0</v>
      </c>
      <c r="CK5294">
        <v>2</v>
      </c>
      <c r="CL5294">
        <v>0</v>
      </c>
      <c r="CM5294">
        <v>2</v>
      </c>
      <c r="CN5294">
        <v>0</v>
      </c>
      <c r="CO5294">
        <v>7</v>
      </c>
      <c r="CP5294" t="s">
        <v>119</v>
      </c>
      <c r="CQ5294">
        <v>343</v>
      </c>
      <c r="CR5294">
        <v>1</v>
      </c>
      <c r="CW5294">
        <v>11134527</v>
      </c>
      <c r="CY5294">
        <v>1</v>
      </c>
      <c r="CZ5294">
        <v>0</v>
      </c>
      <c r="DA5294">
        <v>1</v>
      </c>
      <c r="DB5294">
        <v>0</v>
      </c>
      <c r="DC5294">
        <v>0</v>
      </c>
      <c r="DD5294">
        <v>1</v>
      </c>
      <c r="DE5294">
        <v>0</v>
      </c>
      <c r="DF5294">
        <v>0</v>
      </c>
      <c r="DG5294">
        <v>0</v>
      </c>
      <c r="DH5294">
        <v>0</v>
      </c>
      <c r="DI5294">
        <v>0</v>
      </c>
    </row>
    <row r="5295" spans="1:113" x14ac:dyDescent="0.3">
      <c r="A5295" t="str">
        <f t="shared" si="2445"/>
        <v>05/12/2020 14:50:43.086</v>
      </c>
      <c r="C5295" t="str">
        <f t="shared" si="2435"/>
        <v>FFDFD3C0</v>
      </c>
      <c r="D5295" t="s">
        <v>138</v>
      </c>
      <c r="E5295">
        <v>2</v>
      </c>
      <c r="H5295">
        <v>8</v>
      </c>
      <c r="I5295" t="s">
        <v>139</v>
      </c>
      <c r="J5295" t="s">
        <v>136</v>
      </c>
      <c r="K5295">
        <v>0</v>
      </c>
      <c r="L5295">
        <v>3</v>
      </c>
      <c r="M5295">
        <v>0</v>
      </c>
      <c r="N5295">
        <v>2</v>
      </c>
      <c r="O5295">
        <v>1</v>
      </c>
      <c r="P5295">
        <v>0</v>
      </c>
      <c r="Q5295">
        <v>0</v>
      </c>
      <c r="S5295" t="str">
        <f t="shared" si="2446"/>
        <v>14:51:00.914</v>
      </c>
      <c r="T5295" t="str">
        <f t="shared" si="2447"/>
        <v>14:51:00.514</v>
      </c>
      <c r="U5295" t="str">
        <f t="shared" si="2426"/>
        <v>A9808D</v>
      </c>
      <c r="V5295">
        <v>0</v>
      </c>
      <c r="W5295">
        <v>0</v>
      </c>
      <c r="X5295">
        <v>1</v>
      </c>
      <c r="Z5295">
        <v>0</v>
      </c>
      <c r="AA5295">
        <v>9</v>
      </c>
      <c r="AB5295">
        <v>3</v>
      </c>
      <c r="AC5295">
        <v>0</v>
      </c>
      <c r="AD5295">
        <v>10</v>
      </c>
      <c r="AE5295">
        <v>0</v>
      </c>
      <c r="AF5295">
        <v>3</v>
      </c>
      <c r="AG5295">
        <v>2</v>
      </c>
      <c r="AH5295">
        <v>0</v>
      </c>
      <c r="AI5295" t="s">
        <v>1169</v>
      </c>
      <c r="AJ5295">
        <v>28.226472999999999</v>
      </c>
      <c r="AK5295" t="s">
        <v>1170</v>
      </c>
      <c r="AL5295">
        <v>-82.385294000000002</v>
      </c>
      <c r="AM5295">
        <v>100</v>
      </c>
      <c r="AN5295">
        <v>1700</v>
      </c>
      <c r="AO5295" t="s">
        <v>118</v>
      </c>
      <c r="AP5295">
        <v>-97</v>
      </c>
      <c r="AQ5295">
        <v>-67</v>
      </c>
      <c r="AR5295">
        <v>-832</v>
      </c>
      <c r="AZ5295">
        <v>1200</v>
      </c>
      <c r="BA5295">
        <v>1</v>
      </c>
      <c r="BB5295" t="str">
        <f t="shared" si="2436"/>
        <v xml:space="preserve">N711JA  </v>
      </c>
      <c r="BC5295">
        <v>1</v>
      </c>
      <c r="BE5295">
        <v>0</v>
      </c>
      <c r="BF5295">
        <v>0</v>
      </c>
      <c r="BG5295">
        <v>0</v>
      </c>
      <c r="BH5295">
        <v>1750</v>
      </c>
      <c r="BI5295">
        <v>1</v>
      </c>
      <c r="BJ5295">
        <v>1</v>
      </c>
      <c r="BK5295">
        <v>0</v>
      </c>
      <c r="BL5295">
        <v>0</v>
      </c>
      <c r="BO5295">
        <v>0</v>
      </c>
      <c r="BP5295">
        <v>0</v>
      </c>
      <c r="BW5295" t="str">
        <f t="shared" si="2448"/>
        <v>14:51:00.921</v>
      </c>
      <c r="CJ5295">
        <v>0</v>
      </c>
      <c r="CK5295">
        <v>2</v>
      </c>
      <c r="CL5295">
        <v>0</v>
      </c>
      <c r="CM5295">
        <v>2</v>
      </c>
      <c r="CN5295">
        <v>0</v>
      </c>
      <c r="CO5295">
        <v>7</v>
      </c>
      <c r="CP5295" t="s">
        <v>119</v>
      </c>
      <c r="CQ5295">
        <v>343</v>
      </c>
      <c r="CR5295">
        <v>1</v>
      </c>
      <c r="CW5295">
        <v>11134527</v>
      </c>
      <c r="CY5295">
        <v>1</v>
      </c>
      <c r="CZ5295">
        <v>0</v>
      </c>
      <c r="DA5295">
        <v>1</v>
      </c>
      <c r="DB5295">
        <v>0</v>
      </c>
      <c r="DC5295">
        <v>0</v>
      </c>
      <c r="DD5295">
        <v>1</v>
      </c>
      <c r="DE5295">
        <v>0</v>
      </c>
      <c r="DF5295">
        <v>0</v>
      </c>
      <c r="DG5295">
        <v>0</v>
      </c>
      <c r="DH5295">
        <v>0</v>
      </c>
      <c r="DI5295">
        <v>0</v>
      </c>
    </row>
    <row r="5296" spans="1:113" x14ac:dyDescent="0.3">
      <c r="A5296" t="str">
        <f t="shared" si="2445"/>
        <v>05/12/2020 14:50:43.086</v>
      </c>
      <c r="C5296" t="str">
        <f t="shared" si="2435"/>
        <v>FFDFD3C0</v>
      </c>
      <c r="D5296" t="s">
        <v>138</v>
      </c>
      <c r="E5296">
        <v>3</v>
      </c>
      <c r="H5296">
        <v>9</v>
      </c>
      <c r="I5296" t="s">
        <v>140</v>
      </c>
      <c r="J5296" t="s">
        <v>136</v>
      </c>
      <c r="K5296">
        <v>0</v>
      </c>
      <c r="L5296">
        <v>3</v>
      </c>
      <c r="M5296">
        <v>0</v>
      </c>
      <c r="N5296">
        <v>2</v>
      </c>
      <c r="O5296">
        <v>1</v>
      </c>
      <c r="P5296">
        <v>0</v>
      </c>
      <c r="Q5296">
        <v>0</v>
      </c>
      <c r="S5296" t="str">
        <f t="shared" si="2446"/>
        <v>14:51:00.914</v>
      </c>
      <c r="T5296" t="str">
        <f t="shared" si="2447"/>
        <v>14:51:00.514</v>
      </c>
      <c r="U5296" t="str">
        <f t="shared" si="2426"/>
        <v>A9808D</v>
      </c>
      <c r="V5296">
        <v>0</v>
      </c>
      <c r="W5296">
        <v>0</v>
      </c>
      <c r="X5296">
        <v>1</v>
      </c>
      <c r="Z5296">
        <v>0</v>
      </c>
      <c r="AA5296">
        <v>9</v>
      </c>
      <c r="AB5296">
        <v>3</v>
      </c>
      <c r="AC5296">
        <v>0</v>
      </c>
      <c r="AD5296">
        <v>10</v>
      </c>
      <c r="AE5296">
        <v>0</v>
      </c>
      <c r="AF5296">
        <v>3</v>
      </c>
      <c r="AG5296">
        <v>2</v>
      </c>
      <c r="AH5296">
        <v>0</v>
      </c>
      <c r="AI5296" t="s">
        <v>1169</v>
      </c>
      <c r="AJ5296">
        <v>28.226472999999999</v>
      </c>
      <c r="AK5296" t="s">
        <v>1170</v>
      </c>
      <c r="AL5296">
        <v>-82.385294000000002</v>
      </c>
      <c r="AM5296">
        <v>100</v>
      </c>
      <c r="AN5296">
        <v>1700</v>
      </c>
      <c r="AO5296" t="s">
        <v>118</v>
      </c>
      <c r="AP5296">
        <v>-97</v>
      </c>
      <c r="AQ5296">
        <v>-67</v>
      </c>
      <c r="AR5296">
        <v>-832</v>
      </c>
      <c r="AZ5296">
        <v>1200</v>
      </c>
      <c r="BA5296">
        <v>1</v>
      </c>
      <c r="BB5296" t="str">
        <f t="shared" si="2436"/>
        <v xml:space="preserve">N711JA  </v>
      </c>
      <c r="BC5296">
        <v>1</v>
      </c>
      <c r="BE5296">
        <v>0</v>
      </c>
      <c r="BF5296">
        <v>0</v>
      </c>
      <c r="BG5296">
        <v>0</v>
      </c>
      <c r="BH5296">
        <v>1750</v>
      </c>
      <c r="BI5296">
        <v>1</v>
      </c>
      <c r="BJ5296">
        <v>1</v>
      </c>
      <c r="BK5296">
        <v>0</v>
      </c>
      <c r="BL5296">
        <v>0</v>
      </c>
      <c r="BO5296">
        <v>0</v>
      </c>
      <c r="BP5296">
        <v>0</v>
      </c>
      <c r="BW5296" t="str">
        <f t="shared" si="2448"/>
        <v>14:51:00.921</v>
      </c>
      <c r="CJ5296">
        <v>0</v>
      </c>
      <c r="CK5296">
        <v>2</v>
      </c>
      <c r="CL5296">
        <v>0</v>
      </c>
      <c r="CM5296">
        <v>2</v>
      </c>
      <c r="CN5296">
        <v>0</v>
      </c>
      <c r="CO5296">
        <v>7</v>
      </c>
      <c r="CP5296" t="s">
        <v>119</v>
      </c>
      <c r="CQ5296">
        <v>343</v>
      </c>
      <c r="CR5296">
        <v>1</v>
      </c>
      <c r="CW5296">
        <v>11134527</v>
      </c>
      <c r="CY5296">
        <v>1</v>
      </c>
      <c r="CZ5296">
        <v>0</v>
      </c>
      <c r="DA5296">
        <v>1</v>
      </c>
      <c r="DB5296">
        <v>0</v>
      </c>
      <c r="DC5296">
        <v>0</v>
      </c>
      <c r="DD5296">
        <v>1</v>
      </c>
      <c r="DE5296">
        <v>0</v>
      </c>
      <c r="DF5296">
        <v>0</v>
      </c>
      <c r="DG5296">
        <v>0</v>
      </c>
      <c r="DH5296">
        <v>0</v>
      </c>
      <c r="DI5296">
        <v>0</v>
      </c>
    </row>
    <row r="5297" spans="1:113" x14ac:dyDescent="0.3">
      <c r="A5297" t="str">
        <f t="shared" ref="A5297:A5304" si="2449">"05/12/2020 14:50:44.046"</f>
        <v>05/12/2020 14:50:44.046</v>
      </c>
      <c r="C5297" t="str">
        <f t="shared" si="2435"/>
        <v>FFDFD3C0</v>
      </c>
      <c r="D5297" t="s">
        <v>134</v>
      </c>
      <c r="E5297">
        <v>12</v>
      </c>
      <c r="H5297">
        <v>64</v>
      </c>
      <c r="I5297" t="s">
        <v>135</v>
      </c>
      <c r="J5297" t="s">
        <v>136</v>
      </c>
      <c r="K5297">
        <v>0</v>
      </c>
      <c r="L5297">
        <v>3</v>
      </c>
      <c r="M5297">
        <v>0</v>
      </c>
      <c r="N5297">
        <v>2</v>
      </c>
      <c r="O5297">
        <v>1</v>
      </c>
      <c r="P5297">
        <v>0</v>
      </c>
      <c r="Q5297">
        <v>0</v>
      </c>
      <c r="S5297" t="str">
        <f t="shared" ref="S5297:S5304" si="2450">"14:51:01.875"</f>
        <v>14:51:01.875</v>
      </c>
      <c r="T5297" t="str">
        <f t="shared" ref="T5297:T5304" si="2451">"14:51:01.675"</f>
        <v>14:51:01.675</v>
      </c>
      <c r="U5297" t="str">
        <f t="shared" si="2426"/>
        <v>A9808D</v>
      </c>
      <c r="V5297">
        <v>0</v>
      </c>
      <c r="W5297">
        <v>0</v>
      </c>
      <c r="X5297">
        <v>1</v>
      </c>
      <c r="Z5297">
        <v>0</v>
      </c>
      <c r="AA5297">
        <v>9</v>
      </c>
      <c r="AB5297">
        <v>3</v>
      </c>
      <c r="AC5297">
        <v>0</v>
      </c>
      <c r="AD5297">
        <v>10</v>
      </c>
      <c r="AE5297">
        <v>0</v>
      </c>
      <c r="AF5297">
        <v>3</v>
      </c>
      <c r="AG5297">
        <v>2</v>
      </c>
      <c r="AH5297">
        <v>0</v>
      </c>
      <c r="AI5297" t="s">
        <v>1171</v>
      </c>
      <c r="AJ5297">
        <v>28.226151000000002</v>
      </c>
      <c r="AK5297" t="s">
        <v>1172</v>
      </c>
      <c r="AL5297">
        <v>-82.385767000000001</v>
      </c>
      <c r="AM5297">
        <v>100</v>
      </c>
      <c r="AN5297">
        <v>1700</v>
      </c>
      <c r="AO5297" t="s">
        <v>118</v>
      </c>
      <c r="AP5297">
        <v>-95</v>
      </c>
      <c r="AQ5297">
        <v>-69</v>
      </c>
      <c r="AR5297">
        <v>-896</v>
      </c>
      <c r="AZ5297">
        <v>1200</v>
      </c>
      <c r="BA5297">
        <v>1</v>
      </c>
      <c r="BB5297" t="str">
        <f t="shared" si="2436"/>
        <v xml:space="preserve">N711JA  </v>
      </c>
      <c r="BC5297">
        <v>1</v>
      </c>
      <c r="BE5297">
        <v>0</v>
      </c>
      <c r="BF5297">
        <v>0</v>
      </c>
      <c r="BG5297">
        <v>0</v>
      </c>
      <c r="BH5297">
        <v>1750</v>
      </c>
      <c r="BI5297">
        <v>1</v>
      </c>
      <c r="BJ5297">
        <v>1</v>
      </c>
      <c r="BK5297">
        <v>0</v>
      </c>
      <c r="BL5297">
        <v>0</v>
      </c>
      <c r="BO5297">
        <v>0</v>
      </c>
      <c r="BP5297">
        <v>0</v>
      </c>
      <c r="BW5297" t="str">
        <f t="shared" ref="BW5297:BW5304" si="2452">"14:51:01.875"</f>
        <v>14:51:01.875</v>
      </c>
      <c r="CJ5297">
        <v>0</v>
      </c>
      <c r="CK5297">
        <v>2</v>
      </c>
      <c r="CL5297">
        <v>0</v>
      </c>
      <c r="CM5297">
        <v>2</v>
      </c>
      <c r="CN5297">
        <v>0</v>
      </c>
      <c r="CO5297">
        <v>7</v>
      </c>
      <c r="CP5297" t="s">
        <v>119</v>
      </c>
      <c r="CQ5297">
        <v>358</v>
      </c>
      <c r="CR5297">
        <v>0</v>
      </c>
      <c r="CW5297">
        <v>5247564</v>
      </c>
      <c r="CY5297">
        <v>1</v>
      </c>
      <c r="CZ5297">
        <v>0</v>
      </c>
      <c r="DA5297">
        <v>0</v>
      </c>
      <c r="DB5297">
        <v>0</v>
      </c>
      <c r="DC5297">
        <v>0</v>
      </c>
      <c r="DD5297">
        <v>1</v>
      </c>
      <c r="DE5297">
        <v>0</v>
      </c>
      <c r="DF5297">
        <v>0</v>
      </c>
      <c r="DG5297">
        <v>0</v>
      </c>
      <c r="DH5297">
        <v>0</v>
      </c>
      <c r="DI5297">
        <v>0</v>
      </c>
    </row>
    <row r="5298" spans="1:113" x14ac:dyDescent="0.3">
      <c r="A5298" t="str">
        <f t="shared" si="2449"/>
        <v>05/12/2020 14:50:44.046</v>
      </c>
      <c r="C5298" t="str">
        <f t="shared" si="2435"/>
        <v>FFDFD3C0</v>
      </c>
      <c r="D5298" t="s">
        <v>126</v>
      </c>
      <c r="E5298">
        <v>6</v>
      </c>
      <c r="F5298">
        <v>1006</v>
      </c>
      <c r="G5298" t="s">
        <v>114</v>
      </c>
      <c r="J5298" t="s">
        <v>128</v>
      </c>
      <c r="K5298">
        <v>0</v>
      </c>
      <c r="L5298">
        <v>3</v>
      </c>
      <c r="M5298">
        <v>0</v>
      </c>
      <c r="N5298">
        <v>2</v>
      </c>
      <c r="O5298">
        <v>1</v>
      </c>
      <c r="P5298">
        <v>0</v>
      </c>
      <c r="Q5298">
        <v>0</v>
      </c>
      <c r="S5298" t="str">
        <f t="shared" si="2450"/>
        <v>14:51:01.875</v>
      </c>
      <c r="T5298" t="str">
        <f t="shared" si="2451"/>
        <v>14:51:01.675</v>
      </c>
      <c r="U5298" t="str">
        <f t="shared" si="2426"/>
        <v>A9808D</v>
      </c>
      <c r="V5298">
        <v>0</v>
      </c>
      <c r="W5298">
        <v>0</v>
      </c>
      <c r="X5298">
        <v>1</v>
      </c>
      <c r="Z5298">
        <v>0</v>
      </c>
      <c r="AA5298">
        <v>9</v>
      </c>
      <c r="AB5298">
        <v>3</v>
      </c>
      <c r="AC5298">
        <v>0</v>
      </c>
      <c r="AD5298">
        <v>10</v>
      </c>
      <c r="AE5298">
        <v>0</v>
      </c>
      <c r="AF5298">
        <v>3</v>
      </c>
      <c r="AG5298">
        <v>2</v>
      </c>
      <c r="AH5298">
        <v>0</v>
      </c>
      <c r="AI5298" t="s">
        <v>1171</v>
      </c>
      <c r="AJ5298">
        <v>28.226151000000002</v>
      </c>
      <c r="AK5298" t="s">
        <v>1172</v>
      </c>
      <c r="AL5298">
        <v>-82.385767000000001</v>
      </c>
      <c r="AM5298">
        <v>100</v>
      </c>
      <c r="AN5298">
        <v>1700</v>
      </c>
      <c r="AO5298" t="s">
        <v>118</v>
      </c>
      <c r="AP5298">
        <v>-95</v>
      </c>
      <c r="AQ5298">
        <v>-69</v>
      </c>
      <c r="AR5298">
        <v>-896</v>
      </c>
      <c r="AZ5298">
        <v>1200</v>
      </c>
      <c r="BA5298">
        <v>1</v>
      </c>
      <c r="BB5298" t="str">
        <f t="shared" si="2436"/>
        <v xml:space="preserve">N711JA  </v>
      </c>
      <c r="BC5298">
        <v>1</v>
      </c>
      <c r="BE5298">
        <v>0</v>
      </c>
      <c r="BF5298">
        <v>0</v>
      </c>
      <c r="BG5298">
        <v>0</v>
      </c>
      <c r="BH5298">
        <v>1750</v>
      </c>
      <c r="BI5298">
        <v>1</v>
      </c>
      <c r="BJ5298">
        <v>1</v>
      </c>
      <c r="BK5298">
        <v>0</v>
      </c>
      <c r="BL5298">
        <v>0</v>
      </c>
      <c r="BO5298">
        <v>0</v>
      </c>
      <c r="BP5298">
        <v>0</v>
      </c>
      <c r="BW5298" t="str">
        <f t="shared" si="2452"/>
        <v>14:51:01.875</v>
      </c>
      <c r="CJ5298">
        <v>0</v>
      </c>
      <c r="CK5298">
        <v>2</v>
      </c>
      <c r="CL5298">
        <v>0</v>
      </c>
      <c r="CM5298">
        <v>2</v>
      </c>
      <c r="CN5298">
        <v>0</v>
      </c>
      <c r="CO5298">
        <v>7</v>
      </c>
      <c r="CP5298" t="s">
        <v>119</v>
      </c>
      <c r="CQ5298">
        <v>358</v>
      </c>
      <c r="CR5298">
        <v>0</v>
      </c>
      <c r="CW5298">
        <v>5247564</v>
      </c>
      <c r="CY5298">
        <v>1</v>
      </c>
      <c r="CZ5298">
        <v>0</v>
      </c>
      <c r="DA5298">
        <v>1</v>
      </c>
      <c r="DB5298">
        <v>0</v>
      </c>
      <c r="DC5298">
        <v>0</v>
      </c>
      <c r="DD5298">
        <v>1</v>
      </c>
      <c r="DE5298">
        <v>0</v>
      </c>
      <c r="DF5298">
        <v>0</v>
      </c>
      <c r="DG5298">
        <v>0</v>
      </c>
      <c r="DH5298">
        <v>0</v>
      </c>
      <c r="DI5298">
        <v>0</v>
      </c>
    </row>
    <row r="5299" spans="1:113" x14ac:dyDescent="0.3">
      <c r="A5299" t="str">
        <f t="shared" si="2449"/>
        <v>05/12/2020 14:50:44.046</v>
      </c>
      <c r="C5299" t="str">
        <f t="shared" si="2435"/>
        <v>FFDFD3C0</v>
      </c>
      <c r="D5299" t="s">
        <v>126</v>
      </c>
      <c r="E5299">
        <v>7</v>
      </c>
      <c r="F5299">
        <v>1007</v>
      </c>
      <c r="G5299" t="s">
        <v>127</v>
      </c>
      <c r="J5299" t="s">
        <v>128</v>
      </c>
      <c r="K5299">
        <v>0</v>
      </c>
      <c r="L5299">
        <v>3</v>
      </c>
      <c r="M5299">
        <v>0</v>
      </c>
      <c r="N5299">
        <v>2</v>
      </c>
      <c r="O5299">
        <v>1</v>
      </c>
      <c r="P5299">
        <v>0</v>
      </c>
      <c r="Q5299">
        <v>0</v>
      </c>
      <c r="S5299" t="str">
        <f t="shared" si="2450"/>
        <v>14:51:01.875</v>
      </c>
      <c r="T5299" t="str">
        <f t="shared" si="2451"/>
        <v>14:51:01.675</v>
      </c>
      <c r="U5299" t="str">
        <f t="shared" si="2426"/>
        <v>A9808D</v>
      </c>
      <c r="V5299">
        <v>0</v>
      </c>
      <c r="W5299">
        <v>0</v>
      </c>
      <c r="X5299">
        <v>1</v>
      </c>
      <c r="Z5299">
        <v>0</v>
      </c>
      <c r="AA5299">
        <v>9</v>
      </c>
      <c r="AB5299">
        <v>3</v>
      </c>
      <c r="AC5299">
        <v>0</v>
      </c>
      <c r="AD5299">
        <v>10</v>
      </c>
      <c r="AE5299">
        <v>0</v>
      </c>
      <c r="AF5299">
        <v>3</v>
      </c>
      <c r="AG5299">
        <v>2</v>
      </c>
      <c r="AH5299">
        <v>0</v>
      </c>
      <c r="AI5299" t="s">
        <v>1171</v>
      </c>
      <c r="AJ5299">
        <v>28.226151000000002</v>
      </c>
      <c r="AK5299" t="s">
        <v>1172</v>
      </c>
      <c r="AL5299">
        <v>-82.385767000000001</v>
      </c>
      <c r="AM5299">
        <v>100</v>
      </c>
      <c r="AN5299">
        <v>1700</v>
      </c>
      <c r="AO5299" t="s">
        <v>118</v>
      </c>
      <c r="AP5299">
        <v>-95</v>
      </c>
      <c r="AQ5299">
        <v>-69</v>
      </c>
      <c r="AR5299">
        <v>-896</v>
      </c>
      <c r="AZ5299">
        <v>1200</v>
      </c>
      <c r="BA5299">
        <v>1</v>
      </c>
      <c r="BB5299" t="str">
        <f t="shared" si="2436"/>
        <v xml:space="preserve">N711JA  </v>
      </c>
      <c r="BC5299">
        <v>1</v>
      </c>
      <c r="BE5299">
        <v>0</v>
      </c>
      <c r="BF5299">
        <v>0</v>
      </c>
      <c r="BG5299">
        <v>0</v>
      </c>
      <c r="BH5299">
        <v>1750</v>
      </c>
      <c r="BI5299">
        <v>1</v>
      </c>
      <c r="BJ5299">
        <v>1</v>
      </c>
      <c r="BK5299">
        <v>0</v>
      </c>
      <c r="BL5299">
        <v>0</v>
      </c>
      <c r="BO5299">
        <v>0</v>
      </c>
      <c r="BP5299">
        <v>0</v>
      </c>
      <c r="BW5299" t="str">
        <f t="shared" si="2452"/>
        <v>14:51:01.875</v>
      </c>
      <c r="CJ5299">
        <v>0</v>
      </c>
      <c r="CK5299">
        <v>2</v>
      </c>
      <c r="CL5299">
        <v>0</v>
      </c>
      <c r="CM5299">
        <v>2</v>
      </c>
      <c r="CN5299">
        <v>0</v>
      </c>
      <c r="CO5299">
        <v>7</v>
      </c>
      <c r="CP5299" t="s">
        <v>119</v>
      </c>
      <c r="CQ5299">
        <v>358</v>
      </c>
      <c r="CR5299">
        <v>0</v>
      </c>
      <c r="CW5299">
        <v>5247564</v>
      </c>
      <c r="CY5299">
        <v>1</v>
      </c>
      <c r="CZ5299">
        <v>0</v>
      </c>
      <c r="DA5299">
        <v>1</v>
      </c>
      <c r="DB5299">
        <v>0</v>
      </c>
      <c r="DC5299">
        <v>0</v>
      </c>
      <c r="DD5299">
        <v>1</v>
      </c>
      <c r="DE5299">
        <v>0</v>
      </c>
      <c r="DF5299">
        <v>0</v>
      </c>
      <c r="DG5299">
        <v>0</v>
      </c>
      <c r="DH5299">
        <v>0</v>
      </c>
      <c r="DI5299">
        <v>0</v>
      </c>
    </row>
    <row r="5300" spans="1:113" x14ac:dyDescent="0.3">
      <c r="A5300" t="str">
        <f t="shared" si="2449"/>
        <v>05/12/2020 14:50:44.046</v>
      </c>
      <c r="C5300" t="str">
        <f t="shared" si="2435"/>
        <v>FFDFD3C0</v>
      </c>
      <c r="D5300" t="s">
        <v>131</v>
      </c>
      <c r="E5300">
        <v>10</v>
      </c>
      <c r="F5300">
        <v>2010</v>
      </c>
      <c r="G5300" t="s">
        <v>132</v>
      </c>
      <c r="J5300" t="s">
        <v>133</v>
      </c>
      <c r="K5300">
        <v>0</v>
      </c>
      <c r="L5300">
        <v>3</v>
      </c>
      <c r="M5300">
        <v>0</v>
      </c>
      <c r="N5300">
        <v>2</v>
      </c>
      <c r="O5300">
        <v>1</v>
      </c>
      <c r="P5300">
        <v>0</v>
      </c>
      <c r="Q5300">
        <v>0</v>
      </c>
      <c r="S5300" t="str">
        <f t="shared" si="2450"/>
        <v>14:51:01.875</v>
      </c>
      <c r="T5300" t="str">
        <f t="shared" si="2451"/>
        <v>14:51:01.675</v>
      </c>
      <c r="U5300" t="str">
        <f t="shared" si="2426"/>
        <v>A9808D</v>
      </c>
      <c r="V5300">
        <v>0</v>
      </c>
      <c r="W5300">
        <v>0</v>
      </c>
      <c r="X5300">
        <v>1</v>
      </c>
      <c r="Z5300">
        <v>0</v>
      </c>
      <c r="AA5300">
        <v>9</v>
      </c>
      <c r="AB5300">
        <v>3</v>
      </c>
      <c r="AC5300">
        <v>0</v>
      </c>
      <c r="AD5300">
        <v>10</v>
      </c>
      <c r="AE5300">
        <v>0</v>
      </c>
      <c r="AF5300">
        <v>3</v>
      </c>
      <c r="AG5300">
        <v>2</v>
      </c>
      <c r="AH5300">
        <v>0</v>
      </c>
      <c r="AI5300" t="s">
        <v>1171</v>
      </c>
      <c r="AJ5300">
        <v>28.226151000000002</v>
      </c>
      <c r="AK5300" t="s">
        <v>1172</v>
      </c>
      <c r="AL5300">
        <v>-82.385767000000001</v>
      </c>
      <c r="AM5300">
        <v>100</v>
      </c>
      <c r="AN5300">
        <v>1700</v>
      </c>
      <c r="AO5300" t="s">
        <v>118</v>
      </c>
      <c r="AP5300">
        <v>-95</v>
      </c>
      <c r="AQ5300">
        <v>-69</v>
      </c>
      <c r="AR5300">
        <v>-896</v>
      </c>
      <c r="AZ5300">
        <v>1200</v>
      </c>
      <c r="BA5300">
        <v>1</v>
      </c>
      <c r="BB5300" t="str">
        <f t="shared" si="2436"/>
        <v xml:space="preserve">N711JA  </v>
      </c>
      <c r="BC5300">
        <v>1</v>
      </c>
      <c r="BE5300">
        <v>0</v>
      </c>
      <c r="BF5300">
        <v>0</v>
      </c>
      <c r="BG5300">
        <v>0</v>
      </c>
      <c r="BH5300">
        <v>1750</v>
      </c>
      <c r="BI5300">
        <v>1</v>
      </c>
      <c r="BJ5300">
        <v>1</v>
      </c>
      <c r="BK5300">
        <v>0</v>
      </c>
      <c r="BL5300">
        <v>0</v>
      </c>
      <c r="BO5300">
        <v>0</v>
      </c>
      <c r="BP5300">
        <v>0</v>
      </c>
      <c r="BW5300" t="str">
        <f t="shared" si="2452"/>
        <v>14:51:01.875</v>
      </c>
      <c r="CJ5300">
        <v>0</v>
      </c>
      <c r="CK5300">
        <v>2</v>
      </c>
      <c r="CL5300">
        <v>0</v>
      </c>
      <c r="CM5300">
        <v>2</v>
      </c>
      <c r="CN5300">
        <v>0</v>
      </c>
      <c r="CO5300">
        <v>7</v>
      </c>
      <c r="CP5300" t="s">
        <v>119</v>
      </c>
      <c r="CQ5300">
        <v>358</v>
      </c>
      <c r="CR5300">
        <v>0</v>
      </c>
      <c r="CW5300">
        <v>5247564</v>
      </c>
      <c r="CY5300">
        <v>1</v>
      </c>
      <c r="CZ5300">
        <v>0</v>
      </c>
      <c r="DA5300">
        <v>1</v>
      </c>
      <c r="DB5300">
        <v>0</v>
      </c>
      <c r="DC5300">
        <v>0</v>
      </c>
      <c r="DD5300">
        <v>1</v>
      </c>
      <c r="DE5300">
        <v>0</v>
      </c>
      <c r="DF5300">
        <v>0</v>
      </c>
      <c r="DG5300">
        <v>0</v>
      </c>
      <c r="DH5300">
        <v>0</v>
      </c>
      <c r="DI5300">
        <v>0</v>
      </c>
    </row>
    <row r="5301" spans="1:113" x14ac:dyDescent="0.3">
      <c r="A5301" t="str">
        <f t="shared" si="2449"/>
        <v>05/12/2020 14:50:44.046</v>
      </c>
      <c r="C5301" t="str">
        <f t="shared" si="2435"/>
        <v>FFDFD3C0</v>
      </c>
      <c r="D5301" t="s">
        <v>131</v>
      </c>
      <c r="E5301">
        <v>12</v>
      </c>
      <c r="F5301">
        <v>2012</v>
      </c>
      <c r="G5301" t="s">
        <v>137</v>
      </c>
      <c r="J5301" t="s">
        <v>133</v>
      </c>
      <c r="K5301">
        <v>0</v>
      </c>
      <c r="L5301">
        <v>3</v>
      </c>
      <c r="M5301">
        <v>0</v>
      </c>
      <c r="N5301">
        <v>2</v>
      </c>
      <c r="O5301">
        <v>1</v>
      </c>
      <c r="P5301">
        <v>0</v>
      </c>
      <c r="Q5301">
        <v>0</v>
      </c>
      <c r="S5301" t="str">
        <f t="shared" si="2450"/>
        <v>14:51:01.875</v>
      </c>
      <c r="T5301" t="str">
        <f t="shared" si="2451"/>
        <v>14:51:01.675</v>
      </c>
      <c r="U5301" t="str">
        <f t="shared" si="2426"/>
        <v>A9808D</v>
      </c>
      <c r="V5301">
        <v>0</v>
      </c>
      <c r="W5301">
        <v>0</v>
      </c>
      <c r="X5301">
        <v>1</v>
      </c>
      <c r="Z5301">
        <v>0</v>
      </c>
      <c r="AA5301">
        <v>9</v>
      </c>
      <c r="AB5301">
        <v>3</v>
      </c>
      <c r="AC5301">
        <v>0</v>
      </c>
      <c r="AD5301">
        <v>10</v>
      </c>
      <c r="AE5301">
        <v>0</v>
      </c>
      <c r="AF5301">
        <v>3</v>
      </c>
      <c r="AG5301">
        <v>2</v>
      </c>
      <c r="AH5301">
        <v>0</v>
      </c>
      <c r="AI5301" t="s">
        <v>1171</v>
      </c>
      <c r="AJ5301">
        <v>28.226151000000002</v>
      </c>
      <c r="AK5301" t="s">
        <v>1172</v>
      </c>
      <c r="AL5301">
        <v>-82.385767000000001</v>
      </c>
      <c r="AM5301">
        <v>100</v>
      </c>
      <c r="AN5301">
        <v>1700</v>
      </c>
      <c r="AO5301" t="s">
        <v>118</v>
      </c>
      <c r="AP5301">
        <v>-95</v>
      </c>
      <c r="AQ5301">
        <v>-69</v>
      </c>
      <c r="AR5301">
        <v>-896</v>
      </c>
      <c r="AZ5301">
        <v>1200</v>
      </c>
      <c r="BA5301">
        <v>1</v>
      </c>
      <c r="BB5301" t="str">
        <f t="shared" si="2436"/>
        <v xml:space="preserve">N711JA  </v>
      </c>
      <c r="BC5301">
        <v>1</v>
      </c>
      <c r="BE5301">
        <v>0</v>
      </c>
      <c r="BF5301">
        <v>0</v>
      </c>
      <c r="BG5301">
        <v>0</v>
      </c>
      <c r="BH5301">
        <v>1750</v>
      </c>
      <c r="BI5301">
        <v>1</v>
      </c>
      <c r="BJ5301">
        <v>1</v>
      </c>
      <c r="BK5301">
        <v>0</v>
      </c>
      <c r="BL5301">
        <v>0</v>
      </c>
      <c r="BO5301">
        <v>0</v>
      </c>
      <c r="BP5301">
        <v>0</v>
      </c>
      <c r="BW5301" t="str">
        <f t="shared" si="2452"/>
        <v>14:51:01.875</v>
      </c>
      <c r="CJ5301">
        <v>0</v>
      </c>
      <c r="CK5301">
        <v>2</v>
      </c>
      <c r="CL5301">
        <v>0</v>
      </c>
      <c r="CM5301">
        <v>2</v>
      </c>
      <c r="CN5301">
        <v>0</v>
      </c>
      <c r="CO5301">
        <v>5</v>
      </c>
      <c r="CP5301" t="s">
        <v>119</v>
      </c>
      <c r="CQ5301">
        <v>56</v>
      </c>
      <c r="CR5301">
        <v>2</v>
      </c>
      <c r="CW5301">
        <v>5280414</v>
      </c>
      <c r="CY5301">
        <v>1</v>
      </c>
      <c r="CZ5301">
        <v>0</v>
      </c>
      <c r="DA5301">
        <v>1</v>
      </c>
      <c r="DB5301">
        <v>0</v>
      </c>
      <c r="DC5301">
        <v>0</v>
      </c>
      <c r="DD5301">
        <v>1</v>
      </c>
      <c r="DE5301">
        <v>0</v>
      </c>
      <c r="DF5301">
        <v>0</v>
      </c>
      <c r="DG5301">
        <v>0</v>
      </c>
      <c r="DH5301">
        <v>0</v>
      </c>
      <c r="DI5301">
        <v>0</v>
      </c>
    </row>
    <row r="5302" spans="1:113" x14ac:dyDescent="0.3">
      <c r="A5302" t="str">
        <f t="shared" si="2449"/>
        <v>05/12/2020 14:50:44.046</v>
      </c>
      <c r="C5302" t="str">
        <f t="shared" si="2435"/>
        <v>FFDFD3C0</v>
      </c>
      <c r="D5302" t="s">
        <v>113</v>
      </c>
      <c r="E5302">
        <v>3</v>
      </c>
      <c r="H5302">
        <v>164</v>
      </c>
      <c r="I5302" t="s">
        <v>114</v>
      </c>
      <c r="J5302" t="s">
        <v>115</v>
      </c>
      <c r="K5302">
        <v>0</v>
      </c>
      <c r="L5302">
        <v>3</v>
      </c>
      <c r="M5302">
        <v>0</v>
      </c>
      <c r="N5302">
        <v>2</v>
      </c>
      <c r="O5302">
        <v>1</v>
      </c>
      <c r="P5302">
        <v>0</v>
      </c>
      <c r="Q5302">
        <v>0</v>
      </c>
      <c r="S5302" t="str">
        <f t="shared" si="2450"/>
        <v>14:51:01.875</v>
      </c>
      <c r="T5302" t="str">
        <f t="shared" si="2451"/>
        <v>14:51:01.675</v>
      </c>
      <c r="U5302" t="str">
        <f t="shared" si="2426"/>
        <v>A9808D</v>
      </c>
      <c r="V5302">
        <v>0</v>
      </c>
      <c r="W5302">
        <v>0</v>
      </c>
      <c r="X5302">
        <v>1</v>
      </c>
      <c r="Z5302">
        <v>0</v>
      </c>
      <c r="AA5302">
        <v>9</v>
      </c>
      <c r="AB5302">
        <v>3</v>
      </c>
      <c r="AC5302">
        <v>0</v>
      </c>
      <c r="AD5302">
        <v>10</v>
      </c>
      <c r="AE5302">
        <v>0</v>
      </c>
      <c r="AF5302">
        <v>3</v>
      </c>
      <c r="AG5302">
        <v>2</v>
      </c>
      <c r="AH5302">
        <v>0</v>
      </c>
      <c r="AI5302" t="s">
        <v>1171</v>
      </c>
      <c r="AJ5302">
        <v>28.226151000000002</v>
      </c>
      <c r="AK5302" t="s">
        <v>1172</v>
      </c>
      <c r="AL5302">
        <v>-82.385767000000001</v>
      </c>
      <c r="AM5302">
        <v>100</v>
      </c>
      <c r="AN5302">
        <v>1700</v>
      </c>
      <c r="AO5302" t="s">
        <v>118</v>
      </c>
      <c r="AP5302">
        <v>-95</v>
      </c>
      <c r="AQ5302">
        <v>-69</v>
      </c>
      <c r="AR5302">
        <v>-896</v>
      </c>
      <c r="AZ5302">
        <v>1200</v>
      </c>
      <c r="BA5302">
        <v>1</v>
      </c>
      <c r="BB5302" t="str">
        <f t="shared" si="2436"/>
        <v xml:space="preserve">N711JA  </v>
      </c>
      <c r="BC5302">
        <v>1</v>
      </c>
      <c r="BE5302">
        <v>0</v>
      </c>
      <c r="BF5302">
        <v>0</v>
      </c>
      <c r="BG5302">
        <v>0</v>
      </c>
      <c r="BH5302">
        <v>1750</v>
      </c>
      <c r="BI5302">
        <v>1</v>
      </c>
      <c r="BJ5302">
        <v>1</v>
      </c>
      <c r="BK5302">
        <v>0</v>
      </c>
      <c r="BL5302">
        <v>0</v>
      </c>
      <c r="BO5302">
        <v>0</v>
      </c>
      <c r="BP5302">
        <v>0</v>
      </c>
      <c r="BW5302" t="str">
        <f t="shared" si="2452"/>
        <v>14:51:01.875</v>
      </c>
      <c r="CJ5302">
        <v>0</v>
      </c>
      <c r="CK5302">
        <v>2</v>
      </c>
      <c r="CL5302">
        <v>0</v>
      </c>
      <c r="CM5302">
        <v>2</v>
      </c>
      <c r="CN5302">
        <v>0</v>
      </c>
      <c r="CO5302">
        <v>5</v>
      </c>
      <c r="CP5302" t="s">
        <v>119</v>
      </c>
      <c r="CQ5302">
        <v>56</v>
      </c>
      <c r="CR5302">
        <v>2</v>
      </c>
      <c r="CW5302">
        <v>5280414</v>
      </c>
      <c r="CY5302">
        <v>1</v>
      </c>
      <c r="CZ5302">
        <v>0</v>
      </c>
      <c r="DA5302">
        <v>1</v>
      </c>
      <c r="DB5302">
        <v>0</v>
      </c>
      <c r="DC5302">
        <v>0</v>
      </c>
      <c r="DD5302">
        <v>1</v>
      </c>
      <c r="DE5302">
        <v>0</v>
      </c>
      <c r="DF5302">
        <v>0</v>
      </c>
      <c r="DG5302">
        <v>0</v>
      </c>
      <c r="DH5302">
        <v>0</v>
      </c>
      <c r="DI5302">
        <v>0</v>
      </c>
    </row>
    <row r="5303" spans="1:113" x14ac:dyDescent="0.3">
      <c r="A5303" t="str">
        <f t="shared" si="2449"/>
        <v>05/12/2020 14:50:44.046</v>
      </c>
      <c r="C5303" t="str">
        <f t="shared" si="2435"/>
        <v>FFDFD3C0</v>
      </c>
      <c r="D5303" t="s">
        <v>138</v>
      </c>
      <c r="E5303">
        <v>2</v>
      </c>
      <c r="H5303">
        <v>8</v>
      </c>
      <c r="I5303" t="s">
        <v>139</v>
      </c>
      <c r="J5303" t="s">
        <v>136</v>
      </c>
      <c r="K5303">
        <v>0</v>
      </c>
      <c r="L5303">
        <v>3</v>
      </c>
      <c r="M5303">
        <v>0</v>
      </c>
      <c r="N5303">
        <v>2</v>
      </c>
      <c r="O5303">
        <v>1</v>
      </c>
      <c r="P5303">
        <v>0</v>
      </c>
      <c r="Q5303">
        <v>0</v>
      </c>
      <c r="S5303" t="str">
        <f t="shared" si="2450"/>
        <v>14:51:01.875</v>
      </c>
      <c r="T5303" t="str">
        <f t="shared" si="2451"/>
        <v>14:51:01.675</v>
      </c>
      <c r="U5303" t="str">
        <f t="shared" si="2426"/>
        <v>A9808D</v>
      </c>
      <c r="V5303">
        <v>0</v>
      </c>
      <c r="W5303">
        <v>0</v>
      </c>
      <c r="X5303">
        <v>1</v>
      </c>
      <c r="Z5303">
        <v>0</v>
      </c>
      <c r="AA5303">
        <v>9</v>
      </c>
      <c r="AB5303">
        <v>3</v>
      </c>
      <c r="AC5303">
        <v>0</v>
      </c>
      <c r="AD5303">
        <v>10</v>
      </c>
      <c r="AE5303">
        <v>0</v>
      </c>
      <c r="AF5303">
        <v>3</v>
      </c>
      <c r="AG5303">
        <v>2</v>
      </c>
      <c r="AH5303">
        <v>0</v>
      </c>
      <c r="AI5303" t="s">
        <v>1171</v>
      </c>
      <c r="AJ5303">
        <v>28.226151000000002</v>
      </c>
      <c r="AK5303" t="s">
        <v>1172</v>
      </c>
      <c r="AL5303">
        <v>-82.385767000000001</v>
      </c>
      <c r="AM5303">
        <v>100</v>
      </c>
      <c r="AN5303">
        <v>1700</v>
      </c>
      <c r="AO5303" t="s">
        <v>118</v>
      </c>
      <c r="AP5303">
        <v>-95</v>
      </c>
      <c r="AQ5303">
        <v>-69</v>
      </c>
      <c r="AR5303">
        <v>-896</v>
      </c>
      <c r="AZ5303">
        <v>1200</v>
      </c>
      <c r="BA5303">
        <v>1</v>
      </c>
      <c r="BB5303" t="str">
        <f t="shared" si="2436"/>
        <v xml:space="preserve">N711JA  </v>
      </c>
      <c r="BC5303">
        <v>1</v>
      </c>
      <c r="BE5303">
        <v>0</v>
      </c>
      <c r="BF5303">
        <v>0</v>
      </c>
      <c r="BG5303">
        <v>0</v>
      </c>
      <c r="BH5303">
        <v>1750</v>
      </c>
      <c r="BI5303">
        <v>1</v>
      </c>
      <c r="BJ5303">
        <v>1</v>
      </c>
      <c r="BK5303">
        <v>0</v>
      </c>
      <c r="BL5303">
        <v>0</v>
      </c>
      <c r="BO5303">
        <v>0</v>
      </c>
      <c r="BP5303">
        <v>0</v>
      </c>
      <c r="BW5303" t="str">
        <f t="shared" si="2452"/>
        <v>14:51:01.875</v>
      </c>
      <c r="CJ5303">
        <v>0</v>
      </c>
      <c r="CK5303">
        <v>2</v>
      </c>
      <c r="CL5303">
        <v>0</v>
      </c>
      <c r="CM5303">
        <v>2</v>
      </c>
      <c r="CN5303">
        <v>0</v>
      </c>
      <c r="CO5303">
        <v>5</v>
      </c>
      <c r="CP5303" t="s">
        <v>119</v>
      </c>
      <c r="CQ5303">
        <v>56</v>
      </c>
      <c r="CR5303">
        <v>2</v>
      </c>
      <c r="CW5303">
        <v>5280414</v>
      </c>
      <c r="CY5303">
        <v>1</v>
      </c>
      <c r="CZ5303">
        <v>0</v>
      </c>
      <c r="DA5303">
        <v>1</v>
      </c>
      <c r="DB5303">
        <v>0</v>
      </c>
      <c r="DC5303">
        <v>0</v>
      </c>
      <c r="DD5303">
        <v>1</v>
      </c>
      <c r="DE5303">
        <v>0</v>
      </c>
      <c r="DF5303">
        <v>0</v>
      </c>
      <c r="DG5303">
        <v>0</v>
      </c>
      <c r="DH5303">
        <v>0</v>
      </c>
      <c r="DI5303">
        <v>0</v>
      </c>
    </row>
    <row r="5304" spans="1:113" x14ac:dyDescent="0.3">
      <c r="A5304" t="str">
        <f t="shared" si="2449"/>
        <v>05/12/2020 14:50:44.046</v>
      </c>
      <c r="C5304" t="str">
        <f t="shared" si="2435"/>
        <v>FFDFD3C0</v>
      </c>
      <c r="D5304" t="s">
        <v>138</v>
      </c>
      <c r="E5304">
        <v>3</v>
      </c>
      <c r="H5304">
        <v>9</v>
      </c>
      <c r="I5304" t="s">
        <v>140</v>
      </c>
      <c r="J5304" t="s">
        <v>136</v>
      </c>
      <c r="K5304">
        <v>0</v>
      </c>
      <c r="L5304">
        <v>3</v>
      </c>
      <c r="M5304">
        <v>0</v>
      </c>
      <c r="N5304">
        <v>2</v>
      </c>
      <c r="O5304">
        <v>1</v>
      </c>
      <c r="P5304">
        <v>0</v>
      </c>
      <c r="Q5304">
        <v>0</v>
      </c>
      <c r="S5304" t="str">
        <f t="shared" si="2450"/>
        <v>14:51:01.875</v>
      </c>
      <c r="T5304" t="str">
        <f t="shared" si="2451"/>
        <v>14:51:01.675</v>
      </c>
      <c r="U5304" t="str">
        <f t="shared" si="2426"/>
        <v>A9808D</v>
      </c>
      <c r="V5304">
        <v>0</v>
      </c>
      <c r="W5304">
        <v>0</v>
      </c>
      <c r="X5304">
        <v>1</v>
      </c>
      <c r="Z5304">
        <v>0</v>
      </c>
      <c r="AA5304">
        <v>9</v>
      </c>
      <c r="AB5304">
        <v>3</v>
      </c>
      <c r="AC5304">
        <v>0</v>
      </c>
      <c r="AD5304">
        <v>10</v>
      </c>
      <c r="AE5304">
        <v>0</v>
      </c>
      <c r="AF5304">
        <v>3</v>
      </c>
      <c r="AG5304">
        <v>2</v>
      </c>
      <c r="AH5304">
        <v>0</v>
      </c>
      <c r="AI5304" t="s">
        <v>1171</v>
      </c>
      <c r="AJ5304">
        <v>28.226151000000002</v>
      </c>
      <c r="AK5304" t="s">
        <v>1172</v>
      </c>
      <c r="AL5304">
        <v>-82.385767000000001</v>
      </c>
      <c r="AM5304">
        <v>100</v>
      </c>
      <c r="AN5304">
        <v>1700</v>
      </c>
      <c r="AO5304" t="s">
        <v>118</v>
      </c>
      <c r="AP5304">
        <v>-95</v>
      </c>
      <c r="AQ5304">
        <v>-69</v>
      </c>
      <c r="AR5304">
        <v>-896</v>
      </c>
      <c r="AZ5304">
        <v>1200</v>
      </c>
      <c r="BA5304">
        <v>1</v>
      </c>
      <c r="BB5304" t="str">
        <f t="shared" si="2436"/>
        <v xml:space="preserve">N711JA  </v>
      </c>
      <c r="BC5304">
        <v>1</v>
      </c>
      <c r="BE5304">
        <v>0</v>
      </c>
      <c r="BF5304">
        <v>0</v>
      </c>
      <c r="BG5304">
        <v>0</v>
      </c>
      <c r="BH5304">
        <v>1750</v>
      </c>
      <c r="BI5304">
        <v>1</v>
      </c>
      <c r="BJ5304">
        <v>1</v>
      </c>
      <c r="BK5304">
        <v>0</v>
      </c>
      <c r="BL5304">
        <v>0</v>
      </c>
      <c r="BO5304">
        <v>0</v>
      </c>
      <c r="BP5304">
        <v>0</v>
      </c>
      <c r="BW5304" t="str">
        <f t="shared" si="2452"/>
        <v>14:51:01.875</v>
      </c>
      <c r="CJ5304">
        <v>0</v>
      </c>
      <c r="CK5304">
        <v>2</v>
      </c>
      <c r="CL5304">
        <v>0</v>
      </c>
      <c r="CM5304">
        <v>2</v>
      </c>
      <c r="CN5304">
        <v>0</v>
      </c>
      <c r="CO5304">
        <v>7</v>
      </c>
      <c r="CP5304" t="s">
        <v>119</v>
      </c>
      <c r="CQ5304">
        <v>358</v>
      </c>
      <c r="CR5304">
        <v>0</v>
      </c>
      <c r="CW5304">
        <v>5247564</v>
      </c>
      <c r="CY5304">
        <v>1</v>
      </c>
      <c r="CZ5304">
        <v>0</v>
      </c>
      <c r="DA5304">
        <v>1</v>
      </c>
      <c r="DB5304">
        <v>0</v>
      </c>
      <c r="DC5304">
        <v>0</v>
      </c>
      <c r="DD5304">
        <v>1</v>
      </c>
      <c r="DE5304">
        <v>0</v>
      </c>
      <c r="DF5304">
        <v>0</v>
      </c>
      <c r="DG5304">
        <v>0</v>
      </c>
      <c r="DH5304">
        <v>0</v>
      </c>
      <c r="DI5304">
        <v>0</v>
      </c>
    </row>
    <row r="5305" spans="1:113" x14ac:dyDescent="0.3">
      <c r="A5305" t="str">
        <f t="shared" ref="A5305:A5312" si="2453">"05/12/2020 14:50:45.044"</f>
        <v>05/12/2020 14:50:45.044</v>
      </c>
      <c r="C5305" t="str">
        <f t="shared" si="2435"/>
        <v>FFDFD3C0</v>
      </c>
      <c r="D5305" t="s">
        <v>138</v>
      </c>
      <c r="E5305">
        <v>3</v>
      </c>
      <c r="H5305">
        <v>9</v>
      </c>
      <c r="I5305" t="s">
        <v>140</v>
      </c>
      <c r="J5305" t="s">
        <v>136</v>
      </c>
      <c r="K5305">
        <v>0</v>
      </c>
      <c r="L5305">
        <v>3</v>
      </c>
      <c r="M5305">
        <v>0</v>
      </c>
      <c r="N5305">
        <v>2</v>
      </c>
      <c r="O5305">
        <v>1</v>
      </c>
      <c r="P5305">
        <v>0</v>
      </c>
      <c r="Q5305">
        <v>0</v>
      </c>
      <c r="S5305" t="str">
        <f t="shared" ref="S5305:T5312" si="2454">"14:51:02.875"</f>
        <v>14:51:02.875</v>
      </c>
      <c r="T5305" t="str">
        <f t="shared" si="2454"/>
        <v>14:51:02.875</v>
      </c>
      <c r="U5305" t="str">
        <f t="shared" si="2426"/>
        <v>A9808D</v>
      </c>
      <c r="V5305">
        <v>0</v>
      </c>
      <c r="W5305">
        <v>0</v>
      </c>
      <c r="X5305">
        <v>1</v>
      </c>
      <c r="Z5305">
        <v>0</v>
      </c>
      <c r="AA5305">
        <v>9</v>
      </c>
      <c r="AB5305">
        <v>3</v>
      </c>
      <c r="AC5305">
        <v>0</v>
      </c>
      <c r="AD5305">
        <v>10</v>
      </c>
      <c r="AE5305">
        <v>0</v>
      </c>
      <c r="AF5305">
        <v>3</v>
      </c>
      <c r="AG5305">
        <v>2</v>
      </c>
      <c r="AH5305">
        <v>0</v>
      </c>
      <c r="AI5305" t="s">
        <v>1173</v>
      </c>
      <c r="AJ5305">
        <v>28.225829999999998</v>
      </c>
      <c r="AK5305" t="s">
        <v>1174</v>
      </c>
      <c r="AL5305">
        <v>-82.386259999999993</v>
      </c>
      <c r="AM5305">
        <v>100</v>
      </c>
      <c r="AN5305">
        <v>1600</v>
      </c>
      <c r="AO5305" t="s">
        <v>118</v>
      </c>
      <c r="AP5305">
        <v>-93</v>
      </c>
      <c r="AQ5305">
        <v>-72</v>
      </c>
      <c r="AR5305">
        <v>-960</v>
      </c>
      <c r="AZ5305">
        <v>1200</v>
      </c>
      <c r="BA5305">
        <v>1</v>
      </c>
      <c r="BB5305" t="str">
        <f t="shared" si="2436"/>
        <v xml:space="preserve">N711JA  </v>
      </c>
      <c r="BC5305">
        <v>1</v>
      </c>
      <c r="BE5305">
        <v>0</v>
      </c>
      <c r="BF5305">
        <v>0</v>
      </c>
      <c r="BG5305">
        <v>0</v>
      </c>
      <c r="BH5305">
        <v>1725</v>
      </c>
      <c r="BI5305">
        <v>1</v>
      </c>
      <c r="BJ5305">
        <v>1</v>
      </c>
      <c r="BK5305">
        <v>0</v>
      </c>
      <c r="BL5305">
        <v>0</v>
      </c>
      <c r="BO5305">
        <v>0</v>
      </c>
      <c r="BP5305">
        <v>0</v>
      </c>
      <c r="BW5305" t="str">
        <f t="shared" ref="BW5305:BW5312" si="2455">"14:51:02.879"</f>
        <v>14:51:02.879</v>
      </c>
      <c r="CJ5305">
        <v>0</v>
      </c>
      <c r="CK5305">
        <v>2</v>
      </c>
      <c r="CL5305">
        <v>0</v>
      </c>
      <c r="CM5305">
        <v>2</v>
      </c>
      <c r="CN5305">
        <v>0</v>
      </c>
      <c r="CO5305">
        <v>7</v>
      </c>
      <c r="CP5305" t="s">
        <v>119</v>
      </c>
      <c r="CQ5305">
        <v>358</v>
      </c>
      <c r="CR5305">
        <v>0</v>
      </c>
      <c r="CW5305">
        <v>5248768</v>
      </c>
      <c r="CY5305">
        <v>1</v>
      </c>
      <c r="CZ5305">
        <v>0</v>
      </c>
      <c r="DA5305">
        <v>0</v>
      </c>
      <c r="DB5305">
        <v>0</v>
      </c>
      <c r="DC5305">
        <v>0</v>
      </c>
      <c r="DD5305">
        <v>1</v>
      </c>
      <c r="DE5305">
        <v>0</v>
      </c>
      <c r="DF5305">
        <v>0</v>
      </c>
      <c r="DG5305">
        <v>0</v>
      </c>
      <c r="DH5305">
        <v>0</v>
      </c>
      <c r="DI5305">
        <v>0</v>
      </c>
    </row>
    <row r="5306" spans="1:113" x14ac:dyDescent="0.3">
      <c r="A5306" t="str">
        <f t="shared" si="2453"/>
        <v>05/12/2020 14:50:45.044</v>
      </c>
      <c r="C5306" t="str">
        <f t="shared" si="2435"/>
        <v>FFDFD3C0</v>
      </c>
      <c r="D5306" t="s">
        <v>126</v>
      </c>
      <c r="E5306">
        <v>6</v>
      </c>
      <c r="F5306">
        <v>1006</v>
      </c>
      <c r="G5306" t="s">
        <v>114</v>
      </c>
      <c r="J5306" t="s">
        <v>128</v>
      </c>
      <c r="K5306">
        <v>0</v>
      </c>
      <c r="L5306">
        <v>3</v>
      </c>
      <c r="M5306">
        <v>0</v>
      </c>
      <c r="N5306">
        <v>2</v>
      </c>
      <c r="O5306">
        <v>1</v>
      </c>
      <c r="P5306">
        <v>0</v>
      </c>
      <c r="Q5306">
        <v>0</v>
      </c>
      <c r="S5306" t="str">
        <f t="shared" si="2454"/>
        <v>14:51:02.875</v>
      </c>
      <c r="T5306" t="str">
        <f t="shared" si="2454"/>
        <v>14:51:02.875</v>
      </c>
      <c r="U5306" t="str">
        <f t="shared" si="2426"/>
        <v>A9808D</v>
      </c>
      <c r="V5306">
        <v>0</v>
      </c>
      <c r="W5306">
        <v>0</v>
      </c>
      <c r="X5306">
        <v>1</v>
      </c>
      <c r="Z5306">
        <v>0</v>
      </c>
      <c r="AA5306">
        <v>9</v>
      </c>
      <c r="AB5306">
        <v>3</v>
      </c>
      <c r="AC5306">
        <v>0</v>
      </c>
      <c r="AD5306">
        <v>10</v>
      </c>
      <c r="AE5306">
        <v>0</v>
      </c>
      <c r="AF5306">
        <v>3</v>
      </c>
      <c r="AG5306">
        <v>2</v>
      </c>
      <c r="AH5306">
        <v>0</v>
      </c>
      <c r="AI5306" t="s">
        <v>1173</v>
      </c>
      <c r="AJ5306">
        <v>28.225829999999998</v>
      </c>
      <c r="AK5306" t="s">
        <v>1174</v>
      </c>
      <c r="AL5306">
        <v>-82.386259999999993</v>
      </c>
      <c r="AM5306">
        <v>100</v>
      </c>
      <c r="AN5306">
        <v>1600</v>
      </c>
      <c r="AO5306" t="s">
        <v>118</v>
      </c>
      <c r="AP5306">
        <v>-93</v>
      </c>
      <c r="AQ5306">
        <v>-72</v>
      </c>
      <c r="AR5306">
        <v>-960</v>
      </c>
      <c r="AZ5306">
        <v>1200</v>
      </c>
      <c r="BA5306">
        <v>1</v>
      </c>
      <c r="BB5306" t="str">
        <f t="shared" si="2436"/>
        <v xml:space="preserve">N711JA  </v>
      </c>
      <c r="BC5306">
        <v>1</v>
      </c>
      <c r="BE5306">
        <v>0</v>
      </c>
      <c r="BF5306">
        <v>0</v>
      </c>
      <c r="BG5306">
        <v>0</v>
      </c>
      <c r="BH5306">
        <v>1725</v>
      </c>
      <c r="BI5306">
        <v>1</v>
      </c>
      <c r="BJ5306">
        <v>1</v>
      </c>
      <c r="BK5306">
        <v>0</v>
      </c>
      <c r="BL5306">
        <v>0</v>
      </c>
      <c r="BO5306">
        <v>0</v>
      </c>
      <c r="BP5306">
        <v>0</v>
      </c>
      <c r="BW5306" t="str">
        <f t="shared" si="2455"/>
        <v>14:51:02.879</v>
      </c>
      <c r="CJ5306">
        <v>0</v>
      </c>
      <c r="CK5306">
        <v>2</v>
      </c>
      <c r="CL5306">
        <v>0</v>
      </c>
      <c r="CM5306">
        <v>2</v>
      </c>
      <c r="CN5306">
        <v>0</v>
      </c>
      <c r="CO5306">
        <v>7</v>
      </c>
      <c r="CP5306" t="s">
        <v>119</v>
      </c>
      <c r="CQ5306">
        <v>358</v>
      </c>
      <c r="CR5306">
        <v>0</v>
      </c>
      <c r="CW5306">
        <v>5248768</v>
      </c>
      <c r="CY5306">
        <v>1</v>
      </c>
      <c r="CZ5306">
        <v>0</v>
      </c>
      <c r="DA5306">
        <v>1</v>
      </c>
      <c r="DB5306">
        <v>0</v>
      </c>
      <c r="DC5306">
        <v>0</v>
      </c>
      <c r="DD5306">
        <v>1</v>
      </c>
      <c r="DE5306">
        <v>0</v>
      </c>
      <c r="DF5306">
        <v>0</v>
      </c>
      <c r="DG5306">
        <v>0</v>
      </c>
      <c r="DH5306">
        <v>0</v>
      </c>
      <c r="DI5306">
        <v>0</v>
      </c>
    </row>
    <row r="5307" spans="1:113" x14ac:dyDescent="0.3">
      <c r="A5307" t="str">
        <f t="shared" si="2453"/>
        <v>05/12/2020 14:50:45.044</v>
      </c>
      <c r="C5307" t="str">
        <f t="shared" si="2435"/>
        <v>FFDFD3C0</v>
      </c>
      <c r="D5307" t="s">
        <v>134</v>
      </c>
      <c r="E5307">
        <v>12</v>
      </c>
      <c r="H5307">
        <v>64</v>
      </c>
      <c r="I5307" t="s">
        <v>135</v>
      </c>
      <c r="J5307" t="s">
        <v>136</v>
      </c>
      <c r="K5307">
        <v>0</v>
      </c>
      <c r="L5307">
        <v>3</v>
      </c>
      <c r="M5307">
        <v>0</v>
      </c>
      <c r="N5307">
        <v>2</v>
      </c>
      <c r="O5307">
        <v>1</v>
      </c>
      <c r="P5307">
        <v>0</v>
      </c>
      <c r="Q5307">
        <v>0</v>
      </c>
      <c r="S5307" t="str">
        <f t="shared" si="2454"/>
        <v>14:51:02.875</v>
      </c>
      <c r="T5307" t="str">
        <f t="shared" si="2454"/>
        <v>14:51:02.875</v>
      </c>
      <c r="U5307" t="str">
        <f t="shared" si="2426"/>
        <v>A9808D</v>
      </c>
      <c r="V5307">
        <v>0</v>
      </c>
      <c r="W5307">
        <v>0</v>
      </c>
      <c r="X5307">
        <v>1</v>
      </c>
      <c r="Z5307">
        <v>0</v>
      </c>
      <c r="AA5307">
        <v>9</v>
      </c>
      <c r="AB5307">
        <v>3</v>
      </c>
      <c r="AC5307">
        <v>0</v>
      </c>
      <c r="AD5307">
        <v>10</v>
      </c>
      <c r="AE5307">
        <v>0</v>
      </c>
      <c r="AF5307">
        <v>3</v>
      </c>
      <c r="AG5307">
        <v>2</v>
      </c>
      <c r="AH5307">
        <v>0</v>
      </c>
      <c r="AI5307" t="s">
        <v>1173</v>
      </c>
      <c r="AJ5307">
        <v>28.225829999999998</v>
      </c>
      <c r="AK5307" t="s">
        <v>1174</v>
      </c>
      <c r="AL5307">
        <v>-82.386259999999993</v>
      </c>
      <c r="AM5307">
        <v>100</v>
      </c>
      <c r="AN5307">
        <v>1600</v>
      </c>
      <c r="AO5307" t="s">
        <v>118</v>
      </c>
      <c r="AP5307">
        <v>-93</v>
      </c>
      <c r="AQ5307">
        <v>-72</v>
      </c>
      <c r="AR5307">
        <v>-960</v>
      </c>
      <c r="AZ5307">
        <v>1200</v>
      </c>
      <c r="BA5307">
        <v>1</v>
      </c>
      <c r="BB5307" t="str">
        <f t="shared" si="2436"/>
        <v xml:space="preserve">N711JA  </v>
      </c>
      <c r="BC5307">
        <v>1</v>
      </c>
      <c r="BE5307">
        <v>0</v>
      </c>
      <c r="BF5307">
        <v>0</v>
      </c>
      <c r="BG5307">
        <v>0</v>
      </c>
      <c r="BH5307">
        <v>1725</v>
      </c>
      <c r="BI5307">
        <v>1</v>
      </c>
      <c r="BJ5307">
        <v>1</v>
      </c>
      <c r="BK5307">
        <v>0</v>
      </c>
      <c r="BL5307">
        <v>0</v>
      </c>
      <c r="BO5307">
        <v>0</v>
      </c>
      <c r="BP5307">
        <v>0</v>
      </c>
      <c r="BW5307" t="str">
        <f t="shared" si="2455"/>
        <v>14:51:02.879</v>
      </c>
      <c r="CJ5307">
        <v>0</v>
      </c>
      <c r="CK5307">
        <v>2</v>
      </c>
      <c r="CL5307">
        <v>0</v>
      </c>
      <c r="CM5307">
        <v>2</v>
      </c>
      <c r="CN5307">
        <v>0</v>
      </c>
      <c r="CO5307">
        <v>7</v>
      </c>
      <c r="CP5307" t="s">
        <v>119</v>
      </c>
      <c r="CQ5307">
        <v>358</v>
      </c>
      <c r="CR5307">
        <v>0</v>
      </c>
      <c r="CW5307">
        <v>5248768</v>
      </c>
      <c r="CY5307">
        <v>1</v>
      </c>
      <c r="CZ5307">
        <v>0</v>
      </c>
      <c r="DA5307">
        <v>1</v>
      </c>
      <c r="DB5307">
        <v>0</v>
      </c>
      <c r="DC5307">
        <v>0</v>
      </c>
      <c r="DD5307">
        <v>1</v>
      </c>
      <c r="DE5307">
        <v>0</v>
      </c>
      <c r="DF5307">
        <v>0</v>
      </c>
      <c r="DG5307">
        <v>0</v>
      </c>
      <c r="DH5307">
        <v>0</v>
      </c>
      <c r="DI5307">
        <v>0</v>
      </c>
    </row>
    <row r="5308" spans="1:113" x14ac:dyDescent="0.3">
      <c r="A5308" t="str">
        <f t="shared" si="2453"/>
        <v>05/12/2020 14:50:45.044</v>
      </c>
      <c r="C5308" t="str">
        <f t="shared" si="2435"/>
        <v>FFDFD3C0</v>
      </c>
      <c r="D5308" t="s">
        <v>126</v>
      </c>
      <c r="E5308">
        <v>7</v>
      </c>
      <c r="F5308">
        <v>1007</v>
      </c>
      <c r="G5308" t="s">
        <v>127</v>
      </c>
      <c r="J5308" t="s">
        <v>128</v>
      </c>
      <c r="K5308">
        <v>0</v>
      </c>
      <c r="L5308">
        <v>3</v>
      </c>
      <c r="M5308">
        <v>0</v>
      </c>
      <c r="N5308">
        <v>2</v>
      </c>
      <c r="O5308">
        <v>1</v>
      </c>
      <c r="P5308">
        <v>0</v>
      </c>
      <c r="Q5308">
        <v>0</v>
      </c>
      <c r="S5308" t="str">
        <f t="shared" si="2454"/>
        <v>14:51:02.875</v>
      </c>
      <c r="T5308" t="str">
        <f t="shared" si="2454"/>
        <v>14:51:02.875</v>
      </c>
      <c r="U5308" t="str">
        <f t="shared" si="2426"/>
        <v>A9808D</v>
      </c>
      <c r="V5308">
        <v>0</v>
      </c>
      <c r="W5308">
        <v>0</v>
      </c>
      <c r="X5308">
        <v>1</v>
      </c>
      <c r="Z5308">
        <v>0</v>
      </c>
      <c r="AA5308">
        <v>9</v>
      </c>
      <c r="AB5308">
        <v>3</v>
      </c>
      <c r="AC5308">
        <v>0</v>
      </c>
      <c r="AD5308">
        <v>10</v>
      </c>
      <c r="AE5308">
        <v>0</v>
      </c>
      <c r="AF5308">
        <v>3</v>
      </c>
      <c r="AG5308">
        <v>2</v>
      </c>
      <c r="AH5308">
        <v>0</v>
      </c>
      <c r="AI5308" t="s">
        <v>1173</v>
      </c>
      <c r="AJ5308">
        <v>28.225829999999998</v>
      </c>
      <c r="AK5308" t="s">
        <v>1174</v>
      </c>
      <c r="AL5308">
        <v>-82.386259999999993</v>
      </c>
      <c r="AM5308">
        <v>100</v>
      </c>
      <c r="AN5308">
        <v>1600</v>
      </c>
      <c r="AO5308" t="s">
        <v>118</v>
      </c>
      <c r="AP5308">
        <v>-93</v>
      </c>
      <c r="AQ5308">
        <v>-72</v>
      </c>
      <c r="AR5308">
        <v>-960</v>
      </c>
      <c r="AZ5308">
        <v>1200</v>
      </c>
      <c r="BA5308">
        <v>1</v>
      </c>
      <c r="BB5308" t="str">
        <f t="shared" si="2436"/>
        <v xml:space="preserve">N711JA  </v>
      </c>
      <c r="BC5308">
        <v>1</v>
      </c>
      <c r="BE5308">
        <v>0</v>
      </c>
      <c r="BF5308">
        <v>0</v>
      </c>
      <c r="BG5308">
        <v>0</v>
      </c>
      <c r="BH5308">
        <v>1725</v>
      </c>
      <c r="BI5308">
        <v>1</v>
      </c>
      <c r="BJ5308">
        <v>1</v>
      </c>
      <c r="BK5308">
        <v>0</v>
      </c>
      <c r="BL5308">
        <v>0</v>
      </c>
      <c r="BO5308">
        <v>0</v>
      </c>
      <c r="BP5308">
        <v>0</v>
      </c>
      <c r="BW5308" t="str">
        <f t="shared" si="2455"/>
        <v>14:51:02.879</v>
      </c>
      <c r="CJ5308">
        <v>0</v>
      </c>
      <c r="CK5308">
        <v>2</v>
      </c>
      <c r="CL5308">
        <v>0</v>
      </c>
      <c r="CM5308">
        <v>2</v>
      </c>
      <c r="CN5308">
        <v>0</v>
      </c>
      <c r="CO5308">
        <v>7</v>
      </c>
      <c r="CP5308" t="s">
        <v>119</v>
      </c>
      <c r="CQ5308">
        <v>358</v>
      </c>
      <c r="CR5308">
        <v>0</v>
      </c>
      <c r="CW5308">
        <v>5248768</v>
      </c>
      <c r="CY5308">
        <v>1</v>
      </c>
      <c r="CZ5308">
        <v>0</v>
      </c>
      <c r="DA5308">
        <v>1</v>
      </c>
      <c r="DB5308">
        <v>0</v>
      </c>
      <c r="DC5308">
        <v>0</v>
      </c>
      <c r="DD5308">
        <v>1</v>
      </c>
      <c r="DE5308">
        <v>0</v>
      </c>
      <c r="DF5308">
        <v>0</v>
      </c>
      <c r="DG5308">
        <v>0</v>
      </c>
      <c r="DH5308">
        <v>0</v>
      </c>
      <c r="DI5308">
        <v>0</v>
      </c>
    </row>
    <row r="5309" spans="1:113" x14ac:dyDescent="0.3">
      <c r="A5309" t="str">
        <f t="shared" si="2453"/>
        <v>05/12/2020 14:50:45.044</v>
      </c>
      <c r="C5309" t="str">
        <f t="shared" si="2435"/>
        <v>FFDFD3C0</v>
      </c>
      <c r="D5309" t="s">
        <v>131</v>
      </c>
      <c r="E5309">
        <v>10</v>
      </c>
      <c r="F5309">
        <v>2010</v>
      </c>
      <c r="G5309" t="s">
        <v>132</v>
      </c>
      <c r="J5309" t="s">
        <v>133</v>
      </c>
      <c r="K5309">
        <v>0</v>
      </c>
      <c r="L5309">
        <v>3</v>
      </c>
      <c r="M5309">
        <v>0</v>
      </c>
      <c r="N5309">
        <v>2</v>
      </c>
      <c r="O5309">
        <v>1</v>
      </c>
      <c r="P5309">
        <v>0</v>
      </c>
      <c r="Q5309">
        <v>0</v>
      </c>
      <c r="S5309" t="str">
        <f t="shared" si="2454"/>
        <v>14:51:02.875</v>
      </c>
      <c r="T5309" t="str">
        <f t="shared" si="2454"/>
        <v>14:51:02.875</v>
      </c>
      <c r="U5309" t="str">
        <f t="shared" si="2426"/>
        <v>A9808D</v>
      </c>
      <c r="V5309">
        <v>0</v>
      </c>
      <c r="W5309">
        <v>0</v>
      </c>
      <c r="X5309">
        <v>1</v>
      </c>
      <c r="Z5309">
        <v>0</v>
      </c>
      <c r="AA5309">
        <v>9</v>
      </c>
      <c r="AB5309">
        <v>3</v>
      </c>
      <c r="AC5309">
        <v>0</v>
      </c>
      <c r="AD5309">
        <v>10</v>
      </c>
      <c r="AE5309">
        <v>0</v>
      </c>
      <c r="AF5309">
        <v>3</v>
      </c>
      <c r="AG5309">
        <v>2</v>
      </c>
      <c r="AH5309">
        <v>0</v>
      </c>
      <c r="AI5309" t="s">
        <v>1173</v>
      </c>
      <c r="AJ5309">
        <v>28.225829999999998</v>
      </c>
      <c r="AK5309" t="s">
        <v>1174</v>
      </c>
      <c r="AL5309">
        <v>-82.386259999999993</v>
      </c>
      <c r="AM5309">
        <v>100</v>
      </c>
      <c r="AN5309">
        <v>1600</v>
      </c>
      <c r="AO5309" t="s">
        <v>118</v>
      </c>
      <c r="AP5309">
        <v>-93</v>
      </c>
      <c r="AQ5309">
        <v>-72</v>
      </c>
      <c r="AR5309">
        <v>-960</v>
      </c>
      <c r="AZ5309">
        <v>1200</v>
      </c>
      <c r="BA5309">
        <v>1</v>
      </c>
      <c r="BB5309" t="str">
        <f t="shared" si="2436"/>
        <v xml:space="preserve">N711JA  </v>
      </c>
      <c r="BC5309">
        <v>1</v>
      </c>
      <c r="BE5309">
        <v>0</v>
      </c>
      <c r="BF5309">
        <v>0</v>
      </c>
      <c r="BG5309">
        <v>0</v>
      </c>
      <c r="BH5309">
        <v>1725</v>
      </c>
      <c r="BI5309">
        <v>1</v>
      </c>
      <c r="BJ5309">
        <v>1</v>
      </c>
      <c r="BK5309">
        <v>0</v>
      </c>
      <c r="BL5309">
        <v>0</v>
      </c>
      <c r="BO5309">
        <v>0</v>
      </c>
      <c r="BP5309">
        <v>0</v>
      </c>
      <c r="BW5309" t="str">
        <f t="shared" si="2455"/>
        <v>14:51:02.879</v>
      </c>
      <c r="CJ5309">
        <v>0</v>
      </c>
      <c r="CK5309">
        <v>2</v>
      </c>
      <c r="CL5309">
        <v>0</v>
      </c>
      <c r="CM5309">
        <v>2</v>
      </c>
      <c r="CN5309">
        <v>0</v>
      </c>
      <c r="CO5309">
        <v>7</v>
      </c>
      <c r="CP5309" t="s">
        <v>119</v>
      </c>
      <c r="CQ5309">
        <v>358</v>
      </c>
      <c r="CR5309">
        <v>0</v>
      </c>
      <c r="CW5309">
        <v>5248768</v>
      </c>
      <c r="CY5309">
        <v>1</v>
      </c>
      <c r="CZ5309">
        <v>0</v>
      </c>
      <c r="DA5309">
        <v>1</v>
      </c>
      <c r="DB5309">
        <v>0</v>
      </c>
      <c r="DC5309">
        <v>0</v>
      </c>
      <c r="DD5309">
        <v>1</v>
      </c>
      <c r="DE5309">
        <v>0</v>
      </c>
      <c r="DF5309">
        <v>0</v>
      </c>
      <c r="DG5309">
        <v>0</v>
      </c>
      <c r="DH5309">
        <v>0</v>
      </c>
      <c r="DI5309">
        <v>0</v>
      </c>
    </row>
    <row r="5310" spans="1:113" x14ac:dyDescent="0.3">
      <c r="A5310" t="str">
        <f t="shared" si="2453"/>
        <v>05/12/2020 14:50:45.044</v>
      </c>
      <c r="C5310" t="str">
        <f t="shared" si="2435"/>
        <v>FFDFD3C0</v>
      </c>
      <c r="D5310" t="s">
        <v>131</v>
      </c>
      <c r="E5310">
        <v>12</v>
      </c>
      <c r="F5310">
        <v>2012</v>
      </c>
      <c r="G5310" t="s">
        <v>137</v>
      </c>
      <c r="J5310" t="s">
        <v>133</v>
      </c>
      <c r="K5310">
        <v>0</v>
      </c>
      <c r="L5310">
        <v>3</v>
      </c>
      <c r="M5310">
        <v>0</v>
      </c>
      <c r="N5310">
        <v>2</v>
      </c>
      <c r="O5310">
        <v>1</v>
      </c>
      <c r="P5310">
        <v>0</v>
      </c>
      <c r="Q5310">
        <v>0</v>
      </c>
      <c r="S5310" t="str">
        <f t="shared" si="2454"/>
        <v>14:51:02.875</v>
      </c>
      <c r="T5310" t="str">
        <f t="shared" si="2454"/>
        <v>14:51:02.875</v>
      </c>
      <c r="U5310" t="str">
        <f t="shared" si="2426"/>
        <v>A9808D</v>
      </c>
      <c r="V5310">
        <v>0</v>
      </c>
      <c r="W5310">
        <v>0</v>
      </c>
      <c r="X5310">
        <v>1</v>
      </c>
      <c r="Z5310">
        <v>0</v>
      </c>
      <c r="AA5310">
        <v>9</v>
      </c>
      <c r="AB5310">
        <v>3</v>
      </c>
      <c r="AC5310">
        <v>0</v>
      </c>
      <c r="AD5310">
        <v>10</v>
      </c>
      <c r="AE5310">
        <v>0</v>
      </c>
      <c r="AF5310">
        <v>3</v>
      </c>
      <c r="AG5310">
        <v>2</v>
      </c>
      <c r="AH5310">
        <v>0</v>
      </c>
      <c r="AI5310" t="s">
        <v>1173</v>
      </c>
      <c r="AJ5310">
        <v>28.225829999999998</v>
      </c>
      <c r="AK5310" t="s">
        <v>1174</v>
      </c>
      <c r="AL5310">
        <v>-82.386259999999993</v>
      </c>
      <c r="AM5310">
        <v>100</v>
      </c>
      <c r="AN5310">
        <v>1600</v>
      </c>
      <c r="AO5310" t="s">
        <v>118</v>
      </c>
      <c r="AP5310">
        <v>-93</v>
      </c>
      <c r="AQ5310">
        <v>-72</v>
      </c>
      <c r="AR5310">
        <v>-960</v>
      </c>
      <c r="AZ5310">
        <v>1200</v>
      </c>
      <c r="BA5310">
        <v>1</v>
      </c>
      <c r="BB5310" t="str">
        <f t="shared" si="2436"/>
        <v xml:space="preserve">N711JA  </v>
      </c>
      <c r="BC5310">
        <v>1</v>
      </c>
      <c r="BE5310">
        <v>0</v>
      </c>
      <c r="BF5310">
        <v>0</v>
      </c>
      <c r="BG5310">
        <v>0</v>
      </c>
      <c r="BH5310">
        <v>1725</v>
      </c>
      <c r="BI5310">
        <v>1</v>
      </c>
      <c r="BJ5310">
        <v>1</v>
      </c>
      <c r="BK5310">
        <v>0</v>
      </c>
      <c r="BL5310">
        <v>0</v>
      </c>
      <c r="BO5310">
        <v>0</v>
      </c>
      <c r="BP5310">
        <v>0</v>
      </c>
      <c r="BW5310" t="str">
        <f t="shared" si="2455"/>
        <v>14:51:02.879</v>
      </c>
      <c r="CJ5310">
        <v>0</v>
      </c>
      <c r="CK5310">
        <v>2</v>
      </c>
      <c r="CL5310">
        <v>0</v>
      </c>
      <c r="CM5310">
        <v>2</v>
      </c>
      <c r="CN5310">
        <v>0</v>
      </c>
      <c r="CO5310">
        <v>7</v>
      </c>
      <c r="CP5310" t="s">
        <v>119</v>
      </c>
      <c r="CQ5310">
        <v>343</v>
      </c>
      <c r="CR5310">
        <v>1</v>
      </c>
      <c r="CW5310">
        <v>11136493</v>
      </c>
      <c r="CY5310">
        <v>1</v>
      </c>
      <c r="CZ5310">
        <v>0</v>
      </c>
      <c r="DA5310">
        <v>1</v>
      </c>
      <c r="DB5310">
        <v>0</v>
      </c>
      <c r="DC5310">
        <v>0</v>
      </c>
      <c r="DD5310">
        <v>1</v>
      </c>
      <c r="DE5310">
        <v>0</v>
      </c>
      <c r="DF5310">
        <v>0</v>
      </c>
      <c r="DG5310">
        <v>0</v>
      </c>
      <c r="DH5310">
        <v>0</v>
      </c>
      <c r="DI5310">
        <v>0</v>
      </c>
    </row>
    <row r="5311" spans="1:113" x14ac:dyDescent="0.3">
      <c r="A5311" t="str">
        <f t="shared" si="2453"/>
        <v>05/12/2020 14:50:45.044</v>
      </c>
      <c r="C5311" t="str">
        <f t="shared" si="2435"/>
        <v>FFDFD3C0</v>
      </c>
      <c r="D5311" t="s">
        <v>138</v>
      </c>
      <c r="E5311">
        <v>2</v>
      </c>
      <c r="H5311">
        <v>8</v>
      </c>
      <c r="I5311" t="s">
        <v>139</v>
      </c>
      <c r="J5311" t="s">
        <v>136</v>
      </c>
      <c r="K5311">
        <v>0</v>
      </c>
      <c r="L5311">
        <v>3</v>
      </c>
      <c r="M5311">
        <v>0</v>
      </c>
      <c r="N5311">
        <v>2</v>
      </c>
      <c r="O5311">
        <v>1</v>
      </c>
      <c r="P5311">
        <v>0</v>
      </c>
      <c r="Q5311">
        <v>0</v>
      </c>
      <c r="S5311" t="str">
        <f t="shared" si="2454"/>
        <v>14:51:02.875</v>
      </c>
      <c r="T5311" t="str">
        <f t="shared" si="2454"/>
        <v>14:51:02.875</v>
      </c>
      <c r="U5311" t="str">
        <f t="shared" si="2426"/>
        <v>A9808D</v>
      </c>
      <c r="V5311">
        <v>0</v>
      </c>
      <c r="W5311">
        <v>0</v>
      </c>
      <c r="X5311">
        <v>1</v>
      </c>
      <c r="Z5311">
        <v>0</v>
      </c>
      <c r="AA5311">
        <v>9</v>
      </c>
      <c r="AB5311">
        <v>3</v>
      </c>
      <c r="AC5311">
        <v>0</v>
      </c>
      <c r="AD5311">
        <v>10</v>
      </c>
      <c r="AE5311">
        <v>0</v>
      </c>
      <c r="AF5311">
        <v>3</v>
      </c>
      <c r="AG5311">
        <v>2</v>
      </c>
      <c r="AH5311">
        <v>0</v>
      </c>
      <c r="AI5311" t="s">
        <v>1173</v>
      </c>
      <c r="AJ5311">
        <v>28.225829999999998</v>
      </c>
      <c r="AK5311" t="s">
        <v>1174</v>
      </c>
      <c r="AL5311">
        <v>-82.386259999999993</v>
      </c>
      <c r="AM5311">
        <v>100</v>
      </c>
      <c r="AN5311">
        <v>1600</v>
      </c>
      <c r="AO5311" t="s">
        <v>118</v>
      </c>
      <c r="AP5311">
        <v>-93</v>
      </c>
      <c r="AQ5311">
        <v>-72</v>
      </c>
      <c r="AR5311">
        <v>-960</v>
      </c>
      <c r="AZ5311">
        <v>1200</v>
      </c>
      <c r="BA5311">
        <v>1</v>
      </c>
      <c r="BB5311" t="str">
        <f t="shared" si="2436"/>
        <v xml:space="preserve">N711JA  </v>
      </c>
      <c r="BC5311">
        <v>1</v>
      </c>
      <c r="BE5311">
        <v>0</v>
      </c>
      <c r="BF5311">
        <v>0</v>
      </c>
      <c r="BG5311">
        <v>0</v>
      </c>
      <c r="BH5311">
        <v>1725</v>
      </c>
      <c r="BI5311">
        <v>1</v>
      </c>
      <c r="BJ5311">
        <v>1</v>
      </c>
      <c r="BK5311">
        <v>0</v>
      </c>
      <c r="BL5311">
        <v>0</v>
      </c>
      <c r="BO5311">
        <v>0</v>
      </c>
      <c r="BP5311">
        <v>0</v>
      </c>
      <c r="BW5311" t="str">
        <f t="shared" si="2455"/>
        <v>14:51:02.879</v>
      </c>
      <c r="CJ5311">
        <v>0</v>
      </c>
      <c r="CK5311">
        <v>2</v>
      </c>
      <c r="CL5311">
        <v>0</v>
      </c>
      <c r="CM5311">
        <v>2</v>
      </c>
      <c r="CN5311">
        <v>0</v>
      </c>
      <c r="CO5311">
        <v>7</v>
      </c>
      <c r="CP5311" t="s">
        <v>119</v>
      </c>
      <c r="CQ5311">
        <v>343</v>
      </c>
      <c r="CR5311">
        <v>1</v>
      </c>
      <c r="CW5311">
        <v>11136493</v>
      </c>
      <c r="CY5311">
        <v>1</v>
      </c>
      <c r="CZ5311">
        <v>0</v>
      </c>
      <c r="DA5311">
        <v>1</v>
      </c>
      <c r="DB5311">
        <v>0</v>
      </c>
      <c r="DC5311">
        <v>0</v>
      </c>
      <c r="DD5311">
        <v>1</v>
      </c>
      <c r="DE5311">
        <v>0</v>
      </c>
      <c r="DF5311">
        <v>0</v>
      </c>
      <c r="DG5311">
        <v>0</v>
      </c>
      <c r="DH5311">
        <v>0</v>
      </c>
      <c r="DI5311">
        <v>0</v>
      </c>
    </row>
    <row r="5312" spans="1:113" x14ac:dyDescent="0.3">
      <c r="A5312" t="str">
        <f t="shared" si="2453"/>
        <v>05/12/2020 14:50:45.044</v>
      </c>
      <c r="C5312" t="str">
        <f t="shared" si="2435"/>
        <v>FFDFD3C0</v>
      </c>
      <c r="D5312" t="s">
        <v>113</v>
      </c>
      <c r="E5312">
        <v>3</v>
      </c>
      <c r="H5312">
        <v>164</v>
      </c>
      <c r="I5312" t="s">
        <v>114</v>
      </c>
      <c r="J5312" t="s">
        <v>115</v>
      </c>
      <c r="K5312">
        <v>0</v>
      </c>
      <c r="L5312">
        <v>3</v>
      </c>
      <c r="M5312">
        <v>0</v>
      </c>
      <c r="N5312">
        <v>2</v>
      </c>
      <c r="O5312">
        <v>1</v>
      </c>
      <c r="P5312">
        <v>0</v>
      </c>
      <c r="Q5312">
        <v>0</v>
      </c>
      <c r="S5312" t="str">
        <f t="shared" si="2454"/>
        <v>14:51:02.875</v>
      </c>
      <c r="T5312" t="str">
        <f t="shared" si="2454"/>
        <v>14:51:02.875</v>
      </c>
      <c r="U5312" t="str">
        <f t="shared" si="2426"/>
        <v>A9808D</v>
      </c>
      <c r="V5312">
        <v>0</v>
      </c>
      <c r="W5312">
        <v>0</v>
      </c>
      <c r="X5312">
        <v>1</v>
      </c>
      <c r="Z5312">
        <v>0</v>
      </c>
      <c r="AA5312">
        <v>9</v>
      </c>
      <c r="AB5312">
        <v>3</v>
      </c>
      <c r="AC5312">
        <v>0</v>
      </c>
      <c r="AD5312">
        <v>10</v>
      </c>
      <c r="AE5312">
        <v>0</v>
      </c>
      <c r="AF5312">
        <v>3</v>
      </c>
      <c r="AG5312">
        <v>2</v>
      </c>
      <c r="AH5312">
        <v>0</v>
      </c>
      <c r="AI5312" t="s">
        <v>1173</v>
      </c>
      <c r="AJ5312">
        <v>28.225829999999998</v>
      </c>
      <c r="AK5312" t="s">
        <v>1174</v>
      </c>
      <c r="AL5312">
        <v>-82.386259999999993</v>
      </c>
      <c r="AM5312">
        <v>100</v>
      </c>
      <c r="AN5312">
        <v>1600</v>
      </c>
      <c r="AO5312" t="s">
        <v>118</v>
      </c>
      <c r="AP5312">
        <v>-93</v>
      </c>
      <c r="AQ5312">
        <v>-72</v>
      </c>
      <c r="AR5312">
        <v>-960</v>
      </c>
      <c r="AZ5312">
        <v>1200</v>
      </c>
      <c r="BA5312">
        <v>1</v>
      </c>
      <c r="BB5312" t="str">
        <f t="shared" si="2436"/>
        <v xml:space="preserve">N711JA  </v>
      </c>
      <c r="BC5312">
        <v>1</v>
      </c>
      <c r="BE5312">
        <v>0</v>
      </c>
      <c r="BF5312">
        <v>0</v>
      </c>
      <c r="BG5312">
        <v>0</v>
      </c>
      <c r="BH5312">
        <v>1725</v>
      </c>
      <c r="BI5312">
        <v>1</v>
      </c>
      <c r="BJ5312">
        <v>1</v>
      </c>
      <c r="BK5312">
        <v>0</v>
      </c>
      <c r="BL5312">
        <v>0</v>
      </c>
      <c r="BO5312">
        <v>0</v>
      </c>
      <c r="BP5312">
        <v>0</v>
      </c>
      <c r="BW5312" t="str">
        <f t="shared" si="2455"/>
        <v>14:51:02.879</v>
      </c>
      <c r="CJ5312">
        <v>0</v>
      </c>
      <c r="CK5312">
        <v>2</v>
      </c>
      <c r="CL5312">
        <v>0</v>
      </c>
      <c r="CM5312">
        <v>2</v>
      </c>
      <c r="CN5312">
        <v>0</v>
      </c>
      <c r="CO5312">
        <v>7</v>
      </c>
      <c r="CP5312" t="s">
        <v>119</v>
      </c>
      <c r="CQ5312">
        <v>343</v>
      </c>
      <c r="CR5312">
        <v>1</v>
      </c>
      <c r="CW5312">
        <v>11136493</v>
      </c>
      <c r="CY5312">
        <v>1</v>
      </c>
      <c r="CZ5312">
        <v>0</v>
      </c>
      <c r="DA5312">
        <v>1</v>
      </c>
      <c r="DB5312">
        <v>0</v>
      </c>
      <c r="DC5312">
        <v>0</v>
      </c>
      <c r="DD5312">
        <v>1</v>
      </c>
      <c r="DE5312">
        <v>0</v>
      </c>
      <c r="DF5312">
        <v>0</v>
      </c>
      <c r="DG5312">
        <v>0</v>
      </c>
      <c r="DH5312">
        <v>0</v>
      </c>
      <c r="DI5312">
        <v>0</v>
      </c>
    </row>
    <row r="5313" spans="1:113" x14ac:dyDescent="0.3">
      <c r="A5313" t="str">
        <f t="shared" ref="A5313:A5320" si="2456">"05/12/2020 14:50:45.955"</f>
        <v>05/12/2020 14:50:45.955</v>
      </c>
      <c r="C5313" t="str">
        <f t="shared" si="2435"/>
        <v>FFDFD3C0</v>
      </c>
      <c r="D5313" t="s">
        <v>138</v>
      </c>
      <c r="E5313">
        <v>3</v>
      </c>
      <c r="H5313">
        <v>9</v>
      </c>
      <c r="I5313" t="s">
        <v>140</v>
      </c>
      <c r="J5313" t="s">
        <v>136</v>
      </c>
      <c r="K5313">
        <v>0</v>
      </c>
      <c r="L5313">
        <v>3</v>
      </c>
      <c r="M5313">
        <v>0</v>
      </c>
      <c r="N5313">
        <v>2</v>
      </c>
      <c r="O5313">
        <v>1</v>
      </c>
      <c r="P5313">
        <v>0</v>
      </c>
      <c r="Q5313">
        <v>0</v>
      </c>
      <c r="S5313" t="str">
        <f t="shared" ref="S5313:S5320" si="2457">"14:51:03.789"</f>
        <v>14:51:03.789</v>
      </c>
      <c r="T5313" t="str">
        <f t="shared" ref="T5313:T5320" si="2458">"14:51:03.289"</f>
        <v>14:51:03.289</v>
      </c>
      <c r="U5313" t="str">
        <f t="shared" si="2426"/>
        <v>A9808D</v>
      </c>
      <c r="V5313">
        <v>0</v>
      </c>
      <c r="W5313">
        <v>0</v>
      </c>
      <c r="X5313">
        <v>1</v>
      </c>
      <c r="Z5313">
        <v>0</v>
      </c>
      <c r="AA5313">
        <v>9</v>
      </c>
      <c r="AB5313">
        <v>3</v>
      </c>
      <c r="AC5313">
        <v>0</v>
      </c>
      <c r="AD5313">
        <v>10</v>
      </c>
      <c r="AE5313">
        <v>0</v>
      </c>
      <c r="AF5313">
        <v>3</v>
      </c>
      <c r="AG5313">
        <v>2</v>
      </c>
      <c r="AH5313">
        <v>0</v>
      </c>
      <c r="AI5313" t="s">
        <v>1175</v>
      </c>
      <c r="AJ5313">
        <v>28.225529000000002</v>
      </c>
      <c r="AK5313" t="s">
        <v>1176</v>
      </c>
      <c r="AL5313">
        <v>-82.386731999999995</v>
      </c>
      <c r="AM5313">
        <v>100</v>
      </c>
      <c r="AN5313">
        <v>1600</v>
      </c>
      <c r="AO5313" t="s">
        <v>118</v>
      </c>
      <c r="AP5313">
        <v>-93</v>
      </c>
      <c r="AQ5313">
        <v>-72</v>
      </c>
      <c r="AR5313">
        <v>-960</v>
      </c>
      <c r="AZ5313">
        <v>1200</v>
      </c>
      <c r="BA5313">
        <v>1</v>
      </c>
      <c r="BB5313" t="str">
        <f t="shared" si="2436"/>
        <v xml:space="preserve">N711JA  </v>
      </c>
      <c r="BC5313">
        <v>1</v>
      </c>
      <c r="BE5313">
        <v>0</v>
      </c>
      <c r="BF5313">
        <v>0</v>
      </c>
      <c r="BG5313">
        <v>0</v>
      </c>
      <c r="BH5313">
        <v>1725</v>
      </c>
      <c r="BI5313">
        <v>1</v>
      </c>
      <c r="BJ5313">
        <v>1</v>
      </c>
      <c r="BK5313">
        <v>0</v>
      </c>
      <c r="BL5313">
        <v>0</v>
      </c>
      <c r="BO5313">
        <v>0</v>
      </c>
      <c r="BP5313">
        <v>0</v>
      </c>
      <c r="BW5313" t="str">
        <f t="shared" ref="BW5313:BW5320" si="2459">"14:51:03.795"</f>
        <v>14:51:03.795</v>
      </c>
      <c r="CJ5313">
        <v>0</v>
      </c>
      <c r="CK5313">
        <v>2</v>
      </c>
      <c r="CL5313">
        <v>0</v>
      </c>
      <c r="CM5313">
        <v>2</v>
      </c>
      <c r="CN5313">
        <v>0</v>
      </c>
      <c r="CO5313">
        <v>7</v>
      </c>
      <c r="CP5313" t="s">
        <v>119</v>
      </c>
      <c r="CQ5313">
        <v>358</v>
      </c>
      <c r="CR5313">
        <v>0</v>
      </c>
      <c r="CW5313">
        <v>5249935</v>
      </c>
      <c r="CY5313">
        <v>1</v>
      </c>
      <c r="CZ5313">
        <v>0</v>
      </c>
      <c r="DA5313">
        <v>0</v>
      </c>
      <c r="DB5313">
        <v>0</v>
      </c>
      <c r="DC5313">
        <v>0</v>
      </c>
      <c r="DD5313">
        <v>1</v>
      </c>
      <c r="DE5313">
        <v>0</v>
      </c>
      <c r="DF5313">
        <v>0</v>
      </c>
      <c r="DG5313">
        <v>0</v>
      </c>
      <c r="DH5313">
        <v>0</v>
      </c>
      <c r="DI5313">
        <v>0</v>
      </c>
    </row>
    <row r="5314" spans="1:113" x14ac:dyDescent="0.3">
      <c r="A5314" t="str">
        <f t="shared" si="2456"/>
        <v>05/12/2020 14:50:45.955</v>
      </c>
      <c r="C5314" t="str">
        <f t="shared" si="2435"/>
        <v>FFDFD3C0</v>
      </c>
      <c r="D5314" t="s">
        <v>126</v>
      </c>
      <c r="E5314">
        <v>6</v>
      </c>
      <c r="F5314">
        <v>1006</v>
      </c>
      <c r="G5314" t="s">
        <v>114</v>
      </c>
      <c r="J5314" t="s">
        <v>128</v>
      </c>
      <c r="K5314">
        <v>0</v>
      </c>
      <c r="L5314">
        <v>3</v>
      </c>
      <c r="M5314">
        <v>0</v>
      </c>
      <c r="N5314">
        <v>2</v>
      </c>
      <c r="O5314">
        <v>1</v>
      </c>
      <c r="P5314">
        <v>0</v>
      </c>
      <c r="Q5314">
        <v>0</v>
      </c>
      <c r="S5314" t="str">
        <f t="shared" si="2457"/>
        <v>14:51:03.789</v>
      </c>
      <c r="T5314" t="str">
        <f t="shared" si="2458"/>
        <v>14:51:03.289</v>
      </c>
      <c r="U5314" t="str">
        <f t="shared" ref="U5314:U5377" si="2460">"A9808D"</f>
        <v>A9808D</v>
      </c>
      <c r="V5314">
        <v>0</v>
      </c>
      <c r="W5314">
        <v>0</v>
      </c>
      <c r="X5314">
        <v>1</v>
      </c>
      <c r="Z5314">
        <v>0</v>
      </c>
      <c r="AA5314">
        <v>9</v>
      </c>
      <c r="AB5314">
        <v>3</v>
      </c>
      <c r="AC5314">
        <v>0</v>
      </c>
      <c r="AD5314">
        <v>10</v>
      </c>
      <c r="AE5314">
        <v>0</v>
      </c>
      <c r="AF5314">
        <v>3</v>
      </c>
      <c r="AG5314">
        <v>2</v>
      </c>
      <c r="AH5314">
        <v>0</v>
      </c>
      <c r="AI5314" t="s">
        <v>1175</v>
      </c>
      <c r="AJ5314">
        <v>28.225529000000002</v>
      </c>
      <c r="AK5314" t="s">
        <v>1176</v>
      </c>
      <c r="AL5314">
        <v>-82.386731999999995</v>
      </c>
      <c r="AM5314">
        <v>100</v>
      </c>
      <c r="AN5314">
        <v>1600</v>
      </c>
      <c r="AO5314" t="s">
        <v>118</v>
      </c>
      <c r="AP5314">
        <v>-93</v>
      </c>
      <c r="AQ5314">
        <v>-72</v>
      </c>
      <c r="AR5314">
        <v>-960</v>
      </c>
      <c r="AZ5314">
        <v>1200</v>
      </c>
      <c r="BA5314">
        <v>1</v>
      </c>
      <c r="BB5314" t="str">
        <f t="shared" si="2436"/>
        <v xml:space="preserve">N711JA  </v>
      </c>
      <c r="BC5314">
        <v>1</v>
      </c>
      <c r="BE5314">
        <v>0</v>
      </c>
      <c r="BF5314">
        <v>0</v>
      </c>
      <c r="BG5314">
        <v>0</v>
      </c>
      <c r="BH5314">
        <v>1725</v>
      </c>
      <c r="BI5314">
        <v>1</v>
      </c>
      <c r="BJ5314">
        <v>1</v>
      </c>
      <c r="BK5314">
        <v>0</v>
      </c>
      <c r="BL5314">
        <v>0</v>
      </c>
      <c r="BO5314">
        <v>0</v>
      </c>
      <c r="BP5314">
        <v>0</v>
      </c>
      <c r="BW5314" t="str">
        <f t="shared" si="2459"/>
        <v>14:51:03.795</v>
      </c>
      <c r="CJ5314">
        <v>0</v>
      </c>
      <c r="CK5314">
        <v>2</v>
      </c>
      <c r="CL5314">
        <v>0</v>
      </c>
      <c r="CM5314">
        <v>2</v>
      </c>
      <c r="CN5314">
        <v>0</v>
      </c>
      <c r="CO5314">
        <v>7</v>
      </c>
      <c r="CP5314" t="s">
        <v>119</v>
      </c>
      <c r="CQ5314">
        <v>358</v>
      </c>
      <c r="CR5314">
        <v>0</v>
      </c>
      <c r="CW5314">
        <v>5249935</v>
      </c>
      <c r="CY5314">
        <v>1</v>
      </c>
      <c r="CZ5314">
        <v>0</v>
      </c>
      <c r="DA5314">
        <v>1</v>
      </c>
      <c r="DB5314">
        <v>0</v>
      </c>
      <c r="DC5314">
        <v>0</v>
      </c>
      <c r="DD5314">
        <v>1</v>
      </c>
      <c r="DE5314">
        <v>0</v>
      </c>
      <c r="DF5314">
        <v>0</v>
      </c>
      <c r="DG5314">
        <v>0</v>
      </c>
      <c r="DH5314">
        <v>0</v>
      </c>
      <c r="DI5314">
        <v>0</v>
      </c>
    </row>
    <row r="5315" spans="1:113" x14ac:dyDescent="0.3">
      <c r="A5315" t="str">
        <f t="shared" si="2456"/>
        <v>05/12/2020 14:50:45.955</v>
      </c>
      <c r="C5315" t="str">
        <f t="shared" si="2435"/>
        <v>FFDFD3C0</v>
      </c>
      <c r="D5315" t="s">
        <v>134</v>
      </c>
      <c r="E5315">
        <v>12</v>
      </c>
      <c r="H5315">
        <v>64</v>
      </c>
      <c r="I5315" t="s">
        <v>135</v>
      </c>
      <c r="J5315" t="s">
        <v>136</v>
      </c>
      <c r="K5315">
        <v>0</v>
      </c>
      <c r="L5315">
        <v>3</v>
      </c>
      <c r="M5315">
        <v>0</v>
      </c>
      <c r="N5315">
        <v>2</v>
      </c>
      <c r="O5315">
        <v>1</v>
      </c>
      <c r="P5315">
        <v>0</v>
      </c>
      <c r="Q5315">
        <v>0</v>
      </c>
      <c r="S5315" t="str">
        <f t="shared" si="2457"/>
        <v>14:51:03.789</v>
      </c>
      <c r="T5315" t="str">
        <f t="shared" si="2458"/>
        <v>14:51:03.289</v>
      </c>
      <c r="U5315" t="str">
        <f t="shared" si="2460"/>
        <v>A9808D</v>
      </c>
      <c r="V5315">
        <v>0</v>
      </c>
      <c r="W5315">
        <v>0</v>
      </c>
      <c r="X5315">
        <v>1</v>
      </c>
      <c r="Z5315">
        <v>0</v>
      </c>
      <c r="AA5315">
        <v>9</v>
      </c>
      <c r="AB5315">
        <v>3</v>
      </c>
      <c r="AC5315">
        <v>0</v>
      </c>
      <c r="AD5315">
        <v>10</v>
      </c>
      <c r="AE5315">
        <v>0</v>
      </c>
      <c r="AF5315">
        <v>3</v>
      </c>
      <c r="AG5315">
        <v>2</v>
      </c>
      <c r="AH5315">
        <v>0</v>
      </c>
      <c r="AI5315" t="s">
        <v>1175</v>
      </c>
      <c r="AJ5315">
        <v>28.225529000000002</v>
      </c>
      <c r="AK5315" t="s">
        <v>1176</v>
      </c>
      <c r="AL5315">
        <v>-82.386731999999995</v>
      </c>
      <c r="AM5315">
        <v>100</v>
      </c>
      <c r="AN5315">
        <v>1600</v>
      </c>
      <c r="AO5315" t="s">
        <v>118</v>
      </c>
      <c r="AP5315">
        <v>-93</v>
      </c>
      <c r="AQ5315">
        <v>-72</v>
      </c>
      <c r="AR5315">
        <v>-960</v>
      </c>
      <c r="AZ5315">
        <v>1200</v>
      </c>
      <c r="BA5315">
        <v>1</v>
      </c>
      <c r="BB5315" t="str">
        <f t="shared" si="2436"/>
        <v xml:space="preserve">N711JA  </v>
      </c>
      <c r="BC5315">
        <v>1</v>
      </c>
      <c r="BE5315">
        <v>0</v>
      </c>
      <c r="BF5315">
        <v>0</v>
      </c>
      <c r="BG5315">
        <v>0</v>
      </c>
      <c r="BH5315">
        <v>1725</v>
      </c>
      <c r="BI5315">
        <v>1</v>
      </c>
      <c r="BJ5315">
        <v>1</v>
      </c>
      <c r="BK5315">
        <v>0</v>
      </c>
      <c r="BL5315">
        <v>0</v>
      </c>
      <c r="BO5315">
        <v>0</v>
      </c>
      <c r="BP5315">
        <v>0</v>
      </c>
      <c r="BW5315" t="str">
        <f t="shared" si="2459"/>
        <v>14:51:03.795</v>
      </c>
      <c r="CJ5315">
        <v>0</v>
      </c>
      <c r="CK5315">
        <v>2</v>
      </c>
      <c r="CL5315">
        <v>0</v>
      </c>
      <c r="CM5315">
        <v>2</v>
      </c>
      <c r="CN5315">
        <v>0</v>
      </c>
      <c r="CO5315">
        <v>7</v>
      </c>
      <c r="CP5315" t="s">
        <v>119</v>
      </c>
      <c r="CQ5315">
        <v>358</v>
      </c>
      <c r="CR5315">
        <v>0</v>
      </c>
      <c r="CW5315">
        <v>5249935</v>
      </c>
      <c r="CY5315">
        <v>1</v>
      </c>
      <c r="CZ5315">
        <v>0</v>
      </c>
      <c r="DA5315">
        <v>1</v>
      </c>
      <c r="DB5315">
        <v>0</v>
      </c>
      <c r="DC5315">
        <v>0</v>
      </c>
      <c r="DD5315">
        <v>1</v>
      </c>
      <c r="DE5315">
        <v>0</v>
      </c>
      <c r="DF5315">
        <v>0</v>
      </c>
      <c r="DG5315">
        <v>0</v>
      </c>
      <c r="DH5315">
        <v>0</v>
      </c>
      <c r="DI5315">
        <v>0</v>
      </c>
    </row>
    <row r="5316" spans="1:113" x14ac:dyDescent="0.3">
      <c r="A5316" t="str">
        <f t="shared" si="2456"/>
        <v>05/12/2020 14:50:45.955</v>
      </c>
      <c r="C5316" t="str">
        <f t="shared" si="2435"/>
        <v>FFDFD3C0</v>
      </c>
      <c r="D5316" t="s">
        <v>126</v>
      </c>
      <c r="E5316">
        <v>7</v>
      </c>
      <c r="F5316">
        <v>1007</v>
      </c>
      <c r="G5316" t="s">
        <v>127</v>
      </c>
      <c r="J5316" t="s">
        <v>128</v>
      </c>
      <c r="K5316">
        <v>0</v>
      </c>
      <c r="L5316">
        <v>3</v>
      </c>
      <c r="M5316">
        <v>0</v>
      </c>
      <c r="N5316">
        <v>2</v>
      </c>
      <c r="O5316">
        <v>1</v>
      </c>
      <c r="P5316">
        <v>0</v>
      </c>
      <c r="Q5316">
        <v>0</v>
      </c>
      <c r="S5316" t="str">
        <f t="shared" si="2457"/>
        <v>14:51:03.789</v>
      </c>
      <c r="T5316" t="str">
        <f t="shared" si="2458"/>
        <v>14:51:03.289</v>
      </c>
      <c r="U5316" t="str">
        <f t="shared" si="2460"/>
        <v>A9808D</v>
      </c>
      <c r="V5316">
        <v>0</v>
      </c>
      <c r="W5316">
        <v>0</v>
      </c>
      <c r="X5316">
        <v>1</v>
      </c>
      <c r="Z5316">
        <v>0</v>
      </c>
      <c r="AA5316">
        <v>9</v>
      </c>
      <c r="AB5316">
        <v>3</v>
      </c>
      <c r="AC5316">
        <v>0</v>
      </c>
      <c r="AD5316">
        <v>10</v>
      </c>
      <c r="AE5316">
        <v>0</v>
      </c>
      <c r="AF5316">
        <v>3</v>
      </c>
      <c r="AG5316">
        <v>2</v>
      </c>
      <c r="AH5316">
        <v>0</v>
      </c>
      <c r="AI5316" t="s">
        <v>1175</v>
      </c>
      <c r="AJ5316">
        <v>28.225529000000002</v>
      </c>
      <c r="AK5316" t="s">
        <v>1176</v>
      </c>
      <c r="AL5316">
        <v>-82.386731999999995</v>
      </c>
      <c r="AM5316">
        <v>100</v>
      </c>
      <c r="AN5316">
        <v>1600</v>
      </c>
      <c r="AO5316" t="s">
        <v>118</v>
      </c>
      <c r="AP5316">
        <v>-93</v>
      </c>
      <c r="AQ5316">
        <v>-72</v>
      </c>
      <c r="AR5316">
        <v>-960</v>
      </c>
      <c r="AZ5316">
        <v>1200</v>
      </c>
      <c r="BA5316">
        <v>1</v>
      </c>
      <c r="BB5316" t="str">
        <f t="shared" si="2436"/>
        <v xml:space="preserve">N711JA  </v>
      </c>
      <c r="BC5316">
        <v>1</v>
      </c>
      <c r="BE5316">
        <v>0</v>
      </c>
      <c r="BF5316">
        <v>0</v>
      </c>
      <c r="BG5316">
        <v>0</v>
      </c>
      <c r="BH5316">
        <v>1725</v>
      </c>
      <c r="BI5316">
        <v>1</v>
      </c>
      <c r="BJ5316">
        <v>1</v>
      </c>
      <c r="BK5316">
        <v>0</v>
      </c>
      <c r="BL5316">
        <v>0</v>
      </c>
      <c r="BO5316">
        <v>0</v>
      </c>
      <c r="BP5316">
        <v>0</v>
      </c>
      <c r="BW5316" t="str">
        <f t="shared" si="2459"/>
        <v>14:51:03.795</v>
      </c>
      <c r="CJ5316">
        <v>0</v>
      </c>
      <c r="CK5316">
        <v>2</v>
      </c>
      <c r="CL5316">
        <v>0</v>
      </c>
      <c r="CM5316">
        <v>2</v>
      </c>
      <c r="CN5316">
        <v>0</v>
      </c>
      <c r="CO5316">
        <v>7</v>
      </c>
      <c r="CP5316" t="s">
        <v>119</v>
      </c>
      <c r="CQ5316">
        <v>358</v>
      </c>
      <c r="CR5316">
        <v>0</v>
      </c>
      <c r="CW5316">
        <v>5249935</v>
      </c>
      <c r="CY5316">
        <v>1</v>
      </c>
      <c r="CZ5316">
        <v>0</v>
      </c>
      <c r="DA5316">
        <v>1</v>
      </c>
      <c r="DB5316">
        <v>0</v>
      </c>
      <c r="DC5316">
        <v>0</v>
      </c>
      <c r="DD5316">
        <v>1</v>
      </c>
      <c r="DE5316">
        <v>0</v>
      </c>
      <c r="DF5316">
        <v>0</v>
      </c>
      <c r="DG5316">
        <v>0</v>
      </c>
      <c r="DH5316">
        <v>0</v>
      </c>
      <c r="DI5316">
        <v>0</v>
      </c>
    </row>
    <row r="5317" spans="1:113" x14ac:dyDescent="0.3">
      <c r="A5317" t="str">
        <f t="shared" si="2456"/>
        <v>05/12/2020 14:50:45.955</v>
      </c>
      <c r="C5317" t="str">
        <f t="shared" si="2435"/>
        <v>FFDFD3C0</v>
      </c>
      <c r="D5317" t="s">
        <v>131</v>
      </c>
      <c r="E5317">
        <v>10</v>
      </c>
      <c r="F5317">
        <v>2010</v>
      </c>
      <c r="G5317" t="s">
        <v>132</v>
      </c>
      <c r="J5317" t="s">
        <v>133</v>
      </c>
      <c r="K5317">
        <v>0</v>
      </c>
      <c r="L5317">
        <v>3</v>
      </c>
      <c r="M5317">
        <v>0</v>
      </c>
      <c r="N5317">
        <v>2</v>
      </c>
      <c r="O5317">
        <v>1</v>
      </c>
      <c r="P5317">
        <v>0</v>
      </c>
      <c r="Q5317">
        <v>0</v>
      </c>
      <c r="S5317" t="str">
        <f t="shared" si="2457"/>
        <v>14:51:03.789</v>
      </c>
      <c r="T5317" t="str">
        <f t="shared" si="2458"/>
        <v>14:51:03.289</v>
      </c>
      <c r="U5317" t="str">
        <f t="shared" si="2460"/>
        <v>A9808D</v>
      </c>
      <c r="V5317">
        <v>0</v>
      </c>
      <c r="W5317">
        <v>0</v>
      </c>
      <c r="X5317">
        <v>1</v>
      </c>
      <c r="Z5317">
        <v>0</v>
      </c>
      <c r="AA5317">
        <v>9</v>
      </c>
      <c r="AB5317">
        <v>3</v>
      </c>
      <c r="AC5317">
        <v>0</v>
      </c>
      <c r="AD5317">
        <v>10</v>
      </c>
      <c r="AE5317">
        <v>0</v>
      </c>
      <c r="AF5317">
        <v>3</v>
      </c>
      <c r="AG5317">
        <v>2</v>
      </c>
      <c r="AH5317">
        <v>0</v>
      </c>
      <c r="AI5317" t="s">
        <v>1175</v>
      </c>
      <c r="AJ5317">
        <v>28.225529000000002</v>
      </c>
      <c r="AK5317" t="s">
        <v>1176</v>
      </c>
      <c r="AL5317">
        <v>-82.386731999999995</v>
      </c>
      <c r="AM5317">
        <v>100</v>
      </c>
      <c r="AN5317">
        <v>1600</v>
      </c>
      <c r="AO5317" t="s">
        <v>118</v>
      </c>
      <c r="AP5317">
        <v>-93</v>
      </c>
      <c r="AQ5317">
        <v>-72</v>
      </c>
      <c r="AR5317">
        <v>-960</v>
      </c>
      <c r="AZ5317">
        <v>1200</v>
      </c>
      <c r="BA5317">
        <v>1</v>
      </c>
      <c r="BB5317" t="str">
        <f t="shared" si="2436"/>
        <v xml:space="preserve">N711JA  </v>
      </c>
      <c r="BC5317">
        <v>1</v>
      </c>
      <c r="BE5317">
        <v>0</v>
      </c>
      <c r="BF5317">
        <v>0</v>
      </c>
      <c r="BG5317">
        <v>0</v>
      </c>
      <c r="BH5317">
        <v>1725</v>
      </c>
      <c r="BI5317">
        <v>1</v>
      </c>
      <c r="BJ5317">
        <v>1</v>
      </c>
      <c r="BK5317">
        <v>0</v>
      </c>
      <c r="BL5317">
        <v>0</v>
      </c>
      <c r="BO5317">
        <v>0</v>
      </c>
      <c r="BP5317">
        <v>0</v>
      </c>
      <c r="BW5317" t="str">
        <f t="shared" si="2459"/>
        <v>14:51:03.795</v>
      </c>
      <c r="CJ5317">
        <v>0</v>
      </c>
      <c r="CK5317">
        <v>2</v>
      </c>
      <c r="CL5317">
        <v>0</v>
      </c>
      <c r="CM5317">
        <v>2</v>
      </c>
      <c r="CN5317">
        <v>0</v>
      </c>
      <c r="CO5317">
        <v>7</v>
      </c>
      <c r="CP5317" t="s">
        <v>119</v>
      </c>
      <c r="CQ5317">
        <v>358</v>
      </c>
      <c r="CR5317">
        <v>0</v>
      </c>
      <c r="CW5317">
        <v>5249935</v>
      </c>
      <c r="CY5317">
        <v>1</v>
      </c>
      <c r="CZ5317">
        <v>0</v>
      </c>
      <c r="DA5317">
        <v>1</v>
      </c>
      <c r="DB5317">
        <v>0</v>
      </c>
      <c r="DC5317">
        <v>0</v>
      </c>
      <c r="DD5317">
        <v>1</v>
      </c>
      <c r="DE5317">
        <v>0</v>
      </c>
      <c r="DF5317">
        <v>0</v>
      </c>
      <c r="DG5317">
        <v>0</v>
      </c>
      <c r="DH5317">
        <v>0</v>
      </c>
      <c r="DI5317">
        <v>0</v>
      </c>
    </row>
    <row r="5318" spans="1:113" x14ac:dyDescent="0.3">
      <c r="A5318" t="str">
        <f t="shared" si="2456"/>
        <v>05/12/2020 14:50:45.955</v>
      </c>
      <c r="C5318" t="str">
        <f t="shared" si="2435"/>
        <v>FFDFD3C0</v>
      </c>
      <c r="D5318" t="s">
        <v>131</v>
      </c>
      <c r="E5318">
        <v>12</v>
      </c>
      <c r="F5318">
        <v>2012</v>
      </c>
      <c r="G5318" t="s">
        <v>137</v>
      </c>
      <c r="J5318" t="s">
        <v>133</v>
      </c>
      <c r="K5318">
        <v>0</v>
      </c>
      <c r="L5318">
        <v>3</v>
      </c>
      <c r="M5318">
        <v>0</v>
      </c>
      <c r="N5318">
        <v>2</v>
      </c>
      <c r="O5318">
        <v>1</v>
      </c>
      <c r="P5318">
        <v>0</v>
      </c>
      <c r="Q5318">
        <v>0</v>
      </c>
      <c r="S5318" t="str">
        <f t="shared" si="2457"/>
        <v>14:51:03.789</v>
      </c>
      <c r="T5318" t="str">
        <f t="shared" si="2458"/>
        <v>14:51:03.289</v>
      </c>
      <c r="U5318" t="str">
        <f t="shared" si="2460"/>
        <v>A9808D</v>
      </c>
      <c r="V5318">
        <v>0</v>
      </c>
      <c r="W5318">
        <v>0</v>
      </c>
      <c r="X5318">
        <v>1</v>
      </c>
      <c r="Z5318">
        <v>0</v>
      </c>
      <c r="AA5318">
        <v>9</v>
      </c>
      <c r="AB5318">
        <v>3</v>
      </c>
      <c r="AC5318">
        <v>0</v>
      </c>
      <c r="AD5318">
        <v>10</v>
      </c>
      <c r="AE5318">
        <v>0</v>
      </c>
      <c r="AF5318">
        <v>3</v>
      </c>
      <c r="AG5318">
        <v>2</v>
      </c>
      <c r="AH5318">
        <v>0</v>
      </c>
      <c r="AI5318" t="s">
        <v>1175</v>
      </c>
      <c r="AJ5318">
        <v>28.225529000000002</v>
      </c>
      <c r="AK5318" t="s">
        <v>1176</v>
      </c>
      <c r="AL5318">
        <v>-82.386731999999995</v>
      </c>
      <c r="AM5318">
        <v>100</v>
      </c>
      <c r="AN5318">
        <v>1600</v>
      </c>
      <c r="AO5318" t="s">
        <v>118</v>
      </c>
      <c r="AP5318">
        <v>-93</v>
      </c>
      <c r="AQ5318">
        <v>-72</v>
      </c>
      <c r="AR5318">
        <v>-960</v>
      </c>
      <c r="AZ5318">
        <v>1200</v>
      </c>
      <c r="BA5318">
        <v>1</v>
      </c>
      <c r="BB5318" t="str">
        <f t="shared" si="2436"/>
        <v xml:space="preserve">N711JA  </v>
      </c>
      <c r="BC5318">
        <v>1</v>
      </c>
      <c r="BE5318">
        <v>0</v>
      </c>
      <c r="BF5318">
        <v>0</v>
      </c>
      <c r="BG5318">
        <v>0</v>
      </c>
      <c r="BH5318">
        <v>1725</v>
      </c>
      <c r="BI5318">
        <v>1</v>
      </c>
      <c r="BJ5318">
        <v>1</v>
      </c>
      <c r="BK5318">
        <v>0</v>
      </c>
      <c r="BL5318">
        <v>0</v>
      </c>
      <c r="BO5318">
        <v>0</v>
      </c>
      <c r="BP5318">
        <v>0</v>
      </c>
      <c r="BW5318" t="str">
        <f t="shared" si="2459"/>
        <v>14:51:03.795</v>
      </c>
      <c r="CJ5318">
        <v>0</v>
      </c>
      <c r="CK5318">
        <v>2</v>
      </c>
      <c r="CL5318">
        <v>0</v>
      </c>
      <c r="CM5318">
        <v>2</v>
      </c>
      <c r="CN5318">
        <v>0</v>
      </c>
      <c r="CO5318">
        <v>7</v>
      </c>
      <c r="CP5318" t="s">
        <v>119</v>
      </c>
      <c r="CQ5318">
        <v>343</v>
      </c>
      <c r="CR5318">
        <v>1</v>
      </c>
      <c r="CW5318">
        <v>11137469</v>
      </c>
      <c r="CY5318">
        <v>1</v>
      </c>
      <c r="CZ5318">
        <v>0</v>
      </c>
      <c r="DA5318">
        <v>1</v>
      </c>
      <c r="DB5318">
        <v>0</v>
      </c>
      <c r="DC5318">
        <v>0</v>
      </c>
      <c r="DD5318">
        <v>1</v>
      </c>
      <c r="DE5318">
        <v>0</v>
      </c>
      <c r="DF5318">
        <v>0</v>
      </c>
      <c r="DG5318">
        <v>0</v>
      </c>
      <c r="DH5318">
        <v>0</v>
      </c>
      <c r="DI5318">
        <v>0</v>
      </c>
    </row>
    <row r="5319" spans="1:113" x14ac:dyDescent="0.3">
      <c r="A5319" t="str">
        <f t="shared" si="2456"/>
        <v>05/12/2020 14:50:45.955</v>
      </c>
      <c r="C5319" t="str">
        <f t="shared" si="2435"/>
        <v>FFDFD3C0</v>
      </c>
      <c r="D5319" t="s">
        <v>138</v>
      </c>
      <c r="E5319">
        <v>2</v>
      </c>
      <c r="H5319">
        <v>8</v>
      </c>
      <c r="I5319" t="s">
        <v>139</v>
      </c>
      <c r="J5319" t="s">
        <v>136</v>
      </c>
      <c r="K5319">
        <v>0</v>
      </c>
      <c r="L5319">
        <v>3</v>
      </c>
      <c r="M5319">
        <v>0</v>
      </c>
      <c r="N5319">
        <v>2</v>
      </c>
      <c r="O5319">
        <v>1</v>
      </c>
      <c r="P5319">
        <v>0</v>
      </c>
      <c r="Q5319">
        <v>0</v>
      </c>
      <c r="S5319" t="str">
        <f t="shared" si="2457"/>
        <v>14:51:03.789</v>
      </c>
      <c r="T5319" t="str">
        <f t="shared" si="2458"/>
        <v>14:51:03.289</v>
      </c>
      <c r="U5319" t="str">
        <f t="shared" si="2460"/>
        <v>A9808D</v>
      </c>
      <c r="V5319">
        <v>0</v>
      </c>
      <c r="W5319">
        <v>0</v>
      </c>
      <c r="X5319">
        <v>1</v>
      </c>
      <c r="Z5319">
        <v>0</v>
      </c>
      <c r="AA5319">
        <v>9</v>
      </c>
      <c r="AB5319">
        <v>3</v>
      </c>
      <c r="AC5319">
        <v>0</v>
      </c>
      <c r="AD5319">
        <v>10</v>
      </c>
      <c r="AE5319">
        <v>0</v>
      </c>
      <c r="AF5319">
        <v>3</v>
      </c>
      <c r="AG5319">
        <v>2</v>
      </c>
      <c r="AH5319">
        <v>0</v>
      </c>
      <c r="AI5319" t="s">
        <v>1175</v>
      </c>
      <c r="AJ5319">
        <v>28.225529000000002</v>
      </c>
      <c r="AK5319" t="s">
        <v>1176</v>
      </c>
      <c r="AL5319">
        <v>-82.386731999999995</v>
      </c>
      <c r="AM5319">
        <v>100</v>
      </c>
      <c r="AN5319">
        <v>1600</v>
      </c>
      <c r="AO5319" t="s">
        <v>118</v>
      </c>
      <c r="AP5319">
        <v>-93</v>
      </c>
      <c r="AQ5319">
        <v>-72</v>
      </c>
      <c r="AR5319">
        <v>-960</v>
      </c>
      <c r="AZ5319">
        <v>1200</v>
      </c>
      <c r="BA5319">
        <v>1</v>
      </c>
      <c r="BB5319" t="str">
        <f t="shared" si="2436"/>
        <v xml:space="preserve">N711JA  </v>
      </c>
      <c r="BC5319">
        <v>1</v>
      </c>
      <c r="BE5319">
        <v>0</v>
      </c>
      <c r="BF5319">
        <v>0</v>
      </c>
      <c r="BG5319">
        <v>0</v>
      </c>
      <c r="BH5319">
        <v>1725</v>
      </c>
      <c r="BI5319">
        <v>1</v>
      </c>
      <c r="BJ5319">
        <v>1</v>
      </c>
      <c r="BK5319">
        <v>0</v>
      </c>
      <c r="BL5319">
        <v>0</v>
      </c>
      <c r="BO5319">
        <v>0</v>
      </c>
      <c r="BP5319">
        <v>0</v>
      </c>
      <c r="BW5319" t="str">
        <f t="shared" si="2459"/>
        <v>14:51:03.795</v>
      </c>
      <c r="CJ5319">
        <v>0</v>
      </c>
      <c r="CK5319">
        <v>2</v>
      </c>
      <c r="CL5319">
        <v>0</v>
      </c>
      <c r="CM5319">
        <v>2</v>
      </c>
      <c r="CN5319">
        <v>0</v>
      </c>
      <c r="CO5319">
        <v>7</v>
      </c>
      <c r="CP5319" t="s">
        <v>119</v>
      </c>
      <c r="CQ5319">
        <v>343</v>
      </c>
      <c r="CR5319">
        <v>1</v>
      </c>
      <c r="CW5319">
        <v>11137469</v>
      </c>
      <c r="CY5319">
        <v>1</v>
      </c>
      <c r="CZ5319">
        <v>0</v>
      </c>
      <c r="DA5319">
        <v>1</v>
      </c>
      <c r="DB5319">
        <v>0</v>
      </c>
      <c r="DC5319">
        <v>0</v>
      </c>
      <c r="DD5319">
        <v>1</v>
      </c>
      <c r="DE5319">
        <v>0</v>
      </c>
      <c r="DF5319">
        <v>0</v>
      </c>
      <c r="DG5319">
        <v>0</v>
      </c>
      <c r="DH5319">
        <v>0</v>
      </c>
      <c r="DI5319">
        <v>0</v>
      </c>
    </row>
    <row r="5320" spans="1:113" x14ac:dyDescent="0.3">
      <c r="A5320" t="str">
        <f t="shared" si="2456"/>
        <v>05/12/2020 14:50:45.955</v>
      </c>
      <c r="C5320" t="str">
        <f t="shared" si="2435"/>
        <v>FFDFD3C0</v>
      </c>
      <c r="D5320" t="s">
        <v>113</v>
      </c>
      <c r="E5320">
        <v>3</v>
      </c>
      <c r="H5320">
        <v>164</v>
      </c>
      <c r="I5320" t="s">
        <v>114</v>
      </c>
      <c r="J5320" t="s">
        <v>115</v>
      </c>
      <c r="K5320">
        <v>0</v>
      </c>
      <c r="L5320">
        <v>3</v>
      </c>
      <c r="M5320">
        <v>0</v>
      </c>
      <c r="N5320">
        <v>2</v>
      </c>
      <c r="O5320">
        <v>1</v>
      </c>
      <c r="P5320">
        <v>0</v>
      </c>
      <c r="Q5320">
        <v>0</v>
      </c>
      <c r="S5320" t="str">
        <f t="shared" si="2457"/>
        <v>14:51:03.789</v>
      </c>
      <c r="T5320" t="str">
        <f t="shared" si="2458"/>
        <v>14:51:03.289</v>
      </c>
      <c r="U5320" t="str">
        <f t="shared" si="2460"/>
        <v>A9808D</v>
      </c>
      <c r="V5320">
        <v>0</v>
      </c>
      <c r="W5320">
        <v>0</v>
      </c>
      <c r="X5320">
        <v>1</v>
      </c>
      <c r="Z5320">
        <v>0</v>
      </c>
      <c r="AA5320">
        <v>9</v>
      </c>
      <c r="AB5320">
        <v>3</v>
      </c>
      <c r="AC5320">
        <v>0</v>
      </c>
      <c r="AD5320">
        <v>10</v>
      </c>
      <c r="AE5320">
        <v>0</v>
      </c>
      <c r="AF5320">
        <v>3</v>
      </c>
      <c r="AG5320">
        <v>2</v>
      </c>
      <c r="AH5320">
        <v>0</v>
      </c>
      <c r="AI5320" t="s">
        <v>1175</v>
      </c>
      <c r="AJ5320">
        <v>28.225529000000002</v>
      </c>
      <c r="AK5320" t="s">
        <v>1176</v>
      </c>
      <c r="AL5320">
        <v>-82.386731999999995</v>
      </c>
      <c r="AM5320">
        <v>100</v>
      </c>
      <c r="AN5320">
        <v>1600</v>
      </c>
      <c r="AO5320" t="s">
        <v>118</v>
      </c>
      <c r="AP5320">
        <v>-93</v>
      </c>
      <c r="AQ5320">
        <v>-72</v>
      </c>
      <c r="AR5320">
        <v>-960</v>
      </c>
      <c r="AZ5320">
        <v>1200</v>
      </c>
      <c r="BA5320">
        <v>1</v>
      </c>
      <c r="BB5320" t="str">
        <f t="shared" si="2436"/>
        <v xml:space="preserve">N711JA  </v>
      </c>
      <c r="BC5320">
        <v>1</v>
      </c>
      <c r="BE5320">
        <v>0</v>
      </c>
      <c r="BF5320">
        <v>0</v>
      </c>
      <c r="BG5320">
        <v>0</v>
      </c>
      <c r="BH5320">
        <v>1725</v>
      </c>
      <c r="BI5320">
        <v>1</v>
      </c>
      <c r="BJ5320">
        <v>1</v>
      </c>
      <c r="BK5320">
        <v>0</v>
      </c>
      <c r="BL5320">
        <v>0</v>
      </c>
      <c r="BO5320">
        <v>0</v>
      </c>
      <c r="BP5320">
        <v>0</v>
      </c>
      <c r="BW5320" t="str">
        <f t="shared" si="2459"/>
        <v>14:51:03.795</v>
      </c>
      <c r="CJ5320">
        <v>0</v>
      </c>
      <c r="CK5320">
        <v>2</v>
      </c>
      <c r="CL5320">
        <v>0</v>
      </c>
      <c r="CM5320">
        <v>2</v>
      </c>
      <c r="CN5320">
        <v>0</v>
      </c>
      <c r="CO5320">
        <v>7</v>
      </c>
      <c r="CP5320" t="s">
        <v>119</v>
      </c>
      <c r="CQ5320">
        <v>343</v>
      </c>
      <c r="CR5320">
        <v>1</v>
      </c>
      <c r="CW5320">
        <v>11137469</v>
      </c>
      <c r="CY5320">
        <v>1</v>
      </c>
      <c r="CZ5320">
        <v>0</v>
      </c>
      <c r="DA5320">
        <v>1</v>
      </c>
      <c r="DB5320">
        <v>0</v>
      </c>
      <c r="DC5320">
        <v>0</v>
      </c>
      <c r="DD5320">
        <v>1</v>
      </c>
      <c r="DE5320">
        <v>0</v>
      </c>
      <c r="DF5320">
        <v>0</v>
      </c>
      <c r="DG5320">
        <v>0</v>
      </c>
      <c r="DH5320">
        <v>0</v>
      </c>
      <c r="DI5320">
        <v>0</v>
      </c>
    </row>
    <row r="5321" spans="1:113" x14ac:dyDescent="0.3">
      <c r="A5321" t="str">
        <f t="shared" ref="A5321:A5326" si="2461">"05/12/2020 14:50:47.017"</f>
        <v>05/12/2020 14:50:47.017</v>
      </c>
      <c r="C5321" t="str">
        <f t="shared" si="2435"/>
        <v>FFDFD3C0</v>
      </c>
      <c r="D5321" t="s">
        <v>126</v>
      </c>
      <c r="E5321">
        <v>6</v>
      </c>
      <c r="F5321">
        <v>1006</v>
      </c>
      <c r="G5321" t="s">
        <v>114</v>
      </c>
      <c r="J5321" t="s">
        <v>128</v>
      </c>
      <c r="K5321">
        <v>0</v>
      </c>
      <c r="L5321">
        <v>3</v>
      </c>
      <c r="M5321">
        <v>0</v>
      </c>
      <c r="N5321">
        <v>2</v>
      </c>
      <c r="O5321">
        <v>1</v>
      </c>
      <c r="P5321">
        <v>0</v>
      </c>
      <c r="Q5321">
        <v>0</v>
      </c>
      <c r="S5321" t="str">
        <f t="shared" ref="S5321:S5326" si="2462">"14:51:04.797"</f>
        <v>14:51:04.797</v>
      </c>
      <c r="T5321" t="str">
        <f t="shared" ref="T5321:T5326" si="2463">"14:51:04.497"</f>
        <v>14:51:04.497</v>
      </c>
      <c r="U5321" t="str">
        <f t="shared" si="2460"/>
        <v>A9808D</v>
      </c>
      <c r="V5321">
        <v>0</v>
      </c>
      <c r="W5321">
        <v>0</v>
      </c>
      <c r="X5321">
        <v>1</v>
      </c>
      <c r="Z5321">
        <v>0</v>
      </c>
      <c r="AA5321">
        <v>9</v>
      </c>
      <c r="AB5321">
        <v>3</v>
      </c>
      <c r="AC5321">
        <v>0</v>
      </c>
      <c r="AD5321">
        <v>10</v>
      </c>
      <c r="AE5321">
        <v>0</v>
      </c>
      <c r="AF5321">
        <v>3</v>
      </c>
      <c r="AG5321">
        <v>2</v>
      </c>
      <c r="AH5321">
        <v>0</v>
      </c>
      <c r="AI5321" t="s">
        <v>1177</v>
      </c>
      <c r="AJ5321">
        <v>28.225163999999999</v>
      </c>
      <c r="AK5321" t="s">
        <v>1178</v>
      </c>
      <c r="AL5321">
        <v>-82.387203999999997</v>
      </c>
      <c r="AM5321">
        <v>100</v>
      </c>
      <c r="AN5321">
        <v>1600</v>
      </c>
      <c r="AO5321" t="s">
        <v>118</v>
      </c>
      <c r="AP5321">
        <v>-91</v>
      </c>
      <c r="AQ5321">
        <v>-75</v>
      </c>
      <c r="AR5321">
        <v>-1024</v>
      </c>
      <c r="AZ5321">
        <v>1200</v>
      </c>
      <c r="BA5321">
        <v>1</v>
      </c>
      <c r="BB5321" t="str">
        <f t="shared" si="2436"/>
        <v xml:space="preserve">N711JA  </v>
      </c>
      <c r="BC5321">
        <v>1</v>
      </c>
      <c r="BE5321">
        <v>0</v>
      </c>
      <c r="BF5321">
        <v>0</v>
      </c>
      <c r="BG5321">
        <v>0</v>
      </c>
      <c r="BH5321">
        <v>1700</v>
      </c>
      <c r="BI5321">
        <v>1</v>
      </c>
      <c r="BJ5321">
        <v>1</v>
      </c>
      <c r="BK5321">
        <v>0</v>
      </c>
      <c r="BL5321">
        <v>0</v>
      </c>
      <c r="BO5321">
        <v>0</v>
      </c>
      <c r="BP5321">
        <v>0</v>
      </c>
      <c r="BW5321" t="str">
        <f t="shared" ref="BW5321:BW5326" si="2464">"14:51:04.801"</f>
        <v>14:51:04.801</v>
      </c>
      <c r="CJ5321">
        <v>0</v>
      </c>
      <c r="CK5321">
        <v>2</v>
      </c>
      <c r="CL5321">
        <v>0</v>
      </c>
      <c r="CM5321">
        <v>2</v>
      </c>
      <c r="CN5321">
        <v>0</v>
      </c>
      <c r="CO5321">
        <v>7</v>
      </c>
      <c r="CP5321" t="s">
        <v>119</v>
      </c>
      <c r="CQ5321">
        <v>358</v>
      </c>
      <c r="CR5321">
        <v>0</v>
      </c>
      <c r="CW5321">
        <v>5251113</v>
      </c>
      <c r="CY5321">
        <v>1</v>
      </c>
      <c r="CZ5321">
        <v>0</v>
      </c>
      <c r="DA5321">
        <v>0</v>
      </c>
      <c r="DB5321">
        <v>0</v>
      </c>
      <c r="DC5321">
        <v>0</v>
      </c>
      <c r="DD5321">
        <v>1</v>
      </c>
      <c r="DE5321">
        <v>0</v>
      </c>
      <c r="DF5321">
        <v>0</v>
      </c>
      <c r="DG5321">
        <v>0</v>
      </c>
      <c r="DH5321">
        <v>0</v>
      </c>
      <c r="DI5321">
        <v>0</v>
      </c>
    </row>
    <row r="5322" spans="1:113" x14ac:dyDescent="0.3">
      <c r="A5322" t="str">
        <f t="shared" si="2461"/>
        <v>05/12/2020 14:50:47.017</v>
      </c>
      <c r="C5322" t="str">
        <f t="shared" si="2435"/>
        <v>FFDFD3C0</v>
      </c>
      <c r="D5322" t="s">
        <v>113</v>
      </c>
      <c r="E5322">
        <v>3</v>
      </c>
      <c r="H5322">
        <v>164</v>
      </c>
      <c r="I5322" t="s">
        <v>114</v>
      </c>
      <c r="J5322" t="s">
        <v>115</v>
      </c>
      <c r="K5322">
        <v>0</v>
      </c>
      <c r="L5322">
        <v>3</v>
      </c>
      <c r="M5322">
        <v>0</v>
      </c>
      <c r="N5322">
        <v>2</v>
      </c>
      <c r="O5322">
        <v>1</v>
      </c>
      <c r="P5322">
        <v>0</v>
      </c>
      <c r="Q5322">
        <v>0</v>
      </c>
      <c r="S5322" t="str">
        <f t="shared" si="2462"/>
        <v>14:51:04.797</v>
      </c>
      <c r="T5322" t="str">
        <f t="shared" si="2463"/>
        <v>14:51:04.497</v>
      </c>
      <c r="U5322" t="str">
        <f t="shared" si="2460"/>
        <v>A9808D</v>
      </c>
      <c r="V5322">
        <v>0</v>
      </c>
      <c r="W5322">
        <v>0</v>
      </c>
      <c r="X5322">
        <v>1</v>
      </c>
      <c r="Z5322">
        <v>0</v>
      </c>
      <c r="AA5322">
        <v>9</v>
      </c>
      <c r="AB5322">
        <v>3</v>
      </c>
      <c r="AC5322">
        <v>0</v>
      </c>
      <c r="AD5322">
        <v>10</v>
      </c>
      <c r="AE5322">
        <v>0</v>
      </c>
      <c r="AF5322">
        <v>3</v>
      </c>
      <c r="AG5322">
        <v>2</v>
      </c>
      <c r="AH5322">
        <v>0</v>
      </c>
      <c r="AI5322" t="s">
        <v>1177</v>
      </c>
      <c r="AJ5322">
        <v>28.225163999999999</v>
      </c>
      <c r="AK5322" t="s">
        <v>1178</v>
      </c>
      <c r="AL5322">
        <v>-82.387203999999997</v>
      </c>
      <c r="AM5322">
        <v>100</v>
      </c>
      <c r="AN5322">
        <v>1600</v>
      </c>
      <c r="AO5322" t="s">
        <v>118</v>
      </c>
      <c r="AP5322">
        <v>-91</v>
      </c>
      <c r="AQ5322">
        <v>-75</v>
      </c>
      <c r="AR5322">
        <v>-1024</v>
      </c>
      <c r="AZ5322">
        <v>1200</v>
      </c>
      <c r="BA5322">
        <v>1</v>
      </c>
      <c r="BB5322" t="str">
        <f t="shared" si="2436"/>
        <v xml:space="preserve">N711JA  </v>
      </c>
      <c r="BC5322">
        <v>1</v>
      </c>
      <c r="BE5322">
        <v>0</v>
      </c>
      <c r="BF5322">
        <v>0</v>
      </c>
      <c r="BG5322">
        <v>0</v>
      </c>
      <c r="BH5322">
        <v>1700</v>
      </c>
      <c r="BI5322">
        <v>1</v>
      </c>
      <c r="BJ5322">
        <v>1</v>
      </c>
      <c r="BK5322">
        <v>0</v>
      </c>
      <c r="BL5322">
        <v>0</v>
      </c>
      <c r="BO5322">
        <v>0</v>
      </c>
      <c r="BP5322">
        <v>0</v>
      </c>
      <c r="BW5322" t="str">
        <f t="shared" si="2464"/>
        <v>14:51:04.801</v>
      </c>
      <c r="CJ5322">
        <v>0</v>
      </c>
      <c r="CK5322">
        <v>2</v>
      </c>
      <c r="CL5322">
        <v>0</v>
      </c>
      <c r="CM5322">
        <v>2</v>
      </c>
      <c r="CN5322">
        <v>0</v>
      </c>
      <c r="CO5322">
        <v>2</v>
      </c>
      <c r="CP5322" t="s">
        <v>119</v>
      </c>
      <c r="CQ5322">
        <v>9</v>
      </c>
      <c r="CR5322">
        <v>0</v>
      </c>
      <c r="CW5322">
        <v>13110127</v>
      </c>
      <c r="CY5322">
        <v>1</v>
      </c>
      <c r="CZ5322">
        <v>0</v>
      </c>
      <c r="DA5322">
        <v>1</v>
      </c>
      <c r="DB5322">
        <v>0</v>
      </c>
      <c r="DC5322">
        <v>0</v>
      </c>
      <c r="DD5322">
        <v>1</v>
      </c>
      <c r="DE5322">
        <v>0</v>
      </c>
      <c r="DF5322">
        <v>0</v>
      </c>
      <c r="DG5322">
        <v>0</v>
      </c>
      <c r="DH5322">
        <v>0</v>
      </c>
      <c r="DI5322">
        <v>0</v>
      </c>
    </row>
    <row r="5323" spans="1:113" x14ac:dyDescent="0.3">
      <c r="A5323" t="str">
        <f t="shared" si="2461"/>
        <v>05/12/2020 14:50:47.017</v>
      </c>
      <c r="C5323" t="str">
        <f t="shared" si="2435"/>
        <v>FFDFD3C0</v>
      </c>
      <c r="D5323" t="s">
        <v>138</v>
      </c>
      <c r="E5323">
        <v>3</v>
      </c>
      <c r="H5323">
        <v>9</v>
      </c>
      <c r="I5323" t="s">
        <v>140</v>
      </c>
      <c r="J5323" t="s">
        <v>136</v>
      </c>
      <c r="K5323">
        <v>0</v>
      </c>
      <c r="L5323">
        <v>3</v>
      </c>
      <c r="M5323">
        <v>0</v>
      </c>
      <c r="N5323">
        <v>2</v>
      </c>
      <c r="O5323">
        <v>1</v>
      </c>
      <c r="P5323">
        <v>0</v>
      </c>
      <c r="Q5323">
        <v>0</v>
      </c>
      <c r="S5323" t="str">
        <f t="shared" si="2462"/>
        <v>14:51:04.797</v>
      </c>
      <c r="T5323" t="str">
        <f t="shared" si="2463"/>
        <v>14:51:04.497</v>
      </c>
      <c r="U5323" t="str">
        <f t="shared" si="2460"/>
        <v>A9808D</v>
      </c>
      <c r="V5323">
        <v>0</v>
      </c>
      <c r="W5323">
        <v>0</v>
      </c>
      <c r="X5323">
        <v>1</v>
      </c>
      <c r="Z5323">
        <v>0</v>
      </c>
      <c r="AA5323">
        <v>9</v>
      </c>
      <c r="AB5323">
        <v>3</v>
      </c>
      <c r="AC5323">
        <v>0</v>
      </c>
      <c r="AD5323">
        <v>10</v>
      </c>
      <c r="AE5323">
        <v>0</v>
      </c>
      <c r="AF5323">
        <v>3</v>
      </c>
      <c r="AG5323">
        <v>2</v>
      </c>
      <c r="AH5323">
        <v>0</v>
      </c>
      <c r="AI5323" t="s">
        <v>1177</v>
      </c>
      <c r="AJ5323">
        <v>28.225163999999999</v>
      </c>
      <c r="AK5323" t="s">
        <v>1178</v>
      </c>
      <c r="AL5323">
        <v>-82.387203999999997</v>
      </c>
      <c r="AM5323">
        <v>100</v>
      </c>
      <c r="AN5323">
        <v>1600</v>
      </c>
      <c r="AO5323" t="s">
        <v>118</v>
      </c>
      <c r="AP5323">
        <v>-91</v>
      </c>
      <c r="AQ5323">
        <v>-75</v>
      </c>
      <c r="AR5323">
        <v>-1024</v>
      </c>
      <c r="AZ5323">
        <v>1200</v>
      </c>
      <c r="BA5323">
        <v>1</v>
      </c>
      <c r="BB5323" t="str">
        <f t="shared" si="2436"/>
        <v xml:space="preserve">N711JA  </v>
      </c>
      <c r="BC5323">
        <v>1</v>
      </c>
      <c r="BE5323">
        <v>0</v>
      </c>
      <c r="BF5323">
        <v>0</v>
      </c>
      <c r="BG5323">
        <v>0</v>
      </c>
      <c r="BH5323">
        <v>1700</v>
      </c>
      <c r="BI5323">
        <v>1</v>
      </c>
      <c r="BJ5323">
        <v>1</v>
      </c>
      <c r="BK5323">
        <v>0</v>
      </c>
      <c r="BL5323">
        <v>0</v>
      </c>
      <c r="BO5323">
        <v>0</v>
      </c>
      <c r="BP5323">
        <v>0</v>
      </c>
      <c r="BW5323" t="str">
        <f t="shared" si="2464"/>
        <v>14:51:04.801</v>
      </c>
      <c r="CJ5323">
        <v>0</v>
      </c>
      <c r="CK5323">
        <v>2</v>
      </c>
      <c r="CL5323">
        <v>0</v>
      </c>
      <c r="CM5323">
        <v>2</v>
      </c>
      <c r="CN5323">
        <v>0</v>
      </c>
      <c r="CO5323">
        <v>7</v>
      </c>
      <c r="CP5323" t="s">
        <v>119</v>
      </c>
      <c r="CQ5323">
        <v>358</v>
      </c>
      <c r="CR5323">
        <v>0</v>
      </c>
      <c r="CW5323">
        <v>5251113</v>
      </c>
      <c r="CY5323">
        <v>1</v>
      </c>
      <c r="CZ5323">
        <v>0</v>
      </c>
      <c r="DA5323">
        <v>1</v>
      </c>
      <c r="DB5323">
        <v>0</v>
      </c>
      <c r="DC5323">
        <v>0</v>
      </c>
      <c r="DD5323">
        <v>1</v>
      </c>
      <c r="DE5323">
        <v>0</v>
      </c>
      <c r="DF5323">
        <v>0</v>
      </c>
      <c r="DG5323">
        <v>0</v>
      </c>
      <c r="DH5323">
        <v>0</v>
      </c>
      <c r="DI5323">
        <v>0</v>
      </c>
    </row>
    <row r="5324" spans="1:113" x14ac:dyDescent="0.3">
      <c r="A5324" t="str">
        <f t="shared" si="2461"/>
        <v>05/12/2020 14:50:47.017</v>
      </c>
      <c r="C5324" t="str">
        <f t="shared" si="2435"/>
        <v>FFDFD3C0</v>
      </c>
      <c r="D5324" t="s">
        <v>126</v>
      </c>
      <c r="E5324">
        <v>7</v>
      </c>
      <c r="F5324">
        <v>1007</v>
      </c>
      <c r="G5324" t="s">
        <v>127</v>
      </c>
      <c r="J5324" t="s">
        <v>128</v>
      </c>
      <c r="K5324">
        <v>0</v>
      </c>
      <c r="L5324">
        <v>3</v>
      </c>
      <c r="M5324">
        <v>0</v>
      </c>
      <c r="N5324">
        <v>2</v>
      </c>
      <c r="O5324">
        <v>1</v>
      </c>
      <c r="P5324">
        <v>0</v>
      </c>
      <c r="Q5324">
        <v>0</v>
      </c>
      <c r="S5324" t="str">
        <f t="shared" si="2462"/>
        <v>14:51:04.797</v>
      </c>
      <c r="T5324" t="str">
        <f t="shared" si="2463"/>
        <v>14:51:04.497</v>
      </c>
      <c r="U5324" t="str">
        <f t="shared" si="2460"/>
        <v>A9808D</v>
      </c>
      <c r="V5324">
        <v>0</v>
      </c>
      <c r="W5324">
        <v>0</v>
      </c>
      <c r="X5324">
        <v>1</v>
      </c>
      <c r="Z5324">
        <v>0</v>
      </c>
      <c r="AA5324">
        <v>9</v>
      </c>
      <c r="AB5324">
        <v>3</v>
      </c>
      <c r="AC5324">
        <v>0</v>
      </c>
      <c r="AD5324">
        <v>10</v>
      </c>
      <c r="AE5324">
        <v>0</v>
      </c>
      <c r="AF5324">
        <v>3</v>
      </c>
      <c r="AG5324">
        <v>2</v>
      </c>
      <c r="AH5324">
        <v>0</v>
      </c>
      <c r="AI5324" t="s">
        <v>1177</v>
      </c>
      <c r="AJ5324">
        <v>28.225163999999999</v>
      </c>
      <c r="AK5324" t="s">
        <v>1178</v>
      </c>
      <c r="AL5324">
        <v>-82.387203999999997</v>
      </c>
      <c r="AM5324">
        <v>100</v>
      </c>
      <c r="AN5324">
        <v>1600</v>
      </c>
      <c r="AO5324" t="s">
        <v>118</v>
      </c>
      <c r="AP5324">
        <v>-91</v>
      </c>
      <c r="AQ5324">
        <v>-75</v>
      </c>
      <c r="AR5324">
        <v>-1024</v>
      </c>
      <c r="AZ5324">
        <v>1200</v>
      </c>
      <c r="BA5324">
        <v>1</v>
      </c>
      <c r="BB5324" t="str">
        <f t="shared" si="2436"/>
        <v xml:space="preserve">N711JA  </v>
      </c>
      <c r="BC5324">
        <v>1</v>
      </c>
      <c r="BE5324">
        <v>0</v>
      </c>
      <c r="BF5324">
        <v>0</v>
      </c>
      <c r="BG5324">
        <v>0</v>
      </c>
      <c r="BH5324">
        <v>1700</v>
      </c>
      <c r="BI5324">
        <v>1</v>
      </c>
      <c r="BJ5324">
        <v>1</v>
      </c>
      <c r="BK5324">
        <v>0</v>
      </c>
      <c r="BL5324">
        <v>0</v>
      </c>
      <c r="BO5324">
        <v>0</v>
      </c>
      <c r="BP5324">
        <v>0</v>
      </c>
      <c r="BW5324" t="str">
        <f t="shared" si="2464"/>
        <v>14:51:04.801</v>
      </c>
      <c r="CJ5324">
        <v>0</v>
      </c>
      <c r="CK5324">
        <v>2</v>
      </c>
      <c r="CL5324">
        <v>0</v>
      </c>
      <c r="CM5324">
        <v>2</v>
      </c>
      <c r="CN5324">
        <v>0</v>
      </c>
      <c r="CO5324">
        <v>7</v>
      </c>
      <c r="CP5324" t="s">
        <v>119</v>
      </c>
      <c r="CQ5324">
        <v>358</v>
      </c>
      <c r="CR5324">
        <v>0</v>
      </c>
      <c r="CW5324">
        <v>5251113</v>
      </c>
      <c r="CY5324">
        <v>1</v>
      </c>
      <c r="CZ5324">
        <v>0</v>
      </c>
      <c r="DA5324">
        <v>1</v>
      </c>
      <c r="DB5324">
        <v>0</v>
      </c>
      <c r="DC5324">
        <v>0</v>
      </c>
      <c r="DD5324">
        <v>1</v>
      </c>
      <c r="DE5324">
        <v>0</v>
      </c>
      <c r="DF5324">
        <v>0</v>
      </c>
      <c r="DG5324">
        <v>0</v>
      </c>
      <c r="DH5324">
        <v>0</v>
      </c>
      <c r="DI5324">
        <v>0</v>
      </c>
    </row>
    <row r="5325" spans="1:113" x14ac:dyDescent="0.3">
      <c r="A5325" t="str">
        <f t="shared" si="2461"/>
        <v>05/12/2020 14:50:47.017</v>
      </c>
      <c r="C5325" t="str">
        <f t="shared" si="2435"/>
        <v>FFDFD3C0</v>
      </c>
      <c r="D5325" t="s">
        <v>131</v>
      </c>
      <c r="E5325">
        <v>10</v>
      </c>
      <c r="F5325">
        <v>2010</v>
      </c>
      <c r="G5325" t="s">
        <v>132</v>
      </c>
      <c r="J5325" t="s">
        <v>133</v>
      </c>
      <c r="K5325">
        <v>0</v>
      </c>
      <c r="L5325">
        <v>3</v>
      </c>
      <c r="M5325">
        <v>0</v>
      </c>
      <c r="N5325">
        <v>2</v>
      </c>
      <c r="O5325">
        <v>1</v>
      </c>
      <c r="P5325">
        <v>0</v>
      </c>
      <c r="Q5325">
        <v>0</v>
      </c>
      <c r="S5325" t="str">
        <f t="shared" si="2462"/>
        <v>14:51:04.797</v>
      </c>
      <c r="T5325" t="str">
        <f t="shared" si="2463"/>
        <v>14:51:04.497</v>
      </c>
      <c r="U5325" t="str">
        <f t="shared" si="2460"/>
        <v>A9808D</v>
      </c>
      <c r="V5325">
        <v>0</v>
      </c>
      <c r="W5325">
        <v>0</v>
      </c>
      <c r="X5325">
        <v>1</v>
      </c>
      <c r="Z5325">
        <v>0</v>
      </c>
      <c r="AA5325">
        <v>9</v>
      </c>
      <c r="AB5325">
        <v>3</v>
      </c>
      <c r="AC5325">
        <v>0</v>
      </c>
      <c r="AD5325">
        <v>10</v>
      </c>
      <c r="AE5325">
        <v>0</v>
      </c>
      <c r="AF5325">
        <v>3</v>
      </c>
      <c r="AG5325">
        <v>2</v>
      </c>
      <c r="AH5325">
        <v>0</v>
      </c>
      <c r="AI5325" t="s">
        <v>1177</v>
      </c>
      <c r="AJ5325">
        <v>28.225163999999999</v>
      </c>
      <c r="AK5325" t="s">
        <v>1178</v>
      </c>
      <c r="AL5325">
        <v>-82.387203999999997</v>
      </c>
      <c r="AM5325">
        <v>100</v>
      </c>
      <c r="AN5325">
        <v>1600</v>
      </c>
      <c r="AO5325" t="s">
        <v>118</v>
      </c>
      <c r="AP5325">
        <v>-91</v>
      </c>
      <c r="AQ5325">
        <v>-75</v>
      </c>
      <c r="AR5325">
        <v>-1024</v>
      </c>
      <c r="AZ5325">
        <v>1200</v>
      </c>
      <c r="BA5325">
        <v>1</v>
      </c>
      <c r="BB5325" t="str">
        <f t="shared" si="2436"/>
        <v xml:space="preserve">N711JA  </v>
      </c>
      <c r="BC5325">
        <v>1</v>
      </c>
      <c r="BE5325">
        <v>0</v>
      </c>
      <c r="BF5325">
        <v>0</v>
      </c>
      <c r="BG5325">
        <v>0</v>
      </c>
      <c r="BH5325">
        <v>1700</v>
      </c>
      <c r="BI5325">
        <v>1</v>
      </c>
      <c r="BJ5325">
        <v>1</v>
      </c>
      <c r="BK5325">
        <v>0</v>
      </c>
      <c r="BL5325">
        <v>0</v>
      </c>
      <c r="BO5325">
        <v>0</v>
      </c>
      <c r="BP5325">
        <v>0</v>
      </c>
      <c r="BW5325" t="str">
        <f t="shared" si="2464"/>
        <v>14:51:04.801</v>
      </c>
      <c r="CJ5325">
        <v>0</v>
      </c>
      <c r="CK5325">
        <v>2</v>
      </c>
      <c r="CL5325">
        <v>0</v>
      </c>
      <c r="CM5325">
        <v>2</v>
      </c>
      <c r="CN5325">
        <v>0</v>
      </c>
      <c r="CO5325">
        <v>7</v>
      </c>
      <c r="CP5325" t="s">
        <v>119</v>
      </c>
      <c r="CQ5325">
        <v>358</v>
      </c>
      <c r="CR5325">
        <v>0</v>
      </c>
      <c r="CW5325">
        <v>5251113</v>
      </c>
      <c r="CY5325">
        <v>1</v>
      </c>
      <c r="CZ5325">
        <v>0</v>
      </c>
      <c r="DA5325">
        <v>1</v>
      </c>
      <c r="DB5325">
        <v>0</v>
      </c>
      <c r="DC5325">
        <v>0</v>
      </c>
      <c r="DD5325">
        <v>1</v>
      </c>
      <c r="DE5325">
        <v>0</v>
      </c>
      <c r="DF5325">
        <v>0</v>
      </c>
      <c r="DG5325">
        <v>0</v>
      </c>
      <c r="DH5325">
        <v>0</v>
      </c>
      <c r="DI5325">
        <v>0</v>
      </c>
    </row>
    <row r="5326" spans="1:113" x14ac:dyDescent="0.3">
      <c r="A5326" t="str">
        <f t="shared" si="2461"/>
        <v>05/12/2020 14:50:47.017</v>
      </c>
      <c r="C5326" t="str">
        <f t="shared" si="2435"/>
        <v>FFDFD3C0</v>
      </c>
      <c r="D5326" t="s">
        <v>134</v>
      </c>
      <c r="E5326">
        <v>12</v>
      </c>
      <c r="H5326">
        <v>64</v>
      </c>
      <c r="I5326" t="s">
        <v>135</v>
      </c>
      <c r="J5326" t="s">
        <v>136</v>
      </c>
      <c r="K5326">
        <v>0</v>
      </c>
      <c r="L5326">
        <v>3</v>
      </c>
      <c r="M5326">
        <v>0</v>
      </c>
      <c r="N5326">
        <v>2</v>
      </c>
      <c r="O5326">
        <v>1</v>
      </c>
      <c r="P5326">
        <v>0</v>
      </c>
      <c r="Q5326">
        <v>0</v>
      </c>
      <c r="S5326" t="str">
        <f t="shared" si="2462"/>
        <v>14:51:04.797</v>
      </c>
      <c r="T5326" t="str">
        <f t="shared" si="2463"/>
        <v>14:51:04.497</v>
      </c>
      <c r="U5326" t="str">
        <f t="shared" si="2460"/>
        <v>A9808D</v>
      </c>
      <c r="V5326">
        <v>0</v>
      </c>
      <c r="W5326">
        <v>0</v>
      </c>
      <c r="X5326">
        <v>1</v>
      </c>
      <c r="Z5326">
        <v>0</v>
      </c>
      <c r="AA5326">
        <v>9</v>
      </c>
      <c r="AB5326">
        <v>3</v>
      </c>
      <c r="AC5326">
        <v>0</v>
      </c>
      <c r="AD5326">
        <v>10</v>
      </c>
      <c r="AE5326">
        <v>0</v>
      </c>
      <c r="AF5326">
        <v>3</v>
      </c>
      <c r="AG5326">
        <v>2</v>
      </c>
      <c r="AH5326">
        <v>0</v>
      </c>
      <c r="AI5326" t="s">
        <v>1177</v>
      </c>
      <c r="AJ5326">
        <v>28.225163999999999</v>
      </c>
      <c r="AK5326" t="s">
        <v>1178</v>
      </c>
      <c r="AL5326">
        <v>-82.387203999999997</v>
      </c>
      <c r="AM5326">
        <v>100</v>
      </c>
      <c r="AN5326">
        <v>1600</v>
      </c>
      <c r="AO5326" t="s">
        <v>118</v>
      </c>
      <c r="AP5326">
        <v>-91</v>
      </c>
      <c r="AQ5326">
        <v>-75</v>
      </c>
      <c r="AR5326">
        <v>-1024</v>
      </c>
      <c r="AZ5326">
        <v>1200</v>
      </c>
      <c r="BA5326">
        <v>1</v>
      </c>
      <c r="BB5326" t="str">
        <f t="shared" si="2436"/>
        <v xml:space="preserve">N711JA  </v>
      </c>
      <c r="BC5326">
        <v>1</v>
      </c>
      <c r="BE5326">
        <v>0</v>
      </c>
      <c r="BF5326">
        <v>0</v>
      </c>
      <c r="BG5326">
        <v>0</v>
      </c>
      <c r="BH5326">
        <v>1700</v>
      </c>
      <c r="BI5326">
        <v>1</v>
      </c>
      <c r="BJ5326">
        <v>1</v>
      </c>
      <c r="BK5326">
        <v>0</v>
      </c>
      <c r="BL5326">
        <v>0</v>
      </c>
      <c r="BO5326">
        <v>0</v>
      </c>
      <c r="BP5326">
        <v>0</v>
      </c>
      <c r="BW5326" t="str">
        <f t="shared" si="2464"/>
        <v>14:51:04.801</v>
      </c>
      <c r="CJ5326">
        <v>0</v>
      </c>
      <c r="CK5326">
        <v>2</v>
      </c>
      <c r="CL5326">
        <v>0</v>
      </c>
      <c r="CM5326">
        <v>2</v>
      </c>
      <c r="CN5326">
        <v>0</v>
      </c>
      <c r="CO5326">
        <v>7</v>
      </c>
      <c r="CP5326" t="s">
        <v>119</v>
      </c>
      <c r="CQ5326">
        <v>358</v>
      </c>
      <c r="CR5326">
        <v>0</v>
      </c>
      <c r="CW5326">
        <v>5251113</v>
      </c>
      <c r="CY5326">
        <v>1</v>
      </c>
      <c r="CZ5326">
        <v>0</v>
      </c>
      <c r="DA5326">
        <v>1</v>
      </c>
      <c r="DB5326">
        <v>0</v>
      </c>
      <c r="DC5326">
        <v>0</v>
      </c>
      <c r="DD5326">
        <v>1</v>
      </c>
      <c r="DE5326">
        <v>0</v>
      </c>
      <c r="DF5326">
        <v>0</v>
      </c>
      <c r="DG5326">
        <v>0</v>
      </c>
      <c r="DH5326">
        <v>0</v>
      </c>
      <c r="DI5326">
        <v>0</v>
      </c>
    </row>
    <row r="5327" spans="1:113" x14ac:dyDescent="0.3">
      <c r="A5327" t="str">
        <f t="shared" ref="A5327:A5334" si="2465">"05/12/2020 14:50:48.126"</f>
        <v>05/12/2020 14:50:48.126</v>
      </c>
      <c r="C5327" t="str">
        <f t="shared" si="2435"/>
        <v>FFDFD3C0</v>
      </c>
      <c r="D5327" t="s">
        <v>126</v>
      </c>
      <c r="E5327">
        <v>6</v>
      </c>
      <c r="F5327">
        <v>1006</v>
      </c>
      <c r="G5327" t="s">
        <v>114</v>
      </c>
      <c r="J5327" t="s">
        <v>128</v>
      </c>
      <c r="K5327">
        <v>0</v>
      </c>
      <c r="L5327">
        <v>3</v>
      </c>
      <c r="M5327">
        <v>0</v>
      </c>
      <c r="N5327">
        <v>2</v>
      </c>
      <c r="O5327">
        <v>1</v>
      </c>
      <c r="P5327">
        <v>0</v>
      </c>
      <c r="Q5327">
        <v>0</v>
      </c>
      <c r="S5327" t="str">
        <f t="shared" ref="S5327:T5334" si="2466">"14:51:05.969"</f>
        <v>14:51:05.969</v>
      </c>
      <c r="T5327" t="str">
        <f t="shared" si="2466"/>
        <v>14:51:05.969</v>
      </c>
      <c r="U5327" t="str">
        <f t="shared" si="2460"/>
        <v>A9808D</v>
      </c>
      <c r="V5327">
        <v>0</v>
      </c>
      <c r="W5327">
        <v>0</v>
      </c>
      <c r="X5327">
        <v>1</v>
      </c>
      <c r="Z5327">
        <v>0</v>
      </c>
      <c r="AA5327">
        <v>9</v>
      </c>
      <c r="AB5327">
        <v>3</v>
      </c>
      <c r="AC5327">
        <v>0</v>
      </c>
      <c r="AD5327">
        <v>10</v>
      </c>
      <c r="AE5327">
        <v>0</v>
      </c>
      <c r="AF5327">
        <v>3</v>
      </c>
      <c r="AG5327">
        <v>2</v>
      </c>
      <c r="AH5327">
        <v>0</v>
      </c>
      <c r="AI5327" t="s">
        <v>1179</v>
      </c>
      <c r="AJ5327">
        <v>28.224757</v>
      </c>
      <c r="AK5327" t="s">
        <v>1180</v>
      </c>
      <c r="AL5327">
        <v>-82.387741000000005</v>
      </c>
      <c r="AM5327">
        <v>100</v>
      </c>
      <c r="AN5327">
        <v>1600</v>
      </c>
      <c r="AO5327" t="s">
        <v>118</v>
      </c>
      <c r="AP5327">
        <v>-89</v>
      </c>
      <c r="AQ5327">
        <v>-78</v>
      </c>
      <c r="AR5327">
        <v>-960</v>
      </c>
      <c r="AZ5327">
        <v>1200</v>
      </c>
      <c r="BA5327">
        <v>1</v>
      </c>
      <c r="BB5327" t="str">
        <f t="shared" si="2436"/>
        <v xml:space="preserve">N711JA  </v>
      </c>
      <c r="BC5327">
        <v>1</v>
      </c>
      <c r="BE5327">
        <v>0</v>
      </c>
      <c r="BF5327">
        <v>0</v>
      </c>
      <c r="BG5327">
        <v>0</v>
      </c>
      <c r="BH5327">
        <v>1675</v>
      </c>
      <c r="BI5327">
        <v>1</v>
      </c>
      <c r="BJ5327">
        <v>1</v>
      </c>
      <c r="BK5327">
        <v>0</v>
      </c>
      <c r="BL5327">
        <v>0</v>
      </c>
      <c r="BO5327">
        <v>0</v>
      </c>
      <c r="BP5327">
        <v>0</v>
      </c>
      <c r="BW5327" t="str">
        <f t="shared" ref="BW5327:BW5334" si="2467">"14:51:05.976"</f>
        <v>14:51:05.976</v>
      </c>
      <c r="CJ5327">
        <v>0</v>
      </c>
      <c r="CK5327">
        <v>2</v>
      </c>
      <c r="CL5327">
        <v>0</v>
      </c>
      <c r="CM5327">
        <v>2</v>
      </c>
      <c r="CN5327">
        <v>0</v>
      </c>
      <c r="CO5327">
        <v>7</v>
      </c>
      <c r="CP5327" t="s">
        <v>119</v>
      </c>
      <c r="CQ5327">
        <v>343</v>
      </c>
      <c r="CR5327">
        <v>1</v>
      </c>
      <c r="CW5327">
        <v>11139814</v>
      </c>
      <c r="CY5327">
        <v>1</v>
      </c>
      <c r="CZ5327">
        <v>0</v>
      </c>
      <c r="DA5327">
        <v>0</v>
      </c>
      <c r="DB5327">
        <v>0</v>
      </c>
      <c r="DC5327">
        <v>0</v>
      </c>
      <c r="DD5327">
        <v>1</v>
      </c>
      <c r="DE5327">
        <v>0</v>
      </c>
      <c r="DF5327">
        <v>0</v>
      </c>
      <c r="DG5327">
        <v>0</v>
      </c>
      <c r="DH5327">
        <v>0</v>
      </c>
      <c r="DI5327">
        <v>0</v>
      </c>
    </row>
    <row r="5328" spans="1:113" x14ac:dyDescent="0.3">
      <c r="A5328" t="str">
        <f t="shared" si="2465"/>
        <v>05/12/2020 14:50:48.126</v>
      </c>
      <c r="C5328" t="str">
        <f t="shared" si="2435"/>
        <v>FFDFD3C0</v>
      </c>
      <c r="D5328" t="s">
        <v>138</v>
      </c>
      <c r="E5328">
        <v>3</v>
      </c>
      <c r="H5328">
        <v>9</v>
      </c>
      <c r="I5328" t="s">
        <v>140</v>
      </c>
      <c r="J5328" t="s">
        <v>136</v>
      </c>
      <c r="K5328">
        <v>0</v>
      </c>
      <c r="L5328">
        <v>3</v>
      </c>
      <c r="M5328">
        <v>0</v>
      </c>
      <c r="N5328">
        <v>2</v>
      </c>
      <c r="O5328">
        <v>1</v>
      </c>
      <c r="P5328">
        <v>0</v>
      </c>
      <c r="Q5328">
        <v>0</v>
      </c>
      <c r="S5328" t="str">
        <f t="shared" si="2466"/>
        <v>14:51:05.969</v>
      </c>
      <c r="T5328" t="str">
        <f t="shared" si="2466"/>
        <v>14:51:05.969</v>
      </c>
      <c r="U5328" t="str">
        <f t="shared" si="2460"/>
        <v>A9808D</v>
      </c>
      <c r="V5328">
        <v>0</v>
      </c>
      <c r="W5328">
        <v>0</v>
      </c>
      <c r="X5328">
        <v>1</v>
      </c>
      <c r="Z5328">
        <v>0</v>
      </c>
      <c r="AA5328">
        <v>9</v>
      </c>
      <c r="AB5328">
        <v>3</v>
      </c>
      <c r="AC5328">
        <v>0</v>
      </c>
      <c r="AD5328">
        <v>10</v>
      </c>
      <c r="AE5328">
        <v>0</v>
      </c>
      <c r="AF5328">
        <v>3</v>
      </c>
      <c r="AG5328">
        <v>2</v>
      </c>
      <c r="AH5328">
        <v>0</v>
      </c>
      <c r="AI5328" t="s">
        <v>1179</v>
      </c>
      <c r="AJ5328">
        <v>28.224757</v>
      </c>
      <c r="AK5328" t="s">
        <v>1180</v>
      </c>
      <c r="AL5328">
        <v>-82.387741000000005</v>
      </c>
      <c r="AM5328">
        <v>100</v>
      </c>
      <c r="AN5328">
        <v>1600</v>
      </c>
      <c r="AO5328" t="s">
        <v>118</v>
      </c>
      <c r="AP5328">
        <v>-89</v>
      </c>
      <c r="AQ5328">
        <v>-78</v>
      </c>
      <c r="AR5328">
        <v>-960</v>
      </c>
      <c r="AZ5328">
        <v>1200</v>
      </c>
      <c r="BA5328">
        <v>1</v>
      </c>
      <c r="BB5328" t="str">
        <f t="shared" si="2436"/>
        <v xml:space="preserve">N711JA  </v>
      </c>
      <c r="BC5328">
        <v>1</v>
      </c>
      <c r="BE5328">
        <v>0</v>
      </c>
      <c r="BF5328">
        <v>0</v>
      </c>
      <c r="BG5328">
        <v>0</v>
      </c>
      <c r="BH5328">
        <v>1675</v>
      </c>
      <c r="BI5328">
        <v>1</v>
      </c>
      <c r="BJ5328">
        <v>1</v>
      </c>
      <c r="BK5328">
        <v>0</v>
      </c>
      <c r="BL5328">
        <v>0</v>
      </c>
      <c r="BO5328">
        <v>0</v>
      </c>
      <c r="BP5328">
        <v>0</v>
      </c>
      <c r="BW5328" t="str">
        <f t="shared" si="2467"/>
        <v>14:51:05.976</v>
      </c>
      <c r="CJ5328">
        <v>0</v>
      </c>
      <c r="CK5328">
        <v>2</v>
      </c>
      <c r="CL5328">
        <v>0</v>
      </c>
      <c r="CM5328">
        <v>2</v>
      </c>
      <c r="CN5328">
        <v>0</v>
      </c>
      <c r="CO5328">
        <v>7</v>
      </c>
      <c r="CP5328" t="s">
        <v>119</v>
      </c>
      <c r="CQ5328">
        <v>343</v>
      </c>
      <c r="CR5328">
        <v>1</v>
      </c>
      <c r="CW5328">
        <v>11139814</v>
      </c>
      <c r="CY5328">
        <v>1</v>
      </c>
      <c r="CZ5328">
        <v>0</v>
      </c>
      <c r="DA5328">
        <v>1</v>
      </c>
      <c r="DB5328">
        <v>0</v>
      </c>
      <c r="DC5328">
        <v>0</v>
      </c>
      <c r="DD5328">
        <v>1</v>
      </c>
      <c r="DE5328">
        <v>0</v>
      </c>
      <c r="DF5328">
        <v>0</v>
      </c>
      <c r="DG5328">
        <v>0</v>
      </c>
      <c r="DH5328">
        <v>0</v>
      </c>
      <c r="DI5328">
        <v>0</v>
      </c>
    </row>
    <row r="5329" spans="1:113" x14ac:dyDescent="0.3">
      <c r="A5329" t="str">
        <f t="shared" si="2465"/>
        <v>05/12/2020 14:50:48.126</v>
      </c>
      <c r="C5329" t="str">
        <f t="shared" si="2435"/>
        <v>FFDFD3C0</v>
      </c>
      <c r="D5329" t="s">
        <v>126</v>
      </c>
      <c r="E5329">
        <v>7</v>
      </c>
      <c r="F5329">
        <v>1007</v>
      </c>
      <c r="G5329" t="s">
        <v>127</v>
      </c>
      <c r="J5329" t="s">
        <v>128</v>
      </c>
      <c r="K5329">
        <v>0</v>
      </c>
      <c r="L5329">
        <v>3</v>
      </c>
      <c r="M5329">
        <v>0</v>
      </c>
      <c r="N5329">
        <v>2</v>
      </c>
      <c r="O5329">
        <v>1</v>
      </c>
      <c r="P5329">
        <v>0</v>
      </c>
      <c r="Q5329">
        <v>0</v>
      </c>
      <c r="S5329" t="str">
        <f t="shared" si="2466"/>
        <v>14:51:05.969</v>
      </c>
      <c r="T5329" t="str">
        <f t="shared" si="2466"/>
        <v>14:51:05.969</v>
      </c>
      <c r="U5329" t="str">
        <f t="shared" si="2460"/>
        <v>A9808D</v>
      </c>
      <c r="V5329">
        <v>0</v>
      </c>
      <c r="W5329">
        <v>0</v>
      </c>
      <c r="X5329">
        <v>1</v>
      </c>
      <c r="Z5329">
        <v>0</v>
      </c>
      <c r="AA5329">
        <v>9</v>
      </c>
      <c r="AB5329">
        <v>3</v>
      </c>
      <c r="AC5329">
        <v>0</v>
      </c>
      <c r="AD5329">
        <v>10</v>
      </c>
      <c r="AE5329">
        <v>0</v>
      </c>
      <c r="AF5329">
        <v>3</v>
      </c>
      <c r="AG5329">
        <v>2</v>
      </c>
      <c r="AH5329">
        <v>0</v>
      </c>
      <c r="AI5329" t="s">
        <v>1179</v>
      </c>
      <c r="AJ5329">
        <v>28.224757</v>
      </c>
      <c r="AK5329" t="s">
        <v>1180</v>
      </c>
      <c r="AL5329">
        <v>-82.387741000000005</v>
      </c>
      <c r="AM5329">
        <v>100</v>
      </c>
      <c r="AN5329">
        <v>1600</v>
      </c>
      <c r="AO5329" t="s">
        <v>118</v>
      </c>
      <c r="AP5329">
        <v>-89</v>
      </c>
      <c r="AQ5329">
        <v>-78</v>
      </c>
      <c r="AR5329">
        <v>-960</v>
      </c>
      <c r="AZ5329">
        <v>1200</v>
      </c>
      <c r="BA5329">
        <v>1</v>
      </c>
      <c r="BB5329" t="str">
        <f t="shared" si="2436"/>
        <v xml:space="preserve">N711JA  </v>
      </c>
      <c r="BC5329">
        <v>1</v>
      </c>
      <c r="BE5329">
        <v>0</v>
      </c>
      <c r="BF5329">
        <v>0</v>
      </c>
      <c r="BG5329">
        <v>0</v>
      </c>
      <c r="BH5329">
        <v>1675</v>
      </c>
      <c r="BI5329">
        <v>1</v>
      </c>
      <c r="BJ5329">
        <v>1</v>
      </c>
      <c r="BK5329">
        <v>0</v>
      </c>
      <c r="BL5329">
        <v>0</v>
      </c>
      <c r="BO5329">
        <v>0</v>
      </c>
      <c r="BP5329">
        <v>0</v>
      </c>
      <c r="BW5329" t="str">
        <f t="shared" si="2467"/>
        <v>14:51:05.976</v>
      </c>
      <c r="CJ5329">
        <v>0</v>
      </c>
      <c r="CK5329">
        <v>2</v>
      </c>
      <c r="CL5329">
        <v>0</v>
      </c>
      <c r="CM5329">
        <v>2</v>
      </c>
      <c r="CN5329">
        <v>0</v>
      </c>
      <c r="CO5329">
        <v>7</v>
      </c>
      <c r="CP5329" t="s">
        <v>119</v>
      </c>
      <c r="CQ5329">
        <v>343</v>
      </c>
      <c r="CR5329">
        <v>1</v>
      </c>
      <c r="CW5329">
        <v>11139814</v>
      </c>
      <c r="CY5329">
        <v>1</v>
      </c>
      <c r="CZ5329">
        <v>0</v>
      </c>
      <c r="DA5329">
        <v>1</v>
      </c>
      <c r="DB5329">
        <v>0</v>
      </c>
      <c r="DC5329">
        <v>0</v>
      </c>
      <c r="DD5329">
        <v>1</v>
      </c>
      <c r="DE5329">
        <v>0</v>
      </c>
      <c r="DF5329">
        <v>0</v>
      </c>
      <c r="DG5329">
        <v>0</v>
      </c>
      <c r="DH5329">
        <v>0</v>
      </c>
      <c r="DI5329">
        <v>0</v>
      </c>
    </row>
    <row r="5330" spans="1:113" x14ac:dyDescent="0.3">
      <c r="A5330" t="str">
        <f t="shared" si="2465"/>
        <v>05/12/2020 14:50:48.126</v>
      </c>
      <c r="C5330" t="str">
        <f t="shared" si="2435"/>
        <v>FFDFD3C0</v>
      </c>
      <c r="D5330" t="s">
        <v>131</v>
      </c>
      <c r="E5330">
        <v>10</v>
      </c>
      <c r="F5330">
        <v>2010</v>
      </c>
      <c r="G5330" t="s">
        <v>132</v>
      </c>
      <c r="J5330" t="s">
        <v>133</v>
      </c>
      <c r="K5330">
        <v>0</v>
      </c>
      <c r="L5330">
        <v>3</v>
      </c>
      <c r="M5330">
        <v>0</v>
      </c>
      <c r="N5330">
        <v>2</v>
      </c>
      <c r="O5330">
        <v>1</v>
      </c>
      <c r="P5330">
        <v>0</v>
      </c>
      <c r="Q5330">
        <v>0</v>
      </c>
      <c r="S5330" t="str">
        <f t="shared" si="2466"/>
        <v>14:51:05.969</v>
      </c>
      <c r="T5330" t="str">
        <f t="shared" si="2466"/>
        <v>14:51:05.969</v>
      </c>
      <c r="U5330" t="str">
        <f t="shared" si="2460"/>
        <v>A9808D</v>
      </c>
      <c r="V5330">
        <v>0</v>
      </c>
      <c r="W5330">
        <v>0</v>
      </c>
      <c r="X5330">
        <v>1</v>
      </c>
      <c r="Z5330">
        <v>0</v>
      </c>
      <c r="AA5330">
        <v>9</v>
      </c>
      <c r="AB5330">
        <v>3</v>
      </c>
      <c r="AC5330">
        <v>0</v>
      </c>
      <c r="AD5330">
        <v>10</v>
      </c>
      <c r="AE5330">
        <v>0</v>
      </c>
      <c r="AF5330">
        <v>3</v>
      </c>
      <c r="AG5330">
        <v>2</v>
      </c>
      <c r="AH5330">
        <v>0</v>
      </c>
      <c r="AI5330" t="s">
        <v>1179</v>
      </c>
      <c r="AJ5330">
        <v>28.224757</v>
      </c>
      <c r="AK5330" t="s">
        <v>1180</v>
      </c>
      <c r="AL5330">
        <v>-82.387741000000005</v>
      </c>
      <c r="AM5330">
        <v>100</v>
      </c>
      <c r="AN5330">
        <v>1600</v>
      </c>
      <c r="AO5330" t="s">
        <v>118</v>
      </c>
      <c r="AP5330">
        <v>-89</v>
      </c>
      <c r="AQ5330">
        <v>-78</v>
      </c>
      <c r="AR5330">
        <v>-960</v>
      </c>
      <c r="AZ5330">
        <v>1200</v>
      </c>
      <c r="BA5330">
        <v>1</v>
      </c>
      <c r="BB5330" t="str">
        <f t="shared" si="2436"/>
        <v xml:space="preserve">N711JA  </v>
      </c>
      <c r="BC5330">
        <v>1</v>
      </c>
      <c r="BE5330">
        <v>0</v>
      </c>
      <c r="BF5330">
        <v>0</v>
      </c>
      <c r="BG5330">
        <v>0</v>
      </c>
      <c r="BH5330">
        <v>1675</v>
      </c>
      <c r="BI5330">
        <v>1</v>
      </c>
      <c r="BJ5330">
        <v>1</v>
      </c>
      <c r="BK5330">
        <v>0</v>
      </c>
      <c r="BL5330">
        <v>0</v>
      </c>
      <c r="BO5330">
        <v>0</v>
      </c>
      <c r="BP5330">
        <v>0</v>
      </c>
      <c r="BW5330" t="str">
        <f t="shared" si="2467"/>
        <v>14:51:05.976</v>
      </c>
      <c r="CJ5330">
        <v>0</v>
      </c>
      <c r="CK5330">
        <v>2</v>
      </c>
      <c r="CL5330">
        <v>0</v>
      </c>
      <c r="CM5330">
        <v>2</v>
      </c>
      <c r="CN5330">
        <v>0</v>
      </c>
      <c r="CO5330">
        <v>7</v>
      </c>
      <c r="CP5330" t="s">
        <v>119</v>
      </c>
      <c r="CQ5330">
        <v>343</v>
      </c>
      <c r="CR5330">
        <v>1</v>
      </c>
      <c r="CW5330">
        <v>11139814</v>
      </c>
      <c r="CY5330">
        <v>1</v>
      </c>
      <c r="CZ5330">
        <v>0</v>
      </c>
      <c r="DA5330">
        <v>1</v>
      </c>
      <c r="DB5330">
        <v>0</v>
      </c>
      <c r="DC5330">
        <v>0</v>
      </c>
      <c r="DD5330">
        <v>1</v>
      </c>
      <c r="DE5330">
        <v>0</v>
      </c>
      <c r="DF5330">
        <v>0</v>
      </c>
      <c r="DG5330">
        <v>0</v>
      </c>
      <c r="DH5330">
        <v>0</v>
      </c>
      <c r="DI5330">
        <v>0</v>
      </c>
    </row>
    <row r="5331" spans="1:113" x14ac:dyDescent="0.3">
      <c r="A5331" t="str">
        <f t="shared" si="2465"/>
        <v>05/12/2020 14:50:48.126</v>
      </c>
      <c r="C5331" t="str">
        <f t="shared" si="2435"/>
        <v>FFDFD3C0</v>
      </c>
      <c r="D5331" t="s">
        <v>131</v>
      </c>
      <c r="E5331">
        <v>12</v>
      </c>
      <c r="F5331">
        <v>2012</v>
      </c>
      <c r="G5331" t="s">
        <v>137</v>
      </c>
      <c r="J5331" t="s">
        <v>133</v>
      </c>
      <c r="K5331">
        <v>0</v>
      </c>
      <c r="L5331">
        <v>3</v>
      </c>
      <c r="M5331">
        <v>0</v>
      </c>
      <c r="N5331">
        <v>2</v>
      </c>
      <c r="O5331">
        <v>1</v>
      </c>
      <c r="P5331">
        <v>0</v>
      </c>
      <c r="Q5331">
        <v>0</v>
      </c>
      <c r="S5331" t="str">
        <f t="shared" si="2466"/>
        <v>14:51:05.969</v>
      </c>
      <c r="T5331" t="str">
        <f t="shared" si="2466"/>
        <v>14:51:05.969</v>
      </c>
      <c r="U5331" t="str">
        <f t="shared" si="2460"/>
        <v>A9808D</v>
      </c>
      <c r="V5331">
        <v>0</v>
      </c>
      <c r="W5331">
        <v>0</v>
      </c>
      <c r="X5331">
        <v>1</v>
      </c>
      <c r="Z5331">
        <v>0</v>
      </c>
      <c r="AA5331">
        <v>9</v>
      </c>
      <c r="AB5331">
        <v>3</v>
      </c>
      <c r="AC5331">
        <v>0</v>
      </c>
      <c r="AD5331">
        <v>10</v>
      </c>
      <c r="AE5331">
        <v>0</v>
      </c>
      <c r="AF5331">
        <v>3</v>
      </c>
      <c r="AG5331">
        <v>2</v>
      </c>
      <c r="AH5331">
        <v>0</v>
      </c>
      <c r="AI5331" t="s">
        <v>1179</v>
      </c>
      <c r="AJ5331">
        <v>28.224757</v>
      </c>
      <c r="AK5331" t="s">
        <v>1180</v>
      </c>
      <c r="AL5331">
        <v>-82.387741000000005</v>
      </c>
      <c r="AM5331">
        <v>100</v>
      </c>
      <c r="AN5331">
        <v>1600</v>
      </c>
      <c r="AO5331" t="s">
        <v>118</v>
      </c>
      <c r="AP5331">
        <v>-89</v>
      </c>
      <c r="AQ5331">
        <v>-78</v>
      </c>
      <c r="AR5331">
        <v>-960</v>
      </c>
      <c r="AZ5331">
        <v>1200</v>
      </c>
      <c r="BA5331">
        <v>1</v>
      </c>
      <c r="BB5331" t="str">
        <f t="shared" si="2436"/>
        <v xml:space="preserve">N711JA  </v>
      </c>
      <c r="BC5331">
        <v>1</v>
      </c>
      <c r="BE5331">
        <v>0</v>
      </c>
      <c r="BF5331">
        <v>0</v>
      </c>
      <c r="BG5331">
        <v>0</v>
      </c>
      <c r="BH5331">
        <v>1675</v>
      </c>
      <c r="BI5331">
        <v>1</v>
      </c>
      <c r="BJ5331">
        <v>1</v>
      </c>
      <c r="BK5331">
        <v>0</v>
      </c>
      <c r="BL5331">
        <v>0</v>
      </c>
      <c r="BO5331">
        <v>0</v>
      </c>
      <c r="BP5331">
        <v>0</v>
      </c>
      <c r="BW5331" t="str">
        <f t="shared" si="2467"/>
        <v>14:51:05.976</v>
      </c>
      <c r="CJ5331">
        <v>0</v>
      </c>
      <c r="CK5331">
        <v>2</v>
      </c>
      <c r="CL5331">
        <v>0</v>
      </c>
      <c r="CM5331">
        <v>2</v>
      </c>
      <c r="CN5331">
        <v>0</v>
      </c>
      <c r="CO5331">
        <v>7</v>
      </c>
      <c r="CP5331" t="s">
        <v>119</v>
      </c>
      <c r="CQ5331">
        <v>343</v>
      </c>
      <c r="CR5331">
        <v>1</v>
      </c>
      <c r="CW5331">
        <v>11139814</v>
      </c>
      <c r="CY5331">
        <v>1</v>
      </c>
      <c r="CZ5331">
        <v>0</v>
      </c>
      <c r="DA5331">
        <v>1</v>
      </c>
      <c r="DB5331">
        <v>0</v>
      </c>
      <c r="DC5331">
        <v>0</v>
      </c>
      <c r="DD5331">
        <v>1</v>
      </c>
      <c r="DE5331">
        <v>0</v>
      </c>
      <c r="DF5331">
        <v>0</v>
      </c>
      <c r="DG5331">
        <v>0</v>
      </c>
      <c r="DH5331">
        <v>0</v>
      </c>
      <c r="DI5331">
        <v>0</v>
      </c>
    </row>
    <row r="5332" spans="1:113" x14ac:dyDescent="0.3">
      <c r="A5332" t="str">
        <f t="shared" si="2465"/>
        <v>05/12/2020 14:50:48.126</v>
      </c>
      <c r="C5332" t="str">
        <f t="shared" si="2435"/>
        <v>FFDFD3C0</v>
      </c>
      <c r="D5332" t="s">
        <v>134</v>
      </c>
      <c r="E5332">
        <v>12</v>
      </c>
      <c r="H5332">
        <v>64</v>
      </c>
      <c r="I5332" t="s">
        <v>135</v>
      </c>
      <c r="J5332" t="s">
        <v>136</v>
      </c>
      <c r="K5332">
        <v>0</v>
      </c>
      <c r="L5332">
        <v>3</v>
      </c>
      <c r="M5332">
        <v>0</v>
      </c>
      <c r="N5332">
        <v>2</v>
      </c>
      <c r="O5332">
        <v>1</v>
      </c>
      <c r="P5332">
        <v>0</v>
      </c>
      <c r="Q5332">
        <v>0</v>
      </c>
      <c r="S5332" t="str">
        <f t="shared" si="2466"/>
        <v>14:51:05.969</v>
      </c>
      <c r="T5332" t="str">
        <f t="shared" si="2466"/>
        <v>14:51:05.969</v>
      </c>
      <c r="U5332" t="str">
        <f t="shared" si="2460"/>
        <v>A9808D</v>
      </c>
      <c r="V5332">
        <v>0</v>
      </c>
      <c r="W5332">
        <v>0</v>
      </c>
      <c r="X5332">
        <v>1</v>
      </c>
      <c r="Z5332">
        <v>0</v>
      </c>
      <c r="AA5332">
        <v>9</v>
      </c>
      <c r="AB5332">
        <v>3</v>
      </c>
      <c r="AC5332">
        <v>0</v>
      </c>
      <c r="AD5332">
        <v>10</v>
      </c>
      <c r="AE5332">
        <v>0</v>
      </c>
      <c r="AF5332">
        <v>3</v>
      </c>
      <c r="AG5332">
        <v>2</v>
      </c>
      <c r="AH5332">
        <v>0</v>
      </c>
      <c r="AI5332" t="s">
        <v>1179</v>
      </c>
      <c r="AJ5332">
        <v>28.224757</v>
      </c>
      <c r="AK5332" t="s">
        <v>1180</v>
      </c>
      <c r="AL5332">
        <v>-82.387741000000005</v>
      </c>
      <c r="AM5332">
        <v>100</v>
      </c>
      <c r="AN5332">
        <v>1600</v>
      </c>
      <c r="AO5332" t="s">
        <v>118</v>
      </c>
      <c r="AP5332">
        <v>-89</v>
      </c>
      <c r="AQ5332">
        <v>-78</v>
      </c>
      <c r="AR5332">
        <v>-960</v>
      </c>
      <c r="AZ5332">
        <v>1200</v>
      </c>
      <c r="BA5332">
        <v>1</v>
      </c>
      <c r="BB5332" t="str">
        <f t="shared" si="2436"/>
        <v xml:space="preserve">N711JA  </v>
      </c>
      <c r="BC5332">
        <v>1</v>
      </c>
      <c r="BE5332">
        <v>0</v>
      </c>
      <c r="BF5332">
        <v>0</v>
      </c>
      <c r="BG5332">
        <v>0</v>
      </c>
      <c r="BH5332">
        <v>1675</v>
      </c>
      <c r="BI5332">
        <v>1</v>
      </c>
      <c r="BJ5332">
        <v>1</v>
      </c>
      <c r="BK5332">
        <v>0</v>
      </c>
      <c r="BL5332">
        <v>0</v>
      </c>
      <c r="BO5332">
        <v>0</v>
      </c>
      <c r="BP5332">
        <v>0</v>
      </c>
      <c r="BW5332" t="str">
        <f t="shared" si="2467"/>
        <v>14:51:05.976</v>
      </c>
      <c r="CJ5332">
        <v>0</v>
      </c>
      <c r="CK5332">
        <v>2</v>
      </c>
      <c r="CL5332">
        <v>0</v>
      </c>
      <c r="CM5332">
        <v>2</v>
      </c>
      <c r="CN5332">
        <v>0</v>
      </c>
      <c r="CO5332">
        <v>7</v>
      </c>
      <c r="CP5332" t="s">
        <v>119</v>
      </c>
      <c r="CQ5332">
        <v>343</v>
      </c>
      <c r="CR5332">
        <v>1</v>
      </c>
      <c r="CW5332">
        <v>11139814</v>
      </c>
      <c r="CY5332">
        <v>1</v>
      </c>
      <c r="CZ5332">
        <v>0</v>
      </c>
      <c r="DA5332">
        <v>1</v>
      </c>
      <c r="DB5332">
        <v>0</v>
      </c>
      <c r="DC5332">
        <v>0</v>
      </c>
      <c r="DD5332">
        <v>1</v>
      </c>
      <c r="DE5332">
        <v>0</v>
      </c>
      <c r="DF5332">
        <v>0</v>
      </c>
      <c r="DG5332">
        <v>0</v>
      </c>
      <c r="DH5332">
        <v>0</v>
      </c>
      <c r="DI5332">
        <v>0</v>
      </c>
    </row>
    <row r="5333" spans="1:113" x14ac:dyDescent="0.3">
      <c r="A5333" t="str">
        <f t="shared" si="2465"/>
        <v>05/12/2020 14:50:48.126</v>
      </c>
      <c r="C5333" t="str">
        <f t="shared" si="2435"/>
        <v>FFDFD3C0</v>
      </c>
      <c r="D5333" t="s">
        <v>138</v>
      </c>
      <c r="E5333">
        <v>2</v>
      </c>
      <c r="H5333">
        <v>8</v>
      </c>
      <c r="I5333" t="s">
        <v>139</v>
      </c>
      <c r="J5333" t="s">
        <v>136</v>
      </c>
      <c r="K5333">
        <v>0</v>
      </c>
      <c r="L5333">
        <v>3</v>
      </c>
      <c r="M5333">
        <v>0</v>
      </c>
      <c r="N5333">
        <v>2</v>
      </c>
      <c r="O5333">
        <v>1</v>
      </c>
      <c r="P5333">
        <v>0</v>
      </c>
      <c r="Q5333">
        <v>0</v>
      </c>
      <c r="S5333" t="str">
        <f t="shared" si="2466"/>
        <v>14:51:05.969</v>
      </c>
      <c r="T5333" t="str">
        <f t="shared" si="2466"/>
        <v>14:51:05.969</v>
      </c>
      <c r="U5333" t="str">
        <f t="shared" si="2460"/>
        <v>A9808D</v>
      </c>
      <c r="V5333">
        <v>0</v>
      </c>
      <c r="W5333">
        <v>0</v>
      </c>
      <c r="X5333">
        <v>1</v>
      </c>
      <c r="Z5333">
        <v>0</v>
      </c>
      <c r="AA5333">
        <v>9</v>
      </c>
      <c r="AB5333">
        <v>3</v>
      </c>
      <c r="AC5333">
        <v>0</v>
      </c>
      <c r="AD5333">
        <v>10</v>
      </c>
      <c r="AE5333">
        <v>0</v>
      </c>
      <c r="AF5333">
        <v>3</v>
      </c>
      <c r="AG5333">
        <v>2</v>
      </c>
      <c r="AH5333">
        <v>0</v>
      </c>
      <c r="AI5333" t="s">
        <v>1179</v>
      </c>
      <c r="AJ5333">
        <v>28.224757</v>
      </c>
      <c r="AK5333" t="s">
        <v>1180</v>
      </c>
      <c r="AL5333">
        <v>-82.387741000000005</v>
      </c>
      <c r="AM5333">
        <v>100</v>
      </c>
      <c r="AN5333">
        <v>1600</v>
      </c>
      <c r="AO5333" t="s">
        <v>118</v>
      </c>
      <c r="AP5333">
        <v>-89</v>
      </c>
      <c r="AQ5333">
        <v>-78</v>
      </c>
      <c r="AR5333">
        <v>-960</v>
      </c>
      <c r="AZ5333">
        <v>1200</v>
      </c>
      <c r="BA5333">
        <v>1</v>
      </c>
      <c r="BB5333" t="str">
        <f t="shared" si="2436"/>
        <v xml:space="preserve">N711JA  </v>
      </c>
      <c r="BC5333">
        <v>1</v>
      </c>
      <c r="BE5333">
        <v>0</v>
      </c>
      <c r="BF5333">
        <v>0</v>
      </c>
      <c r="BG5333">
        <v>0</v>
      </c>
      <c r="BH5333">
        <v>1675</v>
      </c>
      <c r="BI5333">
        <v>1</v>
      </c>
      <c r="BJ5333">
        <v>1</v>
      </c>
      <c r="BK5333">
        <v>0</v>
      </c>
      <c r="BL5333">
        <v>0</v>
      </c>
      <c r="BO5333">
        <v>0</v>
      </c>
      <c r="BP5333">
        <v>0</v>
      </c>
      <c r="BW5333" t="str">
        <f t="shared" si="2467"/>
        <v>14:51:05.976</v>
      </c>
      <c r="CJ5333">
        <v>0</v>
      </c>
      <c r="CK5333">
        <v>2</v>
      </c>
      <c r="CL5333">
        <v>0</v>
      </c>
      <c r="CM5333">
        <v>2</v>
      </c>
      <c r="CN5333">
        <v>0</v>
      </c>
      <c r="CO5333">
        <v>7</v>
      </c>
      <c r="CP5333" t="s">
        <v>119</v>
      </c>
      <c r="CQ5333">
        <v>343</v>
      </c>
      <c r="CR5333">
        <v>1</v>
      </c>
      <c r="CW5333">
        <v>11139814</v>
      </c>
      <c r="CY5333">
        <v>1</v>
      </c>
      <c r="CZ5333">
        <v>0</v>
      </c>
      <c r="DA5333">
        <v>1</v>
      </c>
      <c r="DB5333">
        <v>0</v>
      </c>
      <c r="DC5333">
        <v>0</v>
      </c>
      <c r="DD5333">
        <v>1</v>
      </c>
      <c r="DE5333">
        <v>0</v>
      </c>
      <c r="DF5333">
        <v>0</v>
      </c>
      <c r="DG5333">
        <v>0</v>
      </c>
      <c r="DH5333">
        <v>0</v>
      </c>
      <c r="DI5333">
        <v>0</v>
      </c>
    </row>
    <row r="5334" spans="1:113" x14ac:dyDescent="0.3">
      <c r="A5334" t="str">
        <f t="shared" si="2465"/>
        <v>05/12/2020 14:50:48.126</v>
      </c>
      <c r="C5334" t="str">
        <f t="shared" ref="C5334:C5397" si="2468">"FFDFD3C0"</f>
        <v>FFDFD3C0</v>
      </c>
      <c r="D5334" t="s">
        <v>113</v>
      </c>
      <c r="E5334">
        <v>3</v>
      </c>
      <c r="H5334">
        <v>164</v>
      </c>
      <c r="I5334" t="s">
        <v>114</v>
      </c>
      <c r="J5334" t="s">
        <v>115</v>
      </c>
      <c r="K5334">
        <v>0</v>
      </c>
      <c r="L5334">
        <v>3</v>
      </c>
      <c r="M5334">
        <v>0</v>
      </c>
      <c r="N5334">
        <v>2</v>
      </c>
      <c r="O5334">
        <v>1</v>
      </c>
      <c r="P5334">
        <v>0</v>
      </c>
      <c r="Q5334">
        <v>0</v>
      </c>
      <c r="S5334" t="str">
        <f t="shared" si="2466"/>
        <v>14:51:05.969</v>
      </c>
      <c r="T5334" t="str">
        <f t="shared" si="2466"/>
        <v>14:51:05.969</v>
      </c>
      <c r="U5334" t="str">
        <f t="shared" si="2460"/>
        <v>A9808D</v>
      </c>
      <c r="V5334">
        <v>0</v>
      </c>
      <c r="W5334">
        <v>0</v>
      </c>
      <c r="X5334">
        <v>1</v>
      </c>
      <c r="Z5334">
        <v>0</v>
      </c>
      <c r="AA5334">
        <v>9</v>
      </c>
      <c r="AB5334">
        <v>3</v>
      </c>
      <c r="AC5334">
        <v>0</v>
      </c>
      <c r="AD5334">
        <v>10</v>
      </c>
      <c r="AE5334">
        <v>0</v>
      </c>
      <c r="AF5334">
        <v>3</v>
      </c>
      <c r="AG5334">
        <v>2</v>
      </c>
      <c r="AH5334">
        <v>0</v>
      </c>
      <c r="AI5334" t="s">
        <v>1179</v>
      </c>
      <c r="AJ5334">
        <v>28.224757</v>
      </c>
      <c r="AK5334" t="s">
        <v>1180</v>
      </c>
      <c r="AL5334">
        <v>-82.387741000000005</v>
      </c>
      <c r="AM5334">
        <v>100</v>
      </c>
      <c r="AN5334">
        <v>1600</v>
      </c>
      <c r="AO5334" t="s">
        <v>118</v>
      </c>
      <c r="AP5334">
        <v>-89</v>
      </c>
      <c r="AQ5334">
        <v>-78</v>
      </c>
      <c r="AR5334">
        <v>-960</v>
      </c>
      <c r="AZ5334">
        <v>1200</v>
      </c>
      <c r="BA5334">
        <v>1</v>
      </c>
      <c r="BB5334" t="str">
        <f t="shared" ref="BB5334:BB5397" si="2469">"N711JA  "</f>
        <v xml:space="preserve">N711JA  </v>
      </c>
      <c r="BC5334">
        <v>1</v>
      </c>
      <c r="BE5334">
        <v>0</v>
      </c>
      <c r="BF5334">
        <v>0</v>
      </c>
      <c r="BG5334">
        <v>0</v>
      </c>
      <c r="BH5334">
        <v>1675</v>
      </c>
      <c r="BI5334">
        <v>1</v>
      </c>
      <c r="BJ5334">
        <v>1</v>
      </c>
      <c r="BK5334">
        <v>0</v>
      </c>
      <c r="BL5334">
        <v>0</v>
      </c>
      <c r="BO5334">
        <v>0</v>
      </c>
      <c r="BP5334">
        <v>0</v>
      </c>
      <c r="BW5334" t="str">
        <f t="shared" si="2467"/>
        <v>14:51:05.976</v>
      </c>
      <c r="CJ5334">
        <v>0</v>
      </c>
      <c r="CK5334">
        <v>2</v>
      </c>
      <c r="CL5334">
        <v>0</v>
      </c>
      <c r="CM5334">
        <v>2</v>
      </c>
      <c r="CN5334">
        <v>0</v>
      </c>
      <c r="CO5334">
        <v>7</v>
      </c>
      <c r="CP5334" t="s">
        <v>119</v>
      </c>
      <c r="CQ5334">
        <v>343</v>
      </c>
      <c r="CR5334">
        <v>1</v>
      </c>
      <c r="CW5334">
        <v>11139814</v>
      </c>
      <c r="CY5334">
        <v>1</v>
      </c>
      <c r="CZ5334">
        <v>0</v>
      </c>
      <c r="DA5334">
        <v>1</v>
      </c>
      <c r="DB5334">
        <v>0</v>
      </c>
      <c r="DC5334">
        <v>0</v>
      </c>
      <c r="DD5334">
        <v>1</v>
      </c>
      <c r="DE5334">
        <v>0</v>
      </c>
      <c r="DF5334">
        <v>0</v>
      </c>
      <c r="DG5334">
        <v>0</v>
      </c>
      <c r="DH5334">
        <v>0</v>
      </c>
      <c r="DI5334">
        <v>0</v>
      </c>
    </row>
    <row r="5335" spans="1:113" x14ac:dyDescent="0.3">
      <c r="A5335" t="str">
        <f t="shared" ref="A5335:A5342" si="2470">"05/12/2020 14:50:49.040"</f>
        <v>05/12/2020 14:50:49.040</v>
      </c>
      <c r="C5335" t="str">
        <f t="shared" si="2468"/>
        <v>FFDFD3C0</v>
      </c>
      <c r="D5335" t="s">
        <v>126</v>
      </c>
      <c r="E5335">
        <v>7</v>
      </c>
      <c r="F5335">
        <v>1007</v>
      </c>
      <c r="G5335" t="s">
        <v>127</v>
      </c>
      <c r="J5335" t="s">
        <v>128</v>
      </c>
      <c r="K5335">
        <v>0</v>
      </c>
      <c r="L5335">
        <v>3</v>
      </c>
      <c r="M5335">
        <v>0</v>
      </c>
      <c r="N5335">
        <v>2</v>
      </c>
      <c r="O5335">
        <v>1</v>
      </c>
      <c r="P5335">
        <v>0</v>
      </c>
      <c r="Q5335">
        <v>0</v>
      </c>
      <c r="S5335" t="str">
        <f t="shared" ref="S5335:T5342" si="2471">"14:51:06.883"</f>
        <v>14:51:06.883</v>
      </c>
      <c r="T5335" t="str">
        <f t="shared" si="2471"/>
        <v>14:51:06.883</v>
      </c>
      <c r="U5335" t="str">
        <f t="shared" si="2460"/>
        <v>A9808D</v>
      </c>
      <c r="V5335">
        <v>0</v>
      </c>
      <c r="W5335">
        <v>0</v>
      </c>
      <c r="X5335">
        <v>1</v>
      </c>
      <c r="Z5335">
        <v>0</v>
      </c>
      <c r="AA5335">
        <v>9</v>
      </c>
      <c r="AB5335">
        <v>3</v>
      </c>
      <c r="AC5335">
        <v>0</v>
      </c>
      <c r="AD5335">
        <v>10</v>
      </c>
      <c r="AE5335">
        <v>0</v>
      </c>
      <c r="AF5335">
        <v>3</v>
      </c>
      <c r="AG5335">
        <v>2</v>
      </c>
      <c r="AH5335">
        <v>0</v>
      </c>
      <c r="AI5335" t="s">
        <v>1181</v>
      </c>
      <c r="AJ5335">
        <v>28.224392000000002</v>
      </c>
      <c r="AK5335" t="s">
        <v>1182</v>
      </c>
      <c r="AL5335">
        <v>-82.388148000000001</v>
      </c>
      <c r="AM5335">
        <v>100</v>
      </c>
      <c r="AN5335">
        <v>1600</v>
      </c>
      <c r="AO5335" t="s">
        <v>118</v>
      </c>
      <c r="AP5335">
        <v>-87</v>
      </c>
      <c r="AQ5335">
        <v>-80</v>
      </c>
      <c r="AR5335">
        <v>-1024</v>
      </c>
      <c r="AZ5335">
        <v>1200</v>
      </c>
      <c r="BA5335">
        <v>1</v>
      </c>
      <c r="BB5335" t="str">
        <f t="shared" si="2469"/>
        <v xml:space="preserve">N711JA  </v>
      </c>
      <c r="BC5335">
        <v>1</v>
      </c>
      <c r="BE5335">
        <v>0</v>
      </c>
      <c r="BF5335">
        <v>0</v>
      </c>
      <c r="BG5335">
        <v>0</v>
      </c>
      <c r="BH5335">
        <v>1650</v>
      </c>
      <c r="BI5335">
        <v>1</v>
      </c>
      <c r="BJ5335">
        <v>1</v>
      </c>
      <c r="BK5335">
        <v>0</v>
      </c>
      <c r="BL5335">
        <v>0</v>
      </c>
      <c r="BO5335">
        <v>0</v>
      </c>
      <c r="BP5335">
        <v>0</v>
      </c>
      <c r="BW5335" t="str">
        <f t="shared" ref="BW5335:BW5342" si="2472">"14:51:06.886"</f>
        <v>14:51:06.886</v>
      </c>
      <c r="CJ5335">
        <v>0</v>
      </c>
      <c r="CK5335">
        <v>2</v>
      </c>
      <c r="CL5335">
        <v>0</v>
      </c>
      <c r="CM5335">
        <v>2</v>
      </c>
      <c r="CN5335">
        <v>0</v>
      </c>
      <c r="CO5335">
        <v>7</v>
      </c>
      <c r="CP5335" t="s">
        <v>119</v>
      </c>
      <c r="CQ5335">
        <v>343</v>
      </c>
      <c r="CR5335">
        <v>1</v>
      </c>
      <c r="CW5335">
        <v>11140691</v>
      </c>
      <c r="CY5335">
        <v>1</v>
      </c>
      <c r="CZ5335">
        <v>0</v>
      </c>
      <c r="DA5335">
        <v>0</v>
      </c>
      <c r="DB5335">
        <v>0</v>
      </c>
      <c r="DC5335">
        <v>0</v>
      </c>
      <c r="DD5335">
        <v>1</v>
      </c>
      <c r="DE5335">
        <v>0</v>
      </c>
      <c r="DF5335">
        <v>0</v>
      </c>
      <c r="DG5335">
        <v>0</v>
      </c>
      <c r="DH5335">
        <v>0</v>
      </c>
      <c r="DI5335">
        <v>0</v>
      </c>
    </row>
    <row r="5336" spans="1:113" x14ac:dyDescent="0.3">
      <c r="A5336" t="str">
        <f t="shared" si="2470"/>
        <v>05/12/2020 14:50:49.040</v>
      </c>
      <c r="C5336" t="str">
        <f t="shared" si="2468"/>
        <v>FFDFD3C0</v>
      </c>
      <c r="D5336" t="s">
        <v>131</v>
      </c>
      <c r="E5336">
        <v>10</v>
      </c>
      <c r="F5336">
        <v>2010</v>
      </c>
      <c r="G5336" t="s">
        <v>132</v>
      </c>
      <c r="J5336" t="s">
        <v>133</v>
      </c>
      <c r="K5336">
        <v>0</v>
      </c>
      <c r="L5336">
        <v>3</v>
      </c>
      <c r="M5336">
        <v>0</v>
      </c>
      <c r="N5336">
        <v>2</v>
      </c>
      <c r="O5336">
        <v>1</v>
      </c>
      <c r="P5336">
        <v>0</v>
      </c>
      <c r="Q5336">
        <v>0</v>
      </c>
      <c r="S5336" t="str">
        <f t="shared" si="2471"/>
        <v>14:51:06.883</v>
      </c>
      <c r="T5336" t="str">
        <f t="shared" si="2471"/>
        <v>14:51:06.883</v>
      </c>
      <c r="U5336" t="str">
        <f t="shared" si="2460"/>
        <v>A9808D</v>
      </c>
      <c r="V5336">
        <v>0</v>
      </c>
      <c r="W5336">
        <v>0</v>
      </c>
      <c r="X5336">
        <v>1</v>
      </c>
      <c r="Z5336">
        <v>0</v>
      </c>
      <c r="AA5336">
        <v>9</v>
      </c>
      <c r="AB5336">
        <v>3</v>
      </c>
      <c r="AC5336">
        <v>0</v>
      </c>
      <c r="AD5336">
        <v>10</v>
      </c>
      <c r="AE5336">
        <v>0</v>
      </c>
      <c r="AF5336">
        <v>3</v>
      </c>
      <c r="AG5336">
        <v>2</v>
      </c>
      <c r="AH5336">
        <v>0</v>
      </c>
      <c r="AI5336" t="s">
        <v>1181</v>
      </c>
      <c r="AJ5336">
        <v>28.224392000000002</v>
      </c>
      <c r="AK5336" t="s">
        <v>1182</v>
      </c>
      <c r="AL5336">
        <v>-82.388148000000001</v>
      </c>
      <c r="AM5336">
        <v>100</v>
      </c>
      <c r="AN5336">
        <v>1600</v>
      </c>
      <c r="AO5336" t="s">
        <v>118</v>
      </c>
      <c r="AP5336">
        <v>-87</v>
      </c>
      <c r="AQ5336">
        <v>-80</v>
      </c>
      <c r="AR5336">
        <v>-1024</v>
      </c>
      <c r="AZ5336">
        <v>1200</v>
      </c>
      <c r="BA5336">
        <v>1</v>
      </c>
      <c r="BB5336" t="str">
        <f t="shared" si="2469"/>
        <v xml:space="preserve">N711JA  </v>
      </c>
      <c r="BC5336">
        <v>1</v>
      </c>
      <c r="BE5336">
        <v>0</v>
      </c>
      <c r="BF5336">
        <v>0</v>
      </c>
      <c r="BG5336">
        <v>0</v>
      </c>
      <c r="BH5336">
        <v>1650</v>
      </c>
      <c r="BI5336">
        <v>1</v>
      </c>
      <c r="BJ5336">
        <v>1</v>
      </c>
      <c r="BK5336">
        <v>0</v>
      </c>
      <c r="BL5336">
        <v>0</v>
      </c>
      <c r="BO5336">
        <v>0</v>
      </c>
      <c r="BP5336">
        <v>0</v>
      </c>
      <c r="BW5336" t="str">
        <f t="shared" si="2472"/>
        <v>14:51:06.886</v>
      </c>
      <c r="CJ5336">
        <v>0</v>
      </c>
      <c r="CK5336">
        <v>2</v>
      </c>
      <c r="CL5336">
        <v>0</v>
      </c>
      <c r="CM5336">
        <v>2</v>
      </c>
      <c r="CN5336">
        <v>0</v>
      </c>
      <c r="CO5336">
        <v>7</v>
      </c>
      <c r="CP5336" t="s">
        <v>119</v>
      </c>
      <c r="CQ5336">
        <v>343</v>
      </c>
      <c r="CR5336">
        <v>1</v>
      </c>
      <c r="CW5336">
        <v>11140691</v>
      </c>
      <c r="CY5336">
        <v>1</v>
      </c>
      <c r="CZ5336">
        <v>0</v>
      </c>
      <c r="DA5336">
        <v>1</v>
      </c>
      <c r="DB5336">
        <v>0</v>
      </c>
      <c r="DC5336">
        <v>0</v>
      </c>
      <c r="DD5336">
        <v>1</v>
      </c>
      <c r="DE5336">
        <v>0</v>
      </c>
      <c r="DF5336">
        <v>0</v>
      </c>
      <c r="DG5336">
        <v>0</v>
      </c>
      <c r="DH5336">
        <v>0</v>
      </c>
      <c r="DI5336">
        <v>0</v>
      </c>
    </row>
    <row r="5337" spans="1:113" x14ac:dyDescent="0.3">
      <c r="A5337" t="str">
        <f t="shared" si="2470"/>
        <v>05/12/2020 14:50:49.040</v>
      </c>
      <c r="C5337" t="str">
        <f t="shared" si="2468"/>
        <v>FFDFD3C0</v>
      </c>
      <c r="D5337" t="s">
        <v>138</v>
      </c>
      <c r="E5337">
        <v>3</v>
      </c>
      <c r="H5337">
        <v>9</v>
      </c>
      <c r="I5337" t="s">
        <v>140</v>
      </c>
      <c r="J5337" t="s">
        <v>136</v>
      </c>
      <c r="K5337">
        <v>0</v>
      </c>
      <c r="L5337">
        <v>3</v>
      </c>
      <c r="M5337">
        <v>0</v>
      </c>
      <c r="N5337">
        <v>2</v>
      </c>
      <c r="O5337">
        <v>1</v>
      </c>
      <c r="P5337">
        <v>0</v>
      </c>
      <c r="Q5337">
        <v>0</v>
      </c>
      <c r="S5337" t="str">
        <f t="shared" si="2471"/>
        <v>14:51:06.883</v>
      </c>
      <c r="T5337" t="str">
        <f t="shared" si="2471"/>
        <v>14:51:06.883</v>
      </c>
      <c r="U5337" t="str">
        <f t="shared" si="2460"/>
        <v>A9808D</v>
      </c>
      <c r="V5337">
        <v>0</v>
      </c>
      <c r="W5337">
        <v>0</v>
      </c>
      <c r="X5337">
        <v>1</v>
      </c>
      <c r="Z5337">
        <v>0</v>
      </c>
      <c r="AA5337">
        <v>9</v>
      </c>
      <c r="AB5337">
        <v>3</v>
      </c>
      <c r="AC5337">
        <v>0</v>
      </c>
      <c r="AD5337">
        <v>10</v>
      </c>
      <c r="AE5337">
        <v>0</v>
      </c>
      <c r="AF5337">
        <v>3</v>
      </c>
      <c r="AG5337">
        <v>2</v>
      </c>
      <c r="AH5337">
        <v>0</v>
      </c>
      <c r="AI5337" t="s">
        <v>1181</v>
      </c>
      <c r="AJ5337">
        <v>28.224392000000002</v>
      </c>
      <c r="AK5337" t="s">
        <v>1182</v>
      </c>
      <c r="AL5337">
        <v>-82.388148000000001</v>
      </c>
      <c r="AM5337">
        <v>100</v>
      </c>
      <c r="AN5337">
        <v>1600</v>
      </c>
      <c r="AO5337" t="s">
        <v>118</v>
      </c>
      <c r="AP5337">
        <v>-87</v>
      </c>
      <c r="AQ5337">
        <v>-80</v>
      </c>
      <c r="AR5337">
        <v>-1024</v>
      </c>
      <c r="AZ5337">
        <v>1200</v>
      </c>
      <c r="BA5337">
        <v>1</v>
      </c>
      <c r="BB5337" t="str">
        <f t="shared" si="2469"/>
        <v xml:space="preserve">N711JA  </v>
      </c>
      <c r="BC5337">
        <v>1</v>
      </c>
      <c r="BE5337">
        <v>0</v>
      </c>
      <c r="BF5337">
        <v>0</v>
      </c>
      <c r="BG5337">
        <v>0</v>
      </c>
      <c r="BH5337">
        <v>1650</v>
      </c>
      <c r="BI5337">
        <v>1</v>
      </c>
      <c r="BJ5337">
        <v>1</v>
      </c>
      <c r="BK5337">
        <v>0</v>
      </c>
      <c r="BL5337">
        <v>0</v>
      </c>
      <c r="BO5337">
        <v>0</v>
      </c>
      <c r="BP5337">
        <v>0</v>
      </c>
      <c r="BW5337" t="str">
        <f t="shared" si="2472"/>
        <v>14:51:06.886</v>
      </c>
      <c r="CJ5337">
        <v>0</v>
      </c>
      <c r="CK5337">
        <v>2</v>
      </c>
      <c r="CL5337">
        <v>0</v>
      </c>
      <c r="CM5337">
        <v>2</v>
      </c>
      <c r="CN5337">
        <v>0</v>
      </c>
      <c r="CO5337">
        <v>7</v>
      </c>
      <c r="CP5337" t="s">
        <v>119</v>
      </c>
      <c r="CQ5337">
        <v>343</v>
      </c>
      <c r="CR5337">
        <v>1</v>
      </c>
      <c r="CW5337">
        <v>11140691</v>
      </c>
      <c r="CY5337">
        <v>1</v>
      </c>
      <c r="CZ5337">
        <v>0</v>
      </c>
      <c r="DA5337">
        <v>1</v>
      </c>
      <c r="DB5337">
        <v>0</v>
      </c>
      <c r="DC5337">
        <v>0</v>
      </c>
      <c r="DD5337">
        <v>1</v>
      </c>
      <c r="DE5337">
        <v>0</v>
      </c>
      <c r="DF5337">
        <v>0</v>
      </c>
      <c r="DG5337">
        <v>0</v>
      </c>
      <c r="DH5337">
        <v>0</v>
      </c>
      <c r="DI5337">
        <v>0</v>
      </c>
    </row>
    <row r="5338" spans="1:113" x14ac:dyDescent="0.3">
      <c r="A5338" t="str">
        <f t="shared" si="2470"/>
        <v>05/12/2020 14:50:49.040</v>
      </c>
      <c r="C5338" t="str">
        <f t="shared" si="2468"/>
        <v>FFDFD3C0</v>
      </c>
      <c r="D5338" t="s">
        <v>131</v>
      </c>
      <c r="E5338">
        <v>12</v>
      </c>
      <c r="F5338">
        <v>2012</v>
      </c>
      <c r="G5338" t="s">
        <v>137</v>
      </c>
      <c r="J5338" t="s">
        <v>133</v>
      </c>
      <c r="K5338">
        <v>0</v>
      </c>
      <c r="L5338">
        <v>3</v>
      </c>
      <c r="M5338">
        <v>0</v>
      </c>
      <c r="N5338">
        <v>2</v>
      </c>
      <c r="O5338">
        <v>1</v>
      </c>
      <c r="P5338">
        <v>0</v>
      </c>
      <c r="Q5338">
        <v>0</v>
      </c>
      <c r="S5338" t="str">
        <f t="shared" si="2471"/>
        <v>14:51:06.883</v>
      </c>
      <c r="T5338" t="str">
        <f t="shared" si="2471"/>
        <v>14:51:06.883</v>
      </c>
      <c r="U5338" t="str">
        <f t="shared" si="2460"/>
        <v>A9808D</v>
      </c>
      <c r="V5338">
        <v>0</v>
      </c>
      <c r="W5338">
        <v>0</v>
      </c>
      <c r="X5338">
        <v>1</v>
      </c>
      <c r="Z5338">
        <v>0</v>
      </c>
      <c r="AA5338">
        <v>9</v>
      </c>
      <c r="AB5338">
        <v>3</v>
      </c>
      <c r="AC5338">
        <v>0</v>
      </c>
      <c r="AD5338">
        <v>10</v>
      </c>
      <c r="AE5338">
        <v>0</v>
      </c>
      <c r="AF5338">
        <v>3</v>
      </c>
      <c r="AG5338">
        <v>2</v>
      </c>
      <c r="AH5338">
        <v>0</v>
      </c>
      <c r="AI5338" t="s">
        <v>1181</v>
      </c>
      <c r="AJ5338">
        <v>28.224392000000002</v>
      </c>
      <c r="AK5338" t="s">
        <v>1182</v>
      </c>
      <c r="AL5338">
        <v>-82.388148000000001</v>
      </c>
      <c r="AM5338">
        <v>100</v>
      </c>
      <c r="AN5338">
        <v>1600</v>
      </c>
      <c r="AO5338" t="s">
        <v>118</v>
      </c>
      <c r="AP5338">
        <v>-87</v>
      </c>
      <c r="AQ5338">
        <v>-80</v>
      </c>
      <c r="AR5338">
        <v>-1024</v>
      </c>
      <c r="AZ5338">
        <v>1200</v>
      </c>
      <c r="BA5338">
        <v>1</v>
      </c>
      <c r="BB5338" t="str">
        <f t="shared" si="2469"/>
        <v xml:space="preserve">N711JA  </v>
      </c>
      <c r="BC5338">
        <v>1</v>
      </c>
      <c r="BE5338">
        <v>0</v>
      </c>
      <c r="BF5338">
        <v>0</v>
      </c>
      <c r="BG5338">
        <v>0</v>
      </c>
      <c r="BH5338">
        <v>1650</v>
      </c>
      <c r="BI5338">
        <v>1</v>
      </c>
      <c r="BJ5338">
        <v>1</v>
      </c>
      <c r="BK5338">
        <v>0</v>
      </c>
      <c r="BL5338">
        <v>0</v>
      </c>
      <c r="BO5338">
        <v>0</v>
      </c>
      <c r="BP5338">
        <v>0</v>
      </c>
      <c r="BW5338" t="str">
        <f t="shared" si="2472"/>
        <v>14:51:06.886</v>
      </c>
      <c r="CJ5338">
        <v>0</v>
      </c>
      <c r="CK5338">
        <v>2</v>
      </c>
      <c r="CL5338">
        <v>0</v>
      </c>
      <c r="CM5338">
        <v>2</v>
      </c>
      <c r="CN5338">
        <v>0</v>
      </c>
      <c r="CO5338">
        <v>7</v>
      </c>
      <c r="CP5338" t="s">
        <v>119</v>
      </c>
      <c r="CQ5338">
        <v>343</v>
      </c>
      <c r="CR5338">
        <v>1</v>
      </c>
      <c r="CW5338">
        <v>11140691</v>
      </c>
      <c r="CY5338">
        <v>1</v>
      </c>
      <c r="CZ5338">
        <v>0</v>
      </c>
      <c r="DA5338">
        <v>1</v>
      </c>
      <c r="DB5338">
        <v>0</v>
      </c>
      <c r="DC5338">
        <v>0</v>
      </c>
      <c r="DD5338">
        <v>1</v>
      </c>
      <c r="DE5338">
        <v>0</v>
      </c>
      <c r="DF5338">
        <v>0</v>
      </c>
      <c r="DG5338">
        <v>0</v>
      </c>
      <c r="DH5338">
        <v>0</v>
      </c>
      <c r="DI5338">
        <v>0</v>
      </c>
    </row>
    <row r="5339" spans="1:113" x14ac:dyDescent="0.3">
      <c r="A5339" t="str">
        <f t="shared" si="2470"/>
        <v>05/12/2020 14:50:49.040</v>
      </c>
      <c r="C5339" t="str">
        <f t="shared" si="2468"/>
        <v>FFDFD3C0</v>
      </c>
      <c r="D5339" t="s">
        <v>134</v>
      </c>
      <c r="E5339">
        <v>12</v>
      </c>
      <c r="H5339">
        <v>64</v>
      </c>
      <c r="I5339" t="s">
        <v>135</v>
      </c>
      <c r="J5339" t="s">
        <v>136</v>
      </c>
      <c r="K5339">
        <v>0</v>
      </c>
      <c r="L5339">
        <v>3</v>
      </c>
      <c r="M5339">
        <v>0</v>
      </c>
      <c r="N5339">
        <v>2</v>
      </c>
      <c r="O5339">
        <v>1</v>
      </c>
      <c r="P5339">
        <v>0</v>
      </c>
      <c r="Q5339">
        <v>0</v>
      </c>
      <c r="S5339" t="str">
        <f t="shared" si="2471"/>
        <v>14:51:06.883</v>
      </c>
      <c r="T5339" t="str">
        <f t="shared" si="2471"/>
        <v>14:51:06.883</v>
      </c>
      <c r="U5339" t="str">
        <f t="shared" si="2460"/>
        <v>A9808D</v>
      </c>
      <c r="V5339">
        <v>0</v>
      </c>
      <c r="W5339">
        <v>0</v>
      </c>
      <c r="X5339">
        <v>1</v>
      </c>
      <c r="Z5339">
        <v>0</v>
      </c>
      <c r="AA5339">
        <v>9</v>
      </c>
      <c r="AB5339">
        <v>3</v>
      </c>
      <c r="AC5339">
        <v>0</v>
      </c>
      <c r="AD5339">
        <v>10</v>
      </c>
      <c r="AE5339">
        <v>0</v>
      </c>
      <c r="AF5339">
        <v>3</v>
      </c>
      <c r="AG5339">
        <v>2</v>
      </c>
      <c r="AH5339">
        <v>0</v>
      </c>
      <c r="AI5339" t="s">
        <v>1181</v>
      </c>
      <c r="AJ5339">
        <v>28.224392000000002</v>
      </c>
      <c r="AK5339" t="s">
        <v>1182</v>
      </c>
      <c r="AL5339">
        <v>-82.388148000000001</v>
      </c>
      <c r="AM5339">
        <v>100</v>
      </c>
      <c r="AN5339">
        <v>1600</v>
      </c>
      <c r="AO5339" t="s">
        <v>118</v>
      </c>
      <c r="AP5339">
        <v>-87</v>
      </c>
      <c r="AQ5339">
        <v>-80</v>
      </c>
      <c r="AR5339">
        <v>-1024</v>
      </c>
      <c r="AZ5339">
        <v>1200</v>
      </c>
      <c r="BA5339">
        <v>1</v>
      </c>
      <c r="BB5339" t="str">
        <f t="shared" si="2469"/>
        <v xml:space="preserve">N711JA  </v>
      </c>
      <c r="BC5339">
        <v>1</v>
      </c>
      <c r="BE5339">
        <v>0</v>
      </c>
      <c r="BF5339">
        <v>0</v>
      </c>
      <c r="BG5339">
        <v>0</v>
      </c>
      <c r="BH5339">
        <v>1650</v>
      </c>
      <c r="BI5339">
        <v>1</v>
      </c>
      <c r="BJ5339">
        <v>1</v>
      </c>
      <c r="BK5339">
        <v>0</v>
      </c>
      <c r="BL5339">
        <v>0</v>
      </c>
      <c r="BO5339">
        <v>0</v>
      </c>
      <c r="BP5339">
        <v>0</v>
      </c>
      <c r="BW5339" t="str">
        <f t="shared" si="2472"/>
        <v>14:51:06.886</v>
      </c>
      <c r="CJ5339">
        <v>0</v>
      </c>
      <c r="CK5339">
        <v>2</v>
      </c>
      <c r="CL5339">
        <v>0</v>
      </c>
      <c r="CM5339">
        <v>2</v>
      </c>
      <c r="CN5339">
        <v>0</v>
      </c>
      <c r="CO5339">
        <v>7</v>
      </c>
      <c r="CP5339" t="s">
        <v>119</v>
      </c>
      <c r="CQ5339">
        <v>343</v>
      </c>
      <c r="CR5339">
        <v>1</v>
      </c>
      <c r="CW5339">
        <v>11140691</v>
      </c>
      <c r="CY5339">
        <v>1</v>
      </c>
      <c r="CZ5339">
        <v>0</v>
      </c>
      <c r="DA5339">
        <v>1</v>
      </c>
      <c r="DB5339">
        <v>0</v>
      </c>
      <c r="DC5339">
        <v>0</v>
      </c>
      <c r="DD5339">
        <v>1</v>
      </c>
      <c r="DE5339">
        <v>0</v>
      </c>
      <c r="DF5339">
        <v>0</v>
      </c>
      <c r="DG5339">
        <v>0</v>
      </c>
      <c r="DH5339">
        <v>0</v>
      </c>
      <c r="DI5339">
        <v>0</v>
      </c>
    </row>
    <row r="5340" spans="1:113" x14ac:dyDescent="0.3">
      <c r="A5340" t="str">
        <f t="shared" si="2470"/>
        <v>05/12/2020 14:50:49.040</v>
      </c>
      <c r="C5340" t="str">
        <f t="shared" si="2468"/>
        <v>FFDFD3C0</v>
      </c>
      <c r="D5340" t="s">
        <v>126</v>
      </c>
      <c r="E5340">
        <v>6</v>
      </c>
      <c r="F5340">
        <v>1006</v>
      </c>
      <c r="G5340" t="s">
        <v>114</v>
      </c>
      <c r="J5340" t="s">
        <v>128</v>
      </c>
      <c r="K5340">
        <v>0</v>
      </c>
      <c r="L5340">
        <v>3</v>
      </c>
      <c r="M5340">
        <v>0</v>
      </c>
      <c r="N5340">
        <v>2</v>
      </c>
      <c r="O5340">
        <v>1</v>
      </c>
      <c r="P5340">
        <v>0</v>
      </c>
      <c r="Q5340">
        <v>0</v>
      </c>
      <c r="S5340" t="str">
        <f t="shared" si="2471"/>
        <v>14:51:06.883</v>
      </c>
      <c r="T5340" t="str">
        <f t="shared" si="2471"/>
        <v>14:51:06.883</v>
      </c>
      <c r="U5340" t="str">
        <f t="shared" si="2460"/>
        <v>A9808D</v>
      </c>
      <c r="V5340">
        <v>0</v>
      </c>
      <c r="W5340">
        <v>0</v>
      </c>
      <c r="X5340">
        <v>1</v>
      </c>
      <c r="Z5340">
        <v>0</v>
      </c>
      <c r="AA5340">
        <v>9</v>
      </c>
      <c r="AB5340">
        <v>3</v>
      </c>
      <c r="AC5340">
        <v>0</v>
      </c>
      <c r="AD5340">
        <v>10</v>
      </c>
      <c r="AE5340">
        <v>0</v>
      </c>
      <c r="AF5340">
        <v>3</v>
      </c>
      <c r="AG5340">
        <v>2</v>
      </c>
      <c r="AH5340">
        <v>0</v>
      </c>
      <c r="AI5340" t="s">
        <v>1181</v>
      </c>
      <c r="AJ5340">
        <v>28.224392000000002</v>
      </c>
      <c r="AK5340" t="s">
        <v>1182</v>
      </c>
      <c r="AL5340">
        <v>-82.388148000000001</v>
      </c>
      <c r="AM5340">
        <v>100</v>
      </c>
      <c r="AN5340">
        <v>1600</v>
      </c>
      <c r="AO5340" t="s">
        <v>118</v>
      </c>
      <c r="AP5340">
        <v>-87</v>
      </c>
      <c r="AQ5340">
        <v>-80</v>
      </c>
      <c r="AR5340">
        <v>-1024</v>
      </c>
      <c r="AZ5340">
        <v>1200</v>
      </c>
      <c r="BA5340">
        <v>1</v>
      </c>
      <c r="BB5340" t="str">
        <f t="shared" si="2469"/>
        <v xml:space="preserve">N711JA  </v>
      </c>
      <c r="BC5340">
        <v>1</v>
      </c>
      <c r="BE5340">
        <v>0</v>
      </c>
      <c r="BF5340">
        <v>0</v>
      </c>
      <c r="BG5340">
        <v>0</v>
      </c>
      <c r="BH5340">
        <v>1650</v>
      </c>
      <c r="BI5340">
        <v>1</v>
      </c>
      <c r="BJ5340">
        <v>1</v>
      </c>
      <c r="BK5340">
        <v>0</v>
      </c>
      <c r="BL5340">
        <v>0</v>
      </c>
      <c r="BO5340">
        <v>0</v>
      </c>
      <c r="BP5340">
        <v>0</v>
      </c>
      <c r="BW5340" t="str">
        <f t="shared" si="2472"/>
        <v>14:51:06.886</v>
      </c>
      <c r="CJ5340">
        <v>0</v>
      </c>
      <c r="CK5340">
        <v>2</v>
      </c>
      <c r="CL5340">
        <v>0</v>
      </c>
      <c r="CM5340">
        <v>2</v>
      </c>
      <c r="CN5340">
        <v>0</v>
      </c>
      <c r="CO5340">
        <v>7</v>
      </c>
      <c r="CP5340" t="s">
        <v>119</v>
      </c>
      <c r="CQ5340">
        <v>343</v>
      </c>
      <c r="CR5340">
        <v>1</v>
      </c>
      <c r="CW5340">
        <v>11140691</v>
      </c>
      <c r="CY5340">
        <v>1</v>
      </c>
      <c r="CZ5340">
        <v>0</v>
      </c>
      <c r="DA5340">
        <v>1</v>
      </c>
      <c r="DB5340">
        <v>0</v>
      </c>
      <c r="DC5340">
        <v>0</v>
      </c>
      <c r="DD5340">
        <v>1</v>
      </c>
      <c r="DE5340">
        <v>0</v>
      </c>
      <c r="DF5340">
        <v>0</v>
      </c>
      <c r="DG5340">
        <v>0</v>
      </c>
      <c r="DH5340">
        <v>0</v>
      </c>
      <c r="DI5340">
        <v>0</v>
      </c>
    </row>
    <row r="5341" spans="1:113" x14ac:dyDescent="0.3">
      <c r="A5341" t="str">
        <f t="shared" si="2470"/>
        <v>05/12/2020 14:50:49.040</v>
      </c>
      <c r="C5341" t="str">
        <f t="shared" si="2468"/>
        <v>FFDFD3C0</v>
      </c>
      <c r="D5341" t="s">
        <v>113</v>
      </c>
      <c r="E5341">
        <v>3</v>
      </c>
      <c r="H5341">
        <v>164</v>
      </c>
      <c r="I5341" t="s">
        <v>114</v>
      </c>
      <c r="J5341" t="s">
        <v>115</v>
      </c>
      <c r="K5341">
        <v>0</v>
      </c>
      <c r="L5341">
        <v>3</v>
      </c>
      <c r="M5341">
        <v>0</v>
      </c>
      <c r="N5341">
        <v>2</v>
      </c>
      <c r="O5341">
        <v>1</v>
      </c>
      <c r="P5341">
        <v>0</v>
      </c>
      <c r="Q5341">
        <v>0</v>
      </c>
      <c r="S5341" t="str">
        <f t="shared" si="2471"/>
        <v>14:51:06.883</v>
      </c>
      <c r="T5341" t="str">
        <f t="shared" si="2471"/>
        <v>14:51:06.883</v>
      </c>
      <c r="U5341" t="str">
        <f t="shared" si="2460"/>
        <v>A9808D</v>
      </c>
      <c r="V5341">
        <v>0</v>
      </c>
      <c r="W5341">
        <v>0</v>
      </c>
      <c r="X5341">
        <v>1</v>
      </c>
      <c r="Z5341">
        <v>0</v>
      </c>
      <c r="AA5341">
        <v>9</v>
      </c>
      <c r="AB5341">
        <v>3</v>
      </c>
      <c r="AC5341">
        <v>0</v>
      </c>
      <c r="AD5341">
        <v>10</v>
      </c>
      <c r="AE5341">
        <v>0</v>
      </c>
      <c r="AF5341">
        <v>3</v>
      </c>
      <c r="AG5341">
        <v>2</v>
      </c>
      <c r="AH5341">
        <v>0</v>
      </c>
      <c r="AI5341" t="s">
        <v>1181</v>
      </c>
      <c r="AJ5341">
        <v>28.224392000000002</v>
      </c>
      <c r="AK5341" t="s">
        <v>1182</v>
      </c>
      <c r="AL5341">
        <v>-82.388148000000001</v>
      </c>
      <c r="AM5341">
        <v>100</v>
      </c>
      <c r="AN5341">
        <v>1600</v>
      </c>
      <c r="AO5341" t="s">
        <v>118</v>
      </c>
      <c r="AP5341">
        <v>-87</v>
      </c>
      <c r="AQ5341">
        <v>-80</v>
      </c>
      <c r="AR5341">
        <v>-1024</v>
      </c>
      <c r="AZ5341">
        <v>1200</v>
      </c>
      <c r="BA5341">
        <v>1</v>
      </c>
      <c r="BB5341" t="str">
        <f t="shared" si="2469"/>
        <v xml:space="preserve">N711JA  </v>
      </c>
      <c r="BC5341">
        <v>1</v>
      </c>
      <c r="BE5341">
        <v>0</v>
      </c>
      <c r="BF5341">
        <v>0</v>
      </c>
      <c r="BG5341">
        <v>0</v>
      </c>
      <c r="BH5341">
        <v>1650</v>
      </c>
      <c r="BI5341">
        <v>1</v>
      </c>
      <c r="BJ5341">
        <v>1</v>
      </c>
      <c r="BK5341">
        <v>0</v>
      </c>
      <c r="BL5341">
        <v>0</v>
      </c>
      <c r="BO5341">
        <v>0</v>
      </c>
      <c r="BP5341">
        <v>0</v>
      </c>
      <c r="BW5341" t="str">
        <f t="shared" si="2472"/>
        <v>14:51:06.886</v>
      </c>
      <c r="CJ5341">
        <v>0</v>
      </c>
      <c r="CK5341">
        <v>2</v>
      </c>
      <c r="CL5341">
        <v>0</v>
      </c>
      <c r="CM5341">
        <v>2</v>
      </c>
      <c r="CN5341">
        <v>0</v>
      </c>
      <c r="CO5341">
        <v>7</v>
      </c>
      <c r="CP5341" t="s">
        <v>119</v>
      </c>
      <c r="CQ5341">
        <v>343</v>
      </c>
      <c r="CR5341">
        <v>1</v>
      </c>
      <c r="CW5341">
        <v>11140691</v>
      </c>
      <c r="CY5341">
        <v>1</v>
      </c>
      <c r="CZ5341">
        <v>0</v>
      </c>
      <c r="DA5341">
        <v>1</v>
      </c>
      <c r="DB5341">
        <v>0</v>
      </c>
      <c r="DC5341">
        <v>0</v>
      </c>
      <c r="DD5341">
        <v>1</v>
      </c>
      <c r="DE5341">
        <v>0</v>
      </c>
      <c r="DF5341">
        <v>0</v>
      </c>
      <c r="DG5341">
        <v>0</v>
      </c>
      <c r="DH5341">
        <v>0</v>
      </c>
      <c r="DI5341">
        <v>0</v>
      </c>
    </row>
    <row r="5342" spans="1:113" x14ac:dyDescent="0.3">
      <c r="A5342" t="str">
        <f t="shared" si="2470"/>
        <v>05/12/2020 14:50:49.040</v>
      </c>
      <c r="C5342" t="str">
        <f t="shared" si="2468"/>
        <v>FFDFD3C0</v>
      </c>
      <c r="D5342" t="s">
        <v>138</v>
      </c>
      <c r="E5342">
        <v>2</v>
      </c>
      <c r="H5342">
        <v>8</v>
      </c>
      <c r="I5342" t="s">
        <v>139</v>
      </c>
      <c r="J5342" t="s">
        <v>136</v>
      </c>
      <c r="K5342">
        <v>0</v>
      </c>
      <c r="L5342">
        <v>3</v>
      </c>
      <c r="M5342">
        <v>0</v>
      </c>
      <c r="N5342">
        <v>2</v>
      </c>
      <c r="O5342">
        <v>1</v>
      </c>
      <c r="P5342">
        <v>0</v>
      </c>
      <c r="Q5342">
        <v>0</v>
      </c>
      <c r="S5342" t="str">
        <f t="shared" si="2471"/>
        <v>14:51:06.883</v>
      </c>
      <c r="T5342" t="str">
        <f t="shared" si="2471"/>
        <v>14:51:06.883</v>
      </c>
      <c r="U5342" t="str">
        <f t="shared" si="2460"/>
        <v>A9808D</v>
      </c>
      <c r="V5342">
        <v>0</v>
      </c>
      <c r="W5342">
        <v>0</v>
      </c>
      <c r="X5342">
        <v>1</v>
      </c>
      <c r="Z5342">
        <v>0</v>
      </c>
      <c r="AA5342">
        <v>9</v>
      </c>
      <c r="AB5342">
        <v>3</v>
      </c>
      <c r="AC5342">
        <v>0</v>
      </c>
      <c r="AD5342">
        <v>10</v>
      </c>
      <c r="AE5342">
        <v>0</v>
      </c>
      <c r="AF5342">
        <v>3</v>
      </c>
      <c r="AG5342">
        <v>2</v>
      </c>
      <c r="AH5342">
        <v>0</v>
      </c>
      <c r="AI5342" t="s">
        <v>1181</v>
      </c>
      <c r="AJ5342">
        <v>28.224392000000002</v>
      </c>
      <c r="AK5342" t="s">
        <v>1182</v>
      </c>
      <c r="AL5342">
        <v>-82.388148000000001</v>
      </c>
      <c r="AM5342">
        <v>100</v>
      </c>
      <c r="AN5342">
        <v>1600</v>
      </c>
      <c r="AO5342" t="s">
        <v>118</v>
      </c>
      <c r="AP5342">
        <v>-87</v>
      </c>
      <c r="AQ5342">
        <v>-80</v>
      </c>
      <c r="AR5342">
        <v>-1024</v>
      </c>
      <c r="AZ5342">
        <v>1200</v>
      </c>
      <c r="BA5342">
        <v>1</v>
      </c>
      <c r="BB5342" t="str">
        <f t="shared" si="2469"/>
        <v xml:space="preserve">N711JA  </v>
      </c>
      <c r="BC5342">
        <v>1</v>
      </c>
      <c r="BE5342">
        <v>0</v>
      </c>
      <c r="BF5342">
        <v>0</v>
      </c>
      <c r="BG5342">
        <v>0</v>
      </c>
      <c r="BH5342">
        <v>1650</v>
      </c>
      <c r="BI5342">
        <v>1</v>
      </c>
      <c r="BJ5342">
        <v>1</v>
      </c>
      <c r="BK5342">
        <v>0</v>
      </c>
      <c r="BL5342">
        <v>0</v>
      </c>
      <c r="BO5342">
        <v>0</v>
      </c>
      <c r="BP5342">
        <v>0</v>
      </c>
      <c r="BW5342" t="str">
        <f t="shared" si="2472"/>
        <v>14:51:06.886</v>
      </c>
      <c r="CJ5342">
        <v>0</v>
      </c>
      <c r="CK5342">
        <v>2</v>
      </c>
      <c r="CL5342">
        <v>0</v>
      </c>
      <c r="CM5342">
        <v>2</v>
      </c>
      <c r="CN5342">
        <v>0</v>
      </c>
      <c r="CO5342">
        <v>7</v>
      </c>
      <c r="CP5342" t="s">
        <v>119</v>
      </c>
      <c r="CQ5342">
        <v>343</v>
      </c>
      <c r="CR5342">
        <v>1</v>
      </c>
      <c r="CW5342">
        <v>11140691</v>
      </c>
      <c r="CY5342">
        <v>1</v>
      </c>
      <c r="CZ5342">
        <v>0</v>
      </c>
      <c r="DA5342">
        <v>1</v>
      </c>
      <c r="DB5342">
        <v>0</v>
      </c>
      <c r="DC5342">
        <v>0</v>
      </c>
      <c r="DD5342">
        <v>1</v>
      </c>
      <c r="DE5342">
        <v>0</v>
      </c>
      <c r="DF5342">
        <v>0</v>
      </c>
      <c r="DG5342">
        <v>0</v>
      </c>
      <c r="DH5342">
        <v>0</v>
      </c>
      <c r="DI5342">
        <v>0</v>
      </c>
    </row>
    <row r="5343" spans="1:113" x14ac:dyDescent="0.3">
      <c r="A5343" t="str">
        <f t="shared" ref="A5343:A5350" si="2473">"05/12/2020 14:50:49.920"</f>
        <v>05/12/2020 14:50:49.920</v>
      </c>
      <c r="C5343" t="str">
        <f t="shared" si="2468"/>
        <v>FFDFD3C0</v>
      </c>
      <c r="D5343" t="s">
        <v>134</v>
      </c>
      <c r="E5343">
        <v>12</v>
      </c>
      <c r="H5343">
        <v>64</v>
      </c>
      <c r="I5343" t="s">
        <v>135</v>
      </c>
      <c r="J5343" t="s">
        <v>136</v>
      </c>
      <c r="K5343">
        <v>0</v>
      </c>
      <c r="L5343">
        <v>3</v>
      </c>
      <c r="M5343">
        <v>0</v>
      </c>
      <c r="N5343">
        <v>2</v>
      </c>
      <c r="O5343">
        <v>1</v>
      </c>
      <c r="P5343">
        <v>0</v>
      </c>
      <c r="Q5343">
        <v>0</v>
      </c>
      <c r="S5343" t="str">
        <f t="shared" ref="S5343:S5350" si="2474">"14:51:07.750"</f>
        <v>14:51:07.750</v>
      </c>
      <c r="T5343" t="str">
        <f t="shared" ref="T5343:T5350" si="2475">"14:51:07.350"</f>
        <v>14:51:07.350</v>
      </c>
      <c r="U5343" t="str">
        <f t="shared" si="2460"/>
        <v>A9808D</v>
      </c>
      <c r="V5343">
        <v>0</v>
      </c>
      <c r="W5343">
        <v>0</v>
      </c>
      <c r="X5343">
        <v>1</v>
      </c>
      <c r="Z5343">
        <v>0</v>
      </c>
      <c r="AA5343">
        <v>9</v>
      </c>
      <c r="AB5343">
        <v>3</v>
      </c>
      <c r="AC5343">
        <v>0</v>
      </c>
      <c r="AD5343">
        <v>10</v>
      </c>
      <c r="AE5343">
        <v>0</v>
      </c>
      <c r="AF5343">
        <v>3</v>
      </c>
      <c r="AG5343">
        <v>2</v>
      </c>
      <c r="AH5343">
        <v>0</v>
      </c>
      <c r="AI5343" t="s">
        <v>1183</v>
      </c>
      <c r="AJ5343">
        <v>28.224070000000001</v>
      </c>
      <c r="AK5343" t="s">
        <v>1184</v>
      </c>
      <c r="AL5343">
        <v>-82.388576999999998</v>
      </c>
      <c r="AM5343">
        <v>100</v>
      </c>
      <c r="AN5343">
        <v>1600</v>
      </c>
      <c r="AO5343" t="s">
        <v>118</v>
      </c>
      <c r="AP5343">
        <v>-87</v>
      </c>
      <c r="AQ5343">
        <v>-81</v>
      </c>
      <c r="AR5343">
        <v>-1024</v>
      </c>
      <c r="AZ5343">
        <v>1200</v>
      </c>
      <c r="BA5343">
        <v>1</v>
      </c>
      <c r="BB5343" t="str">
        <f t="shared" si="2469"/>
        <v xml:space="preserve">N711JA  </v>
      </c>
      <c r="BC5343">
        <v>1</v>
      </c>
      <c r="BE5343">
        <v>0</v>
      </c>
      <c r="BF5343">
        <v>0</v>
      </c>
      <c r="BG5343">
        <v>0</v>
      </c>
      <c r="BH5343">
        <v>1650</v>
      </c>
      <c r="BI5343">
        <v>1</v>
      </c>
      <c r="BJ5343">
        <v>1</v>
      </c>
      <c r="BK5343">
        <v>0</v>
      </c>
      <c r="BL5343">
        <v>0</v>
      </c>
      <c r="BO5343">
        <v>0</v>
      </c>
      <c r="BP5343">
        <v>0</v>
      </c>
      <c r="BW5343" t="str">
        <f t="shared" ref="BW5343:BW5350" si="2476">"14:51:07.758"</f>
        <v>14:51:07.758</v>
      </c>
      <c r="CJ5343">
        <v>0</v>
      </c>
      <c r="CK5343">
        <v>2</v>
      </c>
      <c r="CL5343">
        <v>0</v>
      </c>
      <c r="CM5343">
        <v>2</v>
      </c>
      <c r="CN5343">
        <v>0</v>
      </c>
      <c r="CO5343">
        <v>7</v>
      </c>
      <c r="CP5343" t="s">
        <v>119</v>
      </c>
      <c r="CQ5343">
        <v>343</v>
      </c>
      <c r="CR5343">
        <v>2</v>
      </c>
      <c r="CW5343">
        <v>13398770</v>
      </c>
      <c r="CY5343">
        <v>1</v>
      </c>
      <c r="CZ5343">
        <v>0</v>
      </c>
      <c r="DA5343">
        <v>0</v>
      </c>
      <c r="DB5343">
        <v>0</v>
      </c>
      <c r="DC5343">
        <v>0</v>
      </c>
      <c r="DD5343">
        <v>1</v>
      </c>
      <c r="DE5343">
        <v>0</v>
      </c>
      <c r="DF5343">
        <v>0</v>
      </c>
      <c r="DG5343">
        <v>0</v>
      </c>
      <c r="DH5343">
        <v>0</v>
      </c>
      <c r="DI5343">
        <v>0</v>
      </c>
    </row>
    <row r="5344" spans="1:113" x14ac:dyDescent="0.3">
      <c r="A5344" t="str">
        <f t="shared" si="2473"/>
        <v>05/12/2020 14:50:49.920</v>
      </c>
      <c r="C5344" t="str">
        <f t="shared" si="2468"/>
        <v>FFDFD3C0</v>
      </c>
      <c r="D5344" t="s">
        <v>126</v>
      </c>
      <c r="E5344">
        <v>6</v>
      </c>
      <c r="F5344">
        <v>1006</v>
      </c>
      <c r="G5344" t="s">
        <v>114</v>
      </c>
      <c r="J5344" t="s">
        <v>128</v>
      </c>
      <c r="K5344">
        <v>0</v>
      </c>
      <c r="L5344">
        <v>3</v>
      </c>
      <c r="M5344">
        <v>0</v>
      </c>
      <c r="N5344">
        <v>2</v>
      </c>
      <c r="O5344">
        <v>1</v>
      </c>
      <c r="P5344">
        <v>0</v>
      </c>
      <c r="Q5344">
        <v>0</v>
      </c>
      <c r="S5344" t="str">
        <f t="shared" si="2474"/>
        <v>14:51:07.750</v>
      </c>
      <c r="T5344" t="str">
        <f t="shared" si="2475"/>
        <v>14:51:07.350</v>
      </c>
      <c r="U5344" t="str">
        <f t="shared" si="2460"/>
        <v>A9808D</v>
      </c>
      <c r="V5344">
        <v>0</v>
      </c>
      <c r="W5344">
        <v>0</v>
      </c>
      <c r="X5344">
        <v>1</v>
      </c>
      <c r="Z5344">
        <v>0</v>
      </c>
      <c r="AA5344">
        <v>9</v>
      </c>
      <c r="AB5344">
        <v>3</v>
      </c>
      <c r="AC5344">
        <v>0</v>
      </c>
      <c r="AD5344">
        <v>10</v>
      </c>
      <c r="AE5344">
        <v>0</v>
      </c>
      <c r="AF5344">
        <v>3</v>
      </c>
      <c r="AG5344">
        <v>2</v>
      </c>
      <c r="AH5344">
        <v>0</v>
      </c>
      <c r="AI5344" t="s">
        <v>1183</v>
      </c>
      <c r="AJ5344">
        <v>28.224070000000001</v>
      </c>
      <c r="AK5344" t="s">
        <v>1184</v>
      </c>
      <c r="AL5344">
        <v>-82.388576999999998</v>
      </c>
      <c r="AM5344">
        <v>100</v>
      </c>
      <c r="AN5344">
        <v>1600</v>
      </c>
      <c r="AO5344" t="s">
        <v>118</v>
      </c>
      <c r="AP5344">
        <v>-87</v>
      </c>
      <c r="AQ5344">
        <v>-81</v>
      </c>
      <c r="AR5344">
        <v>-1024</v>
      </c>
      <c r="AZ5344">
        <v>1200</v>
      </c>
      <c r="BA5344">
        <v>1</v>
      </c>
      <c r="BB5344" t="str">
        <f t="shared" si="2469"/>
        <v xml:space="preserve">N711JA  </v>
      </c>
      <c r="BC5344">
        <v>1</v>
      </c>
      <c r="BE5344">
        <v>0</v>
      </c>
      <c r="BF5344">
        <v>0</v>
      </c>
      <c r="BG5344">
        <v>0</v>
      </c>
      <c r="BH5344">
        <v>1650</v>
      </c>
      <c r="BI5344">
        <v>1</v>
      </c>
      <c r="BJ5344">
        <v>1</v>
      </c>
      <c r="BK5344">
        <v>0</v>
      </c>
      <c r="BL5344">
        <v>0</v>
      </c>
      <c r="BO5344">
        <v>0</v>
      </c>
      <c r="BP5344">
        <v>0</v>
      </c>
      <c r="BW5344" t="str">
        <f t="shared" si="2476"/>
        <v>14:51:07.758</v>
      </c>
      <c r="CJ5344">
        <v>0</v>
      </c>
      <c r="CK5344">
        <v>2</v>
      </c>
      <c r="CL5344">
        <v>0</v>
      </c>
      <c r="CM5344">
        <v>2</v>
      </c>
      <c r="CN5344">
        <v>0</v>
      </c>
      <c r="CO5344">
        <v>7</v>
      </c>
      <c r="CP5344" t="s">
        <v>119</v>
      </c>
      <c r="CQ5344">
        <v>343</v>
      </c>
      <c r="CR5344">
        <v>2</v>
      </c>
      <c r="CW5344">
        <v>13398770</v>
      </c>
      <c r="CY5344">
        <v>1</v>
      </c>
      <c r="CZ5344">
        <v>0</v>
      </c>
      <c r="DA5344">
        <v>1</v>
      </c>
      <c r="DB5344">
        <v>0</v>
      </c>
      <c r="DC5344">
        <v>0</v>
      </c>
      <c r="DD5344">
        <v>1</v>
      </c>
      <c r="DE5344">
        <v>0</v>
      </c>
      <c r="DF5344">
        <v>0</v>
      </c>
      <c r="DG5344">
        <v>0</v>
      </c>
      <c r="DH5344">
        <v>0</v>
      </c>
      <c r="DI5344">
        <v>0</v>
      </c>
    </row>
    <row r="5345" spans="1:113" x14ac:dyDescent="0.3">
      <c r="A5345" t="str">
        <f t="shared" si="2473"/>
        <v>05/12/2020 14:50:49.920</v>
      </c>
      <c r="C5345" t="str">
        <f t="shared" si="2468"/>
        <v>FFDFD3C0</v>
      </c>
      <c r="D5345" t="s">
        <v>126</v>
      </c>
      <c r="E5345">
        <v>7</v>
      </c>
      <c r="F5345">
        <v>1007</v>
      </c>
      <c r="G5345" t="s">
        <v>127</v>
      </c>
      <c r="J5345" t="s">
        <v>128</v>
      </c>
      <c r="K5345">
        <v>0</v>
      </c>
      <c r="L5345">
        <v>3</v>
      </c>
      <c r="M5345">
        <v>0</v>
      </c>
      <c r="N5345">
        <v>2</v>
      </c>
      <c r="O5345">
        <v>1</v>
      </c>
      <c r="P5345">
        <v>0</v>
      </c>
      <c r="Q5345">
        <v>0</v>
      </c>
      <c r="S5345" t="str">
        <f t="shared" si="2474"/>
        <v>14:51:07.750</v>
      </c>
      <c r="T5345" t="str">
        <f t="shared" si="2475"/>
        <v>14:51:07.350</v>
      </c>
      <c r="U5345" t="str">
        <f t="shared" si="2460"/>
        <v>A9808D</v>
      </c>
      <c r="V5345">
        <v>0</v>
      </c>
      <c r="W5345">
        <v>0</v>
      </c>
      <c r="X5345">
        <v>1</v>
      </c>
      <c r="Z5345">
        <v>0</v>
      </c>
      <c r="AA5345">
        <v>9</v>
      </c>
      <c r="AB5345">
        <v>3</v>
      </c>
      <c r="AC5345">
        <v>0</v>
      </c>
      <c r="AD5345">
        <v>10</v>
      </c>
      <c r="AE5345">
        <v>0</v>
      </c>
      <c r="AF5345">
        <v>3</v>
      </c>
      <c r="AG5345">
        <v>2</v>
      </c>
      <c r="AH5345">
        <v>0</v>
      </c>
      <c r="AI5345" t="s">
        <v>1183</v>
      </c>
      <c r="AJ5345">
        <v>28.224070000000001</v>
      </c>
      <c r="AK5345" t="s">
        <v>1184</v>
      </c>
      <c r="AL5345">
        <v>-82.388576999999998</v>
      </c>
      <c r="AM5345">
        <v>100</v>
      </c>
      <c r="AN5345">
        <v>1600</v>
      </c>
      <c r="AO5345" t="s">
        <v>118</v>
      </c>
      <c r="AP5345">
        <v>-87</v>
      </c>
      <c r="AQ5345">
        <v>-81</v>
      </c>
      <c r="AR5345">
        <v>-1024</v>
      </c>
      <c r="AZ5345">
        <v>1200</v>
      </c>
      <c r="BA5345">
        <v>1</v>
      </c>
      <c r="BB5345" t="str">
        <f t="shared" si="2469"/>
        <v xml:space="preserve">N711JA  </v>
      </c>
      <c r="BC5345">
        <v>1</v>
      </c>
      <c r="BE5345">
        <v>0</v>
      </c>
      <c r="BF5345">
        <v>0</v>
      </c>
      <c r="BG5345">
        <v>0</v>
      </c>
      <c r="BH5345">
        <v>1650</v>
      </c>
      <c r="BI5345">
        <v>1</v>
      </c>
      <c r="BJ5345">
        <v>1</v>
      </c>
      <c r="BK5345">
        <v>0</v>
      </c>
      <c r="BL5345">
        <v>0</v>
      </c>
      <c r="BO5345">
        <v>0</v>
      </c>
      <c r="BP5345">
        <v>0</v>
      </c>
      <c r="BW5345" t="str">
        <f t="shared" si="2476"/>
        <v>14:51:07.758</v>
      </c>
      <c r="CJ5345">
        <v>0</v>
      </c>
      <c r="CK5345">
        <v>2</v>
      </c>
      <c r="CL5345">
        <v>0</v>
      </c>
      <c r="CM5345">
        <v>2</v>
      </c>
      <c r="CN5345">
        <v>0</v>
      </c>
      <c r="CO5345">
        <v>7</v>
      </c>
      <c r="CP5345" t="s">
        <v>119</v>
      </c>
      <c r="CQ5345">
        <v>343</v>
      </c>
      <c r="CR5345">
        <v>2</v>
      </c>
      <c r="CW5345">
        <v>13398770</v>
      </c>
      <c r="CY5345">
        <v>1</v>
      </c>
      <c r="CZ5345">
        <v>0</v>
      </c>
      <c r="DA5345">
        <v>1</v>
      </c>
      <c r="DB5345">
        <v>0</v>
      </c>
      <c r="DC5345">
        <v>0</v>
      </c>
      <c r="DD5345">
        <v>1</v>
      </c>
      <c r="DE5345">
        <v>0</v>
      </c>
      <c r="DF5345">
        <v>0</v>
      </c>
      <c r="DG5345">
        <v>0</v>
      </c>
      <c r="DH5345">
        <v>0</v>
      </c>
      <c r="DI5345">
        <v>0</v>
      </c>
    </row>
    <row r="5346" spans="1:113" x14ac:dyDescent="0.3">
      <c r="A5346" t="str">
        <f t="shared" si="2473"/>
        <v>05/12/2020 14:50:49.920</v>
      </c>
      <c r="C5346" t="str">
        <f t="shared" si="2468"/>
        <v>FFDFD3C0</v>
      </c>
      <c r="D5346" t="s">
        <v>113</v>
      </c>
      <c r="E5346">
        <v>3</v>
      </c>
      <c r="H5346">
        <v>164</v>
      </c>
      <c r="I5346" t="s">
        <v>114</v>
      </c>
      <c r="J5346" t="s">
        <v>115</v>
      </c>
      <c r="K5346">
        <v>0</v>
      </c>
      <c r="L5346">
        <v>3</v>
      </c>
      <c r="M5346">
        <v>0</v>
      </c>
      <c r="N5346">
        <v>2</v>
      </c>
      <c r="O5346">
        <v>1</v>
      </c>
      <c r="P5346">
        <v>0</v>
      </c>
      <c r="Q5346">
        <v>0</v>
      </c>
      <c r="S5346" t="str">
        <f t="shared" si="2474"/>
        <v>14:51:07.750</v>
      </c>
      <c r="T5346" t="str">
        <f t="shared" si="2475"/>
        <v>14:51:07.350</v>
      </c>
      <c r="U5346" t="str">
        <f t="shared" si="2460"/>
        <v>A9808D</v>
      </c>
      <c r="V5346">
        <v>0</v>
      </c>
      <c r="W5346">
        <v>0</v>
      </c>
      <c r="X5346">
        <v>1</v>
      </c>
      <c r="Z5346">
        <v>0</v>
      </c>
      <c r="AA5346">
        <v>9</v>
      </c>
      <c r="AB5346">
        <v>3</v>
      </c>
      <c r="AC5346">
        <v>0</v>
      </c>
      <c r="AD5346">
        <v>10</v>
      </c>
      <c r="AE5346">
        <v>0</v>
      </c>
      <c r="AF5346">
        <v>3</v>
      </c>
      <c r="AG5346">
        <v>2</v>
      </c>
      <c r="AH5346">
        <v>0</v>
      </c>
      <c r="AI5346" t="s">
        <v>1183</v>
      </c>
      <c r="AJ5346">
        <v>28.224070000000001</v>
      </c>
      <c r="AK5346" t="s">
        <v>1184</v>
      </c>
      <c r="AL5346">
        <v>-82.388576999999998</v>
      </c>
      <c r="AM5346">
        <v>100</v>
      </c>
      <c r="AN5346">
        <v>1600</v>
      </c>
      <c r="AO5346" t="s">
        <v>118</v>
      </c>
      <c r="AP5346">
        <v>-87</v>
      </c>
      <c r="AQ5346">
        <v>-81</v>
      </c>
      <c r="AR5346">
        <v>-1024</v>
      </c>
      <c r="AZ5346">
        <v>1200</v>
      </c>
      <c r="BA5346">
        <v>1</v>
      </c>
      <c r="BB5346" t="str">
        <f t="shared" si="2469"/>
        <v xml:space="preserve">N711JA  </v>
      </c>
      <c r="BC5346">
        <v>1</v>
      </c>
      <c r="BE5346">
        <v>0</v>
      </c>
      <c r="BF5346">
        <v>0</v>
      </c>
      <c r="BG5346">
        <v>0</v>
      </c>
      <c r="BH5346">
        <v>1650</v>
      </c>
      <c r="BI5346">
        <v>1</v>
      </c>
      <c r="BJ5346">
        <v>1</v>
      </c>
      <c r="BK5346">
        <v>0</v>
      </c>
      <c r="BL5346">
        <v>0</v>
      </c>
      <c r="BO5346">
        <v>0</v>
      </c>
      <c r="BP5346">
        <v>0</v>
      </c>
      <c r="BW5346" t="str">
        <f t="shared" si="2476"/>
        <v>14:51:07.758</v>
      </c>
      <c r="CJ5346">
        <v>0</v>
      </c>
      <c r="CK5346">
        <v>2</v>
      </c>
      <c r="CL5346">
        <v>0</v>
      </c>
      <c r="CM5346">
        <v>2</v>
      </c>
      <c r="CN5346">
        <v>0</v>
      </c>
      <c r="CO5346">
        <v>7</v>
      </c>
      <c r="CP5346" t="s">
        <v>119</v>
      </c>
      <c r="CQ5346">
        <v>343</v>
      </c>
      <c r="CR5346">
        <v>2</v>
      </c>
      <c r="CW5346">
        <v>13398770</v>
      </c>
      <c r="CY5346">
        <v>1</v>
      </c>
      <c r="CZ5346">
        <v>0</v>
      </c>
      <c r="DA5346">
        <v>1</v>
      </c>
      <c r="DB5346">
        <v>0</v>
      </c>
      <c r="DC5346">
        <v>0</v>
      </c>
      <c r="DD5346">
        <v>1</v>
      </c>
      <c r="DE5346">
        <v>0</v>
      </c>
      <c r="DF5346">
        <v>0</v>
      </c>
      <c r="DG5346">
        <v>0</v>
      </c>
      <c r="DH5346">
        <v>0</v>
      </c>
      <c r="DI5346">
        <v>0</v>
      </c>
    </row>
    <row r="5347" spans="1:113" x14ac:dyDescent="0.3">
      <c r="A5347" t="str">
        <f t="shared" si="2473"/>
        <v>05/12/2020 14:50:49.920</v>
      </c>
      <c r="C5347" t="str">
        <f t="shared" si="2468"/>
        <v>FFDFD3C0</v>
      </c>
      <c r="D5347" t="s">
        <v>131</v>
      </c>
      <c r="E5347">
        <v>10</v>
      </c>
      <c r="F5347">
        <v>2010</v>
      </c>
      <c r="G5347" t="s">
        <v>132</v>
      </c>
      <c r="J5347" t="s">
        <v>133</v>
      </c>
      <c r="K5347">
        <v>0</v>
      </c>
      <c r="L5347">
        <v>3</v>
      </c>
      <c r="M5347">
        <v>0</v>
      </c>
      <c r="N5347">
        <v>2</v>
      </c>
      <c r="O5347">
        <v>1</v>
      </c>
      <c r="P5347">
        <v>0</v>
      </c>
      <c r="Q5347">
        <v>0</v>
      </c>
      <c r="S5347" t="str">
        <f t="shared" si="2474"/>
        <v>14:51:07.750</v>
      </c>
      <c r="T5347" t="str">
        <f t="shared" si="2475"/>
        <v>14:51:07.350</v>
      </c>
      <c r="U5347" t="str">
        <f t="shared" si="2460"/>
        <v>A9808D</v>
      </c>
      <c r="V5347">
        <v>0</v>
      </c>
      <c r="W5347">
        <v>0</v>
      </c>
      <c r="X5347">
        <v>1</v>
      </c>
      <c r="Z5347">
        <v>0</v>
      </c>
      <c r="AA5347">
        <v>9</v>
      </c>
      <c r="AB5347">
        <v>3</v>
      </c>
      <c r="AC5347">
        <v>0</v>
      </c>
      <c r="AD5347">
        <v>10</v>
      </c>
      <c r="AE5347">
        <v>0</v>
      </c>
      <c r="AF5347">
        <v>3</v>
      </c>
      <c r="AG5347">
        <v>2</v>
      </c>
      <c r="AH5347">
        <v>0</v>
      </c>
      <c r="AI5347" t="s">
        <v>1183</v>
      </c>
      <c r="AJ5347">
        <v>28.224070000000001</v>
      </c>
      <c r="AK5347" t="s">
        <v>1184</v>
      </c>
      <c r="AL5347">
        <v>-82.388576999999998</v>
      </c>
      <c r="AM5347">
        <v>100</v>
      </c>
      <c r="AN5347">
        <v>1600</v>
      </c>
      <c r="AO5347" t="s">
        <v>118</v>
      </c>
      <c r="AP5347">
        <v>-87</v>
      </c>
      <c r="AQ5347">
        <v>-81</v>
      </c>
      <c r="AR5347">
        <v>-1024</v>
      </c>
      <c r="AZ5347">
        <v>1200</v>
      </c>
      <c r="BA5347">
        <v>1</v>
      </c>
      <c r="BB5347" t="str">
        <f t="shared" si="2469"/>
        <v xml:space="preserve">N711JA  </v>
      </c>
      <c r="BC5347">
        <v>1</v>
      </c>
      <c r="BE5347">
        <v>0</v>
      </c>
      <c r="BF5347">
        <v>0</v>
      </c>
      <c r="BG5347">
        <v>0</v>
      </c>
      <c r="BH5347">
        <v>1650</v>
      </c>
      <c r="BI5347">
        <v>1</v>
      </c>
      <c r="BJ5347">
        <v>1</v>
      </c>
      <c r="BK5347">
        <v>0</v>
      </c>
      <c r="BL5347">
        <v>0</v>
      </c>
      <c r="BO5347">
        <v>0</v>
      </c>
      <c r="BP5347">
        <v>0</v>
      </c>
      <c r="BW5347" t="str">
        <f t="shared" si="2476"/>
        <v>14:51:07.758</v>
      </c>
      <c r="CJ5347">
        <v>0</v>
      </c>
      <c r="CK5347">
        <v>2</v>
      </c>
      <c r="CL5347">
        <v>0</v>
      </c>
      <c r="CM5347">
        <v>2</v>
      </c>
      <c r="CN5347">
        <v>0</v>
      </c>
      <c r="CO5347">
        <v>7</v>
      </c>
      <c r="CP5347" t="s">
        <v>119</v>
      </c>
      <c r="CQ5347">
        <v>343</v>
      </c>
      <c r="CR5347">
        <v>2</v>
      </c>
      <c r="CW5347">
        <v>13398770</v>
      </c>
      <c r="CY5347">
        <v>1</v>
      </c>
      <c r="CZ5347">
        <v>0</v>
      </c>
      <c r="DA5347">
        <v>1</v>
      </c>
      <c r="DB5347">
        <v>0</v>
      </c>
      <c r="DC5347">
        <v>0</v>
      </c>
      <c r="DD5347">
        <v>1</v>
      </c>
      <c r="DE5347">
        <v>0</v>
      </c>
      <c r="DF5347">
        <v>0</v>
      </c>
      <c r="DG5347">
        <v>0</v>
      </c>
      <c r="DH5347">
        <v>0</v>
      </c>
      <c r="DI5347">
        <v>0</v>
      </c>
    </row>
    <row r="5348" spans="1:113" x14ac:dyDescent="0.3">
      <c r="A5348" t="str">
        <f t="shared" si="2473"/>
        <v>05/12/2020 14:50:49.920</v>
      </c>
      <c r="C5348" t="str">
        <f t="shared" si="2468"/>
        <v>FFDFD3C0</v>
      </c>
      <c r="D5348" t="s">
        <v>138</v>
      </c>
      <c r="E5348">
        <v>2</v>
      </c>
      <c r="H5348">
        <v>8</v>
      </c>
      <c r="I5348" t="s">
        <v>139</v>
      </c>
      <c r="J5348" t="s">
        <v>136</v>
      </c>
      <c r="K5348">
        <v>0</v>
      </c>
      <c r="L5348">
        <v>3</v>
      </c>
      <c r="M5348">
        <v>0</v>
      </c>
      <c r="N5348">
        <v>2</v>
      </c>
      <c r="O5348">
        <v>1</v>
      </c>
      <c r="P5348">
        <v>0</v>
      </c>
      <c r="Q5348">
        <v>0</v>
      </c>
      <c r="S5348" t="str">
        <f t="shared" si="2474"/>
        <v>14:51:07.750</v>
      </c>
      <c r="T5348" t="str">
        <f t="shared" si="2475"/>
        <v>14:51:07.350</v>
      </c>
      <c r="U5348" t="str">
        <f t="shared" si="2460"/>
        <v>A9808D</v>
      </c>
      <c r="V5348">
        <v>0</v>
      </c>
      <c r="W5348">
        <v>0</v>
      </c>
      <c r="X5348">
        <v>1</v>
      </c>
      <c r="Z5348">
        <v>0</v>
      </c>
      <c r="AA5348">
        <v>9</v>
      </c>
      <c r="AB5348">
        <v>3</v>
      </c>
      <c r="AC5348">
        <v>0</v>
      </c>
      <c r="AD5348">
        <v>10</v>
      </c>
      <c r="AE5348">
        <v>0</v>
      </c>
      <c r="AF5348">
        <v>3</v>
      </c>
      <c r="AG5348">
        <v>2</v>
      </c>
      <c r="AH5348">
        <v>0</v>
      </c>
      <c r="AI5348" t="s">
        <v>1183</v>
      </c>
      <c r="AJ5348">
        <v>28.224070000000001</v>
      </c>
      <c r="AK5348" t="s">
        <v>1184</v>
      </c>
      <c r="AL5348">
        <v>-82.388576999999998</v>
      </c>
      <c r="AM5348">
        <v>100</v>
      </c>
      <c r="AN5348">
        <v>1600</v>
      </c>
      <c r="AO5348" t="s">
        <v>118</v>
      </c>
      <c r="AP5348">
        <v>-87</v>
      </c>
      <c r="AQ5348">
        <v>-81</v>
      </c>
      <c r="AR5348">
        <v>-1024</v>
      </c>
      <c r="AZ5348">
        <v>1200</v>
      </c>
      <c r="BA5348">
        <v>1</v>
      </c>
      <c r="BB5348" t="str">
        <f t="shared" si="2469"/>
        <v xml:space="preserve">N711JA  </v>
      </c>
      <c r="BC5348">
        <v>1</v>
      </c>
      <c r="BE5348">
        <v>0</v>
      </c>
      <c r="BF5348">
        <v>0</v>
      </c>
      <c r="BG5348">
        <v>0</v>
      </c>
      <c r="BH5348">
        <v>1650</v>
      </c>
      <c r="BI5348">
        <v>1</v>
      </c>
      <c r="BJ5348">
        <v>1</v>
      </c>
      <c r="BK5348">
        <v>0</v>
      </c>
      <c r="BL5348">
        <v>0</v>
      </c>
      <c r="BO5348">
        <v>0</v>
      </c>
      <c r="BP5348">
        <v>0</v>
      </c>
      <c r="BW5348" t="str">
        <f t="shared" si="2476"/>
        <v>14:51:07.758</v>
      </c>
      <c r="CJ5348">
        <v>0</v>
      </c>
      <c r="CK5348">
        <v>2</v>
      </c>
      <c r="CL5348">
        <v>0</v>
      </c>
      <c r="CM5348">
        <v>2</v>
      </c>
      <c r="CN5348">
        <v>0</v>
      </c>
      <c r="CO5348">
        <v>7</v>
      </c>
      <c r="CP5348" t="s">
        <v>119</v>
      </c>
      <c r="CQ5348">
        <v>343</v>
      </c>
      <c r="CR5348">
        <v>2</v>
      </c>
      <c r="CW5348">
        <v>13398770</v>
      </c>
      <c r="CY5348">
        <v>1</v>
      </c>
      <c r="CZ5348">
        <v>0</v>
      </c>
      <c r="DA5348">
        <v>1</v>
      </c>
      <c r="DB5348">
        <v>0</v>
      </c>
      <c r="DC5348">
        <v>0</v>
      </c>
      <c r="DD5348">
        <v>1</v>
      </c>
      <c r="DE5348">
        <v>0</v>
      </c>
      <c r="DF5348">
        <v>0</v>
      </c>
      <c r="DG5348">
        <v>0</v>
      </c>
      <c r="DH5348">
        <v>0</v>
      </c>
      <c r="DI5348">
        <v>0</v>
      </c>
    </row>
    <row r="5349" spans="1:113" x14ac:dyDescent="0.3">
      <c r="A5349" t="str">
        <f t="shared" si="2473"/>
        <v>05/12/2020 14:50:49.920</v>
      </c>
      <c r="C5349" t="str">
        <f t="shared" si="2468"/>
        <v>FFDFD3C0</v>
      </c>
      <c r="D5349" t="s">
        <v>131</v>
      </c>
      <c r="E5349">
        <v>12</v>
      </c>
      <c r="F5349">
        <v>2012</v>
      </c>
      <c r="G5349" t="s">
        <v>137</v>
      </c>
      <c r="J5349" t="s">
        <v>133</v>
      </c>
      <c r="K5349">
        <v>0</v>
      </c>
      <c r="L5349">
        <v>3</v>
      </c>
      <c r="M5349">
        <v>0</v>
      </c>
      <c r="N5349">
        <v>2</v>
      </c>
      <c r="O5349">
        <v>1</v>
      </c>
      <c r="P5349">
        <v>0</v>
      </c>
      <c r="Q5349">
        <v>0</v>
      </c>
      <c r="S5349" t="str">
        <f t="shared" si="2474"/>
        <v>14:51:07.750</v>
      </c>
      <c r="T5349" t="str">
        <f t="shared" si="2475"/>
        <v>14:51:07.350</v>
      </c>
      <c r="U5349" t="str">
        <f t="shared" si="2460"/>
        <v>A9808D</v>
      </c>
      <c r="V5349">
        <v>0</v>
      </c>
      <c r="W5349">
        <v>0</v>
      </c>
      <c r="X5349">
        <v>1</v>
      </c>
      <c r="Z5349">
        <v>0</v>
      </c>
      <c r="AA5349">
        <v>9</v>
      </c>
      <c r="AB5349">
        <v>3</v>
      </c>
      <c r="AC5349">
        <v>0</v>
      </c>
      <c r="AD5349">
        <v>10</v>
      </c>
      <c r="AE5349">
        <v>0</v>
      </c>
      <c r="AF5349">
        <v>3</v>
      </c>
      <c r="AG5349">
        <v>2</v>
      </c>
      <c r="AH5349">
        <v>0</v>
      </c>
      <c r="AI5349" t="s">
        <v>1183</v>
      </c>
      <c r="AJ5349">
        <v>28.224070000000001</v>
      </c>
      <c r="AK5349" t="s">
        <v>1184</v>
      </c>
      <c r="AL5349">
        <v>-82.388576999999998</v>
      </c>
      <c r="AM5349">
        <v>100</v>
      </c>
      <c r="AN5349">
        <v>1600</v>
      </c>
      <c r="AO5349" t="s">
        <v>118</v>
      </c>
      <c r="AP5349">
        <v>-87</v>
      </c>
      <c r="AQ5349">
        <v>-81</v>
      </c>
      <c r="AR5349">
        <v>-1024</v>
      </c>
      <c r="AZ5349">
        <v>1200</v>
      </c>
      <c r="BA5349">
        <v>1</v>
      </c>
      <c r="BB5349" t="str">
        <f t="shared" si="2469"/>
        <v xml:space="preserve">N711JA  </v>
      </c>
      <c r="BC5349">
        <v>1</v>
      </c>
      <c r="BE5349">
        <v>0</v>
      </c>
      <c r="BF5349">
        <v>0</v>
      </c>
      <c r="BG5349">
        <v>0</v>
      </c>
      <c r="BH5349">
        <v>1650</v>
      </c>
      <c r="BI5349">
        <v>1</v>
      </c>
      <c r="BJ5349">
        <v>1</v>
      </c>
      <c r="BK5349">
        <v>0</v>
      </c>
      <c r="BL5349">
        <v>0</v>
      </c>
      <c r="BO5349">
        <v>0</v>
      </c>
      <c r="BP5349">
        <v>0</v>
      </c>
      <c r="BW5349" t="str">
        <f t="shared" si="2476"/>
        <v>14:51:07.758</v>
      </c>
      <c r="CJ5349">
        <v>0</v>
      </c>
      <c r="CK5349">
        <v>2</v>
      </c>
      <c r="CL5349">
        <v>0</v>
      </c>
      <c r="CM5349">
        <v>2</v>
      </c>
      <c r="CN5349">
        <v>0</v>
      </c>
      <c r="CO5349">
        <v>7</v>
      </c>
      <c r="CP5349" t="s">
        <v>119</v>
      </c>
      <c r="CQ5349">
        <v>343</v>
      </c>
      <c r="CR5349">
        <v>2</v>
      </c>
      <c r="CW5349">
        <v>13398770</v>
      </c>
      <c r="CY5349">
        <v>1</v>
      </c>
      <c r="CZ5349">
        <v>0</v>
      </c>
      <c r="DA5349">
        <v>1</v>
      </c>
      <c r="DB5349">
        <v>0</v>
      </c>
      <c r="DC5349">
        <v>0</v>
      </c>
      <c r="DD5349">
        <v>1</v>
      </c>
      <c r="DE5349">
        <v>0</v>
      </c>
      <c r="DF5349">
        <v>0</v>
      </c>
      <c r="DG5349">
        <v>0</v>
      </c>
      <c r="DH5349">
        <v>0</v>
      </c>
      <c r="DI5349">
        <v>0</v>
      </c>
    </row>
    <row r="5350" spans="1:113" x14ac:dyDescent="0.3">
      <c r="A5350" t="str">
        <f t="shared" si="2473"/>
        <v>05/12/2020 14:50:49.920</v>
      </c>
      <c r="C5350" t="str">
        <f t="shared" si="2468"/>
        <v>FFDFD3C0</v>
      </c>
      <c r="D5350" t="s">
        <v>138</v>
      </c>
      <c r="E5350">
        <v>3</v>
      </c>
      <c r="H5350">
        <v>9</v>
      </c>
      <c r="I5350" t="s">
        <v>140</v>
      </c>
      <c r="J5350" t="s">
        <v>136</v>
      </c>
      <c r="K5350">
        <v>0</v>
      </c>
      <c r="L5350">
        <v>3</v>
      </c>
      <c r="M5350">
        <v>0</v>
      </c>
      <c r="N5350">
        <v>2</v>
      </c>
      <c r="O5350">
        <v>1</v>
      </c>
      <c r="P5350">
        <v>0</v>
      </c>
      <c r="Q5350">
        <v>0</v>
      </c>
      <c r="S5350" t="str">
        <f t="shared" si="2474"/>
        <v>14:51:07.750</v>
      </c>
      <c r="T5350" t="str">
        <f t="shared" si="2475"/>
        <v>14:51:07.350</v>
      </c>
      <c r="U5350" t="str">
        <f t="shared" si="2460"/>
        <v>A9808D</v>
      </c>
      <c r="V5350">
        <v>0</v>
      </c>
      <c r="W5350">
        <v>0</v>
      </c>
      <c r="X5350">
        <v>1</v>
      </c>
      <c r="Z5350">
        <v>0</v>
      </c>
      <c r="AA5350">
        <v>9</v>
      </c>
      <c r="AB5350">
        <v>3</v>
      </c>
      <c r="AC5350">
        <v>0</v>
      </c>
      <c r="AD5350">
        <v>10</v>
      </c>
      <c r="AE5350">
        <v>0</v>
      </c>
      <c r="AF5350">
        <v>3</v>
      </c>
      <c r="AG5350">
        <v>2</v>
      </c>
      <c r="AH5350">
        <v>0</v>
      </c>
      <c r="AI5350" t="s">
        <v>1183</v>
      </c>
      <c r="AJ5350">
        <v>28.224070000000001</v>
      </c>
      <c r="AK5350" t="s">
        <v>1184</v>
      </c>
      <c r="AL5350">
        <v>-82.388576999999998</v>
      </c>
      <c r="AM5350">
        <v>100</v>
      </c>
      <c r="AN5350">
        <v>1600</v>
      </c>
      <c r="AO5350" t="s">
        <v>118</v>
      </c>
      <c r="AP5350">
        <v>-87</v>
      </c>
      <c r="AQ5350">
        <v>-81</v>
      </c>
      <c r="AR5350">
        <v>-1024</v>
      </c>
      <c r="AZ5350">
        <v>1200</v>
      </c>
      <c r="BA5350">
        <v>1</v>
      </c>
      <c r="BB5350" t="str">
        <f t="shared" si="2469"/>
        <v xml:space="preserve">N711JA  </v>
      </c>
      <c r="BC5350">
        <v>1</v>
      </c>
      <c r="BE5350">
        <v>0</v>
      </c>
      <c r="BF5350">
        <v>0</v>
      </c>
      <c r="BG5350">
        <v>0</v>
      </c>
      <c r="BH5350">
        <v>1650</v>
      </c>
      <c r="BI5350">
        <v>1</v>
      </c>
      <c r="BJ5350">
        <v>1</v>
      </c>
      <c r="BK5350">
        <v>0</v>
      </c>
      <c r="BL5350">
        <v>0</v>
      </c>
      <c r="BO5350">
        <v>0</v>
      </c>
      <c r="BP5350">
        <v>0</v>
      </c>
      <c r="BW5350" t="str">
        <f t="shared" si="2476"/>
        <v>14:51:07.758</v>
      </c>
      <c r="CJ5350">
        <v>0</v>
      </c>
      <c r="CK5350">
        <v>2</v>
      </c>
      <c r="CL5350">
        <v>0</v>
      </c>
      <c r="CM5350">
        <v>2</v>
      </c>
      <c r="CN5350">
        <v>0</v>
      </c>
      <c r="CO5350">
        <v>7</v>
      </c>
      <c r="CP5350" t="s">
        <v>119</v>
      </c>
      <c r="CQ5350">
        <v>343</v>
      </c>
      <c r="CR5350">
        <v>2</v>
      </c>
      <c r="CW5350">
        <v>13398770</v>
      </c>
      <c r="CY5350">
        <v>1</v>
      </c>
      <c r="CZ5350">
        <v>0</v>
      </c>
      <c r="DA5350">
        <v>1</v>
      </c>
      <c r="DB5350">
        <v>0</v>
      </c>
      <c r="DC5350">
        <v>0</v>
      </c>
      <c r="DD5350">
        <v>1</v>
      </c>
      <c r="DE5350">
        <v>0</v>
      </c>
      <c r="DF5350">
        <v>0</v>
      </c>
      <c r="DG5350">
        <v>0</v>
      </c>
      <c r="DH5350">
        <v>0</v>
      </c>
      <c r="DI5350">
        <v>0</v>
      </c>
    </row>
    <row r="5351" spans="1:113" x14ac:dyDescent="0.3">
      <c r="A5351" t="str">
        <f t="shared" ref="A5351:A5358" si="2477">"05/12/2020 14:50:50.884"</f>
        <v>05/12/2020 14:50:50.884</v>
      </c>
      <c r="C5351" t="str">
        <f t="shared" si="2468"/>
        <v>FFDFD3C0</v>
      </c>
      <c r="D5351" t="s">
        <v>134</v>
      </c>
      <c r="E5351">
        <v>12</v>
      </c>
      <c r="H5351">
        <v>64</v>
      </c>
      <c r="I5351" t="s">
        <v>135</v>
      </c>
      <c r="J5351" t="s">
        <v>136</v>
      </c>
      <c r="K5351">
        <v>0</v>
      </c>
      <c r="L5351">
        <v>3</v>
      </c>
      <c r="M5351">
        <v>0</v>
      </c>
      <c r="N5351">
        <v>2</v>
      </c>
      <c r="O5351">
        <v>1</v>
      </c>
      <c r="P5351">
        <v>0</v>
      </c>
      <c r="Q5351">
        <v>0</v>
      </c>
      <c r="S5351" t="str">
        <f t="shared" ref="S5351:S5358" si="2478">"14:51:08.695"</f>
        <v>14:51:08.695</v>
      </c>
      <c r="T5351" t="str">
        <f t="shared" ref="T5351:T5358" si="2479">"14:51:08.495"</f>
        <v>14:51:08.495</v>
      </c>
      <c r="U5351" t="str">
        <f t="shared" si="2460"/>
        <v>A9808D</v>
      </c>
      <c r="V5351">
        <v>0</v>
      </c>
      <c r="W5351">
        <v>0</v>
      </c>
      <c r="X5351">
        <v>1</v>
      </c>
      <c r="Z5351">
        <v>0</v>
      </c>
      <c r="AA5351">
        <v>9</v>
      </c>
      <c r="AB5351">
        <v>3</v>
      </c>
      <c r="AC5351">
        <v>0</v>
      </c>
      <c r="AD5351">
        <v>10</v>
      </c>
      <c r="AE5351">
        <v>0</v>
      </c>
      <c r="AF5351">
        <v>3</v>
      </c>
      <c r="AG5351">
        <v>2</v>
      </c>
      <c r="AH5351">
        <v>0</v>
      </c>
      <c r="AI5351" t="s">
        <v>1185</v>
      </c>
      <c r="AJ5351">
        <v>28.223727</v>
      </c>
      <c r="AK5351" t="s">
        <v>1186</v>
      </c>
      <c r="AL5351">
        <v>-82.388942</v>
      </c>
      <c r="AM5351">
        <v>100</v>
      </c>
      <c r="AN5351">
        <v>1500</v>
      </c>
      <c r="AO5351" t="s">
        <v>118</v>
      </c>
      <c r="AP5351">
        <v>-84</v>
      </c>
      <c r="AQ5351">
        <v>-84</v>
      </c>
      <c r="AR5351">
        <v>-1152</v>
      </c>
      <c r="AZ5351">
        <v>1200</v>
      </c>
      <c r="BA5351">
        <v>1</v>
      </c>
      <c r="BB5351" t="str">
        <f t="shared" si="2469"/>
        <v xml:space="preserve">N711JA  </v>
      </c>
      <c r="BC5351">
        <v>1</v>
      </c>
      <c r="BE5351">
        <v>0</v>
      </c>
      <c r="BF5351">
        <v>0</v>
      </c>
      <c r="BG5351">
        <v>0</v>
      </c>
      <c r="BH5351">
        <v>1625</v>
      </c>
      <c r="BI5351">
        <v>1</v>
      </c>
      <c r="BJ5351">
        <v>1</v>
      </c>
      <c r="BK5351">
        <v>0</v>
      </c>
      <c r="BL5351">
        <v>0</v>
      </c>
      <c r="BO5351">
        <v>0</v>
      </c>
      <c r="BP5351">
        <v>0</v>
      </c>
      <c r="BW5351" t="str">
        <f t="shared" ref="BW5351:BW5358" si="2480">"14:51:08.700"</f>
        <v>14:51:08.700</v>
      </c>
      <c r="CJ5351">
        <v>0</v>
      </c>
      <c r="CK5351">
        <v>2</v>
      </c>
      <c r="CL5351">
        <v>0</v>
      </c>
      <c r="CM5351">
        <v>2</v>
      </c>
      <c r="CN5351">
        <v>0</v>
      </c>
      <c r="CO5351">
        <v>6</v>
      </c>
      <c r="CP5351" t="s">
        <v>119</v>
      </c>
      <c r="CQ5351">
        <v>358</v>
      </c>
      <c r="CR5351">
        <v>0</v>
      </c>
      <c r="CW5351">
        <v>5255758</v>
      </c>
      <c r="CY5351">
        <v>1</v>
      </c>
      <c r="CZ5351">
        <v>0</v>
      </c>
      <c r="DA5351">
        <v>0</v>
      </c>
      <c r="DB5351">
        <v>0</v>
      </c>
      <c r="DC5351">
        <v>0</v>
      </c>
      <c r="DD5351">
        <v>1</v>
      </c>
      <c r="DE5351">
        <v>0</v>
      </c>
      <c r="DF5351">
        <v>0</v>
      </c>
      <c r="DG5351">
        <v>0</v>
      </c>
      <c r="DH5351">
        <v>0</v>
      </c>
      <c r="DI5351">
        <v>0</v>
      </c>
    </row>
    <row r="5352" spans="1:113" x14ac:dyDescent="0.3">
      <c r="A5352" t="str">
        <f t="shared" si="2477"/>
        <v>05/12/2020 14:50:50.884</v>
      </c>
      <c r="C5352" t="str">
        <f t="shared" si="2468"/>
        <v>FFDFD3C0</v>
      </c>
      <c r="D5352" t="s">
        <v>126</v>
      </c>
      <c r="E5352">
        <v>6</v>
      </c>
      <c r="F5352">
        <v>1006</v>
      </c>
      <c r="G5352" t="s">
        <v>114</v>
      </c>
      <c r="J5352" t="s">
        <v>128</v>
      </c>
      <c r="K5352">
        <v>0</v>
      </c>
      <c r="L5352">
        <v>3</v>
      </c>
      <c r="M5352">
        <v>0</v>
      </c>
      <c r="N5352">
        <v>2</v>
      </c>
      <c r="O5352">
        <v>1</v>
      </c>
      <c r="P5352">
        <v>0</v>
      </c>
      <c r="Q5352">
        <v>0</v>
      </c>
      <c r="S5352" t="str">
        <f t="shared" si="2478"/>
        <v>14:51:08.695</v>
      </c>
      <c r="T5352" t="str">
        <f t="shared" si="2479"/>
        <v>14:51:08.495</v>
      </c>
      <c r="U5352" t="str">
        <f t="shared" si="2460"/>
        <v>A9808D</v>
      </c>
      <c r="V5352">
        <v>0</v>
      </c>
      <c r="W5352">
        <v>0</v>
      </c>
      <c r="X5352">
        <v>1</v>
      </c>
      <c r="Z5352">
        <v>0</v>
      </c>
      <c r="AA5352">
        <v>9</v>
      </c>
      <c r="AB5352">
        <v>3</v>
      </c>
      <c r="AC5352">
        <v>0</v>
      </c>
      <c r="AD5352">
        <v>10</v>
      </c>
      <c r="AE5352">
        <v>0</v>
      </c>
      <c r="AF5352">
        <v>3</v>
      </c>
      <c r="AG5352">
        <v>2</v>
      </c>
      <c r="AH5352">
        <v>0</v>
      </c>
      <c r="AI5352" t="s">
        <v>1185</v>
      </c>
      <c r="AJ5352">
        <v>28.223727</v>
      </c>
      <c r="AK5352" t="s">
        <v>1186</v>
      </c>
      <c r="AL5352">
        <v>-82.388942</v>
      </c>
      <c r="AM5352">
        <v>100</v>
      </c>
      <c r="AN5352">
        <v>1500</v>
      </c>
      <c r="AO5352" t="s">
        <v>118</v>
      </c>
      <c r="AP5352">
        <v>-84</v>
      </c>
      <c r="AQ5352">
        <v>-84</v>
      </c>
      <c r="AR5352">
        <v>-1152</v>
      </c>
      <c r="AZ5352">
        <v>1200</v>
      </c>
      <c r="BA5352">
        <v>1</v>
      </c>
      <c r="BB5352" t="str">
        <f t="shared" si="2469"/>
        <v xml:space="preserve">N711JA  </v>
      </c>
      <c r="BC5352">
        <v>1</v>
      </c>
      <c r="BE5352">
        <v>0</v>
      </c>
      <c r="BF5352">
        <v>0</v>
      </c>
      <c r="BG5352">
        <v>0</v>
      </c>
      <c r="BH5352">
        <v>1625</v>
      </c>
      <c r="BI5352">
        <v>1</v>
      </c>
      <c r="BJ5352">
        <v>1</v>
      </c>
      <c r="BK5352">
        <v>0</v>
      </c>
      <c r="BL5352">
        <v>0</v>
      </c>
      <c r="BO5352">
        <v>0</v>
      </c>
      <c r="BP5352">
        <v>0</v>
      </c>
      <c r="BW5352" t="str">
        <f t="shared" si="2480"/>
        <v>14:51:08.700</v>
      </c>
      <c r="CJ5352">
        <v>0</v>
      </c>
      <c r="CK5352">
        <v>2</v>
      </c>
      <c r="CL5352">
        <v>0</v>
      </c>
      <c r="CM5352">
        <v>2</v>
      </c>
      <c r="CN5352">
        <v>0</v>
      </c>
      <c r="CO5352">
        <v>6</v>
      </c>
      <c r="CP5352" t="s">
        <v>119</v>
      </c>
      <c r="CQ5352">
        <v>358</v>
      </c>
      <c r="CR5352">
        <v>0</v>
      </c>
      <c r="CW5352">
        <v>5255758</v>
      </c>
      <c r="CY5352">
        <v>1</v>
      </c>
      <c r="CZ5352">
        <v>0</v>
      </c>
      <c r="DA5352">
        <v>1</v>
      </c>
      <c r="DB5352">
        <v>0</v>
      </c>
      <c r="DC5352">
        <v>0</v>
      </c>
      <c r="DD5352">
        <v>1</v>
      </c>
      <c r="DE5352">
        <v>0</v>
      </c>
      <c r="DF5352">
        <v>0</v>
      </c>
      <c r="DG5352">
        <v>0</v>
      </c>
      <c r="DH5352">
        <v>0</v>
      </c>
      <c r="DI5352">
        <v>0</v>
      </c>
    </row>
    <row r="5353" spans="1:113" x14ac:dyDescent="0.3">
      <c r="A5353" t="str">
        <f t="shared" si="2477"/>
        <v>05/12/2020 14:50:50.884</v>
      </c>
      <c r="C5353" t="str">
        <f t="shared" si="2468"/>
        <v>FFDFD3C0</v>
      </c>
      <c r="D5353" t="s">
        <v>131</v>
      </c>
      <c r="E5353">
        <v>10</v>
      </c>
      <c r="F5353">
        <v>2010</v>
      </c>
      <c r="G5353" t="s">
        <v>132</v>
      </c>
      <c r="J5353" t="s">
        <v>133</v>
      </c>
      <c r="K5353">
        <v>0</v>
      </c>
      <c r="L5353">
        <v>3</v>
      </c>
      <c r="M5353">
        <v>0</v>
      </c>
      <c r="N5353">
        <v>2</v>
      </c>
      <c r="O5353">
        <v>1</v>
      </c>
      <c r="P5353">
        <v>0</v>
      </c>
      <c r="Q5353">
        <v>0</v>
      </c>
      <c r="S5353" t="str">
        <f t="shared" si="2478"/>
        <v>14:51:08.695</v>
      </c>
      <c r="T5353" t="str">
        <f t="shared" si="2479"/>
        <v>14:51:08.495</v>
      </c>
      <c r="U5353" t="str">
        <f t="shared" si="2460"/>
        <v>A9808D</v>
      </c>
      <c r="V5353">
        <v>0</v>
      </c>
      <c r="W5353">
        <v>0</v>
      </c>
      <c r="X5353">
        <v>1</v>
      </c>
      <c r="Z5353">
        <v>0</v>
      </c>
      <c r="AA5353">
        <v>9</v>
      </c>
      <c r="AB5353">
        <v>3</v>
      </c>
      <c r="AC5353">
        <v>0</v>
      </c>
      <c r="AD5353">
        <v>10</v>
      </c>
      <c r="AE5353">
        <v>0</v>
      </c>
      <c r="AF5353">
        <v>3</v>
      </c>
      <c r="AG5353">
        <v>2</v>
      </c>
      <c r="AH5353">
        <v>0</v>
      </c>
      <c r="AI5353" t="s">
        <v>1185</v>
      </c>
      <c r="AJ5353">
        <v>28.223727</v>
      </c>
      <c r="AK5353" t="s">
        <v>1186</v>
      </c>
      <c r="AL5353">
        <v>-82.388942</v>
      </c>
      <c r="AM5353">
        <v>100</v>
      </c>
      <c r="AN5353">
        <v>1500</v>
      </c>
      <c r="AO5353" t="s">
        <v>118</v>
      </c>
      <c r="AP5353">
        <v>-84</v>
      </c>
      <c r="AQ5353">
        <v>-84</v>
      </c>
      <c r="AR5353">
        <v>-1152</v>
      </c>
      <c r="AZ5353">
        <v>1200</v>
      </c>
      <c r="BA5353">
        <v>1</v>
      </c>
      <c r="BB5353" t="str">
        <f t="shared" si="2469"/>
        <v xml:space="preserve">N711JA  </v>
      </c>
      <c r="BC5353">
        <v>1</v>
      </c>
      <c r="BE5353">
        <v>0</v>
      </c>
      <c r="BF5353">
        <v>0</v>
      </c>
      <c r="BG5353">
        <v>0</v>
      </c>
      <c r="BH5353">
        <v>1625</v>
      </c>
      <c r="BI5353">
        <v>1</v>
      </c>
      <c r="BJ5353">
        <v>1</v>
      </c>
      <c r="BK5353">
        <v>0</v>
      </c>
      <c r="BL5353">
        <v>0</v>
      </c>
      <c r="BO5353">
        <v>0</v>
      </c>
      <c r="BP5353">
        <v>0</v>
      </c>
      <c r="BW5353" t="str">
        <f t="shared" si="2480"/>
        <v>14:51:08.700</v>
      </c>
      <c r="CJ5353">
        <v>0</v>
      </c>
      <c r="CK5353">
        <v>2</v>
      </c>
      <c r="CL5353">
        <v>0</v>
      </c>
      <c r="CM5353">
        <v>2</v>
      </c>
      <c r="CN5353">
        <v>0</v>
      </c>
      <c r="CO5353">
        <v>6</v>
      </c>
      <c r="CP5353" t="s">
        <v>119</v>
      </c>
      <c r="CQ5353">
        <v>358</v>
      </c>
      <c r="CR5353">
        <v>0</v>
      </c>
      <c r="CW5353">
        <v>5255758</v>
      </c>
      <c r="CY5353">
        <v>1</v>
      </c>
      <c r="CZ5353">
        <v>0</v>
      </c>
      <c r="DA5353">
        <v>1</v>
      </c>
      <c r="DB5353">
        <v>0</v>
      </c>
      <c r="DC5353">
        <v>0</v>
      </c>
      <c r="DD5353">
        <v>1</v>
      </c>
      <c r="DE5353">
        <v>0</v>
      </c>
      <c r="DF5353">
        <v>0</v>
      </c>
      <c r="DG5353">
        <v>0</v>
      </c>
      <c r="DH5353">
        <v>0</v>
      </c>
      <c r="DI5353">
        <v>0</v>
      </c>
    </row>
    <row r="5354" spans="1:113" x14ac:dyDescent="0.3">
      <c r="A5354" t="str">
        <f t="shared" si="2477"/>
        <v>05/12/2020 14:50:50.884</v>
      </c>
      <c r="C5354" t="str">
        <f t="shared" si="2468"/>
        <v>FFDFD3C0</v>
      </c>
      <c r="D5354" t="s">
        <v>126</v>
      </c>
      <c r="E5354">
        <v>7</v>
      </c>
      <c r="F5354">
        <v>1007</v>
      </c>
      <c r="G5354" t="s">
        <v>127</v>
      </c>
      <c r="J5354" t="s">
        <v>128</v>
      </c>
      <c r="K5354">
        <v>0</v>
      </c>
      <c r="L5354">
        <v>3</v>
      </c>
      <c r="M5354">
        <v>0</v>
      </c>
      <c r="N5354">
        <v>2</v>
      </c>
      <c r="O5354">
        <v>1</v>
      </c>
      <c r="P5354">
        <v>0</v>
      </c>
      <c r="Q5354">
        <v>0</v>
      </c>
      <c r="S5354" t="str">
        <f t="shared" si="2478"/>
        <v>14:51:08.695</v>
      </c>
      <c r="T5354" t="str">
        <f t="shared" si="2479"/>
        <v>14:51:08.495</v>
      </c>
      <c r="U5354" t="str">
        <f t="shared" si="2460"/>
        <v>A9808D</v>
      </c>
      <c r="V5354">
        <v>0</v>
      </c>
      <c r="W5354">
        <v>0</v>
      </c>
      <c r="X5354">
        <v>1</v>
      </c>
      <c r="Z5354">
        <v>0</v>
      </c>
      <c r="AA5354">
        <v>9</v>
      </c>
      <c r="AB5354">
        <v>3</v>
      </c>
      <c r="AC5354">
        <v>0</v>
      </c>
      <c r="AD5354">
        <v>10</v>
      </c>
      <c r="AE5354">
        <v>0</v>
      </c>
      <c r="AF5354">
        <v>3</v>
      </c>
      <c r="AG5354">
        <v>2</v>
      </c>
      <c r="AH5354">
        <v>0</v>
      </c>
      <c r="AI5354" t="s">
        <v>1185</v>
      </c>
      <c r="AJ5354">
        <v>28.223727</v>
      </c>
      <c r="AK5354" t="s">
        <v>1186</v>
      </c>
      <c r="AL5354">
        <v>-82.388942</v>
      </c>
      <c r="AM5354">
        <v>100</v>
      </c>
      <c r="AN5354">
        <v>1500</v>
      </c>
      <c r="AO5354" t="s">
        <v>118</v>
      </c>
      <c r="AP5354">
        <v>-84</v>
      </c>
      <c r="AQ5354">
        <v>-84</v>
      </c>
      <c r="AR5354">
        <v>-1152</v>
      </c>
      <c r="AZ5354">
        <v>1200</v>
      </c>
      <c r="BA5354">
        <v>1</v>
      </c>
      <c r="BB5354" t="str">
        <f t="shared" si="2469"/>
        <v xml:space="preserve">N711JA  </v>
      </c>
      <c r="BC5354">
        <v>1</v>
      </c>
      <c r="BE5354">
        <v>0</v>
      </c>
      <c r="BF5354">
        <v>0</v>
      </c>
      <c r="BG5354">
        <v>0</v>
      </c>
      <c r="BH5354">
        <v>1625</v>
      </c>
      <c r="BI5354">
        <v>1</v>
      </c>
      <c r="BJ5354">
        <v>1</v>
      </c>
      <c r="BK5354">
        <v>0</v>
      </c>
      <c r="BL5354">
        <v>0</v>
      </c>
      <c r="BO5354">
        <v>0</v>
      </c>
      <c r="BP5354">
        <v>0</v>
      </c>
      <c r="BW5354" t="str">
        <f t="shared" si="2480"/>
        <v>14:51:08.700</v>
      </c>
      <c r="CJ5354">
        <v>0</v>
      </c>
      <c r="CK5354">
        <v>2</v>
      </c>
      <c r="CL5354">
        <v>0</v>
      </c>
      <c r="CM5354">
        <v>2</v>
      </c>
      <c r="CN5354">
        <v>0</v>
      </c>
      <c r="CO5354">
        <v>6</v>
      </c>
      <c r="CP5354" t="s">
        <v>119</v>
      </c>
      <c r="CQ5354">
        <v>358</v>
      </c>
      <c r="CR5354">
        <v>0</v>
      </c>
      <c r="CW5354">
        <v>5255758</v>
      </c>
      <c r="CY5354">
        <v>1</v>
      </c>
      <c r="CZ5354">
        <v>0</v>
      </c>
      <c r="DA5354">
        <v>1</v>
      </c>
      <c r="DB5354">
        <v>0</v>
      </c>
      <c r="DC5354">
        <v>0</v>
      </c>
      <c r="DD5354">
        <v>1</v>
      </c>
      <c r="DE5354">
        <v>0</v>
      </c>
      <c r="DF5354">
        <v>0</v>
      </c>
      <c r="DG5354">
        <v>0</v>
      </c>
      <c r="DH5354">
        <v>0</v>
      </c>
      <c r="DI5354">
        <v>0</v>
      </c>
    </row>
    <row r="5355" spans="1:113" x14ac:dyDescent="0.3">
      <c r="A5355" t="str">
        <f t="shared" si="2477"/>
        <v>05/12/2020 14:50:50.884</v>
      </c>
      <c r="C5355" t="str">
        <f t="shared" si="2468"/>
        <v>FFDFD3C0</v>
      </c>
      <c r="D5355" t="s">
        <v>131</v>
      </c>
      <c r="E5355">
        <v>12</v>
      </c>
      <c r="F5355">
        <v>2012</v>
      </c>
      <c r="G5355" t="s">
        <v>137</v>
      </c>
      <c r="J5355" t="s">
        <v>133</v>
      </c>
      <c r="K5355">
        <v>0</v>
      </c>
      <c r="L5355">
        <v>3</v>
      </c>
      <c r="M5355">
        <v>0</v>
      </c>
      <c r="N5355">
        <v>2</v>
      </c>
      <c r="O5355">
        <v>1</v>
      </c>
      <c r="P5355">
        <v>0</v>
      </c>
      <c r="Q5355">
        <v>0</v>
      </c>
      <c r="S5355" t="str">
        <f t="shared" si="2478"/>
        <v>14:51:08.695</v>
      </c>
      <c r="T5355" t="str">
        <f t="shared" si="2479"/>
        <v>14:51:08.495</v>
      </c>
      <c r="U5355" t="str">
        <f t="shared" si="2460"/>
        <v>A9808D</v>
      </c>
      <c r="V5355">
        <v>0</v>
      </c>
      <c r="W5355">
        <v>0</v>
      </c>
      <c r="X5355">
        <v>1</v>
      </c>
      <c r="Z5355">
        <v>0</v>
      </c>
      <c r="AA5355">
        <v>9</v>
      </c>
      <c r="AB5355">
        <v>3</v>
      </c>
      <c r="AC5355">
        <v>0</v>
      </c>
      <c r="AD5355">
        <v>10</v>
      </c>
      <c r="AE5355">
        <v>0</v>
      </c>
      <c r="AF5355">
        <v>3</v>
      </c>
      <c r="AG5355">
        <v>2</v>
      </c>
      <c r="AH5355">
        <v>0</v>
      </c>
      <c r="AI5355" t="s">
        <v>1185</v>
      </c>
      <c r="AJ5355">
        <v>28.223727</v>
      </c>
      <c r="AK5355" t="s">
        <v>1186</v>
      </c>
      <c r="AL5355">
        <v>-82.388942</v>
      </c>
      <c r="AM5355">
        <v>100</v>
      </c>
      <c r="AN5355">
        <v>1500</v>
      </c>
      <c r="AO5355" t="s">
        <v>118</v>
      </c>
      <c r="AP5355">
        <v>-84</v>
      </c>
      <c r="AQ5355">
        <v>-84</v>
      </c>
      <c r="AR5355">
        <v>-1152</v>
      </c>
      <c r="AZ5355">
        <v>1200</v>
      </c>
      <c r="BA5355">
        <v>1</v>
      </c>
      <c r="BB5355" t="str">
        <f t="shared" si="2469"/>
        <v xml:space="preserve">N711JA  </v>
      </c>
      <c r="BC5355">
        <v>1</v>
      </c>
      <c r="BE5355">
        <v>0</v>
      </c>
      <c r="BF5355">
        <v>0</v>
      </c>
      <c r="BG5355">
        <v>0</v>
      </c>
      <c r="BH5355">
        <v>1625</v>
      </c>
      <c r="BI5355">
        <v>1</v>
      </c>
      <c r="BJ5355">
        <v>1</v>
      </c>
      <c r="BK5355">
        <v>0</v>
      </c>
      <c r="BL5355">
        <v>0</v>
      </c>
      <c r="BO5355">
        <v>0</v>
      </c>
      <c r="BP5355">
        <v>0</v>
      </c>
      <c r="BW5355" t="str">
        <f t="shared" si="2480"/>
        <v>14:51:08.700</v>
      </c>
      <c r="CJ5355">
        <v>0</v>
      </c>
      <c r="CK5355">
        <v>2</v>
      </c>
      <c r="CL5355">
        <v>0</v>
      </c>
      <c r="CM5355">
        <v>2</v>
      </c>
      <c r="CN5355">
        <v>0</v>
      </c>
      <c r="CO5355">
        <v>5</v>
      </c>
      <c r="CP5355" t="s">
        <v>119</v>
      </c>
      <c r="CQ5355">
        <v>56</v>
      </c>
      <c r="CR5355">
        <v>2</v>
      </c>
      <c r="CW5355">
        <v>5288626</v>
      </c>
      <c r="CY5355">
        <v>1</v>
      </c>
      <c r="CZ5355">
        <v>0</v>
      </c>
      <c r="DA5355">
        <v>1</v>
      </c>
      <c r="DB5355">
        <v>0</v>
      </c>
      <c r="DC5355">
        <v>0</v>
      </c>
      <c r="DD5355">
        <v>1</v>
      </c>
      <c r="DE5355">
        <v>0</v>
      </c>
      <c r="DF5355">
        <v>0</v>
      </c>
      <c r="DG5355">
        <v>0</v>
      </c>
      <c r="DH5355">
        <v>0</v>
      </c>
      <c r="DI5355">
        <v>0</v>
      </c>
    </row>
    <row r="5356" spans="1:113" x14ac:dyDescent="0.3">
      <c r="A5356" t="str">
        <f t="shared" si="2477"/>
        <v>05/12/2020 14:50:50.884</v>
      </c>
      <c r="C5356" t="str">
        <f t="shared" si="2468"/>
        <v>FFDFD3C0</v>
      </c>
      <c r="D5356" t="s">
        <v>113</v>
      </c>
      <c r="E5356">
        <v>3</v>
      </c>
      <c r="H5356">
        <v>164</v>
      </c>
      <c r="I5356" t="s">
        <v>114</v>
      </c>
      <c r="J5356" t="s">
        <v>115</v>
      </c>
      <c r="K5356">
        <v>0</v>
      </c>
      <c r="L5356">
        <v>3</v>
      </c>
      <c r="M5356">
        <v>0</v>
      </c>
      <c r="N5356">
        <v>2</v>
      </c>
      <c r="O5356">
        <v>1</v>
      </c>
      <c r="P5356">
        <v>0</v>
      </c>
      <c r="Q5356">
        <v>0</v>
      </c>
      <c r="S5356" t="str">
        <f t="shared" si="2478"/>
        <v>14:51:08.695</v>
      </c>
      <c r="T5356" t="str">
        <f t="shared" si="2479"/>
        <v>14:51:08.495</v>
      </c>
      <c r="U5356" t="str">
        <f t="shared" si="2460"/>
        <v>A9808D</v>
      </c>
      <c r="V5356">
        <v>0</v>
      </c>
      <c r="W5356">
        <v>0</v>
      </c>
      <c r="X5356">
        <v>1</v>
      </c>
      <c r="Z5356">
        <v>0</v>
      </c>
      <c r="AA5356">
        <v>9</v>
      </c>
      <c r="AB5356">
        <v>3</v>
      </c>
      <c r="AC5356">
        <v>0</v>
      </c>
      <c r="AD5356">
        <v>10</v>
      </c>
      <c r="AE5356">
        <v>0</v>
      </c>
      <c r="AF5356">
        <v>3</v>
      </c>
      <c r="AG5356">
        <v>2</v>
      </c>
      <c r="AH5356">
        <v>0</v>
      </c>
      <c r="AI5356" t="s">
        <v>1185</v>
      </c>
      <c r="AJ5356">
        <v>28.223727</v>
      </c>
      <c r="AK5356" t="s">
        <v>1186</v>
      </c>
      <c r="AL5356">
        <v>-82.388942</v>
      </c>
      <c r="AM5356">
        <v>100</v>
      </c>
      <c r="AN5356">
        <v>1500</v>
      </c>
      <c r="AO5356" t="s">
        <v>118</v>
      </c>
      <c r="AP5356">
        <v>-84</v>
      </c>
      <c r="AQ5356">
        <v>-84</v>
      </c>
      <c r="AR5356">
        <v>-1152</v>
      </c>
      <c r="AZ5356">
        <v>1200</v>
      </c>
      <c r="BA5356">
        <v>1</v>
      </c>
      <c r="BB5356" t="str">
        <f t="shared" si="2469"/>
        <v xml:space="preserve">N711JA  </v>
      </c>
      <c r="BC5356">
        <v>1</v>
      </c>
      <c r="BE5356">
        <v>0</v>
      </c>
      <c r="BF5356">
        <v>0</v>
      </c>
      <c r="BG5356">
        <v>0</v>
      </c>
      <c r="BH5356">
        <v>1625</v>
      </c>
      <c r="BI5356">
        <v>1</v>
      </c>
      <c r="BJ5356">
        <v>1</v>
      </c>
      <c r="BK5356">
        <v>0</v>
      </c>
      <c r="BL5356">
        <v>0</v>
      </c>
      <c r="BO5356">
        <v>0</v>
      </c>
      <c r="BP5356">
        <v>0</v>
      </c>
      <c r="BW5356" t="str">
        <f t="shared" si="2480"/>
        <v>14:51:08.700</v>
      </c>
      <c r="CJ5356">
        <v>0</v>
      </c>
      <c r="CK5356">
        <v>2</v>
      </c>
      <c r="CL5356">
        <v>0</v>
      </c>
      <c r="CM5356">
        <v>2</v>
      </c>
      <c r="CN5356">
        <v>0</v>
      </c>
      <c r="CO5356">
        <v>5</v>
      </c>
      <c r="CP5356" t="s">
        <v>119</v>
      </c>
      <c r="CQ5356">
        <v>56</v>
      </c>
      <c r="CR5356">
        <v>2</v>
      </c>
      <c r="CW5356">
        <v>5288626</v>
      </c>
      <c r="CY5356">
        <v>1</v>
      </c>
      <c r="CZ5356">
        <v>0</v>
      </c>
      <c r="DA5356">
        <v>1</v>
      </c>
      <c r="DB5356">
        <v>0</v>
      </c>
      <c r="DC5356">
        <v>0</v>
      </c>
      <c r="DD5356">
        <v>1</v>
      </c>
      <c r="DE5356">
        <v>0</v>
      </c>
      <c r="DF5356">
        <v>0</v>
      </c>
      <c r="DG5356">
        <v>0</v>
      </c>
      <c r="DH5356">
        <v>0</v>
      </c>
      <c r="DI5356">
        <v>0</v>
      </c>
    </row>
    <row r="5357" spans="1:113" x14ac:dyDescent="0.3">
      <c r="A5357" t="str">
        <f t="shared" si="2477"/>
        <v>05/12/2020 14:50:50.884</v>
      </c>
      <c r="C5357" t="str">
        <f t="shared" si="2468"/>
        <v>FFDFD3C0</v>
      </c>
      <c r="D5357" t="s">
        <v>138</v>
      </c>
      <c r="E5357">
        <v>2</v>
      </c>
      <c r="H5357">
        <v>8</v>
      </c>
      <c r="I5357" t="s">
        <v>139</v>
      </c>
      <c r="J5357" t="s">
        <v>136</v>
      </c>
      <c r="K5357">
        <v>0</v>
      </c>
      <c r="L5357">
        <v>3</v>
      </c>
      <c r="M5357">
        <v>0</v>
      </c>
      <c r="N5357">
        <v>2</v>
      </c>
      <c r="O5357">
        <v>1</v>
      </c>
      <c r="P5357">
        <v>0</v>
      </c>
      <c r="Q5357">
        <v>0</v>
      </c>
      <c r="S5357" t="str">
        <f t="shared" si="2478"/>
        <v>14:51:08.695</v>
      </c>
      <c r="T5357" t="str">
        <f t="shared" si="2479"/>
        <v>14:51:08.495</v>
      </c>
      <c r="U5357" t="str">
        <f t="shared" si="2460"/>
        <v>A9808D</v>
      </c>
      <c r="V5357">
        <v>0</v>
      </c>
      <c r="W5357">
        <v>0</v>
      </c>
      <c r="X5357">
        <v>1</v>
      </c>
      <c r="Z5357">
        <v>0</v>
      </c>
      <c r="AA5357">
        <v>9</v>
      </c>
      <c r="AB5357">
        <v>3</v>
      </c>
      <c r="AC5357">
        <v>0</v>
      </c>
      <c r="AD5357">
        <v>10</v>
      </c>
      <c r="AE5357">
        <v>0</v>
      </c>
      <c r="AF5357">
        <v>3</v>
      </c>
      <c r="AG5357">
        <v>2</v>
      </c>
      <c r="AH5357">
        <v>0</v>
      </c>
      <c r="AI5357" t="s">
        <v>1185</v>
      </c>
      <c r="AJ5357">
        <v>28.223727</v>
      </c>
      <c r="AK5357" t="s">
        <v>1186</v>
      </c>
      <c r="AL5357">
        <v>-82.388942</v>
      </c>
      <c r="AM5357">
        <v>100</v>
      </c>
      <c r="AN5357">
        <v>1500</v>
      </c>
      <c r="AO5357" t="s">
        <v>118</v>
      </c>
      <c r="AP5357">
        <v>-84</v>
      </c>
      <c r="AQ5357">
        <v>-84</v>
      </c>
      <c r="AR5357">
        <v>-1152</v>
      </c>
      <c r="AZ5357">
        <v>1200</v>
      </c>
      <c r="BA5357">
        <v>1</v>
      </c>
      <c r="BB5357" t="str">
        <f t="shared" si="2469"/>
        <v xml:space="preserve">N711JA  </v>
      </c>
      <c r="BC5357">
        <v>1</v>
      </c>
      <c r="BE5357">
        <v>0</v>
      </c>
      <c r="BF5357">
        <v>0</v>
      </c>
      <c r="BG5357">
        <v>0</v>
      </c>
      <c r="BH5357">
        <v>1625</v>
      </c>
      <c r="BI5357">
        <v>1</v>
      </c>
      <c r="BJ5357">
        <v>1</v>
      </c>
      <c r="BK5357">
        <v>0</v>
      </c>
      <c r="BL5357">
        <v>0</v>
      </c>
      <c r="BO5357">
        <v>0</v>
      </c>
      <c r="BP5357">
        <v>0</v>
      </c>
      <c r="BW5357" t="str">
        <f t="shared" si="2480"/>
        <v>14:51:08.700</v>
      </c>
      <c r="CJ5357">
        <v>0</v>
      </c>
      <c r="CK5357">
        <v>2</v>
      </c>
      <c r="CL5357">
        <v>0</v>
      </c>
      <c r="CM5357">
        <v>2</v>
      </c>
      <c r="CN5357">
        <v>0</v>
      </c>
      <c r="CO5357">
        <v>5</v>
      </c>
      <c r="CP5357" t="s">
        <v>119</v>
      </c>
      <c r="CQ5357">
        <v>56</v>
      </c>
      <c r="CR5357">
        <v>2</v>
      </c>
      <c r="CW5357">
        <v>5288626</v>
      </c>
      <c r="CY5357">
        <v>1</v>
      </c>
      <c r="CZ5357">
        <v>0</v>
      </c>
      <c r="DA5357">
        <v>1</v>
      </c>
      <c r="DB5357">
        <v>0</v>
      </c>
      <c r="DC5357">
        <v>0</v>
      </c>
      <c r="DD5357">
        <v>1</v>
      </c>
      <c r="DE5357">
        <v>0</v>
      </c>
      <c r="DF5357">
        <v>0</v>
      </c>
      <c r="DG5357">
        <v>0</v>
      </c>
      <c r="DH5357">
        <v>0</v>
      </c>
      <c r="DI5357">
        <v>0</v>
      </c>
    </row>
    <row r="5358" spans="1:113" x14ac:dyDescent="0.3">
      <c r="A5358" t="str">
        <f t="shared" si="2477"/>
        <v>05/12/2020 14:50:50.884</v>
      </c>
      <c r="C5358" t="str">
        <f t="shared" si="2468"/>
        <v>FFDFD3C0</v>
      </c>
      <c r="D5358" t="s">
        <v>138</v>
      </c>
      <c r="E5358">
        <v>3</v>
      </c>
      <c r="H5358">
        <v>9</v>
      </c>
      <c r="I5358" t="s">
        <v>140</v>
      </c>
      <c r="J5358" t="s">
        <v>136</v>
      </c>
      <c r="K5358">
        <v>0</v>
      </c>
      <c r="L5358">
        <v>3</v>
      </c>
      <c r="M5358">
        <v>0</v>
      </c>
      <c r="N5358">
        <v>2</v>
      </c>
      <c r="O5358">
        <v>1</v>
      </c>
      <c r="P5358">
        <v>0</v>
      </c>
      <c r="Q5358">
        <v>0</v>
      </c>
      <c r="S5358" t="str">
        <f t="shared" si="2478"/>
        <v>14:51:08.695</v>
      </c>
      <c r="T5358" t="str">
        <f t="shared" si="2479"/>
        <v>14:51:08.495</v>
      </c>
      <c r="U5358" t="str">
        <f t="shared" si="2460"/>
        <v>A9808D</v>
      </c>
      <c r="V5358">
        <v>0</v>
      </c>
      <c r="W5358">
        <v>0</v>
      </c>
      <c r="X5358">
        <v>1</v>
      </c>
      <c r="Z5358">
        <v>0</v>
      </c>
      <c r="AA5358">
        <v>9</v>
      </c>
      <c r="AB5358">
        <v>3</v>
      </c>
      <c r="AC5358">
        <v>0</v>
      </c>
      <c r="AD5358">
        <v>10</v>
      </c>
      <c r="AE5358">
        <v>0</v>
      </c>
      <c r="AF5358">
        <v>3</v>
      </c>
      <c r="AG5358">
        <v>2</v>
      </c>
      <c r="AH5358">
        <v>0</v>
      </c>
      <c r="AI5358" t="s">
        <v>1185</v>
      </c>
      <c r="AJ5358">
        <v>28.223727</v>
      </c>
      <c r="AK5358" t="s">
        <v>1186</v>
      </c>
      <c r="AL5358">
        <v>-82.388942</v>
      </c>
      <c r="AM5358">
        <v>100</v>
      </c>
      <c r="AN5358">
        <v>1500</v>
      </c>
      <c r="AO5358" t="s">
        <v>118</v>
      </c>
      <c r="AP5358">
        <v>-84</v>
      </c>
      <c r="AQ5358">
        <v>-84</v>
      </c>
      <c r="AR5358">
        <v>-1152</v>
      </c>
      <c r="AZ5358">
        <v>1200</v>
      </c>
      <c r="BA5358">
        <v>1</v>
      </c>
      <c r="BB5358" t="str">
        <f t="shared" si="2469"/>
        <v xml:space="preserve">N711JA  </v>
      </c>
      <c r="BC5358">
        <v>1</v>
      </c>
      <c r="BE5358">
        <v>0</v>
      </c>
      <c r="BF5358">
        <v>0</v>
      </c>
      <c r="BG5358">
        <v>0</v>
      </c>
      <c r="BH5358">
        <v>1625</v>
      </c>
      <c r="BI5358">
        <v>1</v>
      </c>
      <c r="BJ5358">
        <v>1</v>
      </c>
      <c r="BK5358">
        <v>0</v>
      </c>
      <c r="BL5358">
        <v>0</v>
      </c>
      <c r="BO5358">
        <v>0</v>
      </c>
      <c r="BP5358">
        <v>0</v>
      </c>
      <c r="BW5358" t="str">
        <f t="shared" si="2480"/>
        <v>14:51:08.700</v>
      </c>
      <c r="CJ5358">
        <v>0</v>
      </c>
      <c r="CK5358">
        <v>2</v>
      </c>
      <c r="CL5358">
        <v>0</v>
      </c>
      <c r="CM5358">
        <v>2</v>
      </c>
      <c r="CN5358">
        <v>0</v>
      </c>
      <c r="CO5358">
        <v>6</v>
      </c>
      <c r="CP5358" t="s">
        <v>119</v>
      </c>
      <c r="CQ5358">
        <v>358</v>
      </c>
      <c r="CR5358">
        <v>0</v>
      </c>
      <c r="CW5358">
        <v>5255758</v>
      </c>
      <c r="CY5358">
        <v>1</v>
      </c>
      <c r="CZ5358">
        <v>0</v>
      </c>
      <c r="DA5358">
        <v>1</v>
      </c>
      <c r="DB5358">
        <v>0</v>
      </c>
      <c r="DC5358">
        <v>0</v>
      </c>
      <c r="DD5358">
        <v>1</v>
      </c>
      <c r="DE5358">
        <v>0</v>
      </c>
      <c r="DF5358">
        <v>0</v>
      </c>
      <c r="DG5358">
        <v>0</v>
      </c>
      <c r="DH5358">
        <v>0</v>
      </c>
      <c r="DI5358">
        <v>0</v>
      </c>
    </row>
    <row r="5359" spans="1:113" x14ac:dyDescent="0.3">
      <c r="A5359" t="str">
        <f t="shared" ref="A5359:A5366" si="2481">"05/12/2020 14:50:51.896"</f>
        <v>05/12/2020 14:50:51.896</v>
      </c>
      <c r="C5359" t="str">
        <f t="shared" si="2468"/>
        <v>FFDFD3C0</v>
      </c>
      <c r="D5359" t="s">
        <v>134</v>
      </c>
      <c r="E5359">
        <v>12</v>
      </c>
      <c r="H5359">
        <v>64</v>
      </c>
      <c r="I5359" t="s">
        <v>135</v>
      </c>
      <c r="J5359" t="s">
        <v>136</v>
      </c>
      <c r="K5359">
        <v>0</v>
      </c>
      <c r="L5359">
        <v>3</v>
      </c>
      <c r="M5359">
        <v>0</v>
      </c>
      <c r="N5359">
        <v>2</v>
      </c>
      <c r="O5359">
        <v>1</v>
      </c>
      <c r="P5359">
        <v>0</v>
      </c>
      <c r="Q5359">
        <v>0</v>
      </c>
      <c r="S5359" t="str">
        <f t="shared" ref="S5359:S5366" si="2482">"14:51:09.734"</f>
        <v>14:51:09.734</v>
      </c>
      <c r="T5359" t="str">
        <f t="shared" ref="T5359:T5366" si="2483">"14:51:09.434"</f>
        <v>14:51:09.434</v>
      </c>
      <c r="U5359" t="str">
        <f t="shared" si="2460"/>
        <v>A9808D</v>
      </c>
      <c r="V5359">
        <v>0</v>
      </c>
      <c r="W5359">
        <v>0</v>
      </c>
      <c r="X5359">
        <v>1</v>
      </c>
      <c r="Z5359">
        <v>0</v>
      </c>
      <c r="AA5359">
        <v>9</v>
      </c>
      <c r="AB5359">
        <v>3</v>
      </c>
      <c r="AC5359">
        <v>0</v>
      </c>
      <c r="AD5359">
        <v>10</v>
      </c>
      <c r="AE5359">
        <v>0</v>
      </c>
      <c r="AF5359">
        <v>3</v>
      </c>
      <c r="AG5359">
        <v>2</v>
      </c>
      <c r="AH5359">
        <v>0</v>
      </c>
      <c r="AI5359" t="s">
        <v>1187</v>
      </c>
      <c r="AJ5359">
        <v>28.223275999999998</v>
      </c>
      <c r="AK5359" t="s">
        <v>1188</v>
      </c>
      <c r="AL5359">
        <v>-82.389436000000003</v>
      </c>
      <c r="AM5359">
        <v>100</v>
      </c>
      <c r="AN5359">
        <v>1500</v>
      </c>
      <c r="AO5359" t="s">
        <v>118</v>
      </c>
      <c r="AP5359">
        <v>-83</v>
      </c>
      <c r="AQ5359">
        <v>-86</v>
      </c>
      <c r="AR5359">
        <v>-1152</v>
      </c>
      <c r="AZ5359">
        <v>1200</v>
      </c>
      <c r="BA5359">
        <v>1</v>
      </c>
      <c r="BB5359" t="str">
        <f t="shared" si="2469"/>
        <v xml:space="preserve">N711JA  </v>
      </c>
      <c r="BC5359">
        <v>1</v>
      </c>
      <c r="BE5359">
        <v>0</v>
      </c>
      <c r="BF5359">
        <v>0</v>
      </c>
      <c r="BG5359">
        <v>0</v>
      </c>
      <c r="BH5359">
        <v>1600</v>
      </c>
      <c r="BI5359">
        <v>1</v>
      </c>
      <c r="BJ5359">
        <v>1</v>
      </c>
      <c r="BK5359">
        <v>0</v>
      </c>
      <c r="BL5359">
        <v>0</v>
      </c>
      <c r="BO5359">
        <v>0</v>
      </c>
      <c r="BP5359">
        <v>0</v>
      </c>
      <c r="BW5359" t="str">
        <f t="shared" ref="BW5359:BW5366" si="2484">"14:51:09.735"</f>
        <v>14:51:09.735</v>
      </c>
      <c r="CJ5359">
        <v>0</v>
      </c>
      <c r="CK5359">
        <v>2</v>
      </c>
      <c r="CL5359">
        <v>0</v>
      </c>
      <c r="CM5359">
        <v>2</v>
      </c>
      <c r="CN5359">
        <v>0</v>
      </c>
      <c r="CO5359">
        <v>7</v>
      </c>
      <c r="CP5359" t="s">
        <v>119</v>
      </c>
      <c r="CQ5359">
        <v>343</v>
      </c>
      <c r="CR5359">
        <v>2</v>
      </c>
      <c r="CW5359">
        <v>13400228</v>
      </c>
      <c r="CY5359">
        <v>1</v>
      </c>
      <c r="CZ5359">
        <v>0</v>
      </c>
      <c r="DA5359">
        <v>0</v>
      </c>
      <c r="DB5359">
        <v>0</v>
      </c>
      <c r="DC5359">
        <v>0</v>
      </c>
      <c r="DD5359">
        <v>1</v>
      </c>
      <c r="DE5359">
        <v>0</v>
      </c>
      <c r="DF5359">
        <v>0</v>
      </c>
      <c r="DG5359">
        <v>0</v>
      </c>
      <c r="DH5359">
        <v>0</v>
      </c>
      <c r="DI5359">
        <v>0</v>
      </c>
    </row>
    <row r="5360" spans="1:113" x14ac:dyDescent="0.3">
      <c r="A5360" t="str">
        <f t="shared" si="2481"/>
        <v>05/12/2020 14:50:51.896</v>
      </c>
      <c r="C5360" t="str">
        <f t="shared" si="2468"/>
        <v>FFDFD3C0</v>
      </c>
      <c r="D5360" t="s">
        <v>126</v>
      </c>
      <c r="E5360">
        <v>6</v>
      </c>
      <c r="F5360">
        <v>1006</v>
      </c>
      <c r="G5360" t="s">
        <v>114</v>
      </c>
      <c r="J5360" t="s">
        <v>128</v>
      </c>
      <c r="K5360">
        <v>0</v>
      </c>
      <c r="L5360">
        <v>3</v>
      </c>
      <c r="M5360">
        <v>0</v>
      </c>
      <c r="N5360">
        <v>2</v>
      </c>
      <c r="O5360">
        <v>1</v>
      </c>
      <c r="P5360">
        <v>0</v>
      </c>
      <c r="Q5360">
        <v>0</v>
      </c>
      <c r="S5360" t="str">
        <f t="shared" si="2482"/>
        <v>14:51:09.734</v>
      </c>
      <c r="T5360" t="str">
        <f t="shared" si="2483"/>
        <v>14:51:09.434</v>
      </c>
      <c r="U5360" t="str">
        <f t="shared" si="2460"/>
        <v>A9808D</v>
      </c>
      <c r="V5360">
        <v>0</v>
      </c>
      <c r="W5360">
        <v>0</v>
      </c>
      <c r="X5360">
        <v>1</v>
      </c>
      <c r="Z5360">
        <v>0</v>
      </c>
      <c r="AA5360">
        <v>9</v>
      </c>
      <c r="AB5360">
        <v>3</v>
      </c>
      <c r="AC5360">
        <v>0</v>
      </c>
      <c r="AD5360">
        <v>10</v>
      </c>
      <c r="AE5360">
        <v>0</v>
      </c>
      <c r="AF5360">
        <v>3</v>
      </c>
      <c r="AG5360">
        <v>2</v>
      </c>
      <c r="AH5360">
        <v>0</v>
      </c>
      <c r="AI5360" t="s">
        <v>1187</v>
      </c>
      <c r="AJ5360">
        <v>28.223275999999998</v>
      </c>
      <c r="AK5360" t="s">
        <v>1188</v>
      </c>
      <c r="AL5360">
        <v>-82.389436000000003</v>
      </c>
      <c r="AM5360">
        <v>100</v>
      </c>
      <c r="AN5360">
        <v>1500</v>
      </c>
      <c r="AO5360" t="s">
        <v>118</v>
      </c>
      <c r="AP5360">
        <v>-83</v>
      </c>
      <c r="AQ5360">
        <v>-86</v>
      </c>
      <c r="AR5360">
        <v>-1152</v>
      </c>
      <c r="AZ5360">
        <v>1200</v>
      </c>
      <c r="BA5360">
        <v>1</v>
      </c>
      <c r="BB5360" t="str">
        <f t="shared" si="2469"/>
        <v xml:space="preserve">N711JA  </v>
      </c>
      <c r="BC5360">
        <v>1</v>
      </c>
      <c r="BE5360">
        <v>0</v>
      </c>
      <c r="BF5360">
        <v>0</v>
      </c>
      <c r="BG5360">
        <v>0</v>
      </c>
      <c r="BH5360">
        <v>1600</v>
      </c>
      <c r="BI5360">
        <v>1</v>
      </c>
      <c r="BJ5360">
        <v>1</v>
      </c>
      <c r="BK5360">
        <v>0</v>
      </c>
      <c r="BL5360">
        <v>0</v>
      </c>
      <c r="BO5360">
        <v>0</v>
      </c>
      <c r="BP5360">
        <v>0</v>
      </c>
      <c r="BW5360" t="str">
        <f t="shared" si="2484"/>
        <v>14:51:09.735</v>
      </c>
      <c r="CJ5360">
        <v>0</v>
      </c>
      <c r="CK5360">
        <v>2</v>
      </c>
      <c r="CL5360">
        <v>0</v>
      </c>
      <c r="CM5360">
        <v>2</v>
      </c>
      <c r="CN5360">
        <v>0</v>
      </c>
      <c r="CO5360">
        <v>7</v>
      </c>
      <c r="CP5360" t="s">
        <v>119</v>
      </c>
      <c r="CQ5360">
        <v>343</v>
      </c>
      <c r="CR5360">
        <v>2</v>
      </c>
      <c r="CW5360">
        <v>13400228</v>
      </c>
      <c r="CY5360">
        <v>1</v>
      </c>
      <c r="CZ5360">
        <v>0</v>
      </c>
      <c r="DA5360">
        <v>1</v>
      </c>
      <c r="DB5360">
        <v>0</v>
      </c>
      <c r="DC5360">
        <v>0</v>
      </c>
      <c r="DD5360">
        <v>1</v>
      </c>
      <c r="DE5360">
        <v>0</v>
      </c>
      <c r="DF5360">
        <v>0</v>
      </c>
      <c r="DG5360">
        <v>0</v>
      </c>
      <c r="DH5360">
        <v>0</v>
      </c>
      <c r="DI5360">
        <v>0</v>
      </c>
    </row>
    <row r="5361" spans="1:113" x14ac:dyDescent="0.3">
      <c r="A5361" t="str">
        <f t="shared" si="2481"/>
        <v>05/12/2020 14:50:51.896</v>
      </c>
      <c r="C5361" t="str">
        <f t="shared" si="2468"/>
        <v>FFDFD3C0</v>
      </c>
      <c r="D5361" t="s">
        <v>126</v>
      </c>
      <c r="E5361">
        <v>7</v>
      </c>
      <c r="F5361">
        <v>1007</v>
      </c>
      <c r="G5361" t="s">
        <v>127</v>
      </c>
      <c r="J5361" t="s">
        <v>128</v>
      </c>
      <c r="K5361">
        <v>0</v>
      </c>
      <c r="L5361">
        <v>3</v>
      </c>
      <c r="M5361">
        <v>0</v>
      </c>
      <c r="N5361">
        <v>2</v>
      </c>
      <c r="O5361">
        <v>1</v>
      </c>
      <c r="P5361">
        <v>0</v>
      </c>
      <c r="Q5361">
        <v>0</v>
      </c>
      <c r="S5361" t="str">
        <f t="shared" si="2482"/>
        <v>14:51:09.734</v>
      </c>
      <c r="T5361" t="str">
        <f t="shared" si="2483"/>
        <v>14:51:09.434</v>
      </c>
      <c r="U5361" t="str">
        <f t="shared" si="2460"/>
        <v>A9808D</v>
      </c>
      <c r="V5361">
        <v>0</v>
      </c>
      <c r="W5361">
        <v>0</v>
      </c>
      <c r="X5361">
        <v>1</v>
      </c>
      <c r="Z5361">
        <v>0</v>
      </c>
      <c r="AA5361">
        <v>9</v>
      </c>
      <c r="AB5361">
        <v>3</v>
      </c>
      <c r="AC5361">
        <v>0</v>
      </c>
      <c r="AD5361">
        <v>10</v>
      </c>
      <c r="AE5361">
        <v>0</v>
      </c>
      <c r="AF5361">
        <v>3</v>
      </c>
      <c r="AG5361">
        <v>2</v>
      </c>
      <c r="AH5361">
        <v>0</v>
      </c>
      <c r="AI5361" t="s">
        <v>1187</v>
      </c>
      <c r="AJ5361">
        <v>28.223275999999998</v>
      </c>
      <c r="AK5361" t="s">
        <v>1188</v>
      </c>
      <c r="AL5361">
        <v>-82.389436000000003</v>
      </c>
      <c r="AM5361">
        <v>100</v>
      </c>
      <c r="AN5361">
        <v>1500</v>
      </c>
      <c r="AO5361" t="s">
        <v>118</v>
      </c>
      <c r="AP5361">
        <v>-83</v>
      </c>
      <c r="AQ5361">
        <v>-86</v>
      </c>
      <c r="AR5361">
        <v>-1152</v>
      </c>
      <c r="AZ5361">
        <v>1200</v>
      </c>
      <c r="BA5361">
        <v>1</v>
      </c>
      <c r="BB5361" t="str">
        <f t="shared" si="2469"/>
        <v xml:space="preserve">N711JA  </v>
      </c>
      <c r="BC5361">
        <v>1</v>
      </c>
      <c r="BE5361">
        <v>0</v>
      </c>
      <c r="BF5361">
        <v>0</v>
      </c>
      <c r="BG5361">
        <v>0</v>
      </c>
      <c r="BH5361">
        <v>1600</v>
      </c>
      <c r="BI5361">
        <v>1</v>
      </c>
      <c r="BJ5361">
        <v>1</v>
      </c>
      <c r="BK5361">
        <v>0</v>
      </c>
      <c r="BL5361">
        <v>0</v>
      </c>
      <c r="BO5361">
        <v>0</v>
      </c>
      <c r="BP5361">
        <v>0</v>
      </c>
      <c r="BW5361" t="str">
        <f t="shared" si="2484"/>
        <v>14:51:09.735</v>
      </c>
      <c r="CJ5361">
        <v>0</v>
      </c>
      <c r="CK5361">
        <v>2</v>
      </c>
      <c r="CL5361">
        <v>0</v>
      </c>
      <c r="CM5361">
        <v>2</v>
      </c>
      <c r="CN5361">
        <v>0</v>
      </c>
      <c r="CO5361">
        <v>7</v>
      </c>
      <c r="CP5361" t="s">
        <v>119</v>
      </c>
      <c r="CQ5361">
        <v>343</v>
      </c>
      <c r="CR5361">
        <v>2</v>
      </c>
      <c r="CW5361">
        <v>13400228</v>
      </c>
      <c r="CY5361">
        <v>1</v>
      </c>
      <c r="CZ5361">
        <v>0</v>
      </c>
      <c r="DA5361">
        <v>1</v>
      </c>
      <c r="DB5361">
        <v>0</v>
      </c>
      <c r="DC5361">
        <v>0</v>
      </c>
      <c r="DD5361">
        <v>1</v>
      </c>
      <c r="DE5361">
        <v>0</v>
      </c>
      <c r="DF5361">
        <v>0</v>
      </c>
      <c r="DG5361">
        <v>0</v>
      </c>
      <c r="DH5361">
        <v>0</v>
      </c>
      <c r="DI5361">
        <v>0</v>
      </c>
    </row>
    <row r="5362" spans="1:113" x14ac:dyDescent="0.3">
      <c r="A5362" t="str">
        <f t="shared" si="2481"/>
        <v>05/12/2020 14:50:51.896</v>
      </c>
      <c r="C5362" t="str">
        <f t="shared" si="2468"/>
        <v>FFDFD3C0</v>
      </c>
      <c r="D5362" t="s">
        <v>131</v>
      </c>
      <c r="E5362">
        <v>10</v>
      </c>
      <c r="F5362">
        <v>2010</v>
      </c>
      <c r="G5362" t="s">
        <v>132</v>
      </c>
      <c r="J5362" t="s">
        <v>133</v>
      </c>
      <c r="K5362">
        <v>0</v>
      </c>
      <c r="L5362">
        <v>3</v>
      </c>
      <c r="M5362">
        <v>0</v>
      </c>
      <c r="N5362">
        <v>2</v>
      </c>
      <c r="O5362">
        <v>1</v>
      </c>
      <c r="P5362">
        <v>0</v>
      </c>
      <c r="Q5362">
        <v>0</v>
      </c>
      <c r="S5362" t="str">
        <f t="shared" si="2482"/>
        <v>14:51:09.734</v>
      </c>
      <c r="T5362" t="str">
        <f t="shared" si="2483"/>
        <v>14:51:09.434</v>
      </c>
      <c r="U5362" t="str">
        <f t="shared" si="2460"/>
        <v>A9808D</v>
      </c>
      <c r="V5362">
        <v>0</v>
      </c>
      <c r="W5362">
        <v>0</v>
      </c>
      <c r="X5362">
        <v>1</v>
      </c>
      <c r="Z5362">
        <v>0</v>
      </c>
      <c r="AA5362">
        <v>9</v>
      </c>
      <c r="AB5362">
        <v>3</v>
      </c>
      <c r="AC5362">
        <v>0</v>
      </c>
      <c r="AD5362">
        <v>10</v>
      </c>
      <c r="AE5362">
        <v>0</v>
      </c>
      <c r="AF5362">
        <v>3</v>
      </c>
      <c r="AG5362">
        <v>2</v>
      </c>
      <c r="AH5362">
        <v>0</v>
      </c>
      <c r="AI5362" t="s">
        <v>1187</v>
      </c>
      <c r="AJ5362">
        <v>28.223275999999998</v>
      </c>
      <c r="AK5362" t="s">
        <v>1188</v>
      </c>
      <c r="AL5362">
        <v>-82.389436000000003</v>
      </c>
      <c r="AM5362">
        <v>100</v>
      </c>
      <c r="AN5362">
        <v>1500</v>
      </c>
      <c r="AO5362" t="s">
        <v>118</v>
      </c>
      <c r="AP5362">
        <v>-83</v>
      </c>
      <c r="AQ5362">
        <v>-86</v>
      </c>
      <c r="AR5362">
        <v>-1152</v>
      </c>
      <c r="AZ5362">
        <v>1200</v>
      </c>
      <c r="BA5362">
        <v>1</v>
      </c>
      <c r="BB5362" t="str">
        <f t="shared" si="2469"/>
        <v xml:space="preserve">N711JA  </v>
      </c>
      <c r="BC5362">
        <v>1</v>
      </c>
      <c r="BE5362">
        <v>0</v>
      </c>
      <c r="BF5362">
        <v>0</v>
      </c>
      <c r="BG5362">
        <v>0</v>
      </c>
      <c r="BH5362">
        <v>1600</v>
      </c>
      <c r="BI5362">
        <v>1</v>
      </c>
      <c r="BJ5362">
        <v>1</v>
      </c>
      <c r="BK5362">
        <v>0</v>
      </c>
      <c r="BL5362">
        <v>0</v>
      </c>
      <c r="BO5362">
        <v>0</v>
      </c>
      <c r="BP5362">
        <v>0</v>
      </c>
      <c r="BW5362" t="str">
        <f t="shared" si="2484"/>
        <v>14:51:09.735</v>
      </c>
      <c r="CJ5362">
        <v>0</v>
      </c>
      <c r="CK5362">
        <v>2</v>
      </c>
      <c r="CL5362">
        <v>0</v>
      </c>
      <c r="CM5362">
        <v>2</v>
      </c>
      <c r="CN5362">
        <v>0</v>
      </c>
      <c r="CO5362">
        <v>7</v>
      </c>
      <c r="CP5362" t="s">
        <v>119</v>
      </c>
      <c r="CQ5362">
        <v>343</v>
      </c>
      <c r="CR5362">
        <v>2</v>
      </c>
      <c r="CW5362">
        <v>13400228</v>
      </c>
      <c r="CY5362">
        <v>1</v>
      </c>
      <c r="CZ5362">
        <v>0</v>
      </c>
      <c r="DA5362">
        <v>1</v>
      </c>
      <c r="DB5362">
        <v>0</v>
      </c>
      <c r="DC5362">
        <v>0</v>
      </c>
      <c r="DD5362">
        <v>1</v>
      </c>
      <c r="DE5362">
        <v>0</v>
      </c>
      <c r="DF5362">
        <v>0</v>
      </c>
      <c r="DG5362">
        <v>0</v>
      </c>
      <c r="DH5362">
        <v>0</v>
      </c>
      <c r="DI5362">
        <v>0</v>
      </c>
    </row>
    <row r="5363" spans="1:113" x14ac:dyDescent="0.3">
      <c r="A5363" t="str">
        <f t="shared" si="2481"/>
        <v>05/12/2020 14:50:51.896</v>
      </c>
      <c r="C5363" t="str">
        <f t="shared" si="2468"/>
        <v>FFDFD3C0</v>
      </c>
      <c r="D5363" t="s">
        <v>131</v>
      </c>
      <c r="E5363">
        <v>12</v>
      </c>
      <c r="F5363">
        <v>2012</v>
      </c>
      <c r="G5363" t="s">
        <v>137</v>
      </c>
      <c r="J5363" t="s">
        <v>133</v>
      </c>
      <c r="K5363">
        <v>0</v>
      </c>
      <c r="L5363">
        <v>3</v>
      </c>
      <c r="M5363">
        <v>0</v>
      </c>
      <c r="N5363">
        <v>2</v>
      </c>
      <c r="O5363">
        <v>1</v>
      </c>
      <c r="P5363">
        <v>0</v>
      </c>
      <c r="Q5363">
        <v>0</v>
      </c>
      <c r="S5363" t="str">
        <f t="shared" si="2482"/>
        <v>14:51:09.734</v>
      </c>
      <c r="T5363" t="str">
        <f t="shared" si="2483"/>
        <v>14:51:09.434</v>
      </c>
      <c r="U5363" t="str">
        <f t="shared" si="2460"/>
        <v>A9808D</v>
      </c>
      <c r="V5363">
        <v>0</v>
      </c>
      <c r="W5363">
        <v>0</v>
      </c>
      <c r="X5363">
        <v>1</v>
      </c>
      <c r="Z5363">
        <v>0</v>
      </c>
      <c r="AA5363">
        <v>9</v>
      </c>
      <c r="AB5363">
        <v>3</v>
      </c>
      <c r="AC5363">
        <v>0</v>
      </c>
      <c r="AD5363">
        <v>10</v>
      </c>
      <c r="AE5363">
        <v>0</v>
      </c>
      <c r="AF5363">
        <v>3</v>
      </c>
      <c r="AG5363">
        <v>2</v>
      </c>
      <c r="AH5363">
        <v>0</v>
      </c>
      <c r="AI5363" t="s">
        <v>1187</v>
      </c>
      <c r="AJ5363">
        <v>28.223275999999998</v>
      </c>
      <c r="AK5363" t="s">
        <v>1188</v>
      </c>
      <c r="AL5363">
        <v>-82.389436000000003</v>
      </c>
      <c r="AM5363">
        <v>100</v>
      </c>
      <c r="AN5363">
        <v>1500</v>
      </c>
      <c r="AO5363" t="s">
        <v>118</v>
      </c>
      <c r="AP5363">
        <v>-83</v>
      </c>
      <c r="AQ5363">
        <v>-86</v>
      </c>
      <c r="AR5363">
        <v>-1152</v>
      </c>
      <c r="AZ5363">
        <v>1200</v>
      </c>
      <c r="BA5363">
        <v>1</v>
      </c>
      <c r="BB5363" t="str">
        <f t="shared" si="2469"/>
        <v xml:space="preserve">N711JA  </v>
      </c>
      <c r="BC5363">
        <v>1</v>
      </c>
      <c r="BE5363">
        <v>0</v>
      </c>
      <c r="BF5363">
        <v>0</v>
      </c>
      <c r="BG5363">
        <v>0</v>
      </c>
      <c r="BH5363">
        <v>1600</v>
      </c>
      <c r="BI5363">
        <v>1</v>
      </c>
      <c r="BJ5363">
        <v>1</v>
      </c>
      <c r="BK5363">
        <v>0</v>
      </c>
      <c r="BL5363">
        <v>0</v>
      </c>
      <c r="BO5363">
        <v>0</v>
      </c>
      <c r="BP5363">
        <v>0</v>
      </c>
      <c r="BW5363" t="str">
        <f t="shared" si="2484"/>
        <v>14:51:09.735</v>
      </c>
      <c r="CJ5363">
        <v>0</v>
      </c>
      <c r="CK5363">
        <v>2</v>
      </c>
      <c r="CL5363">
        <v>0</v>
      </c>
      <c r="CM5363">
        <v>2</v>
      </c>
      <c r="CN5363">
        <v>0</v>
      </c>
      <c r="CO5363">
        <v>7</v>
      </c>
      <c r="CP5363" t="s">
        <v>119</v>
      </c>
      <c r="CQ5363">
        <v>343</v>
      </c>
      <c r="CR5363">
        <v>2</v>
      </c>
      <c r="CW5363">
        <v>13400228</v>
      </c>
      <c r="CY5363">
        <v>1</v>
      </c>
      <c r="CZ5363">
        <v>0</v>
      </c>
      <c r="DA5363">
        <v>1</v>
      </c>
      <c r="DB5363">
        <v>0</v>
      </c>
      <c r="DC5363">
        <v>0</v>
      </c>
      <c r="DD5363">
        <v>1</v>
      </c>
      <c r="DE5363">
        <v>0</v>
      </c>
      <c r="DF5363">
        <v>0</v>
      </c>
      <c r="DG5363">
        <v>0</v>
      </c>
      <c r="DH5363">
        <v>0</v>
      </c>
      <c r="DI5363">
        <v>0</v>
      </c>
    </row>
    <row r="5364" spans="1:113" x14ac:dyDescent="0.3">
      <c r="A5364" t="str">
        <f t="shared" si="2481"/>
        <v>05/12/2020 14:50:51.896</v>
      </c>
      <c r="C5364" t="str">
        <f t="shared" si="2468"/>
        <v>FFDFD3C0</v>
      </c>
      <c r="D5364" t="s">
        <v>138</v>
      </c>
      <c r="E5364">
        <v>2</v>
      </c>
      <c r="H5364">
        <v>8</v>
      </c>
      <c r="I5364" t="s">
        <v>139</v>
      </c>
      <c r="J5364" t="s">
        <v>136</v>
      </c>
      <c r="K5364">
        <v>0</v>
      </c>
      <c r="L5364">
        <v>3</v>
      </c>
      <c r="M5364">
        <v>0</v>
      </c>
      <c r="N5364">
        <v>2</v>
      </c>
      <c r="O5364">
        <v>1</v>
      </c>
      <c r="P5364">
        <v>0</v>
      </c>
      <c r="Q5364">
        <v>0</v>
      </c>
      <c r="S5364" t="str">
        <f t="shared" si="2482"/>
        <v>14:51:09.734</v>
      </c>
      <c r="T5364" t="str">
        <f t="shared" si="2483"/>
        <v>14:51:09.434</v>
      </c>
      <c r="U5364" t="str">
        <f t="shared" si="2460"/>
        <v>A9808D</v>
      </c>
      <c r="V5364">
        <v>0</v>
      </c>
      <c r="W5364">
        <v>0</v>
      </c>
      <c r="X5364">
        <v>1</v>
      </c>
      <c r="Z5364">
        <v>0</v>
      </c>
      <c r="AA5364">
        <v>9</v>
      </c>
      <c r="AB5364">
        <v>3</v>
      </c>
      <c r="AC5364">
        <v>0</v>
      </c>
      <c r="AD5364">
        <v>10</v>
      </c>
      <c r="AE5364">
        <v>0</v>
      </c>
      <c r="AF5364">
        <v>3</v>
      </c>
      <c r="AG5364">
        <v>2</v>
      </c>
      <c r="AH5364">
        <v>0</v>
      </c>
      <c r="AI5364" t="s">
        <v>1187</v>
      </c>
      <c r="AJ5364">
        <v>28.223275999999998</v>
      </c>
      <c r="AK5364" t="s">
        <v>1188</v>
      </c>
      <c r="AL5364">
        <v>-82.389436000000003</v>
      </c>
      <c r="AM5364">
        <v>100</v>
      </c>
      <c r="AN5364">
        <v>1500</v>
      </c>
      <c r="AO5364" t="s">
        <v>118</v>
      </c>
      <c r="AP5364">
        <v>-83</v>
      </c>
      <c r="AQ5364">
        <v>-86</v>
      </c>
      <c r="AR5364">
        <v>-1152</v>
      </c>
      <c r="AZ5364">
        <v>1200</v>
      </c>
      <c r="BA5364">
        <v>1</v>
      </c>
      <c r="BB5364" t="str">
        <f t="shared" si="2469"/>
        <v xml:space="preserve">N711JA  </v>
      </c>
      <c r="BC5364">
        <v>1</v>
      </c>
      <c r="BE5364">
        <v>0</v>
      </c>
      <c r="BF5364">
        <v>0</v>
      </c>
      <c r="BG5364">
        <v>0</v>
      </c>
      <c r="BH5364">
        <v>1600</v>
      </c>
      <c r="BI5364">
        <v>1</v>
      </c>
      <c r="BJ5364">
        <v>1</v>
      </c>
      <c r="BK5364">
        <v>0</v>
      </c>
      <c r="BL5364">
        <v>0</v>
      </c>
      <c r="BO5364">
        <v>0</v>
      </c>
      <c r="BP5364">
        <v>0</v>
      </c>
      <c r="BW5364" t="str">
        <f t="shared" si="2484"/>
        <v>14:51:09.735</v>
      </c>
      <c r="CJ5364">
        <v>0</v>
      </c>
      <c r="CK5364">
        <v>2</v>
      </c>
      <c r="CL5364">
        <v>0</v>
      </c>
      <c r="CM5364">
        <v>2</v>
      </c>
      <c r="CN5364">
        <v>0</v>
      </c>
      <c r="CO5364">
        <v>7</v>
      </c>
      <c r="CP5364" t="s">
        <v>119</v>
      </c>
      <c r="CQ5364">
        <v>343</v>
      </c>
      <c r="CR5364">
        <v>2</v>
      </c>
      <c r="CW5364">
        <v>13400228</v>
      </c>
      <c r="CY5364">
        <v>1</v>
      </c>
      <c r="CZ5364">
        <v>0</v>
      </c>
      <c r="DA5364">
        <v>1</v>
      </c>
      <c r="DB5364">
        <v>0</v>
      </c>
      <c r="DC5364">
        <v>0</v>
      </c>
      <c r="DD5364">
        <v>1</v>
      </c>
      <c r="DE5364">
        <v>0</v>
      </c>
      <c r="DF5364">
        <v>0</v>
      </c>
      <c r="DG5364">
        <v>0</v>
      </c>
      <c r="DH5364">
        <v>0</v>
      </c>
      <c r="DI5364">
        <v>0</v>
      </c>
    </row>
    <row r="5365" spans="1:113" x14ac:dyDescent="0.3">
      <c r="A5365" t="str">
        <f t="shared" si="2481"/>
        <v>05/12/2020 14:50:51.896</v>
      </c>
      <c r="C5365" t="str">
        <f t="shared" si="2468"/>
        <v>FFDFD3C0</v>
      </c>
      <c r="D5365" t="s">
        <v>113</v>
      </c>
      <c r="E5365">
        <v>3</v>
      </c>
      <c r="H5365">
        <v>164</v>
      </c>
      <c r="I5365" t="s">
        <v>114</v>
      </c>
      <c r="J5365" t="s">
        <v>115</v>
      </c>
      <c r="K5365">
        <v>0</v>
      </c>
      <c r="L5365">
        <v>3</v>
      </c>
      <c r="M5365">
        <v>0</v>
      </c>
      <c r="N5365">
        <v>2</v>
      </c>
      <c r="O5365">
        <v>1</v>
      </c>
      <c r="P5365">
        <v>0</v>
      </c>
      <c r="Q5365">
        <v>0</v>
      </c>
      <c r="S5365" t="str">
        <f t="shared" si="2482"/>
        <v>14:51:09.734</v>
      </c>
      <c r="T5365" t="str">
        <f t="shared" si="2483"/>
        <v>14:51:09.434</v>
      </c>
      <c r="U5365" t="str">
        <f t="shared" si="2460"/>
        <v>A9808D</v>
      </c>
      <c r="V5365">
        <v>0</v>
      </c>
      <c r="W5365">
        <v>0</v>
      </c>
      <c r="X5365">
        <v>1</v>
      </c>
      <c r="Z5365">
        <v>0</v>
      </c>
      <c r="AA5365">
        <v>9</v>
      </c>
      <c r="AB5365">
        <v>3</v>
      </c>
      <c r="AC5365">
        <v>0</v>
      </c>
      <c r="AD5365">
        <v>10</v>
      </c>
      <c r="AE5365">
        <v>0</v>
      </c>
      <c r="AF5365">
        <v>3</v>
      </c>
      <c r="AG5365">
        <v>2</v>
      </c>
      <c r="AH5365">
        <v>0</v>
      </c>
      <c r="AI5365" t="s">
        <v>1187</v>
      </c>
      <c r="AJ5365">
        <v>28.223275999999998</v>
      </c>
      <c r="AK5365" t="s">
        <v>1188</v>
      </c>
      <c r="AL5365">
        <v>-82.389436000000003</v>
      </c>
      <c r="AM5365">
        <v>100</v>
      </c>
      <c r="AN5365">
        <v>1500</v>
      </c>
      <c r="AO5365" t="s">
        <v>118</v>
      </c>
      <c r="AP5365">
        <v>-83</v>
      </c>
      <c r="AQ5365">
        <v>-86</v>
      </c>
      <c r="AR5365">
        <v>-1152</v>
      </c>
      <c r="AZ5365">
        <v>1200</v>
      </c>
      <c r="BA5365">
        <v>1</v>
      </c>
      <c r="BB5365" t="str">
        <f t="shared" si="2469"/>
        <v xml:space="preserve">N711JA  </v>
      </c>
      <c r="BC5365">
        <v>1</v>
      </c>
      <c r="BE5365">
        <v>0</v>
      </c>
      <c r="BF5365">
        <v>0</v>
      </c>
      <c r="BG5365">
        <v>0</v>
      </c>
      <c r="BH5365">
        <v>1600</v>
      </c>
      <c r="BI5365">
        <v>1</v>
      </c>
      <c r="BJ5365">
        <v>1</v>
      </c>
      <c r="BK5365">
        <v>0</v>
      </c>
      <c r="BL5365">
        <v>0</v>
      </c>
      <c r="BO5365">
        <v>0</v>
      </c>
      <c r="BP5365">
        <v>0</v>
      </c>
      <c r="BW5365" t="str">
        <f t="shared" si="2484"/>
        <v>14:51:09.735</v>
      </c>
      <c r="CJ5365">
        <v>0</v>
      </c>
      <c r="CK5365">
        <v>2</v>
      </c>
      <c r="CL5365">
        <v>0</v>
      </c>
      <c r="CM5365">
        <v>2</v>
      </c>
      <c r="CN5365">
        <v>0</v>
      </c>
      <c r="CO5365">
        <v>7</v>
      </c>
      <c r="CP5365" t="s">
        <v>119</v>
      </c>
      <c r="CQ5365">
        <v>343</v>
      </c>
      <c r="CR5365">
        <v>2</v>
      </c>
      <c r="CW5365">
        <v>13400228</v>
      </c>
      <c r="CY5365">
        <v>1</v>
      </c>
      <c r="CZ5365">
        <v>0</v>
      </c>
      <c r="DA5365">
        <v>1</v>
      </c>
      <c r="DB5365">
        <v>0</v>
      </c>
      <c r="DC5365">
        <v>0</v>
      </c>
      <c r="DD5365">
        <v>1</v>
      </c>
      <c r="DE5365">
        <v>0</v>
      </c>
      <c r="DF5365">
        <v>0</v>
      </c>
      <c r="DG5365">
        <v>0</v>
      </c>
      <c r="DH5365">
        <v>0</v>
      </c>
      <c r="DI5365">
        <v>0</v>
      </c>
    </row>
    <row r="5366" spans="1:113" x14ac:dyDescent="0.3">
      <c r="A5366" t="str">
        <f t="shared" si="2481"/>
        <v>05/12/2020 14:50:51.896</v>
      </c>
      <c r="C5366" t="str">
        <f t="shared" si="2468"/>
        <v>FFDFD3C0</v>
      </c>
      <c r="D5366" t="s">
        <v>138</v>
      </c>
      <c r="E5366">
        <v>3</v>
      </c>
      <c r="H5366">
        <v>9</v>
      </c>
      <c r="I5366" t="s">
        <v>140</v>
      </c>
      <c r="J5366" t="s">
        <v>136</v>
      </c>
      <c r="K5366">
        <v>0</v>
      </c>
      <c r="L5366">
        <v>3</v>
      </c>
      <c r="M5366">
        <v>0</v>
      </c>
      <c r="N5366">
        <v>2</v>
      </c>
      <c r="O5366">
        <v>1</v>
      </c>
      <c r="P5366">
        <v>0</v>
      </c>
      <c r="Q5366">
        <v>0</v>
      </c>
      <c r="S5366" t="str">
        <f t="shared" si="2482"/>
        <v>14:51:09.734</v>
      </c>
      <c r="T5366" t="str">
        <f t="shared" si="2483"/>
        <v>14:51:09.434</v>
      </c>
      <c r="U5366" t="str">
        <f t="shared" si="2460"/>
        <v>A9808D</v>
      </c>
      <c r="V5366">
        <v>0</v>
      </c>
      <c r="W5366">
        <v>0</v>
      </c>
      <c r="X5366">
        <v>1</v>
      </c>
      <c r="Z5366">
        <v>0</v>
      </c>
      <c r="AA5366">
        <v>9</v>
      </c>
      <c r="AB5366">
        <v>3</v>
      </c>
      <c r="AC5366">
        <v>0</v>
      </c>
      <c r="AD5366">
        <v>10</v>
      </c>
      <c r="AE5366">
        <v>0</v>
      </c>
      <c r="AF5366">
        <v>3</v>
      </c>
      <c r="AG5366">
        <v>2</v>
      </c>
      <c r="AH5366">
        <v>0</v>
      </c>
      <c r="AI5366" t="s">
        <v>1187</v>
      </c>
      <c r="AJ5366">
        <v>28.223275999999998</v>
      </c>
      <c r="AK5366" t="s">
        <v>1188</v>
      </c>
      <c r="AL5366">
        <v>-82.389436000000003</v>
      </c>
      <c r="AM5366">
        <v>100</v>
      </c>
      <c r="AN5366">
        <v>1500</v>
      </c>
      <c r="AO5366" t="s">
        <v>118</v>
      </c>
      <c r="AP5366">
        <v>-83</v>
      </c>
      <c r="AQ5366">
        <v>-86</v>
      </c>
      <c r="AR5366">
        <v>-1152</v>
      </c>
      <c r="AZ5366">
        <v>1200</v>
      </c>
      <c r="BA5366">
        <v>1</v>
      </c>
      <c r="BB5366" t="str">
        <f t="shared" si="2469"/>
        <v xml:space="preserve">N711JA  </v>
      </c>
      <c r="BC5366">
        <v>1</v>
      </c>
      <c r="BE5366">
        <v>0</v>
      </c>
      <c r="BF5366">
        <v>0</v>
      </c>
      <c r="BG5366">
        <v>0</v>
      </c>
      <c r="BH5366">
        <v>1600</v>
      </c>
      <c r="BI5366">
        <v>1</v>
      </c>
      <c r="BJ5366">
        <v>1</v>
      </c>
      <c r="BK5366">
        <v>0</v>
      </c>
      <c r="BL5366">
        <v>0</v>
      </c>
      <c r="BO5366">
        <v>0</v>
      </c>
      <c r="BP5366">
        <v>0</v>
      </c>
      <c r="BW5366" t="str">
        <f t="shared" si="2484"/>
        <v>14:51:09.735</v>
      </c>
      <c r="CJ5366">
        <v>0</v>
      </c>
      <c r="CK5366">
        <v>2</v>
      </c>
      <c r="CL5366">
        <v>0</v>
      </c>
      <c r="CM5366">
        <v>2</v>
      </c>
      <c r="CN5366">
        <v>0</v>
      </c>
      <c r="CO5366">
        <v>7</v>
      </c>
      <c r="CP5366" t="s">
        <v>119</v>
      </c>
      <c r="CQ5366">
        <v>343</v>
      </c>
      <c r="CR5366">
        <v>2</v>
      </c>
      <c r="CW5366">
        <v>13400228</v>
      </c>
      <c r="CY5366">
        <v>1</v>
      </c>
      <c r="CZ5366">
        <v>0</v>
      </c>
      <c r="DA5366">
        <v>1</v>
      </c>
      <c r="DB5366">
        <v>0</v>
      </c>
      <c r="DC5366">
        <v>0</v>
      </c>
      <c r="DD5366">
        <v>1</v>
      </c>
      <c r="DE5366">
        <v>0</v>
      </c>
      <c r="DF5366">
        <v>0</v>
      </c>
      <c r="DG5366">
        <v>0</v>
      </c>
      <c r="DH5366">
        <v>0</v>
      </c>
      <c r="DI5366">
        <v>0</v>
      </c>
    </row>
    <row r="5367" spans="1:113" x14ac:dyDescent="0.3">
      <c r="A5367" t="str">
        <f t="shared" ref="A5367:A5374" si="2485">"05/12/2020 14:50:52.991"</f>
        <v>05/12/2020 14:50:52.991</v>
      </c>
      <c r="C5367" t="str">
        <f t="shared" si="2468"/>
        <v>FFDFD3C0</v>
      </c>
      <c r="D5367" t="s">
        <v>138</v>
      </c>
      <c r="E5367">
        <v>3</v>
      </c>
      <c r="H5367">
        <v>9</v>
      </c>
      <c r="I5367" t="s">
        <v>140</v>
      </c>
      <c r="J5367" t="s">
        <v>136</v>
      </c>
      <c r="K5367">
        <v>0</v>
      </c>
      <c r="L5367">
        <v>3</v>
      </c>
      <c r="M5367">
        <v>0</v>
      </c>
      <c r="N5367">
        <v>2</v>
      </c>
      <c r="O5367">
        <v>1</v>
      </c>
      <c r="P5367">
        <v>0</v>
      </c>
      <c r="Q5367">
        <v>0</v>
      </c>
      <c r="S5367" t="str">
        <f t="shared" ref="S5367:T5374" si="2486">"14:51:10.820"</f>
        <v>14:51:10.820</v>
      </c>
      <c r="T5367" t="str">
        <f t="shared" si="2486"/>
        <v>14:51:10.820</v>
      </c>
      <c r="U5367" t="str">
        <f t="shared" si="2460"/>
        <v>A9808D</v>
      </c>
      <c r="V5367">
        <v>0</v>
      </c>
      <c r="W5367">
        <v>0</v>
      </c>
      <c r="X5367">
        <v>1</v>
      </c>
      <c r="Z5367">
        <v>0</v>
      </c>
      <c r="AA5367">
        <v>9</v>
      </c>
      <c r="AB5367">
        <v>3</v>
      </c>
      <c r="AC5367">
        <v>0</v>
      </c>
      <c r="AD5367">
        <v>10</v>
      </c>
      <c r="AE5367">
        <v>0</v>
      </c>
      <c r="AF5367">
        <v>3</v>
      </c>
      <c r="AG5367">
        <v>2</v>
      </c>
      <c r="AH5367">
        <v>0</v>
      </c>
      <c r="AI5367" t="s">
        <v>1189</v>
      </c>
      <c r="AJ5367">
        <v>28.222867999999998</v>
      </c>
      <c r="AK5367" t="s">
        <v>1190</v>
      </c>
      <c r="AL5367">
        <v>-82.389865</v>
      </c>
      <c r="AM5367">
        <v>100</v>
      </c>
      <c r="AN5367">
        <v>1500</v>
      </c>
      <c r="AO5367" t="s">
        <v>118</v>
      </c>
      <c r="AP5367">
        <v>-79</v>
      </c>
      <c r="AQ5367">
        <v>-89</v>
      </c>
      <c r="AR5367">
        <v>-1152</v>
      </c>
      <c r="AZ5367">
        <v>1200</v>
      </c>
      <c r="BA5367">
        <v>1</v>
      </c>
      <c r="BB5367" t="str">
        <f t="shared" si="2469"/>
        <v xml:space="preserve">N711JA  </v>
      </c>
      <c r="BC5367">
        <v>1</v>
      </c>
      <c r="BE5367">
        <v>0</v>
      </c>
      <c r="BF5367">
        <v>0</v>
      </c>
      <c r="BG5367">
        <v>0</v>
      </c>
      <c r="BH5367">
        <v>1575</v>
      </c>
      <c r="BI5367">
        <v>1</v>
      </c>
      <c r="BJ5367">
        <v>1</v>
      </c>
      <c r="BK5367">
        <v>0</v>
      </c>
      <c r="BL5367">
        <v>0</v>
      </c>
      <c r="BO5367">
        <v>0</v>
      </c>
      <c r="BP5367">
        <v>0</v>
      </c>
      <c r="BW5367" t="str">
        <f t="shared" ref="BW5367:BW5374" si="2487">"14:51:10.823"</f>
        <v>14:51:10.823</v>
      </c>
      <c r="CJ5367">
        <v>0</v>
      </c>
      <c r="CK5367">
        <v>2</v>
      </c>
      <c r="CL5367">
        <v>0</v>
      </c>
      <c r="CM5367">
        <v>2</v>
      </c>
      <c r="CN5367">
        <v>0</v>
      </c>
      <c r="CO5367">
        <v>7</v>
      </c>
      <c r="CP5367" t="s">
        <v>119</v>
      </c>
      <c r="CQ5367">
        <v>343</v>
      </c>
      <c r="CR5367">
        <v>2</v>
      </c>
      <c r="CW5367">
        <v>13401085</v>
      </c>
      <c r="CY5367">
        <v>1</v>
      </c>
      <c r="CZ5367">
        <v>0</v>
      </c>
      <c r="DA5367">
        <v>0</v>
      </c>
      <c r="DB5367">
        <v>0</v>
      </c>
      <c r="DC5367">
        <v>0</v>
      </c>
      <c r="DD5367">
        <v>1</v>
      </c>
      <c r="DE5367">
        <v>0</v>
      </c>
      <c r="DF5367">
        <v>0</v>
      </c>
      <c r="DG5367">
        <v>0</v>
      </c>
      <c r="DH5367">
        <v>0</v>
      </c>
      <c r="DI5367">
        <v>0</v>
      </c>
    </row>
    <row r="5368" spans="1:113" x14ac:dyDescent="0.3">
      <c r="A5368" t="str">
        <f t="shared" si="2485"/>
        <v>05/12/2020 14:50:52.991</v>
      </c>
      <c r="C5368" t="str">
        <f t="shared" si="2468"/>
        <v>FFDFD3C0</v>
      </c>
      <c r="D5368" t="s">
        <v>126</v>
      </c>
      <c r="E5368">
        <v>6</v>
      </c>
      <c r="F5368">
        <v>1006</v>
      </c>
      <c r="G5368" t="s">
        <v>114</v>
      </c>
      <c r="J5368" t="s">
        <v>128</v>
      </c>
      <c r="K5368">
        <v>0</v>
      </c>
      <c r="L5368">
        <v>3</v>
      </c>
      <c r="M5368">
        <v>0</v>
      </c>
      <c r="N5368">
        <v>2</v>
      </c>
      <c r="O5368">
        <v>1</v>
      </c>
      <c r="P5368">
        <v>0</v>
      </c>
      <c r="Q5368">
        <v>0</v>
      </c>
      <c r="S5368" t="str">
        <f t="shared" si="2486"/>
        <v>14:51:10.820</v>
      </c>
      <c r="T5368" t="str">
        <f t="shared" si="2486"/>
        <v>14:51:10.820</v>
      </c>
      <c r="U5368" t="str">
        <f t="shared" si="2460"/>
        <v>A9808D</v>
      </c>
      <c r="V5368">
        <v>0</v>
      </c>
      <c r="W5368">
        <v>0</v>
      </c>
      <c r="X5368">
        <v>1</v>
      </c>
      <c r="Z5368">
        <v>0</v>
      </c>
      <c r="AA5368">
        <v>9</v>
      </c>
      <c r="AB5368">
        <v>3</v>
      </c>
      <c r="AC5368">
        <v>0</v>
      </c>
      <c r="AD5368">
        <v>10</v>
      </c>
      <c r="AE5368">
        <v>0</v>
      </c>
      <c r="AF5368">
        <v>3</v>
      </c>
      <c r="AG5368">
        <v>2</v>
      </c>
      <c r="AH5368">
        <v>0</v>
      </c>
      <c r="AI5368" t="s">
        <v>1189</v>
      </c>
      <c r="AJ5368">
        <v>28.222867999999998</v>
      </c>
      <c r="AK5368" t="s">
        <v>1190</v>
      </c>
      <c r="AL5368">
        <v>-82.389865</v>
      </c>
      <c r="AM5368">
        <v>100</v>
      </c>
      <c r="AN5368">
        <v>1500</v>
      </c>
      <c r="AO5368" t="s">
        <v>118</v>
      </c>
      <c r="AP5368">
        <v>-79</v>
      </c>
      <c r="AQ5368">
        <v>-89</v>
      </c>
      <c r="AR5368">
        <v>-1152</v>
      </c>
      <c r="AZ5368">
        <v>1200</v>
      </c>
      <c r="BA5368">
        <v>1</v>
      </c>
      <c r="BB5368" t="str">
        <f t="shared" si="2469"/>
        <v xml:space="preserve">N711JA  </v>
      </c>
      <c r="BC5368">
        <v>1</v>
      </c>
      <c r="BE5368">
        <v>0</v>
      </c>
      <c r="BF5368">
        <v>0</v>
      </c>
      <c r="BG5368">
        <v>0</v>
      </c>
      <c r="BH5368">
        <v>1575</v>
      </c>
      <c r="BI5368">
        <v>1</v>
      </c>
      <c r="BJ5368">
        <v>1</v>
      </c>
      <c r="BK5368">
        <v>0</v>
      </c>
      <c r="BL5368">
        <v>0</v>
      </c>
      <c r="BO5368">
        <v>0</v>
      </c>
      <c r="BP5368">
        <v>0</v>
      </c>
      <c r="BW5368" t="str">
        <f t="shared" si="2487"/>
        <v>14:51:10.823</v>
      </c>
      <c r="CJ5368">
        <v>0</v>
      </c>
      <c r="CK5368">
        <v>2</v>
      </c>
      <c r="CL5368">
        <v>0</v>
      </c>
      <c r="CM5368">
        <v>2</v>
      </c>
      <c r="CN5368">
        <v>0</v>
      </c>
      <c r="CO5368">
        <v>7</v>
      </c>
      <c r="CP5368" t="s">
        <v>119</v>
      </c>
      <c r="CQ5368">
        <v>343</v>
      </c>
      <c r="CR5368">
        <v>2</v>
      </c>
      <c r="CW5368">
        <v>13401085</v>
      </c>
      <c r="CY5368">
        <v>1</v>
      </c>
      <c r="CZ5368">
        <v>0</v>
      </c>
      <c r="DA5368">
        <v>1</v>
      </c>
      <c r="DB5368">
        <v>0</v>
      </c>
      <c r="DC5368">
        <v>0</v>
      </c>
      <c r="DD5368">
        <v>1</v>
      </c>
      <c r="DE5368">
        <v>0</v>
      </c>
      <c r="DF5368">
        <v>0</v>
      </c>
      <c r="DG5368">
        <v>0</v>
      </c>
      <c r="DH5368">
        <v>0</v>
      </c>
      <c r="DI5368">
        <v>0</v>
      </c>
    </row>
    <row r="5369" spans="1:113" x14ac:dyDescent="0.3">
      <c r="A5369" t="str">
        <f t="shared" si="2485"/>
        <v>05/12/2020 14:50:52.991</v>
      </c>
      <c r="C5369" t="str">
        <f t="shared" si="2468"/>
        <v>FFDFD3C0</v>
      </c>
      <c r="D5369" t="s">
        <v>134</v>
      </c>
      <c r="E5369">
        <v>12</v>
      </c>
      <c r="H5369">
        <v>64</v>
      </c>
      <c r="I5369" t="s">
        <v>135</v>
      </c>
      <c r="J5369" t="s">
        <v>136</v>
      </c>
      <c r="K5369">
        <v>0</v>
      </c>
      <c r="L5369">
        <v>3</v>
      </c>
      <c r="M5369">
        <v>0</v>
      </c>
      <c r="N5369">
        <v>2</v>
      </c>
      <c r="O5369">
        <v>1</v>
      </c>
      <c r="P5369">
        <v>0</v>
      </c>
      <c r="Q5369">
        <v>0</v>
      </c>
      <c r="S5369" t="str">
        <f t="shared" si="2486"/>
        <v>14:51:10.820</v>
      </c>
      <c r="T5369" t="str">
        <f t="shared" si="2486"/>
        <v>14:51:10.820</v>
      </c>
      <c r="U5369" t="str">
        <f t="shared" si="2460"/>
        <v>A9808D</v>
      </c>
      <c r="V5369">
        <v>0</v>
      </c>
      <c r="W5369">
        <v>0</v>
      </c>
      <c r="X5369">
        <v>1</v>
      </c>
      <c r="Z5369">
        <v>0</v>
      </c>
      <c r="AA5369">
        <v>9</v>
      </c>
      <c r="AB5369">
        <v>3</v>
      </c>
      <c r="AC5369">
        <v>0</v>
      </c>
      <c r="AD5369">
        <v>10</v>
      </c>
      <c r="AE5369">
        <v>0</v>
      </c>
      <c r="AF5369">
        <v>3</v>
      </c>
      <c r="AG5369">
        <v>2</v>
      </c>
      <c r="AH5369">
        <v>0</v>
      </c>
      <c r="AI5369" t="s">
        <v>1189</v>
      </c>
      <c r="AJ5369">
        <v>28.222867999999998</v>
      </c>
      <c r="AK5369" t="s">
        <v>1190</v>
      </c>
      <c r="AL5369">
        <v>-82.389865</v>
      </c>
      <c r="AM5369">
        <v>100</v>
      </c>
      <c r="AN5369">
        <v>1500</v>
      </c>
      <c r="AO5369" t="s">
        <v>118</v>
      </c>
      <c r="AP5369">
        <v>-79</v>
      </c>
      <c r="AQ5369">
        <v>-89</v>
      </c>
      <c r="AR5369">
        <v>-1152</v>
      </c>
      <c r="AZ5369">
        <v>1200</v>
      </c>
      <c r="BA5369">
        <v>1</v>
      </c>
      <c r="BB5369" t="str">
        <f t="shared" si="2469"/>
        <v xml:space="preserve">N711JA  </v>
      </c>
      <c r="BC5369">
        <v>1</v>
      </c>
      <c r="BE5369">
        <v>0</v>
      </c>
      <c r="BF5369">
        <v>0</v>
      </c>
      <c r="BG5369">
        <v>0</v>
      </c>
      <c r="BH5369">
        <v>1575</v>
      </c>
      <c r="BI5369">
        <v>1</v>
      </c>
      <c r="BJ5369">
        <v>1</v>
      </c>
      <c r="BK5369">
        <v>0</v>
      </c>
      <c r="BL5369">
        <v>0</v>
      </c>
      <c r="BO5369">
        <v>0</v>
      </c>
      <c r="BP5369">
        <v>0</v>
      </c>
      <c r="BW5369" t="str">
        <f t="shared" si="2487"/>
        <v>14:51:10.823</v>
      </c>
      <c r="CJ5369">
        <v>0</v>
      </c>
      <c r="CK5369">
        <v>2</v>
      </c>
      <c r="CL5369">
        <v>0</v>
      </c>
      <c r="CM5369">
        <v>2</v>
      </c>
      <c r="CN5369">
        <v>0</v>
      </c>
      <c r="CO5369">
        <v>7</v>
      </c>
      <c r="CP5369" t="s">
        <v>119</v>
      </c>
      <c r="CQ5369">
        <v>343</v>
      </c>
      <c r="CR5369">
        <v>2</v>
      </c>
      <c r="CW5369">
        <v>13401085</v>
      </c>
      <c r="CY5369">
        <v>1</v>
      </c>
      <c r="CZ5369">
        <v>0</v>
      </c>
      <c r="DA5369">
        <v>1</v>
      </c>
      <c r="DB5369">
        <v>0</v>
      </c>
      <c r="DC5369">
        <v>0</v>
      </c>
      <c r="DD5369">
        <v>1</v>
      </c>
      <c r="DE5369">
        <v>0</v>
      </c>
      <c r="DF5369">
        <v>0</v>
      </c>
      <c r="DG5369">
        <v>0</v>
      </c>
      <c r="DH5369">
        <v>0</v>
      </c>
      <c r="DI5369">
        <v>0</v>
      </c>
    </row>
    <row r="5370" spans="1:113" x14ac:dyDescent="0.3">
      <c r="A5370" t="str">
        <f t="shared" si="2485"/>
        <v>05/12/2020 14:50:52.991</v>
      </c>
      <c r="C5370" t="str">
        <f t="shared" si="2468"/>
        <v>FFDFD3C0</v>
      </c>
      <c r="D5370" t="s">
        <v>126</v>
      </c>
      <c r="E5370">
        <v>7</v>
      </c>
      <c r="F5370">
        <v>1007</v>
      </c>
      <c r="G5370" t="s">
        <v>127</v>
      </c>
      <c r="J5370" t="s">
        <v>128</v>
      </c>
      <c r="K5370">
        <v>0</v>
      </c>
      <c r="L5370">
        <v>3</v>
      </c>
      <c r="M5370">
        <v>0</v>
      </c>
      <c r="N5370">
        <v>2</v>
      </c>
      <c r="O5370">
        <v>1</v>
      </c>
      <c r="P5370">
        <v>0</v>
      </c>
      <c r="Q5370">
        <v>0</v>
      </c>
      <c r="S5370" t="str">
        <f t="shared" si="2486"/>
        <v>14:51:10.820</v>
      </c>
      <c r="T5370" t="str">
        <f t="shared" si="2486"/>
        <v>14:51:10.820</v>
      </c>
      <c r="U5370" t="str">
        <f t="shared" si="2460"/>
        <v>A9808D</v>
      </c>
      <c r="V5370">
        <v>0</v>
      </c>
      <c r="W5370">
        <v>0</v>
      </c>
      <c r="X5370">
        <v>1</v>
      </c>
      <c r="Z5370">
        <v>0</v>
      </c>
      <c r="AA5370">
        <v>9</v>
      </c>
      <c r="AB5370">
        <v>3</v>
      </c>
      <c r="AC5370">
        <v>0</v>
      </c>
      <c r="AD5370">
        <v>10</v>
      </c>
      <c r="AE5370">
        <v>0</v>
      </c>
      <c r="AF5370">
        <v>3</v>
      </c>
      <c r="AG5370">
        <v>2</v>
      </c>
      <c r="AH5370">
        <v>0</v>
      </c>
      <c r="AI5370" t="s">
        <v>1189</v>
      </c>
      <c r="AJ5370">
        <v>28.222867999999998</v>
      </c>
      <c r="AK5370" t="s">
        <v>1190</v>
      </c>
      <c r="AL5370">
        <v>-82.389865</v>
      </c>
      <c r="AM5370">
        <v>100</v>
      </c>
      <c r="AN5370">
        <v>1500</v>
      </c>
      <c r="AO5370" t="s">
        <v>118</v>
      </c>
      <c r="AP5370">
        <v>-79</v>
      </c>
      <c r="AQ5370">
        <v>-89</v>
      </c>
      <c r="AR5370">
        <v>-1152</v>
      </c>
      <c r="AZ5370">
        <v>1200</v>
      </c>
      <c r="BA5370">
        <v>1</v>
      </c>
      <c r="BB5370" t="str">
        <f t="shared" si="2469"/>
        <v xml:space="preserve">N711JA  </v>
      </c>
      <c r="BC5370">
        <v>1</v>
      </c>
      <c r="BE5370">
        <v>0</v>
      </c>
      <c r="BF5370">
        <v>0</v>
      </c>
      <c r="BG5370">
        <v>0</v>
      </c>
      <c r="BH5370">
        <v>1575</v>
      </c>
      <c r="BI5370">
        <v>1</v>
      </c>
      <c r="BJ5370">
        <v>1</v>
      </c>
      <c r="BK5370">
        <v>0</v>
      </c>
      <c r="BL5370">
        <v>0</v>
      </c>
      <c r="BO5370">
        <v>0</v>
      </c>
      <c r="BP5370">
        <v>0</v>
      </c>
      <c r="BW5370" t="str">
        <f t="shared" si="2487"/>
        <v>14:51:10.823</v>
      </c>
      <c r="CJ5370">
        <v>0</v>
      </c>
      <c r="CK5370">
        <v>2</v>
      </c>
      <c r="CL5370">
        <v>0</v>
      </c>
      <c r="CM5370">
        <v>2</v>
      </c>
      <c r="CN5370">
        <v>0</v>
      </c>
      <c r="CO5370">
        <v>7</v>
      </c>
      <c r="CP5370" t="s">
        <v>119</v>
      </c>
      <c r="CQ5370">
        <v>343</v>
      </c>
      <c r="CR5370">
        <v>2</v>
      </c>
      <c r="CW5370">
        <v>13401085</v>
      </c>
      <c r="CY5370">
        <v>1</v>
      </c>
      <c r="CZ5370">
        <v>0</v>
      </c>
      <c r="DA5370">
        <v>1</v>
      </c>
      <c r="DB5370">
        <v>0</v>
      </c>
      <c r="DC5370">
        <v>0</v>
      </c>
      <c r="DD5370">
        <v>1</v>
      </c>
      <c r="DE5370">
        <v>0</v>
      </c>
      <c r="DF5370">
        <v>0</v>
      </c>
      <c r="DG5370">
        <v>0</v>
      </c>
      <c r="DH5370">
        <v>0</v>
      </c>
      <c r="DI5370">
        <v>0</v>
      </c>
    </row>
    <row r="5371" spans="1:113" x14ac:dyDescent="0.3">
      <c r="A5371" t="str">
        <f t="shared" si="2485"/>
        <v>05/12/2020 14:50:52.991</v>
      </c>
      <c r="C5371" t="str">
        <f t="shared" si="2468"/>
        <v>FFDFD3C0</v>
      </c>
      <c r="D5371" t="s">
        <v>131</v>
      </c>
      <c r="E5371">
        <v>10</v>
      </c>
      <c r="F5371">
        <v>2010</v>
      </c>
      <c r="G5371" t="s">
        <v>132</v>
      </c>
      <c r="J5371" t="s">
        <v>133</v>
      </c>
      <c r="K5371">
        <v>0</v>
      </c>
      <c r="L5371">
        <v>3</v>
      </c>
      <c r="M5371">
        <v>0</v>
      </c>
      <c r="N5371">
        <v>2</v>
      </c>
      <c r="O5371">
        <v>1</v>
      </c>
      <c r="P5371">
        <v>0</v>
      </c>
      <c r="Q5371">
        <v>0</v>
      </c>
      <c r="S5371" t="str">
        <f t="shared" si="2486"/>
        <v>14:51:10.820</v>
      </c>
      <c r="T5371" t="str">
        <f t="shared" si="2486"/>
        <v>14:51:10.820</v>
      </c>
      <c r="U5371" t="str">
        <f t="shared" si="2460"/>
        <v>A9808D</v>
      </c>
      <c r="V5371">
        <v>0</v>
      </c>
      <c r="W5371">
        <v>0</v>
      </c>
      <c r="X5371">
        <v>1</v>
      </c>
      <c r="Z5371">
        <v>0</v>
      </c>
      <c r="AA5371">
        <v>9</v>
      </c>
      <c r="AB5371">
        <v>3</v>
      </c>
      <c r="AC5371">
        <v>0</v>
      </c>
      <c r="AD5371">
        <v>10</v>
      </c>
      <c r="AE5371">
        <v>0</v>
      </c>
      <c r="AF5371">
        <v>3</v>
      </c>
      <c r="AG5371">
        <v>2</v>
      </c>
      <c r="AH5371">
        <v>0</v>
      </c>
      <c r="AI5371" t="s">
        <v>1189</v>
      </c>
      <c r="AJ5371">
        <v>28.222867999999998</v>
      </c>
      <c r="AK5371" t="s">
        <v>1190</v>
      </c>
      <c r="AL5371">
        <v>-82.389865</v>
      </c>
      <c r="AM5371">
        <v>100</v>
      </c>
      <c r="AN5371">
        <v>1500</v>
      </c>
      <c r="AO5371" t="s">
        <v>118</v>
      </c>
      <c r="AP5371">
        <v>-79</v>
      </c>
      <c r="AQ5371">
        <v>-89</v>
      </c>
      <c r="AR5371">
        <v>-1152</v>
      </c>
      <c r="AZ5371">
        <v>1200</v>
      </c>
      <c r="BA5371">
        <v>1</v>
      </c>
      <c r="BB5371" t="str">
        <f t="shared" si="2469"/>
        <v xml:space="preserve">N711JA  </v>
      </c>
      <c r="BC5371">
        <v>1</v>
      </c>
      <c r="BE5371">
        <v>0</v>
      </c>
      <c r="BF5371">
        <v>0</v>
      </c>
      <c r="BG5371">
        <v>0</v>
      </c>
      <c r="BH5371">
        <v>1575</v>
      </c>
      <c r="BI5371">
        <v>1</v>
      </c>
      <c r="BJ5371">
        <v>1</v>
      </c>
      <c r="BK5371">
        <v>0</v>
      </c>
      <c r="BL5371">
        <v>0</v>
      </c>
      <c r="BO5371">
        <v>0</v>
      </c>
      <c r="BP5371">
        <v>0</v>
      </c>
      <c r="BW5371" t="str">
        <f t="shared" si="2487"/>
        <v>14:51:10.823</v>
      </c>
      <c r="CJ5371">
        <v>0</v>
      </c>
      <c r="CK5371">
        <v>2</v>
      </c>
      <c r="CL5371">
        <v>0</v>
      </c>
      <c r="CM5371">
        <v>2</v>
      </c>
      <c r="CN5371">
        <v>0</v>
      </c>
      <c r="CO5371">
        <v>7</v>
      </c>
      <c r="CP5371" t="s">
        <v>119</v>
      </c>
      <c r="CQ5371">
        <v>343</v>
      </c>
      <c r="CR5371">
        <v>2</v>
      </c>
      <c r="CW5371">
        <v>13401085</v>
      </c>
      <c r="CY5371">
        <v>1</v>
      </c>
      <c r="CZ5371">
        <v>0</v>
      </c>
      <c r="DA5371">
        <v>1</v>
      </c>
      <c r="DB5371">
        <v>0</v>
      </c>
      <c r="DC5371">
        <v>0</v>
      </c>
      <c r="DD5371">
        <v>1</v>
      </c>
      <c r="DE5371">
        <v>0</v>
      </c>
      <c r="DF5371">
        <v>0</v>
      </c>
      <c r="DG5371">
        <v>0</v>
      </c>
      <c r="DH5371">
        <v>0</v>
      </c>
      <c r="DI5371">
        <v>0</v>
      </c>
    </row>
    <row r="5372" spans="1:113" x14ac:dyDescent="0.3">
      <c r="A5372" t="str">
        <f t="shared" si="2485"/>
        <v>05/12/2020 14:50:52.991</v>
      </c>
      <c r="C5372" t="str">
        <f t="shared" si="2468"/>
        <v>FFDFD3C0</v>
      </c>
      <c r="D5372" t="s">
        <v>131</v>
      </c>
      <c r="E5372">
        <v>12</v>
      </c>
      <c r="F5372">
        <v>2012</v>
      </c>
      <c r="G5372" t="s">
        <v>137</v>
      </c>
      <c r="J5372" t="s">
        <v>133</v>
      </c>
      <c r="K5372">
        <v>0</v>
      </c>
      <c r="L5372">
        <v>3</v>
      </c>
      <c r="M5372">
        <v>0</v>
      </c>
      <c r="N5372">
        <v>2</v>
      </c>
      <c r="O5372">
        <v>1</v>
      </c>
      <c r="P5372">
        <v>0</v>
      </c>
      <c r="Q5372">
        <v>0</v>
      </c>
      <c r="S5372" t="str">
        <f t="shared" si="2486"/>
        <v>14:51:10.820</v>
      </c>
      <c r="T5372" t="str">
        <f t="shared" si="2486"/>
        <v>14:51:10.820</v>
      </c>
      <c r="U5372" t="str">
        <f t="shared" si="2460"/>
        <v>A9808D</v>
      </c>
      <c r="V5372">
        <v>0</v>
      </c>
      <c r="W5372">
        <v>0</v>
      </c>
      <c r="X5372">
        <v>1</v>
      </c>
      <c r="Z5372">
        <v>0</v>
      </c>
      <c r="AA5372">
        <v>9</v>
      </c>
      <c r="AB5372">
        <v>3</v>
      </c>
      <c r="AC5372">
        <v>0</v>
      </c>
      <c r="AD5372">
        <v>10</v>
      </c>
      <c r="AE5372">
        <v>0</v>
      </c>
      <c r="AF5372">
        <v>3</v>
      </c>
      <c r="AG5372">
        <v>2</v>
      </c>
      <c r="AH5372">
        <v>0</v>
      </c>
      <c r="AI5372" t="s">
        <v>1189</v>
      </c>
      <c r="AJ5372">
        <v>28.222867999999998</v>
      </c>
      <c r="AK5372" t="s">
        <v>1190</v>
      </c>
      <c r="AL5372">
        <v>-82.389865</v>
      </c>
      <c r="AM5372">
        <v>100</v>
      </c>
      <c r="AN5372">
        <v>1500</v>
      </c>
      <c r="AO5372" t="s">
        <v>118</v>
      </c>
      <c r="AP5372">
        <v>-79</v>
      </c>
      <c r="AQ5372">
        <v>-89</v>
      </c>
      <c r="AR5372">
        <v>-1152</v>
      </c>
      <c r="AZ5372">
        <v>1200</v>
      </c>
      <c r="BA5372">
        <v>1</v>
      </c>
      <c r="BB5372" t="str">
        <f t="shared" si="2469"/>
        <v xml:space="preserve">N711JA  </v>
      </c>
      <c r="BC5372">
        <v>1</v>
      </c>
      <c r="BE5372">
        <v>0</v>
      </c>
      <c r="BF5372">
        <v>0</v>
      </c>
      <c r="BG5372">
        <v>0</v>
      </c>
      <c r="BH5372">
        <v>1575</v>
      </c>
      <c r="BI5372">
        <v>1</v>
      </c>
      <c r="BJ5372">
        <v>1</v>
      </c>
      <c r="BK5372">
        <v>0</v>
      </c>
      <c r="BL5372">
        <v>0</v>
      </c>
      <c r="BO5372">
        <v>0</v>
      </c>
      <c r="BP5372">
        <v>0</v>
      </c>
      <c r="BW5372" t="str">
        <f t="shared" si="2487"/>
        <v>14:51:10.823</v>
      </c>
      <c r="CJ5372">
        <v>0</v>
      </c>
      <c r="CK5372">
        <v>2</v>
      </c>
      <c r="CL5372">
        <v>0</v>
      </c>
      <c r="CM5372">
        <v>2</v>
      </c>
      <c r="CN5372">
        <v>0</v>
      </c>
      <c r="CO5372">
        <v>7</v>
      </c>
      <c r="CP5372" t="s">
        <v>119</v>
      </c>
      <c r="CQ5372">
        <v>343</v>
      </c>
      <c r="CR5372">
        <v>2</v>
      </c>
      <c r="CW5372">
        <v>13401085</v>
      </c>
      <c r="CY5372">
        <v>1</v>
      </c>
      <c r="CZ5372">
        <v>0</v>
      </c>
      <c r="DA5372">
        <v>1</v>
      </c>
      <c r="DB5372">
        <v>0</v>
      </c>
      <c r="DC5372">
        <v>0</v>
      </c>
      <c r="DD5372">
        <v>1</v>
      </c>
      <c r="DE5372">
        <v>0</v>
      </c>
      <c r="DF5372">
        <v>0</v>
      </c>
      <c r="DG5372">
        <v>0</v>
      </c>
      <c r="DH5372">
        <v>0</v>
      </c>
      <c r="DI5372">
        <v>0</v>
      </c>
    </row>
    <row r="5373" spans="1:113" x14ac:dyDescent="0.3">
      <c r="A5373" t="str">
        <f t="shared" si="2485"/>
        <v>05/12/2020 14:50:52.991</v>
      </c>
      <c r="C5373" t="str">
        <f t="shared" si="2468"/>
        <v>FFDFD3C0</v>
      </c>
      <c r="D5373" t="s">
        <v>113</v>
      </c>
      <c r="E5373">
        <v>3</v>
      </c>
      <c r="H5373">
        <v>164</v>
      </c>
      <c r="I5373" t="s">
        <v>114</v>
      </c>
      <c r="J5373" t="s">
        <v>115</v>
      </c>
      <c r="K5373">
        <v>0</v>
      </c>
      <c r="L5373">
        <v>3</v>
      </c>
      <c r="M5373">
        <v>0</v>
      </c>
      <c r="N5373">
        <v>2</v>
      </c>
      <c r="O5373">
        <v>1</v>
      </c>
      <c r="P5373">
        <v>0</v>
      </c>
      <c r="Q5373">
        <v>0</v>
      </c>
      <c r="S5373" t="str">
        <f t="shared" si="2486"/>
        <v>14:51:10.820</v>
      </c>
      <c r="T5373" t="str">
        <f t="shared" si="2486"/>
        <v>14:51:10.820</v>
      </c>
      <c r="U5373" t="str">
        <f t="shared" si="2460"/>
        <v>A9808D</v>
      </c>
      <c r="V5373">
        <v>0</v>
      </c>
      <c r="W5373">
        <v>0</v>
      </c>
      <c r="X5373">
        <v>1</v>
      </c>
      <c r="Z5373">
        <v>0</v>
      </c>
      <c r="AA5373">
        <v>9</v>
      </c>
      <c r="AB5373">
        <v>3</v>
      </c>
      <c r="AC5373">
        <v>0</v>
      </c>
      <c r="AD5373">
        <v>10</v>
      </c>
      <c r="AE5373">
        <v>0</v>
      </c>
      <c r="AF5373">
        <v>3</v>
      </c>
      <c r="AG5373">
        <v>2</v>
      </c>
      <c r="AH5373">
        <v>0</v>
      </c>
      <c r="AI5373" t="s">
        <v>1189</v>
      </c>
      <c r="AJ5373">
        <v>28.222867999999998</v>
      </c>
      <c r="AK5373" t="s">
        <v>1190</v>
      </c>
      <c r="AL5373">
        <v>-82.389865</v>
      </c>
      <c r="AM5373">
        <v>100</v>
      </c>
      <c r="AN5373">
        <v>1500</v>
      </c>
      <c r="AO5373" t="s">
        <v>118</v>
      </c>
      <c r="AP5373">
        <v>-79</v>
      </c>
      <c r="AQ5373">
        <v>-89</v>
      </c>
      <c r="AR5373">
        <v>-1152</v>
      </c>
      <c r="AZ5373">
        <v>1200</v>
      </c>
      <c r="BA5373">
        <v>1</v>
      </c>
      <c r="BB5373" t="str">
        <f t="shared" si="2469"/>
        <v xml:space="preserve">N711JA  </v>
      </c>
      <c r="BC5373">
        <v>1</v>
      </c>
      <c r="BE5373">
        <v>0</v>
      </c>
      <c r="BF5373">
        <v>0</v>
      </c>
      <c r="BG5373">
        <v>0</v>
      </c>
      <c r="BH5373">
        <v>1575</v>
      </c>
      <c r="BI5373">
        <v>1</v>
      </c>
      <c r="BJ5373">
        <v>1</v>
      </c>
      <c r="BK5373">
        <v>0</v>
      </c>
      <c r="BL5373">
        <v>0</v>
      </c>
      <c r="BO5373">
        <v>0</v>
      </c>
      <c r="BP5373">
        <v>0</v>
      </c>
      <c r="BW5373" t="str">
        <f t="shared" si="2487"/>
        <v>14:51:10.823</v>
      </c>
      <c r="CJ5373">
        <v>0</v>
      </c>
      <c r="CK5373">
        <v>2</v>
      </c>
      <c r="CL5373">
        <v>0</v>
      </c>
      <c r="CM5373">
        <v>2</v>
      </c>
      <c r="CN5373">
        <v>0</v>
      </c>
      <c r="CO5373">
        <v>7</v>
      </c>
      <c r="CP5373" t="s">
        <v>119</v>
      </c>
      <c r="CQ5373">
        <v>343</v>
      </c>
      <c r="CR5373">
        <v>2</v>
      </c>
      <c r="CW5373">
        <v>13401085</v>
      </c>
      <c r="CY5373">
        <v>1</v>
      </c>
      <c r="CZ5373">
        <v>0</v>
      </c>
      <c r="DA5373">
        <v>1</v>
      </c>
      <c r="DB5373">
        <v>0</v>
      </c>
      <c r="DC5373">
        <v>0</v>
      </c>
      <c r="DD5373">
        <v>1</v>
      </c>
      <c r="DE5373">
        <v>0</v>
      </c>
      <c r="DF5373">
        <v>0</v>
      </c>
      <c r="DG5373">
        <v>0</v>
      </c>
      <c r="DH5373">
        <v>0</v>
      </c>
      <c r="DI5373">
        <v>0</v>
      </c>
    </row>
    <row r="5374" spans="1:113" x14ac:dyDescent="0.3">
      <c r="A5374" t="str">
        <f t="shared" si="2485"/>
        <v>05/12/2020 14:50:52.991</v>
      </c>
      <c r="C5374" t="str">
        <f t="shared" si="2468"/>
        <v>FFDFD3C0</v>
      </c>
      <c r="D5374" t="s">
        <v>138</v>
      </c>
      <c r="E5374">
        <v>2</v>
      </c>
      <c r="H5374">
        <v>8</v>
      </c>
      <c r="I5374" t="s">
        <v>139</v>
      </c>
      <c r="J5374" t="s">
        <v>136</v>
      </c>
      <c r="K5374">
        <v>0</v>
      </c>
      <c r="L5374">
        <v>3</v>
      </c>
      <c r="M5374">
        <v>0</v>
      </c>
      <c r="N5374">
        <v>2</v>
      </c>
      <c r="O5374">
        <v>1</v>
      </c>
      <c r="P5374">
        <v>0</v>
      </c>
      <c r="Q5374">
        <v>0</v>
      </c>
      <c r="S5374" t="str">
        <f t="shared" si="2486"/>
        <v>14:51:10.820</v>
      </c>
      <c r="T5374" t="str">
        <f t="shared" si="2486"/>
        <v>14:51:10.820</v>
      </c>
      <c r="U5374" t="str">
        <f t="shared" si="2460"/>
        <v>A9808D</v>
      </c>
      <c r="V5374">
        <v>0</v>
      </c>
      <c r="W5374">
        <v>0</v>
      </c>
      <c r="X5374">
        <v>1</v>
      </c>
      <c r="Z5374">
        <v>0</v>
      </c>
      <c r="AA5374">
        <v>9</v>
      </c>
      <c r="AB5374">
        <v>3</v>
      </c>
      <c r="AC5374">
        <v>0</v>
      </c>
      <c r="AD5374">
        <v>10</v>
      </c>
      <c r="AE5374">
        <v>0</v>
      </c>
      <c r="AF5374">
        <v>3</v>
      </c>
      <c r="AG5374">
        <v>2</v>
      </c>
      <c r="AH5374">
        <v>0</v>
      </c>
      <c r="AI5374" t="s">
        <v>1189</v>
      </c>
      <c r="AJ5374">
        <v>28.222867999999998</v>
      </c>
      <c r="AK5374" t="s">
        <v>1190</v>
      </c>
      <c r="AL5374">
        <v>-82.389865</v>
      </c>
      <c r="AM5374">
        <v>100</v>
      </c>
      <c r="AN5374">
        <v>1500</v>
      </c>
      <c r="AO5374" t="s">
        <v>118</v>
      </c>
      <c r="AP5374">
        <v>-79</v>
      </c>
      <c r="AQ5374">
        <v>-89</v>
      </c>
      <c r="AR5374">
        <v>-1152</v>
      </c>
      <c r="AZ5374">
        <v>1200</v>
      </c>
      <c r="BA5374">
        <v>1</v>
      </c>
      <c r="BB5374" t="str">
        <f t="shared" si="2469"/>
        <v xml:space="preserve">N711JA  </v>
      </c>
      <c r="BC5374">
        <v>1</v>
      </c>
      <c r="BE5374">
        <v>0</v>
      </c>
      <c r="BF5374">
        <v>0</v>
      </c>
      <c r="BG5374">
        <v>0</v>
      </c>
      <c r="BH5374">
        <v>1575</v>
      </c>
      <c r="BI5374">
        <v>1</v>
      </c>
      <c r="BJ5374">
        <v>1</v>
      </c>
      <c r="BK5374">
        <v>0</v>
      </c>
      <c r="BL5374">
        <v>0</v>
      </c>
      <c r="BO5374">
        <v>0</v>
      </c>
      <c r="BP5374">
        <v>0</v>
      </c>
      <c r="BW5374" t="str">
        <f t="shared" si="2487"/>
        <v>14:51:10.823</v>
      </c>
      <c r="CJ5374">
        <v>0</v>
      </c>
      <c r="CK5374">
        <v>2</v>
      </c>
      <c r="CL5374">
        <v>0</v>
      </c>
      <c r="CM5374">
        <v>2</v>
      </c>
      <c r="CN5374">
        <v>0</v>
      </c>
      <c r="CO5374">
        <v>7</v>
      </c>
      <c r="CP5374" t="s">
        <v>119</v>
      </c>
      <c r="CQ5374">
        <v>343</v>
      </c>
      <c r="CR5374">
        <v>2</v>
      </c>
      <c r="CW5374">
        <v>13401085</v>
      </c>
      <c r="CY5374">
        <v>1</v>
      </c>
      <c r="CZ5374">
        <v>0</v>
      </c>
      <c r="DA5374">
        <v>1</v>
      </c>
      <c r="DB5374">
        <v>0</v>
      </c>
      <c r="DC5374">
        <v>0</v>
      </c>
      <c r="DD5374">
        <v>1</v>
      </c>
      <c r="DE5374">
        <v>0</v>
      </c>
      <c r="DF5374">
        <v>0</v>
      </c>
      <c r="DG5374">
        <v>0</v>
      </c>
      <c r="DH5374">
        <v>0</v>
      </c>
      <c r="DI5374">
        <v>0</v>
      </c>
    </row>
    <row r="5375" spans="1:113" x14ac:dyDescent="0.3">
      <c r="A5375" t="str">
        <f t="shared" ref="A5375:A5382" si="2488">"05/12/2020 14:50:53.864"</f>
        <v>05/12/2020 14:50:53.864</v>
      </c>
      <c r="C5375" t="str">
        <f t="shared" si="2468"/>
        <v>FFDFD3C0</v>
      </c>
      <c r="D5375" t="s">
        <v>126</v>
      </c>
      <c r="E5375">
        <v>6</v>
      </c>
      <c r="F5375">
        <v>1006</v>
      </c>
      <c r="G5375" t="s">
        <v>114</v>
      </c>
      <c r="J5375" t="s">
        <v>128</v>
      </c>
      <c r="K5375">
        <v>0</v>
      </c>
      <c r="L5375">
        <v>3</v>
      </c>
      <c r="M5375">
        <v>0</v>
      </c>
      <c r="N5375">
        <v>2</v>
      </c>
      <c r="O5375">
        <v>1</v>
      </c>
      <c r="P5375">
        <v>0</v>
      </c>
      <c r="Q5375">
        <v>0</v>
      </c>
      <c r="S5375" t="str">
        <f t="shared" ref="S5375:S5382" si="2489">"14:51:11.695"</f>
        <v>14:51:11.695</v>
      </c>
      <c r="T5375" t="str">
        <f t="shared" ref="T5375:T5382" si="2490">"14:51:11.295"</f>
        <v>14:51:11.295</v>
      </c>
      <c r="U5375" t="str">
        <f t="shared" si="2460"/>
        <v>A9808D</v>
      </c>
      <c r="V5375">
        <v>0</v>
      </c>
      <c r="W5375">
        <v>0</v>
      </c>
      <c r="X5375">
        <v>1</v>
      </c>
      <c r="Z5375">
        <v>0</v>
      </c>
      <c r="AA5375">
        <v>9</v>
      </c>
      <c r="AB5375">
        <v>3</v>
      </c>
      <c r="AC5375">
        <v>0</v>
      </c>
      <c r="AD5375">
        <v>10</v>
      </c>
      <c r="AE5375">
        <v>0</v>
      </c>
      <c r="AF5375">
        <v>3</v>
      </c>
      <c r="AG5375">
        <v>2</v>
      </c>
      <c r="AH5375">
        <v>0</v>
      </c>
      <c r="AI5375" t="s">
        <v>1191</v>
      </c>
      <c r="AJ5375">
        <v>28.222481999999999</v>
      </c>
      <c r="AK5375" t="s">
        <v>1192</v>
      </c>
      <c r="AL5375">
        <v>-82.390186999999997</v>
      </c>
      <c r="AM5375">
        <v>100</v>
      </c>
      <c r="AN5375">
        <v>1500</v>
      </c>
      <c r="AO5375" t="s">
        <v>118</v>
      </c>
      <c r="AP5375">
        <v>-77</v>
      </c>
      <c r="AQ5375">
        <v>-91</v>
      </c>
      <c r="AR5375">
        <v>-1152</v>
      </c>
      <c r="AZ5375">
        <v>1200</v>
      </c>
      <c r="BA5375">
        <v>1</v>
      </c>
      <c r="BB5375" t="str">
        <f t="shared" si="2469"/>
        <v xml:space="preserve">N711JA  </v>
      </c>
      <c r="BC5375">
        <v>1</v>
      </c>
      <c r="BE5375">
        <v>0</v>
      </c>
      <c r="BF5375">
        <v>0</v>
      </c>
      <c r="BG5375">
        <v>0</v>
      </c>
      <c r="BH5375">
        <v>1575</v>
      </c>
      <c r="BI5375">
        <v>1</v>
      </c>
      <c r="BJ5375">
        <v>1</v>
      </c>
      <c r="BK5375">
        <v>0</v>
      </c>
      <c r="BL5375">
        <v>0</v>
      </c>
      <c r="BO5375">
        <v>0</v>
      </c>
      <c r="BP5375">
        <v>0</v>
      </c>
      <c r="BW5375" t="str">
        <f t="shared" ref="BW5375:BW5382" si="2491">"14:51:11.703"</f>
        <v>14:51:11.703</v>
      </c>
      <c r="CJ5375">
        <v>0</v>
      </c>
      <c r="CK5375">
        <v>2</v>
      </c>
      <c r="CL5375">
        <v>0</v>
      </c>
      <c r="CM5375">
        <v>2</v>
      </c>
      <c r="CN5375">
        <v>0</v>
      </c>
      <c r="CO5375">
        <v>7</v>
      </c>
      <c r="CP5375" t="s">
        <v>119</v>
      </c>
      <c r="CQ5375">
        <v>343</v>
      </c>
      <c r="CR5375">
        <v>1</v>
      </c>
      <c r="CW5375">
        <v>11145656</v>
      </c>
      <c r="CY5375">
        <v>1</v>
      </c>
      <c r="CZ5375">
        <v>0</v>
      </c>
      <c r="DA5375">
        <v>0</v>
      </c>
      <c r="DB5375">
        <v>0</v>
      </c>
      <c r="DC5375">
        <v>0</v>
      </c>
      <c r="DD5375">
        <v>1</v>
      </c>
      <c r="DE5375">
        <v>0</v>
      </c>
      <c r="DF5375">
        <v>0</v>
      </c>
      <c r="DG5375">
        <v>0</v>
      </c>
      <c r="DH5375">
        <v>0</v>
      </c>
      <c r="DI5375">
        <v>0</v>
      </c>
    </row>
    <row r="5376" spans="1:113" x14ac:dyDescent="0.3">
      <c r="A5376" t="str">
        <f t="shared" si="2488"/>
        <v>05/12/2020 14:50:53.864</v>
      </c>
      <c r="C5376" t="str">
        <f t="shared" si="2468"/>
        <v>FFDFD3C0</v>
      </c>
      <c r="D5376" t="s">
        <v>126</v>
      </c>
      <c r="E5376">
        <v>7</v>
      </c>
      <c r="F5376">
        <v>1007</v>
      </c>
      <c r="G5376" t="s">
        <v>127</v>
      </c>
      <c r="J5376" t="s">
        <v>128</v>
      </c>
      <c r="K5376">
        <v>0</v>
      </c>
      <c r="L5376">
        <v>3</v>
      </c>
      <c r="M5376">
        <v>0</v>
      </c>
      <c r="N5376">
        <v>2</v>
      </c>
      <c r="O5376">
        <v>1</v>
      </c>
      <c r="P5376">
        <v>0</v>
      </c>
      <c r="Q5376">
        <v>0</v>
      </c>
      <c r="S5376" t="str">
        <f t="shared" si="2489"/>
        <v>14:51:11.695</v>
      </c>
      <c r="T5376" t="str">
        <f t="shared" si="2490"/>
        <v>14:51:11.295</v>
      </c>
      <c r="U5376" t="str">
        <f t="shared" si="2460"/>
        <v>A9808D</v>
      </c>
      <c r="V5376">
        <v>0</v>
      </c>
      <c r="W5376">
        <v>0</v>
      </c>
      <c r="X5376">
        <v>1</v>
      </c>
      <c r="Z5376">
        <v>0</v>
      </c>
      <c r="AA5376">
        <v>9</v>
      </c>
      <c r="AB5376">
        <v>3</v>
      </c>
      <c r="AC5376">
        <v>0</v>
      </c>
      <c r="AD5376">
        <v>10</v>
      </c>
      <c r="AE5376">
        <v>0</v>
      </c>
      <c r="AF5376">
        <v>3</v>
      </c>
      <c r="AG5376">
        <v>2</v>
      </c>
      <c r="AH5376">
        <v>0</v>
      </c>
      <c r="AI5376" t="s">
        <v>1191</v>
      </c>
      <c r="AJ5376">
        <v>28.222481999999999</v>
      </c>
      <c r="AK5376" t="s">
        <v>1192</v>
      </c>
      <c r="AL5376">
        <v>-82.390186999999997</v>
      </c>
      <c r="AM5376">
        <v>100</v>
      </c>
      <c r="AN5376">
        <v>1500</v>
      </c>
      <c r="AO5376" t="s">
        <v>118</v>
      </c>
      <c r="AP5376">
        <v>-77</v>
      </c>
      <c r="AQ5376">
        <v>-91</v>
      </c>
      <c r="AR5376">
        <v>-1152</v>
      </c>
      <c r="AZ5376">
        <v>1200</v>
      </c>
      <c r="BA5376">
        <v>1</v>
      </c>
      <c r="BB5376" t="str">
        <f t="shared" si="2469"/>
        <v xml:space="preserve">N711JA  </v>
      </c>
      <c r="BC5376">
        <v>1</v>
      </c>
      <c r="BE5376">
        <v>0</v>
      </c>
      <c r="BF5376">
        <v>0</v>
      </c>
      <c r="BG5376">
        <v>0</v>
      </c>
      <c r="BH5376">
        <v>1575</v>
      </c>
      <c r="BI5376">
        <v>1</v>
      </c>
      <c r="BJ5376">
        <v>1</v>
      </c>
      <c r="BK5376">
        <v>0</v>
      </c>
      <c r="BL5376">
        <v>0</v>
      </c>
      <c r="BO5376">
        <v>0</v>
      </c>
      <c r="BP5376">
        <v>0</v>
      </c>
      <c r="BW5376" t="str">
        <f t="shared" si="2491"/>
        <v>14:51:11.703</v>
      </c>
      <c r="CJ5376">
        <v>0</v>
      </c>
      <c r="CK5376">
        <v>2</v>
      </c>
      <c r="CL5376">
        <v>0</v>
      </c>
      <c r="CM5376">
        <v>2</v>
      </c>
      <c r="CN5376">
        <v>0</v>
      </c>
      <c r="CO5376">
        <v>7</v>
      </c>
      <c r="CP5376" t="s">
        <v>119</v>
      </c>
      <c r="CQ5376">
        <v>343</v>
      </c>
      <c r="CR5376">
        <v>1</v>
      </c>
      <c r="CW5376">
        <v>11145656</v>
      </c>
      <c r="CY5376">
        <v>1</v>
      </c>
      <c r="CZ5376">
        <v>0</v>
      </c>
      <c r="DA5376">
        <v>1</v>
      </c>
      <c r="DB5376">
        <v>0</v>
      </c>
      <c r="DC5376">
        <v>0</v>
      </c>
      <c r="DD5376">
        <v>1</v>
      </c>
      <c r="DE5376">
        <v>0</v>
      </c>
      <c r="DF5376">
        <v>0</v>
      </c>
      <c r="DG5376">
        <v>0</v>
      </c>
      <c r="DH5376">
        <v>0</v>
      </c>
      <c r="DI5376">
        <v>0</v>
      </c>
    </row>
    <row r="5377" spans="1:113" x14ac:dyDescent="0.3">
      <c r="A5377" t="str">
        <f t="shared" si="2488"/>
        <v>05/12/2020 14:50:53.864</v>
      </c>
      <c r="C5377" t="str">
        <f t="shared" si="2468"/>
        <v>FFDFD3C0</v>
      </c>
      <c r="D5377" t="s">
        <v>131</v>
      </c>
      <c r="E5377">
        <v>10</v>
      </c>
      <c r="F5377">
        <v>2010</v>
      </c>
      <c r="G5377" t="s">
        <v>132</v>
      </c>
      <c r="J5377" t="s">
        <v>133</v>
      </c>
      <c r="K5377">
        <v>0</v>
      </c>
      <c r="L5377">
        <v>3</v>
      </c>
      <c r="M5377">
        <v>0</v>
      </c>
      <c r="N5377">
        <v>2</v>
      </c>
      <c r="O5377">
        <v>1</v>
      </c>
      <c r="P5377">
        <v>0</v>
      </c>
      <c r="Q5377">
        <v>0</v>
      </c>
      <c r="S5377" t="str">
        <f t="shared" si="2489"/>
        <v>14:51:11.695</v>
      </c>
      <c r="T5377" t="str">
        <f t="shared" si="2490"/>
        <v>14:51:11.295</v>
      </c>
      <c r="U5377" t="str">
        <f t="shared" si="2460"/>
        <v>A9808D</v>
      </c>
      <c r="V5377">
        <v>0</v>
      </c>
      <c r="W5377">
        <v>0</v>
      </c>
      <c r="X5377">
        <v>1</v>
      </c>
      <c r="Z5377">
        <v>0</v>
      </c>
      <c r="AA5377">
        <v>9</v>
      </c>
      <c r="AB5377">
        <v>3</v>
      </c>
      <c r="AC5377">
        <v>0</v>
      </c>
      <c r="AD5377">
        <v>10</v>
      </c>
      <c r="AE5377">
        <v>0</v>
      </c>
      <c r="AF5377">
        <v>3</v>
      </c>
      <c r="AG5377">
        <v>2</v>
      </c>
      <c r="AH5377">
        <v>0</v>
      </c>
      <c r="AI5377" t="s">
        <v>1191</v>
      </c>
      <c r="AJ5377">
        <v>28.222481999999999</v>
      </c>
      <c r="AK5377" t="s">
        <v>1192</v>
      </c>
      <c r="AL5377">
        <v>-82.390186999999997</v>
      </c>
      <c r="AM5377">
        <v>100</v>
      </c>
      <c r="AN5377">
        <v>1500</v>
      </c>
      <c r="AO5377" t="s">
        <v>118</v>
      </c>
      <c r="AP5377">
        <v>-77</v>
      </c>
      <c r="AQ5377">
        <v>-91</v>
      </c>
      <c r="AR5377">
        <v>-1152</v>
      </c>
      <c r="AZ5377">
        <v>1200</v>
      </c>
      <c r="BA5377">
        <v>1</v>
      </c>
      <c r="BB5377" t="str">
        <f t="shared" si="2469"/>
        <v xml:space="preserve">N711JA  </v>
      </c>
      <c r="BC5377">
        <v>1</v>
      </c>
      <c r="BE5377">
        <v>0</v>
      </c>
      <c r="BF5377">
        <v>0</v>
      </c>
      <c r="BG5377">
        <v>0</v>
      </c>
      <c r="BH5377">
        <v>1575</v>
      </c>
      <c r="BI5377">
        <v>1</v>
      </c>
      <c r="BJ5377">
        <v>1</v>
      </c>
      <c r="BK5377">
        <v>0</v>
      </c>
      <c r="BL5377">
        <v>0</v>
      </c>
      <c r="BO5377">
        <v>0</v>
      </c>
      <c r="BP5377">
        <v>0</v>
      </c>
      <c r="BW5377" t="str">
        <f t="shared" si="2491"/>
        <v>14:51:11.703</v>
      </c>
      <c r="CJ5377">
        <v>0</v>
      </c>
      <c r="CK5377">
        <v>2</v>
      </c>
      <c r="CL5377">
        <v>0</v>
      </c>
      <c r="CM5377">
        <v>2</v>
      </c>
      <c r="CN5377">
        <v>0</v>
      </c>
      <c r="CO5377">
        <v>7</v>
      </c>
      <c r="CP5377" t="s">
        <v>119</v>
      </c>
      <c r="CQ5377">
        <v>343</v>
      </c>
      <c r="CR5377">
        <v>1</v>
      </c>
      <c r="CW5377">
        <v>11145656</v>
      </c>
      <c r="CY5377">
        <v>1</v>
      </c>
      <c r="CZ5377">
        <v>0</v>
      </c>
      <c r="DA5377">
        <v>1</v>
      </c>
      <c r="DB5377">
        <v>0</v>
      </c>
      <c r="DC5377">
        <v>0</v>
      </c>
      <c r="DD5377">
        <v>1</v>
      </c>
      <c r="DE5377">
        <v>0</v>
      </c>
      <c r="DF5377">
        <v>0</v>
      </c>
      <c r="DG5377">
        <v>0</v>
      </c>
      <c r="DH5377">
        <v>0</v>
      </c>
      <c r="DI5377">
        <v>0</v>
      </c>
    </row>
    <row r="5378" spans="1:113" x14ac:dyDescent="0.3">
      <c r="A5378" t="str">
        <f t="shared" si="2488"/>
        <v>05/12/2020 14:50:53.864</v>
      </c>
      <c r="C5378" t="str">
        <f t="shared" si="2468"/>
        <v>FFDFD3C0</v>
      </c>
      <c r="D5378" t="s">
        <v>134</v>
      </c>
      <c r="E5378">
        <v>12</v>
      </c>
      <c r="H5378">
        <v>64</v>
      </c>
      <c r="I5378" t="s">
        <v>135</v>
      </c>
      <c r="J5378" t="s">
        <v>136</v>
      </c>
      <c r="K5378">
        <v>0</v>
      </c>
      <c r="L5378">
        <v>3</v>
      </c>
      <c r="M5378">
        <v>0</v>
      </c>
      <c r="N5378">
        <v>2</v>
      </c>
      <c r="O5378">
        <v>1</v>
      </c>
      <c r="P5378">
        <v>0</v>
      </c>
      <c r="Q5378">
        <v>0</v>
      </c>
      <c r="S5378" t="str">
        <f t="shared" si="2489"/>
        <v>14:51:11.695</v>
      </c>
      <c r="T5378" t="str">
        <f t="shared" si="2490"/>
        <v>14:51:11.295</v>
      </c>
      <c r="U5378" t="str">
        <f t="shared" ref="U5378:U5441" si="2492">"A9808D"</f>
        <v>A9808D</v>
      </c>
      <c r="V5378">
        <v>0</v>
      </c>
      <c r="W5378">
        <v>0</v>
      </c>
      <c r="X5378">
        <v>1</v>
      </c>
      <c r="Z5378">
        <v>0</v>
      </c>
      <c r="AA5378">
        <v>9</v>
      </c>
      <c r="AB5378">
        <v>3</v>
      </c>
      <c r="AC5378">
        <v>0</v>
      </c>
      <c r="AD5378">
        <v>10</v>
      </c>
      <c r="AE5378">
        <v>0</v>
      </c>
      <c r="AF5378">
        <v>3</v>
      </c>
      <c r="AG5378">
        <v>2</v>
      </c>
      <c r="AH5378">
        <v>0</v>
      </c>
      <c r="AI5378" t="s">
        <v>1191</v>
      </c>
      <c r="AJ5378">
        <v>28.222481999999999</v>
      </c>
      <c r="AK5378" t="s">
        <v>1192</v>
      </c>
      <c r="AL5378">
        <v>-82.390186999999997</v>
      </c>
      <c r="AM5378">
        <v>100</v>
      </c>
      <c r="AN5378">
        <v>1500</v>
      </c>
      <c r="AO5378" t="s">
        <v>118</v>
      </c>
      <c r="AP5378">
        <v>-77</v>
      </c>
      <c r="AQ5378">
        <v>-91</v>
      </c>
      <c r="AR5378">
        <v>-1152</v>
      </c>
      <c r="AZ5378">
        <v>1200</v>
      </c>
      <c r="BA5378">
        <v>1</v>
      </c>
      <c r="BB5378" t="str">
        <f t="shared" si="2469"/>
        <v xml:space="preserve">N711JA  </v>
      </c>
      <c r="BC5378">
        <v>1</v>
      </c>
      <c r="BE5378">
        <v>0</v>
      </c>
      <c r="BF5378">
        <v>0</v>
      </c>
      <c r="BG5378">
        <v>0</v>
      </c>
      <c r="BH5378">
        <v>1575</v>
      </c>
      <c r="BI5378">
        <v>1</v>
      </c>
      <c r="BJ5378">
        <v>1</v>
      </c>
      <c r="BK5378">
        <v>0</v>
      </c>
      <c r="BL5378">
        <v>0</v>
      </c>
      <c r="BO5378">
        <v>0</v>
      </c>
      <c r="BP5378">
        <v>0</v>
      </c>
      <c r="BW5378" t="str">
        <f t="shared" si="2491"/>
        <v>14:51:11.703</v>
      </c>
      <c r="CJ5378">
        <v>0</v>
      </c>
      <c r="CK5378">
        <v>2</v>
      </c>
      <c r="CL5378">
        <v>0</v>
      </c>
      <c r="CM5378">
        <v>2</v>
      </c>
      <c r="CN5378">
        <v>0</v>
      </c>
      <c r="CO5378">
        <v>7</v>
      </c>
      <c r="CP5378" t="s">
        <v>119</v>
      </c>
      <c r="CQ5378">
        <v>343</v>
      </c>
      <c r="CR5378">
        <v>1</v>
      </c>
      <c r="CW5378">
        <v>11145656</v>
      </c>
      <c r="CY5378">
        <v>1</v>
      </c>
      <c r="CZ5378">
        <v>0</v>
      </c>
      <c r="DA5378">
        <v>1</v>
      </c>
      <c r="DB5378">
        <v>0</v>
      </c>
      <c r="DC5378">
        <v>0</v>
      </c>
      <c r="DD5378">
        <v>1</v>
      </c>
      <c r="DE5378">
        <v>0</v>
      </c>
      <c r="DF5378">
        <v>0</v>
      </c>
      <c r="DG5378">
        <v>0</v>
      </c>
      <c r="DH5378">
        <v>0</v>
      </c>
      <c r="DI5378">
        <v>0</v>
      </c>
    </row>
    <row r="5379" spans="1:113" x14ac:dyDescent="0.3">
      <c r="A5379" t="str">
        <f t="shared" si="2488"/>
        <v>05/12/2020 14:50:53.864</v>
      </c>
      <c r="C5379" t="str">
        <f t="shared" si="2468"/>
        <v>FFDFD3C0</v>
      </c>
      <c r="D5379" t="s">
        <v>131</v>
      </c>
      <c r="E5379">
        <v>12</v>
      </c>
      <c r="F5379">
        <v>2012</v>
      </c>
      <c r="G5379" t="s">
        <v>137</v>
      </c>
      <c r="J5379" t="s">
        <v>133</v>
      </c>
      <c r="K5379">
        <v>0</v>
      </c>
      <c r="L5379">
        <v>3</v>
      </c>
      <c r="M5379">
        <v>0</v>
      </c>
      <c r="N5379">
        <v>2</v>
      </c>
      <c r="O5379">
        <v>1</v>
      </c>
      <c r="P5379">
        <v>0</v>
      </c>
      <c r="Q5379">
        <v>0</v>
      </c>
      <c r="S5379" t="str">
        <f t="shared" si="2489"/>
        <v>14:51:11.695</v>
      </c>
      <c r="T5379" t="str">
        <f t="shared" si="2490"/>
        <v>14:51:11.295</v>
      </c>
      <c r="U5379" t="str">
        <f t="shared" si="2492"/>
        <v>A9808D</v>
      </c>
      <c r="V5379">
        <v>0</v>
      </c>
      <c r="W5379">
        <v>0</v>
      </c>
      <c r="X5379">
        <v>1</v>
      </c>
      <c r="Z5379">
        <v>0</v>
      </c>
      <c r="AA5379">
        <v>9</v>
      </c>
      <c r="AB5379">
        <v>3</v>
      </c>
      <c r="AC5379">
        <v>0</v>
      </c>
      <c r="AD5379">
        <v>10</v>
      </c>
      <c r="AE5379">
        <v>0</v>
      </c>
      <c r="AF5379">
        <v>3</v>
      </c>
      <c r="AG5379">
        <v>2</v>
      </c>
      <c r="AH5379">
        <v>0</v>
      </c>
      <c r="AI5379" t="s">
        <v>1191</v>
      </c>
      <c r="AJ5379">
        <v>28.222481999999999</v>
      </c>
      <c r="AK5379" t="s">
        <v>1192</v>
      </c>
      <c r="AL5379">
        <v>-82.390186999999997</v>
      </c>
      <c r="AM5379">
        <v>100</v>
      </c>
      <c r="AN5379">
        <v>1500</v>
      </c>
      <c r="AO5379" t="s">
        <v>118</v>
      </c>
      <c r="AP5379">
        <v>-77</v>
      </c>
      <c r="AQ5379">
        <v>-91</v>
      </c>
      <c r="AR5379">
        <v>-1152</v>
      </c>
      <c r="AZ5379">
        <v>1200</v>
      </c>
      <c r="BA5379">
        <v>1</v>
      </c>
      <c r="BB5379" t="str">
        <f t="shared" si="2469"/>
        <v xml:space="preserve">N711JA  </v>
      </c>
      <c r="BC5379">
        <v>1</v>
      </c>
      <c r="BE5379">
        <v>0</v>
      </c>
      <c r="BF5379">
        <v>0</v>
      </c>
      <c r="BG5379">
        <v>0</v>
      </c>
      <c r="BH5379">
        <v>1575</v>
      </c>
      <c r="BI5379">
        <v>1</v>
      </c>
      <c r="BJ5379">
        <v>1</v>
      </c>
      <c r="BK5379">
        <v>0</v>
      </c>
      <c r="BL5379">
        <v>0</v>
      </c>
      <c r="BO5379">
        <v>0</v>
      </c>
      <c r="BP5379">
        <v>0</v>
      </c>
      <c r="BW5379" t="str">
        <f t="shared" si="2491"/>
        <v>14:51:11.703</v>
      </c>
      <c r="CJ5379">
        <v>0</v>
      </c>
      <c r="CK5379">
        <v>2</v>
      </c>
      <c r="CL5379">
        <v>0</v>
      </c>
      <c r="CM5379">
        <v>2</v>
      </c>
      <c r="CN5379">
        <v>0</v>
      </c>
      <c r="CO5379">
        <v>7</v>
      </c>
      <c r="CP5379" t="s">
        <v>119</v>
      </c>
      <c r="CQ5379">
        <v>343</v>
      </c>
      <c r="CR5379">
        <v>1</v>
      </c>
      <c r="CW5379">
        <v>11145656</v>
      </c>
      <c r="CY5379">
        <v>1</v>
      </c>
      <c r="CZ5379">
        <v>0</v>
      </c>
      <c r="DA5379">
        <v>1</v>
      </c>
      <c r="DB5379">
        <v>0</v>
      </c>
      <c r="DC5379">
        <v>0</v>
      </c>
      <c r="DD5379">
        <v>1</v>
      </c>
      <c r="DE5379">
        <v>0</v>
      </c>
      <c r="DF5379">
        <v>0</v>
      </c>
      <c r="DG5379">
        <v>0</v>
      </c>
      <c r="DH5379">
        <v>0</v>
      </c>
      <c r="DI5379">
        <v>0</v>
      </c>
    </row>
    <row r="5380" spans="1:113" x14ac:dyDescent="0.3">
      <c r="A5380" t="str">
        <f t="shared" si="2488"/>
        <v>05/12/2020 14:50:53.864</v>
      </c>
      <c r="C5380" t="str">
        <f t="shared" si="2468"/>
        <v>FFDFD3C0</v>
      </c>
      <c r="D5380" t="s">
        <v>113</v>
      </c>
      <c r="E5380">
        <v>3</v>
      </c>
      <c r="H5380">
        <v>164</v>
      </c>
      <c r="I5380" t="s">
        <v>114</v>
      </c>
      <c r="J5380" t="s">
        <v>115</v>
      </c>
      <c r="K5380">
        <v>0</v>
      </c>
      <c r="L5380">
        <v>3</v>
      </c>
      <c r="M5380">
        <v>0</v>
      </c>
      <c r="N5380">
        <v>2</v>
      </c>
      <c r="O5380">
        <v>1</v>
      </c>
      <c r="P5380">
        <v>0</v>
      </c>
      <c r="Q5380">
        <v>0</v>
      </c>
      <c r="S5380" t="str">
        <f t="shared" si="2489"/>
        <v>14:51:11.695</v>
      </c>
      <c r="T5380" t="str">
        <f t="shared" si="2490"/>
        <v>14:51:11.295</v>
      </c>
      <c r="U5380" t="str">
        <f t="shared" si="2492"/>
        <v>A9808D</v>
      </c>
      <c r="V5380">
        <v>0</v>
      </c>
      <c r="W5380">
        <v>0</v>
      </c>
      <c r="X5380">
        <v>1</v>
      </c>
      <c r="Z5380">
        <v>0</v>
      </c>
      <c r="AA5380">
        <v>9</v>
      </c>
      <c r="AB5380">
        <v>3</v>
      </c>
      <c r="AC5380">
        <v>0</v>
      </c>
      <c r="AD5380">
        <v>10</v>
      </c>
      <c r="AE5380">
        <v>0</v>
      </c>
      <c r="AF5380">
        <v>3</v>
      </c>
      <c r="AG5380">
        <v>2</v>
      </c>
      <c r="AH5380">
        <v>0</v>
      </c>
      <c r="AI5380" t="s">
        <v>1191</v>
      </c>
      <c r="AJ5380">
        <v>28.222481999999999</v>
      </c>
      <c r="AK5380" t="s">
        <v>1192</v>
      </c>
      <c r="AL5380">
        <v>-82.390186999999997</v>
      </c>
      <c r="AM5380">
        <v>100</v>
      </c>
      <c r="AN5380">
        <v>1500</v>
      </c>
      <c r="AO5380" t="s">
        <v>118</v>
      </c>
      <c r="AP5380">
        <v>-77</v>
      </c>
      <c r="AQ5380">
        <v>-91</v>
      </c>
      <c r="AR5380">
        <v>-1152</v>
      </c>
      <c r="AZ5380">
        <v>1200</v>
      </c>
      <c r="BA5380">
        <v>1</v>
      </c>
      <c r="BB5380" t="str">
        <f t="shared" si="2469"/>
        <v xml:space="preserve">N711JA  </v>
      </c>
      <c r="BC5380">
        <v>1</v>
      </c>
      <c r="BE5380">
        <v>0</v>
      </c>
      <c r="BF5380">
        <v>0</v>
      </c>
      <c r="BG5380">
        <v>0</v>
      </c>
      <c r="BH5380">
        <v>1575</v>
      </c>
      <c r="BI5380">
        <v>1</v>
      </c>
      <c r="BJ5380">
        <v>1</v>
      </c>
      <c r="BK5380">
        <v>0</v>
      </c>
      <c r="BL5380">
        <v>0</v>
      </c>
      <c r="BO5380">
        <v>0</v>
      </c>
      <c r="BP5380">
        <v>0</v>
      </c>
      <c r="BW5380" t="str">
        <f t="shared" si="2491"/>
        <v>14:51:11.703</v>
      </c>
      <c r="CJ5380">
        <v>0</v>
      </c>
      <c r="CK5380">
        <v>2</v>
      </c>
      <c r="CL5380">
        <v>0</v>
      </c>
      <c r="CM5380">
        <v>2</v>
      </c>
      <c r="CN5380">
        <v>0</v>
      </c>
      <c r="CO5380">
        <v>7</v>
      </c>
      <c r="CP5380" t="s">
        <v>119</v>
      </c>
      <c r="CQ5380">
        <v>343</v>
      </c>
      <c r="CR5380">
        <v>1</v>
      </c>
      <c r="CW5380">
        <v>11145656</v>
      </c>
      <c r="CY5380">
        <v>1</v>
      </c>
      <c r="CZ5380">
        <v>0</v>
      </c>
      <c r="DA5380">
        <v>1</v>
      </c>
      <c r="DB5380">
        <v>0</v>
      </c>
      <c r="DC5380">
        <v>0</v>
      </c>
      <c r="DD5380">
        <v>1</v>
      </c>
      <c r="DE5380">
        <v>0</v>
      </c>
      <c r="DF5380">
        <v>0</v>
      </c>
      <c r="DG5380">
        <v>0</v>
      </c>
      <c r="DH5380">
        <v>0</v>
      </c>
      <c r="DI5380">
        <v>0</v>
      </c>
    </row>
    <row r="5381" spans="1:113" x14ac:dyDescent="0.3">
      <c r="A5381" t="str">
        <f t="shared" si="2488"/>
        <v>05/12/2020 14:50:53.864</v>
      </c>
      <c r="C5381" t="str">
        <f t="shared" si="2468"/>
        <v>FFDFD3C0</v>
      </c>
      <c r="D5381" t="s">
        <v>138</v>
      </c>
      <c r="E5381">
        <v>2</v>
      </c>
      <c r="H5381">
        <v>8</v>
      </c>
      <c r="I5381" t="s">
        <v>139</v>
      </c>
      <c r="J5381" t="s">
        <v>136</v>
      </c>
      <c r="K5381">
        <v>0</v>
      </c>
      <c r="L5381">
        <v>3</v>
      </c>
      <c r="M5381">
        <v>0</v>
      </c>
      <c r="N5381">
        <v>2</v>
      </c>
      <c r="O5381">
        <v>1</v>
      </c>
      <c r="P5381">
        <v>0</v>
      </c>
      <c r="Q5381">
        <v>0</v>
      </c>
      <c r="S5381" t="str">
        <f t="shared" si="2489"/>
        <v>14:51:11.695</v>
      </c>
      <c r="T5381" t="str">
        <f t="shared" si="2490"/>
        <v>14:51:11.295</v>
      </c>
      <c r="U5381" t="str">
        <f t="shared" si="2492"/>
        <v>A9808D</v>
      </c>
      <c r="V5381">
        <v>0</v>
      </c>
      <c r="W5381">
        <v>0</v>
      </c>
      <c r="X5381">
        <v>1</v>
      </c>
      <c r="Z5381">
        <v>0</v>
      </c>
      <c r="AA5381">
        <v>9</v>
      </c>
      <c r="AB5381">
        <v>3</v>
      </c>
      <c r="AC5381">
        <v>0</v>
      </c>
      <c r="AD5381">
        <v>10</v>
      </c>
      <c r="AE5381">
        <v>0</v>
      </c>
      <c r="AF5381">
        <v>3</v>
      </c>
      <c r="AG5381">
        <v>2</v>
      </c>
      <c r="AH5381">
        <v>0</v>
      </c>
      <c r="AI5381" t="s">
        <v>1191</v>
      </c>
      <c r="AJ5381">
        <v>28.222481999999999</v>
      </c>
      <c r="AK5381" t="s">
        <v>1192</v>
      </c>
      <c r="AL5381">
        <v>-82.390186999999997</v>
      </c>
      <c r="AM5381">
        <v>100</v>
      </c>
      <c r="AN5381">
        <v>1500</v>
      </c>
      <c r="AO5381" t="s">
        <v>118</v>
      </c>
      <c r="AP5381">
        <v>-77</v>
      </c>
      <c r="AQ5381">
        <v>-91</v>
      </c>
      <c r="AR5381">
        <v>-1152</v>
      </c>
      <c r="AZ5381">
        <v>1200</v>
      </c>
      <c r="BA5381">
        <v>1</v>
      </c>
      <c r="BB5381" t="str">
        <f t="shared" si="2469"/>
        <v xml:space="preserve">N711JA  </v>
      </c>
      <c r="BC5381">
        <v>1</v>
      </c>
      <c r="BE5381">
        <v>0</v>
      </c>
      <c r="BF5381">
        <v>0</v>
      </c>
      <c r="BG5381">
        <v>0</v>
      </c>
      <c r="BH5381">
        <v>1575</v>
      </c>
      <c r="BI5381">
        <v>1</v>
      </c>
      <c r="BJ5381">
        <v>1</v>
      </c>
      <c r="BK5381">
        <v>0</v>
      </c>
      <c r="BL5381">
        <v>0</v>
      </c>
      <c r="BO5381">
        <v>0</v>
      </c>
      <c r="BP5381">
        <v>0</v>
      </c>
      <c r="BW5381" t="str">
        <f t="shared" si="2491"/>
        <v>14:51:11.703</v>
      </c>
      <c r="CJ5381">
        <v>0</v>
      </c>
      <c r="CK5381">
        <v>2</v>
      </c>
      <c r="CL5381">
        <v>0</v>
      </c>
      <c r="CM5381">
        <v>2</v>
      </c>
      <c r="CN5381">
        <v>0</v>
      </c>
      <c r="CO5381">
        <v>7</v>
      </c>
      <c r="CP5381" t="s">
        <v>119</v>
      </c>
      <c r="CQ5381">
        <v>343</v>
      </c>
      <c r="CR5381">
        <v>1</v>
      </c>
      <c r="CW5381">
        <v>11145656</v>
      </c>
      <c r="CY5381">
        <v>1</v>
      </c>
      <c r="CZ5381">
        <v>0</v>
      </c>
      <c r="DA5381">
        <v>1</v>
      </c>
      <c r="DB5381">
        <v>0</v>
      </c>
      <c r="DC5381">
        <v>0</v>
      </c>
      <c r="DD5381">
        <v>1</v>
      </c>
      <c r="DE5381">
        <v>0</v>
      </c>
      <c r="DF5381">
        <v>0</v>
      </c>
      <c r="DG5381">
        <v>0</v>
      </c>
      <c r="DH5381">
        <v>0</v>
      </c>
      <c r="DI5381">
        <v>0</v>
      </c>
    </row>
    <row r="5382" spans="1:113" x14ac:dyDescent="0.3">
      <c r="A5382" t="str">
        <f t="shared" si="2488"/>
        <v>05/12/2020 14:50:53.864</v>
      </c>
      <c r="C5382" t="str">
        <f t="shared" si="2468"/>
        <v>FFDFD3C0</v>
      </c>
      <c r="D5382" t="s">
        <v>138</v>
      </c>
      <c r="E5382">
        <v>3</v>
      </c>
      <c r="H5382">
        <v>9</v>
      </c>
      <c r="I5382" t="s">
        <v>140</v>
      </c>
      <c r="J5382" t="s">
        <v>136</v>
      </c>
      <c r="K5382">
        <v>0</v>
      </c>
      <c r="L5382">
        <v>3</v>
      </c>
      <c r="M5382">
        <v>0</v>
      </c>
      <c r="N5382">
        <v>2</v>
      </c>
      <c r="O5382">
        <v>1</v>
      </c>
      <c r="P5382">
        <v>0</v>
      </c>
      <c r="Q5382">
        <v>0</v>
      </c>
      <c r="S5382" t="str">
        <f t="shared" si="2489"/>
        <v>14:51:11.695</v>
      </c>
      <c r="T5382" t="str">
        <f t="shared" si="2490"/>
        <v>14:51:11.295</v>
      </c>
      <c r="U5382" t="str">
        <f t="shared" si="2492"/>
        <v>A9808D</v>
      </c>
      <c r="V5382">
        <v>0</v>
      </c>
      <c r="W5382">
        <v>0</v>
      </c>
      <c r="X5382">
        <v>1</v>
      </c>
      <c r="Z5382">
        <v>0</v>
      </c>
      <c r="AA5382">
        <v>9</v>
      </c>
      <c r="AB5382">
        <v>3</v>
      </c>
      <c r="AC5382">
        <v>0</v>
      </c>
      <c r="AD5382">
        <v>10</v>
      </c>
      <c r="AE5382">
        <v>0</v>
      </c>
      <c r="AF5382">
        <v>3</v>
      </c>
      <c r="AG5382">
        <v>2</v>
      </c>
      <c r="AH5382">
        <v>0</v>
      </c>
      <c r="AI5382" t="s">
        <v>1191</v>
      </c>
      <c r="AJ5382">
        <v>28.222481999999999</v>
      </c>
      <c r="AK5382" t="s">
        <v>1192</v>
      </c>
      <c r="AL5382">
        <v>-82.390186999999997</v>
      </c>
      <c r="AM5382">
        <v>100</v>
      </c>
      <c r="AN5382">
        <v>1500</v>
      </c>
      <c r="AO5382" t="s">
        <v>118</v>
      </c>
      <c r="AP5382">
        <v>-77</v>
      </c>
      <c r="AQ5382">
        <v>-91</v>
      </c>
      <c r="AR5382">
        <v>-1152</v>
      </c>
      <c r="AZ5382">
        <v>1200</v>
      </c>
      <c r="BA5382">
        <v>1</v>
      </c>
      <c r="BB5382" t="str">
        <f t="shared" si="2469"/>
        <v xml:space="preserve">N711JA  </v>
      </c>
      <c r="BC5382">
        <v>1</v>
      </c>
      <c r="BE5382">
        <v>0</v>
      </c>
      <c r="BF5382">
        <v>0</v>
      </c>
      <c r="BG5382">
        <v>0</v>
      </c>
      <c r="BH5382">
        <v>1575</v>
      </c>
      <c r="BI5382">
        <v>1</v>
      </c>
      <c r="BJ5382">
        <v>1</v>
      </c>
      <c r="BK5382">
        <v>0</v>
      </c>
      <c r="BL5382">
        <v>0</v>
      </c>
      <c r="BO5382">
        <v>0</v>
      </c>
      <c r="BP5382">
        <v>0</v>
      </c>
      <c r="BW5382" t="str">
        <f t="shared" si="2491"/>
        <v>14:51:11.703</v>
      </c>
      <c r="CJ5382">
        <v>0</v>
      </c>
      <c r="CK5382">
        <v>2</v>
      </c>
      <c r="CL5382">
        <v>0</v>
      </c>
      <c r="CM5382">
        <v>2</v>
      </c>
      <c r="CN5382">
        <v>0</v>
      </c>
      <c r="CO5382">
        <v>7</v>
      </c>
      <c r="CP5382" t="s">
        <v>119</v>
      </c>
      <c r="CQ5382">
        <v>343</v>
      </c>
      <c r="CR5382">
        <v>1</v>
      </c>
      <c r="CW5382">
        <v>11145656</v>
      </c>
      <c r="CY5382">
        <v>1</v>
      </c>
      <c r="CZ5382">
        <v>0</v>
      </c>
      <c r="DA5382">
        <v>1</v>
      </c>
      <c r="DB5382">
        <v>0</v>
      </c>
      <c r="DC5382">
        <v>0</v>
      </c>
      <c r="DD5382">
        <v>1</v>
      </c>
      <c r="DE5382">
        <v>0</v>
      </c>
      <c r="DF5382">
        <v>0</v>
      </c>
      <c r="DG5382">
        <v>0</v>
      </c>
      <c r="DH5382">
        <v>0</v>
      </c>
      <c r="DI5382">
        <v>0</v>
      </c>
    </row>
    <row r="5383" spans="1:113" x14ac:dyDescent="0.3">
      <c r="A5383" t="str">
        <f t="shared" ref="A5383:A5390" si="2493">"05/12/2020 14:50:54.928"</f>
        <v>05/12/2020 14:50:54.928</v>
      </c>
      <c r="C5383" t="str">
        <f t="shared" si="2468"/>
        <v>FFDFD3C0</v>
      </c>
      <c r="D5383" t="s">
        <v>131</v>
      </c>
      <c r="E5383">
        <v>10</v>
      </c>
      <c r="F5383">
        <v>2010</v>
      </c>
      <c r="G5383" t="s">
        <v>132</v>
      </c>
      <c r="J5383" t="s">
        <v>133</v>
      </c>
      <c r="K5383">
        <v>0</v>
      </c>
      <c r="L5383">
        <v>3</v>
      </c>
      <c r="M5383">
        <v>0</v>
      </c>
      <c r="N5383">
        <v>2</v>
      </c>
      <c r="O5383">
        <v>1</v>
      </c>
      <c r="P5383">
        <v>0</v>
      </c>
      <c r="Q5383">
        <v>0</v>
      </c>
      <c r="S5383" t="str">
        <f t="shared" ref="S5383:T5390" si="2494">"14:51:12.766"</f>
        <v>14:51:12.766</v>
      </c>
      <c r="T5383" t="str">
        <f t="shared" si="2494"/>
        <v>14:51:12.766</v>
      </c>
      <c r="U5383" t="str">
        <f t="shared" si="2492"/>
        <v>A9808D</v>
      </c>
      <c r="V5383">
        <v>0</v>
      </c>
      <c r="W5383">
        <v>0</v>
      </c>
      <c r="X5383">
        <v>1</v>
      </c>
      <c r="Z5383">
        <v>0</v>
      </c>
      <c r="AA5383">
        <v>9</v>
      </c>
      <c r="AB5383">
        <v>3</v>
      </c>
      <c r="AC5383">
        <v>0</v>
      </c>
      <c r="AD5383">
        <v>10</v>
      </c>
      <c r="AE5383">
        <v>0</v>
      </c>
      <c r="AF5383">
        <v>3</v>
      </c>
      <c r="AG5383">
        <v>2</v>
      </c>
      <c r="AH5383">
        <v>0</v>
      </c>
      <c r="AI5383" t="s">
        <v>1193</v>
      </c>
      <c r="AJ5383">
        <v>28.222010000000001</v>
      </c>
      <c r="AK5383" t="s">
        <v>1194</v>
      </c>
      <c r="AL5383">
        <v>-82.390636999999998</v>
      </c>
      <c r="AM5383">
        <v>100</v>
      </c>
      <c r="AN5383">
        <v>1500</v>
      </c>
      <c r="AO5383" t="s">
        <v>118</v>
      </c>
      <c r="AP5383">
        <v>-73</v>
      </c>
      <c r="AQ5383">
        <v>-94</v>
      </c>
      <c r="AR5383">
        <v>-1152</v>
      </c>
      <c r="AZ5383">
        <v>1200</v>
      </c>
      <c r="BA5383">
        <v>1</v>
      </c>
      <c r="BB5383" t="str">
        <f t="shared" si="2469"/>
        <v xml:space="preserve">N711JA  </v>
      </c>
      <c r="BC5383">
        <v>1</v>
      </c>
      <c r="BE5383">
        <v>0</v>
      </c>
      <c r="BF5383">
        <v>0</v>
      </c>
      <c r="BG5383">
        <v>0</v>
      </c>
      <c r="BH5383">
        <v>1550</v>
      </c>
      <c r="BI5383">
        <v>1</v>
      </c>
      <c r="BJ5383">
        <v>1</v>
      </c>
      <c r="BK5383">
        <v>0</v>
      </c>
      <c r="BL5383">
        <v>0</v>
      </c>
      <c r="BO5383">
        <v>0</v>
      </c>
      <c r="BP5383">
        <v>0</v>
      </c>
      <c r="BW5383" t="str">
        <f t="shared" ref="BW5383:BW5390" si="2495">"14:51:12.769"</f>
        <v>14:51:12.769</v>
      </c>
      <c r="CJ5383">
        <v>0</v>
      </c>
      <c r="CK5383">
        <v>2</v>
      </c>
      <c r="CL5383">
        <v>0</v>
      </c>
      <c r="CM5383">
        <v>2</v>
      </c>
      <c r="CN5383">
        <v>0</v>
      </c>
      <c r="CO5383">
        <v>7</v>
      </c>
      <c r="CP5383" t="s">
        <v>119</v>
      </c>
      <c r="CQ5383">
        <v>343</v>
      </c>
      <c r="CR5383">
        <v>1</v>
      </c>
      <c r="CW5383">
        <v>11146703</v>
      </c>
      <c r="CY5383">
        <v>1</v>
      </c>
      <c r="CZ5383">
        <v>0</v>
      </c>
      <c r="DA5383">
        <v>0</v>
      </c>
      <c r="DB5383">
        <v>0</v>
      </c>
      <c r="DC5383">
        <v>0</v>
      </c>
      <c r="DD5383">
        <v>1</v>
      </c>
      <c r="DE5383">
        <v>0</v>
      </c>
      <c r="DF5383">
        <v>0</v>
      </c>
      <c r="DG5383">
        <v>0</v>
      </c>
      <c r="DH5383">
        <v>0</v>
      </c>
      <c r="DI5383">
        <v>0</v>
      </c>
    </row>
    <row r="5384" spans="1:113" x14ac:dyDescent="0.3">
      <c r="A5384" t="str">
        <f t="shared" si="2493"/>
        <v>05/12/2020 14:50:54.928</v>
      </c>
      <c r="C5384" t="str">
        <f t="shared" si="2468"/>
        <v>FFDFD3C0</v>
      </c>
      <c r="D5384" t="s">
        <v>126</v>
      </c>
      <c r="E5384">
        <v>7</v>
      </c>
      <c r="F5384">
        <v>1007</v>
      </c>
      <c r="G5384" t="s">
        <v>127</v>
      </c>
      <c r="J5384" t="s">
        <v>128</v>
      </c>
      <c r="K5384">
        <v>0</v>
      </c>
      <c r="L5384">
        <v>3</v>
      </c>
      <c r="M5384">
        <v>0</v>
      </c>
      <c r="N5384">
        <v>2</v>
      </c>
      <c r="O5384">
        <v>1</v>
      </c>
      <c r="P5384">
        <v>0</v>
      </c>
      <c r="Q5384">
        <v>0</v>
      </c>
      <c r="S5384" t="str">
        <f t="shared" si="2494"/>
        <v>14:51:12.766</v>
      </c>
      <c r="T5384" t="str">
        <f t="shared" si="2494"/>
        <v>14:51:12.766</v>
      </c>
      <c r="U5384" t="str">
        <f t="shared" si="2492"/>
        <v>A9808D</v>
      </c>
      <c r="V5384">
        <v>0</v>
      </c>
      <c r="W5384">
        <v>0</v>
      </c>
      <c r="X5384">
        <v>1</v>
      </c>
      <c r="Z5384">
        <v>0</v>
      </c>
      <c r="AA5384">
        <v>9</v>
      </c>
      <c r="AB5384">
        <v>3</v>
      </c>
      <c r="AC5384">
        <v>0</v>
      </c>
      <c r="AD5384">
        <v>10</v>
      </c>
      <c r="AE5384">
        <v>0</v>
      </c>
      <c r="AF5384">
        <v>3</v>
      </c>
      <c r="AG5384">
        <v>2</v>
      </c>
      <c r="AH5384">
        <v>0</v>
      </c>
      <c r="AI5384" t="s">
        <v>1193</v>
      </c>
      <c r="AJ5384">
        <v>28.222010000000001</v>
      </c>
      <c r="AK5384" t="s">
        <v>1194</v>
      </c>
      <c r="AL5384">
        <v>-82.390636999999998</v>
      </c>
      <c r="AM5384">
        <v>100</v>
      </c>
      <c r="AN5384">
        <v>1500</v>
      </c>
      <c r="AO5384" t="s">
        <v>118</v>
      </c>
      <c r="AP5384">
        <v>-73</v>
      </c>
      <c r="AQ5384">
        <v>-94</v>
      </c>
      <c r="AR5384">
        <v>-1152</v>
      </c>
      <c r="AZ5384">
        <v>1200</v>
      </c>
      <c r="BA5384">
        <v>1</v>
      </c>
      <c r="BB5384" t="str">
        <f t="shared" si="2469"/>
        <v xml:space="preserve">N711JA  </v>
      </c>
      <c r="BC5384">
        <v>1</v>
      </c>
      <c r="BE5384">
        <v>0</v>
      </c>
      <c r="BF5384">
        <v>0</v>
      </c>
      <c r="BG5384">
        <v>0</v>
      </c>
      <c r="BH5384">
        <v>1550</v>
      </c>
      <c r="BI5384">
        <v>1</v>
      </c>
      <c r="BJ5384">
        <v>1</v>
      </c>
      <c r="BK5384">
        <v>0</v>
      </c>
      <c r="BL5384">
        <v>0</v>
      </c>
      <c r="BO5384">
        <v>0</v>
      </c>
      <c r="BP5384">
        <v>0</v>
      </c>
      <c r="BW5384" t="str">
        <f t="shared" si="2495"/>
        <v>14:51:12.769</v>
      </c>
      <c r="CJ5384">
        <v>0</v>
      </c>
      <c r="CK5384">
        <v>2</v>
      </c>
      <c r="CL5384">
        <v>0</v>
      </c>
      <c r="CM5384">
        <v>2</v>
      </c>
      <c r="CN5384">
        <v>0</v>
      </c>
      <c r="CO5384">
        <v>7</v>
      </c>
      <c r="CP5384" t="s">
        <v>119</v>
      </c>
      <c r="CQ5384">
        <v>343</v>
      </c>
      <c r="CR5384">
        <v>1</v>
      </c>
      <c r="CW5384">
        <v>11146703</v>
      </c>
      <c r="CY5384">
        <v>1</v>
      </c>
      <c r="CZ5384">
        <v>0</v>
      </c>
      <c r="DA5384">
        <v>1</v>
      </c>
      <c r="DB5384">
        <v>0</v>
      </c>
      <c r="DC5384">
        <v>0</v>
      </c>
      <c r="DD5384">
        <v>1</v>
      </c>
      <c r="DE5384">
        <v>0</v>
      </c>
      <c r="DF5384">
        <v>0</v>
      </c>
      <c r="DG5384">
        <v>0</v>
      </c>
      <c r="DH5384">
        <v>0</v>
      </c>
      <c r="DI5384">
        <v>0</v>
      </c>
    </row>
    <row r="5385" spans="1:113" x14ac:dyDescent="0.3">
      <c r="A5385" t="str">
        <f t="shared" si="2493"/>
        <v>05/12/2020 14:50:54.928</v>
      </c>
      <c r="C5385" t="str">
        <f t="shared" si="2468"/>
        <v>FFDFD3C0</v>
      </c>
      <c r="D5385" t="s">
        <v>131</v>
      </c>
      <c r="E5385">
        <v>12</v>
      </c>
      <c r="F5385">
        <v>2012</v>
      </c>
      <c r="G5385" t="s">
        <v>137</v>
      </c>
      <c r="J5385" t="s">
        <v>133</v>
      </c>
      <c r="K5385">
        <v>0</v>
      </c>
      <c r="L5385">
        <v>3</v>
      </c>
      <c r="M5385">
        <v>0</v>
      </c>
      <c r="N5385">
        <v>2</v>
      </c>
      <c r="O5385">
        <v>1</v>
      </c>
      <c r="P5385">
        <v>0</v>
      </c>
      <c r="Q5385">
        <v>0</v>
      </c>
      <c r="S5385" t="str">
        <f t="shared" si="2494"/>
        <v>14:51:12.766</v>
      </c>
      <c r="T5385" t="str">
        <f t="shared" si="2494"/>
        <v>14:51:12.766</v>
      </c>
      <c r="U5385" t="str">
        <f t="shared" si="2492"/>
        <v>A9808D</v>
      </c>
      <c r="V5385">
        <v>0</v>
      </c>
      <c r="W5385">
        <v>0</v>
      </c>
      <c r="X5385">
        <v>1</v>
      </c>
      <c r="Z5385">
        <v>0</v>
      </c>
      <c r="AA5385">
        <v>9</v>
      </c>
      <c r="AB5385">
        <v>3</v>
      </c>
      <c r="AC5385">
        <v>0</v>
      </c>
      <c r="AD5385">
        <v>10</v>
      </c>
      <c r="AE5385">
        <v>0</v>
      </c>
      <c r="AF5385">
        <v>3</v>
      </c>
      <c r="AG5385">
        <v>2</v>
      </c>
      <c r="AH5385">
        <v>0</v>
      </c>
      <c r="AI5385" t="s">
        <v>1193</v>
      </c>
      <c r="AJ5385">
        <v>28.222010000000001</v>
      </c>
      <c r="AK5385" t="s">
        <v>1194</v>
      </c>
      <c r="AL5385">
        <v>-82.390636999999998</v>
      </c>
      <c r="AM5385">
        <v>100</v>
      </c>
      <c r="AN5385">
        <v>1500</v>
      </c>
      <c r="AO5385" t="s">
        <v>118</v>
      </c>
      <c r="AP5385">
        <v>-73</v>
      </c>
      <c r="AQ5385">
        <v>-94</v>
      </c>
      <c r="AR5385">
        <v>-1152</v>
      </c>
      <c r="AZ5385">
        <v>1200</v>
      </c>
      <c r="BA5385">
        <v>1</v>
      </c>
      <c r="BB5385" t="str">
        <f t="shared" si="2469"/>
        <v xml:space="preserve">N711JA  </v>
      </c>
      <c r="BC5385">
        <v>1</v>
      </c>
      <c r="BE5385">
        <v>0</v>
      </c>
      <c r="BF5385">
        <v>0</v>
      </c>
      <c r="BG5385">
        <v>0</v>
      </c>
      <c r="BH5385">
        <v>1550</v>
      </c>
      <c r="BI5385">
        <v>1</v>
      </c>
      <c r="BJ5385">
        <v>1</v>
      </c>
      <c r="BK5385">
        <v>0</v>
      </c>
      <c r="BL5385">
        <v>0</v>
      </c>
      <c r="BO5385">
        <v>0</v>
      </c>
      <c r="BP5385">
        <v>0</v>
      </c>
      <c r="BW5385" t="str">
        <f t="shared" si="2495"/>
        <v>14:51:12.769</v>
      </c>
      <c r="CJ5385">
        <v>0</v>
      </c>
      <c r="CK5385">
        <v>2</v>
      </c>
      <c r="CL5385">
        <v>0</v>
      </c>
      <c r="CM5385">
        <v>2</v>
      </c>
      <c r="CN5385">
        <v>0</v>
      </c>
      <c r="CO5385">
        <v>7</v>
      </c>
      <c r="CP5385" t="s">
        <v>119</v>
      </c>
      <c r="CQ5385">
        <v>343</v>
      </c>
      <c r="CR5385">
        <v>1</v>
      </c>
      <c r="CW5385">
        <v>11146703</v>
      </c>
      <c r="CY5385">
        <v>1</v>
      </c>
      <c r="CZ5385">
        <v>0</v>
      </c>
      <c r="DA5385">
        <v>1</v>
      </c>
      <c r="DB5385">
        <v>0</v>
      </c>
      <c r="DC5385">
        <v>0</v>
      </c>
      <c r="DD5385">
        <v>1</v>
      </c>
      <c r="DE5385">
        <v>0</v>
      </c>
      <c r="DF5385">
        <v>0</v>
      </c>
      <c r="DG5385">
        <v>0</v>
      </c>
      <c r="DH5385">
        <v>0</v>
      </c>
      <c r="DI5385">
        <v>0</v>
      </c>
    </row>
    <row r="5386" spans="1:113" x14ac:dyDescent="0.3">
      <c r="A5386" t="str">
        <f t="shared" si="2493"/>
        <v>05/12/2020 14:50:54.928</v>
      </c>
      <c r="C5386" t="str">
        <f t="shared" si="2468"/>
        <v>FFDFD3C0</v>
      </c>
      <c r="D5386" t="s">
        <v>134</v>
      </c>
      <c r="E5386">
        <v>12</v>
      </c>
      <c r="H5386">
        <v>64</v>
      </c>
      <c r="I5386" t="s">
        <v>135</v>
      </c>
      <c r="J5386" t="s">
        <v>136</v>
      </c>
      <c r="K5386">
        <v>0</v>
      </c>
      <c r="L5386">
        <v>3</v>
      </c>
      <c r="M5386">
        <v>0</v>
      </c>
      <c r="N5386">
        <v>2</v>
      </c>
      <c r="O5386">
        <v>1</v>
      </c>
      <c r="P5386">
        <v>0</v>
      </c>
      <c r="Q5386">
        <v>0</v>
      </c>
      <c r="S5386" t="str">
        <f t="shared" si="2494"/>
        <v>14:51:12.766</v>
      </c>
      <c r="T5386" t="str">
        <f t="shared" si="2494"/>
        <v>14:51:12.766</v>
      </c>
      <c r="U5386" t="str">
        <f t="shared" si="2492"/>
        <v>A9808D</v>
      </c>
      <c r="V5386">
        <v>0</v>
      </c>
      <c r="W5386">
        <v>0</v>
      </c>
      <c r="X5386">
        <v>1</v>
      </c>
      <c r="Z5386">
        <v>0</v>
      </c>
      <c r="AA5386">
        <v>9</v>
      </c>
      <c r="AB5386">
        <v>3</v>
      </c>
      <c r="AC5386">
        <v>0</v>
      </c>
      <c r="AD5386">
        <v>10</v>
      </c>
      <c r="AE5386">
        <v>0</v>
      </c>
      <c r="AF5386">
        <v>3</v>
      </c>
      <c r="AG5386">
        <v>2</v>
      </c>
      <c r="AH5386">
        <v>0</v>
      </c>
      <c r="AI5386" t="s">
        <v>1193</v>
      </c>
      <c r="AJ5386">
        <v>28.222010000000001</v>
      </c>
      <c r="AK5386" t="s">
        <v>1194</v>
      </c>
      <c r="AL5386">
        <v>-82.390636999999998</v>
      </c>
      <c r="AM5386">
        <v>100</v>
      </c>
      <c r="AN5386">
        <v>1500</v>
      </c>
      <c r="AO5386" t="s">
        <v>118</v>
      </c>
      <c r="AP5386">
        <v>-73</v>
      </c>
      <c r="AQ5386">
        <v>-94</v>
      </c>
      <c r="AR5386">
        <v>-1152</v>
      </c>
      <c r="AZ5386">
        <v>1200</v>
      </c>
      <c r="BA5386">
        <v>1</v>
      </c>
      <c r="BB5386" t="str">
        <f t="shared" si="2469"/>
        <v xml:space="preserve">N711JA  </v>
      </c>
      <c r="BC5386">
        <v>1</v>
      </c>
      <c r="BE5386">
        <v>0</v>
      </c>
      <c r="BF5386">
        <v>0</v>
      </c>
      <c r="BG5386">
        <v>0</v>
      </c>
      <c r="BH5386">
        <v>1550</v>
      </c>
      <c r="BI5386">
        <v>1</v>
      </c>
      <c r="BJ5386">
        <v>1</v>
      </c>
      <c r="BK5386">
        <v>0</v>
      </c>
      <c r="BL5386">
        <v>0</v>
      </c>
      <c r="BO5386">
        <v>0</v>
      </c>
      <c r="BP5386">
        <v>0</v>
      </c>
      <c r="BW5386" t="str">
        <f t="shared" si="2495"/>
        <v>14:51:12.769</v>
      </c>
      <c r="CJ5386">
        <v>0</v>
      </c>
      <c r="CK5386">
        <v>2</v>
      </c>
      <c r="CL5386">
        <v>0</v>
      </c>
      <c r="CM5386">
        <v>2</v>
      </c>
      <c r="CN5386">
        <v>0</v>
      </c>
      <c r="CO5386">
        <v>7</v>
      </c>
      <c r="CP5386" t="s">
        <v>119</v>
      </c>
      <c r="CQ5386">
        <v>343</v>
      </c>
      <c r="CR5386">
        <v>1</v>
      </c>
      <c r="CW5386">
        <v>11146703</v>
      </c>
      <c r="CY5386">
        <v>1</v>
      </c>
      <c r="CZ5386">
        <v>0</v>
      </c>
      <c r="DA5386">
        <v>1</v>
      </c>
      <c r="DB5386">
        <v>0</v>
      </c>
      <c r="DC5386">
        <v>0</v>
      </c>
      <c r="DD5386">
        <v>1</v>
      </c>
      <c r="DE5386">
        <v>0</v>
      </c>
      <c r="DF5386">
        <v>0</v>
      </c>
      <c r="DG5386">
        <v>0</v>
      </c>
      <c r="DH5386">
        <v>0</v>
      </c>
      <c r="DI5386">
        <v>0</v>
      </c>
    </row>
    <row r="5387" spans="1:113" x14ac:dyDescent="0.3">
      <c r="A5387" t="str">
        <f t="shared" si="2493"/>
        <v>05/12/2020 14:50:54.928</v>
      </c>
      <c r="C5387" t="str">
        <f t="shared" si="2468"/>
        <v>FFDFD3C0</v>
      </c>
      <c r="D5387" t="s">
        <v>113</v>
      </c>
      <c r="E5387">
        <v>3</v>
      </c>
      <c r="H5387">
        <v>164</v>
      </c>
      <c r="I5387" t="s">
        <v>114</v>
      </c>
      <c r="J5387" t="s">
        <v>115</v>
      </c>
      <c r="K5387">
        <v>0</v>
      </c>
      <c r="L5387">
        <v>3</v>
      </c>
      <c r="M5387">
        <v>0</v>
      </c>
      <c r="N5387">
        <v>2</v>
      </c>
      <c r="O5387">
        <v>1</v>
      </c>
      <c r="P5387">
        <v>0</v>
      </c>
      <c r="Q5387">
        <v>0</v>
      </c>
      <c r="S5387" t="str">
        <f t="shared" si="2494"/>
        <v>14:51:12.766</v>
      </c>
      <c r="T5387" t="str">
        <f t="shared" si="2494"/>
        <v>14:51:12.766</v>
      </c>
      <c r="U5387" t="str">
        <f t="shared" si="2492"/>
        <v>A9808D</v>
      </c>
      <c r="V5387">
        <v>0</v>
      </c>
      <c r="W5387">
        <v>0</v>
      </c>
      <c r="X5387">
        <v>1</v>
      </c>
      <c r="Z5387">
        <v>0</v>
      </c>
      <c r="AA5387">
        <v>9</v>
      </c>
      <c r="AB5387">
        <v>3</v>
      </c>
      <c r="AC5387">
        <v>0</v>
      </c>
      <c r="AD5387">
        <v>10</v>
      </c>
      <c r="AE5387">
        <v>0</v>
      </c>
      <c r="AF5387">
        <v>3</v>
      </c>
      <c r="AG5387">
        <v>2</v>
      </c>
      <c r="AH5387">
        <v>0</v>
      </c>
      <c r="AI5387" t="s">
        <v>1193</v>
      </c>
      <c r="AJ5387">
        <v>28.222010000000001</v>
      </c>
      <c r="AK5387" t="s">
        <v>1194</v>
      </c>
      <c r="AL5387">
        <v>-82.390636999999998</v>
      </c>
      <c r="AM5387">
        <v>100</v>
      </c>
      <c r="AN5387">
        <v>1500</v>
      </c>
      <c r="AO5387" t="s">
        <v>118</v>
      </c>
      <c r="AP5387">
        <v>-73</v>
      </c>
      <c r="AQ5387">
        <v>-94</v>
      </c>
      <c r="AR5387">
        <v>-1152</v>
      </c>
      <c r="AZ5387">
        <v>1200</v>
      </c>
      <c r="BA5387">
        <v>1</v>
      </c>
      <c r="BB5387" t="str">
        <f t="shared" si="2469"/>
        <v xml:space="preserve">N711JA  </v>
      </c>
      <c r="BC5387">
        <v>1</v>
      </c>
      <c r="BE5387">
        <v>0</v>
      </c>
      <c r="BF5387">
        <v>0</v>
      </c>
      <c r="BG5387">
        <v>0</v>
      </c>
      <c r="BH5387">
        <v>1550</v>
      </c>
      <c r="BI5387">
        <v>1</v>
      </c>
      <c r="BJ5387">
        <v>1</v>
      </c>
      <c r="BK5387">
        <v>0</v>
      </c>
      <c r="BL5387">
        <v>0</v>
      </c>
      <c r="BO5387">
        <v>0</v>
      </c>
      <c r="BP5387">
        <v>0</v>
      </c>
      <c r="BW5387" t="str">
        <f t="shared" si="2495"/>
        <v>14:51:12.769</v>
      </c>
      <c r="CJ5387">
        <v>0</v>
      </c>
      <c r="CK5387">
        <v>2</v>
      </c>
      <c r="CL5387">
        <v>0</v>
      </c>
      <c r="CM5387">
        <v>2</v>
      </c>
      <c r="CN5387">
        <v>0</v>
      </c>
      <c r="CO5387">
        <v>7</v>
      </c>
      <c r="CP5387" t="s">
        <v>119</v>
      </c>
      <c r="CQ5387">
        <v>343</v>
      </c>
      <c r="CR5387">
        <v>1</v>
      </c>
      <c r="CW5387">
        <v>11146703</v>
      </c>
      <c r="CY5387">
        <v>1</v>
      </c>
      <c r="CZ5387">
        <v>0</v>
      </c>
      <c r="DA5387">
        <v>1</v>
      </c>
      <c r="DB5387">
        <v>0</v>
      </c>
      <c r="DC5387">
        <v>0</v>
      </c>
      <c r="DD5387">
        <v>1</v>
      </c>
      <c r="DE5387">
        <v>0</v>
      </c>
      <c r="DF5387">
        <v>0</v>
      </c>
      <c r="DG5387">
        <v>0</v>
      </c>
      <c r="DH5387">
        <v>0</v>
      </c>
      <c r="DI5387">
        <v>0</v>
      </c>
    </row>
    <row r="5388" spans="1:113" x14ac:dyDescent="0.3">
      <c r="A5388" t="str">
        <f t="shared" si="2493"/>
        <v>05/12/2020 14:50:54.928</v>
      </c>
      <c r="C5388" t="str">
        <f t="shared" si="2468"/>
        <v>FFDFD3C0</v>
      </c>
      <c r="D5388" t="s">
        <v>138</v>
      </c>
      <c r="E5388">
        <v>2</v>
      </c>
      <c r="H5388">
        <v>8</v>
      </c>
      <c r="I5388" t="s">
        <v>139</v>
      </c>
      <c r="J5388" t="s">
        <v>136</v>
      </c>
      <c r="K5388">
        <v>0</v>
      </c>
      <c r="L5388">
        <v>3</v>
      </c>
      <c r="M5388">
        <v>0</v>
      </c>
      <c r="N5388">
        <v>2</v>
      </c>
      <c r="O5388">
        <v>1</v>
      </c>
      <c r="P5388">
        <v>0</v>
      </c>
      <c r="Q5388">
        <v>0</v>
      </c>
      <c r="S5388" t="str">
        <f t="shared" si="2494"/>
        <v>14:51:12.766</v>
      </c>
      <c r="T5388" t="str">
        <f t="shared" si="2494"/>
        <v>14:51:12.766</v>
      </c>
      <c r="U5388" t="str">
        <f t="shared" si="2492"/>
        <v>A9808D</v>
      </c>
      <c r="V5388">
        <v>0</v>
      </c>
      <c r="W5388">
        <v>0</v>
      </c>
      <c r="X5388">
        <v>1</v>
      </c>
      <c r="Z5388">
        <v>0</v>
      </c>
      <c r="AA5388">
        <v>9</v>
      </c>
      <c r="AB5388">
        <v>3</v>
      </c>
      <c r="AC5388">
        <v>0</v>
      </c>
      <c r="AD5388">
        <v>10</v>
      </c>
      <c r="AE5388">
        <v>0</v>
      </c>
      <c r="AF5388">
        <v>3</v>
      </c>
      <c r="AG5388">
        <v>2</v>
      </c>
      <c r="AH5388">
        <v>0</v>
      </c>
      <c r="AI5388" t="s">
        <v>1193</v>
      </c>
      <c r="AJ5388">
        <v>28.222010000000001</v>
      </c>
      <c r="AK5388" t="s">
        <v>1194</v>
      </c>
      <c r="AL5388">
        <v>-82.390636999999998</v>
      </c>
      <c r="AM5388">
        <v>100</v>
      </c>
      <c r="AN5388">
        <v>1500</v>
      </c>
      <c r="AO5388" t="s">
        <v>118</v>
      </c>
      <c r="AP5388">
        <v>-73</v>
      </c>
      <c r="AQ5388">
        <v>-94</v>
      </c>
      <c r="AR5388">
        <v>-1152</v>
      </c>
      <c r="AZ5388">
        <v>1200</v>
      </c>
      <c r="BA5388">
        <v>1</v>
      </c>
      <c r="BB5388" t="str">
        <f t="shared" si="2469"/>
        <v xml:space="preserve">N711JA  </v>
      </c>
      <c r="BC5388">
        <v>1</v>
      </c>
      <c r="BE5388">
        <v>0</v>
      </c>
      <c r="BF5388">
        <v>0</v>
      </c>
      <c r="BG5388">
        <v>0</v>
      </c>
      <c r="BH5388">
        <v>1550</v>
      </c>
      <c r="BI5388">
        <v>1</v>
      </c>
      <c r="BJ5388">
        <v>1</v>
      </c>
      <c r="BK5388">
        <v>0</v>
      </c>
      <c r="BL5388">
        <v>0</v>
      </c>
      <c r="BO5388">
        <v>0</v>
      </c>
      <c r="BP5388">
        <v>0</v>
      </c>
      <c r="BW5388" t="str">
        <f t="shared" si="2495"/>
        <v>14:51:12.769</v>
      </c>
      <c r="CJ5388">
        <v>0</v>
      </c>
      <c r="CK5388">
        <v>2</v>
      </c>
      <c r="CL5388">
        <v>0</v>
      </c>
      <c r="CM5388">
        <v>2</v>
      </c>
      <c r="CN5388">
        <v>0</v>
      </c>
      <c r="CO5388">
        <v>7</v>
      </c>
      <c r="CP5388" t="s">
        <v>119</v>
      </c>
      <c r="CQ5388">
        <v>343</v>
      </c>
      <c r="CR5388">
        <v>1</v>
      </c>
      <c r="CW5388">
        <v>11146703</v>
      </c>
      <c r="CY5388">
        <v>1</v>
      </c>
      <c r="CZ5388">
        <v>0</v>
      </c>
      <c r="DA5388">
        <v>1</v>
      </c>
      <c r="DB5388">
        <v>0</v>
      </c>
      <c r="DC5388">
        <v>0</v>
      </c>
      <c r="DD5388">
        <v>1</v>
      </c>
      <c r="DE5388">
        <v>0</v>
      </c>
      <c r="DF5388">
        <v>0</v>
      </c>
      <c r="DG5388">
        <v>0</v>
      </c>
      <c r="DH5388">
        <v>0</v>
      </c>
      <c r="DI5388">
        <v>0</v>
      </c>
    </row>
    <row r="5389" spans="1:113" x14ac:dyDescent="0.3">
      <c r="A5389" t="str">
        <f t="shared" si="2493"/>
        <v>05/12/2020 14:50:54.928</v>
      </c>
      <c r="C5389" t="str">
        <f t="shared" si="2468"/>
        <v>FFDFD3C0</v>
      </c>
      <c r="D5389" t="s">
        <v>138</v>
      </c>
      <c r="E5389">
        <v>3</v>
      </c>
      <c r="H5389">
        <v>9</v>
      </c>
      <c r="I5389" t="s">
        <v>140</v>
      </c>
      <c r="J5389" t="s">
        <v>136</v>
      </c>
      <c r="K5389">
        <v>0</v>
      </c>
      <c r="L5389">
        <v>3</v>
      </c>
      <c r="M5389">
        <v>0</v>
      </c>
      <c r="N5389">
        <v>2</v>
      </c>
      <c r="O5389">
        <v>1</v>
      </c>
      <c r="P5389">
        <v>0</v>
      </c>
      <c r="Q5389">
        <v>0</v>
      </c>
      <c r="S5389" t="str">
        <f t="shared" si="2494"/>
        <v>14:51:12.766</v>
      </c>
      <c r="T5389" t="str">
        <f t="shared" si="2494"/>
        <v>14:51:12.766</v>
      </c>
      <c r="U5389" t="str">
        <f t="shared" si="2492"/>
        <v>A9808D</v>
      </c>
      <c r="V5389">
        <v>0</v>
      </c>
      <c r="W5389">
        <v>0</v>
      </c>
      <c r="X5389">
        <v>1</v>
      </c>
      <c r="Z5389">
        <v>0</v>
      </c>
      <c r="AA5389">
        <v>9</v>
      </c>
      <c r="AB5389">
        <v>3</v>
      </c>
      <c r="AC5389">
        <v>0</v>
      </c>
      <c r="AD5389">
        <v>10</v>
      </c>
      <c r="AE5389">
        <v>0</v>
      </c>
      <c r="AF5389">
        <v>3</v>
      </c>
      <c r="AG5389">
        <v>2</v>
      </c>
      <c r="AH5389">
        <v>0</v>
      </c>
      <c r="AI5389" t="s">
        <v>1193</v>
      </c>
      <c r="AJ5389">
        <v>28.222010000000001</v>
      </c>
      <c r="AK5389" t="s">
        <v>1194</v>
      </c>
      <c r="AL5389">
        <v>-82.390636999999998</v>
      </c>
      <c r="AM5389">
        <v>100</v>
      </c>
      <c r="AN5389">
        <v>1500</v>
      </c>
      <c r="AO5389" t="s">
        <v>118</v>
      </c>
      <c r="AP5389">
        <v>-73</v>
      </c>
      <c r="AQ5389">
        <v>-94</v>
      </c>
      <c r="AR5389">
        <v>-1152</v>
      </c>
      <c r="AZ5389">
        <v>1200</v>
      </c>
      <c r="BA5389">
        <v>1</v>
      </c>
      <c r="BB5389" t="str">
        <f t="shared" si="2469"/>
        <v xml:space="preserve">N711JA  </v>
      </c>
      <c r="BC5389">
        <v>1</v>
      </c>
      <c r="BE5389">
        <v>0</v>
      </c>
      <c r="BF5389">
        <v>0</v>
      </c>
      <c r="BG5389">
        <v>0</v>
      </c>
      <c r="BH5389">
        <v>1550</v>
      </c>
      <c r="BI5389">
        <v>1</v>
      </c>
      <c r="BJ5389">
        <v>1</v>
      </c>
      <c r="BK5389">
        <v>0</v>
      </c>
      <c r="BL5389">
        <v>0</v>
      </c>
      <c r="BO5389">
        <v>0</v>
      </c>
      <c r="BP5389">
        <v>0</v>
      </c>
      <c r="BW5389" t="str">
        <f t="shared" si="2495"/>
        <v>14:51:12.769</v>
      </c>
      <c r="CJ5389">
        <v>0</v>
      </c>
      <c r="CK5389">
        <v>2</v>
      </c>
      <c r="CL5389">
        <v>0</v>
      </c>
      <c r="CM5389">
        <v>2</v>
      </c>
      <c r="CN5389">
        <v>0</v>
      </c>
      <c r="CO5389">
        <v>7</v>
      </c>
      <c r="CP5389" t="s">
        <v>119</v>
      </c>
      <c r="CQ5389">
        <v>343</v>
      </c>
      <c r="CR5389">
        <v>1</v>
      </c>
      <c r="CW5389">
        <v>11146703</v>
      </c>
      <c r="CY5389">
        <v>1</v>
      </c>
      <c r="CZ5389">
        <v>0</v>
      </c>
      <c r="DA5389">
        <v>1</v>
      </c>
      <c r="DB5389">
        <v>0</v>
      </c>
      <c r="DC5389">
        <v>0</v>
      </c>
      <c r="DD5389">
        <v>1</v>
      </c>
      <c r="DE5389">
        <v>0</v>
      </c>
      <c r="DF5389">
        <v>0</v>
      </c>
      <c r="DG5389">
        <v>0</v>
      </c>
      <c r="DH5389">
        <v>0</v>
      </c>
      <c r="DI5389">
        <v>0</v>
      </c>
    </row>
    <row r="5390" spans="1:113" x14ac:dyDescent="0.3">
      <c r="A5390" t="str">
        <f t="shared" si="2493"/>
        <v>05/12/2020 14:50:54.928</v>
      </c>
      <c r="C5390" t="str">
        <f t="shared" si="2468"/>
        <v>FFDFD3C0</v>
      </c>
      <c r="D5390" t="s">
        <v>126</v>
      </c>
      <c r="E5390">
        <v>6</v>
      </c>
      <c r="F5390">
        <v>1006</v>
      </c>
      <c r="G5390" t="s">
        <v>114</v>
      </c>
      <c r="J5390" t="s">
        <v>128</v>
      </c>
      <c r="K5390">
        <v>0</v>
      </c>
      <c r="L5390">
        <v>3</v>
      </c>
      <c r="M5390">
        <v>0</v>
      </c>
      <c r="N5390">
        <v>2</v>
      </c>
      <c r="O5390">
        <v>1</v>
      </c>
      <c r="P5390">
        <v>0</v>
      </c>
      <c r="Q5390">
        <v>0</v>
      </c>
      <c r="S5390" t="str">
        <f t="shared" si="2494"/>
        <v>14:51:12.766</v>
      </c>
      <c r="T5390" t="str">
        <f t="shared" si="2494"/>
        <v>14:51:12.766</v>
      </c>
      <c r="U5390" t="str">
        <f t="shared" si="2492"/>
        <v>A9808D</v>
      </c>
      <c r="V5390">
        <v>0</v>
      </c>
      <c r="W5390">
        <v>0</v>
      </c>
      <c r="X5390">
        <v>1</v>
      </c>
      <c r="Z5390">
        <v>0</v>
      </c>
      <c r="AA5390">
        <v>9</v>
      </c>
      <c r="AB5390">
        <v>3</v>
      </c>
      <c r="AC5390">
        <v>0</v>
      </c>
      <c r="AD5390">
        <v>10</v>
      </c>
      <c r="AE5390">
        <v>0</v>
      </c>
      <c r="AF5390">
        <v>3</v>
      </c>
      <c r="AG5390">
        <v>2</v>
      </c>
      <c r="AH5390">
        <v>0</v>
      </c>
      <c r="AI5390" t="s">
        <v>1193</v>
      </c>
      <c r="AJ5390">
        <v>28.222010000000001</v>
      </c>
      <c r="AK5390" t="s">
        <v>1194</v>
      </c>
      <c r="AL5390">
        <v>-82.390636999999998</v>
      </c>
      <c r="AM5390">
        <v>100</v>
      </c>
      <c r="AN5390">
        <v>1500</v>
      </c>
      <c r="AO5390" t="s">
        <v>118</v>
      </c>
      <c r="AP5390">
        <v>-73</v>
      </c>
      <c r="AQ5390">
        <v>-94</v>
      </c>
      <c r="AR5390">
        <v>-1152</v>
      </c>
      <c r="AZ5390">
        <v>1200</v>
      </c>
      <c r="BA5390">
        <v>1</v>
      </c>
      <c r="BB5390" t="str">
        <f t="shared" si="2469"/>
        <v xml:space="preserve">N711JA  </v>
      </c>
      <c r="BC5390">
        <v>1</v>
      </c>
      <c r="BE5390">
        <v>0</v>
      </c>
      <c r="BF5390">
        <v>0</v>
      </c>
      <c r="BG5390">
        <v>0</v>
      </c>
      <c r="BH5390">
        <v>1550</v>
      </c>
      <c r="BI5390">
        <v>1</v>
      </c>
      <c r="BJ5390">
        <v>1</v>
      </c>
      <c r="BK5390">
        <v>0</v>
      </c>
      <c r="BL5390">
        <v>0</v>
      </c>
      <c r="BO5390">
        <v>0</v>
      </c>
      <c r="BP5390">
        <v>0</v>
      </c>
      <c r="BW5390" t="str">
        <f t="shared" si="2495"/>
        <v>14:51:12.769</v>
      </c>
      <c r="CJ5390">
        <v>0</v>
      </c>
      <c r="CK5390">
        <v>2</v>
      </c>
      <c r="CL5390">
        <v>0</v>
      </c>
      <c r="CM5390">
        <v>2</v>
      </c>
      <c r="CN5390">
        <v>0</v>
      </c>
      <c r="CO5390">
        <v>7</v>
      </c>
      <c r="CP5390" t="s">
        <v>119</v>
      </c>
      <c r="CQ5390">
        <v>343</v>
      </c>
      <c r="CR5390">
        <v>1</v>
      </c>
      <c r="CW5390">
        <v>11146703</v>
      </c>
      <c r="CY5390">
        <v>1</v>
      </c>
      <c r="CZ5390">
        <v>0</v>
      </c>
      <c r="DA5390">
        <v>1</v>
      </c>
      <c r="DB5390">
        <v>0</v>
      </c>
      <c r="DC5390">
        <v>0</v>
      </c>
      <c r="DD5390">
        <v>1</v>
      </c>
      <c r="DE5390">
        <v>0</v>
      </c>
      <c r="DF5390">
        <v>0</v>
      </c>
      <c r="DG5390">
        <v>0</v>
      </c>
      <c r="DH5390">
        <v>0</v>
      </c>
      <c r="DI5390">
        <v>0</v>
      </c>
    </row>
    <row r="5391" spans="1:113" x14ac:dyDescent="0.3">
      <c r="A5391" t="str">
        <f t="shared" ref="A5391:A5398" si="2496">"05/12/2020 14:50:56.053"</f>
        <v>05/12/2020 14:50:56.053</v>
      </c>
      <c r="C5391" t="str">
        <f t="shared" si="2468"/>
        <v>FFDFD3C0</v>
      </c>
      <c r="D5391" t="s">
        <v>134</v>
      </c>
      <c r="E5391">
        <v>12</v>
      </c>
      <c r="H5391">
        <v>64</v>
      </c>
      <c r="I5391" t="s">
        <v>135</v>
      </c>
      <c r="J5391" t="s">
        <v>136</v>
      </c>
      <c r="K5391">
        <v>0</v>
      </c>
      <c r="L5391">
        <v>3</v>
      </c>
      <c r="M5391">
        <v>0</v>
      </c>
      <c r="N5391">
        <v>2</v>
      </c>
      <c r="O5391">
        <v>1</v>
      </c>
      <c r="P5391">
        <v>0</v>
      </c>
      <c r="Q5391">
        <v>0</v>
      </c>
      <c r="S5391" t="str">
        <f t="shared" ref="S5391:S5398" si="2497">"14:51:13.875"</f>
        <v>14:51:13.875</v>
      </c>
      <c r="T5391" t="str">
        <f t="shared" ref="T5391:T5398" si="2498">"14:51:13.775"</f>
        <v>14:51:13.775</v>
      </c>
      <c r="U5391" t="str">
        <f t="shared" si="2492"/>
        <v>A9808D</v>
      </c>
      <c r="V5391">
        <v>0</v>
      </c>
      <c r="W5391">
        <v>0</v>
      </c>
      <c r="X5391">
        <v>1</v>
      </c>
      <c r="Z5391">
        <v>0</v>
      </c>
      <c r="AA5391">
        <v>9</v>
      </c>
      <c r="AB5391">
        <v>3</v>
      </c>
      <c r="AC5391">
        <v>0</v>
      </c>
      <c r="AD5391">
        <v>10</v>
      </c>
      <c r="AE5391">
        <v>0</v>
      </c>
      <c r="AF5391">
        <v>3</v>
      </c>
      <c r="AG5391">
        <v>2</v>
      </c>
      <c r="AH5391">
        <v>0</v>
      </c>
      <c r="AI5391" t="s">
        <v>1195</v>
      </c>
      <c r="AJ5391">
        <v>28.221495000000001</v>
      </c>
      <c r="AK5391" t="s">
        <v>1196</v>
      </c>
      <c r="AL5391">
        <v>-82.391045000000005</v>
      </c>
      <c r="AM5391">
        <v>100</v>
      </c>
      <c r="AN5391">
        <v>1400</v>
      </c>
      <c r="AO5391" t="s">
        <v>118</v>
      </c>
      <c r="AP5391">
        <v>-69</v>
      </c>
      <c r="AQ5391">
        <v>-96</v>
      </c>
      <c r="AR5391">
        <v>-1088</v>
      </c>
      <c r="AZ5391">
        <v>1200</v>
      </c>
      <c r="BA5391">
        <v>1</v>
      </c>
      <c r="BB5391" t="str">
        <f t="shared" si="2469"/>
        <v xml:space="preserve">N711JA  </v>
      </c>
      <c r="BC5391">
        <v>1</v>
      </c>
      <c r="BE5391">
        <v>0</v>
      </c>
      <c r="BF5391">
        <v>0</v>
      </c>
      <c r="BG5391">
        <v>0</v>
      </c>
      <c r="BH5391">
        <v>1625</v>
      </c>
      <c r="BI5391">
        <v>1</v>
      </c>
      <c r="BJ5391">
        <v>1</v>
      </c>
      <c r="BK5391">
        <v>0</v>
      </c>
      <c r="BL5391">
        <v>0</v>
      </c>
      <c r="BO5391">
        <v>0</v>
      </c>
      <c r="BP5391">
        <v>0</v>
      </c>
      <c r="BW5391" t="str">
        <f t="shared" ref="BW5391:BW5398" si="2499">"14:51:13.876"</f>
        <v>14:51:13.876</v>
      </c>
      <c r="CJ5391">
        <v>0</v>
      </c>
      <c r="CK5391">
        <v>2</v>
      </c>
      <c r="CL5391">
        <v>0</v>
      </c>
      <c r="CM5391">
        <v>2</v>
      </c>
      <c r="CN5391">
        <v>0</v>
      </c>
      <c r="CO5391">
        <v>7</v>
      </c>
      <c r="CP5391" t="s">
        <v>119</v>
      </c>
      <c r="CQ5391">
        <v>343</v>
      </c>
      <c r="CR5391">
        <v>2</v>
      </c>
      <c r="CW5391">
        <v>13403403</v>
      </c>
      <c r="CY5391">
        <v>1</v>
      </c>
      <c r="CZ5391">
        <v>0</v>
      </c>
      <c r="DA5391">
        <v>0</v>
      </c>
      <c r="DB5391">
        <v>0</v>
      </c>
      <c r="DC5391">
        <v>0</v>
      </c>
      <c r="DD5391">
        <v>1</v>
      </c>
      <c r="DE5391">
        <v>0</v>
      </c>
      <c r="DF5391">
        <v>0</v>
      </c>
      <c r="DG5391">
        <v>0</v>
      </c>
      <c r="DH5391">
        <v>0</v>
      </c>
      <c r="DI5391">
        <v>0</v>
      </c>
    </row>
    <row r="5392" spans="1:113" x14ac:dyDescent="0.3">
      <c r="A5392" t="str">
        <f t="shared" si="2496"/>
        <v>05/12/2020 14:50:56.053</v>
      </c>
      <c r="C5392" t="str">
        <f t="shared" si="2468"/>
        <v>FFDFD3C0</v>
      </c>
      <c r="D5392" t="s">
        <v>113</v>
      </c>
      <c r="E5392">
        <v>3</v>
      </c>
      <c r="H5392">
        <v>164</v>
      </c>
      <c r="I5392" t="s">
        <v>114</v>
      </c>
      <c r="J5392" t="s">
        <v>115</v>
      </c>
      <c r="K5392">
        <v>0</v>
      </c>
      <c r="L5392">
        <v>3</v>
      </c>
      <c r="M5392">
        <v>0</v>
      </c>
      <c r="N5392">
        <v>2</v>
      </c>
      <c r="O5392">
        <v>1</v>
      </c>
      <c r="P5392">
        <v>0</v>
      </c>
      <c r="Q5392">
        <v>0</v>
      </c>
      <c r="S5392" t="str">
        <f t="shared" si="2497"/>
        <v>14:51:13.875</v>
      </c>
      <c r="T5392" t="str">
        <f t="shared" si="2498"/>
        <v>14:51:13.775</v>
      </c>
      <c r="U5392" t="str">
        <f t="shared" si="2492"/>
        <v>A9808D</v>
      </c>
      <c r="V5392">
        <v>0</v>
      </c>
      <c r="W5392">
        <v>0</v>
      </c>
      <c r="X5392">
        <v>1</v>
      </c>
      <c r="Z5392">
        <v>0</v>
      </c>
      <c r="AA5392">
        <v>9</v>
      </c>
      <c r="AB5392">
        <v>3</v>
      </c>
      <c r="AC5392">
        <v>0</v>
      </c>
      <c r="AD5392">
        <v>10</v>
      </c>
      <c r="AE5392">
        <v>0</v>
      </c>
      <c r="AF5392">
        <v>3</v>
      </c>
      <c r="AG5392">
        <v>2</v>
      </c>
      <c r="AH5392">
        <v>0</v>
      </c>
      <c r="AI5392" t="s">
        <v>1195</v>
      </c>
      <c r="AJ5392">
        <v>28.221495000000001</v>
      </c>
      <c r="AK5392" t="s">
        <v>1196</v>
      </c>
      <c r="AL5392">
        <v>-82.391045000000005</v>
      </c>
      <c r="AM5392">
        <v>100</v>
      </c>
      <c r="AN5392">
        <v>1400</v>
      </c>
      <c r="AO5392" t="s">
        <v>118</v>
      </c>
      <c r="AP5392">
        <v>-69</v>
      </c>
      <c r="AQ5392">
        <v>-96</v>
      </c>
      <c r="AR5392">
        <v>-1088</v>
      </c>
      <c r="AZ5392">
        <v>1200</v>
      </c>
      <c r="BA5392">
        <v>1</v>
      </c>
      <c r="BB5392" t="str">
        <f t="shared" si="2469"/>
        <v xml:space="preserve">N711JA  </v>
      </c>
      <c r="BC5392">
        <v>1</v>
      </c>
      <c r="BE5392">
        <v>0</v>
      </c>
      <c r="BF5392">
        <v>0</v>
      </c>
      <c r="BG5392">
        <v>0</v>
      </c>
      <c r="BH5392">
        <v>1625</v>
      </c>
      <c r="BI5392">
        <v>1</v>
      </c>
      <c r="BJ5392">
        <v>1</v>
      </c>
      <c r="BK5392">
        <v>0</v>
      </c>
      <c r="BL5392">
        <v>0</v>
      </c>
      <c r="BO5392">
        <v>0</v>
      </c>
      <c r="BP5392">
        <v>0</v>
      </c>
      <c r="BW5392" t="str">
        <f t="shared" si="2499"/>
        <v>14:51:13.876</v>
      </c>
      <c r="CJ5392">
        <v>0</v>
      </c>
      <c r="CK5392">
        <v>2</v>
      </c>
      <c r="CL5392">
        <v>0</v>
      </c>
      <c r="CM5392">
        <v>2</v>
      </c>
      <c r="CN5392">
        <v>0</v>
      </c>
      <c r="CO5392">
        <v>7</v>
      </c>
      <c r="CP5392" t="s">
        <v>119</v>
      </c>
      <c r="CQ5392">
        <v>343</v>
      </c>
      <c r="CR5392">
        <v>2</v>
      </c>
      <c r="CW5392">
        <v>13403403</v>
      </c>
      <c r="CY5392">
        <v>1</v>
      </c>
      <c r="CZ5392">
        <v>0</v>
      </c>
      <c r="DA5392">
        <v>1</v>
      </c>
      <c r="DB5392">
        <v>0</v>
      </c>
      <c r="DC5392">
        <v>0</v>
      </c>
      <c r="DD5392">
        <v>1</v>
      </c>
      <c r="DE5392">
        <v>0</v>
      </c>
      <c r="DF5392">
        <v>0</v>
      </c>
      <c r="DG5392">
        <v>0</v>
      </c>
      <c r="DH5392">
        <v>0</v>
      </c>
      <c r="DI5392">
        <v>0</v>
      </c>
    </row>
    <row r="5393" spans="1:113" x14ac:dyDescent="0.3">
      <c r="A5393" t="str">
        <f t="shared" si="2496"/>
        <v>05/12/2020 14:50:56.053</v>
      </c>
      <c r="C5393" t="str">
        <f t="shared" si="2468"/>
        <v>FFDFD3C0</v>
      </c>
      <c r="D5393" t="s">
        <v>138</v>
      </c>
      <c r="E5393">
        <v>2</v>
      </c>
      <c r="H5393">
        <v>8</v>
      </c>
      <c r="I5393" t="s">
        <v>139</v>
      </c>
      <c r="J5393" t="s">
        <v>136</v>
      </c>
      <c r="K5393">
        <v>0</v>
      </c>
      <c r="L5393">
        <v>3</v>
      </c>
      <c r="M5393">
        <v>0</v>
      </c>
      <c r="N5393">
        <v>2</v>
      </c>
      <c r="O5393">
        <v>1</v>
      </c>
      <c r="P5393">
        <v>0</v>
      </c>
      <c r="Q5393">
        <v>0</v>
      </c>
      <c r="S5393" t="str">
        <f t="shared" si="2497"/>
        <v>14:51:13.875</v>
      </c>
      <c r="T5393" t="str">
        <f t="shared" si="2498"/>
        <v>14:51:13.775</v>
      </c>
      <c r="U5393" t="str">
        <f t="shared" si="2492"/>
        <v>A9808D</v>
      </c>
      <c r="V5393">
        <v>0</v>
      </c>
      <c r="W5393">
        <v>0</v>
      </c>
      <c r="X5393">
        <v>1</v>
      </c>
      <c r="Z5393">
        <v>0</v>
      </c>
      <c r="AA5393">
        <v>9</v>
      </c>
      <c r="AB5393">
        <v>3</v>
      </c>
      <c r="AC5393">
        <v>0</v>
      </c>
      <c r="AD5393">
        <v>10</v>
      </c>
      <c r="AE5393">
        <v>0</v>
      </c>
      <c r="AF5393">
        <v>3</v>
      </c>
      <c r="AG5393">
        <v>2</v>
      </c>
      <c r="AH5393">
        <v>0</v>
      </c>
      <c r="AI5393" t="s">
        <v>1195</v>
      </c>
      <c r="AJ5393">
        <v>28.221495000000001</v>
      </c>
      <c r="AK5393" t="s">
        <v>1196</v>
      </c>
      <c r="AL5393">
        <v>-82.391045000000005</v>
      </c>
      <c r="AM5393">
        <v>100</v>
      </c>
      <c r="AN5393">
        <v>1400</v>
      </c>
      <c r="AO5393" t="s">
        <v>118</v>
      </c>
      <c r="AP5393">
        <v>-69</v>
      </c>
      <c r="AQ5393">
        <v>-96</v>
      </c>
      <c r="AR5393">
        <v>-1088</v>
      </c>
      <c r="AZ5393">
        <v>1200</v>
      </c>
      <c r="BA5393">
        <v>1</v>
      </c>
      <c r="BB5393" t="str">
        <f t="shared" si="2469"/>
        <v xml:space="preserve">N711JA  </v>
      </c>
      <c r="BC5393">
        <v>1</v>
      </c>
      <c r="BE5393">
        <v>0</v>
      </c>
      <c r="BF5393">
        <v>0</v>
      </c>
      <c r="BG5393">
        <v>0</v>
      </c>
      <c r="BH5393">
        <v>1625</v>
      </c>
      <c r="BI5393">
        <v>1</v>
      </c>
      <c r="BJ5393">
        <v>1</v>
      </c>
      <c r="BK5393">
        <v>0</v>
      </c>
      <c r="BL5393">
        <v>0</v>
      </c>
      <c r="BO5393">
        <v>0</v>
      </c>
      <c r="BP5393">
        <v>0</v>
      </c>
      <c r="BW5393" t="str">
        <f t="shared" si="2499"/>
        <v>14:51:13.876</v>
      </c>
      <c r="CJ5393">
        <v>0</v>
      </c>
      <c r="CK5393">
        <v>2</v>
      </c>
      <c r="CL5393">
        <v>0</v>
      </c>
      <c r="CM5393">
        <v>2</v>
      </c>
      <c r="CN5393">
        <v>0</v>
      </c>
      <c r="CO5393">
        <v>7</v>
      </c>
      <c r="CP5393" t="s">
        <v>119</v>
      </c>
      <c r="CQ5393">
        <v>343</v>
      </c>
      <c r="CR5393">
        <v>2</v>
      </c>
      <c r="CW5393">
        <v>13403403</v>
      </c>
      <c r="CY5393">
        <v>1</v>
      </c>
      <c r="CZ5393">
        <v>0</v>
      </c>
      <c r="DA5393">
        <v>1</v>
      </c>
      <c r="DB5393">
        <v>0</v>
      </c>
      <c r="DC5393">
        <v>0</v>
      </c>
      <c r="DD5393">
        <v>1</v>
      </c>
      <c r="DE5393">
        <v>0</v>
      </c>
      <c r="DF5393">
        <v>0</v>
      </c>
      <c r="DG5393">
        <v>0</v>
      </c>
      <c r="DH5393">
        <v>0</v>
      </c>
      <c r="DI5393">
        <v>0</v>
      </c>
    </row>
    <row r="5394" spans="1:113" x14ac:dyDescent="0.3">
      <c r="A5394" t="str">
        <f t="shared" si="2496"/>
        <v>05/12/2020 14:50:56.053</v>
      </c>
      <c r="C5394" t="str">
        <f t="shared" si="2468"/>
        <v>FFDFD3C0</v>
      </c>
      <c r="D5394" t="s">
        <v>126</v>
      </c>
      <c r="E5394">
        <v>6</v>
      </c>
      <c r="F5394">
        <v>1006</v>
      </c>
      <c r="G5394" t="s">
        <v>114</v>
      </c>
      <c r="J5394" t="s">
        <v>128</v>
      </c>
      <c r="K5394">
        <v>0</v>
      </c>
      <c r="L5394">
        <v>3</v>
      </c>
      <c r="M5394">
        <v>0</v>
      </c>
      <c r="N5394">
        <v>2</v>
      </c>
      <c r="O5394">
        <v>1</v>
      </c>
      <c r="P5394">
        <v>0</v>
      </c>
      <c r="Q5394">
        <v>0</v>
      </c>
      <c r="S5394" t="str">
        <f t="shared" si="2497"/>
        <v>14:51:13.875</v>
      </c>
      <c r="T5394" t="str">
        <f t="shared" si="2498"/>
        <v>14:51:13.775</v>
      </c>
      <c r="U5394" t="str">
        <f t="shared" si="2492"/>
        <v>A9808D</v>
      </c>
      <c r="V5394">
        <v>0</v>
      </c>
      <c r="W5394">
        <v>0</v>
      </c>
      <c r="X5394">
        <v>1</v>
      </c>
      <c r="Z5394">
        <v>0</v>
      </c>
      <c r="AA5394">
        <v>9</v>
      </c>
      <c r="AB5394">
        <v>3</v>
      </c>
      <c r="AC5394">
        <v>0</v>
      </c>
      <c r="AD5394">
        <v>10</v>
      </c>
      <c r="AE5394">
        <v>0</v>
      </c>
      <c r="AF5394">
        <v>3</v>
      </c>
      <c r="AG5394">
        <v>2</v>
      </c>
      <c r="AH5394">
        <v>0</v>
      </c>
      <c r="AI5394" t="s">
        <v>1195</v>
      </c>
      <c r="AJ5394">
        <v>28.221495000000001</v>
      </c>
      <c r="AK5394" t="s">
        <v>1196</v>
      </c>
      <c r="AL5394">
        <v>-82.391045000000005</v>
      </c>
      <c r="AM5394">
        <v>100</v>
      </c>
      <c r="AN5394">
        <v>1400</v>
      </c>
      <c r="AO5394" t="s">
        <v>118</v>
      </c>
      <c r="AP5394">
        <v>-69</v>
      </c>
      <c r="AQ5394">
        <v>-96</v>
      </c>
      <c r="AR5394">
        <v>-1088</v>
      </c>
      <c r="AZ5394">
        <v>1200</v>
      </c>
      <c r="BA5394">
        <v>1</v>
      </c>
      <c r="BB5394" t="str">
        <f t="shared" si="2469"/>
        <v xml:space="preserve">N711JA  </v>
      </c>
      <c r="BC5394">
        <v>1</v>
      </c>
      <c r="BE5394">
        <v>0</v>
      </c>
      <c r="BF5394">
        <v>0</v>
      </c>
      <c r="BG5394">
        <v>0</v>
      </c>
      <c r="BH5394">
        <v>1625</v>
      </c>
      <c r="BI5394">
        <v>1</v>
      </c>
      <c r="BJ5394">
        <v>1</v>
      </c>
      <c r="BK5394">
        <v>0</v>
      </c>
      <c r="BL5394">
        <v>0</v>
      </c>
      <c r="BO5394">
        <v>0</v>
      </c>
      <c r="BP5394">
        <v>0</v>
      </c>
      <c r="BW5394" t="str">
        <f t="shared" si="2499"/>
        <v>14:51:13.876</v>
      </c>
      <c r="CJ5394">
        <v>0</v>
      </c>
      <c r="CK5394">
        <v>2</v>
      </c>
      <c r="CL5394">
        <v>0</v>
      </c>
      <c r="CM5394">
        <v>2</v>
      </c>
      <c r="CN5394">
        <v>0</v>
      </c>
      <c r="CO5394">
        <v>7</v>
      </c>
      <c r="CP5394" t="s">
        <v>119</v>
      </c>
      <c r="CQ5394">
        <v>343</v>
      </c>
      <c r="CR5394">
        <v>2</v>
      </c>
      <c r="CW5394">
        <v>13403403</v>
      </c>
      <c r="CY5394">
        <v>1</v>
      </c>
      <c r="CZ5394">
        <v>0</v>
      </c>
      <c r="DA5394">
        <v>1</v>
      </c>
      <c r="DB5394">
        <v>0</v>
      </c>
      <c r="DC5394">
        <v>0</v>
      </c>
      <c r="DD5394">
        <v>1</v>
      </c>
      <c r="DE5394">
        <v>0</v>
      </c>
      <c r="DF5394">
        <v>0</v>
      </c>
      <c r="DG5394">
        <v>0</v>
      </c>
      <c r="DH5394">
        <v>0</v>
      </c>
      <c r="DI5394">
        <v>0</v>
      </c>
    </row>
    <row r="5395" spans="1:113" x14ac:dyDescent="0.3">
      <c r="A5395" t="str">
        <f t="shared" si="2496"/>
        <v>05/12/2020 14:50:56.053</v>
      </c>
      <c r="C5395" t="str">
        <f t="shared" si="2468"/>
        <v>FFDFD3C0</v>
      </c>
      <c r="D5395" t="s">
        <v>138</v>
      </c>
      <c r="E5395">
        <v>3</v>
      </c>
      <c r="H5395">
        <v>9</v>
      </c>
      <c r="I5395" t="s">
        <v>140</v>
      </c>
      <c r="J5395" t="s">
        <v>136</v>
      </c>
      <c r="K5395">
        <v>0</v>
      </c>
      <c r="L5395">
        <v>3</v>
      </c>
      <c r="M5395">
        <v>0</v>
      </c>
      <c r="N5395">
        <v>2</v>
      </c>
      <c r="O5395">
        <v>1</v>
      </c>
      <c r="P5395">
        <v>0</v>
      </c>
      <c r="Q5395">
        <v>0</v>
      </c>
      <c r="S5395" t="str">
        <f t="shared" si="2497"/>
        <v>14:51:13.875</v>
      </c>
      <c r="T5395" t="str">
        <f t="shared" si="2498"/>
        <v>14:51:13.775</v>
      </c>
      <c r="U5395" t="str">
        <f t="shared" si="2492"/>
        <v>A9808D</v>
      </c>
      <c r="V5395">
        <v>0</v>
      </c>
      <c r="W5395">
        <v>0</v>
      </c>
      <c r="X5395">
        <v>1</v>
      </c>
      <c r="Z5395">
        <v>0</v>
      </c>
      <c r="AA5395">
        <v>9</v>
      </c>
      <c r="AB5395">
        <v>3</v>
      </c>
      <c r="AC5395">
        <v>0</v>
      </c>
      <c r="AD5395">
        <v>10</v>
      </c>
      <c r="AE5395">
        <v>0</v>
      </c>
      <c r="AF5395">
        <v>3</v>
      </c>
      <c r="AG5395">
        <v>2</v>
      </c>
      <c r="AH5395">
        <v>0</v>
      </c>
      <c r="AI5395" t="s">
        <v>1195</v>
      </c>
      <c r="AJ5395">
        <v>28.221495000000001</v>
      </c>
      <c r="AK5395" t="s">
        <v>1196</v>
      </c>
      <c r="AL5395">
        <v>-82.391045000000005</v>
      </c>
      <c r="AM5395">
        <v>100</v>
      </c>
      <c r="AN5395">
        <v>1400</v>
      </c>
      <c r="AO5395" t="s">
        <v>118</v>
      </c>
      <c r="AP5395">
        <v>-69</v>
      </c>
      <c r="AQ5395">
        <v>-96</v>
      </c>
      <c r="AR5395">
        <v>-1088</v>
      </c>
      <c r="AZ5395">
        <v>1200</v>
      </c>
      <c r="BA5395">
        <v>1</v>
      </c>
      <c r="BB5395" t="str">
        <f t="shared" si="2469"/>
        <v xml:space="preserve">N711JA  </v>
      </c>
      <c r="BC5395">
        <v>1</v>
      </c>
      <c r="BE5395">
        <v>0</v>
      </c>
      <c r="BF5395">
        <v>0</v>
      </c>
      <c r="BG5395">
        <v>0</v>
      </c>
      <c r="BH5395">
        <v>1625</v>
      </c>
      <c r="BI5395">
        <v>1</v>
      </c>
      <c r="BJ5395">
        <v>1</v>
      </c>
      <c r="BK5395">
        <v>0</v>
      </c>
      <c r="BL5395">
        <v>0</v>
      </c>
      <c r="BO5395">
        <v>0</v>
      </c>
      <c r="BP5395">
        <v>0</v>
      </c>
      <c r="BW5395" t="str">
        <f t="shared" si="2499"/>
        <v>14:51:13.876</v>
      </c>
      <c r="CJ5395">
        <v>0</v>
      </c>
      <c r="CK5395">
        <v>2</v>
      </c>
      <c r="CL5395">
        <v>0</v>
      </c>
      <c r="CM5395">
        <v>2</v>
      </c>
      <c r="CN5395">
        <v>0</v>
      </c>
      <c r="CO5395">
        <v>7</v>
      </c>
      <c r="CP5395" t="s">
        <v>119</v>
      </c>
      <c r="CQ5395">
        <v>343</v>
      </c>
      <c r="CR5395">
        <v>2</v>
      </c>
      <c r="CW5395">
        <v>13403403</v>
      </c>
      <c r="CY5395">
        <v>1</v>
      </c>
      <c r="CZ5395">
        <v>0</v>
      </c>
      <c r="DA5395">
        <v>1</v>
      </c>
      <c r="DB5395">
        <v>0</v>
      </c>
      <c r="DC5395">
        <v>0</v>
      </c>
      <c r="DD5395">
        <v>1</v>
      </c>
      <c r="DE5395">
        <v>0</v>
      </c>
      <c r="DF5395">
        <v>0</v>
      </c>
      <c r="DG5395">
        <v>0</v>
      </c>
      <c r="DH5395">
        <v>0</v>
      </c>
      <c r="DI5395">
        <v>0</v>
      </c>
    </row>
    <row r="5396" spans="1:113" x14ac:dyDescent="0.3">
      <c r="A5396" t="str">
        <f t="shared" si="2496"/>
        <v>05/12/2020 14:50:56.053</v>
      </c>
      <c r="C5396" t="str">
        <f t="shared" si="2468"/>
        <v>FFDFD3C0</v>
      </c>
      <c r="D5396" t="s">
        <v>131</v>
      </c>
      <c r="E5396">
        <v>10</v>
      </c>
      <c r="F5396">
        <v>2010</v>
      </c>
      <c r="G5396" t="s">
        <v>132</v>
      </c>
      <c r="J5396" t="s">
        <v>133</v>
      </c>
      <c r="K5396">
        <v>0</v>
      </c>
      <c r="L5396">
        <v>3</v>
      </c>
      <c r="M5396">
        <v>0</v>
      </c>
      <c r="N5396">
        <v>2</v>
      </c>
      <c r="O5396">
        <v>1</v>
      </c>
      <c r="P5396">
        <v>0</v>
      </c>
      <c r="Q5396">
        <v>0</v>
      </c>
      <c r="S5396" t="str">
        <f t="shared" si="2497"/>
        <v>14:51:13.875</v>
      </c>
      <c r="T5396" t="str">
        <f t="shared" si="2498"/>
        <v>14:51:13.775</v>
      </c>
      <c r="U5396" t="str">
        <f t="shared" si="2492"/>
        <v>A9808D</v>
      </c>
      <c r="V5396">
        <v>0</v>
      </c>
      <c r="W5396">
        <v>0</v>
      </c>
      <c r="X5396">
        <v>1</v>
      </c>
      <c r="Z5396">
        <v>0</v>
      </c>
      <c r="AA5396">
        <v>9</v>
      </c>
      <c r="AB5396">
        <v>3</v>
      </c>
      <c r="AC5396">
        <v>0</v>
      </c>
      <c r="AD5396">
        <v>10</v>
      </c>
      <c r="AE5396">
        <v>0</v>
      </c>
      <c r="AF5396">
        <v>3</v>
      </c>
      <c r="AG5396">
        <v>2</v>
      </c>
      <c r="AH5396">
        <v>0</v>
      </c>
      <c r="AI5396" t="s">
        <v>1195</v>
      </c>
      <c r="AJ5396">
        <v>28.221495000000001</v>
      </c>
      <c r="AK5396" t="s">
        <v>1196</v>
      </c>
      <c r="AL5396">
        <v>-82.391045000000005</v>
      </c>
      <c r="AM5396">
        <v>100</v>
      </c>
      <c r="AN5396">
        <v>1400</v>
      </c>
      <c r="AO5396" t="s">
        <v>118</v>
      </c>
      <c r="AP5396">
        <v>-69</v>
      </c>
      <c r="AQ5396">
        <v>-96</v>
      </c>
      <c r="AR5396">
        <v>-1088</v>
      </c>
      <c r="AZ5396">
        <v>1200</v>
      </c>
      <c r="BA5396">
        <v>1</v>
      </c>
      <c r="BB5396" t="str">
        <f t="shared" si="2469"/>
        <v xml:space="preserve">N711JA  </v>
      </c>
      <c r="BC5396">
        <v>1</v>
      </c>
      <c r="BE5396">
        <v>0</v>
      </c>
      <c r="BF5396">
        <v>0</v>
      </c>
      <c r="BG5396">
        <v>0</v>
      </c>
      <c r="BH5396">
        <v>1625</v>
      </c>
      <c r="BI5396">
        <v>1</v>
      </c>
      <c r="BJ5396">
        <v>1</v>
      </c>
      <c r="BK5396">
        <v>0</v>
      </c>
      <c r="BL5396">
        <v>0</v>
      </c>
      <c r="BO5396">
        <v>0</v>
      </c>
      <c r="BP5396">
        <v>0</v>
      </c>
      <c r="BW5396" t="str">
        <f t="shared" si="2499"/>
        <v>14:51:13.876</v>
      </c>
      <c r="CJ5396">
        <v>0</v>
      </c>
      <c r="CK5396">
        <v>2</v>
      </c>
      <c r="CL5396">
        <v>0</v>
      </c>
      <c r="CM5396">
        <v>2</v>
      </c>
      <c r="CN5396">
        <v>0</v>
      </c>
      <c r="CO5396">
        <v>7</v>
      </c>
      <c r="CP5396" t="s">
        <v>119</v>
      </c>
      <c r="CQ5396">
        <v>343</v>
      </c>
      <c r="CR5396">
        <v>2</v>
      </c>
      <c r="CW5396">
        <v>13403403</v>
      </c>
      <c r="CY5396">
        <v>1</v>
      </c>
      <c r="CZ5396">
        <v>0</v>
      </c>
      <c r="DA5396">
        <v>1</v>
      </c>
      <c r="DB5396">
        <v>0</v>
      </c>
      <c r="DC5396">
        <v>0</v>
      </c>
      <c r="DD5396">
        <v>1</v>
      </c>
      <c r="DE5396">
        <v>0</v>
      </c>
      <c r="DF5396">
        <v>0</v>
      </c>
      <c r="DG5396">
        <v>0</v>
      </c>
      <c r="DH5396">
        <v>0</v>
      </c>
      <c r="DI5396">
        <v>0</v>
      </c>
    </row>
    <row r="5397" spans="1:113" x14ac:dyDescent="0.3">
      <c r="A5397" t="str">
        <f t="shared" si="2496"/>
        <v>05/12/2020 14:50:56.053</v>
      </c>
      <c r="C5397" t="str">
        <f t="shared" si="2468"/>
        <v>FFDFD3C0</v>
      </c>
      <c r="D5397" t="s">
        <v>126</v>
      </c>
      <c r="E5397">
        <v>7</v>
      </c>
      <c r="F5397">
        <v>1007</v>
      </c>
      <c r="G5397" t="s">
        <v>127</v>
      </c>
      <c r="J5397" t="s">
        <v>128</v>
      </c>
      <c r="K5397">
        <v>0</v>
      </c>
      <c r="L5397">
        <v>3</v>
      </c>
      <c r="M5397">
        <v>0</v>
      </c>
      <c r="N5397">
        <v>2</v>
      </c>
      <c r="O5397">
        <v>1</v>
      </c>
      <c r="P5397">
        <v>0</v>
      </c>
      <c r="Q5397">
        <v>0</v>
      </c>
      <c r="S5397" t="str">
        <f t="shared" si="2497"/>
        <v>14:51:13.875</v>
      </c>
      <c r="T5397" t="str">
        <f t="shared" si="2498"/>
        <v>14:51:13.775</v>
      </c>
      <c r="U5397" t="str">
        <f t="shared" si="2492"/>
        <v>A9808D</v>
      </c>
      <c r="V5397">
        <v>0</v>
      </c>
      <c r="W5397">
        <v>0</v>
      </c>
      <c r="X5397">
        <v>1</v>
      </c>
      <c r="Z5397">
        <v>0</v>
      </c>
      <c r="AA5397">
        <v>9</v>
      </c>
      <c r="AB5397">
        <v>3</v>
      </c>
      <c r="AC5397">
        <v>0</v>
      </c>
      <c r="AD5397">
        <v>10</v>
      </c>
      <c r="AE5397">
        <v>0</v>
      </c>
      <c r="AF5397">
        <v>3</v>
      </c>
      <c r="AG5397">
        <v>2</v>
      </c>
      <c r="AH5397">
        <v>0</v>
      </c>
      <c r="AI5397" t="s">
        <v>1195</v>
      </c>
      <c r="AJ5397">
        <v>28.221495000000001</v>
      </c>
      <c r="AK5397" t="s">
        <v>1196</v>
      </c>
      <c r="AL5397">
        <v>-82.391045000000005</v>
      </c>
      <c r="AM5397">
        <v>100</v>
      </c>
      <c r="AN5397">
        <v>1400</v>
      </c>
      <c r="AO5397" t="s">
        <v>118</v>
      </c>
      <c r="AP5397">
        <v>-69</v>
      </c>
      <c r="AQ5397">
        <v>-96</v>
      </c>
      <c r="AR5397">
        <v>-1088</v>
      </c>
      <c r="AZ5397">
        <v>1200</v>
      </c>
      <c r="BA5397">
        <v>1</v>
      </c>
      <c r="BB5397" t="str">
        <f t="shared" si="2469"/>
        <v xml:space="preserve">N711JA  </v>
      </c>
      <c r="BC5397">
        <v>1</v>
      </c>
      <c r="BE5397">
        <v>0</v>
      </c>
      <c r="BF5397">
        <v>0</v>
      </c>
      <c r="BG5397">
        <v>0</v>
      </c>
      <c r="BH5397">
        <v>1625</v>
      </c>
      <c r="BI5397">
        <v>1</v>
      </c>
      <c r="BJ5397">
        <v>1</v>
      </c>
      <c r="BK5397">
        <v>0</v>
      </c>
      <c r="BL5397">
        <v>0</v>
      </c>
      <c r="BO5397">
        <v>0</v>
      </c>
      <c r="BP5397">
        <v>0</v>
      </c>
      <c r="BW5397" t="str">
        <f t="shared" si="2499"/>
        <v>14:51:13.876</v>
      </c>
      <c r="CJ5397">
        <v>0</v>
      </c>
      <c r="CK5397">
        <v>2</v>
      </c>
      <c r="CL5397">
        <v>0</v>
      </c>
      <c r="CM5397">
        <v>2</v>
      </c>
      <c r="CN5397">
        <v>0</v>
      </c>
      <c r="CO5397">
        <v>7</v>
      </c>
      <c r="CP5397" t="s">
        <v>119</v>
      </c>
      <c r="CQ5397">
        <v>343</v>
      </c>
      <c r="CR5397">
        <v>2</v>
      </c>
      <c r="CW5397">
        <v>13403403</v>
      </c>
      <c r="CY5397">
        <v>1</v>
      </c>
      <c r="CZ5397">
        <v>0</v>
      </c>
      <c r="DA5397">
        <v>1</v>
      </c>
      <c r="DB5397">
        <v>0</v>
      </c>
      <c r="DC5397">
        <v>0</v>
      </c>
      <c r="DD5397">
        <v>1</v>
      </c>
      <c r="DE5397">
        <v>0</v>
      </c>
      <c r="DF5397">
        <v>0</v>
      </c>
      <c r="DG5397">
        <v>0</v>
      </c>
      <c r="DH5397">
        <v>0</v>
      </c>
      <c r="DI5397">
        <v>0</v>
      </c>
    </row>
    <row r="5398" spans="1:113" x14ac:dyDescent="0.3">
      <c r="A5398" t="str">
        <f t="shared" si="2496"/>
        <v>05/12/2020 14:50:56.053</v>
      </c>
      <c r="C5398" t="str">
        <f t="shared" ref="C5398:C5461" si="2500">"FFDFD3C0"</f>
        <v>FFDFD3C0</v>
      </c>
      <c r="D5398" t="s">
        <v>131</v>
      </c>
      <c r="E5398">
        <v>12</v>
      </c>
      <c r="F5398">
        <v>2012</v>
      </c>
      <c r="G5398" t="s">
        <v>137</v>
      </c>
      <c r="J5398" t="s">
        <v>133</v>
      </c>
      <c r="K5398">
        <v>0</v>
      </c>
      <c r="L5398">
        <v>3</v>
      </c>
      <c r="M5398">
        <v>0</v>
      </c>
      <c r="N5398">
        <v>2</v>
      </c>
      <c r="O5398">
        <v>1</v>
      </c>
      <c r="P5398">
        <v>0</v>
      </c>
      <c r="Q5398">
        <v>0</v>
      </c>
      <c r="S5398" t="str">
        <f t="shared" si="2497"/>
        <v>14:51:13.875</v>
      </c>
      <c r="T5398" t="str">
        <f t="shared" si="2498"/>
        <v>14:51:13.775</v>
      </c>
      <c r="U5398" t="str">
        <f t="shared" si="2492"/>
        <v>A9808D</v>
      </c>
      <c r="V5398">
        <v>0</v>
      </c>
      <c r="W5398">
        <v>0</v>
      </c>
      <c r="X5398">
        <v>1</v>
      </c>
      <c r="Z5398">
        <v>0</v>
      </c>
      <c r="AA5398">
        <v>9</v>
      </c>
      <c r="AB5398">
        <v>3</v>
      </c>
      <c r="AC5398">
        <v>0</v>
      </c>
      <c r="AD5398">
        <v>10</v>
      </c>
      <c r="AE5398">
        <v>0</v>
      </c>
      <c r="AF5398">
        <v>3</v>
      </c>
      <c r="AG5398">
        <v>2</v>
      </c>
      <c r="AH5398">
        <v>0</v>
      </c>
      <c r="AI5398" t="s">
        <v>1195</v>
      </c>
      <c r="AJ5398">
        <v>28.221495000000001</v>
      </c>
      <c r="AK5398" t="s">
        <v>1196</v>
      </c>
      <c r="AL5398">
        <v>-82.391045000000005</v>
      </c>
      <c r="AM5398">
        <v>100</v>
      </c>
      <c r="AN5398">
        <v>1400</v>
      </c>
      <c r="AO5398" t="s">
        <v>118</v>
      </c>
      <c r="AP5398">
        <v>-69</v>
      </c>
      <c r="AQ5398">
        <v>-96</v>
      </c>
      <c r="AR5398">
        <v>-1088</v>
      </c>
      <c r="AZ5398">
        <v>1200</v>
      </c>
      <c r="BA5398">
        <v>1</v>
      </c>
      <c r="BB5398" t="str">
        <f t="shared" ref="BB5398:BB5461" si="2501">"N711JA  "</f>
        <v xml:space="preserve">N711JA  </v>
      </c>
      <c r="BC5398">
        <v>1</v>
      </c>
      <c r="BE5398">
        <v>0</v>
      </c>
      <c r="BF5398">
        <v>0</v>
      </c>
      <c r="BG5398">
        <v>0</v>
      </c>
      <c r="BH5398">
        <v>1625</v>
      </c>
      <c r="BI5398">
        <v>1</v>
      </c>
      <c r="BJ5398">
        <v>1</v>
      </c>
      <c r="BK5398">
        <v>0</v>
      </c>
      <c r="BL5398">
        <v>0</v>
      </c>
      <c r="BO5398">
        <v>0</v>
      </c>
      <c r="BP5398">
        <v>0</v>
      </c>
      <c r="BW5398" t="str">
        <f t="shared" si="2499"/>
        <v>14:51:13.876</v>
      </c>
      <c r="CJ5398">
        <v>0</v>
      </c>
      <c r="CK5398">
        <v>2</v>
      </c>
      <c r="CL5398">
        <v>0</v>
      </c>
      <c r="CM5398">
        <v>2</v>
      </c>
      <c r="CN5398">
        <v>0</v>
      </c>
      <c r="CO5398">
        <v>7</v>
      </c>
      <c r="CP5398" t="s">
        <v>119</v>
      </c>
      <c r="CQ5398">
        <v>343</v>
      </c>
      <c r="CR5398">
        <v>2</v>
      </c>
      <c r="CW5398">
        <v>13403403</v>
      </c>
      <c r="CY5398">
        <v>1</v>
      </c>
      <c r="CZ5398">
        <v>0</v>
      </c>
      <c r="DA5398">
        <v>1</v>
      </c>
      <c r="DB5398">
        <v>0</v>
      </c>
      <c r="DC5398">
        <v>0</v>
      </c>
      <c r="DD5398">
        <v>1</v>
      </c>
      <c r="DE5398">
        <v>0</v>
      </c>
      <c r="DF5398">
        <v>0</v>
      </c>
      <c r="DG5398">
        <v>0</v>
      </c>
      <c r="DH5398">
        <v>0</v>
      </c>
      <c r="DI5398">
        <v>0</v>
      </c>
    </row>
    <row r="5399" spans="1:113" x14ac:dyDescent="0.3">
      <c r="A5399" t="str">
        <f t="shared" ref="A5399:A5406" si="2502">"05/12/2020 14:50:57.046"</f>
        <v>05/12/2020 14:50:57.046</v>
      </c>
      <c r="C5399" t="str">
        <f t="shared" si="2500"/>
        <v>FFDFD3C0</v>
      </c>
      <c r="D5399" t="s">
        <v>131</v>
      </c>
      <c r="E5399">
        <v>12</v>
      </c>
      <c r="F5399">
        <v>2012</v>
      </c>
      <c r="G5399" t="s">
        <v>137</v>
      </c>
      <c r="J5399" t="s">
        <v>133</v>
      </c>
      <c r="K5399">
        <v>0</v>
      </c>
      <c r="L5399">
        <v>3</v>
      </c>
      <c r="M5399">
        <v>0</v>
      </c>
      <c r="N5399">
        <v>2</v>
      </c>
      <c r="O5399">
        <v>1</v>
      </c>
      <c r="P5399">
        <v>0</v>
      </c>
      <c r="Q5399">
        <v>0</v>
      </c>
      <c r="S5399" t="str">
        <f t="shared" ref="S5399:S5406" si="2503">"14:51:14.867"</f>
        <v>14:51:14.867</v>
      </c>
      <c r="T5399" t="str">
        <f t="shared" ref="T5399:T5406" si="2504">"14:51:14.767"</f>
        <v>14:51:14.767</v>
      </c>
      <c r="U5399" t="str">
        <f t="shared" si="2492"/>
        <v>A9808D</v>
      </c>
      <c r="V5399">
        <v>0</v>
      </c>
      <c r="W5399">
        <v>0</v>
      </c>
      <c r="X5399">
        <v>1</v>
      </c>
      <c r="Z5399">
        <v>0</v>
      </c>
      <c r="AA5399">
        <v>9</v>
      </c>
      <c r="AB5399">
        <v>3</v>
      </c>
      <c r="AC5399">
        <v>0</v>
      </c>
      <c r="AD5399">
        <v>10</v>
      </c>
      <c r="AE5399">
        <v>0</v>
      </c>
      <c r="AF5399">
        <v>3</v>
      </c>
      <c r="AG5399">
        <v>2</v>
      </c>
      <c r="AH5399">
        <v>0</v>
      </c>
      <c r="AI5399" t="s">
        <v>1197</v>
      </c>
      <c r="AJ5399">
        <v>28.221045</v>
      </c>
      <c r="AK5399" t="s">
        <v>1198</v>
      </c>
      <c r="AL5399">
        <v>-82.391367000000002</v>
      </c>
      <c r="AM5399">
        <v>100</v>
      </c>
      <c r="AN5399">
        <v>1400</v>
      </c>
      <c r="AO5399" t="s">
        <v>118</v>
      </c>
      <c r="AP5399">
        <v>-65</v>
      </c>
      <c r="AQ5399">
        <v>-99</v>
      </c>
      <c r="AR5399">
        <v>-1088</v>
      </c>
      <c r="AZ5399">
        <v>1200</v>
      </c>
      <c r="BA5399">
        <v>1</v>
      </c>
      <c r="BB5399" t="str">
        <f t="shared" si="2501"/>
        <v xml:space="preserve">N711JA  </v>
      </c>
      <c r="BC5399">
        <v>1</v>
      </c>
      <c r="BE5399">
        <v>0</v>
      </c>
      <c r="BF5399">
        <v>0</v>
      </c>
      <c r="BG5399">
        <v>0</v>
      </c>
      <c r="BH5399">
        <v>1500</v>
      </c>
      <c r="BI5399">
        <v>1</v>
      </c>
      <c r="BJ5399">
        <v>1</v>
      </c>
      <c r="BK5399">
        <v>0</v>
      </c>
      <c r="BL5399">
        <v>0</v>
      </c>
      <c r="BO5399">
        <v>0</v>
      </c>
      <c r="BP5399">
        <v>0</v>
      </c>
      <c r="BW5399" t="str">
        <f t="shared" ref="BW5399:BW5406" si="2505">"14:51:14.874"</f>
        <v>14:51:14.874</v>
      </c>
      <c r="CJ5399">
        <v>0</v>
      </c>
      <c r="CK5399">
        <v>2</v>
      </c>
      <c r="CL5399">
        <v>0</v>
      </c>
      <c r="CM5399">
        <v>2</v>
      </c>
      <c r="CN5399">
        <v>0</v>
      </c>
      <c r="CO5399">
        <v>7</v>
      </c>
      <c r="CP5399" t="s">
        <v>119</v>
      </c>
      <c r="CQ5399">
        <v>343</v>
      </c>
      <c r="CR5399">
        <v>1</v>
      </c>
      <c r="CW5399">
        <v>11149057</v>
      </c>
      <c r="CY5399">
        <v>1</v>
      </c>
      <c r="CZ5399">
        <v>0</v>
      </c>
      <c r="DA5399">
        <v>0</v>
      </c>
      <c r="DB5399">
        <v>0</v>
      </c>
      <c r="DC5399">
        <v>0</v>
      </c>
      <c r="DD5399">
        <v>1</v>
      </c>
      <c r="DE5399">
        <v>0</v>
      </c>
      <c r="DF5399">
        <v>0</v>
      </c>
      <c r="DG5399">
        <v>0</v>
      </c>
      <c r="DH5399">
        <v>0</v>
      </c>
      <c r="DI5399">
        <v>0</v>
      </c>
    </row>
    <row r="5400" spans="1:113" x14ac:dyDescent="0.3">
      <c r="A5400" t="str">
        <f t="shared" si="2502"/>
        <v>05/12/2020 14:50:57.046</v>
      </c>
      <c r="C5400" t="str">
        <f t="shared" si="2500"/>
        <v>FFDFD3C0</v>
      </c>
      <c r="D5400" t="s">
        <v>134</v>
      </c>
      <c r="E5400">
        <v>12</v>
      </c>
      <c r="H5400">
        <v>64</v>
      </c>
      <c r="I5400" t="s">
        <v>135</v>
      </c>
      <c r="J5400" t="s">
        <v>136</v>
      </c>
      <c r="K5400">
        <v>0</v>
      </c>
      <c r="L5400">
        <v>3</v>
      </c>
      <c r="M5400">
        <v>0</v>
      </c>
      <c r="N5400">
        <v>2</v>
      </c>
      <c r="O5400">
        <v>1</v>
      </c>
      <c r="P5400">
        <v>0</v>
      </c>
      <c r="Q5400">
        <v>0</v>
      </c>
      <c r="S5400" t="str">
        <f t="shared" si="2503"/>
        <v>14:51:14.867</v>
      </c>
      <c r="T5400" t="str">
        <f t="shared" si="2504"/>
        <v>14:51:14.767</v>
      </c>
      <c r="U5400" t="str">
        <f t="shared" si="2492"/>
        <v>A9808D</v>
      </c>
      <c r="V5400">
        <v>0</v>
      </c>
      <c r="W5400">
        <v>0</v>
      </c>
      <c r="X5400">
        <v>1</v>
      </c>
      <c r="Z5400">
        <v>0</v>
      </c>
      <c r="AA5400">
        <v>9</v>
      </c>
      <c r="AB5400">
        <v>3</v>
      </c>
      <c r="AC5400">
        <v>0</v>
      </c>
      <c r="AD5400">
        <v>10</v>
      </c>
      <c r="AE5400">
        <v>0</v>
      </c>
      <c r="AF5400">
        <v>3</v>
      </c>
      <c r="AG5400">
        <v>2</v>
      </c>
      <c r="AH5400">
        <v>0</v>
      </c>
      <c r="AI5400" t="s">
        <v>1197</v>
      </c>
      <c r="AJ5400">
        <v>28.221045</v>
      </c>
      <c r="AK5400" t="s">
        <v>1198</v>
      </c>
      <c r="AL5400">
        <v>-82.391367000000002</v>
      </c>
      <c r="AM5400">
        <v>100</v>
      </c>
      <c r="AN5400">
        <v>1400</v>
      </c>
      <c r="AO5400" t="s">
        <v>118</v>
      </c>
      <c r="AP5400">
        <v>-65</v>
      </c>
      <c r="AQ5400">
        <v>-99</v>
      </c>
      <c r="AR5400">
        <v>-1088</v>
      </c>
      <c r="AZ5400">
        <v>1200</v>
      </c>
      <c r="BA5400">
        <v>1</v>
      </c>
      <c r="BB5400" t="str">
        <f t="shared" si="2501"/>
        <v xml:space="preserve">N711JA  </v>
      </c>
      <c r="BC5400">
        <v>1</v>
      </c>
      <c r="BE5400">
        <v>0</v>
      </c>
      <c r="BF5400">
        <v>0</v>
      </c>
      <c r="BG5400">
        <v>0</v>
      </c>
      <c r="BH5400">
        <v>1500</v>
      </c>
      <c r="BI5400">
        <v>1</v>
      </c>
      <c r="BJ5400">
        <v>1</v>
      </c>
      <c r="BK5400">
        <v>0</v>
      </c>
      <c r="BL5400">
        <v>0</v>
      </c>
      <c r="BO5400">
        <v>0</v>
      </c>
      <c r="BP5400">
        <v>0</v>
      </c>
      <c r="BW5400" t="str">
        <f t="shared" si="2505"/>
        <v>14:51:14.874</v>
      </c>
      <c r="CJ5400">
        <v>0</v>
      </c>
      <c r="CK5400">
        <v>2</v>
      </c>
      <c r="CL5400">
        <v>0</v>
      </c>
      <c r="CM5400">
        <v>2</v>
      </c>
      <c r="CN5400">
        <v>0</v>
      </c>
      <c r="CO5400">
        <v>7</v>
      </c>
      <c r="CP5400" t="s">
        <v>119</v>
      </c>
      <c r="CQ5400">
        <v>343</v>
      </c>
      <c r="CR5400">
        <v>1</v>
      </c>
      <c r="CW5400">
        <v>11149057</v>
      </c>
      <c r="CY5400">
        <v>1</v>
      </c>
      <c r="CZ5400">
        <v>0</v>
      </c>
      <c r="DA5400">
        <v>1</v>
      </c>
      <c r="DB5400">
        <v>0</v>
      </c>
      <c r="DC5400">
        <v>0</v>
      </c>
      <c r="DD5400">
        <v>1</v>
      </c>
      <c r="DE5400">
        <v>0</v>
      </c>
      <c r="DF5400">
        <v>0</v>
      </c>
      <c r="DG5400">
        <v>0</v>
      </c>
      <c r="DH5400">
        <v>0</v>
      </c>
      <c r="DI5400">
        <v>0</v>
      </c>
    </row>
    <row r="5401" spans="1:113" x14ac:dyDescent="0.3">
      <c r="A5401" t="str">
        <f t="shared" si="2502"/>
        <v>05/12/2020 14:50:57.046</v>
      </c>
      <c r="C5401" t="str">
        <f t="shared" si="2500"/>
        <v>FFDFD3C0</v>
      </c>
      <c r="D5401" t="s">
        <v>113</v>
      </c>
      <c r="E5401">
        <v>3</v>
      </c>
      <c r="H5401">
        <v>164</v>
      </c>
      <c r="I5401" t="s">
        <v>114</v>
      </c>
      <c r="J5401" t="s">
        <v>115</v>
      </c>
      <c r="K5401">
        <v>0</v>
      </c>
      <c r="L5401">
        <v>3</v>
      </c>
      <c r="M5401">
        <v>0</v>
      </c>
      <c r="N5401">
        <v>2</v>
      </c>
      <c r="O5401">
        <v>1</v>
      </c>
      <c r="P5401">
        <v>0</v>
      </c>
      <c r="Q5401">
        <v>0</v>
      </c>
      <c r="S5401" t="str">
        <f t="shared" si="2503"/>
        <v>14:51:14.867</v>
      </c>
      <c r="T5401" t="str">
        <f t="shared" si="2504"/>
        <v>14:51:14.767</v>
      </c>
      <c r="U5401" t="str">
        <f t="shared" si="2492"/>
        <v>A9808D</v>
      </c>
      <c r="V5401">
        <v>0</v>
      </c>
      <c r="W5401">
        <v>0</v>
      </c>
      <c r="X5401">
        <v>1</v>
      </c>
      <c r="Z5401">
        <v>0</v>
      </c>
      <c r="AA5401">
        <v>9</v>
      </c>
      <c r="AB5401">
        <v>3</v>
      </c>
      <c r="AC5401">
        <v>0</v>
      </c>
      <c r="AD5401">
        <v>10</v>
      </c>
      <c r="AE5401">
        <v>0</v>
      </c>
      <c r="AF5401">
        <v>3</v>
      </c>
      <c r="AG5401">
        <v>2</v>
      </c>
      <c r="AH5401">
        <v>0</v>
      </c>
      <c r="AI5401" t="s">
        <v>1197</v>
      </c>
      <c r="AJ5401">
        <v>28.221045</v>
      </c>
      <c r="AK5401" t="s">
        <v>1198</v>
      </c>
      <c r="AL5401">
        <v>-82.391367000000002</v>
      </c>
      <c r="AM5401">
        <v>100</v>
      </c>
      <c r="AN5401">
        <v>1400</v>
      </c>
      <c r="AO5401" t="s">
        <v>118</v>
      </c>
      <c r="AP5401">
        <v>-65</v>
      </c>
      <c r="AQ5401">
        <v>-99</v>
      </c>
      <c r="AR5401">
        <v>-1088</v>
      </c>
      <c r="AZ5401">
        <v>1200</v>
      </c>
      <c r="BA5401">
        <v>1</v>
      </c>
      <c r="BB5401" t="str">
        <f t="shared" si="2501"/>
        <v xml:space="preserve">N711JA  </v>
      </c>
      <c r="BC5401">
        <v>1</v>
      </c>
      <c r="BE5401">
        <v>0</v>
      </c>
      <c r="BF5401">
        <v>0</v>
      </c>
      <c r="BG5401">
        <v>0</v>
      </c>
      <c r="BH5401">
        <v>1500</v>
      </c>
      <c r="BI5401">
        <v>1</v>
      </c>
      <c r="BJ5401">
        <v>1</v>
      </c>
      <c r="BK5401">
        <v>0</v>
      </c>
      <c r="BL5401">
        <v>0</v>
      </c>
      <c r="BO5401">
        <v>0</v>
      </c>
      <c r="BP5401">
        <v>0</v>
      </c>
      <c r="BW5401" t="str">
        <f t="shared" si="2505"/>
        <v>14:51:14.874</v>
      </c>
      <c r="CJ5401">
        <v>0</v>
      </c>
      <c r="CK5401">
        <v>2</v>
      </c>
      <c r="CL5401">
        <v>0</v>
      </c>
      <c r="CM5401">
        <v>2</v>
      </c>
      <c r="CN5401">
        <v>0</v>
      </c>
      <c r="CO5401">
        <v>7</v>
      </c>
      <c r="CP5401" t="s">
        <v>119</v>
      </c>
      <c r="CQ5401">
        <v>343</v>
      </c>
      <c r="CR5401">
        <v>1</v>
      </c>
      <c r="CW5401">
        <v>11149057</v>
      </c>
      <c r="CY5401">
        <v>1</v>
      </c>
      <c r="CZ5401">
        <v>0</v>
      </c>
      <c r="DA5401">
        <v>1</v>
      </c>
      <c r="DB5401">
        <v>0</v>
      </c>
      <c r="DC5401">
        <v>0</v>
      </c>
      <c r="DD5401">
        <v>1</v>
      </c>
      <c r="DE5401">
        <v>0</v>
      </c>
      <c r="DF5401">
        <v>0</v>
      </c>
      <c r="DG5401">
        <v>0</v>
      </c>
      <c r="DH5401">
        <v>0</v>
      </c>
      <c r="DI5401">
        <v>0</v>
      </c>
    </row>
    <row r="5402" spans="1:113" x14ac:dyDescent="0.3">
      <c r="A5402" t="str">
        <f t="shared" si="2502"/>
        <v>05/12/2020 14:50:57.046</v>
      </c>
      <c r="C5402" t="str">
        <f t="shared" si="2500"/>
        <v>FFDFD3C0</v>
      </c>
      <c r="D5402" t="s">
        <v>126</v>
      </c>
      <c r="E5402">
        <v>6</v>
      </c>
      <c r="F5402">
        <v>1006</v>
      </c>
      <c r="G5402" t="s">
        <v>114</v>
      </c>
      <c r="J5402" t="s">
        <v>128</v>
      </c>
      <c r="K5402">
        <v>0</v>
      </c>
      <c r="L5402">
        <v>3</v>
      </c>
      <c r="M5402">
        <v>0</v>
      </c>
      <c r="N5402">
        <v>2</v>
      </c>
      <c r="O5402">
        <v>1</v>
      </c>
      <c r="P5402">
        <v>0</v>
      </c>
      <c r="Q5402">
        <v>0</v>
      </c>
      <c r="S5402" t="str">
        <f t="shared" si="2503"/>
        <v>14:51:14.867</v>
      </c>
      <c r="T5402" t="str">
        <f t="shared" si="2504"/>
        <v>14:51:14.767</v>
      </c>
      <c r="U5402" t="str">
        <f t="shared" si="2492"/>
        <v>A9808D</v>
      </c>
      <c r="V5402">
        <v>0</v>
      </c>
      <c r="W5402">
        <v>0</v>
      </c>
      <c r="X5402">
        <v>1</v>
      </c>
      <c r="Z5402">
        <v>0</v>
      </c>
      <c r="AA5402">
        <v>9</v>
      </c>
      <c r="AB5402">
        <v>3</v>
      </c>
      <c r="AC5402">
        <v>0</v>
      </c>
      <c r="AD5402">
        <v>10</v>
      </c>
      <c r="AE5402">
        <v>0</v>
      </c>
      <c r="AF5402">
        <v>3</v>
      </c>
      <c r="AG5402">
        <v>2</v>
      </c>
      <c r="AH5402">
        <v>0</v>
      </c>
      <c r="AI5402" t="s">
        <v>1197</v>
      </c>
      <c r="AJ5402">
        <v>28.221045</v>
      </c>
      <c r="AK5402" t="s">
        <v>1198</v>
      </c>
      <c r="AL5402">
        <v>-82.391367000000002</v>
      </c>
      <c r="AM5402">
        <v>100</v>
      </c>
      <c r="AN5402">
        <v>1400</v>
      </c>
      <c r="AO5402" t="s">
        <v>118</v>
      </c>
      <c r="AP5402">
        <v>-65</v>
      </c>
      <c r="AQ5402">
        <v>-99</v>
      </c>
      <c r="AR5402">
        <v>-1088</v>
      </c>
      <c r="AZ5402">
        <v>1200</v>
      </c>
      <c r="BA5402">
        <v>1</v>
      </c>
      <c r="BB5402" t="str">
        <f t="shared" si="2501"/>
        <v xml:space="preserve">N711JA  </v>
      </c>
      <c r="BC5402">
        <v>1</v>
      </c>
      <c r="BE5402">
        <v>0</v>
      </c>
      <c r="BF5402">
        <v>0</v>
      </c>
      <c r="BG5402">
        <v>0</v>
      </c>
      <c r="BH5402">
        <v>1500</v>
      </c>
      <c r="BI5402">
        <v>1</v>
      </c>
      <c r="BJ5402">
        <v>1</v>
      </c>
      <c r="BK5402">
        <v>0</v>
      </c>
      <c r="BL5402">
        <v>0</v>
      </c>
      <c r="BO5402">
        <v>0</v>
      </c>
      <c r="BP5402">
        <v>0</v>
      </c>
      <c r="BW5402" t="str">
        <f t="shared" si="2505"/>
        <v>14:51:14.874</v>
      </c>
      <c r="CJ5402">
        <v>0</v>
      </c>
      <c r="CK5402">
        <v>2</v>
      </c>
      <c r="CL5402">
        <v>0</v>
      </c>
      <c r="CM5402">
        <v>2</v>
      </c>
      <c r="CN5402">
        <v>0</v>
      </c>
      <c r="CO5402">
        <v>7</v>
      </c>
      <c r="CP5402" t="s">
        <v>119</v>
      </c>
      <c r="CQ5402">
        <v>343</v>
      </c>
      <c r="CR5402">
        <v>1</v>
      </c>
      <c r="CW5402">
        <v>11149057</v>
      </c>
      <c r="CY5402">
        <v>1</v>
      </c>
      <c r="CZ5402">
        <v>0</v>
      </c>
      <c r="DA5402">
        <v>1</v>
      </c>
      <c r="DB5402">
        <v>0</v>
      </c>
      <c r="DC5402">
        <v>0</v>
      </c>
      <c r="DD5402">
        <v>1</v>
      </c>
      <c r="DE5402">
        <v>0</v>
      </c>
      <c r="DF5402">
        <v>0</v>
      </c>
      <c r="DG5402">
        <v>0</v>
      </c>
      <c r="DH5402">
        <v>0</v>
      </c>
      <c r="DI5402">
        <v>0</v>
      </c>
    </row>
    <row r="5403" spans="1:113" x14ac:dyDescent="0.3">
      <c r="A5403" t="str">
        <f t="shared" si="2502"/>
        <v>05/12/2020 14:50:57.046</v>
      </c>
      <c r="C5403" t="str">
        <f t="shared" si="2500"/>
        <v>FFDFD3C0</v>
      </c>
      <c r="D5403" t="s">
        <v>138</v>
      </c>
      <c r="E5403">
        <v>2</v>
      </c>
      <c r="H5403">
        <v>8</v>
      </c>
      <c r="I5403" t="s">
        <v>139</v>
      </c>
      <c r="J5403" t="s">
        <v>136</v>
      </c>
      <c r="K5403">
        <v>0</v>
      </c>
      <c r="L5403">
        <v>3</v>
      </c>
      <c r="M5403">
        <v>0</v>
      </c>
      <c r="N5403">
        <v>2</v>
      </c>
      <c r="O5403">
        <v>1</v>
      </c>
      <c r="P5403">
        <v>0</v>
      </c>
      <c r="Q5403">
        <v>0</v>
      </c>
      <c r="S5403" t="str">
        <f t="shared" si="2503"/>
        <v>14:51:14.867</v>
      </c>
      <c r="T5403" t="str">
        <f t="shared" si="2504"/>
        <v>14:51:14.767</v>
      </c>
      <c r="U5403" t="str">
        <f t="shared" si="2492"/>
        <v>A9808D</v>
      </c>
      <c r="V5403">
        <v>0</v>
      </c>
      <c r="W5403">
        <v>0</v>
      </c>
      <c r="X5403">
        <v>1</v>
      </c>
      <c r="Z5403">
        <v>0</v>
      </c>
      <c r="AA5403">
        <v>9</v>
      </c>
      <c r="AB5403">
        <v>3</v>
      </c>
      <c r="AC5403">
        <v>0</v>
      </c>
      <c r="AD5403">
        <v>10</v>
      </c>
      <c r="AE5403">
        <v>0</v>
      </c>
      <c r="AF5403">
        <v>3</v>
      </c>
      <c r="AG5403">
        <v>2</v>
      </c>
      <c r="AH5403">
        <v>0</v>
      </c>
      <c r="AI5403" t="s">
        <v>1197</v>
      </c>
      <c r="AJ5403">
        <v>28.221045</v>
      </c>
      <c r="AK5403" t="s">
        <v>1198</v>
      </c>
      <c r="AL5403">
        <v>-82.391367000000002</v>
      </c>
      <c r="AM5403">
        <v>100</v>
      </c>
      <c r="AN5403">
        <v>1400</v>
      </c>
      <c r="AO5403" t="s">
        <v>118</v>
      </c>
      <c r="AP5403">
        <v>-65</v>
      </c>
      <c r="AQ5403">
        <v>-99</v>
      </c>
      <c r="AR5403">
        <v>-1088</v>
      </c>
      <c r="AZ5403">
        <v>1200</v>
      </c>
      <c r="BA5403">
        <v>1</v>
      </c>
      <c r="BB5403" t="str">
        <f t="shared" si="2501"/>
        <v xml:space="preserve">N711JA  </v>
      </c>
      <c r="BC5403">
        <v>1</v>
      </c>
      <c r="BE5403">
        <v>0</v>
      </c>
      <c r="BF5403">
        <v>0</v>
      </c>
      <c r="BG5403">
        <v>0</v>
      </c>
      <c r="BH5403">
        <v>1500</v>
      </c>
      <c r="BI5403">
        <v>1</v>
      </c>
      <c r="BJ5403">
        <v>1</v>
      </c>
      <c r="BK5403">
        <v>0</v>
      </c>
      <c r="BL5403">
        <v>0</v>
      </c>
      <c r="BO5403">
        <v>0</v>
      </c>
      <c r="BP5403">
        <v>0</v>
      </c>
      <c r="BW5403" t="str">
        <f t="shared" si="2505"/>
        <v>14:51:14.874</v>
      </c>
      <c r="CJ5403">
        <v>0</v>
      </c>
      <c r="CK5403">
        <v>2</v>
      </c>
      <c r="CL5403">
        <v>0</v>
      </c>
      <c r="CM5403">
        <v>2</v>
      </c>
      <c r="CN5403">
        <v>0</v>
      </c>
      <c r="CO5403">
        <v>7</v>
      </c>
      <c r="CP5403" t="s">
        <v>119</v>
      </c>
      <c r="CQ5403">
        <v>343</v>
      </c>
      <c r="CR5403">
        <v>1</v>
      </c>
      <c r="CW5403">
        <v>11149057</v>
      </c>
      <c r="CY5403">
        <v>1</v>
      </c>
      <c r="CZ5403">
        <v>0</v>
      </c>
      <c r="DA5403">
        <v>1</v>
      </c>
      <c r="DB5403">
        <v>0</v>
      </c>
      <c r="DC5403">
        <v>0</v>
      </c>
      <c r="DD5403">
        <v>1</v>
      </c>
      <c r="DE5403">
        <v>0</v>
      </c>
      <c r="DF5403">
        <v>0</v>
      </c>
      <c r="DG5403">
        <v>0</v>
      </c>
      <c r="DH5403">
        <v>0</v>
      </c>
      <c r="DI5403">
        <v>0</v>
      </c>
    </row>
    <row r="5404" spans="1:113" x14ac:dyDescent="0.3">
      <c r="A5404" t="str">
        <f t="shared" si="2502"/>
        <v>05/12/2020 14:50:57.046</v>
      </c>
      <c r="C5404" t="str">
        <f t="shared" si="2500"/>
        <v>FFDFD3C0</v>
      </c>
      <c r="D5404" t="s">
        <v>131</v>
      </c>
      <c r="E5404">
        <v>10</v>
      </c>
      <c r="F5404">
        <v>2010</v>
      </c>
      <c r="G5404" t="s">
        <v>132</v>
      </c>
      <c r="J5404" t="s">
        <v>133</v>
      </c>
      <c r="K5404">
        <v>0</v>
      </c>
      <c r="L5404">
        <v>3</v>
      </c>
      <c r="M5404">
        <v>0</v>
      </c>
      <c r="N5404">
        <v>2</v>
      </c>
      <c r="O5404">
        <v>1</v>
      </c>
      <c r="P5404">
        <v>0</v>
      </c>
      <c r="Q5404">
        <v>0</v>
      </c>
      <c r="S5404" t="str">
        <f t="shared" si="2503"/>
        <v>14:51:14.867</v>
      </c>
      <c r="T5404" t="str">
        <f t="shared" si="2504"/>
        <v>14:51:14.767</v>
      </c>
      <c r="U5404" t="str">
        <f t="shared" si="2492"/>
        <v>A9808D</v>
      </c>
      <c r="V5404">
        <v>0</v>
      </c>
      <c r="W5404">
        <v>0</v>
      </c>
      <c r="X5404">
        <v>1</v>
      </c>
      <c r="Z5404">
        <v>0</v>
      </c>
      <c r="AA5404">
        <v>9</v>
      </c>
      <c r="AB5404">
        <v>3</v>
      </c>
      <c r="AC5404">
        <v>0</v>
      </c>
      <c r="AD5404">
        <v>10</v>
      </c>
      <c r="AE5404">
        <v>0</v>
      </c>
      <c r="AF5404">
        <v>3</v>
      </c>
      <c r="AG5404">
        <v>2</v>
      </c>
      <c r="AH5404">
        <v>0</v>
      </c>
      <c r="AI5404" t="s">
        <v>1197</v>
      </c>
      <c r="AJ5404">
        <v>28.221045</v>
      </c>
      <c r="AK5404" t="s">
        <v>1198</v>
      </c>
      <c r="AL5404">
        <v>-82.391367000000002</v>
      </c>
      <c r="AM5404">
        <v>100</v>
      </c>
      <c r="AN5404">
        <v>1400</v>
      </c>
      <c r="AO5404" t="s">
        <v>118</v>
      </c>
      <c r="AP5404">
        <v>-65</v>
      </c>
      <c r="AQ5404">
        <v>-99</v>
      </c>
      <c r="AR5404">
        <v>-1088</v>
      </c>
      <c r="AZ5404">
        <v>1200</v>
      </c>
      <c r="BA5404">
        <v>1</v>
      </c>
      <c r="BB5404" t="str">
        <f t="shared" si="2501"/>
        <v xml:space="preserve">N711JA  </v>
      </c>
      <c r="BC5404">
        <v>1</v>
      </c>
      <c r="BE5404">
        <v>0</v>
      </c>
      <c r="BF5404">
        <v>0</v>
      </c>
      <c r="BG5404">
        <v>0</v>
      </c>
      <c r="BH5404">
        <v>1500</v>
      </c>
      <c r="BI5404">
        <v>1</v>
      </c>
      <c r="BJ5404">
        <v>1</v>
      </c>
      <c r="BK5404">
        <v>0</v>
      </c>
      <c r="BL5404">
        <v>0</v>
      </c>
      <c r="BO5404">
        <v>0</v>
      </c>
      <c r="BP5404">
        <v>0</v>
      </c>
      <c r="BW5404" t="str">
        <f t="shared" si="2505"/>
        <v>14:51:14.874</v>
      </c>
      <c r="CJ5404">
        <v>0</v>
      </c>
      <c r="CK5404">
        <v>2</v>
      </c>
      <c r="CL5404">
        <v>0</v>
      </c>
      <c r="CM5404">
        <v>2</v>
      </c>
      <c r="CN5404">
        <v>0</v>
      </c>
      <c r="CO5404">
        <v>7</v>
      </c>
      <c r="CP5404" t="s">
        <v>119</v>
      </c>
      <c r="CQ5404">
        <v>343</v>
      </c>
      <c r="CR5404">
        <v>1</v>
      </c>
      <c r="CW5404">
        <v>11149057</v>
      </c>
      <c r="CY5404">
        <v>1</v>
      </c>
      <c r="CZ5404">
        <v>0</v>
      </c>
      <c r="DA5404">
        <v>1</v>
      </c>
      <c r="DB5404">
        <v>0</v>
      </c>
      <c r="DC5404">
        <v>0</v>
      </c>
      <c r="DD5404">
        <v>1</v>
      </c>
      <c r="DE5404">
        <v>0</v>
      </c>
      <c r="DF5404">
        <v>0</v>
      </c>
      <c r="DG5404">
        <v>0</v>
      </c>
      <c r="DH5404">
        <v>0</v>
      </c>
      <c r="DI5404">
        <v>0</v>
      </c>
    </row>
    <row r="5405" spans="1:113" x14ac:dyDescent="0.3">
      <c r="A5405" t="str">
        <f t="shared" si="2502"/>
        <v>05/12/2020 14:50:57.046</v>
      </c>
      <c r="C5405" t="str">
        <f t="shared" si="2500"/>
        <v>FFDFD3C0</v>
      </c>
      <c r="D5405" t="s">
        <v>126</v>
      </c>
      <c r="E5405">
        <v>7</v>
      </c>
      <c r="F5405">
        <v>1007</v>
      </c>
      <c r="G5405" t="s">
        <v>127</v>
      </c>
      <c r="J5405" t="s">
        <v>128</v>
      </c>
      <c r="K5405">
        <v>0</v>
      </c>
      <c r="L5405">
        <v>3</v>
      </c>
      <c r="M5405">
        <v>0</v>
      </c>
      <c r="N5405">
        <v>2</v>
      </c>
      <c r="O5405">
        <v>1</v>
      </c>
      <c r="P5405">
        <v>0</v>
      </c>
      <c r="Q5405">
        <v>0</v>
      </c>
      <c r="S5405" t="str">
        <f t="shared" si="2503"/>
        <v>14:51:14.867</v>
      </c>
      <c r="T5405" t="str">
        <f t="shared" si="2504"/>
        <v>14:51:14.767</v>
      </c>
      <c r="U5405" t="str">
        <f t="shared" si="2492"/>
        <v>A9808D</v>
      </c>
      <c r="V5405">
        <v>0</v>
      </c>
      <c r="W5405">
        <v>0</v>
      </c>
      <c r="X5405">
        <v>1</v>
      </c>
      <c r="Z5405">
        <v>0</v>
      </c>
      <c r="AA5405">
        <v>9</v>
      </c>
      <c r="AB5405">
        <v>3</v>
      </c>
      <c r="AC5405">
        <v>0</v>
      </c>
      <c r="AD5405">
        <v>10</v>
      </c>
      <c r="AE5405">
        <v>0</v>
      </c>
      <c r="AF5405">
        <v>3</v>
      </c>
      <c r="AG5405">
        <v>2</v>
      </c>
      <c r="AH5405">
        <v>0</v>
      </c>
      <c r="AI5405" t="s">
        <v>1197</v>
      </c>
      <c r="AJ5405">
        <v>28.221045</v>
      </c>
      <c r="AK5405" t="s">
        <v>1198</v>
      </c>
      <c r="AL5405">
        <v>-82.391367000000002</v>
      </c>
      <c r="AM5405">
        <v>100</v>
      </c>
      <c r="AN5405">
        <v>1400</v>
      </c>
      <c r="AO5405" t="s">
        <v>118</v>
      </c>
      <c r="AP5405">
        <v>-65</v>
      </c>
      <c r="AQ5405">
        <v>-99</v>
      </c>
      <c r="AR5405">
        <v>-1088</v>
      </c>
      <c r="AZ5405">
        <v>1200</v>
      </c>
      <c r="BA5405">
        <v>1</v>
      </c>
      <c r="BB5405" t="str">
        <f t="shared" si="2501"/>
        <v xml:space="preserve">N711JA  </v>
      </c>
      <c r="BC5405">
        <v>1</v>
      </c>
      <c r="BE5405">
        <v>0</v>
      </c>
      <c r="BF5405">
        <v>0</v>
      </c>
      <c r="BG5405">
        <v>0</v>
      </c>
      <c r="BH5405">
        <v>1500</v>
      </c>
      <c r="BI5405">
        <v>1</v>
      </c>
      <c r="BJ5405">
        <v>1</v>
      </c>
      <c r="BK5405">
        <v>0</v>
      </c>
      <c r="BL5405">
        <v>0</v>
      </c>
      <c r="BO5405">
        <v>0</v>
      </c>
      <c r="BP5405">
        <v>0</v>
      </c>
      <c r="BW5405" t="str">
        <f t="shared" si="2505"/>
        <v>14:51:14.874</v>
      </c>
      <c r="CJ5405">
        <v>0</v>
      </c>
      <c r="CK5405">
        <v>2</v>
      </c>
      <c r="CL5405">
        <v>0</v>
      </c>
      <c r="CM5405">
        <v>2</v>
      </c>
      <c r="CN5405">
        <v>0</v>
      </c>
      <c r="CO5405">
        <v>7</v>
      </c>
      <c r="CP5405" t="s">
        <v>119</v>
      </c>
      <c r="CQ5405">
        <v>343</v>
      </c>
      <c r="CR5405">
        <v>1</v>
      </c>
      <c r="CW5405">
        <v>11149057</v>
      </c>
      <c r="CY5405">
        <v>1</v>
      </c>
      <c r="CZ5405">
        <v>0</v>
      </c>
      <c r="DA5405">
        <v>1</v>
      </c>
      <c r="DB5405">
        <v>0</v>
      </c>
      <c r="DC5405">
        <v>0</v>
      </c>
      <c r="DD5405">
        <v>1</v>
      </c>
      <c r="DE5405">
        <v>0</v>
      </c>
      <c r="DF5405">
        <v>0</v>
      </c>
      <c r="DG5405">
        <v>0</v>
      </c>
      <c r="DH5405">
        <v>0</v>
      </c>
      <c r="DI5405">
        <v>0</v>
      </c>
    </row>
    <row r="5406" spans="1:113" x14ac:dyDescent="0.3">
      <c r="A5406" t="str">
        <f t="shared" si="2502"/>
        <v>05/12/2020 14:50:57.046</v>
      </c>
      <c r="C5406" t="str">
        <f t="shared" si="2500"/>
        <v>FFDFD3C0</v>
      </c>
      <c r="D5406" t="s">
        <v>138</v>
      </c>
      <c r="E5406">
        <v>3</v>
      </c>
      <c r="H5406">
        <v>9</v>
      </c>
      <c r="I5406" t="s">
        <v>140</v>
      </c>
      <c r="J5406" t="s">
        <v>136</v>
      </c>
      <c r="K5406">
        <v>0</v>
      </c>
      <c r="L5406">
        <v>3</v>
      </c>
      <c r="M5406">
        <v>0</v>
      </c>
      <c r="N5406">
        <v>2</v>
      </c>
      <c r="O5406">
        <v>1</v>
      </c>
      <c r="P5406">
        <v>0</v>
      </c>
      <c r="Q5406">
        <v>0</v>
      </c>
      <c r="S5406" t="str">
        <f t="shared" si="2503"/>
        <v>14:51:14.867</v>
      </c>
      <c r="T5406" t="str">
        <f t="shared" si="2504"/>
        <v>14:51:14.767</v>
      </c>
      <c r="U5406" t="str">
        <f t="shared" si="2492"/>
        <v>A9808D</v>
      </c>
      <c r="V5406">
        <v>0</v>
      </c>
      <c r="W5406">
        <v>0</v>
      </c>
      <c r="X5406">
        <v>1</v>
      </c>
      <c r="Z5406">
        <v>0</v>
      </c>
      <c r="AA5406">
        <v>9</v>
      </c>
      <c r="AB5406">
        <v>3</v>
      </c>
      <c r="AC5406">
        <v>0</v>
      </c>
      <c r="AD5406">
        <v>10</v>
      </c>
      <c r="AE5406">
        <v>0</v>
      </c>
      <c r="AF5406">
        <v>3</v>
      </c>
      <c r="AG5406">
        <v>2</v>
      </c>
      <c r="AH5406">
        <v>0</v>
      </c>
      <c r="AI5406" t="s">
        <v>1197</v>
      </c>
      <c r="AJ5406">
        <v>28.221045</v>
      </c>
      <c r="AK5406" t="s">
        <v>1198</v>
      </c>
      <c r="AL5406">
        <v>-82.391367000000002</v>
      </c>
      <c r="AM5406">
        <v>100</v>
      </c>
      <c r="AN5406">
        <v>1400</v>
      </c>
      <c r="AO5406" t="s">
        <v>118</v>
      </c>
      <c r="AP5406">
        <v>-65</v>
      </c>
      <c r="AQ5406">
        <v>-99</v>
      </c>
      <c r="AR5406">
        <v>-1088</v>
      </c>
      <c r="AZ5406">
        <v>1200</v>
      </c>
      <c r="BA5406">
        <v>1</v>
      </c>
      <c r="BB5406" t="str">
        <f t="shared" si="2501"/>
        <v xml:space="preserve">N711JA  </v>
      </c>
      <c r="BC5406">
        <v>1</v>
      </c>
      <c r="BE5406">
        <v>0</v>
      </c>
      <c r="BF5406">
        <v>0</v>
      </c>
      <c r="BG5406">
        <v>0</v>
      </c>
      <c r="BH5406">
        <v>1500</v>
      </c>
      <c r="BI5406">
        <v>1</v>
      </c>
      <c r="BJ5406">
        <v>1</v>
      </c>
      <c r="BK5406">
        <v>0</v>
      </c>
      <c r="BL5406">
        <v>0</v>
      </c>
      <c r="BO5406">
        <v>0</v>
      </c>
      <c r="BP5406">
        <v>0</v>
      </c>
      <c r="BW5406" t="str">
        <f t="shared" si="2505"/>
        <v>14:51:14.874</v>
      </c>
      <c r="CJ5406">
        <v>0</v>
      </c>
      <c r="CK5406">
        <v>2</v>
      </c>
      <c r="CL5406">
        <v>0</v>
      </c>
      <c r="CM5406">
        <v>2</v>
      </c>
      <c r="CN5406">
        <v>0</v>
      </c>
      <c r="CO5406">
        <v>7</v>
      </c>
      <c r="CP5406" t="s">
        <v>119</v>
      </c>
      <c r="CQ5406">
        <v>343</v>
      </c>
      <c r="CR5406">
        <v>1</v>
      </c>
      <c r="CW5406">
        <v>11149057</v>
      </c>
      <c r="CY5406">
        <v>1</v>
      </c>
      <c r="CZ5406">
        <v>0</v>
      </c>
      <c r="DA5406">
        <v>1</v>
      </c>
      <c r="DB5406">
        <v>0</v>
      </c>
      <c r="DC5406">
        <v>0</v>
      </c>
      <c r="DD5406">
        <v>1</v>
      </c>
      <c r="DE5406">
        <v>0</v>
      </c>
      <c r="DF5406">
        <v>0</v>
      </c>
      <c r="DG5406">
        <v>0</v>
      </c>
      <c r="DH5406">
        <v>0</v>
      </c>
      <c r="DI5406">
        <v>0</v>
      </c>
    </row>
    <row r="5407" spans="1:113" x14ac:dyDescent="0.3">
      <c r="A5407" t="str">
        <f t="shared" ref="A5407:A5414" si="2506">"05/12/2020 14:50:58.039"</f>
        <v>05/12/2020 14:50:58.039</v>
      </c>
      <c r="C5407" t="str">
        <f t="shared" si="2500"/>
        <v>FFDFD3C0</v>
      </c>
      <c r="D5407" t="s">
        <v>126</v>
      </c>
      <c r="E5407">
        <v>6</v>
      </c>
      <c r="F5407">
        <v>1006</v>
      </c>
      <c r="G5407" t="s">
        <v>114</v>
      </c>
      <c r="J5407" t="s">
        <v>128</v>
      </c>
      <c r="K5407">
        <v>0</v>
      </c>
      <c r="L5407">
        <v>3</v>
      </c>
      <c r="M5407">
        <v>0</v>
      </c>
      <c r="N5407">
        <v>2</v>
      </c>
      <c r="O5407">
        <v>1</v>
      </c>
      <c r="P5407">
        <v>0</v>
      </c>
      <c r="Q5407">
        <v>0</v>
      </c>
      <c r="S5407" t="str">
        <f t="shared" ref="S5407:S5414" si="2507">"14:51:15.867"</f>
        <v>14:51:15.867</v>
      </c>
      <c r="T5407" t="str">
        <f t="shared" ref="T5407:T5414" si="2508">"14:51:15.767"</f>
        <v>14:51:15.767</v>
      </c>
      <c r="U5407" t="str">
        <f t="shared" si="2492"/>
        <v>A9808D</v>
      </c>
      <c r="V5407">
        <v>0</v>
      </c>
      <c r="W5407">
        <v>0</v>
      </c>
      <c r="X5407">
        <v>1</v>
      </c>
      <c r="Z5407">
        <v>0</v>
      </c>
      <c r="AA5407">
        <v>9</v>
      </c>
      <c r="AB5407">
        <v>3</v>
      </c>
      <c r="AC5407">
        <v>0</v>
      </c>
      <c r="AD5407">
        <v>10</v>
      </c>
      <c r="AE5407">
        <v>0</v>
      </c>
      <c r="AF5407">
        <v>3</v>
      </c>
      <c r="AG5407">
        <v>2</v>
      </c>
      <c r="AH5407">
        <v>0</v>
      </c>
      <c r="AI5407" t="s">
        <v>1199</v>
      </c>
      <c r="AJ5407">
        <v>28.220572000000001</v>
      </c>
      <c r="AK5407" t="s">
        <v>1200</v>
      </c>
      <c r="AL5407">
        <v>-82.391689</v>
      </c>
      <c r="AM5407">
        <v>100</v>
      </c>
      <c r="AN5407">
        <v>1400</v>
      </c>
      <c r="AO5407" t="s">
        <v>118</v>
      </c>
      <c r="AP5407">
        <v>-61</v>
      </c>
      <c r="AQ5407">
        <v>-102</v>
      </c>
      <c r="AR5407">
        <v>-1152</v>
      </c>
      <c r="AZ5407">
        <v>1200</v>
      </c>
      <c r="BA5407">
        <v>1</v>
      </c>
      <c r="BB5407" t="str">
        <f t="shared" si="2501"/>
        <v xml:space="preserve">N711JA  </v>
      </c>
      <c r="BC5407">
        <v>1</v>
      </c>
      <c r="BE5407">
        <v>0</v>
      </c>
      <c r="BF5407">
        <v>0</v>
      </c>
      <c r="BG5407">
        <v>0</v>
      </c>
      <c r="BH5407">
        <v>1500</v>
      </c>
      <c r="BI5407">
        <v>1</v>
      </c>
      <c r="BJ5407">
        <v>1</v>
      </c>
      <c r="BK5407">
        <v>0</v>
      </c>
      <c r="BL5407">
        <v>0</v>
      </c>
      <c r="BO5407">
        <v>0</v>
      </c>
      <c r="BP5407">
        <v>0</v>
      </c>
      <c r="BW5407" t="str">
        <f t="shared" ref="BW5407:BW5414" si="2509">"14:51:15.868"</f>
        <v>14:51:15.868</v>
      </c>
      <c r="CJ5407">
        <v>0</v>
      </c>
      <c r="CK5407">
        <v>2</v>
      </c>
      <c r="CL5407">
        <v>0</v>
      </c>
      <c r="CM5407">
        <v>2</v>
      </c>
      <c r="CN5407">
        <v>0</v>
      </c>
      <c r="CO5407">
        <v>7</v>
      </c>
      <c r="CP5407" t="s">
        <v>119</v>
      </c>
      <c r="CQ5407">
        <v>343</v>
      </c>
      <c r="CR5407">
        <v>1</v>
      </c>
      <c r="CW5407">
        <v>11150074</v>
      </c>
      <c r="CY5407">
        <v>1</v>
      </c>
      <c r="CZ5407">
        <v>0</v>
      </c>
      <c r="DA5407">
        <v>0</v>
      </c>
      <c r="DB5407">
        <v>0</v>
      </c>
      <c r="DC5407">
        <v>0</v>
      </c>
      <c r="DD5407">
        <v>1</v>
      </c>
      <c r="DE5407">
        <v>0</v>
      </c>
      <c r="DF5407">
        <v>0</v>
      </c>
      <c r="DG5407">
        <v>0</v>
      </c>
      <c r="DH5407">
        <v>0</v>
      </c>
      <c r="DI5407">
        <v>0</v>
      </c>
    </row>
    <row r="5408" spans="1:113" x14ac:dyDescent="0.3">
      <c r="A5408" t="str">
        <f t="shared" si="2506"/>
        <v>05/12/2020 14:50:58.039</v>
      </c>
      <c r="C5408" t="str">
        <f t="shared" si="2500"/>
        <v>FFDFD3C0</v>
      </c>
      <c r="D5408" t="s">
        <v>113</v>
      </c>
      <c r="E5408">
        <v>3</v>
      </c>
      <c r="H5408">
        <v>164</v>
      </c>
      <c r="I5408" t="s">
        <v>114</v>
      </c>
      <c r="J5408" t="s">
        <v>115</v>
      </c>
      <c r="K5408">
        <v>0</v>
      </c>
      <c r="L5408">
        <v>3</v>
      </c>
      <c r="M5408">
        <v>0</v>
      </c>
      <c r="N5408">
        <v>2</v>
      </c>
      <c r="O5408">
        <v>1</v>
      </c>
      <c r="P5408">
        <v>0</v>
      </c>
      <c r="Q5408">
        <v>0</v>
      </c>
      <c r="S5408" t="str">
        <f t="shared" si="2507"/>
        <v>14:51:15.867</v>
      </c>
      <c r="T5408" t="str">
        <f t="shared" si="2508"/>
        <v>14:51:15.767</v>
      </c>
      <c r="U5408" t="str">
        <f t="shared" si="2492"/>
        <v>A9808D</v>
      </c>
      <c r="V5408">
        <v>0</v>
      </c>
      <c r="W5408">
        <v>0</v>
      </c>
      <c r="X5408">
        <v>1</v>
      </c>
      <c r="Z5408">
        <v>0</v>
      </c>
      <c r="AA5408">
        <v>9</v>
      </c>
      <c r="AB5408">
        <v>3</v>
      </c>
      <c r="AC5408">
        <v>0</v>
      </c>
      <c r="AD5408">
        <v>10</v>
      </c>
      <c r="AE5408">
        <v>0</v>
      </c>
      <c r="AF5408">
        <v>3</v>
      </c>
      <c r="AG5408">
        <v>2</v>
      </c>
      <c r="AH5408">
        <v>0</v>
      </c>
      <c r="AI5408" t="s">
        <v>1199</v>
      </c>
      <c r="AJ5408">
        <v>28.220572000000001</v>
      </c>
      <c r="AK5408" t="s">
        <v>1200</v>
      </c>
      <c r="AL5408">
        <v>-82.391689</v>
      </c>
      <c r="AM5408">
        <v>100</v>
      </c>
      <c r="AN5408">
        <v>1400</v>
      </c>
      <c r="AO5408" t="s">
        <v>118</v>
      </c>
      <c r="AP5408">
        <v>-61</v>
      </c>
      <c r="AQ5408">
        <v>-102</v>
      </c>
      <c r="AR5408">
        <v>-1152</v>
      </c>
      <c r="AZ5408">
        <v>1200</v>
      </c>
      <c r="BA5408">
        <v>1</v>
      </c>
      <c r="BB5408" t="str">
        <f t="shared" si="2501"/>
        <v xml:space="preserve">N711JA  </v>
      </c>
      <c r="BC5408">
        <v>1</v>
      </c>
      <c r="BE5408">
        <v>0</v>
      </c>
      <c r="BF5408">
        <v>0</v>
      </c>
      <c r="BG5408">
        <v>0</v>
      </c>
      <c r="BH5408">
        <v>1500</v>
      </c>
      <c r="BI5408">
        <v>1</v>
      </c>
      <c r="BJ5408">
        <v>1</v>
      </c>
      <c r="BK5408">
        <v>0</v>
      </c>
      <c r="BL5408">
        <v>0</v>
      </c>
      <c r="BO5408">
        <v>0</v>
      </c>
      <c r="BP5408">
        <v>0</v>
      </c>
      <c r="BW5408" t="str">
        <f t="shared" si="2509"/>
        <v>14:51:15.868</v>
      </c>
      <c r="CJ5408">
        <v>0</v>
      </c>
      <c r="CK5408">
        <v>2</v>
      </c>
      <c r="CL5408">
        <v>0</v>
      </c>
      <c r="CM5408">
        <v>2</v>
      </c>
      <c r="CN5408">
        <v>0</v>
      </c>
      <c r="CO5408">
        <v>7</v>
      </c>
      <c r="CP5408" t="s">
        <v>119</v>
      </c>
      <c r="CQ5408">
        <v>343</v>
      </c>
      <c r="CR5408">
        <v>1</v>
      </c>
      <c r="CW5408">
        <v>11150074</v>
      </c>
      <c r="CY5408">
        <v>1</v>
      </c>
      <c r="CZ5408">
        <v>0</v>
      </c>
      <c r="DA5408">
        <v>1</v>
      </c>
      <c r="DB5408">
        <v>0</v>
      </c>
      <c r="DC5408">
        <v>0</v>
      </c>
      <c r="DD5408">
        <v>1</v>
      </c>
      <c r="DE5408">
        <v>0</v>
      </c>
      <c r="DF5408">
        <v>0</v>
      </c>
      <c r="DG5408">
        <v>0</v>
      </c>
      <c r="DH5408">
        <v>0</v>
      </c>
      <c r="DI5408">
        <v>0</v>
      </c>
    </row>
    <row r="5409" spans="1:113" x14ac:dyDescent="0.3">
      <c r="A5409" t="str">
        <f t="shared" si="2506"/>
        <v>05/12/2020 14:50:58.039</v>
      </c>
      <c r="C5409" t="str">
        <f t="shared" si="2500"/>
        <v>FFDFD3C0</v>
      </c>
      <c r="D5409" t="s">
        <v>131</v>
      </c>
      <c r="E5409">
        <v>10</v>
      </c>
      <c r="F5409">
        <v>2010</v>
      </c>
      <c r="G5409" t="s">
        <v>132</v>
      </c>
      <c r="J5409" t="s">
        <v>133</v>
      </c>
      <c r="K5409">
        <v>0</v>
      </c>
      <c r="L5409">
        <v>3</v>
      </c>
      <c r="M5409">
        <v>0</v>
      </c>
      <c r="N5409">
        <v>2</v>
      </c>
      <c r="O5409">
        <v>1</v>
      </c>
      <c r="P5409">
        <v>0</v>
      </c>
      <c r="Q5409">
        <v>0</v>
      </c>
      <c r="S5409" t="str">
        <f t="shared" si="2507"/>
        <v>14:51:15.867</v>
      </c>
      <c r="T5409" t="str">
        <f t="shared" si="2508"/>
        <v>14:51:15.767</v>
      </c>
      <c r="U5409" t="str">
        <f t="shared" si="2492"/>
        <v>A9808D</v>
      </c>
      <c r="V5409">
        <v>0</v>
      </c>
      <c r="W5409">
        <v>0</v>
      </c>
      <c r="X5409">
        <v>1</v>
      </c>
      <c r="Z5409">
        <v>0</v>
      </c>
      <c r="AA5409">
        <v>9</v>
      </c>
      <c r="AB5409">
        <v>3</v>
      </c>
      <c r="AC5409">
        <v>0</v>
      </c>
      <c r="AD5409">
        <v>10</v>
      </c>
      <c r="AE5409">
        <v>0</v>
      </c>
      <c r="AF5409">
        <v>3</v>
      </c>
      <c r="AG5409">
        <v>2</v>
      </c>
      <c r="AH5409">
        <v>0</v>
      </c>
      <c r="AI5409" t="s">
        <v>1199</v>
      </c>
      <c r="AJ5409">
        <v>28.220572000000001</v>
      </c>
      <c r="AK5409" t="s">
        <v>1200</v>
      </c>
      <c r="AL5409">
        <v>-82.391689</v>
      </c>
      <c r="AM5409">
        <v>100</v>
      </c>
      <c r="AN5409">
        <v>1400</v>
      </c>
      <c r="AO5409" t="s">
        <v>118</v>
      </c>
      <c r="AP5409">
        <v>-61</v>
      </c>
      <c r="AQ5409">
        <v>-102</v>
      </c>
      <c r="AR5409">
        <v>-1152</v>
      </c>
      <c r="AZ5409">
        <v>1200</v>
      </c>
      <c r="BA5409">
        <v>1</v>
      </c>
      <c r="BB5409" t="str">
        <f t="shared" si="2501"/>
        <v xml:space="preserve">N711JA  </v>
      </c>
      <c r="BC5409">
        <v>1</v>
      </c>
      <c r="BE5409">
        <v>0</v>
      </c>
      <c r="BF5409">
        <v>0</v>
      </c>
      <c r="BG5409">
        <v>0</v>
      </c>
      <c r="BH5409">
        <v>1500</v>
      </c>
      <c r="BI5409">
        <v>1</v>
      </c>
      <c r="BJ5409">
        <v>1</v>
      </c>
      <c r="BK5409">
        <v>0</v>
      </c>
      <c r="BL5409">
        <v>0</v>
      </c>
      <c r="BO5409">
        <v>0</v>
      </c>
      <c r="BP5409">
        <v>0</v>
      </c>
      <c r="BW5409" t="str">
        <f t="shared" si="2509"/>
        <v>14:51:15.868</v>
      </c>
      <c r="CJ5409">
        <v>0</v>
      </c>
      <c r="CK5409">
        <v>2</v>
      </c>
      <c r="CL5409">
        <v>0</v>
      </c>
      <c r="CM5409">
        <v>2</v>
      </c>
      <c r="CN5409">
        <v>0</v>
      </c>
      <c r="CO5409">
        <v>7</v>
      </c>
      <c r="CP5409" t="s">
        <v>119</v>
      </c>
      <c r="CQ5409">
        <v>343</v>
      </c>
      <c r="CR5409">
        <v>1</v>
      </c>
      <c r="CW5409">
        <v>11150074</v>
      </c>
      <c r="CY5409">
        <v>1</v>
      </c>
      <c r="CZ5409">
        <v>0</v>
      </c>
      <c r="DA5409">
        <v>1</v>
      </c>
      <c r="DB5409">
        <v>0</v>
      </c>
      <c r="DC5409">
        <v>0</v>
      </c>
      <c r="DD5409">
        <v>1</v>
      </c>
      <c r="DE5409">
        <v>0</v>
      </c>
      <c r="DF5409">
        <v>0</v>
      </c>
      <c r="DG5409">
        <v>0</v>
      </c>
      <c r="DH5409">
        <v>0</v>
      </c>
      <c r="DI5409">
        <v>0</v>
      </c>
    </row>
    <row r="5410" spans="1:113" x14ac:dyDescent="0.3">
      <c r="A5410" t="str">
        <f t="shared" si="2506"/>
        <v>05/12/2020 14:50:58.039</v>
      </c>
      <c r="C5410" t="str">
        <f t="shared" si="2500"/>
        <v>FFDFD3C0</v>
      </c>
      <c r="D5410" t="s">
        <v>126</v>
      </c>
      <c r="E5410">
        <v>7</v>
      </c>
      <c r="F5410">
        <v>1007</v>
      </c>
      <c r="G5410" t="s">
        <v>127</v>
      </c>
      <c r="J5410" t="s">
        <v>128</v>
      </c>
      <c r="K5410">
        <v>0</v>
      </c>
      <c r="L5410">
        <v>3</v>
      </c>
      <c r="M5410">
        <v>0</v>
      </c>
      <c r="N5410">
        <v>2</v>
      </c>
      <c r="O5410">
        <v>1</v>
      </c>
      <c r="P5410">
        <v>0</v>
      </c>
      <c r="Q5410">
        <v>0</v>
      </c>
      <c r="S5410" t="str">
        <f t="shared" si="2507"/>
        <v>14:51:15.867</v>
      </c>
      <c r="T5410" t="str">
        <f t="shared" si="2508"/>
        <v>14:51:15.767</v>
      </c>
      <c r="U5410" t="str">
        <f t="shared" si="2492"/>
        <v>A9808D</v>
      </c>
      <c r="V5410">
        <v>0</v>
      </c>
      <c r="W5410">
        <v>0</v>
      </c>
      <c r="X5410">
        <v>1</v>
      </c>
      <c r="Z5410">
        <v>0</v>
      </c>
      <c r="AA5410">
        <v>9</v>
      </c>
      <c r="AB5410">
        <v>3</v>
      </c>
      <c r="AC5410">
        <v>0</v>
      </c>
      <c r="AD5410">
        <v>10</v>
      </c>
      <c r="AE5410">
        <v>0</v>
      </c>
      <c r="AF5410">
        <v>3</v>
      </c>
      <c r="AG5410">
        <v>2</v>
      </c>
      <c r="AH5410">
        <v>0</v>
      </c>
      <c r="AI5410" t="s">
        <v>1199</v>
      </c>
      <c r="AJ5410">
        <v>28.220572000000001</v>
      </c>
      <c r="AK5410" t="s">
        <v>1200</v>
      </c>
      <c r="AL5410">
        <v>-82.391689</v>
      </c>
      <c r="AM5410">
        <v>100</v>
      </c>
      <c r="AN5410">
        <v>1400</v>
      </c>
      <c r="AO5410" t="s">
        <v>118</v>
      </c>
      <c r="AP5410">
        <v>-61</v>
      </c>
      <c r="AQ5410">
        <v>-102</v>
      </c>
      <c r="AR5410">
        <v>-1152</v>
      </c>
      <c r="AZ5410">
        <v>1200</v>
      </c>
      <c r="BA5410">
        <v>1</v>
      </c>
      <c r="BB5410" t="str">
        <f t="shared" si="2501"/>
        <v xml:space="preserve">N711JA  </v>
      </c>
      <c r="BC5410">
        <v>1</v>
      </c>
      <c r="BE5410">
        <v>0</v>
      </c>
      <c r="BF5410">
        <v>0</v>
      </c>
      <c r="BG5410">
        <v>0</v>
      </c>
      <c r="BH5410">
        <v>1500</v>
      </c>
      <c r="BI5410">
        <v>1</v>
      </c>
      <c r="BJ5410">
        <v>1</v>
      </c>
      <c r="BK5410">
        <v>0</v>
      </c>
      <c r="BL5410">
        <v>0</v>
      </c>
      <c r="BO5410">
        <v>0</v>
      </c>
      <c r="BP5410">
        <v>0</v>
      </c>
      <c r="BW5410" t="str">
        <f t="shared" si="2509"/>
        <v>14:51:15.868</v>
      </c>
      <c r="CJ5410">
        <v>0</v>
      </c>
      <c r="CK5410">
        <v>2</v>
      </c>
      <c r="CL5410">
        <v>0</v>
      </c>
      <c r="CM5410">
        <v>2</v>
      </c>
      <c r="CN5410">
        <v>0</v>
      </c>
      <c r="CO5410">
        <v>7</v>
      </c>
      <c r="CP5410" t="s">
        <v>119</v>
      </c>
      <c r="CQ5410">
        <v>343</v>
      </c>
      <c r="CR5410">
        <v>1</v>
      </c>
      <c r="CW5410">
        <v>11150074</v>
      </c>
      <c r="CY5410">
        <v>1</v>
      </c>
      <c r="CZ5410">
        <v>0</v>
      </c>
      <c r="DA5410">
        <v>1</v>
      </c>
      <c r="DB5410">
        <v>0</v>
      </c>
      <c r="DC5410">
        <v>0</v>
      </c>
      <c r="DD5410">
        <v>1</v>
      </c>
      <c r="DE5410">
        <v>0</v>
      </c>
      <c r="DF5410">
        <v>0</v>
      </c>
      <c r="DG5410">
        <v>0</v>
      </c>
      <c r="DH5410">
        <v>0</v>
      </c>
      <c r="DI5410">
        <v>0</v>
      </c>
    </row>
    <row r="5411" spans="1:113" x14ac:dyDescent="0.3">
      <c r="A5411" t="str">
        <f t="shared" si="2506"/>
        <v>05/12/2020 14:50:58.039</v>
      </c>
      <c r="C5411" t="str">
        <f t="shared" si="2500"/>
        <v>FFDFD3C0</v>
      </c>
      <c r="D5411" t="s">
        <v>138</v>
      </c>
      <c r="E5411">
        <v>2</v>
      </c>
      <c r="H5411">
        <v>8</v>
      </c>
      <c r="I5411" t="s">
        <v>139</v>
      </c>
      <c r="J5411" t="s">
        <v>136</v>
      </c>
      <c r="K5411">
        <v>0</v>
      </c>
      <c r="L5411">
        <v>3</v>
      </c>
      <c r="M5411">
        <v>0</v>
      </c>
      <c r="N5411">
        <v>2</v>
      </c>
      <c r="O5411">
        <v>1</v>
      </c>
      <c r="P5411">
        <v>0</v>
      </c>
      <c r="Q5411">
        <v>0</v>
      </c>
      <c r="S5411" t="str">
        <f t="shared" si="2507"/>
        <v>14:51:15.867</v>
      </c>
      <c r="T5411" t="str">
        <f t="shared" si="2508"/>
        <v>14:51:15.767</v>
      </c>
      <c r="U5411" t="str">
        <f t="shared" si="2492"/>
        <v>A9808D</v>
      </c>
      <c r="V5411">
        <v>0</v>
      </c>
      <c r="W5411">
        <v>0</v>
      </c>
      <c r="X5411">
        <v>1</v>
      </c>
      <c r="Z5411">
        <v>0</v>
      </c>
      <c r="AA5411">
        <v>9</v>
      </c>
      <c r="AB5411">
        <v>3</v>
      </c>
      <c r="AC5411">
        <v>0</v>
      </c>
      <c r="AD5411">
        <v>10</v>
      </c>
      <c r="AE5411">
        <v>0</v>
      </c>
      <c r="AF5411">
        <v>3</v>
      </c>
      <c r="AG5411">
        <v>2</v>
      </c>
      <c r="AH5411">
        <v>0</v>
      </c>
      <c r="AI5411" t="s">
        <v>1199</v>
      </c>
      <c r="AJ5411">
        <v>28.220572000000001</v>
      </c>
      <c r="AK5411" t="s">
        <v>1200</v>
      </c>
      <c r="AL5411">
        <v>-82.391689</v>
      </c>
      <c r="AM5411">
        <v>100</v>
      </c>
      <c r="AN5411">
        <v>1400</v>
      </c>
      <c r="AO5411" t="s">
        <v>118</v>
      </c>
      <c r="AP5411">
        <v>-61</v>
      </c>
      <c r="AQ5411">
        <v>-102</v>
      </c>
      <c r="AR5411">
        <v>-1152</v>
      </c>
      <c r="AZ5411">
        <v>1200</v>
      </c>
      <c r="BA5411">
        <v>1</v>
      </c>
      <c r="BB5411" t="str">
        <f t="shared" si="2501"/>
        <v xml:space="preserve">N711JA  </v>
      </c>
      <c r="BC5411">
        <v>1</v>
      </c>
      <c r="BE5411">
        <v>0</v>
      </c>
      <c r="BF5411">
        <v>0</v>
      </c>
      <c r="BG5411">
        <v>0</v>
      </c>
      <c r="BH5411">
        <v>1500</v>
      </c>
      <c r="BI5411">
        <v>1</v>
      </c>
      <c r="BJ5411">
        <v>1</v>
      </c>
      <c r="BK5411">
        <v>0</v>
      </c>
      <c r="BL5411">
        <v>0</v>
      </c>
      <c r="BO5411">
        <v>0</v>
      </c>
      <c r="BP5411">
        <v>0</v>
      </c>
      <c r="BW5411" t="str">
        <f t="shared" si="2509"/>
        <v>14:51:15.868</v>
      </c>
      <c r="CJ5411">
        <v>0</v>
      </c>
      <c r="CK5411">
        <v>2</v>
      </c>
      <c r="CL5411">
        <v>0</v>
      </c>
      <c r="CM5411">
        <v>2</v>
      </c>
      <c r="CN5411">
        <v>0</v>
      </c>
      <c r="CO5411">
        <v>7</v>
      </c>
      <c r="CP5411" t="s">
        <v>119</v>
      </c>
      <c r="CQ5411">
        <v>343</v>
      </c>
      <c r="CR5411">
        <v>1</v>
      </c>
      <c r="CW5411">
        <v>11150074</v>
      </c>
      <c r="CY5411">
        <v>1</v>
      </c>
      <c r="CZ5411">
        <v>0</v>
      </c>
      <c r="DA5411">
        <v>1</v>
      </c>
      <c r="DB5411">
        <v>0</v>
      </c>
      <c r="DC5411">
        <v>0</v>
      </c>
      <c r="DD5411">
        <v>1</v>
      </c>
      <c r="DE5411">
        <v>0</v>
      </c>
      <c r="DF5411">
        <v>0</v>
      </c>
      <c r="DG5411">
        <v>0</v>
      </c>
      <c r="DH5411">
        <v>0</v>
      </c>
      <c r="DI5411">
        <v>0</v>
      </c>
    </row>
    <row r="5412" spans="1:113" x14ac:dyDescent="0.3">
      <c r="A5412" t="str">
        <f t="shared" si="2506"/>
        <v>05/12/2020 14:50:58.039</v>
      </c>
      <c r="C5412" t="str">
        <f t="shared" si="2500"/>
        <v>FFDFD3C0</v>
      </c>
      <c r="D5412" t="s">
        <v>131</v>
      </c>
      <c r="E5412">
        <v>12</v>
      </c>
      <c r="F5412">
        <v>2012</v>
      </c>
      <c r="G5412" t="s">
        <v>137</v>
      </c>
      <c r="J5412" t="s">
        <v>133</v>
      </c>
      <c r="K5412">
        <v>0</v>
      </c>
      <c r="L5412">
        <v>3</v>
      </c>
      <c r="M5412">
        <v>0</v>
      </c>
      <c r="N5412">
        <v>2</v>
      </c>
      <c r="O5412">
        <v>1</v>
      </c>
      <c r="P5412">
        <v>0</v>
      </c>
      <c r="Q5412">
        <v>0</v>
      </c>
      <c r="S5412" t="str">
        <f t="shared" si="2507"/>
        <v>14:51:15.867</v>
      </c>
      <c r="T5412" t="str">
        <f t="shared" si="2508"/>
        <v>14:51:15.767</v>
      </c>
      <c r="U5412" t="str">
        <f t="shared" si="2492"/>
        <v>A9808D</v>
      </c>
      <c r="V5412">
        <v>0</v>
      </c>
      <c r="W5412">
        <v>0</v>
      </c>
      <c r="X5412">
        <v>1</v>
      </c>
      <c r="Z5412">
        <v>0</v>
      </c>
      <c r="AA5412">
        <v>9</v>
      </c>
      <c r="AB5412">
        <v>3</v>
      </c>
      <c r="AC5412">
        <v>0</v>
      </c>
      <c r="AD5412">
        <v>10</v>
      </c>
      <c r="AE5412">
        <v>0</v>
      </c>
      <c r="AF5412">
        <v>3</v>
      </c>
      <c r="AG5412">
        <v>2</v>
      </c>
      <c r="AH5412">
        <v>0</v>
      </c>
      <c r="AI5412" t="s">
        <v>1199</v>
      </c>
      <c r="AJ5412">
        <v>28.220572000000001</v>
      </c>
      <c r="AK5412" t="s">
        <v>1200</v>
      </c>
      <c r="AL5412">
        <v>-82.391689</v>
      </c>
      <c r="AM5412">
        <v>100</v>
      </c>
      <c r="AN5412">
        <v>1400</v>
      </c>
      <c r="AO5412" t="s">
        <v>118</v>
      </c>
      <c r="AP5412">
        <v>-61</v>
      </c>
      <c r="AQ5412">
        <v>-102</v>
      </c>
      <c r="AR5412">
        <v>-1152</v>
      </c>
      <c r="AZ5412">
        <v>1200</v>
      </c>
      <c r="BA5412">
        <v>1</v>
      </c>
      <c r="BB5412" t="str">
        <f t="shared" si="2501"/>
        <v xml:space="preserve">N711JA  </v>
      </c>
      <c r="BC5412">
        <v>1</v>
      </c>
      <c r="BE5412">
        <v>0</v>
      </c>
      <c r="BF5412">
        <v>0</v>
      </c>
      <c r="BG5412">
        <v>0</v>
      </c>
      <c r="BH5412">
        <v>1500</v>
      </c>
      <c r="BI5412">
        <v>1</v>
      </c>
      <c r="BJ5412">
        <v>1</v>
      </c>
      <c r="BK5412">
        <v>0</v>
      </c>
      <c r="BL5412">
        <v>0</v>
      </c>
      <c r="BO5412">
        <v>0</v>
      </c>
      <c r="BP5412">
        <v>0</v>
      </c>
      <c r="BW5412" t="str">
        <f t="shared" si="2509"/>
        <v>14:51:15.868</v>
      </c>
      <c r="CJ5412">
        <v>0</v>
      </c>
      <c r="CK5412">
        <v>2</v>
      </c>
      <c r="CL5412">
        <v>0</v>
      </c>
      <c r="CM5412">
        <v>2</v>
      </c>
      <c r="CN5412">
        <v>0</v>
      </c>
      <c r="CO5412">
        <v>7</v>
      </c>
      <c r="CP5412" t="s">
        <v>119</v>
      </c>
      <c r="CQ5412">
        <v>343</v>
      </c>
      <c r="CR5412">
        <v>1</v>
      </c>
      <c r="CW5412">
        <v>11150074</v>
      </c>
      <c r="CY5412">
        <v>1</v>
      </c>
      <c r="CZ5412">
        <v>0</v>
      </c>
      <c r="DA5412">
        <v>1</v>
      </c>
      <c r="DB5412">
        <v>0</v>
      </c>
      <c r="DC5412">
        <v>0</v>
      </c>
      <c r="DD5412">
        <v>1</v>
      </c>
      <c r="DE5412">
        <v>0</v>
      </c>
      <c r="DF5412">
        <v>0</v>
      </c>
      <c r="DG5412">
        <v>0</v>
      </c>
      <c r="DH5412">
        <v>0</v>
      </c>
      <c r="DI5412">
        <v>0</v>
      </c>
    </row>
    <row r="5413" spans="1:113" x14ac:dyDescent="0.3">
      <c r="A5413" t="str">
        <f t="shared" si="2506"/>
        <v>05/12/2020 14:50:58.039</v>
      </c>
      <c r="C5413" t="str">
        <f t="shared" si="2500"/>
        <v>FFDFD3C0</v>
      </c>
      <c r="D5413" t="s">
        <v>138</v>
      </c>
      <c r="E5413">
        <v>3</v>
      </c>
      <c r="H5413">
        <v>9</v>
      </c>
      <c r="I5413" t="s">
        <v>140</v>
      </c>
      <c r="J5413" t="s">
        <v>136</v>
      </c>
      <c r="K5413">
        <v>0</v>
      </c>
      <c r="L5413">
        <v>3</v>
      </c>
      <c r="M5413">
        <v>0</v>
      </c>
      <c r="N5413">
        <v>2</v>
      </c>
      <c r="O5413">
        <v>1</v>
      </c>
      <c r="P5413">
        <v>0</v>
      </c>
      <c r="Q5413">
        <v>0</v>
      </c>
      <c r="S5413" t="str">
        <f t="shared" si="2507"/>
        <v>14:51:15.867</v>
      </c>
      <c r="T5413" t="str">
        <f t="shared" si="2508"/>
        <v>14:51:15.767</v>
      </c>
      <c r="U5413" t="str">
        <f t="shared" si="2492"/>
        <v>A9808D</v>
      </c>
      <c r="V5413">
        <v>0</v>
      </c>
      <c r="W5413">
        <v>0</v>
      </c>
      <c r="X5413">
        <v>1</v>
      </c>
      <c r="Z5413">
        <v>0</v>
      </c>
      <c r="AA5413">
        <v>9</v>
      </c>
      <c r="AB5413">
        <v>3</v>
      </c>
      <c r="AC5413">
        <v>0</v>
      </c>
      <c r="AD5413">
        <v>10</v>
      </c>
      <c r="AE5413">
        <v>0</v>
      </c>
      <c r="AF5413">
        <v>3</v>
      </c>
      <c r="AG5413">
        <v>2</v>
      </c>
      <c r="AH5413">
        <v>0</v>
      </c>
      <c r="AI5413" t="s">
        <v>1199</v>
      </c>
      <c r="AJ5413">
        <v>28.220572000000001</v>
      </c>
      <c r="AK5413" t="s">
        <v>1200</v>
      </c>
      <c r="AL5413">
        <v>-82.391689</v>
      </c>
      <c r="AM5413">
        <v>100</v>
      </c>
      <c r="AN5413">
        <v>1400</v>
      </c>
      <c r="AO5413" t="s">
        <v>118</v>
      </c>
      <c r="AP5413">
        <v>-61</v>
      </c>
      <c r="AQ5413">
        <v>-102</v>
      </c>
      <c r="AR5413">
        <v>-1152</v>
      </c>
      <c r="AZ5413">
        <v>1200</v>
      </c>
      <c r="BA5413">
        <v>1</v>
      </c>
      <c r="BB5413" t="str">
        <f t="shared" si="2501"/>
        <v xml:space="preserve">N711JA  </v>
      </c>
      <c r="BC5413">
        <v>1</v>
      </c>
      <c r="BE5413">
        <v>0</v>
      </c>
      <c r="BF5413">
        <v>0</v>
      </c>
      <c r="BG5413">
        <v>0</v>
      </c>
      <c r="BH5413">
        <v>1500</v>
      </c>
      <c r="BI5413">
        <v>1</v>
      </c>
      <c r="BJ5413">
        <v>1</v>
      </c>
      <c r="BK5413">
        <v>0</v>
      </c>
      <c r="BL5413">
        <v>0</v>
      </c>
      <c r="BO5413">
        <v>0</v>
      </c>
      <c r="BP5413">
        <v>0</v>
      </c>
      <c r="BW5413" t="str">
        <f t="shared" si="2509"/>
        <v>14:51:15.868</v>
      </c>
      <c r="CJ5413">
        <v>0</v>
      </c>
      <c r="CK5413">
        <v>2</v>
      </c>
      <c r="CL5413">
        <v>0</v>
      </c>
      <c r="CM5413">
        <v>2</v>
      </c>
      <c r="CN5413">
        <v>0</v>
      </c>
      <c r="CO5413">
        <v>7</v>
      </c>
      <c r="CP5413" t="s">
        <v>119</v>
      </c>
      <c r="CQ5413">
        <v>343</v>
      </c>
      <c r="CR5413">
        <v>1</v>
      </c>
      <c r="CW5413">
        <v>11150074</v>
      </c>
      <c r="CY5413">
        <v>1</v>
      </c>
      <c r="CZ5413">
        <v>0</v>
      </c>
      <c r="DA5413">
        <v>1</v>
      </c>
      <c r="DB5413">
        <v>0</v>
      </c>
      <c r="DC5413">
        <v>0</v>
      </c>
      <c r="DD5413">
        <v>1</v>
      </c>
      <c r="DE5413">
        <v>0</v>
      </c>
      <c r="DF5413">
        <v>0</v>
      </c>
      <c r="DG5413">
        <v>0</v>
      </c>
      <c r="DH5413">
        <v>0</v>
      </c>
      <c r="DI5413">
        <v>0</v>
      </c>
    </row>
    <row r="5414" spans="1:113" x14ac:dyDescent="0.3">
      <c r="A5414" t="str">
        <f t="shared" si="2506"/>
        <v>05/12/2020 14:50:58.039</v>
      </c>
      <c r="C5414" t="str">
        <f t="shared" si="2500"/>
        <v>FFDFD3C0</v>
      </c>
      <c r="D5414" t="s">
        <v>134</v>
      </c>
      <c r="E5414">
        <v>12</v>
      </c>
      <c r="H5414">
        <v>64</v>
      </c>
      <c r="I5414" t="s">
        <v>135</v>
      </c>
      <c r="J5414" t="s">
        <v>136</v>
      </c>
      <c r="K5414">
        <v>0</v>
      </c>
      <c r="L5414">
        <v>3</v>
      </c>
      <c r="M5414">
        <v>0</v>
      </c>
      <c r="N5414">
        <v>2</v>
      </c>
      <c r="O5414">
        <v>1</v>
      </c>
      <c r="P5414">
        <v>0</v>
      </c>
      <c r="Q5414">
        <v>0</v>
      </c>
      <c r="S5414" t="str">
        <f t="shared" si="2507"/>
        <v>14:51:15.867</v>
      </c>
      <c r="T5414" t="str">
        <f t="shared" si="2508"/>
        <v>14:51:15.767</v>
      </c>
      <c r="U5414" t="str">
        <f t="shared" si="2492"/>
        <v>A9808D</v>
      </c>
      <c r="V5414">
        <v>0</v>
      </c>
      <c r="W5414">
        <v>0</v>
      </c>
      <c r="X5414">
        <v>1</v>
      </c>
      <c r="Z5414">
        <v>0</v>
      </c>
      <c r="AA5414">
        <v>9</v>
      </c>
      <c r="AB5414">
        <v>3</v>
      </c>
      <c r="AC5414">
        <v>0</v>
      </c>
      <c r="AD5414">
        <v>10</v>
      </c>
      <c r="AE5414">
        <v>0</v>
      </c>
      <c r="AF5414">
        <v>3</v>
      </c>
      <c r="AG5414">
        <v>2</v>
      </c>
      <c r="AH5414">
        <v>0</v>
      </c>
      <c r="AI5414" t="s">
        <v>1199</v>
      </c>
      <c r="AJ5414">
        <v>28.220572000000001</v>
      </c>
      <c r="AK5414" t="s">
        <v>1200</v>
      </c>
      <c r="AL5414">
        <v>-82.391689</v>
      </c>
      <c r="AM5414">
        <v>100</v>
      </c>
      <c r="AN5414">
        <v>1400</v>
      </c>
      <c r="AO5414" t="s">
        <v>118</v>
      </c>
      <c r="AP5414">
        <v>-61</v>
      </c>
      <c r="AQ5414">
        <v>-102</v>
      </c>
      <c r="AR5414">
        <v>-1152</v>
      </c>
      <c r="AZ5414">
        <v>1200</v>
      </c>
      <c r="BA5414">
        <v>1</v>
      </c>
      <c r="BB5414" t="str">
        <f t="shared" si="2501"/>
        <v xml:space="preserve">N711JA  </v>
      </c>
      <c r="BC5414">
        <v>1</v>
      </c>
      <c r="BE5414">
        <v>0</v>
      </c>
      <c r="BF5414">
        <v>0</v>
      </c>
      <c r="BG5414">
        <v>0</v>
      </c>
      <c r="BH5414">
        <v>1500</v>
      </c>
      <c r="BI5414">
        <v>1</v>
      </c>
      <c r="BJ5414">
        <v>1</v>
      </c>
      <c r="BK5414">
        <v>0</v>
      </c>
      <c r="BL5414">
        <v>0</v>
      </c>
      <c r="BO5414">
        <v>0</v>
      </c>
      <c r="BP5414">
        <v>0</v>
      </c>
      <c r="BW5414" t="str">
        <f t="shared" si="2509"/>
        <v>14:51:15.868</v>
      </c>
      <c r="CJ5414">
        <v>0</v>
      </c>
      <c r="CK5414">
        <v>2</v>
      </c>
      <c r="CL5414">
        <v>0</v>
      </c>
      <c r="CM5414">
        <v>2</v>
      </c>
      <c r="CN5414">
        <v>0</v>
      </c>
      <c r="CO5414">
        <v>7</v>
      </c>
      <c r="CP5414" t="s">
        <v>119</v>
      </c>
      <c r="CQ5414">
        <v>343</v>
      </c>
      <c r="CR5414">
        <v>1</v>
      </c>
      <c r="CW5414">
        <v>11150074</v>
      </c>
      <c r="CY5414">
        <v>1</v>
      </c>
      <c r="CZ5414">
        <v>0</v>
      </c>
      <c r="DA5414">
        <v>1</v>
      </c>
      <c r="DB5414">
        <v>0</v>
      </c>
      <c r="DC5414">
        <v>0</v>
      </c>
      <c r="DD5414">
        <v>1</v>
      </c>
      <c r="DE5414">
        <v>0</v>
      </c>
      <c r="DF5414">
        <v>0</v>
      </c>
      <c r="DG5414">
        <v>0</v>
      </c>
      <c r="DH5414">
        <v>0</v>
      </c>
      <c r="DI5414">
        <v>0</v>
      </c>
    </row>
    <row r="5415" spans="1:113" x14ac:dyDescent="0.3">
      <c r="A5415" t="str">
        <f t="shared" ref="A5415:A5422" si="2510">"05/12/2020 14:50:59.047"</f>
        <v>05/12/2020 14:50:59.047</v>
      </c>
      <c r="C5415" t="str">
        <f t="shared" si="2500"/>
        <v>FFDFD3C0</v>
      </c>
      <c r="D5415" t="s">
        <v>126</v>
      </c>
      <c r="E5415">
        <v>6</v>
      </c>
      <c r="F5415">
        <v>1006</v>
      </c>
      <c r="G5415" t="s">
        <v>114</v>
      </c>
      <c r="J5415" t="s">
        <v>128</v>
      </c>
      <c r="K5415">
        <v>0</v>
      </c>
      <c r="L5415">
        <v>3</v>
      </c>
      <c r="M5415">
        <v>0</v>
      </c>
      <c r="N5415">
        <v>2</v>
      </c>
      <c r="O5415">
        <v>1</v>
      </c>
      <c r="P5415">
        <v>0</v>
      </c>
      <c r="Q5415">
        <v>0</v>
      </c>
      <c r="S5415" t="str">
        <f t="shared" ref="S5415:T5422" si="2511">"14:51:16.883"</f>
        <v>14:51:16.883</v>
      </c>
      <c r="T5415" t="str">
        <f t="shared" si="2511"/>
        <v>14:51:16.883</v>
      </c>
      <c r="U5415" t="str">
        <f t="shared" si="2492"/>
        <v>A9808D</v>
      </c>
      <c r="V5415">
        <v>0</v>
      </c>
      <c r="W5415">
        <v>0</v>
      </c>
      <c r="X5415">
        <v>1</v>
      </c>
      <c r="Z5415">
        <v>0</v>
      </c>
      <c r="AA5415">
        <v>9</v>
      </c>
      <c r="AB5415">
        <v>3</v>
      </c>
      <c r="AC5415">
        <v>0</v>
      </c>
      <c r="AD5415">
        <v>10</v>
      </c>
      <c r="AE5415">
        <v>0</v>
      </c>
      <c r="AF5415">
        <v>3</v>
      </c>
      <c r="AG5415">
        <v>2</v>
      </c>
      <c r="AH5415">
        <v>0</v>
      </c>
      <c r="AI5415" t="s">
        <v>1201</v>
      </c>
      <c r="AJ5415">
        <v>28.220099999999999</v>
      </c>
      <c r="AK5415" t="s">
        <v>1202</v>
      </c>
      <c r="AL5415">
        <v>-82.391968000000006</v>
      </c>
      <c r="AM5415">
        <v>100</v>
      </c>
      <c r="AN5415">
        <v>1400</v>
      </c>
      <c r="AO5415" t="s">
        <v>118</v>
      </c>
      <c r="AP5415">
        <v>-55</v>
      </c>
      <c r="AQ5415">
        <v>-104</v>
      </c>
      <c r="AR5415">
        <v>-1152</v>
      </c>
      <c r="AZ5415">
        <v>1200</v>
      </c>
      <c r="BA5415">
        <v>1</v>
      </c>
      <c r="BB5415" t="str">
        <f t="shared" si="2501"/>
        <v xml:space="preserve">N711JA  </v>
      </c>
      <c r="BC5415">
        <v>1</v>
      </c>
      <c r="BE5415">
        <v>0</v>
      </c>
      <c r="BF5415">
        <v>0</v>
      </c>
      <c r="BG5415">
        <v>0</v>
      </c>
      <c r="BH5415">
        <v>1475</v>
      </c>
      <c r="BI5415">
        <v>1</v>
      </c>
      <c r="BJ5415">
        <v>1</v>
      </c>
      <c r="BK5415">
        <v>0</v>
      </c>
      <c r="BL5415">
        <v>0</v>
      </c>
      <c r="BO5415">
        <v>0</v>
      </c>
      <c r="BP5415">
        <v>0</v>
      </c>
      <c r="BW5415" t="str">
        <f t="shared" ref="BW5415:BW5422" si="2512">"14:51:16.886"</f>
        <v>14:51:16.886</v>
      </c>
      <c r="CJ5415">
        <v>0</v>
      </c>
      <c r="CK5415">
        <v>2</v>
      </c>
      <c r="CL5415">
        <v>0</v>
      </c>
      <c r="CM5415">
        <v>2</v>
      </c>
      <c r="CN5415">
        <v>0</v>
      </c>
      <c r="CO5415">
        <v>7</v>
      </c>
      <c r="CP5415" t="s">
        <v>119</v>
      </c>
      <c r="CQ5415">
        <v>343</v>
      </c>
      <c r="CR5415">
        <v>1</v>
      </c>
      <c r="CW5415">
        <v>11151055</v>
      </c>
      <c r="CY5415">
        <v>1</v>
      </c>
      <c r="CZ5415">
        <v>0</v>
      </c>
      <c r="DA5415">
        <v>0</v>
      </c>
      <c r="DB5415">
        <v>0</v>
      </c>
      <c r="DC5415">
        <v>0</v>
      </c>
      <c r="DD5415">
        <v>1</v>
      </c>
      <c r="DE5415">
        <v>0</v>
      </c>
      <c r="DF5415">
        <v>0</v>
      </c>
      <c r="DG5415">
        <v>0</v>
      </c>
      <c r="DH5415">
        <v>0</v>
      </c>
      <c r="DI5415">
        <v>0</v>
      </c>
    </row>
    <row r="5416" spans="1:113" x14ac:dyDescent="0.3">
      <c r="A5416" t="str">
        <f t="shared" si="2510"/>
        <v>05/12/2020 14:50:59.047</v>
      </c>
      <c r="C5416" t="str">
        <f t="shared" si="2500"/>
        <v>FFDFD3C0</v>
      </c>
      <c r="D5416" t="s">
        <v>113</v>
      </c>
      <c r="E5416">
        <v>3</v>
      </c>
      <c r="H5416">
        <v>164</v>
      </c>
      <c r="I5416" t="s">
        <v>114</v>
      </c>
      <c r="J5416" t="s">
        <v>115</v>
      </c>
      <c r="K5416">
        <v>0</v>
      </c>
      <c r="L5416">
        <v>3</v>
      </c>
      <c r="M5416">
        <v>0</v>
      </c>
      <c r="N5416">
        <v>2</v>
      </c>
      <c r="O5416">
        <v>1</v>
      </c>
      <c r="P5416">
        <v>0</v>
      </c>
      <c r="Q5416">
        <v>0</v>
      </c>
      <c r="S5416" t="str">
        <f t="shared" si="2511"/>
        <v>14:51:16.883</v>
      </c>
      <c r="T5416" t="str">
        <f t="shared" si="2511"/>
        <v>14:51:16.883</v>
      </c>
      <c r="U5416" t="str">
        <f t="shared" si="2492"/>
        <v>A9808D</v>
      </c>
      <c r="V5416">
        <v>0</v>
      </c>
      <c r="W5416">
        <v>0</v>
      </c>
      <c r="X5416">
        <v>1</v>
      </c>
      <c r="Z5416">
        <v>0</v>
      </c>
      <c r="AA5416">
        <v>9</v>
      </c>
      <c r="AB5416">
        <v>3</v>
      </c>
      <c r="AC5416">
        <v>0</v>
      </c>
      <c r="AD5416">
        <v>10</v>
      </c>
      <c r="AE5416">
        <v>0</v>
      </c>
      <c r="AF5416">
        <v>3</v>
      </c>
      <c r="AG5416">
        <v>2</v>
      </c>
      <c r="AH5416">
        <v>0</v>
      </c>
      <c r="AI5416" t="s">
        <v>1201</v>
      </c>
      <c r="AJ5416">
        <v>28.220099999999999</v>
      </c>
      <c r="AK5416" t="s">
        <v>1202</v>
      </c>
      <c r="AL5416">
        <v>-82.391968000000006</v>
      </c>
      <c r="AM5416">
        <v>100</v>
      </c>
      <c r="AN5416">
        <v>1400</v>
      </c>
      <c r="AO5416" t="s">
        <v>118</v>
      </c>
      <c r="AP5416">
        <v>-55</v>
      </c>
      <c r="AQ5416">
        <v>-104</v>
      </c>
      <c r="AR5416">
        <v>-1152</v>
      </c>
      <c r="AZ5416">
        <v>1200</v>
      </c>
      <c r="BA5416">
        <v>1</v>
      </c>
      <c r="BB5416" t="str">
        <f t="shared" si="2501"/>
        <v xml:space="preserve">N711JA  </v>
      </c>
      <c r="BC5416">
        <v>1</v>
      </c>
      <c r="BE5416">
        <v>0</v>
      </c>
      <c r="BF5416">
        <v>0</v>
      </c>
      <c r="BG5416">
        <v>0</v>
      </c>
      <c r="BH5416">
        <v>1475</v>
      </c>
      <c r="BI5416">
        <v>1</v>
      </c>
      <c r="BJ5416">
        <v>1</v>
      </c>
      <c r="BK5416">
        <v>0</v>
      </c>
      <c r="BL5416">
        <v>0</v>
      </c>
      <c r="BO5416">
        <v>0</v>
      </c>
      <c r="BP5416">
        <v>0</v>
      </c>
      <c r="BW5416" t="str">
        <f t="shared" si="2512"/>
        <v>14:51:16.886</v>
      </c>
      <c r="CJ5416">
        <v>0</v>
      </c>
      <c r="CK5416">
        <v>2</v>
      </c>
      <c r="CL5416">
        <v>0</v>
      </c>
      <c r="CM5416">
        <v>2</v>
      </c>
      <c r="CN5416">
        <v>0</v>
      </c>
      <c r="CO5416">
        <v>7</v>
      </c>
      <c r="CP5416" t="s">
        <v>119</v>
      </c>
      <c r="CQ5416">
        <v>343</v>
      </c>
      <c r="CR5416">
        <v>1</v>
      </c>
      <c r="CW5416">
        <v>11151055</v>
      </c>
      <c r="CY5416">
        <v>1</v>
      </c>
      <c r="CZ5416">
        <v>0</v>
      </c>
      <c r="DA5416">
        <v>1</v>
      </c>
      <c r="DB5416">
        <v>0</v>
      </c>
      <c r="DC5416">
        <v>0</v>
      </c>
      <c r="DD5416">
        <v>1</v>
      </c>
      <c r="DE5416">
        <v>0</v>
      </c>
      <c r="DF5416">
        <v>0</v>
      </c>
      <c r="DG5416">
        <v>0</v>
      </c>
      <c r="DH5416">
        <v>0</v>
      </c>
      <c r="DI5416">
        <v>0</v>
      </c>
    </row>
    <row r="5417" spans="1:113" x14ac:dyDescent="0.3">
      <c r="A5417" t="str">
        <f t="shared" si="2510"/>
        <v>05/12/2020 14:50:59.047</v>
      </c>
      <c r="C5417" t="str">
        <f t="shared" si="2500"/>
        <v>FFDFD3C0</v>
      </c>
      <c r="D5417" t="s">
        <v>131</v>
      </c>
      <c r="E5417">
        <v>10</v>
      </c>
      <c r="F5417">
        <v>2010</v>
      </c>
      <c r="G5417" t="s">
        <v>132</v>
      </c>
      <c r="J5417" t="s">
        <v>133</v>
      </c>
      <c r="K5417">
        <v>0</v>
      </c>
      <c r="L5417">
        <v>3</v>
      </c>
      <c r="M5417">
        <v>0</v>
      </c>
      <c r="N5417">
        <v>2</v>
      </c>
      <c r="O5417">
        <v>1</v>
      </c>
      <c r="P5417">
        <v>0</v>
      </c>
      <c r="Q5417">
        <v>0</v>
      </c>
      <c r="S5417" t="str">
        <f t="shared" si="2511"/>
        <v>14:51:16.883</v>
      </c>
      <c r="T5417" t="str">
        <f t="shared" si="2511"/>
        <v>14:51:16.883</v>
      </c>
      <c r="U5417" t="str">
        <f t="shared" si="2492"/>
        <v>A9808D</v>
      </c>
      <c r="V5417">
        <v>0</v>
      </c>
      <c r="W5417">
        <v>0</v>
      </c>
      <c r="X5417">
        <v>1</v>
      </c>
      <c r="Z5417">
        <v>0</v>
      </c>
      <c r="AA5417">
        <v>9</v>
      </c>
      <c r="AB5417">
        <v>3</v>
      </c>
      <c r="AC5417">
        <v>0</v>
      </c>
      <c r="AD5417">
        <v>10</v>
      </c>
      <c r="AE5417">
        <v>0</v>
      </c>
      <c r="AF5417">
        <v>3</v>
      </c>
      <c r="AG5417">
        <v>2</v>
      </c>
      <c r="AH5417">
        <v>0</v>
      </c>
      <c r="AI5417" t="s">
        <v>1201</v>
      </c>
      <c r="AJ5417">
        <v>28.220099999999999</v>
      </c>
      <c r="AK5417" t="s">
        <v>1202</v>
      </c>
      <c r="AL5417">
        <v>-82.391968000000006</v>
      </c>
      <c r="AM5417">
        <v>100</v>
      </c>
      <c r="AN5417">
        <v>1400</v>
      </c>
      <c r="AO5417" t="s">
        <v>118</v>
      </c>
      <c r="AP5417">
        <v>-55</v>
      </c>
      <c r="AQ5417">
        <v>-104</v>
      </c>
      <c r="AR5417">
        <v>-1152</v>
      </c>
      <c r="AZ5417">
        <v>1200</v>
      </c>
      <c r="BA5417">
        <v>1</v>
      </c>
      <c r="BB5417" t="str">
        <f t="shared" si="2501"/>
        <v xml:space="preserve">N711JA  </v>
      </c>
      <c r="BC5417">
        <v>1</v>
      </c>
      <c r="BE5417">
        <v>0</v>
      </c>
      <c r="BF5417">
        <v>0</v>
      </c>
      <c r="BG5417">
        <v>0</v>
      </c>
      <c r="BH5417">
        <v>1475</v>
      </c>
      <c r="BI5417">
        <v>1</v>
      </c>
      <c r="BJ5417">
        <v>1</v>
      </c>
      <c r="BK5417">
        <v>0</v>
      </c>
      <c r="BL5417">
        <v>0</v>
      </c>
      <c r="BO5417">
        <v>0</v>
      </c>
      <c r="BP5417">
        <v>0</v>
      </c>
      <c r="BW5417" t="str">
        <f t="shared" si="2512"/>
        <v>14:51:16.886</v>
      </c>
      <c r="CJ5417">
        <v>0</v>
      </c>
      <c r="CK5417">
        <v>2</v>
      </c>
      <c r="CL5417">
        <v>0</v>
      </c>
      <c r="CM5417">
        <v>2</v>
      </c>
      <c r="CN5417">
        <v>0</v>
      </c>
      <c r="CO5417">
        <v>7</v>
      </c>
      <c r="CP5417" t="s">
        <v>119</v>
      </c>
      <c r="CQ5417">
        <v>343</v>
      </c>
      <c r="CR5417">
        <v>1</v>
      </c>
      <c r="CW5417">
        <v>11151055</v>
      </c>
      <c r="CY5417">
        <v>1</v>
      </c>
      <c r="CZ5417">
        <v>0</v>
      </c>
      <c r="DA5417">
        <v>1</v>
      </c>
      <c r="DB5417">
        <v>0</v>
      </c>
      <c r="DC5417">
        <v>0</v>
      </c>
      <c r="DD5417">
        <v>1</v>
      </c>
      <c r="DE5417">
        <v>0</v>
      </c>
      <c r="DF5417">
        <v>0</v>
      </c>
      <c r="DG5417">
        <v>0</v>
      </c>
      <c r="DH5417">
        <v>0</v>
      </c>
      <c r="DI5417">
        <v>0</v>
      </c>
    </row>
    <row r="5418" spans="1:113" x14ac:dyDescent="0.3">
      <c r="A5418" t="str">
        <f t="shared" si="2510"/>
        <v>05/12/2020 14:50:59.047</v>
      </c>
      <c r="C5418" t="str">
        <f t="shared" si="2500"/>
        <v>FFDFD3C0</v>
      </c>
      <c r="D5418" t="s">
        <v>126</v>
      </c>
      <c r="E5418">
        <v>7</v>
      </c>
      <c r="F5418">
        <v>1007</v>
      </c>
      <c r="G5418" t="s">
        <v>127</v>
      </c>
      <c r="J5418" t="s">
        <v>128</v>
      </c>
      <c r="K5418">
        <v>0</v>
      </c>
      <c r="L5418">
        <v>3</v>
      </c>
      <c r="M5418">
        <v>0</v>
      </c>
      <c r="N5418">
        <v>2</v>
      </c>
      <c r="O5418">
        <v>1</v>
      </c>
      <c r="P5418">
        <v>0</v>
      </c>
      <c r="Q5418">
        <v>0</v>
      </c>
      <c r="S5418" t="str">
        <f t="shared" si="2511"/>
        <v>14:51:16.883</v>
      </c>
      <c r="T5418" t="str">
        <f t="shared" si="2511"/>
        <v>14:51:16.883</v>
      </c>
      <c r="U5418" t="str">
        <f t="shared" si="2492"/>
        <v>A9808D</v>
      </c>
      <c r="V5418">
        <v>0</v>
      </c>
      <c r="W5418">
        <v>0</v>
      </c>
      <c r="X5418">
        <v>1</v>
      </c>
      <c r="Z5418">
        <v>0</v>
      </c>
      <c r="AA5418">
        <v>9</v>
      </c>
      <c r="AB5418">
        <v>3</v>
      </c>
      <c r="AC5418">
        <v>0</v>
      </c>
      <c r="AD5418">
        <v>10</v>
      </c>
      <c r="AE5418">
        <v>0</v>
      </c>
      <c r="AF5418">
        <v>3</v>
      </c>
      <c r="AG5418">
        <v>2</v>
      </c>
      <c r="AH5418">
        <v>0</v>
      </c>
      <c r="AI5418" t="s">
        <v>1201</v>
      </c>
      <c r="AJ5418">
        <v>28.220099999999999</v>
      </c>
      <c r="AK5418" t="s">
        <v>1202</v>
      </c>
      <c r="AL5418">
        <v>-82.391968000000006</v>
      </c>
      <c r="AM5418">
        <v>100</v>
      </c>
      <c r="AN5418">
        <v>1400</v>
      </c>
      <c r="AO5418" t="s">
        <v>118</v>
      </c>
      <c r="AP5418">
        <v>-55</v>
      </c>
      <c r="AQ5418">
        <v>-104</v>
      </c>
      <c r="AR5418">
        <v>-1152</v>
      </c>
      <c r="AZ5418">
        <v>1200</v>
      </c>
      <c r="BA5418">
        <v>1</v>
      </c>
      <c r="BB5418" t="str">
        <f t="shared" si="2501"/>
        <v xml:space="preserve">N711JA  </v>
      </c>
      <c r="BC5418">
        <v>1</v>
      </c>
      <c r="BE5418">
        <v>0</v>
      </c>
      <c r="BF5418">
        <v>0</v>
      </c>
      <c r="BG5418">
        <v>0</v>
      </c>
      <c r="BH5418">
        <v>1475</v>
      </c>
      <c r="BI5418">
        <v>1</v>
      </c>
      <c r="BJ5418">
        <v>1</v>
      </c>
      <c r="BK5418">
        <v>0</v>
      </c>
      <c r="BL5418">
        <v>0</v>
      </c>
      <c r="BO5418">
        <v>0</v>
      </c>
      <c r="BP5418">
        <v>0</v>
      </c>
      <c r="BW5418" t="str">
        <f t="shared" si="2512"/>
        <v>14:51:16.886</v>
      </c>
      <c r="CJ5418">
        <v>0</v>
      </c>
      <c r="CK5418">
        <v>2</v>
      </c>
      <c r="CL5418">
        <v>0</v>
      </c>
      <c r="CM5418">
        <v>2</v>
      </c>
      <c r="CN5418">
        <v>0</v>
      </c>
      <c r="CO5418">
        <v>7</v>
      </c>
      <c r="CP5418" t="s">
        <v>119</v>
      </c>
      <c r="CQ5418">
        <v>343</v>
      </c>
      <c r="CR5418">
        <v>1</v>
      </c>
      <c r="CW5418">
        <v>11151055</v>
      </c>
      <c r="CY5418">
        <v>1</v>
      </c>
      <c r="CZ5418">
        <v>0</v>
      </c>
      <c r="DA5418">
        <v>1</v>
      </c>
      <c r="DB5418">
        <v>0</v>
      </c>
      <c r="DC5418">
        <v>0</v>
      </c>
      <c r="DD5418">
        <v>1</v>
      </c>
      <c r="DE5418">
        <v>0</v>
      </c>
      <c r="DF5418">
        <v>0</v>
      </c>
      <c r="DG5418">
        <v>0</v>
      </c>
      <c r="DH5418">
        <v>0</v>
      </c>
      <c r="DI5418">
        <v>0</v>
      </c>
    </row>
    <row r="5419" spans="1:113" x14ac:dyDescent="0.3">
      <c r="A5419" t="str">
        <f t="shared" si="2510"/>
        <v>05/12/2020 14:50:59.047</v>
      </c>
      <c r="C5419" t="str">
        <f t="shared" si="2500"/>
        <v>FFDFD3C0</v>
      </c>
      <c r="D5419" t="s">
        <v>131</v>
      </c>
      <c r="E5419">
        <v>12</v>
      </c>
      <c r="F5419">
        <v>2012</v>
      </c>
      <c r="G5419" t="s">
        <v>137</v>
      </c>
      <c r="J5419" t="s">
        <v>133</v>
      </c>
      <c r="K5419">
        <v>0</v>
      </c>
      <c r="L5419">
        <v>3</v>
      </c>
      <c r="M5419">
        <v>0</v>
      </c>
      <c r="N5419">
        <v>2</v>
      </c>
      <c r="O5419">
        <v>1</v>
      </c>
      <c r="P5419">
        <v>0</v>
      </c>
      <c r="Q5419">
        <v>0</v>
      </c>
      <c r="S5419" t="str">
        <f t="shared" si="2511"/>
        <v>14:51:16.883</v>
      </c>
      <c r="T5419" t="str">
        <f t="shared" si="2511"/>
        <v>14:51:16.883</v>
      </c>
      <c r="U5419" t="str">
        <f t="shared" si="2492"/>
        <v>A9808D</v>
      </c>
      <c r="V5419">
        <v>0</v>
      </c>
      <c r="W5419">
        <v>0</v>
      </c>
      <c r="X5419">
        <v>1</v>
      </c>
      <c r="Z5419">
        <v>0</v>
      </c>
      <c r="AA5419">
        <v>9</v>
      </c>
      <c r="AB5419">
        <v>3</v>
      </c>
      <c r="AC5419">
        <v>0</v>
      </c>
      <c r="AD5419">
        <v>10</v>
      </c>
      <c r="AE5419">
        <v>0</v>
      </c>
      <c r="AF5419">
        <v>3</v>
      </c>
      <c r="AG5419">
        <v>2</v>
      </c>
      <c r="AH5419">
        <v>0</v>
      </c>
      <c r="AI5419" t="s">
        <v>1201</v>
      </c>
      <c r="AJ5419">
        <v>28.220099999999999</v>
      </c>
      <c r="AK5419" t="s">
        <v>1202</v>
      </c>
      <c r="AL5419">
        <v>-82.391968000000006</v>
      </c>
      <c r="AM5419">
        <v>100</v>
      </c>
      <c r="AN5419">
        <v>1400</v>
      </c>
      <c r="AO5419" t="s">
        <v>118</v>
      </c>
      <c r="AP5419">
        <v>-55</v>
      </c>
      <c r="AQ5419">
        <v>-104</v>
      </c>
      <c r="AR5419">
        <v>-1152</v>
      </c>
      <c r="AZ5419">
        <v>1200</v>
      </c>
      <c r="BA5419">
        <v>1</v>
      </c>
      <c r="BB5419" t="str">
        <f t="shared" si="2501"/>
        <v xml:space="preserve">N711JA  </v>
      </c>
      <c r="BC5419">
        <v>1</v>
      </c>
      <c r="BE5419">
        <v>0</v>
      </c>
      <c r="BF5419">
        <v>0</v>
      </c>
      <c r="BG5419">
        <v>0</v>
      </c>
      <c r="BH5419">
        <v>1475</v>
      </c>
      <c r="BI5419">
        <v>1</v>
      </c>
      <c r="BJ5419">
        <v>1</v>
      </c>
      <c r="BK5419">
        <v>0</v>
      </c>
      <c r="BL5419">
        <v>0</v>
      </c>
      <c r="BO5419">
        <v>0</v>
      </c>
      <c r="BP5419">
        <v>0</v>
      </c>
      <c r="BW5419" t="str">
        <f t="shared" si="2512"/>
        <v>14:51:16.886</v>
      </c>
      <c r="CJ5419">
        <v>0</v>
      </c>
      <c r="CK5419">
        <v>2</v>
      </c>
      <c r="CL5419">
        <v>0</v>
      </c>
      <c r="CM5419">
        <v>2</v>
      </c>
      <c r="CN5419">
        <v>0</v>
      </c>
      <c r="CO5419">
        <v>7</v>
      </c>
      <c r="CP5419" t="s">
        <v>119</v>
      </c>
      <c r="CQ5419">
        <v>343</v>
      </c>
      <c r="CR5419">
        <v>1</v>
      </c>
      <c r="CW5419">
        <v>11151055</v>
      </c>
      <c r="CY5419">
        <v>1</v>
      </c>
      <c r="CZ5419">
        <v>0</v>
      </c>
      <c r="DA5419">
        <v>1</v>
      </c>
      <c r="DB5419">
        <v>0</v>
      </c>
      <c r="DC5419">
        <v>0</v>
      </c>
      <c r="DD5419">
        <v>1</v>
      </c>
      <c r="DE5419">
        <v>0</v>
      </c>
      <c r="DF5419">
        <v>0</v>
      </c>
      <c r="DG5419">
        <v>0</v>
      </c>
      <c r="DH5419">
        <v>0</v>
      </c>
      <c r="DI5419">
        <v>0</v>
      </c>
    </row>
    <row r="5420" spans="1:113" x14ac:dyDescent="0.3">
      <c r="A5420" t="str">
        <f t="shared" si="2510"/>
        <v>05/12/2020 14:50:59.047</v>
      </c>
      <c r="C5420" t="str">
        <f t="shared" si="2500"/>
        <v>FFDFD3C0</v>
      </c>
      <c r="D5420" t="s">
        <v>138</v>
      </c>
      <c r="E5420">
        <v>2</v>
      </c>
      <c r="H5420">
        <v>8</v>
      </c>
      <c r="I5420" t="s">
        <v>139</v>
      </c>
      <c r="J5420" t="s">
        <v>136</v>
      </c>
      <c r="K5420">
        <v>0</v>
      </c>
      <c r="L5420">
        <v>3</v>
      </c>
      <c r="M5420">
        <v>0</v>
      </c>
      <c r="N5420">
        <v>2</v>
      </c>
      <c r="O5420">
        <v>1</v>
      </c>
      <c r="P5420">
        <v>0</v>
      </c>
      <c r="Q5420">
        <v>0</v>
      </c>
      <c r="S5420" t="str">
        <f t="shared" si="2511"/>
        <v>14:51:16.883</v>
      </c>
      <c r="T5420" t="str">
        <f t="shared" si="2511"/>
        <v>14:51:16.883</v>
      </c>
      <c r="U5420" t="str">
        <f t="shared" si="2492"/>
        <v>A9808D</v>
      </c>
      <c r="V5420">
        <v>0</v>
      </c>
      <c r="W5420">
        <v>0</v>
      </c>
      <c r="X5420">
        <v>1</v>
      </c>
      <c r="Z5420">
        <v>0</v>
      </c>
      <c r="AA5420">
        <v>9</v>
      </c>
      <c r="AB5420">
        <v>3</v>
      </c>
      <c r="AC5420">
        <v>0</v>
      </c>
      <c r="AD5420">
        <v>10</v>
      </c>
      <c r="AE5420">
        <v>0</v>
      </c>
      <c r="AF5420">
        <v>3</v>
      </c>
      <c r="AG5420">
        <v>2</v>
      </c>
      <c r="AH5420">
        <v>0</v>
      </c>
      <c r="AI5420" t="s">
        <v>1201</v>
      </c>
      <c r="AJ5420">
        <v>28.220099999999999</v>
      </c>
      <c r="AK5420" t="s">
        <v>1202</v>
      </c>
      <c r="AL5420">
        <v>-82.391968000000006</v>
      </c>
      <c r="AM5420">
        <v>100</v>
      </c>
      <c r="AN5420">
        <v>1400</v>
      </c>
      <c r="AO5420" t="s">
        <v>118</v>
      </c>
      <c r="AP5420">
        <v>-55</v>
      </c>
      <c r="AQ5420">
        <v>-104</v>
      </c>
      <c r="AR5420">
        <v>-1152</v>
      </c>
      <c r="AZ5420">
        <v>1200</v>
      </c>
      <c r="BA5420">
        <v>1</v>
      </c>
      <c r="BB5420" t="str">
        <f t="shared" si="2501"/>
        <v xml:space="preserve">N711JA  </v>
      </c>
      <c r="BC5420">
        <v>1</v>
      </c>
      <c r="BE5420">
        <v>0</v>
      </c>
      <c r="BF5420">
        <v>0</v>
      </c>
      <c r="BG5420">
        <v>0</v>
      </c>
      <c r="BH5420">
        <v>1475</v>
      </c>
      <c r="BI5420">
        <v>1</v>
      </c>
      <c r="BJ5420">
        <v>1</v>
      </c>
      <c r="BK5420">
        <v>0</v>
      </c>
      <c r="BL5420">
        <v>0</v>
      </c>
      <c r="BO5420">
        <v>0</v>
      </c>
      <c r="BP5420">
        <v>0</v>
      </c>
      <c r="BW5420" t="str">
        <f t="shared" si="2512"/>
        <v>14:51:16.886</v>
      </c>
      <c r="CJ5420">
        <v>0</v>
      </c>
      <c r="CK5420">
        <v>2</v>
      </c>
      <c r="CL5420">
        <v>0</v>
      </c>
      <c r="CM5420">
        <v>2</v>
      </c>
      <c r="CN5420">
        <v>0</v>
      </c>
      <c r="CO5420">
        <v>7</v>
      </c>
      <c r="CP5420" t="s">
        <v>119</v>
      </c>
      <c r="CQ5420">
        <v>343</v>
      </c>
      <c r="CR5420">
        <v>1</v>
      </c>
      <c r="CW5420">
        <v>11151055</v>
      </c>
      <c r="CY5420">
        <v>1</v>
      </c>
      <c r="CZ5420">
        <v>0</v>
      </c>
      <c r="DA5420">
        <v>1</v>
      </c>
      <c r="DB5420">
        <v>0</v>
      </c>
      <c r="DC5420">
        <v>0</v>
      </c>
      <c r="DD5420">
        <v>1</v>
      </c>
      <c r="DE5420">
        <v>0</v>
      </c>
      <c r="DF5420">
        <v>0</v>
      </c>
      <c r="DG5420">
        <v>0</v>
      </c>
      <c r="DH5420">
        <v>0</v>
      </c>
      <c r="DI5420">
        <v>0</v>
      </c>
    </row>
    <row r="5421" spans="1:113" x14ac:dyDescent="0.3">
      <c r="A5421" t="str">
        <f t="shared" si="2510"/>
        <v>05/12/2020 14:50:59.047</v>
      </c>
      <c r="C5421" t="str">
        <f t="shared" si="2500"/>
        <v>FFDFD3C0</v>
      </c>
      <c r="D5421" t="s">
        <v>138</v>
      </c>
      <c r="E5421">
        <v>3</v>
      </c>
      <c r="H5421">
        <v>9</v>
      </c>
      <c r="I5421" t="s">
        <v>140</v>
      </c>
      <c r="J5421" t="s">
        <v>136</v>
      </c>
      <c r="K5421">
        <v>0</v>
      </c>
      <c r="L5421">
        <v>3</v>
      </c>
      <c r="M5421">
        <v>0</v>
      </c>
      <c r="N5421">
        <v>2</v>
      </c>
      <c r="O5421">
        <v>1</v>
      </c>
      <c r="P5421">
        <v>0</v>
      </c>
      <c r="Q5421">
        <v>0</v>
      </c>
      <c r="S5421" t="str">
        <f t="shared" si="2511"/>
        <v>14:51:16.883</v>
      </c>
      <c r="T5421" t="str">
        <f t="shared" si="2511"/>
        <v>14:51:16.883</v>
      </c>
      <c r="U5421" t="str">
        <f t="shared" si="2492"/>
        <v>A9808D</v>
      </c>
      <c r="V5421">
        <v>0</v>
      </c>
      <c r="W5421">
        <v>0</v>
      </c>
      <c r="X5421">
        <v>1</v>
      </c>
      <c r="Z5421">
        <v>0</v>
      </c>
      <c r="AA5421">
        <v>9</v>
      </c>
      <c r="AB5421">
        <v>3</v>
      </c>
      <c r="AC5421">
        <v>0</v>
      </c>
      <c r="AD5421">
        <v>10</v>
      </c>
      <c r="AE5421">
        <v>0</v>
      </c>
      <c r="AF5421">
        <v>3</v>
      </c>
      <c r="AG5421">
        <v>2</v>
      </c>
      <c r="AH5421">
        <v>0</v>
      </c>
      <c r="AI5421" t="s">
        <v>1201</v>
      </c>
      <c r="AJ5421">
        <v>28.220099999999999</v>
      </c>
      <c r="AK5421" t="s">
        <v>1202</v>
      </c>
      <c r="AL5421">
        <v>-82.391968000000006</v>
      </c>
      <c r="AM5421">
        <v>100</v>
      </c>
      <c r="AN5421">
        <v>1400</v>
      </c>
      <c r="AO5421" t="s">
        <v>118</v>
      </c>
      <c r="AP5421">
        <v>-55</v>
      </c>
      <c r="AQ5421">
        <v>-104</v>
      </c>
      <c r="AR5421">
        <v>-1152</v>
      </c>
      <c r="AZ5421">
        <v>1200</v>
      </c>
      <c r="BA5421">
        <v>1</v>
      </c>
      <c r="BB5421" t="str">
        <f t="shared" si="2501"/>
        <v xml:space="preserve">N711JA  </v>
      </c>
      <c r="BC5421">
        <v>1</v>
      </c>
      <c r="BE5421">
        <v>0</v>
      </c>
      <c r="BF5421">
        <v>0</v>
      </c>
      <c r="BG5421">
        <v>0</v>
      </c>
      <c r="BH5421">
        <v>1475</v>
      </c>
      <c r="BI5421">
        <v>1</v>
      </c>
      <c r="BJ5421">
        <v>1</v>
      </c>
      <c r="BK5421">
        <v>0</v>
      </c>
      <c r="BL5421">
        <v>0</v>
      </c>
      <c r="BO5421">
        <v>0</v>
      </c>
      <c r="BP5421">
        <v>0</v>
      </c>
      <c r="BW5421" t="str">
        <f t="shared" si="2512"/>
        <v>14:51:16.886</v>
      </c>
      <c r="CJ5421">
        <v>0</v>
      </c>
      <c r="CK5421">
        <v>2</v>
      </c>
      <c r="CL5421">
        <v>0</v>
      </c>
      <c r="CM5421">
        <v>2</v>
      </c>
      <c r="CN5421">
        <v>0</v>
      </c>
      <c r="CO5421">
        <v>7</v>
      </c>
      <c r="CP5421" t="s">
        <v>119</v>
      </c>
      <c r="CQ5421">
        <v>343</v>
      </c>
      <c r="CR5421">
        <v>1</v>
      </c>
      <c r="CW5421">
        <v>11151055</v>
      </c>
      <c r="CY5421">
        <v>1</v>
      </c>
      <c r="CZ5421">
        <v>0</v>
      </c>
      <c r="DA5421">
        <v>1</v>
      </c>
      <c r="DB5421">
        <v>0</v>
      </c>
      <c r="DC5421">
        <v>0</v>
      </c>
      <c r="DD5421">
        <v>1</v>
      </c>
      <c r="DE5421">
        <v>0</v>
      </c>
      <c r="DF5421">
        <v>0</v>
      </c>
      <c r="DG5421">
        <v>0</v>
      </c>
      <c r="DH5421">
        <v>0</v>
      </c>
      <c r="DI5421">
        <v>0</v>
      </c>
    </row>
    <row r="5422" spans="1:113" x14ac:dyDescent="0.3">
      <c r="A5422" t="str">
        <f t="shared" si="2510"/>
        <v>05/12/2020 14:50:59.047</v>
      </c>
      <c r="C5422" t="str">
        <f t="shared" si="2500"/>
        <v>FFDFD3C0</v>
      </c>
      <c r="D5422" t="s">
        <v>134</v>
      </c>
      <c r="E5422">
        <v>12</v>
      </c>
      <c r="H5422">
        <v>64</v>
      </c>
      <c r="I5422" t="s">
        <v>135</v>
      </c>
      <c r="J5422" t="s">
        <v>136</v>
      </c>
      <c r="K5422">
        <v>0</v>
      </c>
      <c r="L5422">
        <v>3</v>
      </c>
      <c r="M5422">
        <v>0</v>
      </c>
      <c r="N5422">
        <v>2</v>
      </c>
      <c r="O5422">
        <v>1</v>
      </c>
      <c r="P5422">
        <v>0</v>
      </c>
      <c r="Q5422">
        <v>0</v>
      </c>
      <c r="S5422" t="str">
        <f t="shared" si="2511"/>
        <v>14:51:16.883</v>
      </c>
      <c r="T5422" t="str">
        <f t="shared" si="2511"/>
        <v>14:51:16.883</v>
      </c>
      <c r="U5422" t="str">
        <f t="shared" si="2492"/>
        <v>A9808D</v>
      </c>
      <c r="V5422">
        <v>0</v>
      </c>
      <c r="W5422">
        <v>0</v>
      </c>
      <c r="X5422">
        <v>1</v>
      </c>
      <c r="Z5422">
        <v>0</v>
      </c>
      <c r="AA5422">
        <v>9</v>
      </c>
      <c r="AB5422">
        <v>3</v>
      </c>
      <c r="AC5422">
        <v>0</v>
      </c>
      <c r="AD5422">
        <v>10</v>
      </c>
      <c r="AE5422">
        <v>0</v>
      </c>
      <c r="AF5422">
        <v>3</v>
      </c>
      <c r="AG5422">
        <v>2</v>
      </c>
      <c r="AH5422">
        <v>0</v>
      </c>
      <c r="AI5422" t="s">
        <v>1201</v>
      </c>
      <c r="AJ5422">
        <v>28.220099999999999</v>
      </c>
      <c r="AK5422" t="s">
        <v>1202</v>
      </c>
      <c r="AL5422">
        <v>-82.391968000000006</v>
      </c>
      <c r="AM5422">
        <v>100</v>
      </c>
      <c r="AN5422">
        <v>1400</v>
      </c>
      <c r="AO5422" t="s">
        <v>118</v>
      </c>
      <c r="AP5422">
        <v>-55</v>
      </c>
      <c r="AQ5422">
        <v>-104</v>
      </c>
      <c r="AR5422">
        <v>-1152</v>
      </c>
      <c r="AZ5422">
        <v>1200</v>
      </c>
      <c r="BA5422">
        <v>1</v>
      </c>
      <c r="BB5422" t="str">
        <f t="shared" si="2501"/>
        <v xml:space="preserve">N711JA  </v>
      </c>
      <c r="BC5422">
        <v>1</v>
      </c>
      <c r="BE5422">
        <v>0</v>
      </c>
      <c r="BF5422">
        <v>0</v>
      </c>
      <c r="BG5422">
        <v>0</v>
      </c>
      <c r="BH5422">
        <v>1475</v>
      </c>
      <c r="BI5422">
        <v>1</v>
      </c>
      <c r="BJ5422">
        <v>1</v>
      </c>
      <c r="BK5422">
        <v>0</v>
      </c>
      <c r="BL5422">
        <v>0</v>
      </c>
      <c r="BO5422">
        <v>0</v>
      </c>
      <c r="BP5422">
        <v>0</v>
      </c>
      <c r="BW5422" t="str">
        <f t="shared" si="2512"/>
        <v>14:51:16.886</v>
      </c>
      <c r="CJ5422">
        <v>0</v>
      </c>
      <c r="CK5422">
        <v>2</v>
      </c>
      <c r="CL5422">
        <v>0</v>
      </c>
      <c r="CM5422">
        <v>2</v>
      </c>
      <c r="CN5422">
        <v>0</v>
      </c>
      <c r="CO5422">
        <v>7</v>
      </c>
      <c r="CP5422" t="s">
        <v>119</v>
      </c>
      <c r="CQ5422">
        <v>343</v>
      </c>
      <c r="CR5422">
        <v>1</v>
      </c>
      <c r="CW5422">
        <v>11151055</v>
      </c>
      <c r="CY5422">
        <v>1</v>
      </c>
      <c r="CZ5422">
        <v>0</v>
      </c>
      <c r="DA5422">
        <v>1</v>
      </c>
      <c r="DB5422">
        <v>0</v>
      </c>
      <c r="DC5422">
        <v>0</v>
      </c>
      <c r="DD5422">
        <v>1</v>
      </c>
      <c r="DE5422">
        <v>0</v>
      </c>
      <c r="DF5422">
        <v>0</v>
      </c>
      <c r="DG5422">
        <v>0</v>
      </c>
      <c r="DH5422">
        <v>0</v>
      </c>
      <c r="DI5422">
        <v>0</v>
      </c>
    </row>
    <row r="5423" spans="1:113" x14ac:dyDescent="0.3">
      <c r="A5423" t="str">
        <f t="shared" ref="A5423:A5430" si="2513">"05/12/2020 14:51:00.054"</f>
        <v>05/12/2020 14:51:00.054</v>
      </c>
      <c r="C5423" t="str">
        <f t="shared" si="2500"/>
        <v>FFDFD3C0</v>
      </c>
      <c r="D5423" t="s">
        <v>126</v>
      </c>
      <c r="E5423">
        <v>6</v>
      </c>
      <c r="F5423">
        <v>1006</v>
      </c>
      <c r="G5423" t="s">
        <v>114</v>
      </c>
      <c r="J5423" t="s">
        <v>128</v>
      </c>
      <c r="K5423">
        <v>0</v>
      </c>
      <c r="L5423">
        <v>3</v>
      </c>
      <c r="M5423">
        <v>0</v>
      </c>
      <c r="N5423">
        <v>2</v>
      </c>
      <c r="O5423">
        <v>1</v>
      </c>
      <c r="P5423">
        <v>0</v>
      </c>
      <c r="Q5423">
        <v>0</v>
      </c>
      <c r="S5423" t="str">
        <f t="shared" ref="S5423:S5430" si="2514">"14:51:17.891"</f>
        <v>14:51:17.891</v>
      </c>
      <c r="T5423" t="str">
        <f t="shared" ref="T5423:T5430" si="2515">"14:51:17.791"</f>
        <v>14:51:17.791</v>
      </c>
      <c r="U5423" t="str">
        <f t="shared" si="2492"/>
        <v>A9808D</v>
      </c>
      <c r="V5423">
        <v>0</v>
      </c>
      <c r="W5423">
        <v>0</v>
      </c>
      <c r="X5423">
        <v>1</v>
      </c>
      <c r="Z5423">
        <v>0</v>
      </c>
      <c r="AA5423">
        <v>9</v>
      </c>
      <c r="AB5423">
        <v>3</v>
      </c>
      <c r="AC5423">
        <v>0</v>
      </c>
      <c r="AD5423">
        <v>10</v>
      </c>
      <c r="AE5423">
        <v>0</v>
      </c>
      <c r="AF5423">
        <v>3</v>
      </c>
      <c r="AG5423">
        <v>2</v>
      </c>
      <c r="AH5423">
        <v>0</v>
      </c>
      <c r="AI5423" t="s">
        <v>1203</v>
      </c>
      <c r="AJ5423">
        <v>28.219584999999999</v>
      </c>
      <c r="AK5423" t="s">
        <v>1204</v>
      </c>
      <c r="AL5423">
        <v>-82.392246999999998</v>
      </c>
      <c r="AM5423">
        <v>100</v>
      </c>
      <c r="AN5423">
        <v>1400</v>
      </c>
      <c r="AO5423" t="s">
        <v>118</v>
      </c>
      <c r="AP5423">
        <v>-51</v>
      </c>
      <c r="AQ5423">
        <v>-106</v>
      </c>
      <c r="AR5423">
        <v>-1216</v>
      </c>
      <c r="AZ5423">
        <v>1200</v>
      </c>
      <c r="BA5423">
        <v>1</v>
      </c>
      <c r="BB5423" t="str">
        <f t="shared" si="2501"/>
        <v xml:space="preserve">N711JA  </v>
      </c>
      <c r="BC5423">
        <v>1</v>
      </c>
      <c r="BE5423">
        <v>0</v>
      </c>
      <c r="BF5423">
        <v>0</v>
      </c>
      <c r="BG5423">
        <v>0</v>
      </c>
      <c r="BH5423">
        <v>1450</v>
      </c>
      <c r="BI5423">
        <v>1</v>
      </c>
      <c r="BJ5423">
        <v>1</v>
      </c>
      <c r="BK5423">
        <v>0</v>
      </c>
      <c r="BL5423">
        <v>0</v>
      </c>
      <c r="BO5423">
        <v>0</v>
      </c>
      <c r="BP5423">
        <v>0</v>
      </c>
      <c r="BW5423" t="str">
        <f t="shared" ref="BW5423:BW5430" si="2516">"14:51:17.891"</f>
        <v>14:51:17.891</v>
      </c>
      <c r="CJ5423">
        <v>0</v>
      </c>
      <c r="CK5423">
        <v>2</v>
      </c>
      <c r="CL5423">
        <v>0</v>
      </c>
      <c r="CM5423">
        <v>2</v>
      </c>
      <c r="CN5423">
        <v>0</v>
      </c>
      <c r="CO5423">
        <v>7</v>
      </c>
      <c r="CP5423" t="s">
        <v>119</v>
      </c>
      <c r="CQ5423">
        <v>343</v>
      </c>
      <c r="CR5423">
        <v>2</v>
      </c>
      <c r="CW5423">
        <v>13406461</v>
      </c>
      <c r="CY5423">
        <v>1</v>
      </c>
      <c r="CZ5423">
        <v>0</v>
      </c>
      <c r="DA5423">
        <v>0</v>
      </c>
      <c r="DB5423">
        <v>0</v>
      </c>
      <c r="DC5423">
        <v>0</v>
      </c>
      <c r="DD5423">
        <v>1</v>
      </c>
      <c r="DE5423">
        <v>0</v>
      </c>
      <c r="DF5423">
        <v>0</v>
      </c>
      <c r="DG5423">
        <v>0</v>
      </c>
      <c r="DH5423">
        <v>0</v>
      </c>
      <c r="DI5423">
        <v>0</v>
      </c>
    </row>
    <row r="5424" spans="1:113" x14ac:dyDescent="0.3">
      <c r="A5424" t="str">
        <f t="shared" si="2513"/>
        <v>05/12/2020 14:51:00.054</v>
      </c>
      <c r="C5424" t="str">
        <f t="shared" si="2500"/>
        <v>FFDFD3C0</v>
      </c>
      <c r="D5424" t="s">
        <v>131</v>
      </c>
      <c r="E5424">
        <v>10</v>
      </c>
      <c r="F5424">
        <v>2010</v>
      </c>
      <c r="G5424" t="s">
        <v>132</v>
      </c>
      <c r="J5424" t="s">
        <v>133</v>
      </c>
      <c r="K5424">
        <v>0</v>
      </c>
      <c r="L5424">
        <v>3</v>
      </c>
      <c r="M5424">
        <v>0</v>
      </c>
      <c r="N5424">
        <v>2</v>
      </c>
      <c r="O5424">
        <v>1</v>
      </c>
      <c r="P5424">
        <v>0</v>
      </c>
      <c r="Q5424">
        <v>0</v>
      </c>
      <c r="S5424" t="str">
        <f t="shared" si="2514"/>
        <v>14:51:17.891</v>
      </c>
      <c r="T5424" t="str">
        <f t="shared" si="2515"/>
        <v>14:51:17.791</v>
      </c>
      <c r="U5424" t="str">
        <f t="shared" si="2492"/>
        <v>A9808D</v>
      </c>
      <c r="V5424">
        <v>0</v>
      </c>
      <c r="W5424">
        <v>0</v>
      </c>
      <c r="X5424">
        <v>1</v>
      </c>
      <c r="Z5424">
        <v>0</v>
      </c>
      <c r="AA5424">
        <v>9</v>
      </c>
      <c r="AB5424">
        <v>3</v>
      </c>
      <c r="AC5424">
        <v>0</v>
      </c>
      <c r="AD5424">
        <v>10</v>
      </c>
      <c r="AE5424">
        <v>0</v>
      </c>
      <c r="AF5424">
        <v>3</v>
      </c>
      <c r="AG5424">
        <v>2</v>
      </c>
      <c r="AH5424">
        <v>0</v>
      </c>
      <c r="AI5424" t="s">
        <v>1203</v>
      </c>
      <c r="AJ5424">
        <v>28.219584999999999</v>
      </c>
      <c r="AK5424" t="s">
        <v>1204</v>
      </c>
      <c r="AL5424">
        <v>-82.392246999999998</v>
      </c>
      <c r="AM5424">
        <v>100</v>
      </c>
      <c r="AN5424">
        <v>1400</v>
      </c>
      <c r="AO5424" t="s">
        <v>118</v>
      </c>
      <c r="AP5424">
        <v>-51</v>
      </c>
      <c r="AQ5424">
        <v>-106</v>
      </c>
      <c r="AR5424">
        <v>-1216</v>
      </c>
      <c r="AZ5424">
        <v>1200</v>
      </c>
      <c r="BA5424">
        <v>1</v>
      </c>
      <c r="BB5424" t="str">
        <f t="shared" si="2501"/>
        <v xml:space="preserve">N711JA  </v>
      </c>
      <c r="BC5424">
        <v>1</v>
      </c>
      <c r="BE5424">
        <v>0</v>
      </c>
      <c r="BF5424">
        <v>0</v>
      </c>
      <c r="BG5424">
        <v>0</v>
      </c>
      <c r="BH5424">
        <v>1450</v>
      </c>
      <c r="BI5424">
        <v>1</v>
      </c>
      <c r="BJ5424">
        <v>1</v>
      </c>
      <c r="BK5424">
        <v>0</v>
      </c>
      <c r="BL5424">
        <v>0</v>
      </c>
      <c r="BO5424">
        <v>0</v>
      </c>
      <c r="BP5424">
        <v>0</v>
      </c>
      <c r="BW5424" t="str">
        <f t="shared" si="2516"/>
        <v>14:51:17.891</v>
      </c>
      <c r="CJ5424">
        <v>0</v>
      </c>
      <c r="CK5424">
        <v>2</v>
      </c>
      <c r="CL5424">
        <v>0</v>
      </c>
      <c r="CM5424">
        <v>2</v>
      </c>
      <c r="CN5424">
        <v>0</v>
      </c>
      <c r="CO5424">
        <v>7</v>
      </c>
      <c r="CP5424" t="s">
        <v>119</v>
      </c>
      <c r="CQ5424">
        <v>343</v>
      </c>
      <c r="CR5424">
        <v>2</v>
      </c>
      <c r="CW5424">
        <v>13406461</v>
      </c>
      <c r="CY5424">
        <v>1</v>
      </c>
      <c r="CZ5424">
        <v>0</v>
      </c>
      <c r="DA5424">
        <v>1</v>
      </c>
      <c r="DB5424">
        <v>0</v>
      </c>
      <c r="DC5424">
        <v>0</v>
      </c>
      <c r="DD5424">
        <v>1</v>
      </c>
      <c r="DE5424">
        <v>0</v>
      </c>
      <c r="DF5424">
        <v>0</v>
      </c>
      <c r="DG5424">
        <v>0</v>
      </c>
      <c r="DH5424">
        <v>0</v>
      </c>
      <c r="DI5424">
        <v>0</v>
      </c>
    </row>
    <row r="5425" spans="1:113" x14ac:dyDescent="0.3">
      <c r="A5425" t="str">
        <f t="shared" si="2513"/>
        <v>05/12/2020 14:51:00.054</v>
      </c>
      <c r="C5425" t="str">
        <f t="shared" si="2500"/>
        <v>FFDFD3C0</v>
      </c>
      <c r="D5425" t="s">
        <v>126</v>
      </c>
      <c r="E5425">
        <v>7</v>
      </c>
      <c r="F5425">
        <v>1007</v>
      </c>
      <c r="G5425" t="s">
        <v>127</v>
      </c>
      <c r="J5425" t="s">
        <v>128</v>
      </c>
      <c r="K5425">
        <v>0</v>
      </c>
      <c r="L5425">
        <v>3</v>
      </c>
      <c r="M5425">
        <v>0</v>
      </c>
      <c r="N5425">
        <v>2</v>
      </c>
      <c r="O5425">
        <v>1</v>
      </c>
      <c r="P5425">
        <v>0</v>
      </c>
      <c r="Q5425">
        <v>0</v>
      </c>
      <c r="S5425" t="str">
        <f t="shared" si="2514"/>
        <v>14:51:17.891</v>
      </c>
      <c r="T5425" t="str">
        <f t="shared" si="2515"/>
        <v>14:51:17.791</v>
      </c>
      <c r="U5425" t="str">
        <f t="shared" si="2492"/>
        <v>A9808D</v>
      </c>
      <c r="V5425">
        <v>0</v>
      </c>
      <c r="W5425">
        <v>0</v>
      </c>
      <c r="X5425">
        <v>1</v>
      </c>
      <c r="Z5425">
        <v>0</v>
      </c>
      <c r="AA5425">
        <v>9</v>
      </c>
      <c r="AB5425">
        <v>3</v>
      </c>
      <c r="AC5425">
        <v>0</v>
      </c>
      <c r="AD5425">
        <v>10</v>
      </c>
      <c r="AE5425">
        <v>0</v>
      </c>
      <c r="AF5425">
        <v>3</v>
      </c>
      <c r="AG5425">
        <v>2</v>
      </c>
      <c r="AH5425">
        <v>0</v>
      </c>
      <c r="AI5425" t="s">
        <v>1203</v>
      </c>
      <c r="AJ5425">
        <v>28.219584999999999</v>
      </c>
      <c r="AK5425" t="s">
        <v>1204</v>
      </c>
      <c r="AL5425">
        <v>-82.392246999999998</v>
      </c>
      <c r="AM5425">
        <v>100</v>
      </c>
      <c r="AN5425">
        <v>1400</v>
      </c>
      <c r="AO5425" t="s">
        <v>118</v>
      </c>
      <c r="AP5425">
        <v>-51</v>
      </c>
      <c r="AQ5425">
        <v>-106</v>
      </c>
      <c r="AR5425">
        <v>-1216</v>
      </c>
      <c r="AZ5425">
        <v>1200</v>
      </c>
      <c r="BA5425">
        <v>1</v>
      </c>
      <c r="BB5425" t="str">
        <f t="shared" si="2501"/>
        <v xml:space="preserve">N711JA  </v>
      </c>
      <c r="BC5425">
        <v>1</v>
      </c>
      <c r="BE5425">
        <v>0</v>
      </c>
      <c r="BF5425">
        <v>0</v>
      </c>
      <c r="BG5425">
        <v>0</v>
      </c>
      <c r="BH5425">
        <v>1450</v>
      </c>
      <c r="BI5425">
        <v>1</v>
      </c>
      <c r="BJ5425">
        <v>1</v>
      </c>
      <c r="BK5425">
        <v>0</v>
      </c>
      <c r="BL5425">
        <v>0</v>
      </c>
      <c r="BO5425">
        <v>0</v>
      </c>
      <c r="BP5425">
        <v>0</v>
      </c>
      <c r="BW5425" t="str">
        <f t="shared" si="2516"/>
        <v>14:51:17.891</v>
      </c>
      <c r="CJ5425">
        <v>0</v>
      </c>
      <c r="CK5425">
        <v>2</v>
      </c>
      <c r="CL5425">
        <v>0</v>
      </c>
      <c r="CM5425">
        <v>2</v>
      </c>
      <c r="CN5425">
        <v>0</v>
      </c>
      <c r="CO5425">
        <v>7</v>
      </c>
      <c r="CP5425" t="s">
        <v>119</v>
      </c>
      <c r="CQ5425">
        <v>343</v>
      </c>
      <c r="CR5425">
        <v>2</v>
      </c>
      <c r="CW5425">
        <v>13406461</v>
      </c>
      <c r="CY5425">
        <v>1</v>
      </c>
      <c r="CZ5425">
        <v>0</v>
      </c>
      <c r="DA5425">
        <v>1</v>
      </c>
      <c r="DB5425">
        <v>0</v>
      </c>
      <c r="DC5425">
        <v>0</v>
      </c>
      <c r="DD5425">
        <v>1</v>
      </c>
      <c r="DE5425">
        <v>0</v>
      </c>
      <c r="DF5425">
        <v>0</v>
      </c>
      <c r="DG5425">
        <v>0</v>
      </c>
      <c r="DH5425">
        <v>0</v>
      </c>
      <c r="DI5425">
        <v>0</v>
      </c>
    </row>
    <row r="5426" spans="1:113" x14ac:dyDescent="0.3">
      <c r="A5426" t="str">
        <f t="shared" si="2513"/>
        <v>05/12/2020 14:51:00.054</v>
      </c>
      <c r="C5426" t="str">
        <f t="shared" si="2500"/>
        <v>FFDFD3C0</v>
      </c>
      <c r="D5426" t="s">
        <v>113</v>
      </c>
      <c r="E5426">
        <v>3</v>
      </c>
      <c r="H5426">
        <v>164</v>
      </c>
      <c r="I5426" t="s">
        <v>114</v>
      </c>
      <c r="J5426" t="s">
        <v>115</v>
      </c>
      <c r="K5426">
        <v>0</v>
      </c>
      <c r="L5426">
        <v>3</v>
      </c>
      <c r="M5426">
        <v>0</v>
      </c>
      <c r="N5426">
        <v>2</v>
      </c>
      <c r="O5426">
        <v>1</v>
      </c>
      <c r="P5426">
        <v>0</v>
      </c>
      <c r="Q5426">
        <v>0</v>
      </c>
      <c r="S5426" t="str">
        <f t="shared" si="2514"/>
        <v>14:51:17.891</v>
      </c>
      <c r="T5426" t="str">
        <f t="shared" si="2515"/>
        <v>14:51:17.791</v>
      </c>
      <c r="U5426" t="str">
        <f t="shared" si="2492"/>
        <v>A9808D</v>
      </c>
      <c r="V5426">
        <v>0</v>
      </c>
      <c r="W5426">
        <v>0</v>
      </c>
      <c r="X5426">
        <v>1</v>
      </c>
      <c r="Z5426">
        <v>0</v>
      </c>
      <c r="AA5426">
        <v>9</v>
      </c>
      <c r="AB5426">
        <v>3</v>
      </c>
      <c r="AC5426">
        <v>0</v>
      </c>
      <c r="AD5426">
        <v>10</v>
      </c>
      <c r="AE5426">
        <v>0</v>
      </c>
      <c r="AF5426">
        <v>3</v>
      </c>
      <c r="AG5426">
        <v>2</v>
      </c>
      <c r="AH5426">
        <v>0</v>
      </c>
      <c r="AI5426" t="s">
        <v>1203</v>
      </c>
      <c r="AJ5426">
        <v>28.219584999999999</v>
      </c>
      <c r="AK5426" t="s">
        <v>1204</v>
      </c>
      <c r="AL5426">
        <v>-82.392246999999998</v>
      </c>
      <c r="AM5426">
        <v>100</v>
      </c>
      <c r="AN5426">
        <v>1400</v>
      </c>
      <c r="AO5426" t="s">
        <v>118</v>
      </c>
      <c r="AP5426">
        <v>-51</v>
      </c>
      <c r="AQ5426">
        <v>-106</v>
      </c>
      <c r="AR5426">
        <v>-1216</v>
      </c>
      <c r="AZ5426">
        <v>1200</v>
      </c>
      <c r="BA5426">
        <v>1</v>
      </c>
      <c r="BB5426" t="str">
        <f t="shared" si="2501"/>
        <v xml:space="preserve">N711JA  </v>
      </c>
      <c r="BC5426">
        <v>1</v>
      </c>
      <c r="BE5426">
        <v>0</v>
      </c>
      <c r="BF5426">
        <v>0</v>
      </c>
      <c r="BG5426">
        <v>0</v>
      </c>
      <c r="BH5426">
        <v>1450</v>
      </c>
      <c r="BI5426">
        <v>1</v>
      </c>
      <c r="BJ5426">
        <v>1</v>
      </c>
      <c r="BK5426">
        <v>0</v>
      </c>
      <c r="BL5426">
        <v>0</v>
      </c>
      <c r="BO5426">
        <v>0</v>
      </c>
      <c r="BP5426">
        <v>0</v>
      </c>
      <c r="BW5426" t="str">
        <f t="shared" si="2516"/>
        <v>14:51:17.891</v>
      </c>
      <c r="CJ5426">
        <v>0</v>
      </c>
      <c r="CK5426">
        <v>2</v>
      </c>
      <c r="CL5426">
        <v>0</v>
      </c>
      <c r="CM5426">
        <v>2</v>
      </c>
      <c r="CN5426">
        <v>0</v>
      </c>
      <c r="CO5426">
        <v>7</v>
      </c>
      <c r="CP5426" t="s">
        <v>119</v>
      </c>
      <c r="CQ5426">
        <v>343</v>
      </c>
      <c r="CR5426">
        <v>2</v>
      </c>
      <c r="CW5426">
        <v>13406461</v>
      </c>
      <c r="CY5426">
        <v>1</v>
      </c>
      <c r="CZ5426">
        <v>0</v>
      </c>
      <c r="DA5426">
        <v>1</v>
      </c>
      <c r="DB5426">
        <v>0</v>
      </c>
      <c r="DC5426">
        <v>0</v>
      </c>
      <c r="DD5426">
        <v>1</v>
      </c>
      <c r="DE5426">
        <v>0</v>
      </c>
      <c r="DF5426">
        <v>0</v>
      </c>
      <c r="DG5426">
        <v>0</v>
      </c>
      <c r="DH5426">
        <v>0</v>
      </c>
      <c r="DI5426">
        <v>0</v>
      </c>
    </row>
    <row r="5427" spans="1:113" x14ac:dyDescent="0.3">
      <c r="A5427" t="str">
        <f t="shared" si="2513"/>
        <v>05/12/2020 14:51:00.054</v>
      </c>
      <c r="C5427" t="str">
        <f t="shared" si="2500"/>
        <v>FFDFD3C0</v>
      </c>
      <c r="D5427" t="s">
        <v>131</v>
      </c>
      <c r="E5427">
        <v>12</v>
      </c>
      <c r="F5427">
        <v>2012</v>
      </c>
      <c r="G5427" t="s">
        <v>137</v>
      </c>
      <c r="J5427" t="s">
        <v>133</v>
      </c>
      <c r="K5427">
        <v>0</v>
      </c>
      <c r="L5427">
        <v>3</v>
      </c>
      <c r="M5427">
        <v>0</v>
      </c>
      <c r="N5427">
        <v>2</v>
      </c>
      <c r="O5427">
        <v>1</v>
      </c>
      <c r="P5427">
        <v>0</v>
      </c>
      <c r="Q5427">
        <v>0</v>
      </c>
      <c r="S5427" t="str">
        <f t="shared" si="2514"/>
        <v>14:51:17.891</v>
      </c>
      <c r="T5427" t="str">
        <f t="shared" si="2515"/>
        <v>14:51:17.791</v>
      </c>
      <c r="U5427" t="str">
        <f t="shared" si="2492"/>
        <v>A9808D</v>
      </c>
      <c r="V5427">
        <v>0</v>
      </c>
      <c r="W5427">
        <v>0</v>
      </c>
      <c r="X5427">
        <v>1</v>
      </c>
      <c r="Z5427">
        <v>0</v>
      </c>
      <c r="AA5427">
        <v>9</v>
      </c>
      <c r="AB5427">
        <v>3</v>
      </c>
      <c r="AC5427">
        <v>0</v>
      </c>
      <c r="AD5427">
        <v>10</v>
      </c>
      <c r="AE5427">
        <v>0</v>
      </c>
      <c r="AF5427">
        <v>3</v>
      </c>
      <c r="AG5427">
        <v>2</v>
      </c>
      <c r="AH5427">
        <v>0</v>
      </c>
      <c r="AI5427" t="s">
        <v>1203</v>
      </c>
      <c r="AJ5427">
        <v>28.219584999999999</v>
      </c>
      <c r="AK5427" t="s">
        <v>1204</v>
      </c>
      <c r="AL5427">
        <v>-82.392246999999998</v>
      </c>
      <c r="AM5427">
        <v>100</v>
      </c>
      <c r="AN5427">
        <v>1400</v>
      </c>
      <c r="AO5427" t="s">
        <v>118</v>
      </c>
      <c r="AP5427">
        <v>-51</v>
      </c>
      <c r="AQ5427">
        <v>-106</v>
      </c>
      <c r="AR5427">
        <v>-1216</v>
      </c>
      <c r="AZ5427">
        <v>1200</v>
      </c>
      <c r="BA5427">
        <v>1</v>
      </c>
      <c r="BB5427" t="str">
        <f t="shared" si="2501"/>
        <v xml:space="preserve">N711JA  </v>
      </c>
      <c r="BC5427">
        <v>1</v>
      </c>
      <c r="BE5427">
        <v>0</v>
      </c>
      <c r="BF5427">
        <v>0</v>
      </c>
      <c r="BG5427">
        <v>0</v>
      </c>
      <c r="BH5427">
        <v>1450</v>
      </c>
      <c r="BI5427">
        <v>1</v>
      </c>
      <c r="BJ5427">
        <v>1</v>
      </c>
      <c r="BK5427">
        <v>0</v>
      </c>
      <c r="BL5427">
        <v>0</v>
      </c>
      <c r="BO5427">
        <v>0</v>
      </c>
      <c r="BP5427">
        <v>0</v>
      </c>
      <c r="BW5427" t="str">
        <f t="shared" si="2516"/>
        <v>14:51:17.891</v>
      </c>
      <c r="CJ5427">
        <v>0</v>
      </c>
      <c r="CK5427">
        <v>2</v>
      </c>
      <c r="CL5427">
        <v>0</v>
      </c>
      <c r="CM5427">
        <v>2</v>
      </c>
      <c r="CN5427">
        <v>0</v>
      </c>
      <c r="CO5427">
        <v>7</v>
      </c>
      <c r="CP5427" t="s">
        <v>119</v>
      </c>
      <c r="CQ5427">
        <v>343</v>
      </c>
      <c r="CR5427">
        <v>2</v>
      </c>
      <c r="CW5427">
        <v>13406461</v>
      </c>
      <c r="CY5427">
        <v>1</v>
      </c>
      <c r="CZ5427">
        <v>0</v>
      </c>
      <c r="DA5427">
        <v>1</v>
      </c>
      <c r="DB5427">
        <v>0</v>
      </c>
      <c r="DC5427">
        <v>0</v>
      </c>
      <c r="DD5427">
        <v>1</v>
      </c>
      <c r="DE5427">
        <v>0</v>
      </c>
      <c r="DF5427">
        <v>0</v>
      </c>
      <c r="DG5427">
        <v>0</v>
      </c>
      <c r="DH5427">
        <v>0</v>
      </c>
      <c r="DI5427">
        <v>0</v>
      </c>
    </row>
    <row r="5428" spans="1:113" x14ac:dyDescent="0.3">
      <c r="A5428" t="str">
        <f t="shared" si="2513"/>
        <v>05/12/2020 14:51:00.054</v>
      </c>
      <c r="C5428" t="str">
        <f t="shared" si="2500"/>
        <v>FFDFD3C0</v>
      </c>
      <c r="D5428" t="s">
        <v>138</v>
      </c>
      <c r="E5428">
        <v>2</v>
      </c>
      <c r="H5428">
        <v>8</v>
      </c>
      <c r="I5428" t="s">
        <v>139</v>
      </c>
      <c r="J5428" t="s">
        <v>136</v>
      </c>
      <c r="K5428">
        <v>0</v>
      </c>
      <c r="L5428">
        <v>3</v>
      </c>
      <c r="M5428">
        <v>0</v>
      </c>
      <c r="N5428">
        <v>2</v>
      </c>
      <c r="O5428">
        <v>1</v>
      </c>
      <c r="P5428">
        <v>0</v>
      </c>
      <c r="Q5428">
        <v>0</v>
      </c>
      <c r="S5428" t="str">
        <f t="shared" si="2514"/>
        <v>14:51:17.891</v>
      </c>
      <c r="T5428" t="str">
        <f t="shared" si="2515"/>
        <v>14:51:17.791</v>
      </c>
      <c r="U5428" t="str">
        <f t="shared" si="2492"/>
        <v>A9808D</v>
      </c>
      <c r="V5428">
        <v>0</v>
      </c>
      <c r="W5428">
        <v>0</v>
      </c>
      <c r="X5428">
        <v>1</v>
      </c>
      <c r="Z5428">
        <v>0</v>
      </c>
      <c r="AA5428">
        <v>9</v>
      </c>
      <c r="AB5428">
        <v>3</v>
      </c>
      <c r="AC5428">
        <v>0</v>
      </c>
      <c r="AD5428">
        <v>10</v>
      </c>
      <c r="AE5428">
        <v>0</v>
      </c>
      <c r="AF5428">
        <v>3</v>
      </c>
      <c r="AG5428">
        <v>2</v>
      </c>
      <c r="AH5428">
        <v>0</v>
      </c>
      <c r="AI5428" t="s">
        <v>1203</v>
      </c>
      <c r="AJ5428">
        <v>28.219584999999999</v>
      </c>
      <c r="AK5428" t="s">
        <v>1204</v>
      </c>
      <c r="AL5428">
        <v>-82.392246999999998</v>
      </c>
      <c r="AM5428">
        <v>100</v>
      </c>
      <c r="AN5428">
        <v>1400</v>
      </c>
      <c r="AO5428" t="s">
        <v>118</v>
      </c>
      <c r="AP5428">
        <v>-51</v>
      </c>
      <c r="AQ5428">
        <v>-106</v>
      </c>
      <c r="AR5428">
        <v>-1216</v>
      </c>
      <c r="AZ5428">
        <v>1200</v>
      </c>
      <c r="BA5428">
        <v>1</v>
      </c>
      <c r="BB5428" t="str">
        <f t="shared" si="2501"/>
        <v xml:space="preserve">N711JA  </v>
      </c>
      <c r="BC5428">
        <v>1</v>
      </c>
      <c r="BE5428">
        <v>0</v>
      </c>
      <c r="BF5428">
        <v>0</v>
      </c>
      <c r="BG5428">
        <v>0</v>
      </c>
      <c r="BH5428">
        <v>1450</v>
      </c>
      <c r="BI5428">
        <v>1</v>
      </c>
      <c r="BJ5428">
        <v>1</v>
      </c>
      <c r="BK5428">
        <v>0</v>
      </c>
      <c r="BL5428">
        <v>0</v>
      </c>
      <c r="BO5428">
        <v>0</v>
      </c>
      <c r="BP5428">
        <v>0</v>
      </c>
      <c r="BW5428" t="str">
        <f t="shared" si="2516"/>
        <v>14:51:17.891</v>
      </c>
      <c r="CJ5428">
        <v>0</v>
      </c>
      <c r="CK5428">
        <v>2</v>
      </c>
      <c r="CL5428">
        <v>0</v>
      </c>
      <c r="CM5428">
        <v>2</v>
      </c>
      <c r="CN5428">
        <v>0</v>
      </c>
      <c r="CO5428">
        <v>7</v>
      </c>
      <c r="CP5428" t="s">
        <v>119</v>
      </c>
      <c r="CQ5428">
        <v>343</v>
      </c>
      <c r="CR5428">
        <v>2</v>
      </c>
      <c r="CW5428">
        <v>13406461</v>
      </c>
      <c r="CY5428">
        <v>1</v>
      </c>
      <c r="CZ5428">
        <v>0</v>
      </c>
      <c r="DA5428">
        <v>1</v>
      </c>
      <c r="DB5428">
        <v>0</v>
      </c>
      <c r="DC5428">
        <v>0</v>
      </c>
      <c r="DD5428">
        <v>1</v>
      </c>
      <c r="DE5428">
        <v>0</v>
      </c>
      <c r="DF5428">
        <v>0</v>
      </c>
      <c r="DG5428">
        <v>0</v>
      </c>
      <c r="DH5428">
        <v>0</v>
      </c>
      <c r="DI5428">
        <v>0</v>
      </c>
    </row>
    <row r="5429" spans="1:113" x14ac:dyDescent="0.3">
      <c r="A5429" t="str">
        <f t="shared" si="2513"/>
        <v>05/12/2020 14:51:00.054</v>
      </c>
      <c r="C5429" t="str">
        <f t="shared" si="2500"/>
        <v>FFDFD3C0</v>
      </c>
      <c r="D5429" t="s">
        <v>138</v>
      </c>
      <c r="E5429">
        <v>3</v>
      </c>
      <c r="H5429">
        <v>9</v>
      </c>
      <c r="I5429" t="s">
        <v>140</v>
      </c>
      <c r="J5429" t="s">
        <v>136</v>
      </c>
      <c r="K5429">
        <v>0</v>
      </c>
      <c r="L5429">
        <v>3</v>
      </c>
      <c r="M5429">
        <v>0</v>
      </c>
      <c r="N5429">
        <v>2</v>
      </c>
      <c r="O5429">
        <v>1</v>
      </c>
      <c r="P5429">
        <v>0</v>
      </c>
      <c r="Q5429">
        <v>0</v>
      </c>
      <c r="S5429" t="str">
        <f t="shared" si="2514"/>
        <v>14:51:17.891</v>
      </c>
      <c r="T5429" t="str">
        <f t="shared" si="2515"/>
        <v>14:51:17.791</v>
      </c>
      <c r="U5429" t="str">
        <f t="shared" si="2492"/>
        <v>A9808D</v>
      </c>
      <c r="V5429">
        <v>0</v>
      </c>
      <c r="W5429">
        <v>0</v>
      </c>
      <c r="X5429">
        <v>1</v>
      </c>
      <c r="Z5429">
        <v>0</v>
      </c>
      <c r="AA5429">
        <v>9</v>
      </c>
      <c r="AB5429">
        <v>3</v>
      </c>
      <c r="AC5429">
        <v>0</v>
      </c>
      <c r="AD5429">
        <v>10</v>
      </c>
      <c r="AE5429">
        <v>0</v>
      </c>
      <c r="AF5429">
        <v>3</v>
      </c>
      <c r="AG5429">
        <v>2</v>
      </c>
      <c r="AH5429">
        <v>0</v>
      </c>
      <c r="AI5429" t="s">
        <v>1203</v>
      </c>
      <c r="AJ5429">
        <v>28.219584999999999</v>
      </c>
      <c r="AK5429" t="s">
        <v>1204</v>
      </c>
      <c r="AL5429">
        <v>-82.392246999999998</v>
      </c>
      <c r="AM5429">
        <v>100</v>
      </c>
      <c r="AN5429">
        <v>1400</v>
      </c>
      <c r="AO5429" t="s">
        <v>118</v>
      </c>
      <c r="AP5429">
        <v>-51</v>
      </c>
      <c r="AQ5429">
        <v>-106</v>
      </c>
      <c r="AR5429">
        <v>-1216</v>
      </c>
      <c r="AZ5429">
        <v>1200</v>
      </c>
      <c r="BA5429">
        <v>1</v>
      </c>
      <c r="BB5429" t="str">
        <f t="shared" si="2501"/>
        <v xml:space="preserve">N711JA  </v>
      </c>
      <c r="BC5429">
        <v>1</v>
      </c>
      <c r="BE5429">
        <v>0</v>
      </c>
      <c r="BF5429">
        <v>0</v>
      </c>
      <c r="BG5429">
        <v>0</v>
      </c>
      <c r="BH5429">
        <v>1450</v>
      </c>
      <c r="BI5429">
        <v>1</v>
      </c>
      <c r="BJ5429">
        <v>1</v>
      </c>
      <c r="BK5429">
        <v>0</v>
      </c>
      <c r="BL5429">
        <v>0</v>
      </c>
      <c r="BO5429">
        <v>0</v>
      </c>
      <c r="BP5429">
        <v>0</v>
      </c>
      <c r="BW5429" t="str">
        <f t="shared" si="2516"/>
        <v>14:51:17.891</v>
      </c>
      <c r="CJ5429">
        <v>0</v>
      </c>
      <c r="CK5429">
        <v>2</v>
      </c>
      <c r="CL5429">
        <v>0</v>
      </c>
      <c r="CM5429">
        <v>2</v>
      </c>
      <c r="CN5429">
        <v>0</v>
      </c>
      <c r="CO5429">
        <v>7</v>
      </c>
      <c r="CP5429" t="s">
        <v>119</v>
      </c>
      <c r="CQ5429">
        <v>343</v>
      </c>
      <c r="CR5429">
        <v>2</v>
      </c>
      <c r="CW5429">
        <v>13406461</v>
      </c>
      <c r="CY5429">
        <v>1</v>
      </c>
      <c r="CZ5429">
        <v>0</v>
      </c>
      <c r="DA5429">
        <v>1</v>
      </c>
      <c r="DB5429">
        <v>0</v>
      </c>
      <c r="DC5429">
        <v>0</v>
      </c>
      <c r="DD5429">
        <v>1</v>
      </c>
      <c r="DE5429">
        <v>0</v>
      </c>
      <c r="DF5429">
        <v>0</v>
      </c>
      <c r="DG5429">
        <v>0</v>
      </c>
      <c r="DH5429">
        <v>0</v>
      </c>
      <c r="DI5429">
        <v>0</v>
      </c>
    </row>
    <row r="5430" spans="1:113" x14ac:dyDescent="0.3">
      <c r="A5430" t="str">
        <f t="shared" si="2513"/>
        <v>05/12/2020 14:51:00.054</v>
      </c>
      <c r="C5430" t="str">
        <f t="shared" si="2500"/>
        <v>FFDFD3C0</v>
      </c>
      <c r="D5430" t="s">
        <v>134</v>
      </c>
      <c r="E5430">
        <v>12</v>
      </c>
      <c r="H5430">
        <v>64</v>
      </c>
      <c r="I5430" t="s">
        <v>135</v>
      </c>
      <c r="J5430" t="s">
        <v>136</v>
      </c>
      <c r="K5430">
        <v>0</v>
      </c>
      <c r="L5430">
        <v>3</v>
      </c>
      <c r="M5430">
        <v>0</v>
      </c>
      <c r="N5430">
        <v>2</v>
      </c>
      <c r="O5430">
        <v>1</v>
      </c>
      <c r="P5430">
        <v>0</v>
      </c>
      <c r="Q5430">
        <v>0</v>
      </c>
      <c r="S5430" t="str">
        <f t="shared" si="2514"/>
        <v>14:51:17.891</v>
      </c>
      <c r="T5430" t="str">
        <f t="shared" si="2515"/>
        <v>14:51:17.791</v>
      </c>
      <c r="U5430" t="str">
        <f t="shared" si="2492"/>
        <v>A9808D</v>
      </c>
      <c r="V5430">
        <v>0</v>
      </c>
      <c r="W5430">
        <v>0</v>
      </c>
      <c r="X5430">
        <v>1</v>
      </c>
      <c r="Z5430">
        <v>0</v>
      </c>
      <c r="AA5430">
        <v>9</v>
      </c>
      <c r="AB5430">
        <v>3</v>
      </c>
      <c r="AC5430">
        <v>0</v>
      </c>
      <c r="AD5430">
        <v>10</v>
      </c>
      <c r="AE5430">
        <v>0</v>
      </c>
      <c r="AF5430">
        <v>3</v>
      </c>
      <c r="AG5430">
        <v>2</v>
      </c>
      <c r="AH5430">
        <v>0</v>
      </c>
      <c r="AI5430" t="s">
        <v>1203</v>
      </c>
      <c r="AJ5430">
        <v>28.219584999999999</v>
      </c>
      <c r="AK5430" t="s">
        <v>1204</v>
      </c>
      <c r="AL5430">
        <v>-82.392246999999998</v>
      </c>
      <c r="AM5430">
        <v>100</v>
      </c>
      <c r="AN5430">
        <v>1400</v>
      </c>
      <c r="AO5430" t="s">
        <v>118</v>
      </c>
      <c r="AP5430">
        <v>-51</v>
      </c>
      <c r="AQ5430">
        <v>-106</v>
      </c>
      <c r="AR5430">
        <v>-1216</v>
      </c>
      <c r="AZ5430">
        <v>1200</v>
      </c>
      <c r="BA5430">
        <v>1</v>
      </c>
      <c r="BB5430" t="str">
        <f t="shared" si="2501"/>
        <v xml:space="preserve">N711JA  </v>
      </c>
      <c r="BC5430">
        <v>1</v>
      </c>
      <c r="BE5430">
        <v>0</v>
      </c>
      <c r="BF5430">
        <v>0</v>
      </c>
      <c r="BG5430">
        <v>0</v>
      </c>
      <c r="BH5430">
        <v>1450</v>
      </c>
      <c r="BI5430">
        <v>1</v>
      </c>
      <c r="BJ5430">
        <v>1</v>
      </c>
      <c r="BK5430">
        <v>0</v>
      </c>
      <c r="BL5430">
        <v>0</v>
      </c>
      <c r="BO5430">
        <v>0</v>
      </c>
      <c r="BP5430">
        <v>0</v>
      </c>
      <c r="BW5430" t="str">
        <f t="shared" si="2516"/>
        <v>14:51:17.891</v>
      </c>
      <c r="CJ5430">
        <v>0</v>
      </c>
      <c r="CK5430">
        <v>2</v>
      </c>
      <c r="CL5430">
        <v>0</v>
      </c>
      <c r="CM5430">
        <v>2</v>
      </c>
      <c r="CN5430">
        <v>0</v>
      </c>
      <c r="CO5430">
        <v>7</v>
      </c>
      <c r="CP5430" t="s">
        <v>119</v>
      </c>
      <c r="CQ5430">
        <v>343</v>
      </c>
      <c r="CR5430">
        <v>2</v>
      </c>
      <c r="CW5430">
        <v>13406461</v>
      </c>
      <c r="CY5430">
        <v>1</v>
      </c>
      <c r="CZ5430">
        <v>0</v>
      </c>
      <c r="DA5430">
        <v>1</v>
      </c>
      <c r="DB5430">
        <v>0</v>
      </c>
      <c r="DC5430">
        <v>0</v>
      </c>
      <c r="DD5430">
        <v>1</v>
      </c>
      <c r="DE5430">
        <v>0</v>
      </c>
      <c r="DF5430">
        <v>0</v>
      </c>
      <c r="DG5430">
        <v>0</v>
      </c>
      <c r="DH5430">
        <v>0</v>
      </c>
      <c r="DI5430">
        <v>0</v>
      </c>
    </row>
    <row r="5431" spans="1:113" x14ac:dyDescent="0.3">
      <c r="A5431" t="str">
        <f t="shared" ref="A5431:A5438" si="2517">"05/12/2020 14:51:00.966"</f>
        <v>05/12/2020 14:51:00.966</v>
      </c>
      <c r="C5431" t="str">
        <f t="shared" si="2500"/>
        <v>FFDFD3C0</v>
      </c>
      <c r="D5431" t="s">
        <v>126</v>
      </c>
      <c r="E5431">
        <v>7</v>
      </c>
      <c r="F5431">
        <v>1007</v>
      </c>
      <c r="G5431" t="s">
        <v>127</v>
      </c>
      <c r="J5431" t="s">
        <v>128</v>
      </c>
      <c r="K5431">
        <v>0</v>
      </c>
      <c r="L5431">
        <v>3</v>
      </c>
      <c r="M5431">
        <v>0</v>
      </c>
      <c r="N5431">
        <v>2</v>
      </c>
      <c r="O5431">
        <v>1</v>
      </c>
      <c r="P5431">
        <v>0</v>
      </c>
      <c r="Q5431">
        <v>0</v>
      </c>
      <c r="S5431" t="str">
        <f t="shared" ref="S5431:S5438" si="2518">"14:51:18.813"</f>
        <v>14:51:18.813</v>
      </c>
      <c r="T5431" t="str">
        <f t="shared" ref="T5431:T5438" si="2519">"14:51:18.713"</f>
        <v>14:51:18.713</v>
      </c>
      <c r="U5431" t="str">
        <f t="shared" si="2492"/>
        <v>A9808D</v>
      </c>
      <c r="V5431">
        <v>0</v>
      </c>
      <c r="W5431">
        <v>0</v>
      </c>
      <c r="X5431">
        <v>1</v>
      </c>
      <c r="Z5431">
        <v>0</v>
      </c>
      <c r="AA5431">
        <v>9</v>
      </c>
      <c r="AB5431">
        <v>3</v>
      </c>
      <c r="AC5431">
        <v>0</v>
      </c>
      <c r="AD5431">
        <v>10</v>
      </c>
      <c r="AE5431">
        <v>0</v>
      </c>
      <c r="AF5431">
        <v>3</v>
      </c>
      <c r="AG5431">
        <v>2</v>
      </c>
      <c r="AH5431">
        <v>0</v>
      </c>
      <c r="AI5431" t="s">
        <v>1205</v>
      </c>
      <c r="AJ5431">
        <v>28.219156000000002</v>
      </c>
      <c r="AK5431" t="s">
        <v>1206</v>
      </c>
      <c r="AL5431">
        <v>-82.392504000000002</v>
      </c>
      <c r="AM5431">
        <v>100</v>
      </c>
      <c r="AN5431">
        <v>1400</v>
      </c>
      <c r="AO5431" t="s">
        <v>118</v>
      </c>
      <c r="AP5431">
        <v>-46</v>
      </c>
      <c r="AQ5431">
        <v>-109</v>
      </c>
      <c r="AR5431">
        <v>-1344</v>
      </c>
      <c r="AZ5431">
        <v>1200</v>
      </c>
      <c r="BA5431">
        <v>1</v>
      </c>
      <c r="BB5431" t="str">
        <f t="shared" si="2501"/>
        <v xml:space="preserve">N711JA  </v>
      </c>
      <c r="BC5431">
        <v>1</v>
      </c>
      <c r="BE5431">
        <v>0</v>
      </c>
      <c r="BF5431">
        <v>0</v>
      </c>
      <c r="BG5431">
        <v>0</v>
      </c>
      <c r="BH5431">
        <v>1425</v>
      </c>
      <c r="BI5431">
        <v>1</v>
      </c>
      <c r="BJ5431">
        <v>1</v>
      </c>
      <c r="BK5431">
        <v>0</v>
      </c>
      <c r="BL5431">
        <v>0</v>
      </c>
      <c r="BO5431">
        <v>0</v>
      </c>
      <c r="BP5431">
        <v>0</v>
      </c>
      <c r="BW5431" t="str">
        <f t="shared" ref="BW5431:BW5438" si="2520">"14:51:18.815"</f>
        <v>14:51:18.815</v>
      </c>
      <c r="CJ5431">
        <v>0</v>
      </c>
      <c r="CK5431">
        <v>2</v>
      </c>
      <c r="CL5431">
        <v>0</v>
      </c>
      <c r="CM5431">
        <v>2</v>
      </c>
      <c r="CN5431">
        <v>0</v>
      </c>
      <c r="CO5431">
        <v>7</v>
      </c>
      <c r="CP5431" t="s">
        <v>119</v>
      </c>
      <c r="CQ5431">
        <v>343</v>
      </c>
      <c r="CR5431">
        <v>1</v>
      </c>
      <c r="CW5431">
        <v>11153127</v>
      </c>
      <c r="CY5431">
        <v>1</v>
      </c>
      <c r="CZ5431">
        <v>0</v>
      </c>
      <c r="DA5431">
        <v>0</v>
      </c>
      <c r="DB5431">
        <v>0</v>
      </c>
      <c r="DC5431">
        <v>0</v>
      </c>
      <c r="DD5431">
        <v>1</v>
      </c>
      <c r="DE5431">
        <v>0</v>
      </c>
      <c r="DF5431">
        <v>0</v>
      </c>
      <c r="DG5431">
        <v>0</v>
      </c>
      <c r="DH5431">
        <v>0</v>
      </c>
      <c r="DI5431">
        <v>0</v>
      </c>
    </row>
    <row r="5432" spans="1:113" x14ac:dyDescent="0.3">
      <c r="A5432" t="str">
        <f t="shared" si="2517"/>
        <v>05/12/2020 14:51:00.966</v>
      </c>
      <c r="C5432" t="str">
        <f t="shared" si="2500"/>
        <v>FFDFD3C0</v>
      </c>
      <c r="D5432" t="s">
        <v>131</v>
      </c>
      <c r="E5432">
        <v>10</v>
      </c>
      <c r="F5432">
        <v>2010</v>
      </c>
      <c r="G5432" t="s">
        <v>132</v>
      </c>
      <c r="J5432" t="s">
        <v>133</v>
      </c>
      <c r="K5432">
        <v>0</v>
      </c>
      <c r="L5432">
        <v>3</v>
      </c>
      <c r="M5432">
        <v>0</v>
      </c>
      <c r="N5432">
        <v>2</v>
      </c>
      <c r="O5432">
        <v>1</v>
      </c>
      <c r="P5432">
        <v>0</v>
      </c>
      <c r="Q5432">
        <v>0</v>
      </c>
      <c r="S5432" t="str">
        <f t="shared" si="2518"/>
        <v>14:51:18.813</v>
      </c>
      <c r="T5432" t="str">
        <f t="shared" si="2519"/>
        <v>14:51:18.713</v>
      </c>
      <c r="U5432" t="str">
        <f t="shared" si="2492"/>
        <v>A9808D</v>
      </c>
      <c r="V5432">
        <v>0</v>
      </c>
      <c r="W5432">
        <v>0</v>
      </c>
      <c r="X5432">
        <v>1</v>
      </c>
      <c r="Z5432">
        <v>0</v>
      </c>
      <c r="AA5432">
        <v>9</v>
      </c>
      <c r="AB5432">
        <v>3</v>
      </c>
      <c r="AC5432">
        <v>0</v>
      </c>
      <c r="AD5432">
        <v>10</v>
      </c>
      <c r="AE5432">
        <v>0</v>
      </c>
      <c r="AF5432">
        <v>3</v>
      </c>
      <c r="AG5432">
        <v>2</v>
      </c>
      <c r="AH5432">
        <v>0</v>
      </c>
      <c r="AI5432" t="s">
        <v>1205</v>
      </c>
      <c r="AJ5432">
        <v>28.219156000000002</v>
      </c>
      <c r="AK5432" t="s">
        <v>1206</v>
      </c>
      <c r="AL5432">
        <v>-82.392504000000002</v>
      </c>
      <c r="AM5432">
        <v>100</v>
      </c>
      <c r="AN5432">
        <v>1400</v>
      </c>
      <c r="AO5432" t="s">
        <v>118</v>
      </c>
      <c r="AP5432">
        <v>-46</v>
      </c>
      <c r="AQ5432">
        <v>-109</v>
      </c>
      <c r="AR5432">
        <v>-1344</v>
      </c>
      <c r="AZ5432">
        <v>1200</v>
      </c>
      <c r="BA5432">
        <v>1</v>
      </c>
      <c r="BB5432" t="str">
        <f t="shared" si="2501"/>
        <v xml:space="preserve">N711JA  </v>
      </c>
      <c r="BC5432">
        <v>1</v>
      </c>
      <c r="BE5432">
        <v>0</v>
      </c>
      <c r="BF5432">
        <v>0</v>
      </c>
      <c r="BG5432">
        <v>0</v>
      </c>
      <c r="BH5432">
        <v>1425</v>
      </c>
      <c r="BI5432">
        <v>1</v>
      </c>
      <c r="BJ5432">
        <v>1</v>
      </c>
      <c r="BK5432">
        <v>0</v>
      </c>
      <c r="BL5432">
        <v>0</v>
      </c>
      <c r="BO5432">
        <v>0</v>
      </c>
      <c r="BP5432">
        <v>0</v>
      </c>
      <c r="BW5432" t="str">
        <f t="shared" si="2520"/>
        <v>14:51:18.815</v>
      </c>
      <c r="CJ5432">
        <v>0</v>
      </c>
      <c r="CK5432">
        <v>2</v>
      </c>
      <c r="CL5432">
        <v>0</v>
      </c>
      <c r="CM5432">
        <v>2</v>
      </c>
      <c r="CN5432">
        <v>0</v>
      </c>
      <c r="CO5432">
        <v>7</v>
      </c>
      <c r="CP5432" t="s">
        <v>119</v>
      </c>
      <c r="CQ5432">
        <v>343</v>
      </c>
      <c r="CR5432">
        <v>1</v>
      </c>
      <c r="CW5432">
        <v>11153127</v>
      </c>
      <c r="CY5432">
        <v>1</v>
      </c>
      <c r="CZ5432">
        <v>0</v>
      </c>
      <c r="DA5432">
        <v>1</v>
      </c>
      <c r="DB5432">
        <v>0</v>
      </c>
      <c r="DC5432">
        <v>0</v>
      </c>
      <c r="DD5432">
        <v>1</v>
      </c>
      <c r="DE5432">
        <v>0</v>
      </c>
      <c r="DF5432">
        <v>0</v>
      </c>
      <c r="DG5432">
        <v>0</v>
      </c>
      <c r="DH5432">
        <v>0</v>
      </c>
      <c r="DI5432">
        <v>0</v>
      </c>
    </row>
    <row r="5433" spans="1:113" x14ac:dyDescent="0.3">
      <c r="A5433" t="str">
        <f t="shared" si="2517"/>
        <v>05/12/2020 14:51:00.966</v>
      </c>
      <c r="C5433" t="str">
        <f t="shared" si="2500"/>
        <v>FFDFD3C0</v>
      </c>
      <c r="D5433" t="s">
        <v>131</v>
      </c>
      <c r="E5433">
        <v>12</v>
      </c>
      <c r="F5433">
        <v>2012</v>
      </c>
      <c r="G5433" t="s">
        <v>137</v>
      </c>
      <c r="J5433" t="s">
        <v>133</v>
      </c>
      <c r="K5433">
        <v>0</v>
      </c>
      <c r="L5433">
        <v>3</v>
      </c>
      <c r="M5433">
        <v>0</v>
      </c>
      <c r="N5433">
        <v>2</v>
      </c>
      <c r="O5433">
        <v>1</v>
      </c>
      <c r="P5433">
        <v>0</v>
      </c>
      <c r="Q5433">
        <v>0</v>
      </c>
      <c r="S5433" t="str">
        <f t="shared" si="2518"/>
        <v>14:51:18.813</v>
      </c>
      <c r="T5433" t="str">
        <f t="shared" si="2519"/>
        <v>14:51:18.713</v>
      </c>
      <c r="U5433" t="str">
        <f t="shared" si="2492"/>
        <v>A9808D</v>
      </c>
      <c r="V5433">
        <v>0</v>
      </c>
      <c r="W5433">
        <v>0</v>
      </c>
      <c r="X5433">
        <v>1</v>
      </c>
      <c r="Z5433">
        <v>0</v>
      </c>
      <c r="AA5433">
        <v>9</v>
      </c>
      <c r="AB5433">
        <v>3</v>
      </c>
      <c r="AC5433">
        <v>0</v>
      </c>
      <c r="AD5433">
        <v>10</v>
      </c>
      <c r="AE5433">
        <v>0</v>
      </c>
      <c r="AF5433">
        <v>3</v>
      </c>
      <c r="AG5433">
        <v>2</v>
      </c>
      <c r="AH5433">
        <v>0</v>
      </c>
      <c r="AI5433" t="s">
        <v>1205</v>
      </c>
      <c r="AJ5433">
        <v>28.219156000000002</v>
      </c>
      <c r="AK5433" t="s">
        <v>1206</v>
      </c>
      <c r="AL5433">
        <v>-82.392504000000002</v>
      </c>
      <c r="AM5433">
        <v>100</v>
      </c>
      <c r="AN5433">
        <v>1400</v>
      </c>
      <c r="AO5433" t="s">
        <v>118</v>
      </c>
      <c r="AP5433">
        <v>-46</v>
      </c>
      <c r="AQ5433">
        <v>-109</v>
      </c>
      <c r="AR5433">
        <v>-1344</v>
      </c>
      <c r="AZ5433">
        <v>1200</v>
      </c>
      <c r="BA5433">
        <v>1</v>
      </c>
      <c r="BB5433" t="str">
        <f t="shared" si="2501"/>
        <v xml:space="preserve">N711JA  </v>
      </c>
      <c r="BC5433">
        <v>1</v>
      </c>
      <c r="BE5433">
        <v>0</v>
      </c>
      <c r="BF5433">
        <v>0</v>
      </c>
      <c r="BG5433">
        <v>0</v>
      </c>
      <c r="BH5433">
        <v>1425</v>
      </c>
      <c r="BI5433">
        <v>1</v>
      </c>
      <c r="BJ5433">
        <v>1</v>
      </c>
      <c r="BK5433">
        <v>0</v>
      </c>
      <c r="BL5433">
        <v>0</v>
      </c>
      <c r="BO5433">
        <v>0</v>
      </c>
      <c r="BP5433">
        <v>0</v>
      </c>
      <c r="BW5433" t="str">
        <f t="shared" si="2520"/>
        <v>14:51:18.815</v>
      </c>
      <c r="CJ5433">
        <v>0</v>
      </c>
      <c r="CK5433">
        <v>2</v>
      </c>
      <c r="CL5433">
        <v>0</v>
      </c>
      <c r="CM5433">
        <v>2</v>
      </c>
      <c r="CN5433">
        <v>0</v>
      </c>
      <c r="CO5433">
        <v>7</v>
      </c>
      <c r="CP5433" t="s">
        <v>119</v>
      </c>
      <c r="CQ5433">
        <v>343</v>
      </c>
      <c r="CR5433">
        <v>1</v>
      </c>
      <c r="CW5433">
        <v>11153127</v>
      </c>
      <c r="CY5433">
        <v>1</v>
      </c>
      <c r="CZ5433">
        <v>0</v>
      </c>
      <c r="DA5433">
        <v>1</v>
      </c>
      <c r="DB5433">
        <v>0</v>
      </c>
      <c r="DC5433">
        <v>0</v>
      </c>
      <c r="DD5433">
        <v>1</v>
      </c>
      <c r="DE5433">
        <v>0</v>
      </c>
      <c r="DF5433">
        <v>0</v>
      </c>
      <c r="DG5433">
        <v>0</v>
      </c>
      <c r="DH5433">
        <v>0</v>
      </c>
      <c r="DI5433">
        <v>0</v>
      </c>
    </row>
    <row r="5434" spans="1:113" x14ac:dyDescent="0.3">
      <c r="A5434" t="str">
        <f t="shared" si="2517"/>
        <v>05/12/2020 14:51:00.966</v>
      </c>
      <c r="C5434" t="str">
        <f t="shared" si="2500"/>
        <v>FFDFD3C0</v>
      </c>
      <c r="D5434" t="s">
        <v>113</v>
      </c>
      <c r="E5434">
        <v>3</v>
      </c>
      <c r="H5434">
        <v>164</v>
      </c>
      <c r="I5434" t="s">
        <v>114</v>
      </c>
      <c r="J5434" t="s">
        <v>115</v>
      </c>
      <c r="K5434">
        <v>0</v>
      </c>
      <c r="L5434">
        <v>3</v>
      </c>
      <c r="M5434">
        <v>0</v>
      </c>
      <c r="N5434">
        <v>2</v>
      </c>
      <c r="O5434">
        <v>1</v>
      </c>
      <c r="P5434">
        <v>0</v>
      </c>
      <c r="Q5434">
        <v>0</v>
      </c>
      <c r="S5434" t="str">
        <f t="shared" si="2518"/>
        <v>14:51:18.813</v>
      </c>
      <c r="T5434" t="str">
        <f t="shared" si="2519"/>
        <v>14:51:18.713</v>
      </c>
      <c r="U5434" t="str">
        <f t="shared" si="2492"/>
        <v>A9808D</v>
      </c>
      <c r="V5434">
        <v>0</v>
      </c>
      <c r="W5434">
        <v>0</v>
      </c>
      <c r="X5434">
        <v>1</v>
      </c>
      <c r="Z5434">
        <v>0</v>
      </c>
      <c r="AA5434">
        <v>9</v>
      </c>
      <c r="AB5434">
        <v>3</v>
      </c>
      <c r="AC5434">
        <v>0</v>
      </c>
      <c r="AD5434">
        <v>10</v>
      </c>
      <c r="AE5434">
        <v>0</v>
      </c>
      <c r="AF5434">
        <v>3</v>
      </c>
      <c r="AG5434">
        <v>2</v>
      </c>
      <c r="AH5434">
        <v>0</v>
      </c>
      <c r="AI5434" t="s">
        <v>1205</v>
      </c>
      <c r="AJ5434">
        <v>28.219156000000002</v>
      </c>
      <c r="AK5434" t="s">
        <v>1206</v>
      </c>
      <c r="AL5434">
        <v>-82.392504000000002</v>
      </c>
      <c r="AM5434">
        <v>100</v>
      </c>
      <c r="AN5434">
        <v>1400</v>
      </c>
      <c r="AO5434" t="s">
        <v>118</v>
      </c>
      <c r="AP5434">
        <v>-46</v>
      </c>
      <c r="AQ5434">
        <v>-109</v>
      </c>
      <c r="AR5434">
        <v>-1344</v>
      </c>
      <c r="AZ5434">
        <v>1200</v>
      </c>
      <c r="BA5434">
        <v>1</v>
      </c>
      <c r="BB5434" t="str">
        <f t="shared" si="2501"/>
        <v xml:space="preserve">N711JA  </v>
      </c>
      <c r="BC5434">
        <v>1</v>
      </c>
      <c r="BE5434">
        <v>0</v>
      </c>
      <c r="BF5434">
        <v>0</v>
      </c>
      <c r="BG5434">
        <v>0</v>
      </c>
      <c r="BH5434">
        <v>1425</v>
      </c>
      <c r="BI5434">
        <v>1</v>
      </c>
      <c r="BJ5434">
        <v>1</v>
      </c>
      <c r="BK5434">
        <v>0</v>
      </c>
      <c r="BL5434">
        <v>0</v>
      </c>
      <c r="BO5434">
        <v>0</v>
      </c>
      <c r="BP5434">
        <v>0</v>
      </c>
      <c r="BW5434" t="str">
        <f t="shared" si="2520"/>
        <v>14:51:18.815</v>
      </c>
      <c r="CJ5434">
        <v>0</v>
      </c>
      <c r="CK5434">
        <v>2</v>
      </c>
      <c r="CL5434">
        <v>0</v>
      </c>
      <c r="CM5434">
        <v>2</v>
      </c>
      <c r="CN5434">
        <v>0</v>
      </c>
      <c r="CO5434">
        <v>7</v>
      </c>
      <c r="CP5434" t="s">
        <v>119</v>
      </c>
      <c r="CQ5434">
        <v>343</v>
      </c>
      <c r="CR5434">
        <v>1</v>
      </c>
      <c r="CW5434">
        <v>11153127</v>
      </c>
      <c r="CY5434">
        <v>1</v>
      </c>
      <c r="CZ5434">
        <v>0</v>
      </c>
      <c r="DA5434">
        <v>1</v>
      </c>
      <c r="DB5434">
        <v>0</v>
      </c>
      <c r="DC5434">
        <v>0</v>
      </c>
      <c r="DD5434">
        <v>1</v>
      </c>
      <c r="DE5434">
        <v>0</v>
      </c>
      <c r="DF5434">
        <v>0</v>
      </c>
      <c r="DG5434">
        <v>0</v>
      </c>
      <c r="DH5434">
        <v>0</v>
      </c>
      <c r="DI5434">
        <v>0</v>
      </c>
    </row>
    <row r="5435" spans="1:113" x14ac:dyDescent="0.3">
      <c r="A5435" t="str">
        <f t="shared" si="2517"/>
        <v>05/12/2020 14:51:00.966</v>
      </c>
      <c r="C5435" t="str">
        <f t="shared" si="2500"/>
        <v>FFDFD3C0</v>
      </c>
      <c r="D5435" t="s">
        <v>138</v>
      </c>
      <c r="E5435">
        <v>2</v>
      </c>
      <c r="H5435">
        <v>8</v>
      </c>
      <c r="I5435" t="s">
        <v>139</v>
      </c>
      <c r="J5435" t="s">
        <v>136</v>
      </c>
      <c r="K5435">
        <v>0</v>
      </c>
      <c r="L5435">
        <v>3</v>
      </c>
      <c r="M5435">
        <v>0</v>
      </c>
      <c r="N5435">
        <v>2</v>
      </c>
      <c r="O5435">
        <v>1</v>
      </c>
      <c r="P5435">
        <v>0</v>
      </c>
      <c r="Q5435">
        <v>0</v>
      </c>
      <c r="S5435" t="str">
        <f t="shared" si="2518"/>
        <v>14:51:18.813</v>
      </c>
      <c r="T5435" t="str">
        <f t="shared" si="2519"/>
        <v>14:51:18.713</v>
      </c>
      <c r="U5435" t="str">
        <f t="shared" si="2492"/>
        <v>A9808D</v>
      </c>
      <c r="V5435">
        <v>0</v>
      </c>
      <c r="W5435">
        <v>0</v>
      </c>
      <c r="X5435">
        <v>1</v>
      </c>
      <c r="Z5435">
        <v>0</v>
      </c>
      <c r="AA5435">
        <v>9</v>
      </c>
      <c r="AB5435">
        <v>3</v>
      </c>
      <c r="AC5435">
        <v>0</v>
      </c>
      <c r="AD5435">
        <v>10</v>
      </c>
      <c r="AE5435">
        <v>0</v>
      </c>
      <c r="AF5435">
        <v>3</v>
      </c>
      <c r="AG5435">
        <v>2</v>
      </c>
      <c r="AH5435">
        <v>0</v>
      </c>
      <c r="AI5435" t="s">
        <v>1205</v>
      </c>
      <c r="AJ5435">
        <v>28.219156000000002</v>
      </c>
      <c r="AK5435" t="s">
        <v>1206</v>
      </c>
      <c r="AL5435">
        <v>-82.392504000000002</v>
      </c>
      <c r="AM5435">
        <v>100</v>
      </c>
      <c r="AN5435">
        <v>1400</v>
      </c>
      <c r="AO5435" t="s">
        <v>118</v>
      </c>
      <c r="AP5435">
        <v>-46</v>
      </c>
      <c r="AQ5435">
        <v>-109</v>
      </c>
      <c r="AR5435">
        <v>-1344</v>
      </c>
      <c r="AZ5435">
        <v>1200</v>
      </c>
      <c r="BA5435">
        <v>1</v>
      </c>
      <c r="BB5435" t="str">
        <f t="shared" si="2501"/>
        <v xml:space="preserve">N711JA  </v>
      </c>
      <c r="BC5435">
        <v>1</v>
      </c>
      <c r="BE5435">
        <v>0</v>
      </c>
      <c r="BF5435">
        <v>0</v>
      </c>
      <c r="BG5435">
        <v>0</v>
      </c>
      <c r="BH5435">
        <v>1425</v>
      </c>
      <c r="BI5435">
        <v>1</v>
      </c>
      <c r="BJ5435">
        <v>1</v>
      </c>
      <c r="BK5435">
        <v>0</v>
      </c>
      <c r="BL5435">
        <v>0</v>
      </c>
      <c r="BO5435">
        <v>0</v>
      </c>
      <c r="BP5435">
        <v>0</v>
      </c>
      <c r="BW5435" t="str">
        <f t="shared" si="2520"/>
        <v>14:51:18.815</v>
      </c>
      <c r="CJ5435">
        <v>0</v>
      </c>
      <c r="CK5435">
        <v>2</v>
      </c>
      <c r="CL5435">
        <v>0</v>
      </c>
      <c r="CM5435">
        <v>2</v>
      </c>
      <c r="CN5435">
        <v>0</v>
      </c>
      <c r="CO5435">
        <v>7</v>
      </c>
      <c r="CP5435" t="s">
        <v>119</v>
      </c>
      <c r="CQ5435">
        <v>343</v>
      </c>
      <c r="CR5435">
        <v>1</v>
      </c>
      <c r="CW5435">
        <v>11153127</v>
      </c>
      <c r="CY5435">
        <v>1</v>
      </c>
      <c r="CZ5435">
        <v>0</v>
      </c>
      <c r="DA5435">
        <v>1</v>
      </c>
      <c r="DB5435">
        <v>0</v>
      </c>
      <c r="DC5435">
        <v>0</v>
      </c>
      <c r="DD5435">
        <v>1</v>
      </c>
      <c r="DE5435">
        <v>0</v>
      </c>
      <c r="DF5435">
        <v>0</v>
      </c>
      <c r="DG5435">
        <v>0</v>
      </c>
      <c r="DH5435">
        <v>0</v>
      </c>
      <c r="DI5435">
        <v>0</v>
      </c>
    </row>
    <row r="5436" spans="1:113" x14ac:dyDescent="0.3">
      <c r="A5436" t="str">
        <f t="shared" si="2517"/>
        <v>05/12/2020 14:51:00.966</v>
      </c>
      <c r="C5436" t="str">
        <f t="shared" si="2500"/>
        <v>FFDFD3C0</v>
      </c>
      <c r="D5436" t="s">
        <v>138</v>
      </c>
      <c r="E5436">
        <v>3</v>
      </c>
      <c r="H5436">
        <v>9</v>
      </c>
      <c r="I5436" t="s">
        <v>140</v>
      </c>
      <c r="J5436" t="s">
        <v>136</v>
      </c>
      <c r="K5436">
        <v>0</v>
      </c>
      <c r="L5436">
        <v>3</v>
      </c>
      <c r="M5436">
        <v>0</v>
      </c>
      <c r="N5436">
        <v>2</v>
      </c>
      <c r="O5436">
        <v>1</v>
      </c>
      <c r="P5436">
        <v>0</v>
      </c>
      <c r="Q5436">
        <v>0</v>
      </c>
      <c r="S5436" t="str">
        <f t="shared" si="2518"/>
        <v>14:51:18.813</v>
      </c>
      <c r="T5436" t="str">
        <f t="shared" si="2519"/>
        <v>14:51:18.713</v>
      </c>
      <c r="U5436" t="str">
        <f t="shared" si="2492"/>
        <v>A9808D</v>
      </c>
      <c r="V5436">
        <v>0</v>
      </c>
      <c r="W5436">
        <v>0</v>
      </c>
      <c r="X5436">
        <v>1</v>
      </c>
      <c r="Z5436">
        <v>0</v>
      </c>
      <c r="AA5436">
        <v>9</v>
      </c>
      <c r="AB5436">
        <v>3</v>
      </c>
      <c r="AC5436">
        <v>0</v>
      </c>
      <c r="AD5436">
        <v>10</v>
      </c>
      <c r="AE5436">
        <v>0</v>
      </c>
      <c r="AF5436">
        <v>3</v>
      </c>
      <c r="AG5436">
        <v>2</v>
      </c>
      <c r="AH5436">
        <v>0</v>
      </c>
      <c r="AI5436" t="s">
        <v>1205</v>
      </c>
      <c r="AJ5436">
        <v>28.219156000000002</v>
      </c>
      <c r="AK5436" t="s">
        <v>1206</v>
      </c>
      <c r="AL5436">
        <v>-82.392504000000002</v>
      </c>
      <c r="AM5436">
        <v>100</v>
      </c>
      <c r="AN5436">
        <v>1400</v>
      </c>
      <c r="AO5436" t="s">
        <v>118</v>
      </c>
      <c r="AP5436">
        <v>-46</v>
      </c>
      <c r="AQ5436">
        <v>-109</v>
      </c>
      <c r="AR5436">
        <v>-1344</v>
      </c>
      <c r="AZ5436">
        <v>1200</v>
      </c>
      <c r="BA5436">
        <v>1</v>
      </c>
      <c r="BB5436" t="str">
        <f t="shared" si="2501"/>
        <v xml:space="preserve">N711JA  </v>
      </c>
      <c r="BC5436">
        <v>1</v>
      </c>
      <c r="BE5436">
        <v>0</v>
      </c>
      <c r="BF5436">
        <v>0</v>
      </c>
      <c r="BG5436">
        <v>0</v>
      </c>
      <c r="BH5436">
        <v>1425</v>
      </c>
      <c r="BI5436">
        <v>1</v>
      </c>
      <c r="BJ5436">
        <v>1</v>
      </c>
      <c r="BK5436">
        <v>0</v>
      </c>
      <c r="BL5436">
        <v>0</v>
      </c>
      <c r="BO5436">
        <v>0</v>
      </c>
      <c r="BP5436">
        <v>0</v>
      </c>
      <c r="BW5436" t="str">
        <f t="shared" si="2520"/>
        <v>14:51:18.815</v>
      </c>
      <c r="CJ5436">
        <v>0</v>
      </c>
      <c r="CK5436">
        <v>2</v>
      </c>
      <c r="CL5436">
        <v>0</v>
      </c>
      <c r="CM5436">
        <v>2</v>
      </c>
      <c r="CN5436">
        <v>0</v>
      </c>
      <c r="CO5436">
        <v>7</v>
      </c>
      <c r="CP5436" t="s">
        <v>119</v>
      </c>
      <c r="CQ5436">
        <v>343</v>
      </c>
      <c r="CR5436">
        <v>1</v>
      </c>
      <c r="CW5436">
        <v>11153127</v>
      </c>
      <c r="CY5436">
        <v>1</v>
      </c>
      <c r="CZ5436">
        <v>0</v>
      </c>
      <c r="DA5436">
        <v>1</v>
      </c>
      <c r="DB5436">
        <v>0</v>
      </c>
      <c r="DC5436">
        <v>0</v>
      </c>
      <c r="DD5436">
        <v>1</v>
      </c>
      <c r="DE5436">
        <v>0</v>
      </c>
      <c r="DF5436">
        <v>0</v>
      </c>
      <c r="DG5436">
        <v>0</v>
      </c>
      <c r="DH5436">
        <v>0</v>
      </c>
      <c r="DI5436">
        <v>0</v>
      </c>
    </row>
    <row r="5437" spans="1:113" x14ac:dyDescent="0.3">
      <c r="A5437" t="str">
        <f t="shared" si="2517"/>
        <v>05/12/2020 14:51:00.966</v>
      </c>
      <c r="C5437" t="str">
        <f t="shared" si="2500"/>
        <v>FFDFD3C0</v>
      </c>
      <c r="D5437" t="s">
        <v>126</v>
      </c>
      <c r="E5437">
        <v>6</v>
      </c>
      <c r="F5437">
        <v>1006</v>
      </c>
      <c r="G5437" t="s">
        <v>114</v>
      </c>
      <c r="J5437" t="s">
        <v>128</v>
      </c>
      <c r="K5437">
        <v>0</v>
      </c>
      <c r="L5437">
        <v>3</v>
      </c>
      <c r="M5437">
        <v>0</v>
      </c>
      <c r="N5437">
        <v>2</v>
      </c>
      <c r="O5437">
        <v>1</v>
      </c>
      <c r="P5437">
        <v>0</v>
      </c>
      <c r="Q5437">
        <v>0</v>
      </c>
      <c r="S5437" t="str">
        <f t="shared" si="2518"/>
        <v>14:51:18.813</v>
      </c>
      <c r="T5437" t="str">
        <f t="shared" si="2519"/>
        <v>14:51:18.713</v>
      </c>
      <c r="U5437" t="str">
        <f t="shared" si="2492"/>
        <v>A9808D</v>
      </c>
      <c r="V5437">
        <v>0</v>
      </c>
      <c r="W5437">
        <v>0</v>
      </c>
      <c r="X5437">
        <v>1</v>
      </c>
      <c r="Z5437">
        <v>0</v>
      </c>
      <c r="AA5437">
        <v>9</v>
      </c>
      <c r="AB5437">
        <v>3</v>
      </c>
      <c r="AC5437">
        <v>0</v>
      </c>
      <c r="AD5437">
        <v>10</v>
      </c>
      <c r="AE5437">
        <v>0</v>
      </c>
      <c r="AF5437">
        <v>3</v>
      </c>
      <c r="AG5437">
        <v>2</v>
      </c>
      <c r="AH5437">
        <v>0</v>
      </c>
      <c r="AI5437" t="s">
        <v>1205</v>
      </c>
      <c r="AJ5437">
        <v>28.219156000000002</v>
      </c>
      <c r="AK5437" t="s">
        <v>1206</v>
      </c>
      <c r="AL5437">
        <v>-82.392504000000002</v>
      </c>
      <c r="AM5437">
        <v>100</v>
      </c>
      <c r="AN5437">
        <v>1400</v>
      </c>
      <c r="AO5437" t="s">
        <v>118</v>
      </c>
      <c r="AP5437">
        <v>-46</v>
      </c>
      <c r="AQ5437">
        <v>-109</v>
      </c>
      <c r="AR5437">
        <v>-1344</v>
      </c>
      <c r="AZ5437">
        <v>1200</v>
      </c>
      <c r="BA5437">
        <v>1</v>
      </c>
      <c r="BB5437" t="str">
        <f t="shared" si="2501"/>
        <v xml:space="preserve">N711JA  </v>
      </c>
      <c r="BC5437">
        <v>1</v>
      </c>
      <c r="BE5437">
        <v>0</v>
      </c>
      <c r="BF5437">
        <v>0</v>
      </c>
      <c r="BG5437">
        <v>0</v>
      </c>
      <c r="BH5437">
        <v>1425</v>
      </c>
      <c r="BI5437">
        <v>1</v>
      </c>
      <c r="BJ5437">
        <v>1</v>
      </c>
      <c r="BK5437">
        <v>0</v>
      </c>
      <c r="BL5437">
        <v>0</v>
      </c>
      <c r="BO5437">
        <v>0</v>
      </c>
      <c r="BP5437">
        <v>0</v>
      </c>
      <c r="BW5437" t="str">
        <f t="shared" si="2520"/>
        <v>14:51:18.815</v>
      </c>
      <c r="CJ5437">
        <v>0</v>
      </c>
      <c r="CK5437">
        <v>2</v>
      </c>
      <c r="CL5437">
        <v>0</v>
      </c>
      <c r="CM5437">
        <v>2</v>
      </c>
      <c r="CN5437">
        <v>0</v>
      </c>
      <c r="CO5437">
        <v>7</v>
      </c>
      <c r="CP5437" t="s">
        <v>119</v>
      </c>
      <c r="CQ5437">
        <v>343</v>
      </c>
      <c r="CR5437">
        <v>1</v>
      </c>
      <c r="CW5437">
        <v>11153127</v>
      </c>
      <c r="CY5437">
        <v>1</v>
      </c>
      <c r="CZ5437">
        <v>0</v>
      </c>
      <c r="DA5437">
        <v>1</v>
      </c>
      <c r="DB5437">
        <v>0</v>
      </c>
      <c r="DC5437">
        <v>0</v>
      </c>
      <c r="DD5437">
        <v>1</v>
      </c>
      <c r="DE5437">
        <v>0</v>
      </c>
      <c r="DF5437">
        <v>0</v>
      </c>
      <c r="DG5437">
        <v>0</v>
      </c>
      <c r="DH5437">
        <v>0</v>
      </c>
      <c r="DI5437">
        <v>0</v>
      </c>
    </row>
    <row r="5438" spans="1:113" x14ac:dyDescent="0.3">
      <c r="A5438" t="str">
        <f t="shared" si="2517"/>
        <v>05/12/2020 14:51:00.966</v>
      </c>
      <c r="C5438" t="str">
        <f t="shared" si="2500"/>
        <v>FFDFD3C0</v>
      </c>
      <c r="D5438" t="s">
        <v>134</v>
      </c>
      <c r="E5438">
        <v>12</v>
      </c>
      <c r="H5438">
        <v>64</v>
      </c>
      <c r="I5438" t="s">
        <v>135</v>
      </c>
      <c r="J5438" t="s">
        <v>136</v>
      </c>
      <c r="K5438">
        <v>0</v>
      </c>
      <c r="L5438">
        <v>3</v>
      </c>
      <c r="M5438">
        <v>0</v>
      </c>
      <c r="N5438">
        <v>2</v>
      </c>
      <c r="O5438">
        <v>1</v>
      </c>
      <c r="P5438">
        <v>0</v>
      </c>
      <c r="Q5438">
        <v>0</v>
      </c>
      <c r="S5438" t="str">
        <f t="shared" si="2518"/>
        <v>14:51:18.813</v>
      </c>
      <c r="T5438" t="str">
        <f t="shared" si="2519"/>
        <v>14:51:18.713</v>
      </c>
      <c r="U5438" t="str">
        <f t="shared" si="2492"/>
        <v>A9808D</v>
      </c>
      <c r="V5438">
        <v>0</v>
      </c>
      <c r="W5438">
        <v>0</v>
      </c>
      <c r="X5438">
        <v>1</v>
      </c>
      <c r="Z5438">
        <v>0</v>
      </c>
      <c r="AA5438">
        <v>9</v>
      </c>
      <c r="AB5438">
        <v>3</v>
      </c>
      <c r="AC5438">
        <v>0</v>
      </c>
      <c r="AD5438">
        <v>10</v>
      </c>
      <c r="AE5438">
        <v>0</v>
      </c>
      <c r="AF5438">
        <v>3</v>
      </c>
      <c r="AG5438">
        <v>2</v>
      </c>
      <c r="AH5438">
        <v>0</v>
      </c>
      <c r="AI5438" t="s">
        <v>1205</v>
      </c>
      <c r="AJ5438">
        <v>28.219156000000002</v>
      </c>
      <c r="AK5438" t="s">
        <v>1206</v>
      </c>
      <c r="AL5438">
        <v>-82.392504000000002</v>
      </c>
      <c r="AM5438">
        <v>100</v>
      </c>
      <c r="AN5438">
        <v>1400</v>
      </c>
      <c r="AO5438" t="s">
        <v>118</v>
      </c>
      <c r="AP5438">
        <v>-46</v>
      </c>
      <c r="AQ5438">
        <v>-109</v>
      </c>
      <c r="AR5438">
        <v>-1344</v>
      </c>
      <c r="AZ5438">
        <v>1200</v>
      </c>
      <c r="BA5438">
        <v>1</v>
      </c>
      <c r="BB5438" t="str">
        <f t="shared" si="2501"/>
        <v xml:space="preserve">N711JA  </v>
      </c>
      <c r="BC5438">
        <v>1</v>
      </c>
      <c r="BE5438">
        <v>0</v>
      </c>
      <c r="BF5438">
        <v>0</v>
      </c>
      <c r="BG5438">
        <v>0</v>
      </c>
      <c r="BH5438">
        <v>1425</v>
      </c>
      <c r="BI5438">
        <v>1</v>
      </c>
      <c r="BJ5438">
        <v>1</v>
      </c>
      <c r="BK5438">
        <v>0</v>
      </c>
      <c r="BL5438">
        <v>0</v>
      </c>
      <c r="BO5438">
        <v>0</v>
      </c>
      <c r="BP5438">
        <v>0</v>
      </c>
      <c r="BW5438" t="str">
        <f t="shared" si="2520"/>
        <v>14:51:18.815</v>
      </c>
      <c r="CJ5438">
        <v>0</v>
      </c>
      <c r="CK5438">
        <v>2</v>
      </c>
      <c r="CL5438">
        <v>0</v>
      </c>
      <c r="CM5438">
        <v>2</v>
      </c>
      <c r="CN5438">
        <v>0</v>
      </c>
      <c r="CO5438">
        <v>7</v>
      </c>
      <c r="CP5438" t="s">
        <v>119</v>
      </c>
      <c r="CQ5438">
        <v>343</v>
      </c>
      <c r="CR5438">
        <v>1</v>
      </c>
      <c r="CW5438">
        <v>11153127</v>
      </c>
      <c r="CY5438">
        <v>1</v>
      </c>
      <c r="CZ5438">
        <v>0</v>
      </c>
      <c r="DA5438">
        <v>1</v>
      </c>
      <c r="DB5438">
        <v>0</v>
      </c>
      <c r="DC5438">
        <v>0</v>
      </c>
      <c r="DD5438">
        <v>1</v>
      </c>
      <c r="DE5438">
        <v>0</v>
      </c>
      <c r="DF5438">
        <v>0</v>
      </c>
      <c r="DG5438">
        <v>0</v>
      </c>
      <c r="DH5438">
        <v>0</v>
      </c>
      <c r="DI5438">
        <v>0</v>
      </c>
    </row>
    <row r="5439" spans="1:113" x14ac:dyDescent="0.3">
      <c r="A5439" t="str">
        <f t="shared" ref="A5439:A5446" si="2521">"05/12/2020 14:51:01.940"</f>
        <v>05/12/2020 14:51:01.940</v>
      </c>
      <c r="C5439" t="str">
        <f t="shared" si="2500"/>
        <v>FFDFD3C0</v>
      </c>
      <c r="D5439" t="s">
        <v>113</v>
      </c>
      <c r="E5439">
        <v>3</v>
      </c>
      <c r="H5439">
        <v>164</v>
      </c>
      <c r="I5439" t="s">
        <v>114</v>
      </c>
      <c r="J5439" t="s">
        <v>115</v>
      </c>
      <c r="K5439">
        <v>0</v>
      </c>
      <c r="L5439">
        <v>3</v>
      </c>
      <c r="M5439">
        <v>0</v>
      </c>
      <c r="N5439">
        <v>2</v>
      </c>
      <c r="O5439">
        <v>1</v>
      </c>
      <c r="P5439">
        <v>0</v>
      </c>
      <c r="Q5439">
        <v>0</v>
      </c>
      <c r="S5439" t="str">
        <f t="shared" ref="S5439:T5446" si="2522">"14:51:19.766"</f>
        <v>14:51:19.766</v>
      </c>
      <c r="T5439" t="str">
        <f t="shared" si="2522"/>
        <v>14:51:19.766</v>
      </c>
      <c r="U5439" t="str">
        <f t="shared" si="2492"/>
        <v>A9808D</v>
      </c>
      <c r="V5439">
        <v>0</v>
      </c>
      <c r="W5439">
        <v>0</v>
      </c>
      <c r="X5439">
        <v>1</v>
      </c>
      <c r="Z5439">
        <v>0</v>
      </c>
      <c r="AA5439">
        <v>9</v>
      </c>
      <c r="AB5439">
        <v>3</v>
      </c>
      <c r="AC5439">
        <v>0</v>
      </c>
      <c r="AD5439">
        <v>10</v>
      </c>
      <c r="AE5439">
        <v>0</v>
      </c>
      <c r="AF5439">
        <v>3</v>
      </c>
      <c r="AG5439">
        <v>2</v>
      </c>
      <c r="AH5439">
        <v>0</v>
      </c>
      <c r="AI5439" t="s">
        <v>1207</v>
      </c>
      <c r="AJ5439">
        <v>28.218620000000001</v>
      </c>
      <c r="AK5439" t="s">
        <v>1208</v>
      </c>
      <c r="AL5439">
        <v>-82.392696999999998</v>
      </c>
      <c r="AM5439">
        <v>100</v>
      </c>
      <c r="AN5439">
        <v>1300</v>
      </c>
      <c r="AO5439" t="s">
        <v>118</v>
      </c>
      <c r="AP5439">
        <v>-39</v>
      </c>
      <c r="AQ5439">
        <v>-111</v>
      </c>
      <c r="AR5439">
        <v>-1472</v>
      </c>
      <c r="AZ5439">
        <v>1200</v>
      </c>
      <c r="BA5439">
        <v>1</v>
      </c>
      <c r="BB5439" t="str">
        <f t="shared" si="2501"/>
        <v xml:space="preserve">N711JA  </v>
      </c>
      <c r="BC5439">
        <v>1</v>
      </c>
      <c r="BE5439">
        <v>0</v>
      </c>
      <c r="BF5439">
        <v>0</v>
      </c>
      <c r="BG5439">
        <v>0</v>
      </c>
      <c r="BH5439">
        <v>1400</v>
      </c>
      <c r="BI5439">
        <v>1</v>
      </c>
      <c r="BJ5439">
        <v>1</v>
      </c>
      <c r="BK5439">
        <v>0</v>
      </c>
      <c r="BL5439">
        <v>0</v>
      </c>
      <c r="BO5439">
        <v>0</v>
      </c>
      <c r="BP5439">
        <v>0</v>
      </c>
      <c r="BW5439" t="str">
        <f t="shared" ref="BW5439:BW5446" si="2523">"14:51:19.771"</f>
        <v>14:51:19.771</v>
      </c>
      <c r="CJ5439">
        <v>0</v>
      </c>
      <c r="CK5439">
        <v>2</v>
      </c>
      <c r="CL5439">
        <v>0</v>
      </c>
      <c r="CM5439">
        <v>2</v>
      </c>
      <c r="CN5439">
        <v>0</v>
      </c>
      <c r="CO5439">
        <v>7</v>
      </c>
      <c r="CP5439" t="s">
        <v>119</v>
      </c>
      <c r="CQ5439">
        <v>343</v>
      </c>
      <c r="CR5439">
        <v>1</v>
      </c>
      <c r="CW5439">
        <v>11154202</v>
      </c>
      <c r="CY5439">
        <v>1</v>
      </c>
      <c r="CZ5439">
        <v>0</v>
      </c>
      <c r="DA5439">
        <v>0</v>
      </c>
      <c r="DB5439">
        <v>0</v>
      </c>
      <c r="DC5439">
        <v>0</v>
      </c>
      <c r="DD5439">
        <v>1</v>
      </c>
      <c r="DE5439">
        <v>0</v>
      </c>
      <c r="DF5439">
        <v>0</v>
      </c>
      <c r="DG5439">
        <v>0</v>
      </c>
      <c r="DH5439">
        <v>0</v>
      </c>
      <c r="DI5439">
        <v>0</v>
      </c>
    </row>
    <row r="5440" spans="1:113" x14ac:dyDescent="0.3">
      <c r="A5440" t="str">
        <f t="shared" si="2521"/>
        <v>05/12/2020 14:51:01.940</v>
      </c>
      <c r="C5440" t="str">
        <f t="shared" si="2500"/>
        <v>FFDFD3C0</v>
      </c>
      <c r="D5440" t="s">
        <v>138</v>
      </c>
      <c r="E5440">
        <v>2</v>
      </c>
      <c r="H5440">
        <v>8</v>
      </c>
      <c r="I5440" t="s">
        <v>139</v>
      </c>
      <c r="J5440" t="s">
        <v>136</v>
      </c>
      <c r="K5440">
        <v>0</v>
      </c>
      <c r="L5440">
        <v>3</v>
      </c>
      <c r="M5440">
        <v>0</v>
      </c>
      <c r="N5440">
        <v>2</v>
      </c>
      <c r="O5440">
        <v>1</v>
      </c>
      <c r="P5440">
        <v>0</v>
      </c>
      <c r="Q5440">
        <v>0</v>
      </c>
      <c r="S5440" t="str">
        <f t="shared" si="2522"/>
        <v>14:51:19.766</v>
      </c>
      <c r="T5440" t="str">
        <f t="shared" si="2522"/>
        <v>14:51:19.766</v>
      </c>
      <c r="U5440" t="str">
        <f t="shared" si="2492"/>
        <v>A9808D</v>
      </c>
      <c r="V5440">
        <v>0</v>
      </c>
      <c r="W5440">
        <v>0</v>
      </c>
      <c r="X5440">
        <v>1</v>
      </c>
      <c r="Z5440">
        <v>0</v>
      </c>
      <c r="AA5440">
        <v>9</v>
      </c>
      <c r="AB5440">
        <v>3</v>
      </c>
      <c r="AC5440">
        <v>0</v>
      </c>
      <c r="AD5440">
        <v>10</v>
      </c>
      <c r="AE5440">
        <v>0</v>
      </c>
      <c r="AF5440">
        <v>3</v>
      </c>
      <c r="AG5440">
        <v>2</v>
      </c>
      <c r="AH5440">
        <v>0</v>
      </c>
      <c r="AI5440" t="s">
        <v>1207</v>
      </c>
      <c r="AJ5440">
        <v>28.218620000000001</v>
      </c>
      <c r="AK5440" t="s">
        <v>1208</v>
      </c>
      <c r="AL5440">
        <v>-82.392696999999998</v>
      </c>
      <c r="AM5440">
        <v>100</v>
      </c>
      <c r="AN5440">
        <v>1300</v>
      </c>
      <c r="AO5440" t="s">
        <v>118</v>
      </c>
      <c r="AP5440">
        <v>-39</v>
      </c>
      <c r="AQ5440">
        <v>-111</v>
      </c>
      <c r="AR5440">
        <v>-1472</v>
      </c>
      <c r="AZ5440">
        <v>1200</v>
      </c>
      <c r="BA5440">
        <v>1</v>
      </c>
      <c r="BB5440" t="str">
        <f t="shared" si="2501"/>
        <v xml:space="preserve">N711JA  </v>
      </c>
      <c r="BC5440">
        <v>1</v>
      </c>
      <c r="BE5440">
        <v>0</v>
      </c>
      <c r="BF5440">
        <v>0</v>
      </c>
      <c r="BG5440">
        <v>0</v>
      </c>
      <c r="BH5440">
        <v>1400</v>
      </c>
      <c r="BI5440">
        <v>1</v>
      </c>
      <c r="BJ5440">
        <v>1</v>
      </c>
      <c r="BK5440">
        <v>0</v>
      </c>
      <c r="BL5440">
        <v>0</v>
      </c>
      <c r="BO5440">
        <v>0</v>
      </c>
      <c r="BP5440">
        <v>0</v>
      </c>
      <c r="BW5440" t="str">
        <f t="shared" si="2523"/>
        <v>14:51:19.771</v>
      </c>
      <c r="CJ5440">
        <v>0</v>
      </c>
      <c r="CK5440">
        <v>2</v>
      </c>
      <c r="CL5440">
        <v>0</v>
      </c>
      <c r="CM5440">
        <v>2</v>
      </c>
      <c r="CN5440">
        <v>0</v>
      </c>
      <c r="CO5440">
        <v>7</v>
      </c>
      <c r="CP5440" t="s">
        <v>119</v>
      </c>
      <c r="CQ5440">
        <v>343</v>
      </c>
      <c r="CR5440">
        <v>1</v>
      </c>
      <c r="CW5440">
        <v>11154202</v>
      </c>
      <c r="CY5440">
        <v>1</v>
      </c>
      <c r="CZ5440">
        <v>0</v>
      </c>
      <c r="DA5440">
        <v>1</v>
      </c>
      <c r="DB5440">
        <v>0</v>
      </c>
      <c r="DC5440">
        <v>0</v>
      </c>
      <c r="DD5440">
        <v>1</v>
      </c>
      <c r="DE5440">
        <v>0</v>
      </c>
      <c r="DF5440">
        <v>0</v>
      </c>
      <c r="DG5440">
        <v>0</v>
      </c>
      <c r="DH5440">
        <v>0</v>
      </c>
      <c r="DI5440">
        <v>0</v>
      </c>
    </row>
    <row r="5441" spans="1:113" x14ac:dyDescent="0.3">
      <c r="A5441" t="str">
        <f t="shared" si="2521"/>
        <v>05/12/2020 14:51:01.940</v>
      </c>
      <c r="C5441" t="str">
        <f t="shared" si="2500"/>
        <v>FFDFD3C0</v>
      </c>
      <c r="D5441" t="s">
        <v>138</v>
      </c>
      <c r="E5441">
        <v>3</v>
      </c>
      <c r="H5441">
        <v>9</v>
      </c>
      <c r="I5441" t="s">
        <v>140</v>
      </c>
      <c r="J5441" t="s">
        <v>136</v>
      </c>
      <c r="K5441">
        <v>0</v>
      </c>
      <c r="L5441">
        <v>3</v>
      </c>
      <c r="M5441">
        <v>0</v>
      </c>
      <c r="N5441">
        <v>2</v>
      </c>
      <c r="O5441">
        <v>1</v>
      </c>
      <c r="P5441">
        <v>0</v>
      </c>
      <c r="Q5441">
        <v>0</v>
      </c>
      <c r="S5441" t="str">
        <f t="shared" si="2522"/>
        <v>14:51:19.766</v>
      </c>
      <c r="T5441" t="str">
        <f t="shared" si="2522"/>
        <v>14:51:19.766</v>
      </c>
      <c r="U5441" t="str">
        <f t="shared" si="2492"/>
        <v>A9808D</v>
      </c>
      <c r="V5441">
        <v>0</v>
      </c>
      <c r="W5441">
        <v>0</v>
      </c>
      <c r="X5441">
        <v>1</v>
      </c>
      <c r="Z5441">
        <v>0</v>
      </c>
      <c r="AA5441">
        <v>9</v>
      </c>
      <c r="AB5441">
        <v>3</v>
      </c>
      <c r="AC5441">
        <v>0</v>
      </c>
      <c r="AD5441">
        <v>10</v>
      </c>
      <c r="AE5441">
        <v>0</v>
      </c>
      <c r="AF5441">
        <v>3</v>
      </c>
      <c r="AG5441">
        <v>2</v>
      </c>
      <c r="AH5441">
        <v>0</v>
      </c>
      <c r="AI5441" t="s">
        <v>1207</v>
      </c>
      <c r="AJ5441">
        <v>28.218620000000001</v>
      </c>
      <c r="AK5441" t="s">
        <v>1208</v>
      </c>
      <c r="AL5441">
        <v>-82.392696999999998</v>
      </c>
      <c r="AM5441">
        <v>100</v>
      </c>
      <c r="AN5441">
        <v>1300</v>
      </c>
      <c r="AO5441" t="s">
        <v>118</v>
      </c>
      <c r="AP5441">
        <v>-39</v>
      </c>
      <c r="AQ5441">
        <v>-111</v>
      </c>
      <c r="AR5441">
        <v>-1472</v>
      </c>
      <c r="AZ5441">
        <v>1200</v>
      </c>
      <c r="BA5441">
        <v>1</v>
      </c>
      <c r="BB5441" t="str">
        <f t="shared" si="2501"/>
        <v xml:space="preserve">N711JA  </v>
      </c>
      <c r="BC5441">
        <v>1</v>
      </c>
      <c r="BE5441">
        <v>0</v>
      </c>
      <c r="BF5441">
        <v>0</v>
      </c>
      <c r="BG5441">
        <v>0</v>
      </c>
      <c r="BH5441">
        <v>1400</v>
      </c>
      <c r="BI5441">
        <v>1</v>
      </c>
      <c r="BJ5441">
        <v>1</v>
      </c>
      <c r="BK5441">
        <v>0</v>
      </c>
      <c r="BL5441">
        <v>0</v>
      </c>
      <c r="BO5441">
        <v>0</v>
      </c>
      <c r="BP5441">
        <v>0</v>
      </c>
      <c r="BW5441" t="str">
        <f t="shared" si="2523"/>
        <v>14:51:19.771</v>
      </c>
      <c r="CJ5441">
        <v>0</v>
      </c>
      <c r="CK5441">
        <v>2</v>
      </c>
      <c r="CL5441">
        <v>0</v>
      </c>
      <c r="CM5441">
        <v>2</v>
      </c>
      <c r="CN5441">
        <v>0</v>
      </c>
      <c r="CO5441">
        <v>7</v>
      </c>
      <c r="CP5441" t="s">
        <v>119</v>
      </c>
      <c r="CQ5441">
        <v>343</v>
      </c>
      <c r="CR5441">
        <v>1</v>
      </c>
      <c r="CW5441">
        <v>11154202</v>
      </c>
      <c r="CY5441">
        <v>1</v>
      </c>
      <c r="CZ5441">
        <v>0</v>
      </c>
      <c r="DA5441">
        <v>1</v>
      </c>
      <c r="DB5441">
        <v>0</v>
      </c>
      <c r="DC5441">
        <v>0</v>
      </c>
      <c r="DD5441">
        <v>1</v>
      </c>
      <c r="DE5441">
        <v>0</v>
      </c>
      <c r="DF5441">
        <v>0</v>
      </c>
      <c r="DG5441">
        <v>0</v>
      </c>
      <c r="DH5441">
        <v>0</v>
      </c>
      <c r="DI5441">
        <v>0</v>
      </c>
    </row>
    <row r="5442" spans="1:113" x14ac:dyDescent="0.3">
      <c r="A5442" t="str">
        <f t="shared" si="2521"/>
        <v>05/12/2020 14:51:01.940</v>
      </c>
      <c r="C5442" t="str">
        <f t="shared" si="2500"/>
        <v>FFDFD3C0</v>
      </c>
      <c r="D5442" t="s">
        <v>126</v>
      </c>
      <c r="E5442">
        <v>6</v>
      </c>
      <c r="F5442">
        <v>1006</v>
      </c>
      <c r="G5442" t="s">
        <v>114</v>
      </c>
      <c r="J5442" t="s">
        <v>128</v>
      </c>
      <c r="K5442">
        <v>0</v>
      </c>
      <c r="L5442">
        <v>3</v>
      </c>
      <c r="M5442">
        <v>0</v>
      </c>
      <c r="N5442">
        <v>2</v>
      </c>
      <c r="O5442">
        <v>1</v>
      </c>
      <c r="P5442">
        <v>0</v>
      </c>
      <c r="Q5442">
        <v>0</v>
      </c>
      <c r="S5442" t="str">
        <f t="shared" si="2522"/>
        <v>14:51:19.766</v>
      </c>
      <c r="T5442" t="str">
        <f t="shared" si="2522"/>
        <v>14:51:19.766</v>
      </c>
      <c r="U5442" t="str">
        <f t="shared" ref="U5442:U5505" si="2524">"A9808D"</f>
        <v>A9808D</v>
      </c>
      <c r="V5442">
        <v>0</v>
      </c>
      <c r="W5442">
        <v>0</v>
      </c>
      <c r="X5442">
        <v>1</v>
      </c>
      <c r="Z5442">
        <v>0</v>
      </c>
      <c r="AA5442">
        <v>9</v>
      </c>
      <c r="AB5442">
        <v>3</v>
      </c>
      <c r="AC5442">
        <v>0</v>
      </c>
      <c r="AD5442">
        <v>10</v>
      </c>
      <c r="AE5442">
        <v>0</v>
      </c>
      <c r="AF5442">
        <v>3</v>
      </c>
      <c r="AG5442">
        <v>2</v>
      </c>
      <c r="AH5442">
        <v>0</v>
      </c>
      <c r="AI5442" t="s">
        <v>1207</v>
      </c>
      <c r="AJ5442">
        <v>28.218620000000001</v>
      </c>
      <c r="AK5442" t="s">
        <v>1208</v>
      </c>
      <c r="AL5442">
        <v>-82.392696999999998</v>
      </c>
      <c r="AM5442">
        <v>100</v>
      </c>
      <c r="AN5442">
        <v>1300</v>
      </c>
      <c r="AO5442" t="s">
        <v>118</v>
      </c>
      <c r="AP5442">
        <v>-39</v>
      </c>
      <c r="AQ5442">
        <v>-111</v>
      </c>
      <c r="AR5442">
        <v>-1472</v>
      </c>
      <c r="AZ5442">
        <v>1200</v>
      </c>
      <c r="BA5442">
        <v>1</v>
      </c>
      <c r="BB5442" t="str">
        <f t="shared" si="2501"/>
        <v xml:space="preserve">N711JA  </v>
      </c>
      <c r="BC5442">
        <v>1</v>
      </c>
      <c r="BE5442">
        <v>0</v>
      </c>
      <c r="BF5442">
        <v>0</v>
      </c>
      <c r="BG5442">
        <v>0</v>
      </c>
      <c r="BH5442">
        <v>1400</v>
      </c>
      <c r="BI5442">
        <v>1</v>
      </c>
      <c r="BJ5442">
        <v>1</v>
      </c>
      <c r="BK5442">
        <v>0</v>
      </c>
      <c r="BL5442">
        <v>0</v>
      </c>
      <c r="BO5442">
        <v>0</v>
      </c>
      <c r="BP5442">
        <v>0</v>
      </c>
      <c r="BW5442" t="str">
        <f t="shared" si="2523"/>
        <v>14:51:19.771</v>
      </c>
      <c r="CJ5442">
        <v>0</v>
      </c>
      <c r="CK5442">
        <v>2</v>
      </c>
      <c r="CL5442">
        <v>0</v>
      </c>
      <c r="CM5442">
        <v>2</v>
      </c>
      <c r="CN5442">
        <v>0</v>
      </c>
      <c r="CO5442">
        <v>7</v>
      </c>
      <c r="CP5442" t="s">
        <v>119</v>
      </c>
      <c r="CQ5442">
        <v>343</v>
      </c>
      <c r="CR5442">
        <v>1</v>
      </c>
      <c r="CW5442">
        <v>11154202</v>
      </c>
      <c r="CY5442">
        <v>1</v>
      </c>
      <c r="CZ5442">
        <v>0</v>
      </c>
      <c r="DA5442">
        <v>1</v>
      </c>
      <c r="DB5442">
        <v>0</v>
      </c>
      <c r="DC5442">
        <v>0</v>
      </c>
      <c r="DD5442">
        <v>1</v>
      </c>
      <c r="DE5442">
        <v>0</v>
      </c>
      <c r="DF5442">
        <v>0</v>
      </c>
      <c r="DG5442">
        <v>0</v>
      </c>
      <c r="DH5442">
        <v>0</v>
      </c>
      <c r="DI5442">
        <v>0</v>
      </c>
    </row>
    <row r="5443" spans="1:113" x14ac:dyDescent="0.3">
      <c r="A5443" t="str">
        <f t="shared" si="2521"/>
        <v>05/12/2020 14:51:01.940</v>
      </c>
      <c r="C5443" t="str">
        <f t="shared" si="2500"/>
        <v>FFDFD3C0</v>
      </c>
      <c r="D5443" t="s">
        <v>131</v>
      </c>
      <c r="E5443">
        <v>10</v>
      </c>
      <c r="F5443">
        <v>2010</v>
      </c>
      <c r="G5443" t="s">
        <v>132</v>
      </c>
      <c r="J5443" t="s">
        <v>133</v>
      </c>
      <c r="K5443">
        <v>0</v>
      </c>
      <c r="L5443">
        <v>3</v>
      </c>
      <c r="M5443">
        <v>0</v>
      </c>
      <c r="N5443">
        <v>2</v>
      </c>
      <c r="O5443">
        <v>1</v>
      </c>
      <c r="P5443">
        <v>0</v>
      </c>
      <c r="Q5443">
        <v>0</v>
      </c>
      <c r="S5443" t="str">
        <f t="shared" si="2522"/>
        <v>14:51:19.766</v>
      </c>
      <c r="T5443" t="str">
        <f t="shared" si="2522"/>
        <v>14:51:19.766</v>
      </c>
      <c r="U5443" t="str">
        <f t="shared" si="2524"/>
        <v>A9808D</v>
      </c>
      <c r="V5443">
        <v>0</v>
      </c>
      <c r="W5443">
        <v>0</v>
      </c>
      <c r="X5443">
        <v>1</v>
      </c>
      <c r="Z5443">
        <v>0</v>
      </c>
      <c r="AA5443">
        <v>9</v>
      </c>
      <c r="AB5443">
        <v>3</v>
      </c>
      <c r="AC5443">
        <v>0</v>
      </c>
      <c r="AD5443">
        <v>10</v>
      </c>
      <c r="AE5443">
        <v>0</v>
      </c>
      <c r="AF5443">
        <v>3</v>
      </c>
      <c r="AG5443">
        <v>2</v>
      </c>
      <c r="AH5443">
        <v>0</v>
      </c>
      <c r="AI5443" t="s">
        <v>1207</v>
      </c>
      <c r="AJ5443">
        <v>28.218620000000001</v>
      </c>
      <c r="AK5443" t="s">
        <v>1208</v>
      </c>
      <c r="AL5443">
        <v>-82.392696999999998</v>
      </c>
      <c r="AM5443">
        <v>100</v>
      </c>
      <c r="AN5443">
        <v>1300</v>
      </c>
      <c r="AO5443" t="s">
        <v>118</v>
      </c>
      <c r="AP5443">
        <v>-39</v>
      </c>
      <c r="AQ5443">
        <v>-111</v>
      </c>
      <c r="AR5443">
        <v>-1472</v>
      </c>
      <c r="AZ5443">
        <v>1200</v>
      </c>
      <c r="BA5443">
        <v>1</v>
      </c>
      <c r="BB5443" t="str">
        <f t="shared" si="2501"/>
        <v xml:space="preserve">N711JA  </v>
      </c>
      <c r="BC5443">
        <v>1</v>
      </c>
      <c r="BE5443">
        <v>0</v>
      </c>
      <c r="BF5443">
        <v>0</v>
      </c>
      <c r="BG5443">
        <v>0</v>
      </c>
      <c r="BH5443">
        <v>1400</v>
      </c>
      <c r="BI5443">
        <v>1</v>
      </c>
      <c r="BJ5443">
        <v>1</v>
      </c>
      <c r="BK5443">
        <v>0</v>
      </c>
      <c r="BL5443">
        <v>0</v>
      </c>
      <c r="BO5443">
        <v>0</v>
      </c>
      <c r="BP5443">
        <v>0</v>
      </c>
      <c r="BW5443" t="str">
        <f t="shared" si="2523"/>
        <v>14:51:19.771</v>
      </c>
      <c r="CJ5443">
        <v>0</v>
      </c>
      <c r="CK5443">
        <v>2</v>
      </c>
      <c r="CL5443">
        <v>0</v>
      </c>
      <c r="CM5443">
        <v>2</v>
      </c>
      <c r="CN5443">
        <v>0</v>
      </c>
      <c r="CO5443">
        <v>7</v>
      </c>
      <c r="CP5443" t="s">
        <v>119</v>
      </c>
      <c r="CQ5443">
        <v>343</v>
      </c>
      <c r="CR5443">
        <v>1</v>
      </c>
      <c r="CW5443">
        <v>11154202</v>
      </c>
      <c r="CY5443">
        <v>1</v>
      </c>
      <c r="CZ5443">
        <v>0</v>
      </c>
      <c r="DA5443">
        <v>1</v>
      </c>
      <c r="DB5443">
        <v>0</v>
      </c>
      <c r="DC5443">
        <v>0</v>
      </c>
      <c r="DD5443">
        <v>1</v>
      </c>
      <c r="DE5443">
        <v>0</v>
      </c>
      <c r="DF5443">
        <v>0</v>
      </c>
      <c r="DG5443">
        <v>0</v>
      </c>
      <c r="DH5443">
        <v>0</v>
      </c>
      <c r="DI5443">
        <v>0</v>
      </c>
    </row>
    <row r="5444" spans="1:113" x14ac:dyDescent="0.3">
      <c r="A5444" t="str">
        <f t="shared" si="2521"/>
        <v>05/12/2020 14:51:01.940</v>
      </c>
      <c r="C5444" t="str">
        <f t="shared" si="2500"/>
        <v>FFDFD3C0</v>
      </c>
      <c r="D5444" t="s">
        <v>126</v>
      </c>
      <c r="E5444">
        <v>7</v>
      </c>
      <c r="F5444">
        <v>1007</v>
      </c>
      <c r="G5444" t="s">
        <v>127</v>
      </c>
      <c r="J5444" t="s">
        <v>128</v>
      </c>
      <c r="K5444">
        <v>0</v>
      </c>
      <c r="L5444">
        <v>3</v>
      </c>
      <c r="M5444">
        <v>0</v>
      </c>
      <c r="N5444">
        <v>2</v>
      </c>
      <c r="O5444">
        <v>1</v>
      </c>
      <c r="P5444">
        <v>0</v>
      </c>
      <c r="Q5444">
        <v>0</v>
      </c>
      <c r="S5444" t="str">
        <f t="shared" si="2522"/>
        <v>14:51:19.766</v>
      </c>
      <c r="T5444" t="str">
        <f t="shared" si="2522"/>
        <v>14:51:19.766</v>
      </c>
      <c r="U5444" t="str">
        <f t="shared" si="2524"/>
        <v>A9808D</v>
      </c>
      <c r="V5444">
        <v>0</v>
      </c>
      <c r="W5444">
        <v>0</v>
      </c>
      <c r="X5444">
        <v>1</v>
      </c>
      <c r="Z5444">
        <v>0</v>
      </c>
      <c r="AA5444">
        <v>9</v>
      </c>
      <c r="AB5444">
        <v>3</v>
      </c>
      <c r="AC5444">
        <v>0</v>
      </c>
      <c r="AD5444">
        <v>10</v>
      </c>
      <c r="AE5444">
        <v>0</v>
      </c>
      <c r="AF5444">
        <v>3</v>
      </c>
      <c r="AG5444">
        <v>2</v>
      </c>
      <c r="AH5444">
        <v>0</v>
      </c>
      <c r="AI5444" t="s">
        <v>1207</v>
      </c>
      <c r="AJ5444">
        <v>28.218620000000001</v>
      </c>
      <c r="AK5444" t="s">
        <v>1208</v>
      </c>
      <c r="AL5444">
        <v>-82.392696999999998</v>
      </c>
      <c r="AM5444">
        <v>100</v>
      </c>
      <c r="AN5444">
        <v>1300</v>
      </c>
      <c r="AO5444" t="s">
        <v>118</v>
      </c>
      <c r="AP5444">
        <v>-39</v>
      </c>
      <c r="AQ5444">
        <v>-111</v>
      </c>
      <c r="AR5444">
        <v>-1472</v>
      </c>
      <c r="AZ5444">
        <v>1200</v>
      </c>
      <c r="BA5444">
        <v>1</v>
      </c>
      <c r="BB5444" t="str">
        <f t="shared" si="2501"/>
        <v xml:space="preserve">N711JA  </v>
      </c>
      <c r="BC5444">
        <v>1</v>
      </c>
      <c r="BE5444">
        <v>0</v>
      </c>
      <c r="BF5444">
        <v>0</v>
      </c>
      <c r="BG5444">
        <v>0</v>
      </c>
      <c r="BH5444">
        <v>1400</v>
      </c>
      <c r="BI5444">
        <v>1</v>
      </c>
      <c r="BJ5444">
        <v>1</v>
      </c>
      <c r="BK5444">
        <v>0</v>
      </c>
      <c r="BL5444">
        <v>0</v>
      </c>
      <c r="BO5444">
        <v>0</v>
      </c>
      <c r="BP5444">
        <v>0</v>
      </c>
      <c r="BW5444" t="str">
        <f t="shared" si="2523"/>
        <v>14:51:19.771</v>
      </c>
      <c r="CJ5444">
        <v>0</v>
      </c>
      <c r="CK5444">
        <v>2</v>
      </c>
      <c r="CL5444">
        <v>0</v>
      </c>
      <c r="CM5444">
        <v>2</v>
      </c>
      <c r="CN5444">
        <v>0</v>
      </c>
      <c r="CO5444">
        <v>7</v>
      </c>
      <c r="CP5444" t="s">
        <v>119</v>
      </c>
      <c r="CQ5444">
        <v>343</v>
      </c>
      <c r="CR5444">
        <v>1</v>
      </c>
      <c r="CW5444">
        <v>11154202</v>
      </c>
      <c r="CY5444">
        <v>1</v>
      </c>
      <c r="CZ5444">
        <v>0</v>
      </c>
      <c r="DA5444">
        <v>1</v>
      </c>
      <c r="DB5444">
        <v>0</v>
      </c>
      <c r="DC5444">
        <v>0</v>
      </c>
      <c r="DD5444">
        <v>1</v>
      </c>
      <c r="DE5444">
        <v>0</v>
      </c>
      <c r="DF5444">
        <v>0</v>
      </c>
      <c r="DG5444">
        <v>0</v>
      </c>
      <c r="DH5444">
        <v>0</v>
      </c>
      <c r="DI5444">
        <v>0</v>
      </c>
    </row>
    <row r="5445" spans="1:113" x14ac:dyDescent="0.3">
      <c r="A5445" t="str">
        <f t="shared" si="2521"/>
        <v>05/12/2020 14:51:01.940</v>
      </c>
      <c r="C5445" t="str">
        <f t="shared" si="2500"/>
        <v>FFDFD3C0</v>
      </c>
      <c r="D5445" t="s">
        <v>134</v>
      </c>
      <c r="E5445">
        <v>12</v>
      </c>
      <c r="H5445">
        <v>64</v>
      </c>
      <c r="I5445" t="s">
        <v>135</v>
      </c>
      <c r="J5445" t="s">
        <v>136</v>
      </c>
      <c r="K5445">
        <v>0</v>
      </c>
      <c r="L5445">
        <v>3</v>
      </c>
      <c r="M5445">
        <v>0</v>
      </c>
      <c r="N5445">
        <v>2</v>
      </c>
      <c r="O5445">
        <v>1</v>
      </c>
      <c r="P5445">
        <v>0</v>
      </c>
      <c r="Q5445">
        <v>0</v>
      </c>
      <c r="S5445" t="str">
        <f t="shared" si="2522"/>
        <v>14:51:19.766</v>
      </c>
      <c r="T5445" t="str">
        <f t="shared" si="2522"/>
        <v>14:51:19.766</v>
      </c>
      <c r="U5445" t="str">
        <f t="shared" si="2524"/>
        <v>A9808D</v>
      </c>
      <c r="V5445">
        <v>0</v>
      </c>
      <c r="W5445">
        <v>0</v>
      </c>
      <c r="X5445">
        <v>1</v>
      </c>
      <c r="Z5445">
        <v>0</v>
      </c>
      <c r="AA5445">
        <v>9</v>
      </c>
      <c r="AB5445">
        <v>3</v>
      </c>
      <c r="AC5445">
        <v>0</v>
      </c>
      <c r="AD5445">
        <v>10</v>
      </c>
      <c r="AE5445">
        <v>0</v>
      </c>
      <c r="AF5445">
        <v>3</v>
      </c>
      <c r="AG5445">
        <v>2</v>
      </c>
      <c r="AH5445">
        <v>0</v>
      </c>
      <c r="AI5445" t="s">
        <v>1207</v>
      </c>
      <c r="AJ5445">
        <v>28.218620000000001</v>
      </c>
      <c r="AK5445" t="s">
        <v>1208</v>
      </c>
      <c r="AL5445">
        <v>-82.392696999999998</v>
      </c>
      <c r="AM5445">
        <v>100</v>
      </c>
      <c r="AN5445">
        <v>1300</v>
      </c>
      <c r="AO5445" t="s">
        <v>118</v>
      </c>
      <c r="AP5445">
        <v>-39</v>
      </c>
      <c r="AQ5445">
        <v>-111</v>
      </c>
      <c r="AR5445">
        <v>-1472</v>
      </c>
      <c r="AZ5445">
        <v>1200</v>
      </c>
      <c r="BA5445">
        <v>1</v>
      </c>
      <c r="BB5445" t="str">
        <f t="shared" si="2501"/>
        <v xml:space="preserve">N711JA  </v>
      </c>
      <c r="BC5445">
        <v>1</v>
      </c>
      <c r="BE5445">
        <v>0</v>
      </c>
      <c r="BF5445">
        <v>0</v>
      </c>
      <c r="BG5445">
        <v>0</v>
      </c>
      <c r="BH5445">
        <v>1400</v>
      </c>
      <c r="BI5445">
        <v>1</v>
      </c>
      <c r="BJ5445">
        <v>1</v>
      </c>
      <c r="BK5445">
        <v>0</v>
      </c>
      <c r="BL5445">
        <v>0</v>
      </c>
      <c r="BO5445">
        <v>0</v>
      </c>
      <c r="BP5445">
        <v>0</v>
      </c>
      <c r="BW5445" t="str">
        <f t="shared" si="2523"/>
        <v>14:51:19.771</v>
      </c>
      <c r="CJ5445">
        <v>0</v>
      </c>
      <c r="CK5445">
        <v>2</v>
      </c>
      <c r="CL5445">
        <v>0</v>
      </c>
      <c r="CM5445">
        <v>2</v>
      </c>
      <c r="CN5445">
        <v>0</v>
      </c>
      <c r="CO5445">
        <v>7</v>
      </c>
      <c r="CP5445" t="s">
        <v>119</v>
      </c>
      <c r="CQ5445">
        <v>343</v>
      </c>
      <c r="CR5445">
        <v>1</v>
      </c>
      <c r="CW5445">
        <v>11154202</v>
      </c>
      <c r="CY5445">
        <v>1</v>
      </c>
      <c r="CZ5445">
        <v>0</v>
      </c>
      <c r="DA5445">
        <v>1</v>
      </c>
      <c r="DB5445">
        <v>0</v>
      </c>
      <c r="DC5445">
        <v>0</v>
      </c>
      <c r="DD5445">
        <v>1</v>
      </c>
      <c r="DE5445">
        <v>0</v>
      </c>
      <c r="DF5445">
        <v>0</v>
      </c>
      <c r="DG5445">
        <v>0</v>
      </c>
      <c r="DH5445">
        <v>0</v>
      </c>
      <c r="DI5445">
        <v>0</v>
      </c>
    </row>
    <row r="5446" spans="1:113" x14ac:dyDescent="0.3">
      <c r="A5446" t="str">
        <f t="shared" si="2521"/>
        <v>05/12/2020 14:51:01.940</v>
      </c>
      <c r="C5446" t="str">
        <f t="shared" si="2500"/>
        <v>FFDFD3C0</v>
      </c>
      <c r="D5446" t="s">
        <v>131</v>
      </c>
      <c r="E5446">
        <v>12</v>
      </c>
      <c r="F5446">
        <v>2012</v>
      </c>
      <c r="G5446" t="s">
        <v>137</v>
      </c>
      <c r="J5446" t="s">
        <v>133</v>
      </c>
      <c r="K5446">
        <v>0</v>
      </c>
      <c r="L5446">
        <v>3</v>
      </c>
      <c r="M5446">
        <v>0</v>
      </c>
      <c r="N5446">
        <v>2</v>
      </c>
      <c r="O5446">
        <v>1</v>
      </c>
      <c r="P5446">
        <v>0</v>
      </c>
      <c r="Q5446">
        <v>0</v>
      </c>
      <c r="S5446" t="str">
        <f t="shared" si="2522"/>
        <v>14:51:19.766</v>
      </c>
      <c r="T5446" t="str">
        <f t="shared" si="2522"/>
        <v>14:51:19.766</v>
      </c>
      <c r="U5446" t="str">
        <f t="shared" si="2524"/>
        <v>A9808D</v>
      </c>
      <c r="V5446">
        <v>0</v>
      </c>
      <c r="W5446">
        <v>0</v>
      </c>
      <c r="X5446">
        <v>1</v>
      </c>
      <c r="Z5446">
        <v>0</v>
      </c>
      <c r="AA5446">
        <v>9</v>
      </c>
      <c r="AB5446">
        <v>3</v>
      </c>
      <c r="AC5446">
        <v>0</v>
      </c>
      <c r="AD5446">
        <v>10</v>
      </c>
      <c r="AE5446">
        <v>0</v>
      </c>
      <c r="AF5446">
        <v>3</v>
      </c>
      <c r="AG5446">
        <v>2</v>
      </c>
      <c r="AH5446">
        <v>0</v>
      </c>
      <c r="AI5446" t="s">
        <v>1207</v>
      </c>
      <c r="AJ5446">
        <v>28.218620000000001</v>
      </c>
      <c r="AK5446" t="s">
        <v>1208</v>
      </c>
      <c r="AL5446">
        <v>-82.392696999999998</v>
      </c>
      <c r="AM5446">
        <v>100</v>
      </c>
      <c r="AN5446">
        <v>1300</v>
      </c>
      <c r="AO5446" t="s">
        <v>118</v>
      </c>
      <c r="AP5446">
        <v>-39</v>
      </c>
      <c r="AQ5446">
        <v>-111</v>
      </c>
      <c r="AR5446">
        <v>-1472</v>
      </c>
      <c r="AZ5446">
        <v>1200</v>
      </c>
      <c r="BA5446">
        <v>1</v>
      </c>
      <c r="BB5446" t="str">
        <f t="shared" si="2501"/>
        <v xml:space="preserve">N711JA  </v>
      </c>
      <c r="BC5446">
        <v>1</v>
      </c>
      <c r="BE5446">
        <v>0</v>
      </c>
      <c r="BF5446">
        <v>0</v>
      </c>
      <c r="BG5446">
        <v>0</v>
      </c>
      <c r="BH5446">
        <v>1400</v>
      </c>
      <c r="BI5446">
        <v>1</v>
      </c>
      <c r="BJ5446">
        <v>1</v>
      </c>
      <c r="BK5446">
        <v>0</v>
      </c>
      <c r="BL5446">
        <v>0</v>
      </c>
      <c r="BO5446">
        <v>0</v>
      </c>
      <c r="BP5446">
        <v>0</v>
      </c>
      <c r="BW5446" t="str">
        <f t="shared" si="2523"/>
        <v>14:51:19.771</v>
      </c>
      <c r="CJ5446">
        <v>0</v>
      </c>
      <c r="CK5446">
        <v>2</v>
      </c>
      <c r="CL5446">
        <v>0</v>
      </c>
      <c r="CM5446">
        <v>2</v>
      </c>
      <c r="CN5446">
        <v>0</v>
      </c>
      <c r="CO5446">
        <v>7</v>
      </c>
      <c r="CP5446" t="s">
        <v>119</v>
      </c>
      <c r="CQ5446">
        <v>343</v>
      </c>
      <c r="CR5446">
        <v>1</v>
      </c>
      <c r="CW5446">
        <v>11154202</v>
      </c>
      <c r="CY5446">
        <v>1</v>
      </c>
      <c r="CZ5446">
        <v>0</v>
      </c>
      <c r="DA5446">
        <v>1</v>
      </c>
      <c r="DB5446">
        <v>0</v>
      </c>
      <c r="DC5446">
        <v>0</v>
      </c>
      <c r="DD5446">
        <v>1</v>
      </c>
      <c r="DE5446">
        <v>0</v>
      </c>
      <c r="DF5446">
        <v>0</v>
      </c>
      <c r="DG5446">
        <v>0</v>
      </c>
      <c r="DH5446">
        <v>0</v>
      </c>
      <c r="DI5446">
        <v>0</v>
      </c>
    </row>
    <row r="5447" spans="1:113" x14ac:dyDescent="0.3">
      <c r="A5447" t="str">
        <f t="shared" ref="A5447:A5454" si="2525">"05/12/2020 14:51:03.027"</f>
        <v>05/12/2020 14:51:03.027</v>
      </c>
      <c r="C5447" t="str">
        <f t="shared" si="2500"/>
        <v>FFDFD3C0</v>
      </c>
      <c r="D5447" t="s">
        <v>126</v>
      </c>
      <c r="E5447">
        <v>6</v>
      </c>
      <c r="F5447">
        <v>1006</v>
      </c>
      <c r="G5447" t="s">
        <v>114</v>
      </c>
      <c r="J5447" t="s">
        <v>128</v>
      </c>
      <c r="K5447">
        <v>0</v>
      </c>
      <c r="L5447">
        <v>3</v>
      </c>
      <c r="M5447">
        <v>0</v>
      </c>
      <c r="N5447">
        <v>2</v>
      </c>
      <c r="O5447">
        <v>1</v>
      </c>
      <c r="P5447">
        <v>0</v>
      </c>
      <c r="Q5447">
        <v>0</v>
      </c>
      <c r="S5447" t="str">
        <f t="shared" ref="S5447:S5454" si="2526">"14:51:20.844"</f>
        <v>14:51:20.844</v>
      </c>
      <c r="T5447" t="str">
        <f t="shared" ref="T5447:T5454" si="2527">"14:51:20.744"</f>
        <v>14:51:20.744</v>
      </c>
      <c r="U5447" t="str">
        <f t="shared" si="2524"/>
        <v>A9808D</v>
      </c>
      <c r="V5447">
        <v>0</v>
      </c>
      <c r="W5447">
        <v>0</v>
      </c>
      <c r="X5447">
        <v>1</v>
      </c>
      <c r="Z5447">
        <v>0</v>
      </c>
      <c r="AA5447">
        <v>9</v>
      </c>
      <c r="AB5447">
        <v>3</v>
      </c>
      <c r="AC5447">
        <v>0</v>
      </c>
      <c r="AD5447">
        <v>10</v>
      </c>
      <c r="AE5447">
        <v>0</v>
      </c>
      <c r="AF5447">
        <v>3</v>
      </c>
      <c r="AG5447">
        <v>2</v>
      </c>
      <c r="AH5447">
        <v>0</v>
      </c>
      <c r="AI5447" t="s">
        <v>1209</v>
      </c>
      <c r="AJ5447">
        <v>28.218062</v>
      </c>
      <c r="AK5447" t="s">
        <v>1210</v>
      </c>
      <c r="AL5447">
        <v>-82.392869000000005</v>
      </c>
      <c r="AM5447">
        <v>100</v>
      </c>
      <c r="AN5447">
        <v>1300</v>
      </c>
      <c r="AO5447" t="s">
        <v>118</v>
      </c>
      <c r="AP5447">
        <v>-31</v>
      </c>
      <c r="AQ5447">
        <v>-114</v>
      </c>
      <c r="AR5447">
        <v>-1536</v>
      </c>
      <c r="AZ5447">
        <v>1200</v>
      </c>
      <c r="BA5447">
        <v>1</v>
      </c>
      <c r="BB5447" t="str">
        <f t="shared" si="2501"/>
        <v xml:space="preserve">N711JA  </v>
      </c>
      <c r="BC5447">
        <v>1</v>
      </c>
      <c r="BE5447">
        <v>0</v>
      </c>
      <c r="BF5447">
        <v>0</v>
      </c>
      <c r="BG5447">
        <v>0</v>
      </c>
      <c r="BH5447">
        <v>1375</v>
      </c>
      <c r="BI5447">
        <v>1</v>
      </c>
      <c r="BJ5447">
        <v>1</v>
      </c>
      <c r="BK5447">
        <v>0</v>
      </c>
      <c r="BL5447">
        <v>0</v>
      </c>
      <c r="BO5447">
        <v>0</v>
      </c>
      <c r="BP5447">
        <v>0</v>
      </c>
      <c r="BW5447" t="str">
        <f t="shared" ref="BW5447:BW5454" si="2528">"14:51:20.847"</f>
        <v>14:51:20.847</v>
      </c>
      <c r="CJ5447">
        <v>0</v>
      </c>
      <c r="CK5447">
        <v>2</v>
      </c>
      <c r="CL5447">
        <v>0</v>
      </c>
      <c r="CM5447">
        <v>2</v>
      </c>
      <c r="CN5447">
        <v>0</v>
      </c>
      <c r="CO5447">
        <v>7</v>
      </c>
      <c r="CP5447" t="s">
        <v>119</v>
      </c>
      <c r="CQ5447">
        <v>343</v>
      </c>
      <c r="CR5447">
        <v>2</v>
      </c>
      <c r="CW5447">
        <v>13408793</v>
      </c>
      <c r="CY5447">
        <v>1</v>
      </c>
      <c r="CZ5447">
        <v>0</v>
      </c>
      <c r="DA5447">
        <v>0</v>
      </c>
      <c r="DB5447">
        <v>0</v>
      </c>
      <c r="DC5447">
        <v>0</v>
      </c>
      <c r="DD5447">
        <v>1</v>
      </c>
      <c r="DE5447">
        <v>0</v>
      </c>
      <c r="DF5447">
        <v>0</v>
      </c>
      <c r="DG5447">
        <v>0</v>
      </c>
      <c r="DH5447">
        <v>0</v>
      </c>
      <c r="DI5447">
        <v>0</v>
      </c>
    </row>
    <row r="5448" spans="1:113" x14ac:dyDescent="0.3">
      <c r="A5448" t="str">
        <f t="shared" si="2525"/>
        <v>05/12/2020 14:51:03.027</v>
      </c>
      <c r="C5448" t="str">
        <f t="shared" si="2500"/>
        <v>FFDFD3C0</v>
      </c>
      <c r="D5448" t="s">
        <v>131</v>
      </c>
      <c r="E5448">
        <v>10</v>
      </c>
      <c r="F5448">
        <v>2010</v>
      </c>
      <c r="G5448" t="s">
        <v>132</v>
      </c>
      <c r="J5448" t="s">
        <v>133</v>
      </c>
      <c r="K5448">
        <v>0</v>
      </c>
      <c r="L5448">
        <v>3</v>
      </c>
      <c r="M5448">
        <v>0</v>
      </c>
      <c r="N5448">
        <v>2</v>
      </c>
      <c r="O5448">
        <v>1</v>
      </c>
      <c r="P5448">
        <v>0</v>
      </c>
      <c r="Q5448">
        <v>0</v>
      </c>
      <c r="S5448" t="str">
        <f t="shared" si="2526"/>
        <v>14:51:20.844</v>
      </c>
      <c r="T5448" t="str">
        <f t="shared" si="2527"/>
        <v>14:51:20.744</v>
      </c>
      <c r="U5448" t="str">
        <f t="shared" si="2524"/>
        <v>A9808D</v>
      </c>
      <c r="V5448">
        <v>0</v>
      </c>
      <c r="W5448">
        <v>0</v>
      </c>
      <c r="X5448">
        <v>1</v>
      </c>
      <c r="Z5448">
        <v>0</v>
      </c>
      <c r="AA5448">
        <v>9</v>
      </c>
      <c r="AB5448">
        <v>3</v>
      </c>
      <c r="AC5448">
        <v>0</v>
      </c>
      <c r="AD5448">
        <v>10</v>
      </c>
      <c r="AE5448">
        <v>0</v>
      </c>
      <c r="AF5448">
        <v>3</v>
      </c>
      <c r="AG5448">
        <v>2</v>
      </c>
      <c r="AH5448">
        <v>0</v>
      </c>
      <c r="AI5448" t="s">
        <v>1209</v>
      </c>
      <c r="AJ5448">
        <v>28.218062</v>
      </c>
      <c r="AK5448" t="s">
        <v>1210</v>
      </c>
      <c r="AL5448">
        <v>-82.392869000000005</v>
      </c>
      <c r="AM5448">
        <v>100</v>
      </c>
      <c r="AN5448">
        <v>1300</v>
      </c>
      <c r="AO5448" t="s">
        <v>118</v>
      </c>
      <c r="AP5448">
        <v>-31</v>
      </c>
      <c r="AQ5448">
        <v>-114</v>
      </c>
      <c r="AR5448">
        <v>-1536</v>
      </c>
      <c r="AZ5448">
        <v>1200</v>
      </c>
      <c r="BA5448">
        <v>1</v>
      </c>
      <c r="BB5448" t="str">
        <f t="shared" si="2501"/>
        <v xml:space="preserve">N711JA  </v>
      </c>
      <c r="BC5448">
        <v>1</v>
      </c>
      <c r="BE5448">
        <v>0</v>
      </c>
      <c r="BF5448">
        <v>0</v>
      </c>
      <c r="BG5448">
        <v>0</v>
      </c>
      <c r="BH5448">
        <v>1375</v>
      </c>
      <c r="BI5448">
        <v>1</v>
      </c>
      <c r="BJ5448">
        <v>1</v>
      </c>
      <c r="BK5448">
        <v>0</v>
      </c>
      <c r="BL5448">
        <v>0</v>
      </c>
      <c r="BO5448">
        <v>0</v>
      </c>
      <c r="BP5448">
        <v>0</v>
      </c>
      <c r="BW5448" t="str">
        <f t="shared" si="2528"/>
        <v>14:51:20.847</v>
      </c>
      <c r="CJ5448">
        <v>0</v>
      </c>
      <c r="CK5448">
        <v>2</v>
      </c>
      <c r="CL5448">
        <v>0</v>
      </c>
      <c r="CM5448">
        <v>2</v>
      </c>
      <c r="CN5448">
        <v>0</v>
      </c>
      <c r="CO5448">
        <v>7</v>
      </c>
      <c r="CP5448" t="s">
        <v>119</v>
      </c>
      <c r="CQ5448">
        <v>343</v>
      </c>
      <c r="CR5448">
        <v>2</v>
      </c>
      <c r="CW5448">
        <v>13408793</v>
      </c>
      <c r="CY5448">
        <v>1</v>
      </c>
      <c r="CZ5448">
        <v>0</v>
      </c>
      <c r="DA5448">
        <v>1</v>
      </c>
      <c r="DB5448">
        <v>0</v>
      </c>
      <c r="DC5448">
        <v>0</v>
      </c>
      <c r="DD5448">
        <v>1</v>
      </c>
      <c r="DE5448">
        <v>0</v>
      </c>
      <c r="DF5448">
        <v>0</v>
      </c>
      <c r="DG5448">
        <v>0</v>
      </c>
      <c r="DH5448">
        <v>0</v>
      </c>
      <c r="DI5448">
        <v>0</v>
      </c>
    </row>
    <row r="5449" spans="1:113" x14ac:dyDescent="0.3">
      <c r="A5449" t="str">
        <f t="shared" si="2525"/>
        <v>05/12/2020 14:51:03.027</v>
      </c>
      <c r="C5449" t="str">
        <f t="shared" si="2500"/>
        <v>FFDFD3C0</v>
      </c>
      <c r="D5449" t="s">
        <v>126</v>
      </c>
      <c r="E5449">
        <v>7</v>
      </c>
      <c r="F5449">
        <v>1007</v>
      </c>
      <c r="G5449" t="s">
        <v>127</v>
      </c>
      <c r="J5449" t="s">
        <v>128</v>
      </c>
      <c r="K5449">
        <v>0</v>
      </c>
      <c r="L5449">
        <v>3</v>
      </c>
      <c r="M5449">
        <v>0</v>
      </c>
      <c r="N5449">
        <v>2</v>
      </c>
      <c r="O5449">
        <v>1</v>
      </c>
      <c r="P5449">
        <v>0</v>
      </c>
      <c r="Q5449">
        <v>0</v>
      </c>
      <c r="S5449" t="str">
        <f t="shared" si="2526"/>
        <v>14:51:20.844</v>
      </c>
      <c r="T5449" t="str">
        <f t="shared" si="2527"/>
        <v>14:51:20.744</v>
      </c>
      <c r="U5449" t="str">
        <f t="shared" si="2524"/>
        <v>A9808D</v>
      </c>
      <c r="V5449">
        <v>0</v>
      </c>
      <c r="W5449">
        <v>0</v>
      </c>
      <c r="X5449">
        <v>1</v>
      </c>
      <c r="Z5449">
        <v>0</v>
      </c>
      <c r="AA5449">
        <v>9</v>
      </c>
      <c r="AB5449">
        <v>3</v>
      </c>
      <c r="AC5449">
        <v>0</v>
      </c>
      <c r="AD5449">
        <v>10</v>
      </c>
      <c r="AE5449">
        <v>0</v>
      </c>
      <c r="AF5449">
        <v>3</v>
      </c>
      <c r="AG5449">
        <v>2</v>
      </c>
      <c r="AH5449">
        <v>0</v>
      </c>
      <c r="AI5449" t="s">
        <v>1209</v>
      </c>
      <c r="AJ5449">
        <v>28.218062</v>
      </c>
      <c r="AK5449" t="s">
        <v>1210</v>
      </c>
      <c r="AL5449">
        <v>-82.392869000000005</v>
      </c>
      <c r="AM5449">
        <v>100</v>
      </c>
      <c r="AN5449">
        <v>1300</v>
      </c>
      <c r="AO5449" t="s">
        <v>118</v>
      </c>
      <c r="AP5449">
        <v>-31</v>
      </c>
      <c r="AQ5449">
        <v>-114</v>
      </c>
      <c r="AR5449">
        <v>-1536</v>
      </c>
      <c r="AZ5449">
        <v>1200</v>
      </c>
      <c r="BA5449">
        <v>1</v>
      </c>
      <c r="BB5449" t="str">
        <f t="shared" si="2501"/>
        <v xml:space="preserve">N711JA  </v>
      </c>
      <c r="BC5449">
        <v>1</v>
      </c>
      <c r="BE5449">
        <v>0</v>
      </c>
      <c r="BF5449">
        <v>0</v>
      </c>
      <c r="BG5449">
        <v>0</v>
      </c>
      <c r="BH5449">
        <v>1375</v>
      </c>
      <c r="BI5449">
        <v>1</v>
      </c>
      <c r="BJ5449">
        <v>1</v>
      </c>
      <c r="BK5449">
        <v>0</v>
      </c>
      <c r="BL5449">
        <v>0</v>
      </c>
      <c r="BO5449">
        <v>0</v>
      </c>
      <c r="BP5449">
        <v>0</v>
      </c>
      <c r="BW5449" t="str">
        <f t="shared" si="2528"/>
        <v>14:51:20.847</v>
      </c>
      <c r="CJ5449">
        <v>0</v>
      </c>
      <c r="CK5449">
        <v>2</v>
      </c>
      <c r="CL5449">
        <v>0</v>
      </c>
      <c r="CM5449">
        <v>2</v>
      </c>
      <c r="CN5449">
        <v>0</v>
      </c>
      <c r="CO5449">
        <v>7</v>
      </c>
      <c r="CP5449" t="s">
        <v>119</v>
      </c>
      <c r="CQ5449">
        <v>343</v>
      </c>
      <c r="CR5449">
        <v>2</v>
      </c>
      <c r="CW5449">
        <v>13408793</v>
      </c>
      <c r="CY5449">
        <v>1</v>
      </c>
      <c r="CZ5449">
        <v>0</v>
      </c>
      <c r="DA5449">
        <v>1</v>
      </c>
      <c r="DB5449">
        <v>0</v>
      </c>
      <c r="DC5449">
        <v>0</v>
      </c>
      <c r="DD5449">
        <v>1</v>
      </c>
      <c r="DE5449">
        <v>0</v>
      </c>
      <c r="DF5449">
        <v>0</v>
      </c>
      <c r="DG5449">
        <v>0</v>
      </c>
      <c r="DH5449">
        <v>0</v>
      </c>
      <c r="DI5449">
        <v>0</v>
      </c>
    </row>
    <row r="5450" spans="1:113" x14ac:dyDescent="0.3">
      <c r="A5450" t="str">
        <f t="shared" si="2525"/>
        <v>05/12/2020 14:51:03.027</v>
      </c>
      <c r="C5450" t="str">
        <f t="shared" si="2500"/>
        <v>FFDFD3C0</v>
      </c>
      <c r="D5450" t="s">
        <v>131</v>
      </c>
      <c r="E5450">
        <v>12</v>
      </c>
      <c r="F5450">
        <v>2012</v>
      </c>
      <c r="G5450" t="s">
        <v>137</v>
      </c>
      <c r="J5450" t="s">
        <v>133</v>
      </c>
      <c r="K5450">
        <v>0</v>
      </c>
      <c r="L5450">
        <v>3</v>
      </c>
      <c r="M5450">
        <v>0</v>
      </c>
      <c r="N5450">
        <v>2</v>
      </c>
      <c r="O5450">
        <v>1</v>
      </c>
      <c r="P5450">
        <v>0</v>
      </c>
      <c r="Q5450">
        <v>0</v>
      </c>
      <c r="S5450" t="str">
        <f t="shared" si="2526"/>
        <v>14:51:20.844</v>
      </c>
      <c r="T5450" t="str">
        <f t="shared" si="2527"/>
        <v>14:51:20.744</v>
      </c>
      <c r="U5450" t="str">
        <f t="shared" si="2524"/>
        <v>A9808D</v>
      </c>
      <c r="V5450">
        <v>0</v>
      </c>
      <c r="W5450">
        <v>0</v>
      </c>
      <c r="X5450">
        <v>1</v>
      </c>
      <c r="Z5450">
        <v>0</v>
      </c>
      <c r="AA5450">
        <v>9</v>
      </c>
      <c r="AB5450">
        <v>3</v>
      </c>
      <c r="AC5450">
        <v>0</v>
      </c>
      <c r="AD5450">
        <v>10</v>
      </c>
      <c r="AE5450">
        <v>0</v>
      </c>
      <c r="AF5450">
        <v>3</v>
      </c>
      <c r="AG5450">
        <v>2</v>
      </c>
      <c r="AH5450">
        <v>0</v>
      </c>
      <c r="AI5450" t="s">
        <v>1209</v>
      </c>
      <c r="AJ5450">
        <v>28.218062</v>
      </c>
      <c r="AK5450" t="s">
        <v>1210</v>
      </c>
      <c r="AL5450">
        <v>-82.392869000000005</v>
      </c>
      <c r="AM5450">
        <v>100</v>
      </c>
      <c r="AN5450">
        <v>1300</v>
      </c>
      <c r="AO5450" t="s">
        <v>118</v>
      </c>
      <c r="AP5450">
        <v>-31</v>
      </c>
      <c r="AQ5450">
        <v>-114</v>
      </c>
      <c r="AR5450">
        <v>-1536</v>
      </c>
      <c r="AZ5450">
        <v>1200</v>
      </c>
      <c r="BA5450">
        <v>1</v>
      </c>
      <c r="BB5450" t="str">
        <f t="shared" si="2501"/>
        <v xml:space="preserve">N711JA  </v>
      </c>
      <c r="BC5450">
        <v>1</v>
      </c>
      <c r="BE5450">
        <v>0</v>
      </c>
      <c r="BF5450">
        <v>0</v>
      </c>
      <c r="BG5450">
        <v>0</v>
      </c>
      <c r="BH5450">
        <v>1375</v>
      </c>
      <c r="BI5450">
        <v>1</v>
      </c>
      <c r="BJ5450">
        <v>1</v>
      </c>
      <c r="BK5450">
        <v>0</v>
      </c>
      <c r="BL5450">
        <v>0</v>
      </c>
      <c r="BO5450">
        <v>0</v>
      </c>
      <c r="BP5450">
        <v>0</v>
      </c>
      <c r="BW5450" t="str">
        <f t="shared" si="2528"/>
        <v>14:51:20.847</v>
      </c>
      <c r="CJ5450">
        <v>0</v>
      </c>
      <c r="CK5450">
        <v>2</v>
      </c>
      <c r="CL5450">
        <v>0</v>
      </c>
      <c r="CM5450">
        <v>2</v>
      </c>
      <c r="CN5450">
        <v>0</v>
      </c>
      <c r="CO5450">
        <v>7</v>
      </c>
      <c r="CP5450" t="s">
        <v>119</v>
      </c>
      <c r="CQ5450">
        <v>343</v>
      </c>
      <c r="CR5450">
        <v>2</v>
      </c>
      <c r="CW5450">
        <v>13408793</v>
      </c>
      <c r="CY5450">
        <v>1</v>
      </c>
      <c r="CZ5450">
        <v>0</v>
      </c>
      <c r="DA5450">
        <v>1</v>
      </c>
      <c r="DB5450">
        <v>0</v>
      </c>
      <c r="DC5450">
        <v>0</v>
      </c>
      <c r="DD5450">
        <v>1</v>
      </c>
      <c r="DE5450">
        <v>0</v>
      </c>
      <c r="DF5450">
        <v>0</v>
      </c>
      <c r="DG5450">
        <v>0</v>
      </c>
      <c r="DH5450">
        <v>0</v>
      </c>
      <c r="DI5450">
        <v>0</v>
      </c>
    </row>
    <row r="5451" spans="1:113" x14ac:dyDescent="0.3">
      <c r="A5451" t="str">
        <f t="shared" si="2525"/>
        <v>05/12/2020 14:51:03.027</v>
      </c>
      <c r="C5451" t="str">
        <f t="shared" si="2500"/>
        <v>FFDFD3C0</v>
      </c>
      <c r="D5451" t="s">
        <v>134</v>
      </c>
      <c r="E5451">
        <v>12</v>
      </c>
      <c r="H5451">
        <v>64</v>
      </c>
      <c r="I5451" t="s">
        <v>135</v>
      </c>
      <c r="J5451" t="s">
        <v>136</v>
      </c>
      <c r="K5451">
        <v>0</v>
      </c>
      <c r="L5451">
        <v>3</v>
      </c>
      <c r="M5451">
        <v>0</v>
      </c>
      <c r="N5451">
        <v>2</v>
      </c>
      <c r="O5451">
        <v>1</v>
      </c>
      <c r="P5451">
        <v>0</v>
      </c>
      <c r="Q5451">
        <v>0</v>
      </c>
      <c r="S5451" t="str">
        <f t="shared" si="2526"/>
        <v>14:51:20.844</v>
      </c>
      <c r="T5451" t="str">
        <f t="shared" si="2527"/>
        <v>14:51:20.744</v>
      </c>
      <c r="U5451" t="str">
        <f t="shared" si="2524"/>
        <v>A9808D</v>
      </c>
      <c r="V5451">
        <v>0</v>
      </c>
      <c r="W5451">
        <v>0</v>
      </c>
      <c r="X5451">
        <v>1</v>
      </c>
      <c r="Z5451">
        <v>0</v>
      </c>
      <c r="AA5451">
        <v>9</v>
      </c>
      <c r="AB5451">
        <v>3</v>
      </c>
      <c r="AC5451">
        <v>0</v>
      </c>
      <c r="AD5451">
        <v>10</v>
      </c>
      <c r="AE5451">
        <v>0</v>
      </c>
      <c r="AF5451">
        <v>3</v>
      </c>
      <c r="AG5451">
        <v>2</v>
      </c>
      <c r="AH5451">
        <v>0</v>
      </c>
      <c r="AI5451" t="s">
        <v>1209</v>
      </c>
      <c r="AJ5451">
        <v>28.218062</v>
      </c>
      <c r="AK5451" t="s">
        <v>1210</v>
      </c>
      <c r="AL5451">
        <v>-82.392869000000005</v>
      </c>
      <c r="AM5451">
        <v>100</v>
      </c>
      <c r="AN5451">
        <v>1300</v>
      </c>
      <c r="AO5451" t="s">
        <v>118</v>
      </c>
      <c r="AP5451">
        <v>-31</v>
      </c>
      <c r="AQ5451">
        <v>-114</v>
      </c>
      <c r="AR5451">
        <v>-1536</v>
      </c>
      <c r="AZ5451">
        <v>1200</v>
      </c>
      <c r="BA5451">
        <v>1</v>
      </c>
      <c r="BB5451" t="str">
        <f t="shared" si="2501"/>
        <v xml:space="preserve">N711JA  </v>
      </c>
      <c r="BC5451">
        <v>1</v>
      </c>
      <c r="BE5451">
        <v>0</v>
      </c>
      <c r="BF5451">
        <v>0</v>
      </c>
      <c r="BG5451">
        <v>0</v>
      </c>
      <c r="BH5451">
        <v>1375</v>
      </c>
      <c r="BI5451">
        <v>1</v>
      </c>
      <c r="BJ5451">
        <v>1</v>
      </c>
      <c r="BK5451">
        <v>0</v>
      </c>
      <c r="BL5451">
        <v>0</v>
      </c>
      <c r="BO5451">
        <v>0</v>
      </c>
      <c r="BP5451">
        <v>0</v>
      </c>
      <c r="BW5451" t="str">
        <f t="shared" si="2528"/>
        <v>14:51:20.847</v>
      </c>
      <c r="CJ5451">
        <v>0</v>
      </c>
      <c r="CK5451">
        <v>2</v>
      </c>
      <c r="CL5451">
        <v>0</v>
      </c>
      <c r="CM5451">
        <v>2</v>
      </c>
      <c r="CN5451">
        <v>0</v>
      </c>
      <c r="CO5451">
        <v>7</v>
      </c>
      <c r="CP5451" t="s">
        <v>119</v>
      </c>
      <c r="CQ5451">
        <v>343</v>
      </c>
      <c r="CR5451">
        <v>2</v>
      </c>
      <c r="CW5451">
        <v>13408793</v>
      </c>
      <c r="CY5451">
        <v>1</v>
      </c>
      <c r="CZ5451">
        <v>0</v>
      </c>
      <c r="DA5451">
        <v>1</v>
      </c>
      <c r="DB5451">
        <v>0</v>
      </c>
      <c r="DC5451">
        <v>0</v>
      </c>
      <c r="DD5451">
        <v>1</v>
      </c>
      <c r="DE5451">
        <v>0</v>
      </c>
      <c r="DF5451">
        <v>0</v>
      </c>
      <c r="DG5451">
        <v>0</v>
      </c>
      <c r="DH5451">
        <v>0</v>
      </c>
      <c r="DI5451">
        <v>0</v>
      </c>
    </row>
    <row r="5452" spans="1:113" x14ac:dyDescent="0.3">
      <c r="A5452" t="str">
        <f t="shared" si="2525"/>
        <v>05/12/2020 14:51:03.027</v>
      </c>
      <c r="C5452" t="str">
        <f t="shared" si="2500"/>
        <v>FFDFD3C0</v>
      </c>
      <c r="D5452" t="s">
        <v>113</v>
      </c>
      <c r="E5452">
        <v>3</v>
      </c>
      <c r="H5452">
        <v>164</v>
      </c>
      <c r="I5452" t="s">
        <v>114</v>
      </c>
      <c r="J5452" t="s">
        <v>115</v>
      </c>
      <c r="K5452">
        <v>0</v>
      </c>
      <c r="L5452">
        <v>3</v>
      </c>
      <c r="M5452">
        <v>0</v>
      </c>
      <c r="N5452">
        <v>2</v>
      </c>
      <c r="O5452">
        <v>1</v>
      </c>
      <c r="P5452">
        <v>0</v>
      </c>
      <c r="Q5452">
        <v>0</v>
      </c>
      <c r="S5452" t="str">
        <f t="shared" si="2526"/>
        <v>14:51:20.844</v>
      </c>
      <c r="T5452" t="str">
        <f t="shared" si="2527"/>
        <v>14:51:20.744</v>
      </c>
      <c r="U5452" t="str">
        <f t="shared" si="2524"/>
        <v>A9808D</v>
      </c>
      <c r="V5452">
        <v>0</v>
      </c>
      <c r="W5452">
        <v>0</v>
      </c>
      <c r="X5452">
        <v>1</v>
      </c>
      <c r="Z5452">
        <v>0</v>
      </c>
      <c r="AA5452">
        <v>9</v>
      </c>
      <c r="AB5452">
        <v>3</v>
      </c>
      <c r="AC5452">
        <v>0</v>
      </c>
      <c r="AD5452">
        <v>10</v>
      </c>
      <c r="AE5452">
        <v>0</v>
      </c>
      <c r="AF5452">
        <v>3</v>
      </c>
      <c r="AG5452">
        <v>2</v>
      </c>
      <c r="AH5452">
        <v>0</v>
      </c>
      <c r="AI5452" t="s">
        <v>1209</v>
      </c>
      <c r="AJ5452">
        <v>28.218062</v>
      </c>
      <c r="AK5452" t="s">
        <v>1210</v>
      </c>
      <c r="AL5452">
        <v>-82.392869000000005</v>
      </c>
      <c r="AM5452">
        <v>100</v>
      </c>
      <c r="AN5452">
        <v>1300</v>
      </c>
      <c r="AO5452" t="s">
        <v>118</v>
      </c>
      <c r="AP5452">
        <v>-31</v>
      </c>
      <c r="AQ5452">
        <v>-114</v>
      </c>
      <c r="AR5452">
        <v>-1536</v>
      </c>
      <c r="AZ5452">
        <v>1200</v>
      </c>
      <c r="BA5452">
        <v>1</v>
      </c>
      <c r="BB5452" t="str">
        <f t="shared" si="2501"/>
        <v xml:space="preserve">N711JA  </v>
      </c>
      <c r="BC5452">
        <v>1</v>
      </c>
      <c r="BE5452">
        <v>0</v>
      </c>
      <c r="BF5452">
        <v>0</v>
      </c>
      <c r="BG5452">
        <v>0</v>
      </c>
      <c r="BH5452">
        <v>1375</v>
      </c>
      <c r="BI5452">
        <v>1</v>
      </c>
      <c r="BJ5452">
        <v>1</v>
      </c>
      <c r="BK5452">
        <v>0</v>
      </c>
      <c r="BL5452">
        <v>0</v>
      </c>
      <c r="BO5452">
        <v>0</v>
      </c>
      <c r="BP5452">
        <v>0</v>
      </c>
      <c r="BW5452" t="str">
        <f t="shared" si="2528"/>
        <v>14:51:20.847</v>
      </c>
      <c r="CJ5452">
        <v>0</v>
      </c>
      <c r="CK5452">
        <v>2</v>
      </c>
      <c r="CL5452">
        <v>0</v>
      </c>
      <c r="CM5452">
        <v>2</v>
      </c>
      <c r="CN5452">
        <v>0</v>
      </c>
      <c r="CO5452">
        <v>7</v>
      </c>
      <c r="CP5452" t="s">
        <v>119</v>
      </c>
      <c r="CQ5452">
        <v>343</v>
      </c>
      <c r="CR5452">
        <v>2</v>
      </c>
      <c r="CW5452">
        <v>13408793</v>
      </c>
      <c r="CY5452">
        <v>1</v>
      </c>
      <c r="CZ5452">
        <v>0</v>
      </c>
      <c r="DA5452">
        <v>1</v>
      </c>
      <c r="DB5452">
        <v>0</v>
      </c>
      <c r="DC5452">
        <v>0</v>
      </c>
      <c r="DD5452">
        <v>1</v>
      </c>
      <c r="DE5452">
        <v>0</v>
      </c>
      <c r="DF5452">
        <v>0</v>
      </c>
      <c r="DG5452">
        <v>0</v>
      </c>
      <c r="DH5452">
        <v>0</v>
      </c>
      <c r="DI5452">
        <v>0</v>
      </c>
    </row>
    <row r="5453" spans="1:113" x14ac:dyDescent="0.3">
      <c r="A5453" t="str">
        <f t="shared" si="2525"/>
        <v>05/12/2020 14:51:03.027</v>
      </c>
      <c r="C5453" t="str">
        <f t="shared" si="2500"/>
        <v>FFDFD3C0</v>
      </c>
      <c r="D5453" t="s">
        <v>138</v>
      </c>
      <c r="E5453">
        <v>2</v>
      </c>
      <c r="H5453">
        <v>8</v>
      </c>
      <c r="I5453" t="s">
        <v>139</v>
      </c>
      <c r="J5453" t="s">
        <v>136</v>
      </c>
      <c r="K5453">
        <v>0</v>
      </c>
      <c r="L5453">
        <v>3</v>
      </c>
      <c r="M5453">
        <v>0</v>
      </c>
      <c r="N5453">
        <v>2</v>
      </c>
      <c r="O5453">
        <v>1</v>
      </c>
      <c r="P5453">
        <v>0</v>
      </c>
      <c r="Q5453">
        <v>0</v>
      </c>
      <c r="S5453" t="str">
        <f t="shared" si="2526"/>
        <v>14:51:20.844</v>
      </c>
      <c r="T5453" t="str">
        <f t="shared" si="2527"/>
        <v>14:51:20.744</v>
      </c>
      <c r="U5453" t="str">
        <f t="shared" si="2524"/>
        <v>A9808D</v>
      </c>
      <c r="V5453">
        <v>0</v>
      </c>
      <c r="W5453">
        <v>0</v>
      </c>
      <c r="X5453">
        <v>1</v>
      </c>
      <c r="Z5453">
        <v>0</v>
      </c>
      <c r="AA5453">
        <v>9</v>
      </c>
      <c r="AB5453">
        <v>3</v>
      </c>
      <c r="AC5453">
        <v>0</v>
      </c>
      <c r="AD5453">
        <v>10</v>
      </c>
      <c r="AE5453">
        <v>0</v>
      </c>
      <c r="AF5453">
        <v>3</v>
      </c>
      <c r="AG5453">
        <v>2</v>
      </c>
      <c r="AH5453">
        <v>0</v>
      </c>
      <c r="AI5453" t="s">
        <v>1209</v>
      </c>
      <c r="AJ5453">
        <v>28.218062</v>
      </c>
      <c r="AK5453" t="s">
        <v>1210</v>
      </c>
      <c r="AL5453">
        <v>-82.392869000000005</v>
      </c>
      <c r="AM5453">
        <v>100</v>
      </c>
      <c r="AN5453">
        <v>1300</v>
      </c>
      <c r="AO5453" t="s">
        <v>118</v>
      </c>
      <c r="AP5453">
        <v>-31</v>
      </c>
      <c r="AQ5453">
        <v>-114</v>
      </c>
      <c r="AR5453">
        <v>-1536</v>
      </c>
      <c r="AZ5453">
        <v>1200</v>
      </c>
      <c r="BA5453">
        <v>1</v>
      </c>
      <c r="BB5453" t="str">
        <f t="shared" si="2501"/>
        <v xml:space="preserve">N711JA  </v>
      </c>
      <c r="BC5453">
        <v>1</v>
      </c>
      <c r="BE5453">
        <v>0</v>
      </c>
      <c r="BF5453">
        <v>0</v>
      </c>
      <c r="BG5453">
        <v>0</v>
      </c>
      <c r="BH5453">
        <v>1375</v>
      </c>
      <c r="BI5453">
        <v>1</v>
      </c>
      <c r="BJ5453">
        <v>1</v>
      </c>
      <c r="BK5453">
        <v>0</v>
      </c>
      <c r="BL5453">
        <v>0</v>
      </c>
      <c r="BO5453">
        <v>0</v>
      </c>
      <c r="BP5453">
        <v>0</v>
      </c>
      <c r="BW5453" t="str">
        <f t="shared" si="2528"/>
        <v>14:51:20.847</v>
      </c>
      <c r="CJ5453">
        <v>0</v>
      </c>
      <c r="CK5453">
        <v>2</v>
      </c>
      <c r="CL5453">
        <v>0</v>
      </c>
      <c r="CM5453">
        <v>2</v>
      </c>
      <c r="CN5453">
        <v>0</v>
      </c>
      <c r="CO5453">
        <v>7</v>
      </c>
      <c r="CP5453" t="s">
        <v>119</v>
      </c>
      <c r="CQ5453">
        <v>343</v>
      </c>
      <c r="CR5453">
        <v>2</v>
      </c>
      <c r="CW5453">
        <v>13408793</v>
      </c>
      <c r="CY5453">
        <v>1</v>
      </c>
      <c r="CZ5453">
        <v>0</v>
      </c>
      <c r="DA5453">
        <v>1</v>
      </c>
      <c r="DB5453">
        <v>0</v>
      </c>
      <c r="DC5453">
        <v>0</v>
      </c>
      <c r="DD5453">
        <v>1</v>
      </c>
      <c r="DE5453">
        <v>0</v>
      </c>
      <c r="DF5453">
        <v>0</v>
      </c>
      <c r="DG5453">
        <v>0</v>
      </c>
      <c r="DH5453">
        <v>0</v>
      </c>
      <c r="DI5453">
        <v>0</v>
      </c>
    </row>
    <row r="5454" spans="1:113" x14ac:dyDescent="0.3">
      <c r="A5454" t="str">
        <f t="shared" si="2525"/>
        <v>05/12/2020 14:51:03.027</v>
      </c>
      <c r="C5454" t="str">
        <f t="shared" si="2500"/>
        <v>FFDFD3C0</v>
      </c>
      <c r="D5454" t="s">
        <v>138</v>
      </c>
      <c r="E5454">
        <v>3</v>
      </c>
      <c r="H5454">
        <v>9</v>
      </c>
      <c r="I5454" t="s">
        <v>140</v>
      </c>
      <c r="J5454" t="s">
        <v>136</v>
      </c>
      <c r="K5454">
        <v>0</v>
      </c>
      <c r="L5454">
        <v>3</v>
      </c>
      <c r="M5454">
        <v>0</v>
      </c>
      <c r="N5454">
        <v>2</v>
      </c>
      <c r="O5454">
        <v>1</v>
      </c>
      <c r="P5454">
        <v>0</v>
      </c>
      <c r="Q5454">
        <v>0</v>
      </c>
      <c r="S5454" t="str">
        <f t="shared" si="2526"/>
        <v>14:51:20.844</v>
      </c>
      <c r="T5454" t="str">
        <f t="shared" si="2527"/>
        <v>14:51:20.744</v>
      </c>
      <c r="U5454" t="str">
        <f t="shared" si="2524"/>
        <v>A9808D</v>
      </c>
      <c r="V5454">
        <v>0</v>
      </c>
      <c r="W5454">
        <v>0</v>
      </c>
      <c r="X5454">
        <v>1</v>
      </c>
      <c r="Z5454">
        <v>0</v>
      </c>
      <c r="AA5454">
        <v>9</v>
      </c>
      <c r="AB5454">
        <v>3</v>
      </c>
      <c r="AC5454">
        <v>0</v>
      </c>
      <c r="AD5454">
        <v>10</v>
      </c>
      <c r="AE5454">
        <v>0</v>
      </c>
      <c r="AF5454">
        <v>3</v>
      </c>
      <c r="AG5454">
        <v>2</v>
      </c>
      <c r="AH5454">
        <v>0</v>
      </c>
      <c r="AI5454" t="s">
        <v>1209</v>
      </c>
      <c r="AJ5454">
        <v>28.218062</v>
      </c>
      <c r="AK5454" t="s">
        <v>1210</v>
      </c>
      <c r="AL5454">
        <v>-82.392869000000005</v>
      </c>
      <c r="AM5454">
        <v>100</v>
      </c>
      <c r="AN5454">
        <v>1300</v>
      </c>
      <c r="AO5454" t="s">
        <v>118</v>
      </c>
      <c r="AP5454">
        <v>-31</v>
      </c>
      <c r="AQ5454">
        <v>-114</v>
      </c>
      <c r="AR5454">
        <v>-1536</v>
      </c>
      <c r="AZ5454">
        <v>1200</v>
      </c>
      <c r="BA5454">
        <v>1</v>
      </c>
      <c r="BB5454" t="str">
        <f t="shared" si="2501"/>
        <v xml:space="preserve">N711JA  </v>
      </c>
      <c r="BC5454">
        <v>1</v>
      </c>
      <c r="BE5454">
        <v>0</v>
      </c>
      <c r="BF5454">
        <v>0</v>
      </c>
      <c r="BG5454">
        <v>0</v>
      </c>
      <c r="BH5454">
        <v>1375</v>
      </c>
      <c r="BI5454">
        <v>1</v>
      </c>
      <c r="BJ5454">
        <v>1</v>
      </c>
      <c r="BK5454">
        <v>0</v>
      </c>
      <c r="BL5454">
        <v>0</v>
      </c>
      <c r="BO5454">
        <v>0</v>
      </c>
      <c r="BP5454">
        <v>0</v>
      </c>
      <c r="BW5454" t="str">
        <f t="shared" si="2528"/>
        <v>14:51:20.847</v>
      </c>
      <c r="CJ5454">
        <v>0</v>
      </c>
      <c r="CK5454">
        <v>2</v>
      </c>
      <c r="CL5454">
        <v>0</v>
      </c>
      <c r="CM5454">
        <v>2</v>
      </c>
      <c r="CN5454">
        <v>0</v>
      </c>
      <c r="CO5454">
        <v>7</v>
      </c>
      <c r="CP5454" t="s">
        <v>119</v>
      </c>
      <c r="CQ5454">
        <v>343</v>
      </c>
      <c r="CR5454">
        <v>2</v>
      </c>
      <c r="CW5454">
        <v>13408793</v>
      </c>
      <c r="CY5454">
        <v>1</v>
      </c>
      <c r="CZ5454">
        <v>0</v>
      </c>
      <c r="DA5454">
        <v>1</v>
      </c>
      <c r="DB5454">
        <v>0</v>
      </c>
      <c r="DC5454">
        <v>0</v>
      </c>
      <c r="DD5454">
        <v>1</v>
      </c>
      <c r="DE5454">
        <v>0</v>
      </c>
      <c r="DF5454">
        <v>0</v>
      </c>
      <c r="DG5454">
        <v>0</v>
      </c>
      <c r="DH5454">
        <v>0</v>
      </c>
      <c r="DI5454">
        <v>0</v>
      </c>
    </row>
    <row r="5455" spans="1:113" x14ac:dyDescent="0.3">
      <c r="A5455" t="str">
        <f t="shared" ref="A5455:A5462" si="2529">"05/12/2020 14:51:04.177"</f>
        <v>05/12/2020 14:51:04.177</v>
      </c>
      <c r="C5455" t="str">
        <f t="shared" si="2500"/>
        <v>FFDFD3C0</v>
      </c>
      <c r="D5455" t="s">
        <v>138</v>
      </c>
      <c r="E5455">
        <v>3</v>
      </c>
      <c r="H5455">
        <v>9</v>
      </c>
      <c r="I5455" t="s">
        <v>140</v>
      </c>
      <c r="J5455" t="s">
        <v>136</v>
      </c>
      <c r="K5455">
        <v>0</v>
      </c>
      <c r="L5455">
        <v>3</v>
      </c>
      <c r="M5455">
        <v>0</v>
      </c>
      <c r="N5455">
        <v>2</v>
      </c>
      <c r="O5455">
        <v>1</v>
      </c>
      <c r="P5455">
        <v>0</v>
      </c>
      <c r="Q5455">
        <v>0</v>
      </c>
      <c r="S5455" t="str">
        <f t="shared" ref="S5455:S5462" si="2530">"14:51:22.016"</f>
        <v>14:51:22.016</v>
      </c>
      <c r="T5455" t="str">
        <f t="shared" ref="T5455:T5462" si="2531">"14:51:21.816"</f>
        <v>14:51:21.816</v>
      </c>
      <c r="U5455" t="str">
        <f t="shared" si="2524"/>
        <v>A9808D</v>
      </c>
      <c r="V5455">
        <v>0</v>
      </c>
      <c r="W5455">
        <v>0</v>
      </c>
      <c r="X5455">
        <v>1</v>
      </c>
      <c r="Z5455">
        <v>0</v>
      </c>
      <c r="AA5455">
        <v>9</v>
      </c>
      <c r="AB5455">
        <v>3</v>
      </c>
      <c r="AC5455">
        <v>0</v>
      </c>
      <c r="AD5455">
        <v>10</v>
      </c>
      <c r="AE5455">
        <v>0</v>
      </c>
      <c r="AF5455">
        <v>3</v>
      </c>
      <c r="AG5455">
        <v>2</v>
      </c>
      <c r="AH5455">
        <v>0</v>
      </c>
      <c r="AI5455" t="s">
        <v>1211</v>
      </c>
      <c r="AJ5455">
        <v>28.217461</v>
      </c>
      <c r="AK5455" t="s">
        <v>1212</v>
      </c>
      <c r="AL5455">
        <v>-82.393018999999995</v>
      </c>
      <c r="AM5455">
        <v>100</v>
      </c>
      <c r="AN5455">
        <v>1300</v>
      </c>
      <c r="AO5455" t="s">
        <v>118</v>
      </c>
      <c r="AP5455">
        <v>-22</v>
      </c>
      <c r="AQ5455">
        <v>-116</v>
      </c>
      <c r="AR5455">
        <v>-1600</v>
      </c>
      <c r="AZ5455">
        <v>1200</v>
      </c>
      <c r="BA5455">
        <v>1</v>
      </c>
      <c r="BB5455" t="str">
        <f t="shared" si="2501"/>
        <v xml:space="preserve">N711JA  </v>
      </c>
      <c r="BC5455">
        <v>1</v>
      </c>
      <c r="BE5455">
        <v>0</v>
      </c>
      <c r="BF5455">
        <v>0</v>
      </c>
      <c r="BG5455">
        <v>0</v>
      </c>
      <c r="BH5455">
        <v>1350</v>
      </c>
      <c r="BI5455">
        <v>1</v>
      </c>
      <c r="BJ5455">
        <v>1</v>
      </c>
      <c r="BK5455">
        <v>0</v>
      </c>
      <c r="BL5455">
        <v>0</v>
      </c>
      <c r="BO5455">
        <v>0</v>
      </c>
      <c r="BP5455">
        <v>0</v>
      </c>
      <c r="BW5455" t="str">
        <f t="shared" ref="BW5455:BW5462" si="2532">"14:51:22.018"</f>
        <v>14:51:22.018</v>
      </c>
      <c r="CJ5455">
        <v>0</v>
      </c>
      <c r="CK5455">
        <v>2</v>
      </c>
      <c r="CL5455">
        <v>0</v>
      </c>
      <c r="CM5455">
        <v>2</v>
      </c>
      <c r="CN5455">
        <v>0</v>
      </c>
      <c r="CO5455">
        <v>7</v>
      </c>
      <c r="CP5455" t="s">
        <v>119</v>
      </c>
      <c r="CQ5455">
        <v>343</v>
      </c>
      <c r="CR5455">
        <v>1</v>
      </c>
      <c r="CW5455">
        <v>11156422</v>
      </c>
      <c r="CY5455">
        <v>1</v>
      </c>
      <c r="CZ5455">
        <v>0</v>
      </c>
      <c r="DA5455">
        <v>0</v>
      </c>
      <c r="DB5455">
        <v>0</v>
      </c>
      <c r="DC5455">
        <v>0</v>
      </c>
      <c r="DD5455">
        <v>1</v>
      </c>
      <c r="DE5455">
        <v>0</v>
      </c>
      <c r="DF5455">
        <v>0</v>
      </c>
      <c r="DG5455">
        <v>0</v>
      </c>
      <c r="DH5455">
        <v>0</v>
      </c>
      <c r="DI5455">
        <v>0</v>
      </c>
    </row>
    <row r="5456" spans="1:113" x14ac:dyDescent="0.3">
      <c r="A5456" t="str">
        <f t="shared" si="2529"/>
        <v>05/12/2020 14:51:04.177</v>
      </c>
      <c r="C5456" t="str">
        <f t="shared" si="2500"/>
        <v>FFDFD3C0</v>
      </c>
      <c r="D5456" t="s">
        <v>131</v>
      </c>
      <c r="E5456">
        <v>10</v>
      </c>
      <c r="F5456">
        <v>2010</v>
      </c>
      <c r="G5456" t="s">
        <v>132</v>
      </c>
      <c r="J5456" t="s">
        <v>133</v>
      </c>
      <c r="K5456">
        <v>0</v>
      </c>
      <c r="L5456">
        <v>3</v>
      </c>
      <c r="M5456">
        <v>0</v>
      </c>
      <c r="N5456">
        <v>2</v>
      </c>
      <c r="O5456">
        <v>1</v>
      </c>
      <c r="P5456">
        <v>0</v>
      </c>
      <c r="Q5456">
        <v>0</v>
      </c>
      <c r="S5456" t="str">
        <f t="shared" si="2530"/>
        <v>14:51:22.016</v>
      </c>
      <c r="T5456" t="str">
        <f t="shared" si="2531"/>
        <v>14:51:21.816</v>
      </c>
      <c r="U5456" t="str">
        <f t="shared" si="2524"/>
        <v>A9808D</v>
      </c>
      <c r="V5456">
        <v>0</v>
      </c>
      <c r="W5456">
        <v>0</v>
      </c>
      <c r="X5456">
        <v>1</v>
      </c>
      <c r="Z5456">
        <v>0</v>
      </c>
      <c r="AA5456">
        <v>9</v>
      </c>
      <c r="AB5456">
        <v>3</v>
      </c>
      <c r="AC5456">
        <v>0</v>
      </c>
      <c r="AD5456">
        <v>10</v>
      </c>
      <c r="AE5456">
        <v>0</v>
      </c>
      <c r="AF5456">
        <v>3</v>
      </c>
      <c r="AG5456">
        <v>2</v>
      </c>
      <c r="AH5456">
        <v>0</v>
      </c>
      <c r="AI5456" t="s">
        <v>1211</v>
      </c>
      <c r="AJ5456">
        <v>28.217461</v>
      </c>
      <c r="AK5456" t="s">
        <v>1212</v>
      </c>
      <c r="AL5456">
        <v>-82.393018999999995</v>
      </c>
      <c r="AM5456">
        <v>100</v>
      </c>
      <c r="AN5456">
        <v>1300</v>
      </c>
      <c r="AO5456" t="s">
        <v>118</v>
      </c>
      <c r="AP5456">
        <v>-22</v>
      </c>
      <c r="AQ5456">
        <v>-116</v>
      </c>
      <c r="AR5456">
        <v>-1600</v>
      </c>
      <c r="AZ5456">
        <v>1200</v>
      </c>
      <c r="BA5456">
        <v>1</v>
      </c>
      <c r="BB5456" t="str">
        <f t="shared" si="2501"/>
        <v xml:space="preserve">N711JA  </v>
      </c>
      <c r="BC5456">
        <v>1</v>
      </c>
      <c r="BE5456">
        <v>0</v>
      </c>
      <c r="BF5456">
        <v>0</v>
      </c>
      <c r="BG5456">
        <v>0</v>
      </c>
      <c r="BH5456">
        <v>1350</v>
      </c>
      <c r="BI5456">
        <v>1</v>
      </c>
      <c r="BJ5456">
        <v>1</v>
      </c>
      <c r="BK5456">
        <v>0</v>
      </c>
      <c r="BL5456">
        <v>0</v>
      </c>
      <c r="BO5456">
        <v>0</v>
      </c>
      <c r="BP5456">
        <v>0</v>
      </c>
      <c r="BW5456" t="str">
        <f t="shared" si="2532"/>
        <v>14:51:22.018</v>
      </c>
      <c r="CJ5456">
        <v>0</v>
      </c>
      <c r="CK5456">
        <v>2</v>
      </c>
      <c r="CL5456">
        <v>0</v>
      </c>
      <c r="CM5456">
        <v>2</v>
      </c>
      <c r="CN5456">
        <v>0</v>
      </c>
      <c r="CO5456">
        <v>7</v>
      </c>
      <c r="CP5456" t="s">
        <v>119</v>
      </c>
      <c r="CQ5456">
        <v>343</v>
      </c>
      <c r="CR5456">
        <v>1</v>
      </c>
      <c r="CW5456">
        <v>11156422</v>
      </c>
      <c r="CY5456">
        <v>1</v>
      </c>
      <c r="CZ5456">
        <v>0</v>
      </c>
      <c r="DA5456">
        <v>1</v>
      </c>
      <c r="DB5456">
        <v>0</v>
      </c>
      <c r="DC5456">
        <v>0</v>
      </c>
      <c r="DD5456">
        <v>1</v>
      </c>
      <c r="DE5456">
        <v>0</v>
      </c>
      <c r="DF5456">
        <v>0</v>
      </c>
      <c r="DG5456">
        <v>0</v>
      </c>
      <c r="DH5456">
        <v>0</v>
      </c>
      <c r="DI5456">
        <v>0</v>
      </c>
    </row>
    <row r="5457" spans="1:113" x14ac:dyDescent="0.3">
      <c r="A5457" t="str">
        <f t="shared" si="2529"/>
        <v>05/12/2020 14:51:04.177</v>
      </c>
      <c r="C5457" t="str">
        <f t="shared" si="2500"/>
        <v>FFDFD3C0</v>
      </c>
      <c r="D5457" t="s">
        <v>126</v>
      </c>
      <c r="E5457">
        <v>7</v>
      </c>
      <c r="F5457">
        <v>1007</v>
      </c>
      <c r="G5457" t="s">
        <v>127</v>
      </c>
      <c r="J5457" t="s">
        <v>128</v>
      </c>
      <c r="K5457">
        <v>0</v>
      </c>
      <c r="L5457">
        <v>3</v>
      </c>
      <c r="M5457">
        <v>0</v>
      </c>
      <c r="N5457">
        <v>2</v>
      </c>
      <c r="O5457">
        <v>1</v>
      </c>
      <c r="P5457">
        <v>0</v>
      </c>
      <c r="Q5457">
        <v>0</v>
      </c>
      <c r="S5457" t="str">
        <f t="shared" si="2530"/>
        <v>14:51:22.016</v>
      </c>
      <c r="T5457" t="str">
        <f t="shared" si="2531"/>
        <v>14:51:21.816</v>
      </c>
      <c r="U5457" t="str">
        <f t="shared" si="2524"/>
        <v>A9808D</v>
      </c>
      <c r="V5457">
        <v>0</v>
      </c>
      <c r="W5457">
        <v>0</v>
      </c>
      <c r="X5457">
        <v>1</v>
      </c>
      <c r="Z5457">
        <v>0</v>
      </c>
      <c r="AA5457">
        <v>9</v>
      </c>
      <c r="AB5457">
        <v>3</v>
      </c>
      <c r="AC5457">
        <v>0</v>
      </c>
      <c r="AD5457">
        <v>10</v>
      </c>
      <c r="AE5457">
        <v>0</v>
      </c>
      <c r="AF5457">
        <v>3</v>
      </c>
      <c r="AG5457">
        <v>2</v>
      </c>
      <c r="AH5457">
        <v>0</v>
      </c>
      <c r="AI5457" t="s">
        <v>1211</v>
      </c>
      <c r="AJ5457">
        <v>28.217461</v>
      </c>
      <c r="AK5457" t="s">
        <v>1212</v>
      </c>
      <c r="AL5457">
        <v>-82.393018999999995</v>
      </c>
      <c r="AM5457">
        <v>100</v>
      </c>
      <c r="AN5457">
        <v>1300</v>
      </c>
      <c r="AO5457" t="s">
        <v>118</v>
      </c>
      <c r="AP5457">
        <v>-22</v>
      </c>
      <c r="AQ5457">
        <v>-116</v>
      </c>
      <c r="AR5457">
        <v>-1600</v>
      </c>
      <c r="AZ5457">
        <v>1200</v>
      </c>
      <c r="BA5457">
        <v>1</v>
      </c>
      <c r="BB5457" t="str">
        <f t="shared" si="2501"/>
        <v xml:space="preserve">N711JA  </v>
      </c>
      <c r="BC5457">
        <v>1</v>
      </c>
      <c r="BE5457">
        <v>0</v>
      </c>
      <c r="BF5457">
        <v>0</v>
      </c>
      <c r="BG5457">
        <v>0</v>
      </c>
      <c r="BH5457">
        <v>1350</v>
      </c>
      <c r="BI5457">
        <v>1</v>
      </c>
      <c r="BJ5457">
        <v>1</v>
      </c>
      <c r="BK5457">
        <v>0</v>
      </c>
      <c r="BL5457">
        <v>0</v>
      </c>
      <c r="BO5457">
        <v>0</v>
      </c>
      <c r="BP5457">
        <v>0</v>
      </c>
      <c r="BW5457" t="str">
        <f t="shared" si="2532"/>
        <v>14:51:22.018</v>
      </c>
      <c r="CJ5457">
        <v>0</v>
      </c>
      <c r="CK5457">
        <v>2</v>
      </c>
      <c r="CL5457">
        <v>0</v>
      </c>
      <c r="CM5457">
        <v>2</v>
      </c>
      <c r="CN5457">
        <v>0</v>
      </c>
      <c r="CO5457">
        <v>7</v>
      </c>
      <c r="CP5457" t="s">
        <v>119</v>
      </c>
      <c r="CQ5457">
        <v>343</v>
      </c>
      <c r="CR5457">
        <v>1</v>
      </c>
      <c r="CW5457">
        <v>11156422</v>
      </c>
      <c r="CY5457">
        <v>1</v>
      </c>
      <c r="CZ5457">
        <v>0</v>
      </c>
      <c r="DA5457">
        <v>1</v>
      </c>
      <c r="DB5457">
        <v>0</v>
      </c>
      <c r="DC5457">
        <v>0</v>
      </c>
      <c r="DD5457">
        <v>1</v>
      </c>
      <c r="DE5457">
        <v>0</v>
      </c>
      <c r="DF5457">
        <v>0</v>
      </c>
      <c r="DG5457">
        <v>0</v>
      </c>
      <c r="DH5457">
        <v>0</v>
      </c>
      <c r="DI5457">
        <v>0</v>
      </c>
    </row>
    <row r="5458" spans="1:113" x14ac:dyDescent="0.3">
      <c r="A5458" t="str">
        <f t="shared" si="2529"/>
        <v>05/12/2020 14:51:04.177</v>
      </c>
      <c r="C5458" t="str">
        <f t="shared" si="2500"/>
        <v>FFDFD3C0</v>
      </c>
      <c r="D5458" t="s">
        <v>126</v>
      </c>
      <c r="E5458">
        <v>6</v>
      </c>
      <c r="F5458">
        <v>1006</v>
      </c>
      <c r="G5458" t="s">
        <v>114</v>
      </c>
      <c r="J5458" t="s">
        <v>128</v>
      </c>
      <c r="K5458">
        <v>0</v>
      </c>
      <c r="L5458">
        <v>3</v>
      </c>
      <c r="M5458">
        <v>0</v>
      </c>
      <c r="N5458">
        <v>2</v>
      </c>
      <c r="O5458">
        <v>1</v>
      </c>
      <c r="P5458">
        <v>0</v>
      </c>
      <c r="Q5458">
        <v>0</v>
      </c>
      <c r="S5458" t="str">
        <f t="shared" si="2530"/>
        <v>14:51:22.016</v>
      </c>
      <c r="T5458" t="str">
        <f t="shared" si="2531"/>
        <v>14:51:21.816</v>
      </c>
      <c r="U5458" t="str">
        <f t="shared" si="2524"/>
        <v>A9808D</v>
      </c>
      <c r="V5458">
        <v>0</v>
      </c>
      <c r="W5458">
        <v>0</v>
      </c>
      <c r="X5458">
        <v>1</v>
      </c>
      <c r="Z5458">
        <v>0</v>
      </c>
      <c r="AA5458">
        <v>9</v>
      </c>
      <c r="AB5458">
        <v>3</v>
      </c>
      <c r="AC5458">
        <v>0</v>
      </c>
      <c r="AD5458">
        <v>10</v>
      </c>
      <c r="AE5458">
        <v>0</v>
      </c>
      <c r="AF5458">
        <v>3</v>
      </c>
      <c r="AG5458">
        <v>2</v>
      </c>
      <c r="AH5458">
        <v>0</v>
      </c>
      <c r="AI5458" t="s">
        <v>1211</v>
      </c>
      <c r="AJ5458">
        <v>28.217461</v>
      </c>
      <c r="AK5458" t="s">
        <v>1212</v>
      </c>
      <c r="AL5458">
        <v>-82.393018999999995</v>
      </c>
      <c r="AM5458">
        <v>100</v>
      </c>
      <c r="AN5458">
        <v>1300</v>
      </c>
      <c r="AO5458" t="s">
        <v>118</v>
      </c>
      <c r="AP5458">
        <v>-22</v>
      </c>
      <c r="AQ5458">
        <v>-116</v>
      </c>
      <c r="AR5458">
        <v>-1600</v>
      </c>
      <c r="AZ5458">
        <v>1200</v>
      </c>
      <c r="BA5458">
        <v>1</v>
      </c>
      <c r="BB5458" t="str">
        <f t="shared" si="2501"/>
        <v xml:space="preserve">N711JA  </v>
      </c>
      <c r="BC5458">
        <v>1</v>
      </c>
      <c r="BE5458">
        <v>0</v>
      </c>
      <c r="BF5458">
        <v>0</v>
      </c>
      <c r="BG5458">
        <v>0</v>
      </c>
      <c r="BH5458">
        <v>1350</v>
      </c>
      <c r="BI5458">
        <v>1</v>
      </c>
      <c r="BJ5458">
        <v>1</v>
      </c>
      <c r="BK5458">
        <v>0</v>
      </c>
      <c r="BL5458">
        <v>0</v>
      </c>
      <c r="BO5458">
        <v>0</v>
      </c>
      <c r="BP5458">
        <v>0</v>
      </c>
      <c r="BW5458" t="str">
        <f t="shared" si="2532"/>
        <v>14:51:22.018</v>
      </c>
      <c r="CJ5458">
        <v>0</v>
      </c>
      <c r="CK5458">
        <v>2</v>
      </c>
      <c r="CL5458">
        <v>0</v>
      </c>
      <c r="CM5458">
        <v>2</v>
      </c>
      <c r="CN5458">
        <v>0</v>
      </c>
      <c r="CO5458">
        <v>7</v>
      </c>
      <c r="CP5458" t="s">
        <v>119</v>
      </c>
      <c r="CQ5458">
        <v>343</v>
      </c>
      <c r="CR5458">
        <v>1</v>
      </c>
      <c r="CW5458">
        <v>11156422</v>
      </c>
      <c r="CY5458">
        <v>1</v>
      </c>
      <c r="CZ5458">
        <v>0</v>
      </c>
      <c r="DA5458">
        <v>1</v>
      </c>
      <c r="DB5458">
        <v>0</v>
      </c>
      <c r="DC5458">
        <v>0</v>
      </c>
      <c r="DD5458">
        <v>1</v>
      </c>
      <c r="DE5458">
        <v>0</v>
      </c>
      <c r="DF5458">
        <v>0</v>
      </c>
      <c r="DG5458">
        <v>0</v>
      </c>
      <c r="DH5458">
        <v>0</v>
      </c>
      <c r="DI5458">
        <v>0</v>
      </c>
    </row>
    <row r="5459" spans="1:113" x14ac:dyDescent="0.3">
      <c r="A5459" t="str">
        <f t="shared" si="2529"/>
        <v>05/12/2020 14:51:04.177</v>
      </c>
      <c r="C5459" t="str">
        <f t="shared" si="2500"/>
        <v>FFDFD3C0</v>
      </c>
      <c r="D5459" t="s">
        <v>131</v>
      </c>
      <c r="E5459">
        <v>12</v>
      </c>
      <c r="F5459">
        <v>2012</v>
      </c>
      <c r="G5459" t="s">
        <v>137</v>
      </c>
      <c r="J5459" t="s">
        <v>133</v>
      </c>
      <c r="K5459">
        <v>0</v>
      </c>
      <c r="L5459">
        <v>3</v>
      </c>
      <c r="M5459">
        <v>0</v>
      </c>
      <c r="N5459">
        <v>2</v>
      </c>
      <c r="O5459">
        <v>1</v>
      </c>
      <c r="P5459">
        <v>0</v>
      </c>
      <c r="Q5459">
        <v>0</v>
      </c>
      <c r="S5459" t="str">
        <f t="shared" si="2530"/>
        <v>14:51:22.016</v>
      </c>
      <c r="T5459" t="str">
        <f t="shared" si="2531"/>
        <v>14:51:21.816</v>
      </c>
      <c r="U5459" t="str">
        <f t="shared" si="2524"/>
        <v>A9808D</v>
      </c>
      <c r="V5459">
        <v>0</v>
      </c>
      <c r="W5459">
        <v>0</v>
      </c>
      <c r="X5459">
        <v>1</v>
      </c>
      <c r="Z5459">
        <v>0</v>
      </c>
      <c r="AA5459">
        <v>9</v>
      </c>
      <c r="AB5459">
        <v>3</v>
      </c>
      <c r="AC5459">
        <v>0</v>
      </c>
      <c r="AD5459">
        <v>10</v>
      </c>
      <c r="AE5459">
        <v>0</v>
      </c>
      <c r="AF5459">
        <v>3</v>
      </c>
      <c r="AG5459">
        <v>2</v>
      </c>
      <c r="AH5459">
        <v>0</v>
      </c>
      <c r="AI5459" t="s">
        <v>1211</v>
      </c>
      <c r="AJ5459">
        <v>28.217461</v>
      </c>
      <c r="AK5459" t="s">
        <v>1212</v>
      </c>
      <c r="AL5459">
        <v>-82.393018999999995</v>
      </c>
      <c r="AM5459">
        <v>100</v>
      </c>
      <c r="AN5459">
        <v>1300</v>
      </c>
      <c r="AO5459" t="s">
        <v>118</v>
      </c>
      <c r="AP5459">
        <v>-22</v>
      </c>
      <c r="AQ5459">
        <v>-116</v>
      </c>
      <c r="AR5459">
        <v>-1600</v>
      </c>
      <c r="AZ5459">
        <v>1200</v>
      </c>
      <c r="BA5459">
        <v>1</v>
      </c>
      <c r="BB5459" t="str">
        <f t="shared" si="2501"/>
        <v xml:space="preserve">N711JA  </v>
      </c>
      <c r="BC5459">
        <v>1</v>
      </c>
      <c r="BE5459">
        <v>0</v>
      </c>
      <c r="BF5459">
        <v>0</v>
      </c>
      <c r="BG5459">
        <v>0</v>
      </c>
      <c r="BH5459">
        <v>1350</v>
      </c>
      <c r="BI5459">
        <v>1</v>
      </c>
      <c r="BJ5459">
        <v>1</v>
      </c>
      <c r="BK5459">
        <v>0</v>
      </c>
      <c r="BL5459">
        <v>0</v>
      </c>
      <c r="BO5459">
        <v>0</v>
      </c>
      <c r="BP5459">
        <v>0</v>
      </c>
      <c r="BW5459" t="str">
        <f t="shared" si="2532"/>
        <v>14:51:22.018</v>
      </c>
      <c r="CJ5459">
        <v>0</v>
      </c>
      <c r="CK5459">
        <v>2</v>
      </c>
      <c r="CL5459">
        <v>0</v>
      </c>
      <c r="CM5459">
        <v>2</v>
      </c>
      <c r="CN5459">
        <v>0</v>
      </c>
      <c r="CO5459">
        <v>7</v>
      </c>
      <c r="CP5459" t="s">
        <v>119</v>
      </c>
      <c r="CQ5459">
        <v>343</v>
      </c>
      <c r="CR5459">
        <v>1</v>
      </c>
      <c r="CW5459">
        <v>11156422</v>
      </c>
      <c r="CY5459">
        <v>1</v>
      </c>
      <c r="CZ5459">
        <v>0</v>
      </c>
      <c r="DA5459">
        <v>1</v>
      </c>
      <c r="DB5459">
        <v>0</v>
      </c>
      <c r="DC5459">
        <v>0</v>
      </c>
      <c r="DD5459">
        <v>1</v>
      </c>
      <c r="DE5459">
        <v>0</v>
      </c>
      <c r="DF5459">
        <v>0</v>
      </c>
      <c r="DG5459">
        <v>0</v>
      </c>
      <c r="DH5459">
        <v>0</v>
      </c>
      <c r="DI5459">
        <v>0</v>
      </c>
    </row>
    <row r="5460" spans="1:113" x14ac:dyDescent="0.3">
      <c r="A5460" t="str">
        <f t="shared" si="2529"/>
        <v>05/12/2020 14:51:04.177</v>
      </c>
      <c r="C5460" t="str">
        <f t="shared" si="2500"/>
        <v>FFDFD3C0</v>
      </c>
      <c r="D5460" t="s">
        <v>134</v>
      </c>
      <c r="E5460">
        <v>12</v>
      </c>
      <c r="H5460">
        <v>64</v>
      </c>
      <c r="I5460" t="s">
        <v>135</v>
      </c>
      <c r="J5460" t="s">
        <v>136</v>
      </c>
      <c r="K5460">
        <v>0</v>
      </c>
      <c r="L5460">
        <v>3</v>
      </c>
      <c r="M5460">
        <v>0</v>
      </c>
      <c r="N5460">
        <v>2</v>
      </c>
      <c r="O5460">
        <v>1</v>
      </c>
      <c r="P5460">
        <v>0</v>
      </c>
      <c r="Q5460">
        <v>0</v>
      </c>
      <c r="S5460" t="str">
        <f t="shared" si="2530"/>
        <v>14:51:22.016</v>
      </c>
      <c r="T5460" t="str">
        <f t="shared" si="2531"/>
        <v>14:51:21.816</v>
      </c>
      <c r="U5460" t="str">
        <f t="shared" si="2524"/>
        <v>A9808D</v>
      </c>
      <c r="V5460">
        <v>0</v>
      </c>
      <c r="W5460">
        <v>0</v>
      </c>
      <c r="X5460">
        <v>1</v>
      </c>
      <c r="Z5460">
        <v>0</v>
      </c>
      <c r="AA5460">
        <v>9</v>
      </c>
      <c r="AB5460">
        <v>3</v>
      </c>
      <c r="AC5460">
        <v>0</v>
      </c>
      <c r="AD5460">
        <v>10</v>
      </c>
      <c r="AE5460">
        <v>0</v>
      </c>
      <c r="AF5460">
        <v>3</v>
      </c>
      <c r="AG5460">
        <v>2</v>
      </c>
      <c r="AH5460">
        <v>0</v>
      </c>
      <c r="AI5460" t="s">
        <v>1211</v>
      </c>
      <c r="AJ5460">
        <v>28.217461</v>
      </c>
      <c r="AK5460" t="s">
        <v>1212</v>
      </c>
      <c r="AL5460">
        <v>-82.393018999999995</v>
      </c>
      <c r="AM5460">
        <v>100</v>
      </c>
      <c r="AN5460">
        <v>1300</v>
      </c>
      <c r="AO5460" t="s">
        <v>118</v>
      </c>
      <c r="AP5460">
        <v>-22</v>
      </c>
      <c r="AQ5460">
        <v>-116</v>
      </c>
      <c r="AR5460">
        <v>-1600</v>
      </c>
      <c r="AZ5460">
        <v>1200</v>
      </c>
      <c r="BA5460">
        <v>1</v>
      </c>
      <c r="BB5460" t="str">
        <f t="shared" si="2501"/>
        <v xml:space="preserve">N711JA  </v>
      </c>
      <c r="BC5460">
        <v>1</v>
      </c>
      <c r="BE5460">
        <v>0</v>
      </c>
      <c r="BF5460">
        <v>0</v>
      </c>
      <c r="BG5460">
        <v>0</v>
      </c>
      <c r="BH5460">
        <v>1350</v>
      </c>
      <c r="BI5460">
        <v>1</v>
      </c>
      <c r="BJ5460">
        <v>1</v>
      </c>
      <c r="BK5460">
        <v>0</v>
      </c>
      <c r="BL5460">
        <v>0</v>
      </c>
      <c r="BO5460">
        <v>0</v>
      </c>
      <c r="BP5460">
        <v>0</v>
      </c>
      <c r="BW5460" t="str">
        <f t="shared" si="2532"/>
        <v>14:51:22.018</v>
      </c>
      <c r="CJ5460">
        <v>0</v>
      </c>
      <c r="CK5460">
        <v>2</v>
      </c>
      <c r="CL5460">
        <v>0</v>
      </c>
      <c r="CM5460">
        <v>2</v>
      </c>
      <c r="CN5460">
        <v>0</v>
      </c>
      <c r="CO5460">
        <v>7</v>
      </c>
      <c r="CP5460" t="s">
        <v>119</v>
      </c>
      <c r="CQ5460">
        <v>343</v>
      </c>
      <c r="CR5460">
        <v>1</v>
      </c>
      <c r="CW5460">
        <v>11156422</v>
      </c>
      <c r="CY5460">
        <v>1</v>
      </c>
      <c r="CZ5460">
        <v>0</v>
      </c>
      <c r="DA5460">
        <v>1</v>
      </c>
      <c r="DB5460">
        <v>0</v>
      </c>
      <c r="DC5460">
        <v>0</v>
      </c>
      <c r="DD5460">
        <v>1</v>
      </c>
      <c r="DE5460">
        <v>0</v>
      </c>
      <c r="DF5460">
        <v>0</v>
      </c>
      <c r="DG5460">
        <v>0</v>
      </c>
      <c r="DH5460">
        <v>0</v>
      </c>
      <c r="DI5460">
        <v>0</v>
      </c>
    </row>
    <row r="5461" spans="1:113" x14ac:dyDescent="0.3">
      <c r="A5461" t="str">
        <f t="shared" si="2529"/>
        <v>05/12/2020 14:51:04.177</v>
      </c>
      <c r="C5461" t="str">
        <f t="shared" si="2500"/>
        <v>FFDFD3C0</v>
      </c>
      <c r="D5461" t="s">
        <v>113</v>
      </c>
      <c r="E5461">
        <v>3</v>
      </c>
      <c r="H5461">
        <v>164</v>
      </c>
      <c r="I5461" t="s">
        <v>114</v>
      </c>
      <c r="J5461" t="s">
        <v>115</v>
      </c>
      <c r="K5461">
        <v>0</v>
      </c>
      <c r="L5461">
        <v>3</v>
      </c>
      <c r="M5461">
        <v>0</v>
      </c>
      <c r="N5461">
        <v>2</v>
      </c>
      <c r="O5461">
        <v>1</v>
      </c>
      <c r="P5461">
        <v>0</v>
      </c>
      <c r="Q5461">
        <v>0</v>
      </c>
      <c r="S5461" t="str">
        <f t="shared" si="2530"/>
        <v>14:51:22.016</v>
      </c>
      <c r="T5461" t="str">
        <f t="shared" si="2531"/>
        <v>14:51:21.816</v>
      </c>
      <c r="U5461" t="str">
        <f t="shared" si="2524"/>
        <v>A9808D</v>
      </c>
      <c r="V5461">
        <v>0</v>
      </c>
      <c r="W5461">
        <v>0</v>
      </c>
      <c r="X5461">
        <v>1</v>
      </c>
      <c r="Z5461">
        <v>0</v>
      </c>
      <c r="AA5461">
        <v>9</v>
      </c>
      <c r="AB5461">
        <v>3</v>
      </c>
      <c r="AC5461">
        <v>0</v>
      </c>
      <c r="AD5461">
        <v>10</v>
      </c>
      <c r="AE5461">
        <v>0</v>
      </c>
      <c r="AF5461">
        <v>3</v>
      </c>
      <c r="AG5461">
        <v>2</v>
      </c>
      <c r="AH5461">
        <v>0</v>
      </c>
      <c r="AI5461" t="s">
        <v>1211</v>
      </c>
      <c r="AJ5461">
        <v>28.217461</v>
      </c>
      <c r="AK5461" t="s">
        <v>1212</v>
      </c>
      <c r="AL5461">
        <v>-82.393018999999995</v>
      </c>
      <c r="AM5461">
        <v>100</v>
      </c>
      <c r="AN5461">
        <v>1300</v>
      </c>
      <c r="AO5461" t="s">
        <v>118</v>
      </c>
      <c r="AP5461">
        <v>-22</v>
      </c>
      <c r="AQ5461">
        <v>-116</v>
      </c>
      <c r="AR5461">
        <v>-1600</v>
      </c>
      <c r="AZ5461">
        <v>1200</v>
      </c>
      <c r="BA5461">
        <v>1</v>
      </c>
      <c r="BB5461" t="str">
        <f t="shared" si="2501"/>
        <v xml:space="preserve">N711JA  </v>
      </c>
      <c r="BC5461">
        <v>1</v>
      </c>
      <c r="BE5461">
        <v>0</v>
      </c>
      <c r="BF5461">
        <v>0</v>
      </c>
      <c r="BG5461">
        <v>0</v>
      </c>
      <c r="BH5461">
        <v>1350</v>
      </c>
      <c r="BI5461">
        <v>1</v>
      </c>
      <c r="BJ5461">
        <v>1</v>
      </c>
      <c r="BK5461">
        <v>0</v>
      </c>
      <c r="BL5461">
        <v>0</v>
      </c>
      <c r="BO5461">
        <v>0</v>
      </c>
      <c r="BP5461">
        <v>0</v>
      </c>
      <c r="BW5461" t="str">
        <f t="shared" si="2532"/>
        <v>14:51:22.018</v>
      </c>
      <c r="CJ5461">
        <v>0</v>
      </c>
      <c r="CK5461">
        <v>2</v>
      </c>
      <c r="CL5461">
        <v>0</v>
      </c>
      <c r="CM5461">
        <v>2</v>
      </c>
      <c r="CN5461">
        <v>0</v>
      </c>
      <c r="CO5461">
        <v>7</v>
      </c>
      <c r="CP5461" t="s">
        <v>119</v>
      </c>
      <c r="CQ5461">
        <v>343</v>
      </c>
      <c r="CR5461">
        <v>1</v>
      </c>
      <c r="CW5461">
        <v>11156422</v>
      </c>
      <c r="CY5461">
        <v>1</v>
      </c>
      <c r="CZ5461">
        <v>0</v>
      </c>
      <c r="DA5461">
        <v>1</v>
      </c>
      <c r="DB5461">
        <v>0</v>
      </c>
      <c r="DC5461">
        <v>0</v>
      </c>
      <c r="DD5461">
        <v>1</v>
      </c>
      <c r="DE5461">
        <v>0</v>
      </c>
      <c r="DF5461">
        <v>0</v>
      </c>
      <c r="DG5461">
        <v>0</v>
      </c>
      <c r="DH5461">
        <v>0</v>
      </c>
      <c r="DI5461">
        <v>0</v>
      </c>
    </row>
    <row r="5462" spans="1:113" x14ac:dyDescent="0.3">
      <c r="A5462" t="str">
        <f t="shared" si="2529"/>
        <v>05/12/2020 14:51:04.177</v>
      </c>
      <c r="C5462" t="str">
        <f t="shared" ref="C5462:C5525" si="2533">"FFDFD3C0"</f>
        <v>FFDFD3C0</v>
      </c>
      <c r="D5462" t="s">
        <v>138</v>
      </c>
      <c r="E5462">
        <v>2</v>
      </c>
      <c r="H5462">
        <v>8</v>
      </c>
      <c r="I5462" t="s">
        <v>139</v>
      </c>
      <c r="J5462" t="s">
        <v>136</v>
      </c>
      <c r="K5462">
        <v>0</v>
      </c>
      <c r="L5462">
        <v>3</v>
      </c>
      <c r="M5462">
        <v>0</v>
      </c>
      <c r="N5462">
        <v>2</v>
      </c>
      <c r="O5462">
        <v>1</v>
      </c>
      <c r="P5462">
        <v>0</v>
      </c>
      <c r="Q5462">
        <v>0</v>
      </c>
      <c r="S5462" t="str">
        <f t="shared" si="2530"/>
        <v>14:51:22.016</v>
      </c>
      <c r="T5462" t="str">
        <f t="shared" si="2531"/>
        <v>14:51:21.816</v>
      </c>
      <c r="U5462" t="str">
        <f t="shared" si="2524"/>
        <v>A9808D</v>
      </c>
      <c r="V5462">
        <v>0</v>
      </c>
      <c r="W5462">
        <v>0</v>
      </c>
      <c r="X5462">
        <v>1</v>
      </c>
      <c r="Z5462">
        <v>0</v>
      </c>
      <c r="AA5462">
        <v>9</v>
      </c>
      <c r="AB5462">
        <v>3</v>
      </c>
      <c r="AC5462">
        <v>0</v>
      </c>
      <c r="AD5462">
        <v>10</v>
      </c>
      <c r="AE5462">
        <v>0</v>
      </c>
      <c r="AF5462">
        <v>3</v>
      </c>
      <c r="AG5462">
        <v>2</v>
      </c>
      <c r="AH5462">
        <v>0</v>
      </c>
      <c r="AI5462" t="s">
        <v>1211</v>
      </c>
      <c r="AJ5462">
        <v>28.217461</v>
      </c>
      <c r="AK5462" t="s">
        <v>1212</v>
      </c>
      <c r="AL5462">
        <v>-82.393018999999995</v>
      </c>
      <c r="AM5462">
        <v>100</v>
      </c>
      <c r="AN5462">
        <v>1300</v>
      </c>
      <c r="AO5462" t="s">
        <v>118</v>
      </c>
      <c r="AP5462">
        <v>-22</v>
      </c>
      <c r="AQ5462">
        <v>-116</v>
      </c>
      <c r="AR5462">
        <v>-1600</v>
      </c>
      <c r="AZ5462">
        <v>1200</v>
      </c>
      <c r="BA5462">
        <v>1</v>
      </c>
      <c r="BB5462" t="str">
        <f t="shared" ref="BB5462:BB5525" si="2534">"N711JA  "</f>
        <v xml:space="preserve">N711JA  </v>
      </c>
      <c r="BC5462">
        <v>1</v>
      </c>
      <c r="BE5462">
        <v>0</v>
      </c>
      <c r="BF5462">
        <v>0</v>
      </c>
      <c r="BG5462">
        <v>0</v>
      </c>
      <c r="BH5462">
        <v>1350</v>
      </c>
      <c r="BI5462">
        <v>1</v>
      </c>
      <c r="BJ5462">
        <v>1</v>
      </c>
      <c r="BK5462">
        <v>0</v>
      </c>
      <c r="BL5462">
        <v>0</v>
      </c>
      <c r="BO5462">
        <v>0</v>
      </c>
      <c r="BP5462">
        <v>0</v>
      </c>
      <c r="BW5462" t="str">
        <f t="shared" si="2532"/>
        <v>14:51:22.018</v>
      </c>
      <c r="CJ5462">
        <v>0</v>
      </c>
      <c r="CK5462">
        <v>2</v>
      </c>
      <c r="CL5462">
        <v>0</v>
      </c>
      <c r="CM5462">
        <v>2</v>
      </c>
      <c r="CN5462">
        <v>0</v>
      </c>
      <c r="CO5462">
        <v>7</v>
      </c>
      <c r="CP5462" t="s">
        <v>119</v>
      </c>
      <c r="CQ5462">
        <v>343</v>
      </c>
      <c r="CR5462">
        <v>1</v>
      </c>
      <c r="CW5462">
        <v>11156422</v>
      </c>
      <c r="CY5462">
        <v>1</v>
      </c>
      <c r="CZ5462">
        <v>0</v>
      </c>
      <c r="DA5462">
        <v>1</v>
      </c>
      <c r="DB5462">
        <v>0</v>
      </c>
      <c r="DC5462">
        <v>0</v>
      </c>
      <c r="DD5462">
        <v>1</v>
      </c>
      <c r="DE5462">
        <v>0</v>
      </c>
      <c r="DF5462">
        <v>0</v>
      </c>
      <c r="DG5462">
        <v>0</v>
      </c>
      <c r="DH5462">
        <v>0</v>
      </c>
      <c r="DI5462">
        <v>0</v>
      </c>
    </row>
    <row r="5463" spans="1:113" x14ac:dyDescent="0.3">
      <c r="A5463" t="str">
        <f t="shared" ref="A5463:A5470" si="2535">"05/12/2020 14:51:05.227"</f>
        <v>05/12/2020 14:51:05.227</v>
      </c>
      <c r="C5463" t="str">
        <f t="shared" si="2533"/>
        <v>FFDFD3C0</v>
      </c>
      <c r="D5463" t="s">
        <v>113</v>
      </c>
      <c r="E5463">
        <v>3</v>
      </c>
      <c r="H5463">
        <v>164</v>
      </c>
      <c r="I5463" t="s">
        <v>114</v>
      </c>
      <c r="J5463" t="s">
        <v>115</v>
      </c>
      <c r="K5463">
        <v>0</v>
      </c>
      <c r="L5463">
        <v>3</v>
      </c>
      <c r="M5463">
        <v>0</v>
      </c>
      <c r="N5463">
        <v>2</v>
      </c>
      <c r="O5463">
        <v>1</v>
      </c>
      <c r="P5463">
        <v>0</v>
      </c>
      <c r="Q5463">
        <v>0</v>
      </c>
      <c r="S5463" t="str">
        <f t="shared" ref="S5463:S5470" si="2536">"14:51:23.063"</f>
        <v>14:51:23.063</v>
      </c>
      <c r="T5463" t="str">
        <f t="shared" ref="T5463:T5470" si="2537">"14:51:22.863"</f>
        <v>14:51:22.863</v>
      </c>
      <c r="U5463" t="str">
        <f t="shared" si="2524"/>
        <v>A9808D</v>
      </c>
      <c r="V5463">
        <v>0</v>
      </c>
      <c r="W5463">
        <v>0</v>
      </c>
      <c r="X5463">
        <v>1</v>
      </c>
      <c r="Z5463">
        <v>0</v>
      </c>
      <c r="AA5463">
        <v>9</v>
      </c>
      <c r="AB5463">
        <v>3</v>
      </c>
      <c r="AC5463">
        <v>0</v>
      </c>
      <c r="AD5463">
        <v>10</v>
      </c>
      <c r="AE5463">
        <v>0</v>
      </c>
      <c r="AF5463">
        <v>3</v>
      </c>
      <c r="AG5463">
        <v>2</v>
      </c>
      <c r="AH5463">
        <v>0</v>
      </c>
      <c r="AI5463" t="s">
        <v>1213</v>
      </c>
      <c r="AJ5463">
        <v>28.216839</v>
      </c>
      <c r="AK5463" t="s">
        <v>1214</v>
      </c>
      <c r="AL5463">
        <v>-82.393040999999997</v>
      </c>
      <c r="AM5463">
        <v>100</v>
      </c>
      <c r="AN5463">
        <v>1300</v>
      </c>
      <c r="AO5463" t="s">
        <v>118</v>
      </c>
      <c r="AP5463">
        <v>-14</v>
      </c>
      <c r="AQ5463">
        <v>-117</v>
      </c>
      <c r="AR5463">
        <v>-1600</v>
      </c>
      <c r="AZ5463">
        <v>1200</v>
      </c>
      <c r="BA5463">
        <v>1</v>
      </c>
      <c r="BB5463" t="str">
        <f t="shared" si="2534"/>
        <v xml:space="preserve">N711JA  </v>
      </c>
      <c r="BC5463">
        <v>1</v>
      </c>
      <c r="BE5463">
        <v>0</v>
      </c>
      <c r="BF5463">
        <v>0</v>
      </c>
      <c r="BG5463">
        <v>0</v>
      </c>
      <c r="BH5463">
        <v>1325</v>
      </c>
      <c r="BI5463">
        <v>1</v>
      </c>
      <c r="BJ5463">
        <v>1</v>
      </c>
      <c r="BK5463">
        <v>0</v>
      </c>
      <c r="BL5463">
        <v>0</v>
      </c>
      <c r="BO5463">
        <v>0</v>
      </c>
      <c r="BP5463">
        <v>0</v>
      </c>
      <c r="BW5463" t="str">
        <f t="shared" ref="BW5463:BW5470" si="2538">"14:51:23.068"</f>
        <v>14:51:23.068</v>
      </c>
      <c r="CJ5463">
        <v>0</v>
      </c>
      <c r="CK5463">
        <v>2</v>
      </c>
      <c r="CL5463">
        <v>0</v>
      </c>
      <c r="CM5463">
        <v>2</v>
      </c>
      <c r="CN5463">
        <v>0</v>
      </c>
      <c r="CO5463">
        <v>7</v>
      </c>
      <c r="CP5463" t="s">
        <v>119</v>
      </c>
      <c r="CQ5463">
        <v>343</v>
      </c>
      <c r="CR5463">
        <v>2</v>
      </c>
      <c r="CW5463">
        <v>13410407</v>
      </c>
      <c r="CY5463">
        <v>1</v>
      </c>
      <c r="CZ5463">
        <v>0</v>
      </c>
      <c r="DA5463">
        <v>0</v>
      </c>
      <c r="DB5463">
        <v>0</v>
      </c>
      <c r="DC5463">
        <v>0</v>
      </c>
      <c r="DD5463">
        <v>1</v>
      </c>
      <c r="DE5463">
        <v>0</v>
      </c>
      <c r="DF5463">
        <v>0</v>
      </c>
      <c r="DG5463">
        <v>0</v>
      </c>
      <c r="DH5463">
        <v>0</v>
      </c>
      <c r="DI5463">
        <v>0</v>
      </c>
    </row>
    <row r="5464" spans="1:113" x14ac:dyDescent="0.3">
      <c r="A5464" t="str">
        <f t="shared" si="2535"/>
        <v>05/12/2020 14:51:05.227</v>
      </c>
      <c r="C5464" t="str">
        <f t="shared" si="2533"/>
        <v>FFDFD3C0</v>
      </c>
      <c r="D5464" t="s">
        <v>138</v>
      </c>
      <c r="E5464">
        <v>2</v>
      </c>
      <c r="H5464">
        <v>8</v>
      </c>
      <c r="I5464" t="s">
        <v>139</v>
      </c>
      <c r="J5464" t="s">
        <v>136</v>
      </c>
      <c r="K5464">
        <v>0</v>
      </c>
      <c r="L5464">
        <v>3</v>
      </c>
      <c r="M5464">
        <v>0</v>
      </c>
      <c r="N5464">
        <v>2</v>
      </c>
      <c r="O5464">
        <v>1</v>
      </c>
      <c r="P5464">
        <v>0</v>
      </c>
      <c r="Q5464">
        <v>0</v>
      </c>
      <c r="S5464" t="str">
        <f t="shared" si="2536"/>
        <v>14:51:23.063</v>
      </c>
      <c r="T5464" t="str">
        <f t="shared" si="2537"/>
        <v>14:51:22.863</v>
      </c>
      <c r="U5464" t="str">
        <f t="shared" si="2524"/>
        <v>A9808D</v>
      </c>
      <c r="V5464">
        <v>0</v>
      </c>
      <c r="W5464">
        <v>0</v>
      </c>
      <c r="X5464">
        <v>1</v>
      </c>
      <c r="Z5464">
        <v>0</v>
      </c>
      <c r="AA5464">
        <v>9</v>
      </c>
      <c r="AB5464">
        <v>3</v>
      </c>
      <c r="AC5464">
        <v>0</v>
      </c>
      <c r="AD5464">
        <v>10</v>
      </c>
      <c r="AE5464">
        <v>0</v>
      </c>
      <c r="AF5464">
        <v>3</v>
      </c>
      <c r="AG5464">
        <v>2</v>
      </c>
      <c r="AH5464">
        <v>0</v>
      </c>
      <c r="AI5464" t="s">
        <v>1213</v>
      </c>
      <c r="AJ5464">
        <v>28.216839</v>
      </c>
      <c r="AK5464" t="s">
        <v>1214</v>
      </c>
      <c r="AL5464">
        <v>-82.393040999999997</v>
      </c>
      <c r="AM5464">
        <v>100</v>
      </c>
      <c r="AN5464">
        <v>1300</v>
      </c>
      <c r="AO5464" t="s">
        <v>118</v>
      </c>
      <c r="AP5464">
        <v>-14</v>
      </c>
      <c r="AQ5464">
        <v>-117</v>
      </c>
      <c r="AR5464">
        <v>-1600</v>
      </c>
      <c r="AZ5464">
        <v>1200</v>
      </c>
      <c r="BA5464">
        <v>1</v>
      </c>
      <c r="BB5464" t="str">
        <f t="shared" si="2534"/>
        <v xml:space="preserve">N711JA  </v>
      </c>
      <c r="BC5464">
        <v>1</v>
      </c>
      <c r="BE5464">
        <v>0</v>
      </c>
      <c r="BF5464">
        <v>0</v>
      </c>
      <c r="BG5464">
        <v>0</v>
      </c>
      <c r="BH5464">
        <v>1325</v>
      </c>
      <c r="BI5464">
        <v>1</v>
      </c>
      <c r="BJ5464">
        <v>1</v>
      </c>
      <c r="BK5464">
        <v>0</v>
      </c>
      <c r="BL5464">
        <v>0</v>
      </c>
      <c r="BO5464">
        <v>0</v>
      </c>
      <c r="BP5464">
        <v>0</v>
      </c>
      <c r="BW5464" t="str">
        <f t="shared" si="2538"/>
        <v>14:51:23.068</v>
      </c>
      <c r="CJ5464">
        <v>0</v>
      </c>
      <c r="CK5464">
        <v>2</v>
      </c>
      <c r="CL5464">
        <v>0</v>
      </c>
      <c r="CM5464">
        <v>2</v>
      </c>
      <c r="CN5464">
        <v>0</v>
      </c>
      <c r="CO5464">
        <v>7</v>
      </c>
      <c r="CP5464" t="s">
        <v>119</v>
      </c>
      <c r="CQ5464">
        <v>343</v>
      </c>
      <c r="CR5464">
        <v>2</v>
      </c>
      <c r="CW5464">
        <v>13410407</v>
      </c>
      <c r="CY5464">
        <v>1</v>
      </c>
      <c r="CZ5464">
        <v>0</v>
      </c>
      <c r="DA5464">
        <v>1</v>
      </c>
      <c r="DB5464">
        <v>0</v>
      </c>
      <c r="DC5464">
        <v>0</v>
      </c>
      <c r="DD5464">
        <v>1</v>
      </c>
      <c r="DE5464">
        <v>0</v>
      </c>
      <c r="DF5464">
        <v>0</v>
      </c>
      <c r="DG5464">
        <v>0</v>
      </c>
      <c r="DH5464">
        <v>0</v>
      </c>
      <c r="DI5464">
        <v>0</v>
      </c>
    </row>
    <row r="5465" spans="1:113" x14ac:dyDescent="0.3">
      <c r="A5465" t="str">
        <f t="shared" si="2535"/>
        <v>05/12/2020 14:51:05.227</v>
      </c>
      <c r="C5465" t="str">
        <f t="shared" si="2533"/>
        <v>FFDFD3C0</v>
      </c>
      <c r="D5465" t="s">
        <v>126</v>
      </c>
      <c r="E5465">
        <v>6</v>
      </c>
      <c r="F5465">
        <v>1006</v>
      </c>
      <c r="G5465" t="s">
        <v>114</v>
      </c>
      <c r="J5465" t="s">
        <v>128</v>
      </c>
      <c r="K5465">
        <v>0</v>
      </c>
      <c r="L5465">
        <v>3</v>
      </c>
      <c r="M5465">
        <v>0</v>
      </c>
      <c r="N5465">
        <v>2</v>
      </c>
      <c r="O5465">
        <v>1</v>
      </c>
      <c r="P5465">
        <v>0</v>
      </c>
      <c r="Q5465">
        <v>0</v>
      </c>
      <c r="S5465" t="str">
        <f t="shared" si="2536"/>
        <v>14:51:23.063</v>
      </c>
      <c r="T5465" t="str">
        <f t="shared" si="2537"/>
        <v>14:51:22.863</v>
      </c>
      <c r="U5465" t="str">
        <f t="shared" si="2524"/>
        <v>A9808D</v>
      </c>
      <c r="V5465">
        <v>0</v>
      </c>
      <c r="W5465">
        <v>0</v>
      </c>
      <c r="X5465">
        <v>1</v>
      </c>
      <c r="Z5465">
        <v>0</v>
      </c>
      <c r="AA5465">
        <v>9</v>
      </c>
      <c r="AB5465">
        <v>3</v>
      </c>
      <c r="AC5465">
        <v>0</v>
      </c>
      <c r="AD5465">
        <v>10</v>
      </c>
      <c r="AE5465">
        <v>0</v>
      </c>
      <c r="AF5465">
        <v>3</v>
      </c>
      <c r="AG5465">
        <v>2</v>
      </c>
      <c r="AH5465">
        <v>0</v>
      </c>
      <c r="AI5465" t="s">
        <v>1213</v>
      </c>
      <c r="AJ5465">
        <v>28.216839</v>
      </c>
      <c r="AK5465" t="s">
        <v>1214</v>
      </c>
      <c r="AL5465">
        <v>-82.393040999999997</v>
      </c>
      <c r="AM5465">
        <v>100</v>
      </c>
      <c r="AN5465">
        <v>1300</v>
      </c>
      <c r="AO5465" t="s">
        <v>118</v>
      </c>
      <c r="AP5465">
        <v>-14</v>
      </c>
      <c r="AQ5465">
        <v>-117</v>
      </c>
      <c r="AR5465">
        <v>-1600</v>
      </c>
      <c r="AZ5465">
        <v>1200</v>
      </c>
      <c r="BA5465">
        <v>1</v>
      </c>
      <c r="BB5465" t="str">
        <f t="shared" si="2534"/>
        <v xml:space="preserve">N711JA  </v>
      </c>
      <c r="BC5465">
        <v>1</v>
      </c>
      <c r="BE5465">
        <v>0</v>
      </c>
      <c r="BF5465">
        <v>0</v>
      </c>
      <c r="BG5465">
        <v>0</v>
      </c>
      <c r="BH5465">
        <v>1325</v>
      </c>
      <c r="BI5465">
        <v>1</v>
      </c>
      <c r="BJ5465">
        <v>1</v>
      </c>
      <c r="BK5465">
        <v>0</v>
      </c>
      <c r="BL5465">
        <v>0</v>
      </c>
      <c r="BO5465">
        <v>0</v>
      </c>
      <c r="BP5465">
        <v>0</v>
      </c>
      <c r="BW5465" t="str">
        <f t="shared" si="2538"/>
        <v>14:51:23.068</v>
      </c>
      <c r="CJ5465">
        <v>0</v>
      </c>
      <c r="CK5465">
        <v>2</v>
      </c>
      <c r="CL5465">
        <v>0</v>
      </c>
      <c r="CM5465">
        <v>2</v>
      </c>
      <c r="CN5465">
        <v>0</v>
      </c>
      <c r="CO5465">
        <v>7</v>
      </c>
      <c r="CP5465" t="s">
        <v>119</v>
      </c>
      <c r="CQ5465">
        <v>343</v>
      </c>
      <c r="CR5465">
        <v>2</v>
      </c>
      <c r="CW5465">
        <v>13410407</v>
      </c>
      <c r="CY5465">
        <v>1</v>
      </c>
      <c r="CZ5465">
        <v>0</v>
      </c>
      <c r="DA5465">
        <v>1</v>
      </c>
      <c r="DB5465">
        <v>0</v>
      </c>
      <c r="DC5465">
        <v>0</v>
      </c>
      <c r="DD5465">
        <v>1</v>
      </c>
      <c r="DE5465">
        <v>0</v>
      </c>
      <c r="DF5465">
        <v>0</v>
      </c>
      <c r="DG5465">
        <v>0</v>
      </c>
      <c r="DH5465">
        <v>0</v>
      </c>
      <c r="DI5465">
        <v>0</v>
      </c>
    </row>
    <row r="5466" spans="1:113" x14ac:dyDescent="0.3">
      <c r="A5466" t="str">
        <f t="shared" si="2535"/>
        <v>05/12/2020 14:51:05.227</v>
      </c>
      <c r="C5466" t="str">
        <f t="shared" si="2533"/>
        <v>FFDFD3C0</v>
      </c>
      <c r="D5466" t="s">
        <v>138</v>
      </c>
      <c r="E5466">
        <v>3</v>
      </c>
      <c r="H5466">
        <v>9</v>
      </c>
      <c r="I5466" t="s">
        <v>140</v>
      </c>
      <c r="J5466" t="s">
        <v>136</v>
      </c>
      <c r="K5466">
        <v>0</v>
      </c>
      <c r="L5466">
        <v>3</v>
      </c>
      <c r="M5466">
        <v>0</v>
      </c>
      <c r="N5466">
        <v>2</v>
      </c>
      <c r="O5466">
        <v>1</v>
      </c>
      <c r="P5466">
        <v>0</v>
      </c>
      <c r="Q5466">
        <v>0</v>
      </c>
      <c r="S5466" t="str">
        <f t="shared" si="2536"/>
        <v>14:51:23.063</v>
      </c>
      <c r="T5466" t="str">
        <f t="shared" si="2537"/>
        <v>14:51:22.863</v>
      </c>
      <c r="U5466" t="str">
        <f t="shared" si="2524"/>
        <v>A9808D</v>
      </c>
      <c r="V5466">
        <v>0</v>
      </c>
      <c r="W5466">
        <v>0</v>
      </c>
      <c r="X5466">
        <v>1</v>
      </c>
      <c r="Z5466">
        <v>0</v>
      </c>
      <c r="AA5466">
        <v>9</v>
      </c>
      <c r="AB5466">
        <v>3</v>
      </c>
      <c r="AC5466">
        <v>0</v>
      </c>
      <c r="AD5466">
        <v>10</v>
      </c>
      <c r="AE5466">
        <v>0</v>
      </c>
      <c r="AF5466">
        <v>3</v>
      </c>
      <c r="AG5466">
        <v>2</v>
      </c>
      <c r="AH5466">
        <v>0</v>
      </c>
      <c r="AI5466" t="s">
        <v>1213</v>
      </c>
      <c r="AJ5466">
        <v>28.216839</v>
      </c>
      <c r="AK5466" t="s">
        <v>1214</v>
      </c>
      <c r="AL5466">
        <v>-82.393040999999997</v>
      </c>
      <c r="AM5466">
        <v>100</v>
      </c>
      <c r="AN5466">
        <v>1300</v>
      </c>
      <c r="AO5466" t="s">
        <v>118</v>
      </c>
      <c r="AP5466">
        <v>-14</v>
      </c>
      <c r="AQ5466">
        <v>-117</v>
      </c>
      <c r="AR5466">
        <v>-1600</v>
      </c>
      <c r="AZ5466">
        <v>1200</v>
      </c>
      <c r="BA5466">
        <v>1</v>
      </c>
      <c r="BB5466" t="str">
        <f t="shared" si="2534"/>
        <v xml:space="preserve">N711JA  </v>
      </c>
      <c r="BC5466">
        <v>1</v>
      </c>
      <c r="BE5466">
        <v>0</v>
      </c>
      <c r="BF5466">
        <v>0</v>
      </c>
      <c r="BG5466">
        <v>0</v>
      </c>
      <c r="BH5466">
        <v>1325</v>
      </c>
      <c r="BI5466">
        <v>1</v>
      </c>
      <c r="BJ5466">
        <v>1</v>
      </c>
      <c r="BK5466">
        <v>0</v>
      </c>
      <c r="BL5466">
        <v>0</v>
      </c>
      <c r="BO5466">
        <v>0</v>
      </c>
      <c r="BP5466">
        <v>0</v>
      </c>
      <c r="BW5466" t="str">
        <f t="shared" si="2538"/>
        <v>14:51:23.068</v>
      </c>
      <c r="CJ5466">
        <v>0</v>
      </c>
      <c r="CK5466">
        <v>2</v>
      </c>
      <c r="CL5466">
        <v>0</v>
      </c>
      <c r="CM5466">
        <v>2</v>
      </c>
      <c r="CN5466">
        <v>0</v>
      </c>
      <c r="CO5466">
        <v>7</v>
      </c>
      <c r="CP5466" t="s">
        <v>119</v>
      </c>
      <c r="CQ5466">
        <v>343</v>
      </c>
      <c r="CR5466">
        <v>2</v>
      </c>
      <c r="CW5466">
        <v>13410407</v>
      </c>
      <c r="CY5466">
        <v>1</v>
      </c>
      <c r="CZ5466">
        <v>0</v>
      </c>
      <c r="DA5466">
        <v>1</v>
      </c>
      <c r="DB5466">
        <v>0</v>
      </c>
      <c r="DC5466">
        <v>0</v>
      </c>
      <c r="DD5466">
        <v>1</v>
      </c>
      <c r="DE5466">
        <v>0</v>
      </c>
      <c r="DF5466">
        <v>0</v>
      </c>
      <c r="DG5466">
        <v>0</v>
      </c>
      <c r="DH5466">
        <v>0</v>
      </c>
      <c r="DI5466">
        <v>0</v>
      </c>
    </row>
    <row r="5467" spans="1:113" x14ac:dyDescent="0.3">
      <c r="A5467" t="str">
        <f t="shared" si="2535"/>
        <v>05/12/2020 14:51:05.227</v>
      </c>
      <c r="C5467" t="str">
        <f t="shared" si="2533"/>
        <v>FFDFD3C0</v>
      </c>
      <c r="D5467" t="s">
        <v>131</v>
      </c>
      <c r="E5467">
        <v>10</v>
      </c>
      <c r="F5467">
        <v>2010</v>
      </c>
      <c r="G5467" t="s">
        <v>132</v>
      </c>
      <c r="J5467" t="s">
        <v>133</v>
      </c>
      <c r="K5467">
        <v>0</v>
      </c>
      <c r="L5467">
        <v>3</v>
      </c>
      <c r="M5467">
        <v>0</v>
      </c>
      <c r="N5467">
        <v>2</v>
      </c>
      <c r="O5467">
        <v>1</v>
      </c>
      <c r="P5467">
        <v>0</v>
      </c>
      <c r="Q5467">
        <v>0</v>
      </c>
      <c r="S5467" t="str">
        <f t="shared" si="2536"/>
        <v>14:51:23.063</v>
      </c>
      <c r="T5467" t="str">
        <f t="shared" si="2537"/>
        <v>14:51:22.863</v>
      </c>
      <c r="U5467" t="str">
        <f t="shared" si="2524"/>
        <v>A9808D</v>
      </c>
      <c r="V5467">
        <v>0</v>
      </c>
      <c r="W5467">
        <v>0</v>
      </c>
      <c r="X5467">
        <v>1</v>
      </c>
      <c r="Z5467">
        <v>0</v>
      </c>
      <c r="AA5467">
        <v>9</v>
      </c>
      <c r="AB5467">
        <v>3</v>
      </c>
      <c r="AC5467">
        <v>0</v>
      </c>
      <c r="AD5467">
        <v>10</v>
      </c>
      <c r="AE5467">
        <v>0</v>
      </c>
      <c r="AF5467">
        <v>3</v>
      </c>
      <c r="AG5467">
        <v>2</v>
      </c>
      <c r="AH5467">
        <v>0</v>
      </c>
      <c r="AI5467" t="s">
        <v>1213</v>
      </c>
      <c r="AJ5467">
        <v>28.216839</v>
      </c>
      <c r="AK5467" t="s">
        <v>1214</v>
      </c>
      <c r="AL5467">
        <v>-82.393040999999997</v>
      </c>
      <c r="AM5467">
        <v>100</v>
      </c>
      <c r="AN5467">
        <v>1300</v>
      </c>
      <c r="AO5467" t="s">
        <v>118</v>
      </c>
      <c r="AP5467">
        <v>-14</v>
      </c>
      <c r="AQ5467">
        <v>-117</v>
      </c>
      <c r="AR5467">
        <v>-1600</v>
      </c>
      <c r="AZ5467">
        <v>1200</v>
      </c>
      <c r="BA5467">
        <v>1</v>
      </c>
      <c r="BB5467" t="str">
        <f t="shared" si="2534"/>
        <v xml:space="preserve">N711JA  </v>
      </c>
      <c r="BC5467">
        <v>1</v>
      </c>
      <c r="BE5467">
        <v>0</v>
      </c>
      <c r="BF5467">
        <v>0</v>
      </c>
      <c r="BG5467">
        <v>0</v>
      </c>
      <c r="BH5467">
        <v>1325</v>
      </c>
      <c r="BI5467">
        <v>1</v>
      </c>
      <c r="BJ5467">
        <v>1</v>
      </c>
      <c r="BK5467">
        <v>0</v>
      </c>
      <c r="BL5467">
        <v>0</v>
      </c>
      <c r="BO5467">
        <v>0</v>
      </c>
      <c r="BP5467">
        <v>0</v>
      </c>
      <c r="BW5467" t="str">
        <f t="shared" si="2538"/>
        <v>14:51:23.068</v>
      </c>
      <c r="CJ5467">
        <v>0</v>
      </c>
      <c r="CK5467">
        <v>2</v>
      </c>
      <c r="CL5467">
        <v>0</v>
      </c>
      <c r="CM5467">
        <v>2</v>
      </c>
      <c r="CN5467">
        <v>0</v>
      </c>
      <c r="CO5467">
        <v>7</v>
      </c>
      <c r="CP5467" t="s">
        <v>119</v>
      </c>
      <c r="CQ5467">
        <v>343</v>
      </c>
      <c r="CR5467">
        <v>2</v>
      </c>
      <c r="CW5467">
        <v>13410407</v>
      </c>
      <c r="CY5467">
        <v>1</v>
      </c>
      <c r="CZ5467">
        <v>0</v>
      </c>
      <c r="DA5467">
        <v>1</v>
      </c>
      <c r="DB5467">
        <v>0</v>
      </c>
      <c r="DC5467">
        <v>0</v>
      </c>
      <c r="DD5467">
        <v>1</v>
      </c>
      <c r="DE5467">
        <v>0</v>
      </c>
      <c r="DF5467">
        <v>0</v>
      </c>
      <c r="DG5467">
        <v>0</v>
      </c>
      <c r="DH5467">
        <v>0</v>
      </c>
      <c r="DI5467">
        <v>0</v>
      </c>
    </row>
    <row r="5468" spans="1:113" x14ac:dyDescent="0.3">
      <c r="A5468" t="str">
        <f t="shared" si="2535"/>
        <v>05/12/2020 14:51:05.227</v>
      </c>
      <c r="C5468" t="str">
        <f t="shared" si="2533"/>
        <v>FFDFD3C0</v>
      </c>
      <c r="D5468" t="s">
        <v>126</v>
      </c>
      <c r="E5468">
        <v>7</v>
      </c>
      <c r="F5468">
        <v>1007</v>
      </c>
      <c r="G5468" t="s">
        <v>127</v>
      </c>
      <c r="J5468" t="s">
        <v>128</v>
      </c>
      <c r="K5468">
        <v>0</v>
      </c>
      <c r="L5468">
        <v>3</v>
      </c>
      <c r="M5468">
        <v>0</v>
      </c>
      <c r="N5468">
        <v>2</v>
      </c>
      <c r="O5468">
        <v>1</v>
      </c>
      <c r="P5468">
        <v>0</v>
      </c>
      <c r="Q5468">
        <v>0</v>
      </c>
      <c r="S5468" t="str">
        <f t="shared" si="2536"/>
        <v>14:51:23.063</v>
      </c>
      <c r="T5468" t="str">
        <f t="shared" si="2537"/>
        <v>14:51:22.863</v>
      </c>
      <c r="U5468" t="str">
        <f t="shared" si="2524"/>
        <v>A9808D</v>
      </c>
      <c r="V5468">
        <v>0</v>
      </c>
      <c r="W5468">
        <v>0</v>
      </c>
      <c r="X5468">
        <v>1</v>
      </c>
      <c r="Z5468">
        <v>0</v>
      </c>
      <c r="AA5468">
        <v>9</v>
      </c>
      <c r="AB5468">
        <v>3</v>
      </c>
      <c r="AC5468">
        <v>0</v>
      </c>
      <c r="AD5468">
        <v>10</v>
      </c>
      <c r="AE5468">
        <v>0</v>
      </c>
      <c r="AF5468">
        <v>3</v>
      </c>
      <c r="AG5468">
        <v>2</v>
      </c>
      <c r="AH5468">
        <v>0</v>
      </c>
      <c r="AI5468" t="s">
        <v>1213</v>
      </c>
      <c r="AJ5468">
        <v>28.216839</v>
      </c>
      <c r="AK5468" t="s">
        <v>1214</v>
      </c>
      <c r="AL5468">
        <v>-82.393040999999997</v>
      </c>
      <c r="AM5468">
        <v>100</v>
      </c>
      <c r="AN5468">
        <v>1300</v>
      </c>
      <c r="AO5468" t="s">
        <v>118</v>
      </c>
      <c r="AP5468">
        <v>-14</v>
      </c>
      <c r="AQ5468">
        <v>-117</v>
      </c>
      <c r="AR5468">
        <v>-1600</v>
      </c>
      <c r="AZ5468">
        <v>1200</v>
      </c>
      <c r="BA5468">
        <v>1</v>
      </c>
      <c r="BB5468" t="str">
        <f t="shared" si="2534"/>
        <v xml:space="preserve">N711JA  </v>
      </c>
      <c r="BC5468">
        <v>1</v>
      </c>
      <c r="BE5468">
        <v>0</v>
      </c>
      <c r="BF5468">
        <v>0</v>
      </c>
      <c r="BG5468">
        <v>0</v>
      </c>
      <c r="BH5468">
        <v>1325</v>
      </c>
      <c r="BI5468">
        <v>1</v>
      </c>
      <c r="BJ5468">
        <v>1</v>
      </c>
      <c r="BK5468">
        <v>0</v>
      </c>
      <c r="BL5468">
        <v>0</v>
      </c>
      <c r="BO5468">
        <v>0</v>
      </c>
      <c r="BP5468">
        <v>0</v>
      </c>
      <c r="BW5468" t="str">
        <f t="shared" si="2538"/>
        <v>14:51:23.068</v>
      </c>
      <c r="CJ5468">
        <v>0</v>
      </c>
      <c r="CK5468">
        <v>2</v>
      </c>
      <c r="CL5468">
        <v>0</v>
      </c>
      <c r="CM5468">
        <v>2</v>
      </c>
      <c r="CN5468">
        <v>0</v>
      </c>
      <c r="CO5468">
        <v>7</v>
      </c>
      <c r="CP5468" t="s">
        <v>119</v>
      </c>
      <c r="CQ5468">
        <v>343</v>
      </c>
      <c r="CR5468">
        <v>2</v>
      </c>
      <c r="CW5468">
        <v>13410407</v>
      </c>
      <c r="CY5468">
        <v>1</v>
      </c>
      <c r="CZ5468">
        <v>0</v>
      </c>
      <c r="DA5468">
        <v>1</v>
      </c>
      <c r="DB5468">
        <v>0</v>
      </c>
      <c r="DC5468">
        <v>0</v>
      </c>
      <c r="DD5468">
        <v>1</v>
      </c>
      <c r="DE5468">
        <v>0</v>
      </c>
      <c r="DF5468">
        <v>0</v>
      </c>
      <c r="DG5468">
        <v>0</v>
      </c>
      <c r="DH5468">
        <v>0</v>
      </c>
      <c r="DI5468">
        <v>0</v>
      </c>
    </row>
    <row r="5469" spans="1:113" x14ac:dyDescent="0.3">
      <c r="A5469" t="str">
        <f t="shared" si="2535"/>
        <v>05/12/2020 14:51:05.227</v>
      </c>
      <c r="C5469" t="str">
        <f t="shared" si="2533"/>
        <v>FFDFD3C0</v>
      </c>
      <c r="D5469" t="s">
        <v>131</v>
      </c>
      <c r="E5469">
        <v>12</v>
      </c>
      <c r="F5469">
        <v>2012</v>
      </c>
      <c r="G5469" t="s">
        <v>137</v>
      </c>
      <c r="J5469" t="s">
        <v>133</v>
      </c>
      <c r="K5469">
        <v>0</v>
      </c>
      <c r="L5469">
        <v>3</v>
      </c>
      <c r="M5469">
        <v>0</v>
      </c>
      <c r="N5469">
        <v>2</v>
      </c>
      <c r="O5469">
        <v>1</v>
      </c>
      <c r="P5469">
        <v>0</v>
      </c>
      <c r="Q5469">
        <v>0</v>
      </c>
      <c r="S5469" t="str">
        <f t="shared" si="2536"/>
        <v>14:51:23.063</v>
      </c>
      <c r="T5469" t="str">
        <f t="shared" si="2537"/>
        <v>14:51:22.863</v>
      </c>
      <c r="U5469" t="str">
        <f t="shared" si="2524"/>
        <v>A9808D</v>
      </c>
      <c r="V5469">
        <v>0</v>
      </c>
      <c r="W5469">
        <v>0</v>
      </c>
      <c r="X5469">
        <v>1</v>
      </c>
      <c r="Z5469">
        <v>0</v>
      </c>
      <c r="AA5469">
        <v>9</v>
      </c>
      <c r="AB5469">
        <v>3</v>
      </c>
      <c r="AC5469">
        <v>0</v>
      </c>
      <c r="AD5469">
        <v>10</v>
      </c>
      <c r="AE5469">
        <v>0</v>
      </c>
      <c r="AF5469">
        <v>3</v>
      </c>
      <c r="AG5469">
        <v>2</v>
      </c>
      <c r="AH5469">
        <v>0</v>
      </c>
      <c r="AI5469" t="s">
        <v>1213</v>
      </c>
      <c r="AJ5469">
        <v>28.216839</v>
      </c>
      <c r="AK5469" t="s">
        <v>1214</v>
      </c>
      <c r="AL5469">
        <v>-82.393040999999997</v>
      </c>
      <c r="AM5469">
        <v>100</v>
      </c>
      <c r="AN5469">
        <v>1300</v>
      </c>
      <c r="AO5469" t="s">
        <v>118</v>
      </c>
      <c r="AP5469">
        <v>-14</v>
      </c>
      <c r="AQ5469">
        <v>-117</v>
      </c>
      <c r="AR5469">
        <v>-1600</v>
      </c>
      <c r="AZ5469">
        <v>1200</v>
      </c>
      <c r="BA5469">
        <v>1</v>
      </c>
      <c r="BB5469" t="str">
        <f t="shared" si="2534"/>
        <v xml:space="preserve">N711JA  </v>
      </c>
      <c r="BC5469">
        <v>1</v>
      </c>
      <c r="BE5469">
        <v>0</v>
      </c>
      <c r="BF5469">
        <v>0</v>
      </c>
      <c r="BG5469">
        <v>0</v>
      </c>
      <c r="BH5469">
        <v>1325</v>
      </c>
      <c r="BI5469">
        <v>1</v>
      </c>
      <c r="BJ5469">
        <v>1</v>
      </c>
      <c r="BK5469">
        <v>0</v>
      </c>
      <c r="BL5469">
        <v>0</v>
      </c>
      <c r="BO5469">
        <v>0</v>
      </c>
      <c r="BP5469">
        <v>0</v>
      </c>
      <c r="BW5469" t="str">
        <f t="shared" si="2538"/>
        <v>14:51:23.068</v>
      </c>
      <c r="CJ5469">
        <v>0</v>
      </c>
      <c r="CK5469">
        <v>2</v>
      </c>
      <c r="CL5469">
        <v>0</v>
      </c>
      <c r="CM5469">
        <v>2</v>
      </c>
      <c r="CN5469">
        <v>0</v>
      </c>
      <c r="CO5469">
        <v>7</v>
      </c>
      <c r="CP5469" t="s">
        <v>119</v>
      </c>
      <c r="CQ5469">
        <v>343</v>
      </c>
      <c r="CR5469">
        <v>2</v>
      </c>
      <c r="CW5469">
        <v>13410407</v>
      </c>
      <c r="CY5469">
        <v>1</v>
      </c>
      <c r="CZ5469">
        <v>0</v>
      </c>
      <c r="DA5469">
        <v>1</v>
      </c>
      <c r="DB5469">
        <v>0</v>
      </c>
      <c r="DC5469">
        <v>0</v>
      </c>
      <c r="DD5469">
        <v>1</v>
      </c>
      <c r="DE5469">
        <v>0</v>
      </c>
      <c r="DF5469">
        <v>0</v>
      </c>
      <c r="DG5469">
        <v>0</v>
      </c>
      <c r="DH5469">
        <v>0</v>
      </c>
      <c r="DI5469">
        <v>0</v>
      </c>
    </row>
    <row r="5470" spans="1:113" x14ac:dyDescent="0.3">
      <c r="A5470" t="str">
        <f t="shared" si="2535"/>
        <v>05/12/2020 14:51:05.227</v>
      </c>
      <c r="C5470" t="str">
        <f t="shared" si="2533"/>
        <v>FFDFD3C0</v>
      </c>
      <c r="D5470" t="s">
        <v>134</v>
      </c>
      <c r="E5470">
        <v>12</v>
      </c>
      <c r="H5470">
        <v>64</v>
      </c>
      <c r="I5470" t="s">
        <v>135</v>
      </c>
      <c r="J5470" t="s">
        <v>136</v>
      </c>
      <c r="K5470">
        <v>0</v>
      </c>
      <c r="L5470">
        <v>3</v>
      </c>
      <c r="M5470">
        <v>0</v>
      </c>
      <c r="N5470">
        <v>2</v>
      </c>
      <c r="O5470">
        <v>1</v>
      </c>
      <c r="P5470">
        <v>0</v>
      </c>
      <c r="Q5470">
        <v>0</v>
      </c>
      <c r="S5470" t="str">
        <f t="shared" si="2536"/>
        <v>14:51:23.063</v>
      </c>
      <c r="T5470" t="str">
        <f t="shared" si="2537"/>
        <v>14:51:22.863</v>
      </c>
      <c r="U5470" t="str">
        <f t="shared" si="2524"/>
        <v>A9808D</v>
      </c>
      <c r="V5470">
        <v>0</v>
      </c>
      <c r="W5470">
        <v>0</v>
      </c>
      <c r="X5470">
        <v>1</v>
      </c>
      <c r="Z5470">
        <v>0</v>
      </c>
      <c r="AA5470">
        <v>9</v>
      </c>
      <c r="AB5470">
        <v>3</v>
      </c>
      <c r="AC5470">
        <v>0</v>
      </c>
      <c r="AD5470">
        <v>10</v>
      </c>
      <c r="AE5470">
        <v>0</v>
      </c>
      <c r="AF5470">
        <v>3</v>
      </c>
      <c r="AG5470">
        <v>2</v>
      </c>
      <c r="AH5470">
        <v>0</v>
      </c>
      <c r="AI5470" t="s">
        <v>1213</v>
      </c>
      <c r="AJ5470">
        <v>28.216839</v>
      </c>
      <c r="AK5470" t="s">
        <v>1214</v>
      </c>
      <c r="AL5470">
        <v>-82.393040999999997</v>
      </c>
      <c r="AM5470">
        <v>100</v>
      </c>
      <c r="AN5470">
        <v>1300</v>
      </c>
      <c r="AO5470" t="s">
        <v>118</v>
      </c>
      <c r="AP5470">
        <v>-14</v>
      </c>
      <c r="AQ5470">
        <v>-117</v>
      </c>
      <c r="AR5470">
        <v>-1600</v>
      </c>
      <c r="AZ5470">
        <v>1200</v>
      </c>
      <c r="BA5470">
        <v>1</v>
      </c>
      <c r="BB5470" t="str">
        <f t="shared" si="2534"/>
        <v xml:space="preserve">N711JA  </v>
      </c>
      <c r="BC5470">
        <v>1</v>
      </c>
      <c r="BE5470">
        <v>0</v>
      </c>
      <c r="BF5470">
        <v>0</v>
      </c>
      <c r="BG5470">
        <v>0</v>
      </c>
      <c r="BH5470">
        <v>1325</v>
      </c>
      <c r="BI5470">
        <v>1</v>
      </c>
      <c r="BJ5470">
        <v>1</v>
      </c>
      <c r="BK5470">
        <v>0</v>
      </c>
      <c r="BL5470">
        <v>0</v>
      </c>
      <c r="BO5470">
        <v>0</v>
      </c>
      <c r="BP5470">
        <v>0</v>
      </c>
      <c r="BW5470" t="str">
        <f t="shared" si="2538"/>
        <v>14:51:23.068</v>
      </c>
      <c r="CJ5470">
        <v>0</v>
      </c>
      <c r="CK5470">
        <v>2</v>
      </c>
      <c r="CL5470">
        <v>0</v>
      </c>
      <c r="CM5470">
        <v>2</v>
      </c>
      <c r="CN5470">
        <v>0</v>
      </c>
      <c r="CO5470">
        <v>7</v>
      </c>
      <c r="CP5470" t="s">
        <v>119</v>
      </c>
      <c r="CQ5470">
        <v>343</v>
      </c>
      <c r="CR5470">
        <v>2</v>
      </c>
      <c r="CW5470">
        <v>13410407</v>
      </c>
      <c r="CY5470">
        <v>1</v>
      </c>
      <c r="CZ5470">
        <v>0</v>
      </c>
      <c r="DA5470">
        <v>1</v>
      </c>
      <c r="DB5470">
        <v>0</v>
      </c>
      <c r="DC5470">
        <v>0</v>
      </c>
      <c r="DD5470">
        <v>1</v>
      </c>
      <c r="DE5470">
        <v>0</v>
      </c>
      <c r="DF5470">
        <v>0</v>
      </c>
      <c r="DG5470">
        <v>0</v>
      </c>
      <c r="DH5470">
        <v>0</v>
      </c>
      <c r="DI5470">
        <v>0</v>
      </c>
    </row>
    <row r="5471" spans="1:113" x14ac:dyDescent="0.3">
      <c r="A5471" t="str">
        <f t="shared" ref="A5471:A5478" si="2539">"05/12/2020 14:51:06.281"</f>
        <v>05/12/2020 14:51:06.281</v>
      </c>
      <c r="C5471" t="str">
        <f t="shared" si="2533"/>
        <v>FFDFD3C0</v>
      </c>
      <c r="D5471" t="s">
        <v>134</v>
      </c>
      <c r="E5471">
        <v>12</v>
      </c>
      <c r="H5471">
        <v>64</v>
      </c>
      <c r="I5471" t="s">
        <v>135</v>
      </c>
      <c r="J5471" t="s">
        <v>136</v>
      </c>
      <c r="K5471">
        <v>0</v>
      </c>
      <c r="L5471">
        <v>3</v>
      </c>
      <c r="M5471">
        <v>0</v>
      </c>
      <c r="N5471">
        <v>2</v>
      </c>
      <c r="O5471">
        <v>1</v>
      </c>
      <c r="P5471">
        <v>0</v>
      </c>
      <c r="Q5471">
        <v>0</v>
      </c>
      <c r="S5471" t="str">
        <f t="shared" ref="S5471:S5478" si="2540">"14:51:24.094"</f>
        <v>14:51:24.094</v>
      </c>
      <c r="T5471" t="str">
        <f t="shared" ref="T5471:T5478" si="2541">"14:51:23.794"</f>
        <v>14:51:23.794</v>
      </c>
      <c r="U5471" t="str">
        <f t="shared" si="2524"/>
        <v>A9808D</v>
      </c>
      <c r="V5471">
        <v>0</v>
      </c>
      <c r="W5471">
        <v>0</v>
      </c>
      <c r="X5471">
        <v>1</v>
      </c>
      <c r="Z5471">
        <v>0</v>
      </c>
      <c r="AA5471">
        <v>9</v>
      </c>
      <c r="AB5471">
        <v>3</v>
      </c>
      <c r="AC5471">
        <v>0</v>
      </c>
      <c r="AD5471">
        <v>10</v>
      </c>
      <c r="AE5471">
        <v>0</v>
      </c>
      <c r="AF5471">
        <v>3</v>
      </c>
      <c r="AG5471">
        <v>2</v>
      </c>
      <c r="AH5471">
        <v>0</v>
      </c>
      <c r="AI5471" t="s">
        <v>1215</v>
      </c>
      <c r="AJ5471">
        <v>28.216345</v>
      </c>
      <c r="AK5471" t="s">
        <v>1216</v>
      </c>
      <c r="AL5471">
        <v>-82.393105000000006</v>
      </c>
      <c r="AM5471">
        <v>100</v>
      </c>
      <c r="AN5471">
        <v>1200</v>
      </c>
      <c r="AO5471" t="s">
        <v>118</v>
      </c>
      <c r="AP5471">
        <v>-6</v>
      </c>
      <c r="AQ5471">
        <v>-118</v>
      </c>
      <c r="AR5471">
        <v>-1472</v>
      </c>
      <c r="AZ5471">
        <v>1200</v>
      </c>
      <c r="BA5471">
        <v>1</v>
      </c>
      <c r="BB5471" t="str">
        <f t="shared" si="2534"/>
        <v xml:space="preserve">N711JA  </v>
      </c>
      <c r="BC5471">
        <v>1</v>
      </c>
      <c r="BE5471">
        <v>0</v>
      </c>
      <c r="BF5471">
        <v>0</v>
      </c>
      <c r="BG5471">
        <v>0</v>
      </c>
      <c r="BH5471">
        <v>1300</v>
      </c>
      <c r="BI5471">
        <v>1</v>
      </c>
      <c r="BJ5471">
        <v>1</v>
      </c>
      <c r="BK5471">
        <v>0</v>
      </c>
      <c r="BL5471">
        <v>0</v>
      </c>
      <c r="BO5471">
        <v>0</v>
      </c>
      <c r="BP5471">
        <v>0</v>
      </c>
      <c r="BW5471" t="str">
        <f t="shared" ref="BW5471:BW5478" si="2542">"14:51:24.100"</f>
        <v>14:51:24.100</v>
      </c>
      <c r="CJ5471">
        <v>0</v>
      </c>
      <c r="CK5471">
        <v>2</v>
      </c>
      <c r="CL5471">
        <v>0</v>
      </c>
      <c r="CM5471">
        <v>2</v>
      </c>
      <c r="CN5471">
        <v>0</v>
      </c>
      <c r="CO5471">
        <v>7</v>
      </c>
      <c r="CP5471" t="s">
        <v>119</v>
      </c>
      <c r="CQ5471">
        <v>343</v>
      </c>
      <c r="CR5471">
        <v>1</v>
      </c>
      <c r="CW5471">
        <v>11158684</v>
      </c>
      <c r="CY5471">
        <v>1</v>
      </c>
      <c r="CZ5471">
        <v>0</v>
      </c>
      <c r="DA5471">
        <v>0</v>
      </c>
      <c r="DB5471">
        <v>0</v>
      </c>
      <c r="DC5471">
        <v>0</v>
      </c>
      <c r="DD5471">
        <v>1</v>
      </c>
      <c r="DE5471">
        <v>0</v>
      </c>
      <c r="DF5471">
        <v>0</v>
      </c>
      <c r="DG5471">
        <v>0</v>
      </c>
      <c r="DH5471">
        <v>0</v>
      </c>
      <c r="DI5471">
        <v>0</v>
      </c>
    </row>
    <row r="5472" spans="1:113" x14ac:dyDescent="0.3">
      <c r="A5472" t="str">
        <f t="shared" si="2539"/>
        <v>05/12/2020 14:51:06.281</v>
      </c>
      <c r="C5472" t="str">
        <f t="shared" si="2533"/>
        <v>FFDFD3C0</v>
      </c>
      <c r="D5472" t="s">
        <v>113</v>
      </c>
      <c r="E5472">
        <v>3</v>
      </c>
      <c r="H5472">
        <v>164</v>
      </c>
      <c r="I5472" t="s">
        <v>114</v>
      </c>
      <c r="J5472" t="s">
        <v>115</v>
      </c>
      <c r="K5472">
        <v>0</v>
      </c>
      <c r="L5472">
        <v>3</v>
      </c>
      <c r="M5472">
        <v>0</v>
      </c>
      <c r="N5472">
        <v>2</v>
      </c>
      <c r="O5472">
        <v>1</v>
      </c>
      <c r="P5472">
        <v>0</v>
      </c>
      <c r="Q5472">
        <v>0</v>
      </c>
      <c r="S5472" t="str">
        <f t="shared" si="2540"/>
        <v>14:51:24.094</v>
      </c>
      <c r="T5472" t="str">
        <f t="shared" si="2541"/>
        <v>14:51:23.794</v>
      </c>
      <c r="U5472" t="str">
        <f t="shared" si="2524"/>
        <v>A9808D</v>
      </c>
      <c r="V5472">
        <v>0</v>
      </c>
      <c r="W5472">
        <v>0</v>
      </c>
      <c r="X5472">
        <v>1</v>
      </c>
      <c r="Z5472">
        <v>0</v>
      </c>
      <c r="AA5472">
        <v>9</v>
      </c>
      <c r="AB5472">
        <v>3</v>
      </c>
      <c r="AC5472">
        <v>0</v>
      </c>
      <c r="AD5472">
        <v>10</v>
      </c>
      <c r="AE5472">
        <v>0</v>
      </c>
      <c r="AF5472">
        <v>3</v>
      </c>
      <c r="AG5472">
        <v>2</v>
      </c>
      <c r="AH5472">
        <v>0</v>
      </c>
      <c r="AI5472" t="s">
        <v>1215</v>
      </c>
      <c r="AJ5472">
        <v>28.216345</v>
      </c>
      <c r="AK5472" t="s">
        <v>1216</v>
      </c>
      <c r="AL5472">
        <v>-82.393105000000006</v>
      </c>
      <c r="AM5472">
        <v>100</v>
      </c>
      <c r="AN5472">
        <v>1200</v>
      </c>
      <c r="AO5472" t="s">
        <v>118</v>
      </c>
      <c r="AP5472">
        <v>-6</v>
      </c>
      <c r="AQ5472">
        <v>-118</v>
      </c>
      <c r="AR5472">
        <v>-1472</v>
      </c>
      <c r="AZ5472">
        <v>1200</v>
      </c>
      <c r="BA5472">
        <v>1</v>
      </c>
      <c r="BB5472" t="str">
        <f t="shared" si="2534"/>
        <v xml:space="preserve">N711JA  </v>
      </c>
      <c r="BC5472">
        <v>1</v>
      </c>
      <c r="BE5472">
        <v>0</v>
      </c>
      <c r="BF5472">
        <v>0</v>
      </c>
      <c r="BG5472">
        <v>0</v>
      </c>
      <c r="BH5472">
        <v>1300</v>
      </c>
      <c r="BI5472">
        <v>1</v>
      </c>
      <c r="BJ5472">
        <v>1</v>
      </c>
      <c r="BK5472">
        <v>0</v>
      </c>
      <c r="BL5472">
        <v>0</v>
      </c>
      <c r="BO5472">
        <v>0</v>
      </c>
      <c r="BP5472">
        <v>0</v>
      </c>
      <c r="BW5472" t="str">
        <f t="shared" si="2542"/>
        <v>14:51:24.100</v>
      </c>
      <c r="CJ5472">
        <v>0</v>
      </c>
      <c r="CK5472">
        <v>2</v>
      </c>
      <c r="CL5472">
        <v>0</v>
      </c>
      <c r="CM5472">
        <v>2</v>
      </c>
      <c r="CN5472">
        <v>0</v>
      </c>
      <c r="CO5472">
        <v>7</v>
      </c>
      <c r="CP5472" t="s">
        <v>119</v>
      </c>
      <c r="CQ5472">
        <v>343</v>
      </c>
      <c r="CR5472">
        <v>1</v>
      </c>
      <c r="CW5472">
        <v>11158684</v>
      </c>
      <c r="CY5472">
        <v>1</v>
      </c>
      <c r="CZ5472">
        <v>0</v>
      </c>
      <c r="DA5472">
        <v>1</v>
      </c>
      <c r="DB5472">
        <v>0</v>
      </c>
      <c r="DC5472">
        <v>0</v>
      </c>
      <c r="DD5472">
        <v>1</v>
      </c>
      <c r="DE5472">
        <v>0</v>
      </c>
      <c r="DF5472">
        <v>0</v>
      </c>
      <c r="DG5472">
        <v>0</v>
      </c>
      <c r="DH5472">
        <v>0</v>
      </c>
      <c r="DI5472">
        <v>0</v>
      </c>
    </row>
    <row r="5473" spans="1:113" x14ac:dyDescent="0.3">
      <c r="A5473" t="str">
        <f t="shared" si="2539"/>
        <v>05/12/2020 14:51:06.281</v>
      </c>
      <c r="C5473" t="str">
        <f t="shared" si="2533"/>
        <v>FFDFD3C0</v>
      </c>
      <c r="D5473" t="s">
        <v>131</v>
      </c>
      <c r="E5473">
        <v>10</v>
      </c>
      <c r="F5473">
        <v>2010</v>
      </c>
      <c r="G5473" t="s">
        <v>132</v>
      </c>
      <c r="J5473" t="s">
        <v>133</v>
      </c>
      <c r="K5473">
        <v>0</v>
      </c>
      <c r="L5473">
        <v>3</v>
      </c>
      <c r="M5473">
        <v>0</v>
      </c>
      <c r="N5473">
        <v>2</v>
      </c>
      <c r="O5473">
        <v>1</v>
      </c>
      <c r="P5473">
        <v>0</v>
      </c>
      <c r="Q5473">
        <v>0</v>
      </c>
      <c r="S5473" t="str">
        <f t="shared" si="2540"/>
        <v>14:51:24.094</v>
      </c>
      <c r="T5473" t="str">
        <f t="shared" si="2541"/>
        <v>14:51:23.794</v>
      </c>
      <c r="U5473" t="str">
        <f t="shared" si="2524"/>
        <v>A9808D</v>
      </c>
      <c r="V5473">
        <v>0</v>
      </c>
      <c r="W5473">
        <v>0</v>
      </c>
      <c r="X5473">
        <v>1</v>
      </c>
      <c r="Z5473">
        <v>0</v>
      </c>
      <c r="AA5473">
        <v>9</v>
      </c>
      <c r="AB5473">
        <v>3</v>
      </c>
      <c r="AC5473">
        <v>0</v>
      </c>
      <c r="AD5473">
        <v>10</v>
      </c>
      <c r="AE5473">
        <v>0</v>
      </c>
      <c r="AF5473">
        <v>3</v>
      </c>
      <c r="AG5473">
        <v>2</v>
      </c>
      <c r="AH5473">
        <v>0</v>
      </c>
      <c r="AI5473" t="s">
        <v>1215</v>
      </c>
      <c r="AJ5473">
        <v>28.216345</v>
      </c>
      <c r="AK5473" t="s">
        <v>1216</v>
      </c>
      <c r="AL5473">
        <v>-82.393105000000006</v>
      </c>
      <c r="AM5473">
        <v>100</v>
      </c>
      <c r="AN5473">
        <v>1200</v>
      </c>
      <c r="AO5473" t="s">
        <v>118</v>
      </c>
      <c r="AP5473">
        <v>-6</v>
      </c>
      <c r="AQ5473">
        <v>-118</v>
      </c>
      <c r="AR5473">
        <v>-1472</v>
      </c>
      <c r="AZ5473">
        <v>1200</v>
      </c>
      <c r="BA5473">
        <v>1</v>
      </c>
      <c r="BB5473" t="str">
        <f t="shared" si="2534"/>
        <v xml:space="preserve">N711JA  </v>
      </c>
      <c r="BC5473">
        <v>1</v>
      </c>
      <c r="BE5473">
        <v>0</v>
      </c>
      <c r="BF5473">
        <v>0</v>
      </c>
      <c r="BG5473">
        <v>0</v>
      </c>
      <c r="BH5473">
        <v>1300</v>
      </c>
      <c r="BI5473">
        <v>1</v>
      </c>
      <c r="BJ5473">
        <v>1</v>
      </c>
      <c r="BK5473">
        <v>0</v>
      </c>
      <c r="BL5473">
        <v>0</v>
      </c>
      <c r="BO5473">
        <v>0</v>
      </c>
      <c r="BP5473">
        <v>0</v>
      </c>
      <c r="BW5473" t="str">
        <f t="shared" si="2542"/>
        <v>14:51:24.100</v>
      </c>
      <c r="CJ5473">
        <v>0</v>
      </c>
      <c r="CK5473">
        <v>2</v>
      </c>
      <c r="CL5473">
        <v>0</v>
      </c>
      <c r="CM5473">
        <v>2</v>
      </c>
      <c r="CN5473">
        <v>0</v>
      </c>
      <c r="CO5473">
        <v>7</v>
      </c>
      <c r="CP5473" t="s">
        <v>119</v>
      </c>
      <c r="CQ5473">
        <v>343</v>
      </c>
      <c r="CR5473">
        <v>1</v>
      </c>
      <c r="CW5473">
        <v>11158684</v>
      </c>
      <c r="CY5473">
        <v>1</v>
      </c>
      <c r="CZ5473">
        <v>0</v>
      </c>
      <c r="DA5473">
        <v>1</v>
      </c>
      <c r="DB5473">
        <v>0</v>
      </c>
      <c r="DC5473">
        <v>0</v>
      </c>
      <c r="DD5473">
        <v>1</v>
      </c>
      <c r="DE5473">
        <v>0</v>
      </c>
      <c r="DF5473">
        <v>0</v>
      </c>
      <c r="DG5473">
        <v>0</v>
      </c>
      <c r="DH5473">
        <v>0</v>
      </c>
      <c r="DI5473">
        <v>0</v>
      </c>
    </row>
    <row r="5474" spans="1:113" x14ac:dyDescent="0.3">
      <c r="A5474" t="str">
        <f t="shared" si="2539"/>
        <v>05/12/2020 14:51:06.281</v>
      </c>
      <c r="C5474" t="str">
        <f t="shared" si="2533"/>
        <v>FFDFD3C0</v>
      </c>
      <c r="D5474" t="s">
        <v>126</v>
      </c>
      <c r="E5474">
        <v>7</v>
      </c>
      <c r="F5474">
        <v>1007</v>
      </c>
      <c r="G5474" t="s">
        <v>127</v>
      </c>
      <c r="J5474" t="s">
        <v>128</v>
      </c>
      <c r="K5474">
        <v>0</v>
      </c>
      <c r="L5474">
        <v>3</v>
      </c>
      <c r="M5474">
        <v>0</v>
      </c>
      <c r="N5474">
        <v>2</v>
      </c>
      <c r="O5474">
        <v>1</v>
      </c>
      <c r="P5474">
        <v>0</v>
      </c>
      <c r="Q5474">
        <v>0</v>
      </c>
      <c r="S5474" t="str">
        <f t="shared" si="2540"/>
        <v>14:51:24.094</v>
      </c>
      <c r="T5474" t="str">
        <f t="shared" si="2541"/>
        <v>14:51:23.794</v>
      </c>
      <c r="U5474" t="str">
        <f t="shared" si="2524"/>
        <v>A9808D</v>
      </c>
      <c r="V5474">
        <v>0</v>
      </c>
      <c r="W5474">
        <v>0</v>
      </c>
      <c r="X5474">
        <v>1</v>
      </c>
      <c r="Z5474">
        <v>0</v>
      </c>
      <c r="AA5474">
        <v>9</v>
      </c>
      <c r="AB5474">
        <v>3</v>
      </c>
      <c r="AC5474">
        <v>0</v>
      </c>
      <c r="AD5474">
        <v>10</v>
      </c>
      <c r="AE5474">
        <v>0</v>
      </c>
      <c r="AF5474">
        <v>3</v>
      </c>
      <c r="AG5474">
        <v>2</v>
      </c>
      <c r="AH5474">
        <v>0</v>
      </c>
      <c r="AI5474" t="s">
        <v>1215</v>
      </c>
      <c r="AJ5474">
        <v>28.216345</v>
      </c>
      <c r="AK5474" t="s">
        <v>1216</v>
      </c>
      <c r="AL5474">
        <v>-82.393105000000006</v>
      </c>
      <c r="AM5474">
        <v>100</v>
      </c>
      <c r="AN5474">
        <v>1200</v>
      </c>
      <c r="AO5474" t="s">
        <v>118</v>
      </c>
      <c r="AP5474">
        <v>-6</v>
      </c>
      <c r="AQ5474">
        <v>-118</v>
      </c>
      <c r="AR5474">
        <v>-1472</v>
      </c>
      <c r="AZ5474">
        <v>1200</v>
      </c>
      <c r="BA5474">
        <v>1</v>
      </c>
      <c r="BB5474" t="str">
        <f t="shared" si="2534"/>
        <v xml:space="preserve">N711JA  </v>
      </c>
      <c r="BC5474">
        <v>1</v>
      </c>
      <c r="BE5474">
        <v>0</v>
      </c>
      <c r="BF5474">
        <v>0</v>
      </c>
      <c r="BG5474">
        <v>0</v>
      </c>
      <c r="BH5474">
        <v>1300</v>
      </c>
      <c r="BI5474">
        <v>1</v>
      </c>
      <c r="BJ5474">
        <v>1</v>
      </c>
      <c r="BK5474">
        <v>0</v>
      </c>
      <c r="BL5474">
        <v>0</v>
      </c>
      <c r="BO5474">
        <v>0</v>
      </c>
      <c r="BP5474">
        <v>0</v>
      </c>
      <c r="BW5474" t="str">
        <f t="shared" si="2542"/>
        <v>14:51:24.100</v>
      </c>
      <c r="CJ5474">
        <v>0</v>
      </c>
      <c r="CK5474">
        <v>2</v>
      </c>
      <c r="CL5474">
        <v>0</v>
      </c>
      <c r="CM5474">
        <v>2</v>
      </c>
      <c r="CN5474">
        <v>0</v>
      </c>
      <c r="CO5474">
        <v>7</v>
      </c>
      <c r="CP5474" t="s">
        <v>119</v>
      </c>
      <c r="CQ5474">
        <v>343</v>
      </c>
      <c r="CR5474">
        <v>1</v>
      </c>
      <c r="CW5474">
        <v>11158684</v>
      </c>
      <c r="CY5474">
        <v>1</v>
      </c>
      <c r="CZ5474">
        <v>0</v>
      </c>
      <c r="DA5474">
        <v>1</v>
      </c>
      <c r="DB5474">
        <v>0</v>
      </c>
      <c r="DC5474">
        <v>0</v>
      </c>
      <c r="DD5474">
        <v>1</v>
      </c>
      <c r="DE5474">
        <v>0</v>
      </c>
      <c r="DF5474">
        <v>0</v>
      </c>
      <c r="DG5474">
        <v>0</v>
      </c>
      <c r="DH5474">
        <v>0</v>
      </c>
      <c r="DI5474">
        <v>0</v>
      </c>
    </row>
    <row r="5475" spans="1:113" x14ac:dyDescent="0.3">
      <c r="A5475" t="str">
        <f t="shared" si="2539"/>
        <v>05/12/2020 14:51:06.281</v>
      </c>
      <c r="C5475" t="str">
        <f t="shared" si="2533"/>
        <v>FFDFD3C0</v>
      </c>
      <c r="D5475" t="s">
        <v>126</v>
      </c>
      <c r="E5475">
        <v>6</v>
      </c>
      <c r="F5475">
        <v>1006</v>
      </c>
      <c r="G5475" t="s">
        <v>114</v>
      </c>
      <c r="J5475" t="s">
        <v>128</v>
      </c>
      <c r="K5475">
        <v>0</v>
      </c>
      <c r="L5475">
        <v>3</v>
      </c>
      <c r="M5475">
        <v>0</v>
      </c>
      <c r="N5475">
        <v>2</v>
      </c>
      <c r="O5475">
        <v>1</v>
      </c>
      <c r="P5475">
        <v>0</v>
      </c>
      <c r="Q5475">
        <v>0</v>
      </c>
      <c r="S5475" t="str">
        <f t="shared" si="2540"/>
        <v>14:51:24.094</v>
      </c>
      <c r="T5475" t="str">
        <f t="shared" si="2541"/>
        <v>14:51:23.794</v>
      </c>
      <c r="U5475" t="str">
        <f t="shared" si="2524"/>
        <v>A9808D</v>
      </c>
      <c r="V5475">
        <v>0</v>
      </c>
      <c r="W5475">
        <v>0</v>
      </c>
      <c r="X5475">
        <v>1</v>
      </c>
      <c r="Z5475">
        <v>0</v>
      </c>
      <c r="AA5475">
        <v>9</v>
      </c>
      <c r="AB5475">
        <v>3</v>
      </c>
      <c r="AC5475">
        <v>0</v>
      </c>
      <c r="AD5475">
        <v>10</v>
      </c>
      <c r="AE5475">
        <v>0</v>
      </c>
      <c r="AF5475">
        <v>3</v>
      </c>
      <c r="AG5475">
        <v>2</v>
      </c>
      <c r="AH5475">
        <v>0</v>
      </c>
      <c r="AI5475" t="s">
        <v>1215</v>
      </c>
      <c r="AJ5475">
        <v>28.216345</v>
      </c>
      <c r="AK5475" t="s">
        <v>1216</v>
      </c>
      <c r="AL5475">
        <v>-82.393105000000006</v>
      </c>
      <c r="AM5475">
        <v>100</v>
      </c>
      <c r="AN5475">
        <v>1200</v>
      </c>
      <c r="AO5475" t="s">
        <v>118</v>
      </c>
      <c r="AP5475">
        <v>-6</v>
      </c>
      <c r="AQ5475">
        <v>-118</v>
      </c>
      <c r="AR5475">
        <v>-1472</v>
      </c>
      <c r="AZ5475">
        <v>1200</v>
      </c>
      <c r="BA5475">
        <v>1</v>
      </c>
      <c r="BB5475" t="str">
        <f t="shared" si="2534"/>
        <v xml:space="preserve">N711JA  </v>
      </c>
      <c r="BC5475">
        <v>1</v>
      </c>
      <c r="BE5475">
        <v>0</v>
      </c>
      <c r="BF5475">
        <v>0</v>
      </c>
      <c r="BG5475">
        <v>0</v>
      </c>
      <c r="BH5475">
        <v>1300</v>
      </c>
      <c r="BI5475">
        <v>1</v>
      </c>
      <c r="BJ5475">
        <v>1</v>
      </c>
      <c r="BK5475">
        <v>0</v>
      </c>
      <c r="BL5475">
        <v>0</v>
      </c>
      <c r="BO5475">
        <v>0</v>
      </c>
      <c r="BP5475">
        <v>0</v>
      </c>
      <c r="BW5475" t="str">
        <f t="shared" si="2542"/>
        <v>14:51:24.100</v>
      </c>
      <c r="CJ5475">
        <v>0</v>
      </c>
      <c r="CK5475">
        <v>2</v>
      </c>
      <c r="CL5475">
        <v>0</v>
      </c>
      <c r="CM5475">
        <v>2</v>
      </c>
      <c r="CN5475">
        <v>0</v>
      </c>
      <c r="CO5475">
        <v>7</v>
      </c>
      <c r="CP5475" t="s">
        <v>119</v>
      </c>
      <c r="CQ5475">
        <v>343</v>
      </c>
      <c r="CR5475">
        <v>1</v>
      </c>
      <c r="CW5475">
        <v>11158684</v>
      </c>
      <c r="CY5475">
        <v>1</v>
      </c>
      <c r="CZ5475">
        <v>0</v>
      </c>
      <c r="DA5475">
        <v>1</v>
      </c>
      <c r="DB5475">
        <v>0</v>
      </c>
      <c r="DC5475">
        <v>0</v>
      </c>
      <c r="DD5475">
        <v>1</v>
      </c>
      <c r="DE5475">
        <v>0</v>
      </c>
      <c r="DF5475">
        <v>0</v>
      </c>
      <c r="DG5475">
        <v>0</v>
      </c>
      <c r="DH5475">
        <v>0</v>
      </c>
      <c r="DI5475">
        <v>0</v>
      </c>
    </row>
    <row r="5476" spans="1:113" x14ac:dyDescent="0.3">
      <c r="A5476" t="str">
        <f t="shared" si="2539"/>
        <v>05/12/2020 14:51:06.281</v>
      </c>
      <c r="C5476" t="str">
        <f t="shared" si="2533"/>
        <v>FFDFD3C0</v>
      </c>
      <c r="D5476" t="s">
        <v>131</v>
      </c>
      <c r="E5476">
        <v>12</v>
      </c>
      <c r="F5476">
        <v>2012</v>
      </c>
      <c r="G5476" t="s">
        <v>137</v>
      </c>
      <c r="J5476" t="s">
        <v>133</v>
      </c>
      <c r="K5476">
        <v>0</v>
      </c>
      <c r="L5476">
        <v>3</v>
      </c>
      <c r="M5476">
        <v>0</v>
      </c>
      <c r="N5476">
        <v>2</v>
      </c>
      <c r="O5476">
        <v>1</v>
      </c>
      <c r="P5476">
        <v>0</v>
      </c>
      <c r="Q5476">
        <v>0</v>
      </c>
      <c r="S5476" t="str">
        <f t="shared" si="2540"/>
        <v>14:51:24.094</v>
      </c>
      <c r="T5476" t="str">
        <f t="shared" si="2541"/>
        <v>14:51:23.794</v>
      </c>
      <c r="U5476" t="str">
        <f t="shared" si="2524"/>
        <v>A9808D</v>
      </c>
      <c r="V5476">
        <v>0</v>
      </c>
      <c r="W5476">
        <v>0</v>
      </c>
      <c r="X5476">
        <v>1</v>
      </c>
      <c r="Z5476">
        <v>0</v>
      </c>
      <c r="AA5476">
        <v>9</v>
      </c>
      <c r="AB5476">
        <v>3</v>
      </c>
      <c r="AC5476">
        <v>0</v>
      </c>
      <c r="AD5476">
        <v>10</v>
      </c>
      <c r="AE5476">
        <v>0</v>
      </c>
      <c r="AF5476">
        <v>3</v>
      </c>
      <c r="AG5476">
        <v>2</v>
      </c>
      <c r="AH5476">
        <v>0</v>
      </c>
      <c r="AI5476" t="s">
        <v>1215</v>
      </c>
      <c r="AJ5476">
        <v>28.216345</v>
      </c>
      <c r="AK5476" t="s">
        <v>1216</v>
      </c>
      <c r="AL5476">
        <v>-82.393105000000006</v>
      </c>
      <c r="AM5476">
        <v>100</v>
      </c>
      <c r="AN5476">
        <v>1200</v>
      </c>
      <c r="AO5476" t="s">
        <v>118</v>
      </c>
      <c r="AP5476">
        <v>-6</v>
      </c>
      <c r="AQ5476">
        <v>-118</v>
      </c>
      <c r="AR5476">
        <v>-1472</v>
      </c>
      <c r="AZ5476">
        <v>1200</v>
      </c>
      <c r="BA5476">
        <v>1</v>
      </c>
      <c r="BB5476" t="str">
        <f t="shared" si="2534"/>
        <v xml:space="preserve">N711JA  </v>
      </c>
      <c r="BC5476">
        <v>1</v>
      </c>
      <c r="BE5476">
        <v>0</v>
      </c>
      <c r="BF5476">
        <v>0</v>
      </c>
      <c r="BG5476">
        <v>0</v>
      </c>
      <c r="BH5476">
        <v>1300</v>
      </c>
      <c r="BI5476">
        <v>1</v>
      </c>
      <c r="BJ5476">
        <v>1</v>
      </c>
      <c r="BK5476">
        <v>0</v>
      </c>
      <c r="BL5476">
        <v>0</v>
      </c>
      <c r="BO5476">
        <v>0</v>
      </c>
      <c r="BP5476">
        <v>0</v>
      </c>
      <c r="BW5476" t="str">
        <f t="shared" si="2542"/>
        <v>14:51:24.100</v>
      </c>
      <c r="CJ5476">
        <v>0</v>
      </c>
      <c r="CK5476">
        <v>2</v>
      </c>
      <c r="CL5476">
        <v>0</v>
      </c>
      <c r="CM5476">
        <v>2</v>
      </c>
      <c r="CN5476">
        <v>0</v>
      </c>
      <c r="CO5476">
        <v>7</v>
      </c>
      <c r="CP5476" t="s">
        <v>119</v>
      </c>
      <c r="CQ5476">
        <v>343</v>
      </c>
      <c r="CR5476">
        <v>1</v>
      </c>
      <c r="CW5476">
        <v>11158684</v>
      </c>
      <c r="CY5476">
        <v>1</v>
      </c>
      <c r="CZ5476">
        <v>0</v>
      </c>
      <c r="DA5476">
        <v>1</v>
      </c>
      <c r="DB5476">
        <v>0</v>
      </c>
      <c r="DC5476">
        <v>0</v>
      </c>
      <c r="DD5476">
        <v>1</v>
      </c>
      <c r="DE5476">
        <v>0</v>
      </c>
      <c r="DF5476">
        <v>0</v>
      </c>
      <c r="DG5476">
        <v>0</v>
      </c>
      <c r="DH5476">
        <v>0</v>
      </c>
      <c r="DI5476">
        <v>0</v>
      </c>
    </row>
    <row r="5477" spans="1:113" x14ac:dyDescent="0.3">
      <c r="A5477" t="str">
        <f t="shared" si="2539"/>
        <v>05/12/2020 14:51:06.281</v>
      </c>
      <c r="C5477" t="str">
        <f t="shared" si="2533"/>
        <v>FFDFD3C0</v>
      </c>
      <c r="D5477" t="s">
        <v>138</v>
      </c>
      <c r="E5477">
        <v>2</v>
      </c>
      <c r="H5477">
        <v>8</v>
      </c>
      <c r="I5477" t="s">
        <v>139</v>
      </c>
      <c r="J5477" t="s">
        <v>136</v>
      </c>
      <c r="K5477">
        <v>0</v>
      </c>
      <c r="L5477">
        <v>3</v>
      </c>
      <c r="M5477">
        <v>0</v>
      </c>
      <c r="N5477">
        <v>2</v>
      </c>
      <c r="O5477">
        <v>1</v>
      </c>
      <c r="P5477">
        <v>0</v>
      </c>
      <c r="Q5477">
        <v>0</v>
      </c>
      <c r="S5477" t="str">
        <f t="shared" si="2540"/>
        <v>14:51:24.094</v>
      </c>
      <c r="T5477" t="str">
        <f t="shared" si="2541"/>
        <v>14:51:23.794</v>
      </c>
      <c r="U5477" t="str">
        <f t="shared" si="2524"/>
        <v>A9808D</v>
      </c>
      <c r="V5477">
        <v>0</v>
      </c>
      <c r="W5477">
        <v>0</v>
      </c>
      <c r="X5477">
        <v>1</v>
      </c>
      <c r="Z5477">
        <v>0</v>
      </c>
      <c r="AA5477">
        <v>9</v>
      </c>
      <c r="AB5477">
        <v>3</v>
      </c>
      <c r="AC5477">
        <v>0</v>
      </c>
      <c r="AD5477">
        <v>10</v>
      </c>
      <c r="AE5477">
        <v>0</v>
      </c>
      <c r="AF5477">
        <v>3</v>
      </c>
      <c r="AG5477">
        <v>2</v>
      </c>
      <c r="AH5477">
        <v>0</v>
      </c>
      <c r="AI5477" t="s">
        <v>1215</v>
      </c>
      <c r="AJ5477">
        <v>28.216345</v>
      </c>
      <c r="AK5477" t="s">
        <v>1216</v>
      </c>
      <c r="AL5477">
        <v>-82.393105000000006</v>
      </c>
      <c r="AM5477">
        <v>100</v>
      </c>
      <c r="AN5477">
        <v>1200</v>
      </c>
      <c r="AO5477" t="s">
        <v>118</v>
      </c>
      <c r="AP5477">
        <v>-6</v>
      </c>
      <c r="AQ5477">
        <v>-118</v>
      </c>
      <c r="AR5477">
        <v>-1472</v>
      </c>
      <c r="AZ5477">
        <v>1200</v>
      </c>
      <c r="BA5477">
        <v>1</v>
      </c>
      <c r="BB5477" t="str">
        <f t="shared" si="2534"/>
        <v xml:space="preserve">N711JA  </v>
      </c>
      <c r="BC5477">
        <v>1</v>
      </c>
      <c r="BE5477">
        <v>0</v>
      </c>
      <c r="BF5477">
        <v>0</v>
      </c>
      <c r="BG5477">
        <v>0</v>
      </c>
      <c r="BH5477">
        <v>1300</v>
      </c>
      <c r="BI5477">
        <v>1</v>
      </c>
      <c r="BJ5477">
        <v>1</v>
      </c>
      <c r="BK5477">
        <v>0</v>
      </c>
      <c r="BL5477">
        <v>0</v>
      </c>
      <c r="BO5477">
        <v>0</v>
      </c>
      <c r="BP5477">
        <v>0</v>
      </c>
      <c r="BW5477" t="str">
        <f t="shared" si="2542"/>
        <v>14:51:24.100</v>
      </c>
      <c r="CJ5477">
        <v>0</v>
      </c>
      <c r="CK5477">
        <v>2</v>
      </c>
      <c r="CL5477">
        <v>0</v>
      </c>
      <c r="CM5477">
        <v>2</v>
      </c>
      <c r="CN5477">
        <v>0</v>
      </c>
      <c r="CO5477">
        <v>7</v>
      </c>
      <c r="CP5477" t="s">
        <v>119</v>
      </c>
      <c r="CQ5477">
        <v>343</v>
      </c>
      <c r="CR5477">
        <v>1</v>
      </c>
      <c r="CW5477">
        <v>11158684</v>
      </c>
      <c r="CY5477">
        <v>1</v>
      </c>
      <c r="CZ5477">
        <v>0</v>
      </c>
      <c r="DA5477">
        <v>1</v>
      </c>
      <c r="DB5477">
        <v>0</v>
      </c>
      <c r="DC5477">
        <v>0</v>
      </c>
      <c r="DD5477">
        <v>1</v>
      </c>
      <c r="DE5477">
        <v>0</v>
      </c>
      <c r="DF5477">
        <v>0</v>
      </c>
      <c r="DG5477">
        <v>0</v>
      </c>
      <c r="DH5477">
        <v>0</v>
      </c>
      <c r="DI5477">
        <v>0</v>
      </c>
    </row>
    <row r="5478" spans="1:113" x14ac:dyDescent="0.3">
      <c r="A5478" t="str">
        <f t="shared" si="2539"/>
        <v>05/12/2020 14:51:06.281</v>
      </c>
      <c r="C5478" t="str">
        <f t="shared" si="2533"/>
        <v>FFDFD3C0</v>
      </c>
      <c r="D5478" t="s">
        <v>138</v>
      </c>
      <c r="E5478">
        <v>3</v>
      </c>
      <c r="H5478">
        <v>9</v>
      </c>
      <c r="I5478" t="s">
        <v>140</v>
      </c>
      <c r="J5478" t="s">
        <v>136</v>
      </c>
      <c r="K5478">
        <v>0</v>
      </c>
      <c r="L5478">
        <v>3</v>
      </c>
      <c r="M5478">
        <v>0</v>
      </c>
      <c r="N5478">
        <v>2</v>
      </c>
      <c r="O5478">
        <v>1</v>
      </c>
      <c r="P5478">
        <v>0</v>
      </c>
      <c r="Q5478">
        <v>0</v>
      </c>
      <c r="S5478" t="str">
        <f t="shared" si="2540"/>
        <v>14:51:24.094</v>
      </c>
      <c r="T5478" t="str">
        <f t="shared" si="2541"/>
        <v>14:51:23.794</v>
      </c>
      <c r="U5478" t="str">
        <f t="shared" si="2524"/>
        <v>A9808D</v>
      </c>
      <c r="V5478">
        <v>0</v>
      </c>
      <c r="W5478">
        <v>0</v>
      </c>
      <c r="X5478">
        <v>1</v>
      </c>
      <c r="Z5478">
        <v>0</v>
      </c>
      <c r="AA5478">
        <v>9</v>
      </c>
      <c r="AB5478">
        <v>3</v>
      </c>
      <c r="AC5478">
        <v>0</v>
      </c>
      <c r="AD5478">
        <v>10</v>
      </c>
      <c r="AE5478">
        <v>0</v>
      </c>
      <c r="AF5478">
        <v>3</v>
      </c>
      <c r="AG5478">
        <v>2</v>
      </c>
      <c r="AH5478">
        <v>0</v>
      </c>
      <c r="AI5478" t="s">
        <v>1215</v>
      </c>
      <c r="AJ5478">
        <v>28.216345</v>
      </c>
      <c r="AK5478" t="s">
        <v>1216</v>
      </c>
      <c r="AL5478">
        <v>-82.393105000000006</v>
      </c>
      <c r="AM5478">
        <v>100</v>
      </c>
      <c r="AN5478">
        <v>1200</v>
      </c>
      <c r="AO5478" t="s">
        <v>118</v>
      </c>
      <c r="AP5478">
        <v>-6</v>
      </c>
      <c r="AQ5478">
        <v>-118</v>
      </c>
      <c r="AR5478">
        <v>-1472</v>
      </c>
      <c r="AZ5478">
        <v>1200</v>
      </c>
      <c r="BA5478">
        <v>1</v>
      </c>
      <c r="BB5478" t="str">
        <f t="shared" si="2534"/>
        <v xml:space="preserve">N711JA  </v>
      </c>
      <c r="BC5478">
        <v>1</v>
      </c>
      <c r="BE5478">
        <v>0</v>
      </c>
      <c r="BF5478">
        <v>0</v>
      </c>
      <c r="BG5478">
        <v>0</v>
      </c>
      <c r="BH5478">
        <v>1300</v>
      </c>
      <c r="BI5478">
        <v>1</v>
      </c>
      <c r="BJ5478">
        <v>1</v>
      </c>
      <c r="BK5478">
        <v>0</v>
      </c>
      <c r="BL5478">
        <v>0</v>
      </c>
      <c r="BO5478">
        <v>0</v>
      </c>
      <c r="BP5478">
        <v>0</v>
      </c>
      <c r="BW5478" t="str">
        <f t="shared" si="2542"/>
        <v>14:51:24.100</v>
      </c>
      <c r="CJ5478">
        <v>0</v>
      </c>
      <c r="CK5478">
        <v>2</v>
      </c>
      <c r="CL5478">
        <v>0</v>
      </c>
      <c r="CM5478">
        <v>2</v>
      </c>
      <c r="CN5478">
        <v>0</v>
      </c>
      <c r="CO5478">
        <v>7</v>
      </c>
      <c r="CP5478" t="s">
        <v>119</v>
      </c>
      <c r="CQ5478">
        <v>343</v>
      </c>
      <c r="CR5478">
        <v>1</v>
      </c>
      <c r="CW5478">
        <v>11158684</v>
      </c>
      <c r="CY5478">
        <v>1</v>
      </c>
      <c r="CZ5478">
        <v>0</v>
      </c>
      <c r="DA5478">
        <v>1</v>
      </c>
      <c r="DB5478">
        <v>0</v>
      </c>
      <c r="DC5478">
        <v>0</v>
      </c>
      <c r="DD5478">
        <v>1</v>
      </c>
      <c r="DE5478">
        <v>0</v>
      </c>
      <c r="DF5478">
        <v>0</v>
      </c>
      <c r="DG5478">
        <v>0</v>
      </c>
      <c r="DH5478">
        <v>0</v>
      </c>
      <c r="DI5478">
        <v>0</v>
      </c>
    </row>
    <row r="5479" spans="1:113" x14ac:dyDescent="0.3">
      <c r="A5479" t="str">
        <f t="shared" ref="A5479:A5486" si="2543">"05/12/2020 14:51:07.302"</f>
        <v>05/12/2020 14:51:07.302</v>
      </c>
      <c r="C5479" t="str">
        <f t="shared" si="2533"/>
        <v>FFDFD3C0</v>
      </c>
      <c r="D5479" t="s">
        <v>113</v>
      </c>
      <c r="E5479">
        <v>3</v>
      </c>
      <c r="H5479">
        <v>164</v>
      </c>
      <c r="I5479" t="s">
        <v>114</v>
      </c>
      <c r="J5479" t="s">
        <v>115</v>
      </c>
      <c r="K5479">
        <v>0</v>
      </c>
      <c r="L5479">
        <v>3</v>
      </c>
      <c r="M5479">
        <v>0</v>
      </c>
      <c r="N5479">
        <v>2</v>
      </c>
      <c r="O5479">
        <v>1</v>
      </c>
      <c r="P5479">
        <v>0</v>
      </c>
      <c r="Q5479">
        <v>0</v>
      </c>
      <c r="S5479" t="str">
        <f t="shared" ref="S5479:S5486" si="2544">"14:51:25.125"</f>
        <v>14:51:25.125</v>
      </c>
      <c r="T5479" t="str">
        <f t="shared" ref="T5479:T5486" si="2545">"14:51:24.825"</f>
        <v>14:51:24.825</v>
      </c>
      <c r="U5479" t="str">
        <f t="shared" si="2524"/>
        <v>A9808D</v>
      </c>
      <c r="V5479">
        <v>0</v>
      </c>
      <c r="W5479">
        <v>0</v>
      </c>
      <c r="X5479">
        <v>1</v>
      </c>
      <c r="Z5479">
        <v>0</v>
      </c>
      <c r="AA5479">
        <v>9</v>
      </c>
      <c r="AB5479">
        <v>3</v>
      </c>
      <c r="AC5479">
        <v>0</v>
      </c>
      <c r="AD5479">
        <v>10</v>
      </c>
      <c r="AE5479">
        <v>0</v>
      </c>
      <c r="AF5479">
        <v>3</v>
      </c>
      <c r="AG5479">
        <v>2</v>
      </c>
      <c r="AH5479">
        <v>0</v>
      </c>
      <c r="AI5479" t="s">
        <v>1217</v>
      </c>
      <c r="AJ5479">
        <v>28.215786999999999</v>
      </c>
      <c r="AK5479" t="s">
        <v>1214</v>
      </c>
      <c r="AL5479">
        <v>-82.393040999999997</v>
      </c>
      <c r="AM5479">
        <v>100</v>
      </c>
      <c r="AN5479">
        <v>1200</v>
      </c>
      <c r="AO5479" t="s">
        <v>118</v>
      </c>
      <c r="AP5479">
        <v>3</v>
      </c>
      <c r="AQ5479">
        <v>-118</v>
      </c>
      <c r="AR5479">
        <v>-1344</v>
      </c>
      <c r="AZ5479">
        <v>1200</v>
      </c>
      <c r="BA5479">
        <v>1</v>
      </c>
      <c r="BB5479" t="str">
        <f t="shared" si="2534"/>
        <v xml:space="preserve">N711JA  </v>
      </c>
      <c r="BC5479">
        <v>1</v>
      </c>
      <c r="BE5479">
        <v>0</v>
      </c>
      <c r="BF5479">
        <v>0</v>
      </c>
      <c r="BG5479">
        <v>0</v>
      </c>
      <c r="BH5479">
        <v>1275</v>
      </c>
      <c r="BI5479">
        <v>1</v>
      </c>
      <c r="BJ5479">
        <v>1</v>
      </c>
      <c r="BK5479">
        <v>0</v>
      </c>
      <c r="BL5479">
        <v>0</v>
      </c>
      <c r="BO5479">
        <v>0</v>
      </c>
      <c r="BP5479">
        <v>0</v>
      </c>
      <c r="BW5479" t="str">
        <f t="shared" ref="BW5479:BW5486" si="2546">"14:51:25.126"</f>
        <v>14:51:25.126</v>
      </c>
      <c r="CJ5479">
        <v>0</v>
      </c>
      <c r="CK5479">
        <v>2</v>
      </c>
      <c r="CL5479">
        <v>0</v>
      </c>
      <c r="CM5479">
        <v>2</v>
      </c>
      <c r="CN5479">
        <v>0</v>
      </c>
      <c r="CO5479">
        <v>7</v>
      </c>
      <c r="CP5479" t="s">
        <v>119</v>
      </c>
      <c r="CQ5479">
        <v>343</v>
      </c>
      <c r="CR5479">
        <v>2</v>
      </c>
      <c r="CW5479">
        <v>13412030</v>
      </c>
      <c r="CY5479">
        <v>1</v>
      </c>
      <c r="CZ5479">
        <v>0</v>
      </c>
      <c r="DA5479">
        <v>0</v>
      </c>
      <c r="DB5479">
        <v>0</v>
      </c>
      <c r="DC5479">
        <v>0</v>
      </c>
      <c r="DD5479">
        <v>1</v>
      </c>
      <c r="DE5479">
        <v>0</v>
      </c>
      <c r="DF5479">
        <v>0</v>
      </c>
      <c r="DG5479">
        <v>0</v>
      </c>
      <c r="DH5479">
        <v>0</v>
      </c>
      <c r="DI5479">
        <v>0</v>
      </c>
    </row>
    <row r="5480" spans="1:113" x14ac:dyDescent="0.3">
      <c r="A5480" t="str">
        <f t="shared" si="2543"/>
        <v>05/12/2020 14:51:07.302</v>
      </c>
      <c r="C5480" t="str">
        <f t="shared" si="2533"/>
        <v>FFDFD3C0</v>
      </c>
      <c r="D5480" t="s">
        <v>126</v>
      </c>
      <c r="E5480">
        <v>7</v>
      </c>
      <c r="F5480">
        <v>1007</v>
      </c>
      <c r="G5480" t="s">
        <v>127</v>
      </c>
      <c r="J5480" t="s">
        <v>128</v>
      </c>
      <c r="K5480">
        <v>0</v>
      </c>
      <c r="L5480">
        <v>3</v>
      </c>
      <c r="M5480">
        <v>0</v>
      </c>
      <c r="N5480">
        <v>2</v>
      </c>
      <c r="O5480">
        <v>1</v>
      </c>
      <c r="P5480">
        <v>0</v>
      </c>
      <c r="Q5480">
        <v>0</v>
      </c>
      <c r="S5480" t="str">
        <f t="shared" si="2544"/>
        <v>14:51:25.125</v>
      </c>
      <c r="T5480" t="str">
        <f t="shared" si="2545"/>
        <v>14:51:24.825</v>
      </c>
      <c r="U5480" t="str">
        <f t="shared" si="2524"/>
        <v>A9808D</v>
      </c>
      <c r="V5480">
        <v>0</v>
      </c>
      <c r="W5480">
        <v>0</v>
      </c>
      <c r="X5480">
        <v>1</v>
      </c>
      <c r="Z5480">
        <v>0</v>
      </c>
      <c r="AA5480">
        <v>9</v>
      </c>
      <c r="AB5480">
        <v>3</v>
      </c>
      <c r="AC5480">
        <v>0</v>
      </c>
      <c r="AD5480">
        <v>10</v>
      </c>
      <c r="AE5480">
        <v>0</v>
      </c>
      <c r="AF5480">
        <v>3</v>
      </c>
      <c r="AG5480">
        <v>2</v>
      </c>
      <c r="AH5480">
        <v>0</v>
      </c>
      <c r="AI5480" t="s">
        <v>1217</v>
      </c>
      <c r="AJ5480">
        <v>28.215786999999999</v>
      </c>
      <c r="AK5480" t="s">
        <v>1214</v>
      </c>
      <c r="AL5480">
        <v>-82.393040999999997</v>
      </c>
      <c r="AM5480">
        <v>100</v>
      </c>
      <c r="AN5480">
        <v>1200</v>
      </c>
      <c r="AO5480" t="s">
        <v>118</v>
      </c>
      <c r="AP5480">
        <v>3</v>
      </c>
      <c r="AQ5480">
        <v>-118</v>
      </c>
      <c r="AR5480">
        <v>-1344</v>
      </c>
      <c r="AZ5480">
        <v>1200</v>
      </c>
      <c r="BA5480">
        <v>1</v>
      </c>
      <c r="BB5480" t="str">
        <f t="shared" si="2534"/>
        <v xml:space="preserve">N711JA  </v>
      </c>
      <c r="BC5480">
        <v>1</v>
      </c>
      <c r="BE5480">
        <v>0</v>
      </c>
      <c r="BF5480">
        <v>0</v>
      </c>
      <c r="BG5480">
        <v>0</v>
      </c>
      <c r="BH5480">
        <v>1275</v>
      </c>
      <c r="BI5480">
        <v>1</v>
      </c>
      <c r="BJ5480">
        <v>1</v>
      </c>
      <c r="BK5480">
        <v>0</v>
      </c>
      <c r="BL5480">
        <v>0</v>
      </c>
      <c r="BO5480">
        <v>0</v>
      </c>
      <c r="BP5480">
        <v>0</v>
      </c>
      <c r="BW5480" t="str">
        <f t="shared" si="2546"/>
        <v>14:51:25.126</v>
      </c>
      <c r="CJ5480">
        <v>0</v>
      </c>
      <c r="CK5480">
        <v>2</v>
      </c>
      <c r="CL5480">
        <v>0</v>
      </c>
      <c r="CM5480">
        <v>2</v>
      </c>
      <c r="CN5480">
        <v>0</v>
      </c>
      <c r="CO5480">
        <v>7</v>
      </c>
      <c r="CP5480" t="s">
        <v>119</v>
      </c>
      <c r="CQ5480">
        <v>358</v>
      </c>
      <c r="CR5480">
        <v>0</v>
      </c>
      <c r="CW5480">
        <v>5275368</v>
      </c>
      <c r="CY5480">
        <v>1</v>
      </c>
      <c r="CZ5480">
        <v>0</v>
      </c>
      <c r="DA5480">
        <v>1</v>
      </c>
      <c r="DB5480">
        <v>0</v>
      </c>
      <c r="DC5480">
        <v>0</v>
      </c>
      <c r="DD5480">
        <v>1</v>
      </c>
      <c r="DE5480">
        <v>0</v>
      </c>
      <c r="DF5480">
        <v>0</v>
      </c>
      <c r="DG5480">
        <v>0</v>
      </c>
      <c r="DH5480">
        <v>0</v>
      </c>
      <c r="DI5480">
        <v>0</v>
      </c>
    </row>
    <row r="5481" spans="1:113" x14ac:dyDescent="0.3">
      <c r="A5481" t="str">
        <f t="shared" si="2543"/>
        <v>05/12/2020 14:51:07.302</v>
      </c>
      <c r="C5481" t="str">
        <f t="shared" si="2533"/>
        <v>FFDFD3C0</v>
      </c>
      <c r="D5481" t="s">
        <v>126</v>
      </c>
      <c r="E5481">
        <v>6</v>
      </c>
      <c r="F5481">
        <v>1006</v>
      </c>
      <c r="G5481" t="s">
        <v>114</v>
      </c>
      <c r="J5481" t="s">
        <v>128</v>
      </c>
      <c r="K5481">
        <v>0</v>
      </c>
      <c r="L5481">
        <v>3</v>
      </c>
      <c r="M5481">
        <v>0</v>
      </c>
      <c r="N5481">
        <v>2</v>
      </c>
      <c r="O5481">
        <v>1</v>
      </c>
      <c r="P5481">
        <v>0</v>
      </c>
      <c r="Q5481">
        <v>0</v>
      </c>
      <c r="S5481" t="str">
        <f t="shared" si="2544"/>
        <v>14:51:25.125</v>
      </c>
      <c r="T5481" t="str">
        <f t="shared" si="2545"/>
        <v>14:51:24.825</v>
      </c>
      <c r="U5481" t="str">
        <f t="shared" si="2524"/>
        <v>A9808D</v>
      </c>
      <c r="V5481">
        <v>0</v>
      </c>
      <c r="W5481">
        <v>0</v>
      </c>
      <c r="X5481">
        <v>1</v>
      </c>
      <c r="Z5481">
        <v>0</v>
      </c>
      <c r="AA5481">
        <v>9</v>
      </c>
      <c r="AB5481">
        <v>3</v>
      </c>
      <c r="AC5481">
        <v>0</v>
      </c>
      <c r="AD5481">
        <v>10</v>
      </c>
      <c r="AE5481">
        <v>0</v>
      </c>
      <c r="AF5481">
        <v>3</v>
      </c>
      <c r="AG5481">
        <v>2</v>
      </c>
      <c r="AH5481">
        <v>0</v>
      </c>
      <c r="AI5481" t="s">
        <v>1217</v>
      </c>
      <c r="AJ5481">
        <v>28.215786999999999</v>
      </c>
      <c r="AK5481" t="s">
        <v>1214</v>
      </c>
      <c r="AL5481">
        <v>-82.393040999999997</v>
      </c>
      <c r="AM5481">
        <v>100</v>
      </c>
      <c r="AN5481">
        <v>1200</v>
      </c>
      <c r="AO5481" t="s">
        <v>118</v>
      </c>
      <c r="AP5481">
        <v>3</v>
      </c>
      <c r="AQ5481">
        <v>-118</v>
      </c>
      <c r="AR5481">
        <v>-1344</v>
      </c>
      <c r="AZ5481">
        <v>1200</v>
      </c>
      <c r="BA5481">
        <v>1</v>
      </c>
      <c r="BB5481" t="str">
        <f t="shared" si="2534"/>
        <v xml:space="preserve">N711JA  </v>
      </c>
      <c r="BC5481">
        <v>1</v>
      </c>
      <c r="BE5481">
        <v>0</v>
      </c>
      <c r="BF5481">
        <v>0</v>
      </c>
      <c r="BG5481">
        <v>0</v>
      </c>
      <c r="BH5481">
        <v>1275</v>
      </c>
      <c r="BI5481">
        <v>1</v>
      </c>
      <c r="BJ5481">
        <v>1</v>
      </c>
      <c r="BK5481">
        <v>0</v>
      </c>
      <c r="BL5481">
        <v>0</v>
      </c>
      <c r="BO5481">
        <v>0</v>
      </c>
      <c r="BP5481">
        <v>0</v>
      </c>
      <c r="BW5481" t="str">
        <f t="shared" si="2546"/>
        <v>14:51:25.126</v>
      </c>
      <c r="CJ5481">
        <v>0</v>
      </c>
      <c r="CK5481">
        <v>2</v>
      </c>
      <c r="CL5481">
        <v>0</v>
      </c>
      <c r="CM5481">
        <v>2</v>
      </c>
      <c r="CN5481">
        <v>0</v>
      </c>
      <c r="CO5481">
        <v>7</v>
      </c>
      <c r="CP5481" t="s">
        <v>119</v>
      </c>
      <c r="CQ5481">
        <v>358</v>
      </c>
      <c r="CR5481">
        <v>0</v>
      </c>
      <c r="CW5481">
        <v>5275368</v>
      </c>
      <c r="CY5481">
        <v>1</v>
      </c>
      <c r="CZ5481">
        <v>0</v>
      </c>
      <c r="DA5481">
        <v>1</v>
      </c>
      <c r="DB5481">
        <v>0</v>
      </c>
      <c r="DC5481">
        <v>0</v>
      </c>
      <c r="DD5481">
        <v>1</v>
      </c>
      <c r="DE5481">
        <v>0</v>
      </c>
      <c r="DF5481">
        <v>0</v>
      </c>
      <c r="DG5481">
        <v>0</v>
      </c>
      <c r="DH5481">
        <v>0</v>
      </c>
      <c r="DI5481">
        <v>0</v>
      </c>
    </row>
    <row r="5482" spans="1:113" x14ac:dyDescent="0.3">
      <c r="A5482" t="str">
        <f t="shared" si="2543"/>
        <v>05/12/2020 14:51:07.302</v>
      </c>
      <c r="C5482" t="str">
        <f t="shared" si="2533"/>
        <v>FFDFD3C0</v>
      </c>
      <c r="D5482" t="s">
        <v>131</v>
      </c>
      <c r="E5482">
        <v>12</v>
      </c>
      <c r="F5482">
        <v>2012</v>
      </c>
      <c r="G5482" t="s">
        <v>137</v>
      </c>
      <c r="J5482" t="s">
        <v>133</v>
      </c>
      <c r="K5482">
        <v>0</v>
      </c>
      <c r="L5482">
        <v>3</v>
      </c>
      <c r="M5482">
        <v>0</v>
      </c>
      <c r="N5482">
        <v>2</v>
      </c>
      <c r="O5482">
        <v>1</v>
      </c>
      <c r="P5482">
        <v>0</v>
      </c>
      <c r="Q5482">
        <v>0</v>
      </c>
      <c r="S5482" t="str">
        <f t="shared" si="2544"/>
        <v>14:51:25.125</v>
      </c>
      <c r="T5482" t="str">
        <f t="shared" si="2545"/>
        <v>14:51:24.825</v>
      </c>
      <c r="U5482" t="str">
        <f t="shared" si="2524"/>
        <v>A9808D</v>
      </c>
      <c r="V5482">
        <v>0</v>
      </c>
      <c r="W5482">
        <v>0</v>
      </c>
      <c r="X5482">
        <v>1</v>
      </c>
      <c r="Z5482">
        <v>0</v>
      </c>
      <c r="AA5482">
        <v>9</v>
      </c>
      <c r="AB5482">
        <v>3</v>
      </c>
      <c r="AC5482">
        <v>0</v>
      </c>
      <c r="AD5482">
        <v>10</v>
      </c>
      <c r="AE5482">
        <v>0</v>
      </c>
      <c r="AF5482">
        <v>3</v>
      </c>
      <c r="AG5482">
        <v>2</v>
      </c>
      <c r="AH5482">
        <v>0</v>
      </c>
      <c r="AI5482" t="s">
        <v>1217</v>
      </c>
      <c r="AJ5482">
        <v>28.215786999999999</v>
      </c>
      <c r="AK5482" t="s">
        <v>1214</v>
      </c>
      <c r="AL5482">
        <v>-82.393040999999997</v>
      </c>
      <c r="AM5482">
        <v>100</v>
      </c>
      <c r="AN5482">
        <v>1200</v>
      </c>
      <c r="AO5482" t="s">
        <v>118</v>
      </c>
      <c r="AP5482">
        <v>3</v>
      </c>
      <c r="AQ5482">
        <v>-118</v>
      </c>
      <c r="AR5482">
        <v>-1344</v>
      </c>
      <c r="AZ5482">
        <v>1200</v>
      </c>
      <c r="BA5482">
        <v>1</v>
      </c>
      <c r="BB5482" t="str">
        <f t="shared" si="2534"/>
        <v xml:space="preserve">N711JA  </v>
      </c>
      <c r="BC5482">
        <v>1</v>
      </c>
      <c r="BE5482">
        <v>0</v>
      </c>
      <c r="BF5482">
        <v>0</v>
      </c>
      <c r="BG5482">
        <v>0</v>
      </c>
      <c r="BH5482">
        <v>1275</v>
      </c>
      <c r="BI5482">
        <v>1</v>
      </c>
      <c r="BJ5482">
        <v>1</v>
      </c>
      <c r="BK5482">
        <v>0</v>
      </c>
      <c r="BL5482">
        <v>0</v>
      </c>
      <c r="BO5482">
        <v>0</v>
      </c>
      <c r="BP5482">
        <v>0</v>
      </c>
      <c r="BW5482" t="str">
        <f t="shared" si="2546"/>
        <v>14:51:25.126</v>
      </c>
      <c r="CJ5482">
        <v>0</v>
      </c>
      <c r="CK5482">
        <v>2</v>
      </c>
      <c r="CL5482">
        <v>0</v>
      </c>
      <c r="CM5482">
        <v>2</v>
      </c>
      <c r="CN5482">
        <v>0</v>
      </c>
      <c r="CO5482">
        <v>7</v>
      </c>
      <c r="CP5482" t="s">
        <v>119</v>
      </c>
      <c r="CQ5482">
        <v>343</v>
      </c>
      <c r="CR5482">
        <v>2</v>
      </c>
      <c r="CW5482">
        <v>13412030</v>
      </c>
      <c r="CY5482">
        <v>1</v>
      </c>
      <c r="CZ5482">
        <v>0</v>
      </c>
      <c r="DA5482">
        <v>1</v>
      </c>
      <c r="DB5482">
        <v>0</v>
      </c>
      <c r="DC5482">
        <v>0</v>
      </c>
      <c r="DD5482">
        <v>1</v>
      </c>
      <c r="DE5482">
        <v>0</v>
      </c>
      <c r="DF5482">
        <v>0</v>
      </c>
      <c r="DG5482">
        <v>0</v>
      </c>
      <c r="DH5482">
        <v>0</v>
      </c>
      <c r="DI5482">
        <v>0</v>
      </c>
    </row>
    <row r="5483" spans="1:113" x14ac:dyDescent="0.3">
      <c r="A5483" t="str">
        <f t="shared" si="2543"/>
        <v>05/12/2020 14:51:07.302</v>
      </c>
      <c r="C5483" t="str">
        <f t="shared" si="2533"/>
        <v>FFDFD3C0</v>
      </c>
      <c r="D5483" t="s">
        <v>131</v>
      </c>
      <c r="E5483">
        <v>10</v>
      </c>
      <c r="F5483">
        <v>2010</v>
      </c>
      <c r="G5483" t="s">
        <v>132</v>
      </c>
      <c r="J5483" t="s">
        <v>133</v>
      </c>
      <c r="K5483">
        <v>0</v>
      </c>
      <c r="L5483">
        <v>3</v>
      </c>
      <c r="M5483">
        <v>0</v>
      </c>
      <c r="N5483">
        <v>2</v>
      </c>
      <c r="O5483">
        <v>1</v>
      </c>
      <c r="P5483">
        <v>0</v>
      </c>
      <c r="Q5483">
        <v>0</v>
      </c>
      <c r="S5483" t="str">
        <f t="shared" si="2544"/>
        <v>14:51:25.125</v>
      </c>
      <c r="T5483" t="str">
        <f t="shared" si="2545"/>
        <v>14:51:24.825</v>
      </c>
      <c r="U5483" t="str">
        <f t="shared" si="2524"/>
        <v>A9808D</v>
      </c>
      <c r="V5483">
        <v>0</v>
      </c>
      <c r="W5483">
        <v>0</v>
      </c>
      <c r="X5483">
        <v>1</v>
      </c>
      <c r="Z5483">
        <v>0</v>
      </c>
      <c r="AA5483">
        <v>9</v>
      </c>
      <c r="AB5483">
        <v>3</v>
      </c>
      <c r="AC5483">
        <v>0</v>
      </c>
      <c r="AD5483">
        <v>10</v>
      </c>
      <c r="AE5483">
        <v>0</v>
      </c>
      <c r="AF5483">
        <v>3</v>
      </c>
      <c r="AG5483">
        <v>2</v>
      </c>
      <c r="AH5483">
        <v>0</v>
      </c>
      <c r="AI5483" t="s">
        <v>1217</v>
      </c>
      <c r="AJ5483">
        <v>28.215786999999999</v>
      </c>
      <c r="AK5483" t="s">
        <v>1214</v>
      </c>
      <c r="AL5483">
        <v>-82.393040999999997</v>
      </c>
      <c r="AM5483">
        <v>100</v>
      </c>
      <c r="AN5483">
        <v>1200</v>
      </c>
      <c r="AO5483" t="s">
        <v>118</v>
      </c>
      <c r="AP5483">
        <v>3</v>
      </c>
      <c r="AQ5483">
        <v>-118</v>
      </c>
      <c r="AR5483">
        <v>-1344</v>
      </c>
      <c r="AZ5483">
        <v>1200</v>
      </c>
      <c r="BA5483">
        <v>1</v>
      </c>
      <c r="BB5483" t="str">
        <f t="shared" si="2534"/>
        <v xml:space="preserve">N711JA  </v>
      </c>
      <c r="BC5483">
        <v>1</v>
      </c>
      <c r="BE5483">
        <v>0</v>
      </c>
      <c r="BF5483">
        <v>0</v>
      </c>
      <c r="BG5483">
        <v>0</v>
      </c>
      <c r="BH5483">
        <v>1275</v>
      </c>
      <c r="BI5483">
        <v>1</v>
      </c>
      <c r="BJ5483">
        <v>1</v>
      </c>
      <c r="BK5483">
        <v>0</v>
      </c>
      <c r="BL5483">
        <v>0</v>
      </c>
      <c r="BO5483">
        <v>0</v>
      </c>
      <c r="BP5483">
        <v>0</v>
      </c>
      <c r="BW5483" t="str">
        <f t="shared" si="2546"/>
        <v>14:51:25.126</v>
      </c>
      <c r="CJ5483">
        <v>0</v>
      </c>
      <c r="CK5483">
        <v>2</v>
      </c>
      <c r="CL5483">
        <v>0</v>
      </c>
      <c r="CM5483">
        <v>2</v>
      </c>
      <c r="CN5483">
        <v>0</v>
      </c>
      <c r="CO5483">
        <v>7</v>
      </c>
      <c r="CP5483" t="s">
        <v>119</v>
      </c>
      <c r="CQ5483">
        <v>358</v>
      </c>
      <c r="CR5483">
        <v>0</v>
      </c>
      <c r="CW5483">
        <v>5275368</v>
      </c>
      <c r="CY5483">
        <v>1</v>
      </c>
      <c r="CZ5483">
        <v>0</v>
      </c>
      <c r="DA5483">
        <v>1</v>
      </c>
      <c r="DB5483">
        <v>0</v>
      </c>
      <c r="DC5483">
        <v>0</v>
      </c>
      <c r="DD5483">
        <v>1</v>
      </c>
      <c r="DE5483">
        <v>0</v>
      </c>
      <c r="DF5483">
        <v>0</v>
      </c>
      <c r="DG5483">
        <v>0</v>
      </c>
      <c r="DH5483">
        <v>0</v>
      </c>
      <c r="DI5483">
        <v>0</v>
      </c>
    </row>
    <row r="5484" spans="1:113" x14ac:dyDescent="0.3">
      <c r="A5484" t="str">
        <f t="shared" si="2543"/>
        <v>05/12/2020 14:51:07.302</v>
      </c>
      <c r="C5484" t="str">
        <f t="shared" si="2533"/>
        <v>FFDFD3C0</v>
      </c>
      <c r="D5484" t="s">
        <v>138</v>
      </c>
      <c r="E5484">
        <v>2</v>
      </c>
      <c r="H5484">
        <v>8</v>
      </c>
      <c r="I5484" t="s">
        <v>139</v>
      </c>
      <c r="J5484" t="s">
        <v>136</v>
      </c>
      <c r="K5484">
        <v>0</v>
      </c>
      <c r="L5484">
        <v>3</v>
      </c>
      <c r="M5484">
        <v>0</v>
      </c>
      <c r="N5484">
        <v>2</v>
      </c>
      <c r="O5484">
        <v>1</v>
      </c>
      <c r="P5484">
        <v>0</v>
      </c>
      <c r="Q5484">
        <v>0</v>
      </c>
      <c r="S5484" t="str">
        <f t="shared" si="2544"/>
        <v>14:51:25.125</v>
      </c>
      <c r="T5484" t="str">
        <f t="shared" si="2545"/>
        <v>14:51:24.825</v>
      </c>
      <c r="U5484" t="str">
        <f t="shared" si="2524"/>
        <v>A9808D</v>
      </c>
      <c r="V5484">
        <v>0</v>
      </c>
      <c r="W5484">
        <v>0</v>
      </c>
      <c r="X5484">
        <v>1</v>
      </c>
      <c r="Z5484">
        <v>0</v>
      </c>
      <c r="AA5484">
        <v>9</v>
      </c>
      <c r="AB5484">
        <v>3</v>
      </c>
      <c r="AC5484">
        <v>0</v>
      </c>
      <c r="AD5484">
        <v>10</v>
      </c>
      <c r="AE5484">
        <v>0</v>
      </c>
      <c r="AF5484">
        <v>3</v>
      </c>
      <c r="AG5484">
        <v>2</v>
      </c>
      <c r="AH5484">
        <v>0</v>
      </c>
      <c r="AI5484" t="s">
        <v>1217</v>
      </c>
      <c r="AJ5484">
        <v>28.215786999999999</v>
      </c>
      <c r="AK5484" t="s">
        <v>1214</v>
      </c>
      <c r="AL5484">
        <v>-82.393040999999997</v>
      </c>
      <c r="AM5484">
        <v>100</v>
      </c>
      <c r="AN5484">
        <v>1200</v>
      </c>
      <c r="AO5484" t="s">
        <v>118</v>
      </c>
      <c r="AP5484">
        <v>3</v>
      </c>
      <c r="AQ5484">
        <v>-118</v>
      </c>
      <c r="AR5484">
        <v>-1344</v>
      </c>
      <c r="AZ5484">
        <v>1200</v>
      </c>
      <c r="BA5484">
        <v>1</v>
      </c>
      <c r="BB5484" t="str">
        <f t="shared" si="2534"/>
        <v xml:space="preserve">N711JA  </v>
      </c>
      <c r="BC5484">
        <v>1</v>
      </c>
      <c r="BE5484">
        <v>0</v>
      </c>
      <c r="BF5484">
        <v>0</v>
      </c>
      <c r="BG5484">
        <v>0</v>
      </c>
      <c r="BH5484">
        <v>1275</v>
      </c>
      <c r="BI5484">
        <v>1</v>
      </c>
      <c r="BJ5484">
        <v>1</v>
      </c>
      <c r="BK5484">
        <v>0</v>
      </c>
      <c r="BL5484">
        <v>0</v>
      </c>
      <c r="BO5484">
        <v>0</v>
      </c>
      <c r="BP5484">
        <v>0</v>
      </c>
      <c r="BW5484" t="str">
        <f t="shared" si="2546"/>
        <v>14:51:25.126</v>
      </c>
      <c r="CJ5484">
        <v>0</v>
      </c>
      <c r="CK5484">
        <v>2</v>
      </c>
      <c r="CL5484">
        <v>0</v>
      </c>
      <c r="CM5484">
        <v>2</v>
      </c>
      <c r="CN5484">
        <v>0</v>
      </c>
      <c r="CO5484">
        <v>7</v>
      </c>
      <c r="CP5484" t="s">
        <v>119</v>
      </c>
      <c r="CQ5484">
        <v>343</v>
      </c>
      <c r="CR5484">
        <v>2</v>
      </c>
      <c r="CW5484">
        <v>13412030</v>
      </c>
      <c r="CY5484">
        <v>1</v>
      </c>
      <c r="CZ5484">
        <v>0</v>
      </c>
      <c r="DA5484">
        <v>1</v>
      </c>
      <c r="DB5484">
        <v>0</v>
      </c>
      <c r="DC5484">
        <v>0</v>
      </c>
      <c r="DD5484">
        <v>1</v>
      </c>
      <c r="DE5484">
        <v>0</v>
      </c>
      <c r="DF5484">
        <v>0</v>
      </c>
      <c r="DG5484">
        <v>0</v>
      </c>
      <c r="DH5484">
        <v>0</v>
      </c>
      <c r="DI5484">
        <v>0</v>
      </c>
    </row>
    <row r="5485" spans="1:113" x14ac:dyDescent="0.3">
      <c r="A5485" t="str">
        <f t="shared" si="2543"/>
        <v>05/12/2020 14:51:07.302</v>
      </c>
      <c r="C5485" t="str">
        <f t="shared" si="2533"/>
        <v>FFDFD3C0</v>
      </c>
      <c r="D5485" t="s">
        <v>138</v>
      </c>
      <c r="E5485">
        <v>3</v>
      </c>
      <c r="H5485">
        <v>9</v>
      </c>
      <c r="I5485" t="s">
        <v>140</v>
      </c>
      <c r="J5485" t="s">
        <v>136</v>
      </c>
      <c r="K5485">
        <v>0</v>
      </c>
      <c r="L5485">
        <v>3</v>
      </c>
      <c r="M5485">
        <v>0</v>
      </c>
      <c r="N5485">
        <v>2</v>
      </c>
      <c r="O5485">
        <v>1</v>
      </c>
      <c r="P5485">
        <v>0</v>
      </c>
      <c r="Q5485">
        <v>0</v>
      </c>
      <c r="S5485" t="str">
        <f t="shared" si="2544"/>
        <v>14:51:25.125</v>
      </c>
      <c r="T5485" t="str">
        <f t="shared" si="2545"/>
        <v>14:51:24.825</v>
      </c>
      <c r="U5485" t="str">
        <f t="shared" si="2524"/>
        <v>A9808D</v>
      </c>
      <c r="V5485">
        <v>0</v>
      </c>
      <c r="W5485">
        <v>0</v>
      </c>
      <c r="X5485">
        <v>1</v>
      </c>
      <c r="Z5485">
        <v>0</v>
      </c>
      <c r="AA5485">
        <v>9</v>
      </c>
      <c r="AB5485">
        <v>3</v>
      </c>
      <c r="AC5485">
        <v>0</v>
      </c>
      <c r="AD5485">
        <v>10</v>
      </c>
      <c r="AE5485">
        <v>0</v>
      </c>
      <c r="AF5485">
        <v>3</v>
      </c>
      <c r="AG5485">
        <v>2</v>
      </c>
      <c r="AH5485">
        <v>0</v>
      </c>
      <c r="AI5485" t="s">
        <v>1217</v>
      </c>
      <c r="AJ5485">
        <v>28.215786999999999</v>
      </c>
      <c r="AK5485" t="s">
        <v>1214</v>
      </c>
      <c r="AL5485">
        <v>-82.393040999999997</v>
      </c>
      <c r="AM5485">
        <v>100</v>
      </c>
      <c r="AN5485">
        <v>1200</v>
      </c>
      <c r="AO5485" t="s">
        <v>118</v>
      </c>
      <c r="AP5485">
        <v>3</v>
      </c>
      <c r="AQ5485">
        <v>-118</v>
      </c>
      <c r="AR5485">
        <v>-1344</v>
      </c>
      <c r="AZ5485">
        <v>1200</v>
      </c>
      <c r="BA5485">
        <v>1</v>
      </c>
      <c r="BB5485" t="str">
        <f t="shared" si="2534"/>
        <v xml:space="preserve">N711JA  </v>
      </c>
      <c r="BC5485">
        <v>1</v>
      </c>
      <c r="BE5485">
        <v>0</v>
      </c>
      <c r="BF5485">
        <v>0</v>
      </c>
      <c r="BG5485">
        <v>0</v>
      </c>
      <c r="BH5485">
        <v>1275</v>
      </c>
      <c r="BI5485">
        <v>1</v>
      </c>
      <c r="BJ5485">
        <v>1</v>
      </c>
      <c r="BK5485">
        <v>0</v>
      </c>
      <c r="BL5485">
        <v>0</v>
      </c>
      <c r="BO5485">
        <v>0</v>
      </c>
      <c r="BP5485">
        <v>0</v>
      </c>
      <c r="BW5485" t="str">
        <f t="shared" si="2546"/>
        <v>14:51:25.126</v>
      </c>
      <c r="CJ5485">
        <v>0</v>
      </c>
      <c r="CK5485">
        <v>2</v>
      </c>
      <c r="CL5485">
        <v>0</v>
      </c>
      <c r="CM5485">
        <v>2</v>
      </c>
      <c r="CN5485">
        <v>0</v>
      </c>
      <c r="CO5485">
        <v>7</v>
      </c>
      <c r="CP5485" t="s">
        <v>119</v>
      </c>
      <c r="CQ5485">
        <v>358</v>
      </c>
      <c r="CR5485">
        <v>0</v>
      </c>
      <c r="CW5485">
        <v>5275368</v>
      </c>
      <c r="CY5485">
        <v>1</v>
      </c>
      <c r="CZ5485">
        <v>0</v>
      </c>
      <c r="DA5485">
        <v>1</v>
      </c>
      <c r="DB5485">
        <v>0</v>
      </c>
      <c r="DC5485">
        <v>0</v>
      </c>
      <c r="DD5485">
        <v>1</v>
      </c>
      <c r="DE5485">
        <v>0</v>
      </c>
      <c r="DF5485">
        <v>0</v>
      </c>
      <c r="DG5485">
        <v>0</v>
      </c>
      <c r="DH5485">
        <v>0</v>
      </c>
      <c r="DI5485">
        <v>0</v>
      </c>
    </row>
    <row r="5486" spans="1:113" x14ac:dyDescent="0.3">
      <c r="A5486" t="str">
        <f t="shared" si="2543"/>
        <v>05/12/2020 14:51:07.302</v>
      </c>
      <c r="C5486" t="str">
        <f t="shared" si="2533"/>
        <v>FFDFD3C0</v>
      </c>
      <c r="D5486" t="s">
        <v>134</v>
      </c>
      <c r="E5486">
        <v>12</v>
      </c>
      <c r="H5486">
        <v>64</v>
      </c>
      <c r="I5486" t="s">
        <v>135</v>
      </c>
      <c r="J5486" t="s">
        <v>136</v>
      </c>
      <c r="K5486">
        <v>0</v>
      </c>
      <c r="L5486">
        <v>3</v>
      </c>
      <c r="M5486">
        <v>0</v>
      </c>
      <c r="N5486">
        <v>2</v>
      </c>
      <c r="O5486">
        <v>1</v>
      </c>
      <c r="P5486">
        <v>0</v>
      </c>
      <c r="Q5486">
        <v>0</v>
      </c>
      <c r="S5486" t="str">
        <f t="shared" si="2544"/>
        <v>14:51:25.125</v>
      </c>
      <c r="T5486" t="str">
        <f t="shared" si="2545"/>
        <v>14:51:24.825</v>
      </c>
      <c r="U5486" t="str">
        <f t="shared" si="2524"/>
        <v>A9808D</v>
      </c>
      <c r="V5486">
        <v>0</v>
      </c>
      <c r="W5486">
        <v>0</v>
      </c>
      <c r="X5486">
        <v>1</v>
      </c>
      <c r="Z5486">
        <v>0</v>
      </c>
      <c r="AA5486">
        <v>9</v>
      </c>
      <c r="AB5486">
        <v>3</v>
      </c>
      <c r="AC5486">
        <v>0</v>
      </c>
      <c r="AD5486">
        <v>10</v>
      </c>
      <c r="AE5486">
        <v>0</v>
      </c>
      <c r="AF5486">
        <v>3</v>
      </c>
      <c r="AG5486">
        <v>2</v>
      </c>
      <c r="AH5486">
        <v>0</v>
      </c>
      <c r="AI5486" t="s">
        <v>1217</v>
      </c>
      <c r="AJ5486">
        <v>28.215786999999999</v>
      </c>
      <c r="AK5486" t="s">
        <v>1214</v>
      </c>
      <c r="AL5486">
        <v>-82.393040999999997</v>
      </c>
      <c r="AM5486">
        <v>100</v>
      </c>
      <c r="AN5486">
        <v>1200</v>
      </c>
      <c r="AO5486" t="s">
        <v>118</v>
      </c>
      <c r="AP5486">
        <v>3</v>
      </c>
      <c r="AQ5486">
        <v>-118</v>
      </c>
      <c r="AR5486">
        <v>-1344</v>
      </c>
      <c r="AZ5486">
        <v>1200</v>
      </c>
      <c r="BA5486">
        <v>1</v>
      </c>
      <c r="BB5486" t="str">
        <f t="shared" si="2534"/>
        <v xml:space="preserve">N711JA  </v>
      </c>
      <c r="BC5486">
        <v>1</v>
      </c>
      <c r="BE5486">
        <v>0</v>
      </c>
      <c r="BF5486">
        <v>0</v>
      </c>
      <c r="BG5486">
        <v>0</v>
      </c>
      <c r="BH5486">
        <v>1275</v>
      </c>
      <c r="BI5486">
        <v>1</v>
      </c>
      <c r="BJ5486">
        <v>1</v>
      </c>
      <c r="BK5486">
        <v>0</v>
      </c>
      <c r="BL5486">
        <v>0</v>
      </c>
      <c r="BO5486">
        <v>0</v>
      </c>
      <c r="BP5486">
        <v>0</v>
      </c>
      <c r="BW5486" t="str">
        <f t="shared" si="2546"/>
        <v>14:51:25.126</v>
      </c>
      <c r="CJ5486">
        <v>0</v>
      </c>
      <c r="CK5486">
        <v>2</v>
      </c>
      <c r="CL5486">
        <v>0</v>
      </c>
      <c r="CM5486">
        <v>2</v>
      </c>
      <c r="CN5486">
        <v>0</v>
      </c>
      <c r="CO5486">
        <v>7</v>
      </c>
      <c r="CP5486" t="s">
        <v>119</v>
      </c>
      <c r="CQ5486">
        <v>358</v>
      </c>
      <c r="CR5486">
        <v>0</v>
      </c>
      <c r="CW5486">
        <v>5275368</v>
      </c>
      <c r="CY5486">
        <v>1</v>
      </c>
      <c r="CZ5486">
        <v>0</v>
      </c>
      <c r="DA5486">
        <v>1</v>
      </c>
      <c r="DB5486">
        <v>0</v>
      </c>
      <c r="DC5486">
        <v>0</v>
      </c>
      <c r="DD5486">
        <v>1</v>
      </c>
      <c r="DE5486">
        <v>0</v>
      </c>
      <c r="DF5486">
        <v>0</v>
      </c>
      <c r="DG5486">
        <v>0</v>
      </c>
      <c r="DH5486">
        <v>0</v>
      </c>
      <c r="DI5486">
        <v>0</v>
      </c>
    </row>
    <row r="5487" spans="1:113" x14ac:dyDescent="0.3">
      <c r="A5487" t="str">
        <f t="shared" ref="A5487:A5494" si="2547">"05/12/2020 14:51:08.254"</f>
        <v>05/12/2020 14:51:08.254</v>
      </c>
      <c r="C5487" t="str">
        <f t="shared" si="2533"/>
        <v>FFDFD3C0</v>
      </c>
      <c r="D5487" t="s">
        <v>134</v>
      </c>
      <c r="E5487">
        <v>12</v>
      </c>
      <c r="H5487">
        <v>64</v>
      </c>
      <c r="I5487" t="s">
        <v>135</v>
      </c>
      <c r="J5487" t="s">
        <v>136</v>
      </c>
      <c r="K5487">
        <v>0</v>
      </c>
      <c r="L5487">
        <v>3</v>
      </c>
      <c r="M5487">
        <v>0</v>
      </c>
      <c r="N5487">
        <v>2</v>
      </c>
      <c r="O5487">
        <v>1</v>
      </c>
      <c r="P5487">
        <v>0</v>
      </c>
      <c r="Q5487">
        <v>0</v>
      </c>
      <c r="S5487" t="str">
        <f t="shared" ref="S5487:S5494" si="2548">"14:51:26.078"</f>
        <v>14:51:26.078</v>
      </c>
      <c r="T5487" t="str">
        <f t="shared" ref="T5487:T5494" si="2549">"14:51:25.778"</f>
        <v>14:51:25.778</v>
      </c>
      <c r="U5487" t="str">
        <f t="shared" si="2524"/>
        <v>A9808D</v>
      </c>
      <c r="V5487">
        <v>0</v>
      </c>
      <c r="W5487">
        <v>0</v>
      </c>
      <c r="X5487">
        <v>1</v>
      </c>
      <c r="Z5487">
        <v>0</v>
      </c>
      <c r="AA5487">
        <v>9</v>
      </c>
      <c r="AB5487">
        <v>3</v>
      </c>
      <c r="AC5487">
        <v>0</v>
      </c>
      <c r="AD5487">
        <v>10</v>
      </c>
      <c r="AE5487">
        <v>0</v>
      </c>
      <c r="AF5487">
        <v>3</v>
      </c>
      <c r="AG5487">
        <v>2</v>
      </c>
      <c r="AH5487">
        <v>0</v>
      </c>
      <c r="AI5487" t="s">
        <v>1218</v>
      </c>
      <c r="AJ5487">
        <v>28.215208000000001</v>
      </c>
      <c r="AK5487" t="s">
        <v>1219</v>
      </c>
      <c r="AL5487">
        <v>-82.392998000000006</v>
      </c>
      <c r="AM5487">
        <v>100</v>
      </c>
      <c r="AN5487">
        <v>1200</v>
      </c>
      <c r="AO5487" t="s">
        <v>118</v>
      </c>
      <c r="AP5487">
        <v>11</v>
      </c>
      <c r="AQ5487">
        <v>-117</v>
      </c>
      <c r="AR5487">
        <v>-1344</v>
      </c>
      <c r="AZ5487">
        <v>1200</v>
      </c>
      <c r="BA5487">
        <v>1</v>
      </c>
      <c r="BB5487" t="str">
        <f t="shared" si="2534"/>
        <v xml:space="preserve">N711JA  </v>
      </c>
      <c r="BC5487">
        <v>1</v>
      </c>
      <c r="BE5487">
        <v>0</v>
      </c>
      <c r="BF5487">
        <v>0</v>
      </c>
      <c r="BG5487">
        <v>0</v>
      </c>
      <c r="BH5487">
        <v>1250</v>
      </c>
      <c r="BI5487">
        <v>1</v>
      </c>
      <c r="BJ5487">
        <v>1</v>
      </c>
      <c r="BK5487">
        <v>0</v>
      </c>
      <c r="BL5487">
        <v>0</v>
      </c>
      <c r="BO5487">
        <v>0</v>
      </c>
      <c r="BP5487">
        <v>0</v>
      </c>
      <c r="BW5487" t="str">
        <f t="shared" ref="BW5487:BW5494" si="2550">"14:51:26.083"</f>
        <v>14:51:26.083</v>
      </c>
      <c r="CJ5487">
        <v>0</v>
      </c>
      <c r="CK5487">
        <v>2</v>
      </c>
      <c r="CL5487">
        <v>0</v>
      </c>
      <c r="CM5487">
        <v>2</v>
      </c>
      <c r="CN5487">
        <v>0</v>
      </c>
      <c r="CO5487">
        <v>6</v>
      </c>
      <c r="CP5487" t="s">
        <v>119</v>
      </c>
      <c r="CQ5487">
        <v>8</v>
      </c>
      <c r="CR5487">
        <v>3</v>
      </c>
      <c r="CW5487">
        <v>9283930</v>
      </c>
      <c r="CY5487">
        <v>1</v>
      </c>
      <c r="CZ5487">
        <v>0</v>
      </c>
      <c r="DA5487">
        <v>0</v>
      </c>
      <c r="DB5487">
        <v>0</v>
      </c>
      <c r="DC5487">
        <v>0</v>
      </c>
      <c r="DD5487">
        <v>1</v>
      </c>
      <c r="DE5487">
        <v>0</v>
      </c>
      <c r="DF5487">
        <v>0</v>
      </c>
      <c r="DG5487">
        <v>0</v>
      </c>
      <c r="DH5487">
        <v>0</v>
      </c>
      <c r="DI5487">
        <v>0</v>
      </c>
    </row>
    <row r="5488" spans="1:113" x14ac:dyDescent="0.3">
      <c r="A5488" t="str">
        <f t="shared" si="2547"/>
        <v>05/12/2020 14:51:08.254</v>
      </c>
      <c r="C5488" t="str">
        <f t="shared" si="2533"/>
        <v>FFDFD3C0</v>
      </c>
      <c r="D5488" t="s">
        <v>131</v>
      </c>
      <c r="E5488">
        <v>12</v>
      </c>
      <c r="F5488">
        <v>2012</v>
      </c>
      <c r="G5488" t="s">
        <v>137</v>
      </c>
      <c r="J5488" t="s">
        <v>133</v>
      </c>
      <c r="K5488">
        <v>0</v>
      </c>
      <c r="L5488">
        <v>3</v>
      </c>
      <c r="M5488">
        <v>0</v>
      </c>
      <c r="N5488">
        <v>2</v>
      </c>
      <c r="O5488">
        <v>1</v>
      </c>
      <c r="P5488">
        <v>0</v>
      </c>
      <c r="Q5488">
        <v>0</v>
      </c>
      <c r="S5488" t="str">
        <f t="shared" si="2548"/>
        <v>14:51:26.078</v>
      </c>
      <c r="T5488" t="str">
        <f t="shared" si="2549"/>
        <v>14:51:25.778</v>
      </c>
      <c r="U5488" t="str">
        <f t="shared" si="2524"/>
        <v>A9808D</v>
      </c>
      <c r="V5488">
        <v>0</v>
      </c>
      <c r="W5488">
        <v>0</v>
      </c>
      <c r="X5488">
        <v>1</v>
      </c>
      <c r="Z5488">
        <v>0</v>
      </c>
      <c r="AA5488">
        <v>9</v>
      </c>
      <c r="AB5488">
        <v>3</v>
      </c>
      <c r="AC5488">
        <v>0</v>
      </c>
      <c r="AD5488">
        <v>10</v>
      </c>
      <c r="AE5488">
        <v>0</v>
      </c>
      <c r="AF5488">
        <v>3</v>
      </c>
      <c r="AG5488">
        <v>2</v>
      </c>
      <c r="AH5488">
        <v>0</v>
      </c>
      <c r="AI5488" t="s">
        <v>1218</v>
      </c>
      <c r="AJ5488">
        <v>28.215208000000001</v>
      </c>
      <c r="AK5488" t="s">
        <v>1219</v>
      </c>
      <c r="AL5488">
        <v>-82.392998000000006</v>
      </c>
      <c r="AM5488">
        <v>100</v>
      </c>
      <c r="AN5488">
        <v>1200</v>
      </c>
      <c r="AO5488" t="s">
        <v>118</v>
      </c>
      <c r="AP5488">
        <v>11</v>
      </c>
      <c r="AQ5488">
        <v>-117</v>
      </c>
      <c r="AR5488">
        <v>-1344</v>
      </c>
      <c r="AZ5488">
        <v>1200</v>
      </c>
      <c r="BA5488">
        <v>1</v>
      </c>
      <c r="BB5488" t="str">
        <f t="shared" si="2534"/>
        <v xml:space="preserve">N711JA  </v>
      </c>
      <c r="BC5488">
        <v>1</v>
      </c>
      <c r="BE5488">
        <v>0</v>
      </c>
      <c r="BF5488">
        <v>0</v>
      </c>
      <c r="BG5488">
        <v>0</v>
      </c>
      <c r="BH5488">
        <v>1250</v>
      </c>
      <c r="BI5488">
        <v>1</v>
      </c>
      <c r="BJ5488">
        <v>1</v>
      </c>
      <c r="BK5488">
        <v>0</v>
      </c>
      <c r="BL5488">
        <v>0</v>
      </c>
      <c r="BO5488">
        <v>0</v>
      </c>
      <c r="BP5488">
        <v>0</v>
      </c>
      <c r="BW5488" t="str">
        <f t="shared" si="2550"/>
        <v>14:51:26.083</v>
      </c>
      <c r="CJ5488">
        <v>0</v>
      </c>
      <c r="CK5488">
        <v>2</v>
      </c>
      <c r="CL5488">
        <v>0</v>
      </c>
      <c r="CM5488">
        <v>2</v>
      </c>
      <c r="CN5488">
        <v>0</v>
      </c>
      <c r="CO5488">
        <v>6</v>
      </c>
      <c r="CP5488" t="s">
        <v>119</v>
      </c>
      <c r="CQ5488">
        <v>8</v>
      </c>
      <c r="CR5488">
        <v>3</v>
      </c>
      <c r="CW5488">
        <v>9283930</v>
      </c>
      <c r="CY5488">
        <v>1</v>
      </c>
      <c r="CZ5488">
        <v>0</v>
      </c>
      <c r="DA5488">
        <v>1</v>
      </c>
      <c r="DB5488">
        <v>0</v>
      </c>
      <c r="DC5488">
        <v>0</v>
      </c>
      <c r="DD5488">
        <v>1</v>
      </c>
      <c r="DE5488">
        <v>0</v>
      </c>
      <c r="DF5488">
        <v>0</v>
      </c>
      <c r="DG5488">
        <v>0</v>
      </c>
      <c r="DH5488">
        <v>0</v>
      </c>
      <c r="DI5488">
        <v>0</v>
      </c>
    </row>
    <row r="5489" spans="1:113" x14ac:dyDescent="0.3">
      <c r="A5489" t="str">
        <f t="shared" si="2547"/>
        <v>05/12/2020 14:51:08.254</v>
      </c>
      <c r="C5489" t="str">
        <f t="shared" si="2533"/>
        <v>FFDFD3C0</v>
      </c>
      <c r="D5489" t="s">
        <v>131</v>
      </c>
      <c r="E5489">
        <v>10</v>
      </c>
      <c r="F5489">
        <v>2010</v>
      </c>
      <c r="G5489" t="s">
        <v>132</v>
      </c>
      <c r="J5489" t="s">
        <v>133</v>
      </c>
      <c r="K5489">
        <v>0</v>
      </c>
      <c r="L5489">
        <v>3</v>
      </c>
      <c r="M5489">
        <v>0</v>
      </c>
      <c r="N5489">
        <v>2</v>
      </c>
      <c r="O5489">
        <v>1</v>
      </c>
      <c r="P5489">
        <v>0</v>
      </c>
      <c r="Q5489">
        <v>0</v>
      </c>
      <c r="S5489" t="str">
        <f t="shared" si="2548"/>
        <v>14:51:26.078</v>
      </c>
      <c r="T5489" t="str">
        <f t="shared" si="2549"/>
        <v>14:51:25.778</v>
      </c>
      <c r="U5489" t="str">
        <f t="shared" si="2524"/>
        <v>A9808D</v>
      </c>
      <c r="V5489">
        <v>0</v>
      </c>
      <c r="W5489">
        <v>0</v>
      </c>
      <c r="X5489">
        <v>1</v>
      </c>
      <c r="Z5489">
        <v>0</v>
      </c>
      <c r="AA5489">
        <v>9</v>
      </c>
      <c r="AB5489">
        <v>3</v>
      </c>
      <c r="AC5489">
        <v>0</v>
      </c>
      <c r="AD5489">
        <v>10</v>
      </c>
      <c r="AE5489">
        <v>0</v>
      </c>
      <c r="AF5489">
        <v>3</v>
      </c>
      <c r="AG5489">
        <v>2</v>
      </c>
      <c r="AH5489">
        <v>0</v>
      </c>
      <c r="AI5489" t="s">
        <v>1218</v>
      </c>
      <c r="AJ5489">
        <v>28.215208000000001</v>
      </c>
      <c r="AK5489" t="s">
        <v>1219</v>
      </c>
      <c r="AL5489">
        <v>-82.392998000000006</v>
      </c>
      <c r="AM5489">
        <v>100</v>
      </c>
      <c r="AN5489">
        <v>1200</v>
      </c>
      <c r="AO5489" t="s">
        <v>118</v>
      </c>
      <c r="AP5489">
        <v>11</v>
      </c>
      <c r="AQ5489">
        <v>-117</v>
      </c>
      <c r="AR5489">
        <v>-1344</v>
      </c>
      <c r="AZ5489">
        <v>1200</v>
      </c>
      <c r="BA5489">
        <v>1</v>
      </c>
      <c r="BB5489" t="str">
        <f t="shared" si="2534"/>
        <v xml:space="preserve">N711JA  </v>
      </c>
      <c r="BC5489">
        <v>1</v>
      </c>
      <c r="BE5489">
        <v>0</v>
      </c>
      <c r="BF5489">
        <v>0</v>
      </c>
      <c r="BG5489">
        <v>0</v>
      </c>
      <c r="BH5489">
        <v>1250</v>
      </c>
      <c r="BI5489">
        <v>1</v>
      </c>
      <c r="BJ5489">
        <v>1</v>
      </c>
      <c r="BK5489">
        <v>0</v>
      </c>
      <c r="BL5489">
        <v>0</v>
      </c>
      <c r="BO5489">
        <v>0</v>
      </c>
      <c r="BP5489">
        <v>0</v>
      </c>
      <c r="BW5489" t="str">
        <f t="shared" si="2550"/>
        <v>14:51:26.083</v>
      </c>
      <c r="CJ5489">
        <v>0</v>
      </c>
      <c r="CK5489">
        <v>2</v>
      </c>
      <c r="CL5489">
        <v>0</v>
      </c>
      <c r="CM5489">
        <v>2</v>
      </c>
      <c r="CN5489">
        <v>0</v>
      </c>
      <c r="CO5489">
        <v>6</v>
      </c>
      <c r="CP5489" t="s">
        <v>119</v>
      </c>
      <c r="CQ5489">
        <v>8</v>
      </c>
      <c r="CR5489">
        <v>3</v>
      </c>
      <c r="CW5489">
        <v>9283930</v>
      </c>
      <c r="CY5489">
        <v>1</v>
      </c>
      <c r="CZ5489">
        <v>0</v>
      </c>
      <c r="DA5489">
        <v>1</v>
      </c>
      <c r="DB5489">
        <v>0</v>
      </c>
      <c r="DC5489">
        <v>0</v>
      </c>
      <c r="DD5489">
        <v>1</v>
      </c>
      <c r="DE5489">
        <v>0</v>
      </c>
      <c r="DF5489">
        <v>0</v>
      </c>
      <c r="DG5489">
        <v>0</v>
      </c>
      <c r="DH5489">
        <v>0</v>
      </c>
      <c r="DI5489">
        <v>0</v>
      </c>
    </row>
    <row r="5490" spans="1:113" x14ac:dyDescent="0.3">
      <c r="A5490" t="str">
        <f t="shared" si="2547"/>
        <v>05/12/2020 14:51:08.254</v>
      </c>
      <c r="C5490" t="str">
        <f t="shared" si="2533"/>
        <v>FFDFD3C0</v>
      </c>
      <c r="D5490" t="s">
        <v>126</v>
      </c>
      <c r="E5490">
        <v>7</v>
      </c>
      <c r="F5490">
        <v>1007</v>
      </c>
      <c r="G5490" t="s">
        <v>127</v>
      </c>
      <c r="J5490" t="s">
        <v>128</v>
      </c>
      <c r="K5490">
        <v>0</v>
      </c>
      <c r="L5490">
        <v>3</v>
      </c>
      <c r="M5490">
        <v>0</v>
      </c>
      <c r="N5490">
        <v>2</v>
      </c>
      <c r="O5490">
        <v>1</v>
      </c>
      <c r="P5490">
        <v>0</v>
      </c>
      <c r="Q5490">
        <v>0</v>
      </c>
      <c r="S5490" t="str">
        <f t="shared" si="2548"/>
        <v>14:51:26.078</v>
      </c>
      <c r="T5490" t="str">
        <f t="shared" si="2549"/>
        <v>14:51:25.778</v>
      </c>
      <c r="U5490" t="str">
        <f t="shared" si="2524"/>
        <v>A9808D</v>
      </c>
      <c r="V5490">
        <v>0</v>
      </c>
      <c r="W5490">
        <v>0</v>
      </c>
      <c r="X5490">
        <v>1</v>
      </c>
      <c r="Z5490">
        <v>0</v>
      </c>
      <c r="AA5490">
        <v>9</v>
      </c>
      <c r="AB5490">
        <v>3</v>
      </c>
      <c r="AC5490">
        <v>0</v>
      </c>
      <c r="AD5490">
        <v>10</v>
      </c>
      <c r="AE5490">
        <v>0</v>
      </c>
      <c r="AF5490">
        <v>3</v>
      </c>
      <c r="AG5490">
        <v>2</v>
      </c>
      <c r="AH5490">
        <v>0</v>
      </c>
      <c r="AI5490" t="s">
        <v>1218</v>
      </c>
      <c r="AJ5490">
        <v>28.215208000000001</v>
      </c>
      <c r="AK5490" t="s">
        <v>1219</v>
      </c>
      <c r="AL5490">
        <v>-82.392998000000006</v>
      </c>
      <c r="AM5490">
        <v>100</v>
      </c>
      <c r="AN5490">
        <v>1200</v>
      </c>
      <c r="AO5490" t="s">
        <v>118</v>
      </c>
      <c r="AP5490">
        <v>11</v>
      </c>
      <c r="AQ5490">
        <v>-117</v>
      </c>
      <c r="AR5490">
        <v>-1344</v>
      </c>
      <c r="AZ5490">
        <v>1200</v>
      </c>
      <c r="BA5490">
        <v>1</v>
      </c>
      <c r="BB5490" t="str">
        <f t="shared" si="2534"/>
        <v xml:space="preserve">N711JA  </v>
      </c>
      <c r="BC5490">
        <v>1</v>
      </c>
      <c r="BE5490">
        <v>0</v>
      </c>
      <c r="BF5490">
        <v>0</v>
      </c>
      <c r="BG5490">
        <v>0</v>
      </c>
      <c r="BH5490">
        <v>1250</v>
      </c>
      <c r="BI5490">
        <v>1</v>
      </c>
      <c r="BJ5490">
        <v>1</v>
      </c>
      <c r="BK5490">
        <v>0</v>
      </c>
      <c r="BL5490">
        <v>0</v>
      </c>
      <c r="BO5490">
        <v>0</v>
      </c>
      <c r="BP5490">
        <v>0</v>
      </c>
      <c r="BW5490" t="str">
        <f t="shared" si="2550"/>
        <v>14:51:26.083</v>
      </c>
      <c r="CJ5490">
        <v>0</v>
      </c>
      <c r="CK5490">
        <v>2</v>
      </c>
      <c r="CL5490">
        <v>0</v>
      </c>
      <c r="CM5490">
        <v>2</v>
      </c>
      <c r="CN5490">
        <v>0</v>
      </c>
      <c r="CO5490">
        <v>6</v>
      </c>
      <c r="CP5490" t="s">
        <v>119</v>
      </c>
      <c r="CQ5490">
        <v>8</v>
      </c>
      <c r="CR5490">
        <v>3</v>
      </c>
      <c r="CW5490">
        <v>9283930</v>
      </c>
      <c r="CY5490">
        <v>1</v>
      </c>
      <c r="CZ5490">
        <v>0</v>
      </c>
      <c r="DA5490">
        <v>1</v>
      </c>
      <c r="DB5490">
        <v>0</v>
      </c>
      <c r="DC5490">
        <v>0</v>
      </c>
      <c r="DD5490">
        <v>1</v>
      </c>
      <c r="DE5490">
        <v>0</v>
      </c>
      <c r="DF5490">
        <v>0</v>
      </c>
      <c r="DG5490">
        <v>0</v>
      </c>
      <c r="DH5490">
        <v>0</v>
      </c>
      <c r="DI5490">
        <v>0</v>
      </c>
    </row>
    <row r="5491" spans="1:113" x14ac:dyDescent="0.3">
      <c r="A5491" t="str">
        <f t="shared" si="2547"/>
        <v>05/12/2020 14:51:08.254</v>
      </c>
      <c r="C5491" t="str">
        <f t="shared" si="2533"/>
        <v>FFDFD3C0</v>
      </c>
      <c r="D5491" t="s">
        <v>113</v>
      </c>
      <c r="E5491">
        <v>3</v>
      </c>
      <c r="H5491">
        <v>164</v>
      </c>
      <c r="I5491" t="s">
        <v>114</v>
      </c>
      <c r="J5491" t="s">
        <v>115</v>
      </c>
      <c r="K5491">
        <v>0</v>
      </c>
      <c r="L5491">
        <v>3</v>
      </c>
      <c r="M5491">
        <v>0</v>
      </c>
      <c r="N5491">
        <v>2</v>
      </c>
      <c r="O5491">
        <v>1</v>
      </c>
      <c r="P5491">
        <v>0</v>
      </c>
      <c r="Q5491">
        <v>0</v>
      </c>
      <c r="S5491" t="str">
        <f t="shared" si="2548"/>
        <v>14:51:26.078</v>
      </c>
      <c r="T5491" t="str">
        <f t="shared" si="2549"/>
        <v>14:51:25.778</v>
      </c>
      <c r="U5491" t="str">
        <f t="shared" si="2524"/>
        <v>A9808D</v>
      </c>
      <c r="V5491">
        <v>0</v>
      </c>
      <c r="W5491">
        <v>0</v>
      </c>
      <c r="X5491">
        <v>1</v>
      </c>
      <c r="Z5491">
        <v>0</v>
      </c>
      <c r="AA5491">
        <v>9</v>
      </c>
      <c r="AB5491">
        <v>3</v>
      </c>
      <c r="AC5491">
        <v>0</v>
      </c>
      <c r="AD5491">
        <v>10</v>
      </c>
      <c r="AE5491">
        <v>0</v>
      </c>
      <c r="AF5491">
        <v>3</v>
      </c>
      <c r="AG5491">
        <v>2</v>
      </c>
      <c r="AH5491">
        <v>0</v>
      </c>
      <c r="AI5491" t="s">
        <v>1218</v>
      </c>
      <c r="AJ5491">
        <v>28.215208000000001</v>
      </c>
      <c r="AK5491" t="s">
        <v>1219</v>
      </c>
      <c r="AL5491">
        <v>-82.392998000000006</v>
      </c>
      <c r="AM5491">
        <v>100</v>
      </c>
      <c r="AN5491">
        <v>1200</v>
      </c>
      <c r="AO5491" t="s">
        <v>118</v>
      </c>
      <c r="AP5491">
        <v>11</v>
      </c>
      <c r="AQ5491">
        <v>-117</v>
      </c>
      <c r="AR5491">
        <v>-1344</v>
      </c>
      <c r="AZ5491">
        <v>1200</v>
      </c>
      <c r="BA5491">
        <v>1</v>
      </c>
      <c r="BB5491" t="str">
        <f t="shared" si="2534"/>
        <v xml:space="preserve">N711JA  </v>
      </c>
      <c r="BC5491">
        <v>1</v>
      </c>
      <c r="BE5491">
        <v>0</v>
      </c>
      <c r="BF5491">
        <v>0</v>
      </c>
      <c r="BG5491">
        <v>0</v>
      </c>
      <c r="BH5491">
        <v>1250</v>
      </c>
      <c r="BI5491">
        <v>1</v>
      </c>
      <c r="BJ5491">
        <v>1</v>
      </c>
      <c r="BK5491">
        <v>0</v>
      </c>
      <c r="BL5491">
        <v>0</v>
      </c>
      <c r="BO5491">
        <v>0</v>
      </c>
      <c r="BP5491">
        <v>0</v>
      </c>
      <c r="BW5491" t="str">
        <f t="shared" si="2550"/>
        <v>14:51:26.083</v>
      </c>
      <c r="CJ5491">
        <v>0</v>
      </c>
      <c r="CK5491">
        <v>2</v>
      </c>
      <c r="CL5491">
        <v>0</v>
      </c>
      <c r="CM5491">
        <v>2</v>
      </c>
      <c r="CN5491">
        <v>0</v>
      </c>
      <c r="CO5491">
        <v>6</v>
      </c>
      <c r="CP5491" t="s">
        <v>119</v>
      </c>
      <c r="CQ5491">
        <v>8</v>
      </c>
      <c r="CR5491">
        <v>3</v>
      </c>
      <c r="CW5491">
        <v>9283930</v>
      </c>
      <c r="CY5491">
        <v>1</v>
      </c>
      <c r="CZ5491">
        <v>0</v>
      </c>
      <c r="DA5491">
        <v>1</v>
      </c>
      <c r="DB5491">
        <v>0</v>
      </c>
      <c r="DC5491">
        <v>0</v>
      </c>
      <c r="DD5491">
        <v>1</v>
      </c>
      <c r="DE5491">
        <v>0</v>
      </c>
      <c r="DF5491">
        <v>0</v>
      </c>
      <c r="DG5491">
        <v>0</v>
      </c>
      <c r="DH5491">
        <v>0</v>
      </c>
      <c r="DI5491">
        <v>0</v>
      </c>
    </row>
    <row r="5492" spans="1:113" x14ac:dyDescent="0.3">
      <c r="A5492" t="str">
        <f t="shared" si="2547"/>
        <v>05/12/2020 14:51:08.254</v>
      </c>
      <c r="C5492" t="str">
        <f t="shared" si="2533"/>
        <v>FFDFD3C0</v>
      </c>
      <c r="D5492" t="s">
        <v>126</v>
      </c>
      <c r="E5492">
        <v>6</v>
      </c>
      <c r="F5492">
        <v>1006</v>
      </c>
      <c r="G5492" t="s">
        <v>114</v>
      </c>
      <c r="J5492" t="s">
        <v>128</v>
      </c>
      <c r="K5492">
        <v>0</v>
      </c>
      <c r="L5492">
        <v>3</v>
      </c>
      <c r="M5492">
        <v>0</v>
      </c>
      <c r="N5492">
        <v>2</v>
      </c>
      <c r="O5492">
        <v>1</v>
      </c>
      <c r="P5492">
        <v>0</v>
      </c>
      <c r="Q5492">
        <v>0</v>
      </c>
      <c r="S5492" t="str">
        <f t="shared" si="2548"/>
        <v>14:51:26.078</v>
      </c>
      <c r="T5492" t="str">
        <f t="shared" si="2549"/>
        <v>14:51:25.778</v>
      </c>
      <c r="U5492" t="str">
        <f t="shared" si="2524"/>
        <v>A9808D</v>
      </c>
      <c r="V5492">
        <v>0</v>
      </c>
      <c r="W5492">
        <v>0</v>
      </c>
      <c r="X5492">
        <v>1</v>
      </c>
      <c r="Z5492">
        <v>0</v>
      </c>
      <c r="AA5492">
        <v>9</v>
      </c>
      <c r="AB5492">
        <v>3</v>
      </c>
      <c r="AC5492">
        <v>0</v>
      </c>
      <c r="AD5492">
        <v>10</v>
      </c>
      <c r="AE5492">
        <v>0</v>
      </c>
      <c r="AF5492">
        <v>3</v>
      </c>
      <c r="AG5492">
        <v>2</v>
      </c>
      <c r="AH5492">
        <v>0</v>
      </c>
      <c r="AI5492" t="s">
        <v>1218</v>
      </c>
      <c r="AJ5492">
        <v>28.215208000000001</v>
      </c>
      <c r="AK5492" t="s">
        <v>1219</v>
      </c>
      <c r="AL5492">
        <v>-82.392998000000006</v>
      </c>
      <c r="AM5492">
        <v>100</v>
      </c>
      <c r="AN5492">
        <v>1200</v>
      </c>
      <c r="AO5492" t="s">
        <v>118</v>
      </c>
      <c r="AP5492">
        <v>11</v>
      </c>
      <c r="AQ5492">
        <v>-117</v>
      </c>
      <c r="AR5492">
        <v>-1344</v>
      </c>
      <c r="AZ5492">
        <v>1200</v>
      </c>
      <c r="BA5492">
        <v>1</v>
      </c>
      <c r="BB5492" t="str">
        <f t="shared" si="2534"/>
        <v xml:space="preserve">N711JA  </v>
      </c>
      <c r="BC5492">
        <v>1</v>
      </c>
      <c r="BE5492">
        <v>0</v>
      </c>
      <c r="BF5492">
        <v>0</v>
      </c>
      <c r="BG5492">
        <v>0</v>
      </c>
      <c r="BH5492">
        <v>1250</v>
      </c>
      <c r="BI5492">
        <v>1</v>
      </c>
      <c r="BJ5492">
        <v>1</v>
      </c>
      <c r="BK5492">
        <v>0</v>
      </c>
      <c r="BL5492">
        <v>0</v>
      </c>
      <c r="BO5492">
        <v>0</v>
      </c>
      <c r="BP5492">
        <v>0</v>
      </c>
      <c r="BW5492" t="str">
        <f t="shared" si="2550"/>
        <v>14:51:26.083</v>
      </c>
      <c r="CJ5492">
        <v>0</v>
      </c>
      <c r="CK5492">
        <v>2</v>
      </c>
      <c r="CL5492">
        <v>0</v>
      </c>
      <c r="CM5492">
        <v>2</v>
      </c>
      <c r="CN5492">
        <v>0</v>
      </c>
      <c r="CO5492">
        <v>6</v>
      </c>
      <c r="CP5492" t="s">
        <v>119</v>
      </c>
      <c r="CQ5492">
        <v>8</v>
      </c>
      <c r="CR5492">
        <v>3</v>
      </c>
      <c r="CW5492">
        <v>9283930</v>
      </c>
      <c r="CY5492">
        <v>1</v>
      </c>
      <c r="CZ5492">
        <v>0</v>
      </c>
      <c r="DA5492">
        <v>1</v>
      </c>
      <c r="DB5492">
        <v>0</v>
      </c>
      <c r="DC5492">
        <v>0</v>
      </c>
      <c r="DD5492">
        <v>1</v>
      </c>
      <c r="DE5492">
        <v>0</v>
      </c>
      <c r="DF5492">
        <v>0</v>
      </c>
      <c r="DG5492">
        <v>0</v>
      </c>
      <c r="DH5492">
        <v>0</v>
      </c>
      <c r="DI5492">
        <v>0</v>
      </c>
    </row>
    <row r="5493" spans="1:113" x14ac:dyDescent="0.3">
      <c r="A5493" t="str">
        <f t="shared" si="2547"/>
        <v>05/12/2020 14:51:08.254</v>
      </c>
      <c r="C5493" t="str">
        <f t="shared" si="2533"/>
        <v>FFDFD3C0</v>
      </c>
      <c r="D5493" t="s">
        <v>138</v>
      </c>
      <c r="E5493">
        <v>2</v>
      </c>
      <c r="H5493">
        <v>8</v>
      </c>
      <c r="I5493" t="s">
        <v>139</v>
      </c>
      <c r="J5493" t="s">
        <v>136</v>
      </c>
      <c r="K5493">
        <v>0</v>
      </c>
      <c r="L5493">
        <v>3</v>
      </c>
      <c r="M5493">
        <v>0</v>
      </c>
      <c r="N5493">
        <v>2</v>
      </c>
      <c r="O5493">
        <v>1</v>
      </c>
      <c r="P5493">
        <v>0</v>
      </c>
      <c r="Q5493">
        <v>0</v>
      </c>
      <c r="S5493" t="str">
        <f t="shared" si="2548"/>
        <v>14:51:26.078</v>
      </c>
      <c r="T5493" t="str">
        <f t="shared" si="2549"/>
        <v>14:51:25.778</v>
      </c>
      <c r="U5493" t="str">
        <f t="shared" si="2524"/>
        <v>A9808D</v>
      </c>
      <c r="V5493">
        <v>0</v>
      </c>
      <c r="W5493">
        <v>0</v>
      </c>
      <c r="X5493">
        <v>1</v>
      </c>
      <c r="Z5493">
        <v>0</v>
      </c>
      <c r="AA5493">
        <v>9</v>
      </c>
      <c r="AB5493">
        <v>3</v>
      </c>
      <c r="AC5493">
        <v>0</v>
      </c>
      <c r="AD5493">
        <v>10</v>
      </c>
      <c r="AE5493">
        <v>0</v>
      </c>
      <c r="AF5493">
        <v>3</v>
      </c>
      <c r="AG5493">
        <v>2</v>
      </c>
      <c r="AH5493">
        <v>0</v>
      </c>
      <c r="AI5493" t="s">
        <v>1218</v>
      </c>
      <c r="AJ5493">
        <v>28.215208000000001</v>
      </c>
      <c r="AK5493" t="s">
        <v>1219</v>
      </c>
      <c r="AL5493">
        <v>-82.392998000000006</v>
      </c>
      <c r="AM5493">
        <v>100</v>
      </c>
      <c r="AN5493">
        <v>1200</v>
      </c>
      <c r="AO5493" t="s">
        <v>118</v>
      </c>
      <c r="AP5493">
        <v>11</v>
      </c>
      <c r="AQ5493">
        <v>-117</v>
      </c>
      <c r="AR5493">
        <v>-1344</v>
      </c>
      <c r="AZ5493">
        <v>1200</v>
      </c>
      <c r="BA5493">
        <v>1</v>
      </c>
      <c r="BB5493" t="str">
        <f t="shared" si="2534"/>
        <v xml:space="preserve">N711JA  </v>
      </c>
      <c r="BC5493">
        <v>1</v>
      </c>
      <c r="BE5493">
        <v>0</v>
      </c>
      <c r="BF5493">
        <v>0</v>
      </c>
      <c r="BG5493">
        <v>0</v>
      </c>
      <c r="BH5493">
        <v>1250</v>
      </c>
      <c r="BI5493">
        <v>1</v>
      </c>
      <c r="BJ5493">
        <v>1</v>
      </c>
      <c r="BK5493">
        <v>0</v>
      </c>
      <c r="BL5493">
        <v>0</v>
      </c>
      <c r="BO5493">
        <v>0</v>
      </c>
      <c r="BP5493">
        <v>0</v>
      </c>
      <c r="BW5493" t="str">
        <f t="shared" si="2550"/>
        <v>14:51:26.083</v>
      </c>
      <c r="CJ5493">
        <v>0</v>
      </c>
      <c r="CK5493">
        <v>2</v>
      </c>
      <c r="CL5493">
        <v>0</v>
      </c>
      <c r="CM5493">
        <v>2</v>
      </c>
      <c r="CN5493">
        <v>0</v>
      </c>
      <c r="CO5493">
        <v>6</v>
      </c>
      <c r="CP5493" t="s">
        <v>119</v>
      </c>
      <c r="CQ5493">
        <v>8</v>
      </c>
      <c r="CR5493">
        <v>3</v>
      </c>
      <c r="CW5493">
        <v>9283930</v>
      </c>
      <c r="CY5493">
        <v>1</v>
      </c>
      <c r="CZ5493">
        <v>0</v>
      </c>
      <c r="DA5493">
        <v>1</v>
      </c>
      <c r="DB5493">
        <v>0</v>
      </c>
      <c r="DC5493">
        <v>0</v>
      </c>
      <c r="DD5493">
        <v>1</v>
      </c>
      <c r="DE5493">
        <v>0</v>
      </c>
      <c r="DF5493">
        <v>0</v>
      </c>
      <c r="DG5493">
        <v>0</v>
      </c>
      <c r="DH5493">
        <v>0</v>
      </c>
      <c r="DI5493">
        <v>0</v>
      </c>
    </row>
    <row r="5494" spans="1:113" x14ac:dyDescent="0.3">
      <c r="A5494" t="str">
        <f t="shared" si="2547"/>
        <v>05/12/2020 14:51:08.254</v>
      </c>
      <c r="C5494" t="str">
        <f t="shared" si="2533"/>
        <v>FFDFD3C0</v>
      </c>
      <c r="D5494" t="s">
        <v>138</v>
      </c>
      <c r="E5494">
        <v>3</v>
      </c>
      <c r="H5494">
        <v>9</v>
      </c>
      <c r="I5494" t="s">
        <v>140</v>
      </c>
      <c r="J5494" t="s">
        <v>136</v>
      </c>
      <c r="K5494">
        <v>0</v>
      </c>
      <c r="L5494">
        <v>3</v>
      </c>
      <c r="M5494">
        <v>0</v>
      </c>
      <c r="N5494">
        <v>2</v>
      </c>
      <c r="O5494">
        <v>1</v>
      </c>
      <c r="P5494">
        <v>0</v>
      </c>
      <c r="Q5494">
        <v>0</v>
      </c>
      <c r="S5494" t="str">
        <f t="shared" si="2548"/>
        <v>14:51:26.078</v>
      </c>
      <c r="T5494" t="str">
        <f t="shared" si="2549"/>
        <v>14:51:25.778</v>
      </c>
      <c r="U5494" t="str">
        <f t="shared" si="2524"/>
        <v>A9808D</v>
      </c>
      <c r="V5494">
        <v>0</v>
      </c>
      <c r="W5494">
        <v>0</v>
      </c>
      <c r="X5494">
        <v>1</v>
      </c>
      <c r="Z5494">
        <v>0</v>
      </c>
      <c r="AA5494">
        <v>9</v>
      </c>
      <c r="AB5494">
        <v>3</v>
      </c>
      <c r="AC5494">
        <v>0</v>
      </c>
      <c r="AD5494">
        <v>10</v>
      </c>
      <c r="AE5494">
        <v>0</v>
      </c>
      <c r="AF5494">
        <v>3</v>
      </c>
      <c r="AG5494">
        <v>2</v>
      </c>
      <c r="AH5494">
        <v>0</v>
      </c>
      <c r="AI5494" t="s">
        <v>1218</v>
      </c>
      <c r="AJ5494">
        <v>28.215208000000001</v>
      </c>
      <c r="AK5494" t="s">
        <v>1219</v>
      </c>
      <c r="AL5494">
        <v>-82.392998000000006</v>
      </c>
      <c r="AM5494">
        <v>100</v>
      </c>
      <c r="AN5494">
        <v>1200</v>
      </c>
      <c r="AO5494" t="s">
        <v>118</v>
      </c>
      <c r="AP5494">
        <v>11</v>
      </c>
      <c r="AQ5494">
        <v>-117</v>
      </c>
      <c r="AR5494">
        <v>-1344</v>
      </c>
      <c r="AZ5494">
        <v>1200</v>
      </c>
      <c r="BA5494">
        <v>1</v>
      </c>
      <c r="BB5494" t="str">
        <f t="shared" si="2534"/>
        <v xml:space="preserve">N711JA  </v>
      </c>
      <c r="BC5494">
        <v>1</v>
      </c>
      <c r="BE5494">
        <v>0</v>
      </c>
      <c r="BF5494">
        <v>0</v>
      </c>
      <c r="BG5494">
        <v>0</v>
      </c>
      <c r="BH5494">
        <v>1250</v>
      </c>
      <c r="BI5494">
        <v>1</v>
      </c>
      <c r="BJ5494">
        <v>1</v>
      </c>
      <c r="BK5494">
        <v>0</v>
      </c>
      <c r="BL5494">
        <v>0</v>
      </c>
      <c r="BO5494">
        <v>0</v>
      </c>
      <c r="BP5494">
        <v>0</v>
      </c>
      <c r="BW5494" t="str">
        <f t="shared" si="2550"/>
        <v>14:51:26.083</v>
      </c>
      <c r="CJ5494">
        <v>0</v>
      </c>
      <c r="CK5494">
        <v>2</v>
      </c>
      <c r="CL5494">
        <v>0</v>
      </c>
      <c r="CM5494">
        <v>2</v>
      </c>
      <c r="CN5494">
        <v>0</v>
      </c>
      <c r="CO5494">
        <v>6</v>
      </c>
      <c r="CP5494" t="s">
        <v>119</v>
      </c>
      <c r="CQ5494">
        <v>8</v>
      </c>
      <c r="CR5494">
        <v>3</v>
      </c>
      <c r="CW5494">
        <v>9283930</v>
      </c>
      <c r="CY5494">
        <v>1</v>
      </c>
      <c r="CZ5494">
        <v>0</v>
      </c>
      <c r="DA5494">
        <v>1</v>
      </c>
      <c r="DB5494">
        <v>0</v>
      </c>
      <c r="DC5494">
        <v>0</v>
      </c>
      <c r="DD5494">
        <v>1</v>
      </c>
      <c r="DE5494">
        <v>0</v>
      </c>
      <c r="DF5494">
        <v>0</v>
      </c>
      <c r="DG5494">
        <v>0</v>
      </c>
      <c r="DH5494">
        <v>0</v>
      </c>
      <c r="DI5494">
        <v>0</v>
      </c>
    </row>
    <row r="5495" spans="1:113" x14ac:dyDescent="0.3">
      <c r="A5495" t="str">
        <f t="shared" ref="A5495:A5502" si="2551">"05/12/2020 14:51:09.414"</f>
        <v>05/12/2020 14:51:09.414</v>
      </c>
      <c r="C5495" t="str">
        <f t="shared" si="2533"/>
        <v>FFDFD3C0</v>
      </c>
      <c r="D5495" t="s">
        <v>126</v>
      </c>
      <c r="E5495">
        <v>7</v>
      </c>
      <c r="F5495">
        <v>1007</v>
      </c>
      <c r="G5495" t="s">
        <v>127</v>
      </c>
      <c r="J5495" t="s">
        <v>128</v>
      </c>
      <c r="K5495">
        <v>0</v>
      </c>
      <c r="L5495">
        <v>3</v>
      </c>
      <c r="M5495">
        <v>0</v>
      </c>
      <c r="N5495">
        <v>2</v>
      </c>
      <c r="O5495">
        <v>1</v>
      </c>
      <c r="P5495">
        <v>0</v>
      </c>
      <c r="Q5495">
        <v>0</v>
      </c>
      <c r="S5495" t="str">
        <f t="shared" ref="S5495:S5502" si="2552">"14:51:27.195"</f>
        <v>14:51:27.195</v>
      </c>
      <c r="T5495" t="str">
        <f t="shared" ref="T5495:T5502" si="2553">"14:51:26.795"</f>
        <v>14:51:26.795</v>
      </c>
      <c r="U5495" t="str">
        <f t="shared" si="2524"/>
        <v>A9808D</v>
      </c>
      <c r="V5495">
        <v>0</v>
      </c>
      <c r="W5495">
        <v>0</v>
      </c>
      <c r="X5495">
        <v>1</v>
      </c>
      <c r="Z5495">
        <v>0</v>
      </c>
      <c r="AA5495">
        <v>9</v>
      </c>
      <c r="AB5495">
        <v>3</v>
      </c>
      <c r="AC5495">
        <v>0</v>
      </c>
      <c r="AD5495">
        <v>10</v>
      </c>
      <c r="AE5495">
        <v>0</v>
      </c>
      <c r="AF5495">
        <v>3</v>
      </c>
      <c r="AG5495">
        <v>2</v>
      </c>
      <c r="AH5495">
        <v>0</v>
      </c>
      <c r="AI5495" t="s">
        <v>1220</v>
      </c>
      <c r="AJ5495">
        <v>28.214628999999999</v>
      </c>
      <c r="AK5495" t="s">
        <v>1210</v>
      </c>
      <c r="AL5495">
        <v>-82.392869000000005</v>
      </c>
      <c r="AM5495">
        <v>100</v>
      </c>
      <c r="AN5495">
        <v>1200</v>
      </c>
      <c r="AO5495" t="s">
        <v>118</v>
      </c>
      <c r="AP5495">
        <v>18</v>
      </c>
      <c r="AQ5495">
        <v>-116</v>
      </c>
      <c r="AR5495">
        <v>-1152</v>
      </c>
      <c r="AZ5495">
        <v>1200</v>
      </c>
      <c r="BA5495">
        <v>1</v>
      </c>
      <c r="BB5495" t="str">
        <f t="shared" si="2534"/>
        <v xml:space="preserve">N711JA  </v>
      </c>
      <c r="BC5495">
        <v>1</v>
      </c>
      <c r="BE5495">
        <v>0</v>
      </c>
      <c r="BF5495">
        <v>0</v>
      </c>
      <c r="BG5495">
        <v>0</v>
      </c>
      <c r="BH5495">
        <v>1225</v>
      </c>
      <c r="BI5495">
        <v>1</v>
      </c>
      <c r="BJ5495">
        <v>1</v>
      </c>
      <c r="BK5495">
        <v>0</v>
      </c>
      <c r="BL5495">
        <v>0</v>
      </c>
      <c r="BO5495">
        <v>0</v>
      </c>
      <c r="BP5495">
        <v>0</v>
      </c>
      <c r="BW5495" t="str">
        <f t="shared" ref="BW5495:BW5502" si="2554">"14:51:27.199"</f>
        <v>14:51:27.199</v>
      </c>
      <c r="CJ5495">
        <v>0</v>
      </c>
      <c r="CK5495">
        <v>2</v>
      </c>
      <c r="CL5495">
        <v>0</v>
      </c>
      <c r="CM5495">
        <v>2</v>
      </c>
      <c r="CN5495">
        <v>0</v>
      </c>
      <c r="CO5495">
        <v>7</v>
      </c>
      <c r="CP5495" t="s">
        <v>119</v>
      </c>
      <c r="CQ5495">
        <v>358</v>
      </c>
      <c r="CR5495">
        <v>0</v>
      </c>
      <c r="CW5495">
        <v>5277734</v>
      </c>
      <c r="CY5495">
        <v>1</v>
      </c>
      <c r="CZ5495">
        <v>0</v>
      </c>
      <c r="DA5495">
        <v>0</v>
      </c>
      <c r="DB5495">
        <v>0</v>
      </c>
      <c r="DC5495">
        <v>0</v>
      </c>
      <c r="DD5495">
        <v>1</v>
      </c>
      <c r="DE5495">
        <v>0</v>
      </c>
      <c r="DF5495">
        <v>0</v>
      </c>
      <c r="DG5495">
        <v>0</v>
      </c>
      <c r="DH5495">
        <v>0</v>
      </c>
      <c r="DI5495">
        <v>0</v>
      </c>
    </row>
    <row r="5496" spans="1:113" x14ac:dyDescent="0.3">
      <c r="A5496" t="str">
        <f t="shared" si="2551"/>
        <v>05/12/2020 14:51:09.414</v>
      </c>
      <c r="C5496" t="str">
        <f t="shared" si="2533"/>
        <v>FFDFD3C0</v>
      </c>
      <c r="D5496" t="s">
        <v>131</v>
      </c>
      <c r="E5496">
        <v>10</v>
      </c>
      <c r="F5496">
        <v>2010</v>
      </c>
      <c r="G5496" t="s">
        <v>132</v>
      </c>
      <c r="J5496" t="s">
        <v>133</v>
      </c>
      <c r="K5496">
        <v>0</v>
      </c>
      <c r="L5496">
        <v>3</v>
      </c>
      <c r="M5496">
        <v>0</v>
      </c>
      <c r="N5496">
        <v>2</v>
      </c>
      <c r="O5496">
        <v>1</v>
      </c>
      <c r="P5496">
        <v>0</v>
      </c>
      <c r="Q5496">
        <v>0</v>
      </c>
      <c r="S5496" t="str">
        <f t="shared" si="2552"/>
        <v>14:51:27.195</v>
      </c>
      <c r="T5496" t="str">
        <f t="shared" si="2553"/>
        <v>14:51:26.795</v>
      </c>
      <c r="U5496" t="str">
        <f t="shared" si="2524"/>
        <v>A9808D</v>
      </c>
      <c r="V5496">
        <v>0</v>
      </c>
      <c r="W5496">
        <v>0</v>
      </c>
      <c r="X5496">
        <v>1</v>
      </c>
      <c r="Z5496">
        <v>0</v>
      </c>
      <c r="AA5496">
        <v>9</v>
      </c>
      <c r="AB5496">
        <v>3</v>
      </c>
      <c r="AC5496">
        <v>0</v>
      </c>
      <c r="AD5496">
        <v>10</v>
      </c>
      <c r="AE5496">
        <v>0</v>
      </c>
      <c r="AF5496">
        <v>3</v>
      </c>
      <c r="AG5496">
        <v>2</v>
      </c>
      <c r="AH5496">
        <v>0</v>
      </c>
      <c r="AI5496" t="s">
        <v>1220</v>
      </c>
      <c r="AJ5496">
        <v>28.214628999999999</v>
      </c>
      <c r="AK5496" t="s">
        <v>1210</v>
      </c>
      <c r="AL5496">
        <v>-82.392869000000005</v>
      </c>
      <c r="AM5496">
        <v>100</v>
      </c>
      <c r="AN5496">
        <v>1200</v>
      </c>
      <c r="AO5496" t="s">
        <v>118</v>
      </c>
      <c r="AP5496">
        <v>18</v>
      </c>
      <c r="AQ5496">
        <v>-116</v>
      </c>
      <c r="AR5496">
        <v>-1152</v>
      </c>
      <c r="AZ5496">
        <v>1200</v>
      </c>
      <c r="BA5496">
        <v>1</v>
      </c>
      <c r="BB5496" t="str">
        <f t="shared" si="2534"/>
        <v xml:space="preserve">N711JA  </v>
      </c>
      <c r="BC5496">
        <v>1</v>
      </c>
      <c r="BE5496">
        <v>0</v>
      </c>
      <c r="BF5496">
        <v>0</v>
      </c>
      <c r="BG5496">
        <v>0</v>
      </c>
      <c r="BH5496">
        <v>1225</v>
      </c>
      <c r="BI5496">
        <v>1</v>
      </c>
      <c r="BJ5496">
        <v>1</v>
      </c>
      <c r="BK5496">
        <v>0</v>
      </c>
      <c r="BL5496">
        <v>0</v>
      </c>
      <c r="BO5496">
        <v>0</v>
      </c>
      <c r="BP5496">
        <v>0</v>
      </c>
      <c r="BW5496" t="str">
        <f t="shared" si="2554"/>
        <v>14:51:27.199</v>
      </c>
      <c r="CJ5496">
        <v>0</v>
      </c>
      <c r="CK5496">
        <v>2</v>
      </c>
      <c r="CL5496">
        <v>0</v>
      </c>
      <c r="CM5496">
        <v>2</v>
      </c>
      <c r="CN5496">
        <v>0</v>
      </c>
      <c r="CO5496">
        <v>7</v>
      </c>
      <c r="CP5496" t="s">
        <v>119</v>
      </c>
      <c r="CQ5496">
        <v>358</v>
      </c>
      <c r="CR5496">
        <v>0</v>
      </c>
      <c r="CW5496">
        <v>5277734</v>
      </c>
      <c r="CY5496">
        <v>1</v>
      </c>
      <c r="CZ5496">
        <v>0</v>
      </c>
      <c r="DA5496">
        <v>1</v>
      </c>
      <c r="DB5496">
        <v>0</v>
      </c>
      <c r="DC5496">
        <v>0</v>
      </c>
      <c r="DD5496">
        <v>1</v>
      </c>
      <c r="DE5496">
        <v>0</v>
      </c>
      <c r="DF5496">
        <v>0</v>
      </c>
      <c r="DG5496">
        <v>0</v>
      </c>
      <c r="DH5496">
        <v>0</v>
      </c>
      <c r="DI5496">
        <v>0</v>
      </c>
    </row>
    <row r="5497" spans="1:113" x14ac:dyDescent="0.3">
      <c r="A5497" t="str">
        <f t="shared" si="2551"/>
        <v>05/12/2020 14:51:09.414</v>
      </c>
      <c r="C5497" t="str">
        <f t="shared" si="2533"/>
        <v>FFDFD3C0</v>
      </c>
      <c r="D5497" t="s">
        <v>131</v>
      </c>
      <c r="E5497">
        <v>12</v>
      </c>
      <c r="F5497">
        <v>2012</v>
      </c>
      <c r="G5497" t="s">
        <v>137</v>
      </c>
      <c r="J5497" t="s">
        <v>133</v>
      </c>
      <c r="K5497">
        <v>0</v>
      </c>
      <c r="L5497">
        <v>3</v>
      </c>
      <c r="M5497">
        <v>0</v>
      </c>
      <c r="N5497">
        <v>2</v>
      </c>
      <c r="O5497">
        <v>1</v>
      </c>
      <c r="P5497">
        <v>0</v>
      </c>
      <c r="Q5497">
        <v>0</v>
      </c>
      <c r="S5497" t="str">
        <f t="shared" si="2552"/>
        <v>14:51:27.195</v>
      </c>
      <c r="T5497" t="str">
        <f t="shared" si="2553"/>
        <v>14:51:26.795</v>
      </c>
      <c r="U5497" t="str">
        <f t="shared" si="2524"/>
        <v>A9808D</v>
      </c>
      <c r="V5497">
        <v>0</v>
      </c>
      <c r="W5497">
        <v>0</v>
      </c>
      <c r="X5497">
        <v>1</v>
      </c>
      <c r="Z5497">
        <v>0</v>
      </c>
      <c r="AA5497">
        <v>9</v>
      </c>
      <c r="AB5497">
        <v>3</v>
      </c>
      <c r="AC5497">
        <v>0</v>
      </c>
      <c r="AD5497">
        <v>10</v>
      </c>
      <c r="AE5497">
        <v>0</v>
      </c>
      <c r="AF5497">
        <v>3</v>
      </c>
      <c r="AG5497">
        <v>2</v>
      </c>
      <c r="AH5497">
        <v>0</v>
      </c>
      <c r="AI5497" t="s">
        <v>1220</v>
      </c>
      <c r="AJ5497">
        <v>28.214628999999999</v>
      </c>
      <c r="AK5497" t="s">
        <v>1210</v>
      </c>
      <c r="AL5497">
        <v>-82.392869000000005</v>
      </c>
      <c r="AM5497">
        <v>100</v>
      </c>
      <c r="AN5497">
        <v>1200</v>
      </c>
      <c r="AO5497" t="s">
        <v>118</v>
      </c>
      <c r="AP5497">
        <v>18</v>
      </c>
      <c r="AQ5497">
        <v>-116</v>
      </c>
      <c r="AR5497">
        <v>-1152</v>
      </c>
      <c r="AZ5497">
        <v>1200</v>
      </c>
      <c r="BA5497">
        <v>1</v>
      </c>
      <c r="BB5497" t="str">
        <f t="shared" si="2534"/>
        <v xml:space="preserve">N711JA  </v>
      </c>
      <c r="BC5497">
        <v>1</v>
      </c>
      <c r="BE5497">
        <v>0</v>
      </c>
      <c r="BF5497">
        <v>0</v>
      </c>
      <c r="BG5497">
        <v>0</v>
      </c>
      <c r="BH5497">
        <v>1225</v>
      </c>
      <c r="BI5497">
        <v>1</v>
      </c>
      <c r="BJ5497">
        <v>1</v>
      </c>
      <c r="BK5497">
        <v>0</v>
      </c>
      <c r="BL5497">
        <v>0</v>
      </c>
      <c r="BO5497">
        <v>0</v>
      </c>
      <c r="BP5497">
        <v>0</v>
      </c>
      <c r="BW5497" t="str">
        <f t="shared" si="2554"/>
        <v>14:51:27.199</v>
      </c>
      <c r="CJ5497">
        <v>0</v>
      </c>
      <c r="CK5497">
        <v>2</v>
      </c>
      <c r="CL5497">
        <v>0</v>
      </c>
      <c r="CM5497">
        <v>2</v>
      </c>
      <c r="CN5497">
        <v>0</v>
      </c>
      <c r="CO5497">
        <v>7</v>
      </c>
      <c r="CP5497" t="s">
        <v>119</v>
      </c>
      <c r="CQ5497">
        <v>343</v>
      </c>
      <c r="CR5497">
        <v>2</v>
      </c>
      <c r="CW5497">
        <v>13413552</v>
      </c>
      <c r="CY5497">
        <v>1</v>
      </c>
      <c r="CZ5497">
        <v>0</v>
      </c>
      <c r="DA5497">
        <v>1</v>
      </c>
      <c r="DB5497">
        <v>0</v>
      </c>
      <c r="DC5497">
        <v>0</v>
      </c>
      <c r="DD5497">
        <v>1</v>
      </c>
      <c r="DE5497">
        <v>0</v>
      </c>
      <c r="DF5497">
        <v>0</v>
      </c>
      <c r="DG5497">
        <v>0</v>
      </c>
      <c r="DH5497">
        <v>0</v>
      </c>
      <c r="DI5497">
        <v>0</v>
      </c>
    </row>
    <row r="5498" spans="1:113" x14ac:dyDescent="0.3">
      <c r="A5498" t="str">
        <f t="shared" si="2551"/>
        <v>05/12/2020 14:51:09.414</v>
      </c>
      <c r="C5498" t="str">
        <f t="shared" si="2533"/>
        <v>FFDFD3C0</v>
      </c>
      <c r="D5498" t="s">
        <v>134</v>
      </c>
      <c r="E5498">
        <v>12</v>
      </c>
      <c r="H5498">
        <v>64</v>
      </c>
      <c r="I5498" t="s">
        <v>135</v>
      </c>
      <c r="J5498" t="s">
        <v>136</v>
      </c>
      <c r="K5498">
        <v>0</v>
      </c>
      <c r="L5498">
        <v>3</v>
      </c>
      <c r="M5498">
        <v>0</v>
      </c>
      <c r="N5498">
        <v>2</v>
      </c>
      <c r="O5498">
        <v>1</v>
      </c>
      <c r="P5498">
        <v>0</v>
      </c>
      <c r="Q5498">
        <v>0</v>
      </c>
      <c r="S5498" t="str">
        <f t="shared" si="2552"/>
        <v>14:51:27.195</v>
      </c>
      <c r="T5498" t="str">
        <f t="shared" si="2553"/>
        <v>14:51:26.795</v>
      </c>
      <c r="U5498" t="str">
        <f t="shared" si="2524"/>
        <v>A9808D</v>
      </c>
      <c r="V5498">
        <v>0</v>
      </c>
      <c r="W5498">
        <v>0</v>
      </c>
      <c r="X5498">
        <v>1</v>
      </c>
      <c r="Z5498">
        <v>0</v>
      </c>
      <c r="AA5498">
        <v>9</v>
      </c>
      <c r="AB5498">
        <v>3</v>
      </c>
      <c r="AC5498">
        <v>0</v>
      </c>
      <c r="AD5498">
        <v>10</v>
      </c>
      <c r="AE5498">
        <v>0</v>
      </c>
      <c r="AF5498">
        <v>3</v>
      </c>
      <c r="AG5498">
        <v>2</v>
      </c>
      <c r="AH5498">
        <v>0</v>
      </c>
      <c r="AI5498" t="s">
        <v>1220</v>
      </c>
      <c r="AJ5498">
        <v>28.214628999999999</v>
      </c>
      <c r="AK5498" t="s">
        <v>1210</v>
      </c>
      <c r="AL5498">
        <v>-82.392869000000005</v>
      </c>
      <c r="AM5498">
        <v>100</v>
      </c>
      <c r="AN5498">
        <v>1200</v>
      </c>
      <c r="AO5498" t="s">
        <v>118</v>
      </c>
      <c r="AP5498">
        <v>18</v>
      </c>
      <c r="AQ5498">
        <v>-116</v>
      </c>
      <c r="AR5498">
        <v>-1152</v>
      </c>
      <c r="AZ5498">
        <v>1200</v>
      </c>
      <c r="BA5498">
        <v>1</v>
      </c>
      <c r="BB5498" t="str">
        <f t="shared" si="2534"/>
        <v xml:space="preserve">N711JA  </v>
      </c>
      <c r="BC5498">
        <v>1</v>
      </c>
      <c r="BE5498">
        <v>0</v>
      </c>
      <c r="BF5498">
        <v>0</v>
      </c>
      <c r="BG5498">
        <v>0</v>
      </c>
      <c r="BH5498">
        <v>1225</v>
      </c>
      <c r="BI5498">
        <v>1</v>
      </c>
      <c r="BJ5498">
        <v>1</v>
      </c>
      <c r="BK5498">
        <v>0</v>
      </c>
      <c r="BL5498">
        <v>0</v>
      </c>
      <c r="BO5498">
        <v>0</v>
      </c>
      <c r="BP5498">
        <v>0</v>
      </c>
      <c r="BW5498" t="str">
        <f t="shared" si="2554"/>
        <v>14:51:27.199</v>
      </c>
      <c r="CJ5498">
        <v>0</v>
      </c>
      <c r="CK5498">
        <v>2</v>
      </c>
      <c r="CL5498">
        <v>0</v>
      </c>
      <c r="CM5498">
        <v>2</v>
      </c>
      <c r="CN5498">
        <v>0</v>
      </c>
      <c r="CO5498">
        <v>7</v>
      </c>
      <c r="CP5498" t="s">
        <v>119</v>
      </c>
      <c r="CQ5498">
        <v>358</v>
      </c>
      <c r="CR5498">
        <v>0</v>
      </c>
      <c r="CW5498">
        <v>5277734</v>
      </c>
      <c r="CY5498">
        <v>1</v>
      </c>
      <c r="CZ5498">
        <v>0</v>
      </c>
      <c r="DA5498">
        <v>1</v>
      </c>
      <c r="DB5498">
        <v>0</v>
      </c>
      <c r="DC5498">
        <v>0</v>
      </c>
      <c r="DD5498">
        <v>1</v>
      </c>
      <c r="DE5498">
        <v>0</v>
      </c>
      <c r="DF5498">
        <v>0</v>
      </c>
      <c r="DG5498">
        <v>0</v>
      </c>
      <c r="DH5498">
        <v>0</v>
      </c>
      <c r="DI5498">
        <v>0</v>
      </c>
    </row>
    <row r="5499" spans="1:113" x14ac:dyDescent="0.3">
      <c r="A5499" t="str">
        <f t="shared" si="2551"/>
        <v>05/12/2020 14:51:09.414</v>
      </c>
      <c r="C5499" t="str">
        <f t="shared" si="2533"/>
        <v>FFDFD3C0</v>
      </c>
      <c r="D5499" t="s">
        <v>126</v>
      </c>
      <c r="E5499">
        <v>6</v>
      </c>
      <c r="F5499">
        <v>1006</v>
      </c>
      <c r="G5499" t="s">
        <v>114</v>
      </c>
      <c r="J5499" t="s">
        <v>128</v>
      </c>
      <c r="K5499">
        <v>0</v>
      </c>
      <c r="L5499">
        <v>3</v>
      </c>
      <c r="M5499">
        <v>0</v>
      </c>
      <c r="N5499">
        <v>2</v>
      </c>
      <c r="O5499">
        <v>1</v>
      </c>
      <c r="P5499">
        <v>0</v>
      </c>
      <c r="Q5499">
        <v>0</v>
      </c>
      <c r="S5499" t="str">
        <f t="shared" si="2552"/>
        <v>14:51:27.195</v>
      </c>
      <c r="T5499" t="str">
        <f t="shared" si="2553"/>
        <v>14:51:26.795</v>
      </c>
      <c r="U5499" t="str">
        <f t="shared" si="2524"/>
        <v>A9808D</v>
      </c>
      <c r="V5499">
        <v>0</v>
      </c>
      <c r="W5499">
        <v>0</v>
      </c>
      <c r="X5499">
        <v>1</v>
      </c>
      <c r="Z5499">
        <v>0</v>
      </c>
      <c r="AA5499">
        <v>9</v>
      </c>
      <c r="AB5499">
        <v>3</v>
      </c>
      <c r="AC5499">
        <v>0</v>
      </c>
      <c r="AD5499">
        <v>10</v>
      </c>
      <c r="AE5499">
        <v>0</v>
      </c>
      <c r="AF5499">
        <v>3</v>
      </c>
      <c r="AG5499">
        <v>2</v>
      </c>
      <c r="AH5499">
        <v>0</v>
      </c>
      <c r="AI5499" t="s">
        <v>1220</v>
      </c>
      <c r="AJ5499">
        <v>28.214628999999999</v>
      </c>
      <c r="AK5499" t="s">
        <v>1210</v>
      </c>
      <c r="AL5499">
        <v>-82.392869000000005</v>
      </c>
      <c r="AM5499">
        <v>100</v>
      </c>
      <c r="AN5499">
        <v>1200</v>
      </c>
      <c r="AO5499" t="s">
        <v>118</v>
      </c>
      <c r="AP5499">
        <v>18</v>
      </c>
      <c r="AQ5499">
        <v>-116</v>
      </c>
      <c r="AR5499">
        <v>-1152</v>
      </c>
      <c r="AZ5499">
        <v>1200</v>
      </c>
      <c r="BA5499">
        <v>1</v>
      </c>
      <c r="BB5499" t="str">
        <f t="shared" si="2534"/>
        <v xml:space="preserve">N711JA  </v>
      </c>
      <c r="BC5499">
        <v>1</v>
      </c>
      <c r="BE5499">
        <v>0</v>
      </c>
      <c r="BF5499">
        <v>0</v>
      </c>
      <c r="BG5499">
        <v>0</v>
      </c>
      <c r="BH5499">
        <v>1225</v>
      </c>
      <c r="BI5499">
        <v>1</v>
      </c>
      <c r="BJ5499">
        <v>1</v>
      </c>
      <c r="BK5499">
        <v>0</v>
      </c>
      <c r="BL5499">
        <v>0</v>
      </c>
      <c r="BO5499">
        <v>0</v>
      </c>
      <c r="BP5499">
        <v>0</v>
      </c>
      <c r="BW5499" t="str">
        <f t="shared" si="2554"/>
        <v>14:51:27.199</v>
      </c>
      <c r="CJ5499">
        <v>0</v>
      </c>
      <c r="CK5499">
        <v>2</v>
      </c>
      <c r="CL5499">
        <v>0</v>
      </c>
      <c r="CM5499">
        <v>2</v>
      </c>
      <c r="CN5499">
        <v>0</v>
      </c>
      <c r="CO5499">
        <v>7</v>
      </c>
      <c r="CP5499" t="s">
        <v>119</v>
      </c>
      <c r="CQ5499">
        <v>358</v>
      </c>
      <c r="CR5499">
        <v>0</v>
      </c>
      <c r="CW5499">
        <v>5277734</v>
      </c>
      <c r="CY5499">
        <v>1</v>
      </c>
      <c r="CZ5499">
        <v>0</v>
      </c>
      <c r="DA5499">
        <v>1</v>
      </c>
      <c r="DB5499">
        <v>0</v>
      </c>
      <c r="DC5499">
        <v>0</v>
      </c>
      <c r="DD5499">
        <v>1</v>
      </c>
      <c r="DE5499">
        <v>0</v>
      </c>
      <c r="DF5499">
        <v>0</v>
      </c>
      <c r="DG5499">
        <v>0</v>
      </c>
      <c r="DH5499">
        <v>0</v>
      </c>
      <c r="DI5499">
        <v>0</v>
      </c>
    </row>
    <row r="5500" spans="1:113" x14ac:dyDescent="0.3">
      <c r="A5500" t="str">
        <f t="shared" si="2551"/>
        <v>05/12/2020 14:51:09.414</v>
      </c>
      <c r="C5500" t="str">
        <f t="shared" si="2533"/>
        <v>FFDFD3C0</v>
      </c>
      <c r="D5500" t="s">
        <v>113</v>
      </c>
      <c r="E5500">
        <v>3</v>
      </c>
      <c r="H5500">
        <v>164</v>
      </c>
      <c r="I5500" t="s">
        <v>114</v>
      </c>
      <c r="J5500" t="s">
        <v>115</v>
      </c>
      <c r="K5500">
        <v>0</v>
      </c>
      <c r="L5500">
        <v>3</v>
      </c>
      <c r="M5500">
        <v>0</v>
      </c>
      <c r="N5500">
        <v>2</v>
      </c>
      <c r="O5500">
        <v>1</v>
      </c>
      <c r="P5500">
        <v>0</v>
      </c>
      <c r="Q5500">
        <v>0</v>
      </c>
      <c r="S5500" t="str">
        <f t="shared" si="2552"/>
        <v>14:51:27.195</v>
      </c>
      <c r="T5500" t="str">
        <f t="shared" si="2553"/>
        <v>14:51:26.795</v>
      </c>
      <c r="U5500" t="str">
        <f t="shared" si="2524"/>
        <v>A9808D</v>
      </c>
      <c r="V5500">
        <v>0</v>
      </c>
      <c r="W5500">
        <v>0</v>
      </c>
      <c r="X5500">
        <v>1</v>
      </c>
      <c r="Z5500">
        <v>0</v>
      </c>
      <c r="AA5500">
        <v>9</v>
      </c>
      <c r="AB5500">
        <v>3</v>
      </c>
      <c r="AC5500">
        <v>0</v>
      </c>
      <c r="AD5500">
        <v>10</v>
      </c>
      <c r="AE5500">
        <v>0</v>
      </c>
      <c r="AF5500">
        <v>3</v>
      </c>
      <c r="AG5500">
        <v>2</v>
      </c>
      <c r="AH5500">
        <v>0</v>
      </c>
      <c r="AI5500" t="s">
        <v>1220</v>
      </c>
      <c r="AJ5500">
        <v>28.214628999999999</v>
      </c>
      <c r="AK5500" t="s">
        <v>1210</v>
      </c>
      <c r="AL5500">
        <v>-82.392869000000005</v>
      </c>
      <c r="AM5500">
        <v>100</v>
      </c>
      <c r="AN5500">
        <v>1200</v>
      </c>
      <c r="AO5500" t="s">
        <v>118</v>
      </c>
      <c r="AP5500">
        <v>18</v>
      </c>
      <c r="AQ5500">
        <v>-116</v>
      </c>
      <c r="AR5500">
        <v>-1152</v>
      </c>
      <c r="AZ5500">
        <v>1200</v>
      </c>
      <c r="BA5500">
        <v>1</v>
      </c>
      <c r="BB5500" t="str">
        <f t="shared" si="2534"/>
        <v xml:space="preserve">N711JA  </v>
      </c>
      <c r="BC5500">
        <v>1</v>
      </c>
      <c r="BE5500">
        <v>0</v>
      </c>
      <c r="BF5500">
        <v>0</v>
      </c>
      <c r="BG5500">
        <v>0</v>
      </c>
      <c r="BH5500">
        <v>1225</v>
      </c>
      <c r="BI5500">
        <v>1</v>
      </c>
      <c r="BJ5500">
        <v>1</v>
      </c>
      <c r="BK5500">
        <v>0</v>
      </c>
      <c r="BL5500">
        <v>0</v>
      </c>
      <c r="BO5500">
        <v>0</v>
      </c>
      <c r="BP5500">
        <v>0</v>
      </c>
      <c r="BW5500" t="str">
        <f t="shared" si="2554"/>
        <v>14:51:27.199</v>
      </c>
      <c r="CJ5500">
        <v>0</v>
      </c>
      <c r="CK5500">
        <v>2</v>
      </c>
      <c r="CL5500">
        <v>0</v>
      </c>
      <c r="CM5500">
        <v>2</v>
      </c>
      <c r="CN5500">
        <v>0</v>
      </c>
      <c r="CO5500">
        <v>7</v>
      </c>
      <c r="CP5500" t="s">
        <v>119</v>
      </c>
      <c r="CQ5500">
        <v>343</v>
      </c>
      <c r="CR5500">
        <v>2</v>
      </c>
      <c r="CW5500">
        <v>13413552</v>
      </c>
      <c r="CY5500">
        <v>1</v>
      </c>
      <c r="CZ5500">
        <v>0</v>
      </c>
      <c r="DA5500">
        <v>1</v>
      </c>
      <c r="DB5500">
        <v>0</v>
      </c>
      <c r="DC5500">
        <v>0</v>
      </c>
      <c r="DD5500">
        <v>1</v>
      </c>
      <c r="DE5500">
        <v>0</v>
      </c>
      <c r="DF5500">
        <v>0</v>
      </c>
      <c r="DG5500">
        <v>0</v>
      </c>
      <c r="DH5500">
        <v>0</v>
      </c>
      <c r="DI5500">
        <v>0</v>
      </c>
    </row>
    <row r="5501" spans="1:113" x14ac:dyDescent="0.3">
      <c r="A5501" t="str">
        <f t="shared" si="2551"/>
        <v>05/12/2020 14:51:09.414</v>
      </c>
      <c r="C5501" t="str">
        <f t="shared" si="2533"/>
        <v>FFDFD3C0</v>
      </c>
      <c r="D5501" t="s">
        <v>138</v>
      </c>
      <c r="E5501">
        <v>2</v>
      </c>
      <c r="H5501">
        <v>8</v>
      </c>
      <c r="I5501" t="s">
        <v>139</v>
      </c>
      <c r="J5501" t="s">
        <v>136</v>
      </c>
      <c r="K5501">
        <v>0</v>
      </c>
      <c r="L5501">
        <v>3</v>
      </c>
      <c r="M5501">
        <v>0</v>
      </c>
      <c r="N5501">
        <v>2</v>
      </c>
      <c r="O5501">
        <v>1</v>
      </c>
      <c r="P5501">
        <v>0</v>
      </c>
      <c r="Q5501">
        <v>0</v>
      </c>
      <c r="S5501" t="str">
        <f t="shared" si="2552"/>
        <v>14:51:27.195</v>
      </c>
      <c r="T5501" t="str">
        <f t="shared" si="2553"/>
        <v>14:51:26.795</v>
      </c>
      <c r="U5501" t="str">
        <f t="shared" si="2524"/>
        <v>A9808D</v>
      </c>
      <c r="V5501">
        <v>0</v>
      </c>
      <c r="W5501">
        <v>0</v>
      </c>
      <c r="X5501">
        <v>1</v>
      </c>
      <c r="Z5501">
        <v>0</v>
      </c>
      <c r="AA5501">
        <v>9</v>
      </c>
      <c r="AB5501">
        <v>3</v>
      </c>
      <c r="AC5501">
        <v>0</v>
      </c>
      <c r="AD5501">
        <v>10</v>
      </c>
      <c r="AE5501">
        <v>0</v>
      </c>
      <c r="AF5501">
        <v>3</v>
      </c>
      <c r="AG5501">
        <v>2</v>
      </c>
      <c r="AH5501">
        <v>0</v>
      </c>
      <c r="AI5501" t="s">
        <v>1220</v>
      </c>
      <c r="AJ5501">
        <v>28.214628999999999</v>
      </c>
      <c r="AK5501" t="s">
        <v>1210</v>
      </c>
      <c r="AL5501">
        <v>-82.392869000000005</v>
      </c>
      <c r="AM5501">
        <v>100</v>
      </c>
      <c r="AN5501">
        <v>1200</v>
      </c>
      <c r="AO5501" t="s">
        <v>118</v>
      </c>
      <c r="AP5501">
        <v>18</v>
      </c>
      <c r="AQ5501">
        <v>-116</v>
      </c>
      <c r="AR5501">
        <v>-1152</v>
      </c>
      <c r="AZ5501">
        <v>1200</v>
      </c>
      <c r="BA5501">
        <v>1</v>
      </c>
      <c r="BB5501" t="str">
        <f t="shared" si="2534"/>
        <v xml:space="preserve">N711JA  </v>
      </c>
      <c r="BC5501">
        <v>1</v>
      </c>
      <c r="BE5501">
        <v>0</v>
      </c>
      <c r="BF5501">
        <v>0</v>
      </c>
      <c r="BG5501">
        <v>0</v>
      </c>
      <c r="BH5501">
        <v>1225</v>
      </c>
      <c r="BI5501">
        <v>1</v>
      </c>
      <c r="BJ5501">
        <v>1</v>
      </c>
      <c r="BK5501">
        <v>0</v>
      </c>
      <c r="BL5501">
        <v>0</v>
      </c>
      <c r="BO5501">
        <v>0</v>
      </c>
      <c r="BP5501">
        <v>0</v>
      </c>
      <c r="BW5501" t="str">
        <f t="shared" si="2554"/>
        <v>14:51:27.199</v>
      </c>
      <c r="CJ5501">
        <v>0</v>
      </c>
      <c r="CK5501">
        <v>2</v>
      </c>
      <c r="CL5501">
        <v>0</v>
      </c>
      <c r="CM5501">
        <v>2</v>
      </c>
      <c r="CN5501">
        <v>0</v>
      </c>
      <c r="CO5501">
        <v>7</v>
      </c>
      <c r="CP5501" t="s">
        <v>119</v>
      </c>
      <c r="CQ5501">
        <v>343</v>
      </c>
      <c r="CR5501">
        <v>2</v>
      </c>
      <c r="CW5501">
        <v>13413552</v>
      </c>
      <c r="CY5501">
        <v>1</v>
      </c>
      <c r="CZ5501">
        <v>0</v>
      </c>
      <c r="DA5501">
        <v>1</v>
      </c>
      <c r="DB5501">
        <v>0</v>
      </c>
      <c r="DC5501">
        <v>0</v>
      </c>
      <c r="DD5501">
        <v>1</v>
      </c>
      <c r="DE5501">
        <v>0</v>
      </c>
      <c r="DF5501">
        <v>0</v>
      </c>
      <c r="DG5501">
        <v>0</v>
      </c>
      <c r="DH5501">
        <v>0</v>
      </c>
      <c r="DI5501">
        <v>0</v>
      </c>
    </row>
    <row r="5502" spans="1:113" x14ac:dyDescent="0.3">
      <c r="A5502" t="str">
        <f t="shared" si="2551"/>
        <v>05/12/2020 14:51:09.414</v>
      </c>
      <c r="C5502" t="str">
        <f t="shared" si="2533"/>
        <v>FFDFD3C0</v>
      </c>
      <c r="D5502" t="s">
        <v>138</v>
      </c>
      <c r="E5502">
        <v>3</v>
      </c>
      <c r="H5502">
        <v>9</v>
      </c>
      <c r="I5502" t="s">
        <v>140</v>
      </c>
      <c r="J5502" t="s">
        <v>136</v>
      </c>
      <c r="K5502">
        <v>0</v>
      </c>
      <c r="L5502">
        <v>3</v>
      </c>
      <c r="M5502">
        <v>0</v>
      </c>
      <c r="N5502">
        <v>2</v>
      </c>
      <c r="O5502">
        <v>1</v>
      </c>
      <c r="P5502">
        <v>0</v>
      </c>
      <c r="Q5502">
        <v>0</v>
      </c>
      <c r="S5502" t="str">
        <f t="shared" si="2552"/>
        <v>14:51:27.195</v>
      </c>
      <c r="T5502" t="str">
        <f t="shared" si="2553"/>
        <v>14:51:26.795</v>
      </c>
      <c r="U5502" t="str">
        <f t="shared" si="2524"/>
        <v>A9808D</v>
      </c>
      <c r="V5502">
        <v>0</v>
      </c>
      <c r="W5502">
        <v>0</v>
      </c>
      <c r="X5502">
        <v>1</v>
      </c>
      <c r="Z5502">
        <v>0</v>
      </c>
      <c r="AA5502">
        <v>9</v>
      </c>
      <c r="AB5502">
        <v>3</v>
      </c>
      <c r="AC5502">
        <v>0</v>
      </c>
      <c r="AD5502">
        <v>10</v>
      </c>
      <c r="AE5502">
        <v>0</v>
      </c>
      <c r="AF5502">
        <v>3</v>
      </c>
      <c r="AG5502">
        <v>2</v>
      </c>
      <c r="AH5502">
        <v>0</v>
      </c>
      <c r="AI5502" t="s">
        <v>1220</v>
      </c>
      <c r="AJ5502">
        <v>28.214628999999999</v>
      </c>
      <c r="AK5502" t="s">
        <v>1210</v>
      </c>
      <c r="AL5502">
        <v>-82.392869000000005</v>
      </c>
      <c r="AM5502">
        <v>100</v>
      </c>
      <c r="AN5502">
        <v>1200</v>
      </c>
      <c r="AO5502" t="s">
        <v>118</v>
      </c>
      <c r="AP5502">
        <v>18</v>
      </c>
      <c r="AQ5502">
        <v>-116</v>
      </c>
      <c r="AR5502">
        <v>-1152</v>
      </c>
      <c r="AZ5502">
        <v>1200</v>
      </c>
      <c r="BA5502">
        <v>1</v>
      </c>
      <c r="BB5502" t="str">
        <f t="shared" si="2534"/>
        <v xml:space="preserve">N711JA  </v>
      </c>
      <c r="BC5502">
        <v>1</v>
      </c>
      <c r="BE5502">
        <v>0</v>
      </c>
      <c r="BF5502">
        <v>0</v>
      </c>
      <c r="BG5502">
        <v>0</v>
      </c>
      <c r="BH5502">
        <v>1225</v>
      </c>
      <c r="BI5502">
        <v>1</v>
      </c>
      <c r="BJ5502">
        <v>1</v>
      </c>
      <c r="BK5502">
        <v>0</v>
      </c>
      <c r="BL5502">
        <v>0</v>
      </c>
      <c r="BO5502">
        <v>0</v>
      </c>
      <c r="BP5502">
        <v>0</v>
      </c>
      <c r="BW5502" t="str">
        <f t="shared" si="2554"/>
        <v>14:51:27.199</v>
      </c>
      <c r="CJ5502">
        <v>0</v>
      </c>
      <c r="CK5502">
        <v>2</v>
      </c>
      <c r="CL5502">
        <v>0</v>
      </c>
      <c r="CM5502">
        <v>2</v>
      </c>
      <c r="CN5502">
        <v>0</v>
      </c>
      <c r="CO5502">
        <v>7</v>
      </c>
      <c r="CP5502" t="s">
        <v>119</v>
      </c>
      <c r="CQ5502">
        <v>358</v>
      </c>
      <c r="CR5502">
        <v>0</v>
      </c>
      <c r="CW5502">
        <v>5277734</v>
      </c>
      <c r="CY5502">
        <v>1</v>
      </c>
      <c r="CZ5502">
        <v>0</v>
      </c>
      <c r="DA5502">
        <v>1</v>
      </c>
      <c r="DB5502">
        <v>0</v>
      </c>
      <c r="DC5502">
        <v>0</v>
      </c>
      <c r="DD5502">
        <v>1</v>
      </c>
      <c r="DE5502">
        <v>0</v>
      </c>
      <c r="DF5502">
        <v>0</v>
      </c>
      <c r="DG5502">
        <v>0</v>
      </c>
      <c r="DH5502">
        <v>0</v>
      </c>
      <c r="DI5502">
        <v>0</v>
      </c>
    </row>
    <row r="5503" spans="1:113" x14ac:dyDescent="0.3">
      <c r="A5503" t="str">
        <f t="shared" ref="A5503:A5510" si="2555">"05/12/2020 14:51:10.319"</f>
        <v>05/12/2020 14:51:10.319</v>
      </c>
      <c r="C5503" t="str">
        <f t="shared" si="2533"/>
        <v>FFDFD3C0</v>
      </c>
      <c r="D5503" t="s">
        <v>126</v>
      </c>
      <c r="E5503">
        <v>7</v>
      </c>
      <c r="F5503">
        <v>1007</v>
      </c>
      <c r="G5503" t="s">
        <v>127</v>
      </c>
      <c r="J5503" t="s">
        <v>128</v>
      </c>
      <c r="K5503">
        <v>0</v>
      </c>
      <c r="L5503">
        <v>3</v>
      </c>
      <c r="M5503">
        <v>0</v>
      </c>
      <c r="N5503">
        <v>2</v>
      </c>
      <c r="O5503">
        <v>1</v>
      </c>
      <c r="P5503">
        <v>0</v>
      </c>
      <c r="Q5503">
        <v>0</v>
      </c>
      <c r="S5503" t="str">
        <f t="shared" ref="S5503:S5510" si="2556">"14:51:28.125"</f>
        <v>14:51:28.125</v>
      </c>
      <c r="T5503" t="str">
        <f t="shared" ref="T5503:T5510" si="2557">"14:51:27.825"</f>
        <v>14:51:27.825</v>
      </c>
      <c r="U5503" t="str">
        <f t="shared" si="2524"/>
        <v>A9808D</v>
      </c>
      <c r="V5503">
        <v>0</v>
      </c>
      <c r="W5503">
        <v>0</v>
      </c>
      <c r="X5503">
        <v>1</v>
      </c>
      <c r="Z5503">
        <v>0</v>
      </c>
      <c r="AA5503">
        <v>9</v>
      </c>
      <c r="AB5503">
        <v>3</v>
      </c>
      <c r="AC5503">
        <v>0</v>
      </c>
      <c r="AD5503">
        <v>10</v>
      </c>
      <c r="AE5503">
        <v>0</v>
      </c>
      <c r="AF5503">
        <v>3</v>
      </c>
      <c r="AG5503">
        <v>2</v>
      </c>
      <c r="AH5503">
        <v>0</v>
      </c>
      <c r="AI5503" t="s">
        <v>1221</v>
      </c>
      <c r="AJ5503">
        <v>28.214092000000001</v>
      </c>
      <c r="AK5503" t="s">
        <v>1222</v>
      </c>
      <c r="AL5503">
        <v>-82.392719</v>
      </c>
      <c r="AM5503">
        <v>100</v>
      </c>
      <c r="AN5503">
        <v>1100</v>
      </c>
      <c r="AO5503" t="s">
        <v>118</v>
      </c>
      <c r="AP5503">
        <v>26</v>
      </c>
      <c r="AQ5503">
        <v>-114</v>
      </c>
      <c r="AR5503">
        <v>-1088</v>
      </c>
      <c r="AZ5503">
        <v>1200</v>
      </c>
      <c r="BA5503">
        <v>1</v>
      </c>
      <c r="BB5503" t="str">
        <f t="shared" si="2534"/>
        <v xml:space="preserve">N711JA  </v>
      </c>
      <c r="BC5503">
        <v>1</v>
      </c>
      <c r="BE5503">
        <v>0</v>
      </c>
      <c r="BF5503">
        <v>0</v>
      </c>
      <c r="BG5503">
        <v>0</v>
      </c>
      <c r="BH5503">
        <v>1325</v>
      </c>
      <c r="BI5503">
        <v>1</v>
      </c>
      <c r="BJ5503">
        <v>1</v>
      </c>
      <c r="BK5503">
        <v>0</v>
      </c>
      <c r="BL5503">
        <v>0</v>
      </c>
      <c r="BO5503">
        <v>0</v>
      </c>
      <c r="BP5503">
        <v>0</v>
      </c>
      <c r="BW5503" t="str">
        <f t="shared" ref="BW5503:BW5510" si="2558">"14:51:28.131"</f>
        <v>14:51:28.131</v>
      </c>
      <c r="CJ5503">
        <v>0</v>
      </c>
      <c r="CK5503">
        <v>2</v>
      </c>
      <c r="CL5503">
        <v>0</v>
      </c>
      <c r="CM5503">
        <v>2</v>
      </c>
      <c r="CN5503">
        <v>0</v>
      </c>
      <c r="CO5503">
        <v>7</v>
      </c>
      <c r="CP5503" t="s">
        <v>119</v>
      </c>
      <c r="CQ5503">
        <v>343</v>
      </c>
      <c r="CR5503">
        <v>1</v>
      </c>
      <c r="CW5503">
        <v>11162807</v>
      </c>
      <c r="CY5503">
        <v>1</v>
      </c>
      <c r="CZ5503">
        <v>0</v>
      </c>
      <c r="DA5503">
        <v>0</v>
      </c>
      <c r="DB5503">
        <v>0</v>
      </c>
      <c r="DC5503">
        <v>0</v>
      </c>
      <c r="DD5503">
        <v>1</v>
      </c>
      <c r="DE5503">
        <v>0</v>
      </c>
      <c r="DF5503">
        <v>0</v>
      </c>
      <c r="DG5503">
        <v>0</v>
      </c>
      <c r="DH5503">
        <v>0</v>
      </c>
      <c r="DI5503">
        <v>0</v>
      </c>
    </row>
    <row r="5504" spans="1:113" x14ac:dyDescent="0.3">
      <c r="A5504" t="str">
        <f t="shared" si="2555"/>
        <v>05/12/2020 14:51:10.319</v>
      </c>
      <c r="C5504" t="str">
        <f t="shared" si="2533"/>
        <v>FFDFD3C0</v>
      </c>
      <c r="D5504" t="s">
        <v>131</v>
      </c>
      <c r="E5504">
        <v>10</v>
      </c>
      <c r="F5504">
        <v>2010</v>
      </c>
      <c r="G5504" t="s">
        <v>132</v>
      </c>
      <c r="J5504" t="s">
        <v>133</v>
      </c>
      <c r="K5504">
        <v>0</v>
      </c>
      <c r="L5504">
        <v>3</v>
      </c>
      <c r="M5504">
        <v>0</v>
      </c>
      <c r="N5504">
        <v>2</v>
      </c>
      <c r="O5504">
        <v>1</v>
      </c>
      <c r="P5504">
        <v>0</v>
      </c>
      <c r="Q5504">
        <v>0</v>
      </c>
      <c r="S5504" t="str">
        <f t="shared" si="2556"/>
        <v>14:51:28.125</v>
      </c>
      <c r="T5504" t="str">
        <f t="shared" si="2557"/>
        <v>14:51:27.825</v>
      </c>
      <c r="U5504" t="str">
        <f t="shared" si="2524"/>
        <v>A9808D</v>
      </c>
      <c r="V5504">
        <v>0</v>
      </c>
      <c r="W5504">
        <v>0</v>
      </c>
      <c r="X5504">
        <v>1</v>
      </c>
      <c r="Z5504">
        <v>0</v>
      </c>
      <c r="AA5504">
        <v>9</v>
      </c>
      <c r="AB5504">
        <v>3</v>
      </c>
      <c r="AC5504">
        <v>0</v>
      </c>
      <c r="AD5504">
        <v>10</v>
      </c>
      <c r="AE5504">
        <v>0</v>
      </c>
      <c r="AF5504">
        <v>3</v>
      </c>
      <c r="AG5504">
        <v>2</v>
      </c>
      <c r="AH5504">
        <v>0</v>
      </c>
      <c r="AI5504" t="s">
        <v>1221</v>
      </c>
      <c r="AJ5504">
        <v>28.214092000000001</v>
      </c>
      <c r="AK5504" t="s">
        <v>1222</v>
      </c>
      <c r="AL5504">
        <v>-82.392719</v>
      </c>
      <c r="AM5504">
        <v>100</v>
      </c>
      <c r="AN5504">
        <v>1100</v>
      </c>
      <c r="AO5504" t="s">
        <v>118</v>
      </c>
      <c r="AP5504">
        <v>26</v>
      </c>
      <c r="AQ5504">
        <v>-114</v>
      </c>
      <c r="AR5504">
        <v>-1088</v>
      </c>
      <c r="AZ5504">
        <v>1200</v>
      </c>
      <c r="BA5504">
        <v>1</v>
      </c>
      <c r="BB5504" t="str">
        <f t="shared" si="2534"/>
        <v xml:space="preserve">N711JA  </v>
      </c>
      <c r="BC5504">
        <v>1</v>
      </c>
      <c r="BE5504">
        <v>0</v>
      </c>
      <c r="BF5504">
        <v>0</v>
      </c>
      <c r="BG5504">
        <v>0</v>
      </c>
      <c r="BH5504">
        <v>1325</v>
      </c>
      <c r="BI5504">
        <v>1</v>
      </c>
      <c r="BJ5504">
        <v>1</v>
      </c>
      <c r="BK5504">
        <v>0</v>
      </c>
      <c r="BL5504">
        <v>0</v>
      </c>
      <c r="BO5504">
        <v>0</v>
      </c>
      <c r="BP5504">
        <v>0</v>
      </c>
      <c r="BW5504" t="str">
        <f t="shared" si="2558"/>
        <v>14:51:28.131</v>
      </c>
      <c r="CJ5504">
        <v>0</v>
      </c>
      <c r="CK5504">
        <v>2</v>
      </c>
      <c r="CL5504">
        <v>0</v>
      </c>
      <c r="CM5504">
        <v>2</v>
      </c>
      <c r="CN5504">
        <v>0</v>
      </c>
      <c r="CO5504">
        <v>7</v>
      </c>
      <c r="CP5504" t="s">
        <v>119</v>
      </c>
      <c r="CQ5504">
        <v>343</v>
      </c>
      <c r="CR5504">
        <v>1</v>
      </c>
      <c r="CW5504">
        <v>11162807</v>
      </c>
      <c r="CY5504">
        <v>1</v>
      </c>
      <c r="CZ5504">
        <v>0</v>
      </c>
      <c r="DA5504">
        <v>1</v>
      </c>
      <c r="DB5504">
        <v>0</v>
      </c>
      <c r="DC5504">
        <v>0</v>
      </c>
      <c r="DD5504">
        <v>1</v>
      </c>
      <c r="DE5504">
        <v>0</v>
      </c>
      <c r="DF5504">
        <v>0</v>
      </c>
      <c r="DG5504">
        <v>0</v>
      </c>
      <c r="DH5504">
        <v>0</v>
      </c>
      <c r="DI5504">
        <v>0</v>
      </c>
    </row>
    <row r="5505" spans="1:113" x14ac:dyDescent="0.3">
      <c r="A5505" t="str">
        <f t="shared" si="2555"/>
        <v>05/12/2020 14:51:10.319</v>
      </c>
      <c r="C5505" t="str">
        <f t="shared" si="2533"/>
        <v>FFDFD3C0</v>
      </c>
      <c r="D5505" t="s">
        <v>131</v>
      </c>
      <c r="E5505">
        <v>12</v>
      </c>
      <c r="F5505">
        <v>2012</v>
      </c>
      <c r="G5505" t="s">
        <v>137</v>
      </c>
      <c r="J5505" t="s">
        <v>133</v>
      </c>
      <c r="K5505">
        <v>0</v>
      </c>
      <c r="L5505">
        <v>3</v>
      </c>
      <c r="M5505">
        <v>0</v>
      </c>
      <c r="N5505">
        <v>2</v>
      </c>
      <c r="O5505">
        <v>1</v>
      </c>
      <c r="P5505">
        <v>0</v>
      </c>
      <c r="Q5505">
        <v>0</v>
      </c>
      <c r="S5505" t="str">
        <f t="shared" si="2556"/>
        <v>14:51:28.125</v>
      </c>
      <c r="T5505" t="str">
        <f t="shared" si="2557"/>
        <v>14:51:27.825</v>
      </c>
      <c r="U5505" t="str">
        <f t="shared" si="2524"/>
        <v>A9808D</v>
      </c>
      <c r="V5505">
        <v>0</v>
      </c>
      <c r="W5505">
        <v>0</v>
      </c>
      <c r="X5505">
        <v>1</v>
      </c>
      <c r="Z5505">
        <v>0</v>
      </c>
      <c r="AA5505">
        <v>9</v>
      </c>
      <c r="AB5505">
        <v>3</v>
      </c>
      <c r="AC5505">
        <v>0</v>
      </c>
      <c r="AD5505">
        <v>10</v>
      </c>
      <c r="AE5505">
        <v>0</v>
      </c>
      <c r="AF5505">
        <v>3</v>
      </c>
      <c r="AG5505">
        <v>2</v>
      </c>
      <c r="AH5505">
        <v>0</v>
      </c>
      <c r="AI5505" t="s">
        <v>1221</v>
      </c>
      <c r="AJ5505">
        <v>28.214092000000001</v>
      </c>
      <c r="AK5505" t="s">
        <v>1222</v>
      </c>
      <c r="AL5505">
        <v>-82.392719</v>
      </c>
      <c r="AM5505">
        <v>100</v>
      </c>
      <c r="AN5505">
        <v>1100</v>
      </c>
      <c r="AO5505" t="s">
        <v>118</v>
      </c>
      <c r="AP5505">
        <v>26</v>
      </c>
      <c r="AQ5505">
        <v>-114</v>
      </c>
      <c r="AR5505">
        <v>-1088</v>
      </c>
      <c r="AZ5505">
        <v>1200</v>
      </c>
      <c r="BA5505">
        <v>1</v>
      </c>
      <c r="BB5505" t="str">
        <f t="shared" si="2534"/>
        <v xml:space="preserve">N711JA  </v>
      </c>
      <c r="BC5505">
        <v>1</v>
      </c>
      <c r="BE5505">
        <v>0</v>
      </c>
      <c r="BF5505">
        <v>0</v>
      </c>
      <c r="BG5505">
        <v>0</v>
      </c>
      <c r="BH5505">
        <v>1325</v>
      </c>
      <c r="BI5505">
        <v>1</v>
      </c>
      <c r="BJ5505">
        <v>1</v>
      </c>
      <c r="BK5505">
        <v>0</v>
      </c>
      <c r="BL5505">
        <v>0</v>
      </c>
      <c r="BO5505">
        <v>0</v>
      </c>
      <c r="BP5505">
        <v>0</v>
      </c>
      <c r="BW5505" t="str">
        <f t="shared" si="2558"/>
        <v>14:51:28.131</v>
      </c>
      <c r="CJ5505">
        <v>0</v>
      </c>
      <c r="CK5505">
        <v>2</v>
      </c>
      <c r="CL5505">
        <v>0</v>
      </c>
      <c r="CM5505">
        <v>2</v>
      </c>
      <c r="CN5505">
        <v>0</v>
      </c>
      <c r="CO5505">
        <v>7</v>
      </c>
      <c r="CP5505" t="s">
        <v>119</v>
      </c>
      <c r="CQ5505">
        <v>343</v>
      </c>
      <c r="CR5505">
        <v>1</v>
      </c>
      <c r="CW5505">
        <v>11162807</v>
      </c>
      <c r="CY5505">
        <v>1</v>
      </c>
      <c r="CZ5505">
        <v>0</v>
      </c>
      <c r="DA5505">
        <v>1</v>
      </c>
      <c r="DB5505">
        <v>0</v>
      </c>
      <c r="DC5505">
        <v>0</v>
      </c>
      <c r="DD5505">
        <v>1</v>
      </c>
      <c r="DE5505">
        <v>0</v>
      </c>
      <c r="DF5505">
        <v>0</v>
      </c>
      <c r="DG5505">
        <v>0</v>
      </c>
      <c r="DH5505">
        <v>0</v>
      </c>
      <c r="DI5505">
        <v>0</v>
      </c>
    </row>
    <row r="5506" spans="1:113" x14ac:dyDescent="0.3">
      <c r="A5506" t="str">
        <f t="shared" si="2555"/>
        <v>05/12/2020 14:51:10.319</v>
      </c>
      <c r="C5506" t="str">
        <f t="shared" si="2533"/>
        <v>FFDFD3C0</v>
      </c>
      <c r="D5506" t="s">
        <v>126</v>
      </c>
      <c r="E5506">
        <v>6</v>
      </c>
      <c r="F5506">
        <v>1006</v>
      </c>
      <c r="G5506" t="s">
        <v>114</v>
      </c>
      <c r="J5506" t="s">
        <v>128</v>
      </c>
      <c r="K5506">
        <v>0</v>
      </c>
      <c r="L5506">
        <v>3</v>
      </c>
      <c r="M5506">
        <v>0</v>
      </c>
      <c r="N5506">
        <v>2</v>
      </c>
      <c r="O5506">
        <v>1</v>
      </c>
      <c r="P5506">
        <v>0</v>
      </c>
      <c r="Q5506">
        <v>0</v>
      </c>
      <c r="S5506" t="str">
        <f t="shared" si="2556"/>
        <v>14:51:28.125</v>
      </c>
      <c r="T5506" t="str">
        <f t="shared" si="2557"/>
        <v>14:51:27.825</v>
      </c>
      <c r="U5506" t="str">
        <f t="shared" ref="U5506:U5569" si="2559">"A9808D"</f>
        <v>A9808D</v>
      </c>
      <c r="V5506">
        <v>0</v>
      </c>
      <c r="W5506">
        <v>0</v>
      </c>
      <c r="X5506">
        <v>1</v>
      </c>
      <c r="Z5506">
        <v>0</v>
      </c>
      <c r="AA5506">
        <v>9</v>
      </c>
      <c r="AB5506">
        <v>3</v>
      </c>
      <c r="AC5506">
        <v>0</v>
      </c>
      <c r="AD5506">
        <v>10</v>
      </c>
      <c r="AE5506">
        <v>0</v>
      </c>
      <c r="AF5506">
        <v>3</v>
      </c>
      <c r="AG5506">
        <v>2</v>
      </c>
      <c r="AH5506">
        <v>0</v>
      </c>
      <c r="AI5506" t="s">
        <v>1221</v>
      </c>
      <c r="AJ5506">
        <v>28.214092000000001</v>
      </c>
      <c r="AK5506" t="s">
        <v>1222</v>
      </c>
      <c r="AL5506">
        <v>-82.392719</v>
      </c>
      <c r="AM5506">
        <v>100</v>
      </c>
      <c r="AN5506">
        <v>1100</v>
      </c>
      <c r="AO5506" t="s">
        <v>118</v>
      </c>
      <c r="AP5506">
        <v>26</v>
      </c>
      <c r="AQ5506">
        <v>-114</v>
      </c>
      <c r="AR5506">
        <v>-1088</v>
      </c>
      <c r="AZ5506">
        <v>1200</v>
      </c>
      <c r="BA5506">
        <v>1</v>
      </c>
      <c r="BB5506" t="str">
        <f t="shared" si="2534"/>
        <v xml:space="preserve">N711JA  </v>
      </c>
      <c r="BC5506">
        <v>1</v>
      </c>
      <c r="BE5506">
        <v>0</v>
      </c>
      <c r="BF5506">
        <v>0</v>
      </c>
      <c r="BG5506">
        <v>0</v>
      </c>
      <c r="BH5506">
        <v>1325</v>
      </c>
      <c r="BI5506">
        <v>1</v>
      </c>
      <c r="BJ5506">
        <v>1</v>
      </c>
      <c r="BK5506">
        <v>0</v>
      </c>
      <c r="BL5506">
        <v>0</v>
      </c>
      <c r="BO5506">
        <v>0</v>
      </c>
      <c r="BP5506">
        <v>0</v>
      </c>
      <c r="BW5506" t="str">
        <f t="shared" si="2558"/>
        <v>14:51:28.131</v>
      </c>
      <c r="CJ5506">
        <v>0</v>
      </c>
      <c r="CK5506">
        <v>2</v>
      </c>
      <c r="CL5506">
        <v>0</v>
      </c>
      <c r="CM5506">
        <v>2</v>
      </c>
      <c r="CN5506">
        <v>0</v>
      </c>
      <c r="CO5506">
        <v>7</v>
      </c>
      <c r="CP5506" t="s">
        <v>119</v>
      </c>
      <c r="CQ5506">
        <v>343</v>
      </c>
      <c r="CR5506">
        <v>1</v>
      </c>
      <c r="CW5506">
        <v>11162807</v>
      </c>
      <c r="CY5506">
        <v>1</v>
      </c>
      <c r="CZ5506">
        <v>0</v>
      </c>
      <c r="DA5506">
        <v>1</v>
      </c>
      <c r="DB5506">
        <v>0</v>
      </c>
      <c r="DC5506">
        <v>0</v>
      </c>
      <c r="DD5506">
        <v>1</v>
      </c>
      <c r="DE5506">
        <v>0</v>
      </c>
      <c r="DF5506">
        <v>0</v>
      </c>
      <c r="DG5506">
        <v>0</v>
      </c>
      <c r="DH5506">
        <v>0</v>
      </c>
      <c r="DI5506">
        <v>0</v>
      </c>
    </row>
    <row r="5507" spans="1:113" x14ac:dyDescent="0.3">
      <c r="A5507" t="str">
        <f t="shared" si="2555"/>
        <v>05/12/2020 14:51:10.319</v>
      </c>
      <c r="C5507" t="str">
        <f t="shared" si="2533"/>
        <v>FFDFD3C0</v>
      </c>
      <c r="D5507" t="s">
        <v>134</v>
      </c>
      <c r="E5507">
        <v>12</v>
      </c>
      <c r="H5507">
        <v>64</v>
      </c>
      <c r="I5507" t="s">
        <v>135</v>
      </c>
      <c r="J5507" t="s">
        <v>136</v>
      </c>
      <c r="K5507">
        <v>0</v>
      </c>
      <c r="L5507">
        <v>3</v>
      </c>
      <c r="M5507">
        <v>0</v>
      </c>
      <c r="N5507">
        <v>2</v>
      </c>
      <c r="O5507">
        <v>1</v>
      </c>
      <c r="P5507">
        <v>0</v>
      </c>
      <c r="Q5507">
        <v>0</v>
      </c>
      <c r="S5507" t="str">
        <f t="shared" si="2556"/>
        <v>14:51:28.125</v>
      </c>
      <c r="T5507" t="str">
        <f t="shared" si="2557"/>
        <v>14:51:27.825</v>
      </c>
      <c r="U5507" t="str">
        <f t="shared" si="2559"/>
        <v>A9808D</v>
      </c>
      <c r="V5507">
        <v>0</v>
      </c>
      <c r="W5507">
        <v>0</v>
      </c>
      <c r="X5507">
        <v>1</v>
      </c>
      <c r="Z5507">
        <v>0</v>
      </c>
      <c r="AA5507">
        <v>9</v>
      </c>
      <c r="AB5507">
        <v>3</v>
      </c>
      <c r="AC5507">
        <v>0</v>
      </c>
      <c r="AD5507">
        <v>10</v>
      </c>
      <c r="AE5507">
        <v>0</v>
      </c>
      <c r="AF5507">
        <v>3</v>
      </c>
      <c r="AG5507">
        <v>2</v>
      </c>
      <c r="AH5507">
        <v>0</v>
      </c>
      <c r="AI5507" t="s">
        <v>1221</v>
      </c>
      <c r="AJ5507">
        <v>28.214092000000001</v>
      </c>
      <c r="AK5507" t="s">
        <v>1222</v>
      </c>
      <c r="AL5507">
        <v>-82.392719</v>
      </c>
      <c r="AM5507">
        <v>100</v>
      </c>
      <c r="AN5507">
        <v>1100</v>
      </c>
      <c r="AO5507" t="s">
        <v>118</v>
      </c>
      <c r="AP5507">
        <v>26</v>
      </c>
      <c r="AQ5507">
        <v>-114</v>
      </c>
      <c r="AR5507">
        <v>-1088</v>
      </c>
      <c r="AZ5507">
        <v>1200</v>
      </c>
      <c r="BA5507">
        <v>1</v>
      </c>
      <c r="BB5507" t="str">
        <f t="shared" si="2534"/>
        <v xml:space="preserve">N711JA  </v>
      </c>
      <c r="BC5507">
        <v>1</v>
      </c>
      <c r="BE5507">
        <v>0</v>
      </c>
      <c r="BF5507">
        <v>0</v>
      </c>
      <c r="BG5507">
        <v>0</v>
      </c>
      <c r="BH5507">
        <v>1325</v>
      </c>
      <c r="BI5507">
        <v>1</v>
      </c>
      <c r="BJ5507">
        <v>1</v>
      </c>
      <c r="BK5507">
        <v>0</v>
      </c>
      <c r="BL5507">
        <v>0</v>
      </c>
      <c r="BO5507">
        <v>0</v>
      </c>
      <c r="BP5507">
        <v>0</v>
      </c>
      <c r="BW5507" t="str">
        <f t="shared" si="2558"/>
        <v>14:51:28.131</v>
      </c>
      <c r="CJ5507">
        <v>0</v>
      </c>
      <c r="CK5507">
        <v>2</v>
      </c>
      <c r="CL5507">
        <v>0</v>
      </c>
      <c r="CM5507">
        <v>2</v>
      </c>
      <c r="CN5507">
        <v>0</v>
      </c>
      <c r="CO5507">
        <v>7</v>
      </c>
      <c r="CP5507" t="s">
        <v>119</v>
      </c>
      <c r="CQ5507">
        <v>343</v>
      </c>
      <c r="CR5507">
        <v>1</v>
      </c>
      <c r="CW5507">
        <v>11162807</v>
      </c>
      <c r="CY5507">
        <v>1</v>
      </c>
      <c r="CZ5507">
        <v>0</v>
      </c>
      <c r="DA5507">
        <v>1</v>
      </c>
      <c r="DB5507">
        <v>0</v>
      </c>
      <c r="DC5507">
        <v>0</v>
      </c>
      <c r="DD5507">
        <v>1</v>
      </c>
      <c r="DE5507">
        <v>0</v>
      </c>
      <c r="DF5507">
        <v>0</v>
      </c>
      <c r="DG5507">
        <v>0</v>
      </c>
      <c r="DH5507">
        <v>0</v>
      </c>
      <c r="DI5507">
        <v>0</v>
      </c>
    </row>
    <row r="5508" spans="1:113" x14ac:dyDescent="0.3">
      <c r="A5508" t="str">
        <f t="shared" si="2555"/>
        <v>05/12/2020 14:51:10.319</v>
      </c>
      <c r="C5508" t="str">
        <f t="shared" si="2533"/>
        <v>FFDFD3C0</v>
      </c>
      <c r="D5508" t="s">
        <v>113</v>
      </c>
      <c r="E5508">
        <v>3</v>
      </c>
      <c r="H5508">
        <v>164</v>
      </c>
      <c r="I5508" t="s">
        <v>114</v>
      </c>
      <c r="J5508" t="s">
        <v>115</v>
      </c>
      <c r="K5508">
        <v>0</v>
      </c>
      <c r="L5508">
        <v>3</v>
      </c>
      <c r="M5508">
        <v>0</v>
      </c>
      <c r="N5508">
        <v>2</v>
      </c>
      <c r="O5508">
        <v>1</v>
      </c>
      <c r="P5508">
        <v>0</v>
      </c>
      <c r="Q5508">
        <v>0</v>
      </c>
      <c r="S5508" t="str">
        <f t="shared" si="2556"/>
        <v>14:51:28.125</v>
      </c>
      <c r="T5508" t="str">
        <f t="shared" si="2557"/>
        <v>14:51:27.825</v>
      </c>
      <c r="U5508" t="str">
        <f t="shared" si="2559"/>
        <v>A9808D</v>
      </c>
      <c r="V5508">
        <v>0</v>
      </c>
      <c r="W5508">
        <v>0</v>
      </c>
      <c r="X5508">
        <v>1</v>
      </c>
      <c r="Z5508">
        <v>0</v>
      </c>
      <c r="AA5508">
        <v>9</v>
      </c>
      <c r="AB5508">
        <v>3</v>
      </c>
      <c r="AC5508">
        <v>0</v>
      </c>
      <c r="AD5508">
        <v>10</v>
      </c>
      <c r="AE5508">
        <v>0</v>
      </c>
      <c r="AF5508">
        <v>3</v>
      </c>
      <c r="AG5508">
        <v>2</v>
      </c>
      <c r="AH5508">
        <v>0</v>
      </c>
      <c r="AI5508" t="s">
        <v>1221</v>
      </c>
      <c r="AJ5508">
        <v>28.214092000000001</v>
      </c>
      <c r="AK5508" t="s">
        <v>1222</v>
      </c>
      <c r="AL5508">
        <v>-82.392719</v>
      </c>
      <c r="AM5508">
        <v>100</v>
      </c>
      <c r="AN5508">
        <v>1100</v>
      </c>
      <c r="AO5508" t="s">
        <v>118</v>
      </c>
      <c r="AP5508">
        <v>26</v>
      </c>
      <c r="AQ5508">
        <v>-114</v>
      </c>
      <c r="AR5508">
        <v>-1088</v>
      </c>
      <c r="AZ5508">
        <v>1200</v>
      </c>
      <c r="BA5508">
        <v>1</v>
      </c>
      <c r="BB5508" t="str">
        <f t="shared" si="2534"/>
        <v xml:space="preserve">N711JA  </v>
      </c>
      <c r="BC5508">
        <v>1</v>
      </c>
      <c r="BE5508">
        <v>0</v>
      </c>
      <c r="BF5508">
        <v>0</v>
      </c>
      <c r="BG5508">
        <v>0</v>
      </c>
      <c r="BH5508">
        <v>1325</v>
      </c>
      <c r="BI5508">
        <v>1</v>
      </c>
      <c r="BJ5508">
        <v>1</v>
      </c>
      <c r="BK5508">
        <v>0</v>
      </c>
      <c r="BL5508">
        <v>0</v>
      </c>
      <c r="BO5508">
        <v>0</v>
      </c>
      <c r="BP5508">
        <v>0</v>
      </c>
      <c r="BW5508" t="str">
        <f t="shared" si="2558"/>
        <v>14:51:28.131</v>
      </c>
      <c r="CJ5508">
        <v>0</v>
      </c>
      <c r="CK5508">
        <v>2</v>
      </c>
      <c r="CL5508">
        <v>0</v>
      </c>
      <c r="CM5508">
        <v>2</v>
      </c>
      <c r="CN5508">
        <v>0</v>
      </c>
      <c r="CO5508">
        <v>7</v>
      </c>
      <c r="CP5508" t="s">
        <v>119</v>
      </c>
      <c r="CQ5508">
        <v>343</v>
      </c>
      <c r="CR5508">
        <v>1</v>
      </c>
      <c r="CW5508">
        <v>11162807</v>
      </c>
      <c r="CY5508">
        <v>1</v>
      </c>
      <c r="CZ5508">
        <v>0</v>
      </c>
      <c r="DA5508">
        <v>1</v>
      </c>
      <c r="DB5508">
        <v>0</v>
      </c>
      <c r="DC5508">
        <v>0</v>
      </c>
      <c r="DD5508">
        <v>1</v>
      </c>
      <c r="DE5508">
        <v>0</v>
      </c>
      <c r="DF5508">
        <v>0</v>
      </c>
      <c r="DG5508">
        <v>0</v>
      </c>
      <c r="DH5508">
        <v>0</v>
      </c>
      <c r="DI5508">
        <v>0</v>
      </c>
    </row>
    <row r="5509" spans="1:113" x14ac:dyDescent="0.3">
      <c r="A5509" t="str">
        <f t="shared" si="2555"/>
        <v>05/12/2020 14:51:10.319</v>
      </c>
      <c r="C5509" t="str">
        <f t="shared" si="2533"/>
        <v>FFDFD3C0</v>
      </c>
      <c r="D5509" t="s">
        <v>138</v>
      </c>
      <c r="E5509">
        <v>2</v>
      </c>
      <c r="H5509">
        <v>8</v>
      </c>
      <c r="I5509" t="s">
        <v>139</v>
      </c>
      <c r="J5509" t="s">
        <v>136</v>
      </c>
      <c r="K5509">
        <v>0</v>
      </c>
      <c r="L5509">
        <v>3</v>
      </c>
      <c r="M5509">
        <v>0</v>
      </c>
      <c r="N5509">
        <v>2</v>
      </c>
      <c r="O5509">
        <v>1</v>
      </c>
      <c r="P5509">
        <v>0</v>
      </c>
      <c r="Q5509">
        <v>0</v>
      </c>
      <c r="S5509" t="str">
        <f t="shared" si="2556"/>
        <v>14:51:28.125</v>
      </c>
      <c r="T5509" t="str">
        <f t="shared" si="2557"/>
        <v>14:51:27.825</v>
      </c>
      <c r="U5509" t="str">
        <f t="shared" si="2559"/>
        <v>A9808D</v>
      </c>
      <c r="V5509">
        <v>0</v>
      </c>
      <c r="W5509">
        <v>0</v>
      </c>
      <c r="X5509">
        <v>1</v>
      </c>
      <c r="Z5509">
        <v>0</v>
      </c>
      <c r="AA5509">
        <v>9</v>
      </c>
      <c r="AB5509">
        <v>3</v>
      </c>
      <c r="AC5509">
        <v>0</v>
      </c>
      <c r="AD5509">
        <v>10</v>
      </c>
      <c r="AE5509">
        <v>0</v>
      </c>
      <c r="AF5509">
        <v>3</v>
      </c>
      <c r="AG5509">
        <v>2</v>
      </c>
      <c r="AH5509">
        <v>0</v>
      </c>
      <c r="AI5509" t="s">
        <v>1221</v>
      </c>
      <c r="AJ5509">
        <v>28.214092000000001</v>
      </c>
      <c r="AK5509" t="s">
        <v>1222</v>
      </c>
      <c r="AL5509">
        <v>-82.392719</v>
      </c>
      <c r="AM5509">
        <v>100</v>
      </c>
      <c r="AN5509">
        <v>1100</v>
      </c>
      <c r="AO5509" t="s">
        <v>118</v>
      </c>
      <c r="AP5509">
        <v>26</v>
      </c>
      <c r="AQ5509">
        <v>-114</v>
      </c>
      <c r="AR5509">
        <v>-1088</v>
      </c>
      <c r="AZ5509">
        <v>1200</v>
      </c>
      <c r="BA5509">
        <v>1</v>
      </c>
      <c r="BB5509" t="str">
        <f t="shared" si="2534"/>
        <v xml:space="preserve">N711JA  </v>
      </c>
      <c r="BC5509">
        <v>1</v>
      </c>
      <c r="BE5509">
        <v>0</v>
      </c>
      <c r="BF5509">
        <v>0</v>
      </c>
      <c r="BG5509">
        <v>0</v>
      </c>
      <c r="BH5509">
        <v>1325</v>
      </c>
      <c r="BI5509">
        <v>1</v>
      </c>
      <c r="BJ5509">
        <v>1</v>
      </c>
      <c r="BK5509">
        <v>0</v>
      </c>
      <c r="BL5509">
        <v>0</v>
      </c>
      <c r="BO5509">
        <v>0</v>
      </c>
      <c r="BP5509">
        <v>0</v>
      </c>
      <c r="BW5509" t="str">
        <f t="shared" si="2558"/>
        <v>14:51:28.131</v>
      </c>
      <c r="CJ5509">
        <v>0</v>
      </c>
      <c r="CK5509">
        <v>2</v>
      </c>
      <c r="CL5509">
        <v>0</v>
      </c>
      <c r="CM5509">
        <v>2</v>
      </c>
      <c r="CN5509">
        <v>0</v>
      </c>
      <c r="CO5509">
        <v>7</v>
      </c>
      <c r="CP5509" t="s">
        <v>119</v>
      </c>
      <c r="CQ5509">
        <v>343</v>
      </c>
      <c r="CR5509">
        <v>1</v>
      </c>
      <c r="CW5509">
        <v>11162807</v>
      </c>
      <c r="CY5509">
        <v>1</v>
      </c>
      <c r="CZ5509">
        <v>0</v>
      </c>
      <c r="DA5509">
        <v>1</v>
      </c>
      <c r="DB5509">
        <v>0</v>
      </c>
      <c r="DC5509">
        <v>0</v>
      </c>
      <c r="DD5509">
        <v>1</v>
      </c>
      <c r="DE5509">
        <v>0</v>
      </c>
      <c r="DF5509">
        <v>0</v>
      </c>
      <c r="DG5509">
        <v>0</v>
      </c>
      <c r="DH5509">
        <v>0</v>
      </c>
      <c r="DI5509">
        <v>0</v>
      </c>
    </row>
    <row r="5510" spans="1:113" x14ac:dyDescent="0.3">
      <c r="A5510" t="str">
        <f t="shared" si="2555"/>
        <v>05/12/2020 14:51:10.319</v>
      </c>
      <c r="C5510" t="str">
        <f t="shared" si="2533"/>
        <v>FFDFD3C0</v>
      </c>
      <c r="D5510" t="s">
        <v>138</v>
      </c>
      <c r="E5510">
        <v>3</v>
      </c>
      <c r="H5510">
        <v>9</v>
      </c>
      <c r="I5510" t="s">
        <v>140</v>
      </c>
      <c r="J5510" t="s">
        <v>136</v>
      </c>
      <c r="K5510">
        <v>0</v>
      </c>
      <c r="L5510">
        <v>3</v>
      </c>
      <c r="M5510">
        <v>0</v>
      </c>
      <c r="N5510">
        <v>2</v>
      </c>
      <c r="O5510">
        <v>1</v>
      </c>
      <c r="P5510">
        <v>0</v>
      </c>
      <c r="Q5510">
        <v>0</v>
      </c>
      <c r="S5510" t="str">
        <f t="shared" si="2556"/>
        <v>14:51:28.125</v>
      </c>
      <c r="T5510" t="str">
        <f t="shared" si="2557"/>
        <v>14:51:27.825</v>
      </c>
      <c r="U5510" t="str">
        <f t="shared" si="2559"/>
        <v>A9808D</v>
      </c>
      <c r="V5510">
        <v>0</v>
      </c>
      <c r="W5510">
        <v>0</v>
      </c>
      <c r="X5510">
        <v>1</v>
      </c>
      <c r="Z5510">
        <v>0</v>
      </c>
      <c r="AA5510">
        <v>9</v>
      </c>
      <c r="AB5510">
        <v>3</v>
      </c>
      <c r="AC5510">
        <v>0</v>
      </c>
      <c r="AD5510">
        <v>10</v>
      </c>
      <c r="AE5510">
        <v>0</v>
      </c>
      <c r="AF5510">
        <v>3</v>
      </c>
      <c r="AG5510">
        <v>2</v>
      </c>
      <c r="AH5510">
        <v>0</v>
      </c>
      <c r="AI5510" t="s">
        <v>1221</v>
      </c>
      <c r="AJ5510">
        <v>28.214092000000001</v>
      </c>
      <c r="AK5510" t="s">
        <v>1222</v>
      </c>
      <c r="AL5510">
        <v>-82.392719</v>
      </c>
      <c r="AM5510">
        <v>100</v>
      </c>
      <c r="AN5510">
        <v>1100</v>
      </c>
      <c r="AO5510" t="s">
        <v>118</v>
      </c>
      <c r="AP5510">
        <v>26</v>
      </c>
      <c r="AQ5510">
        <v>-114</v>
      </c>
      <c r="AR5510">
        <v>-1088</v>
      </c>
      <c r="AZ5510">
        <v>1200</v>
      </c>
      <c r="BA5510">
        <v>1</v>
      </c>
      <c r="BB5510" t="str">
        <f t="shared" si="2534"/>
        <v xml:space="preserve">N711JA  </v>
      </c>
      <c r="BC5510">
        <v>1</v>
      </c>
      <c r="BE5510">
        <v>0</v>
      </c>
      <c r="BF5510">
        <v>0</v>
      </c>
      <c r="BG5510">
        <v>0</v>
      </c>
      <c r="BH5510">
        <v>1325</v>
      </c>
      <c r="BI5510">
        <v>1</v>
      </c>
      <c r="BJ5510">
        <v>1</v>
      </c>
      <c r="BK5510">
        <v>0</v>
      </c>
      <c r="BL5510">
        <v>0</v>
      </c>
      <c r="BO5510">
        <v>0</v>
      </c>
      <c r="BP5510">
        <v>0</v>
      </c>
      <c r="BW5510" t="str">
        <f t="shared" si="2558"/>
        <v>14:51:28.131</v>
      </c>
      <c r="CJ5510">
        <v>0</v>
      </c>
      <c r="CK5510">
        <v>2</v>
      </c>
      <c r="CL5510">
        <v>0</v>
      </c>
      <c r="CM5510">
        <v>2</v>
      </c>
      <c r="CN5510">
        <v>0</v>
      </c>
      <c r="CO5510">
        <v>7</v>
      </c>
      <c r="CP5510" t="s">
        <v>119</v>
      </c>
      <c r="CQ5510">
        <v>343</v>
      </c>
      <c r="CR5510">
        <v>1</v>
      </c>
      <c r="CW5510">
        <v>11162807</v>
      </c>
      <c r="CY5510">
        <v>1</v>
      </c>
      <c r="CZ5510">
        <v>0</v>
      </c>
      <c r="DA5510">
        <v>1</v>
      </c>
      <c r="DB5510">
        <v>0</v>
      </c>
      <c r="DC5510">
        <v>0</v>
      </c>
      <c r="DD5510">
        <v>1</v>
      </c>
      <c r="DE5510">
        <v>0</v>
      </c>
      <c r="DF5510">
        <v>0</v>
      </c>
      <c r="DG5510">
        <v>0</v>
      </c>
      <c r="DH5510">
        <v>0</v>
      </c>
      <c r="DI5510">
        <v>0</v>
      </c>
    </row>
    <row r="5511" spans="1:113" x14ac:dyDescent="0.3">
      <c r="A5511" t="str">
        <f t="shared" ref="A5511:A5518" si="2560">"05/12/2020 14:51:11.436"</f>
        <v>05/12/2020 14:51:11.436</v>
      </c>
      <c r="C5511" t="str">
        <f t="shared" si="2533"/>
        <v>FFDFD3C0</v>
      </c>
      <c r="D5511" t="s">
        <v>126</v>
      </c>
      <c r="E5511">
        <v>6</v>
      </c>
      <c r="F5511">
        <v>1006</v>
      </c>
      <c r="G5511" t="s">
        <v>114</v>
      </c>
      <c r="J5511" t="s">
        <v>128</v>
      </c>
      <c r="K5511">
        <v>0</v>
      </c>
      <c r="L5511">
        <v>3</v>
      </c>
      <c r="M5511">
        <v>0</v>
      </c>
      <c r="N5511">
        <v>2</v>
      </c>
      <c r="O5511">
        <v>1</v>
      </c>
      <c r="P5511">
        <v>0</v>
      </c>
      <c r="Q5511">
        <v>0</v>
      </c>
      <c r="S5511" t="str">
        <f t="shared" ref="S5511:S5518" si="2561">"14:51:29.266"</f>
        <v>14:51:29.266</v>
      </c>
      <c r="T5511" t="str">
        <f t="shared" ref="T5511:T5518" si="2562">"14:51:29.166"</f>
        <v>14:51:29.166</v>
      </c>
      <c r="U5511" t="str">
        <f t="shared" si="2559"/>
        <v>A9808D</v>
      </c>
      <c r="V5511">
        <v>0</v>
      </c>
      <c r="W5511">
        <v>0</v>
      </c>
      <c r="X5511">
        <v>1</v>
      </c>
      <c r="Z5511">
        <v>0</v>
      </c>
      <c r="AA5511">
        <v>9</v>
      </c>
      <c r="AB5511">
        <v>3</v>
      </c>
      <c r="AC5511">
        <v>0</v>
      </c>
      <c r="AD5511">
        <v>10</v>
      </c>
      <c r="AE5511">
        <v>0</v>
      </c>
      <c r="AF5511">
        <v>3</v>
      </c>
      <c r="AG5511">
        <v>2</v>
      </c>
      <c r="AH5511">
        <v>0</v>
      </c>
      <c r="AI5511" t="s">
        <v>1223</v>
      </c>
      <c r="AJ5511">
        <v>28.213533999999999</v>
      </c>
      <c r="AK5511" t="s">
        <v>1224</v>
      </c>
      <c r="AL5511">
        <v>-82.392568999999995</v>
      </c>
      <c r="AM5511">
        <v>100</v>
      </c>
      <c r="AN5511">
        <v>1100</v>
      </c>
      <c r="AO5511" t="s">
        <v>118</v>
      </c>
      <c r="AP5511">
        <v>36</v>
      </c>
      <c r="AQ5511">
        <v>-110</v>
      </c>
      <c r="AR5511">
        <v>-960</v>
      </c>
      <c r="AZ5511">
        <v>1200</v>
      </c>
      <c r="BA5511">
        <v>1</v>
      </c>
      <c r="BB5511" t="str">
        <f t="shared" si="2534"/>
        <v xml:space="preserve">N711JA  </v>
      </c>
      <c r="BC5511">
        <v>1</v>
      </c>
      <c r="BE5511">
        <v>0</v>
      </c>
      <c r="BF5511">
        <v>0</v>
      </c>
      <c r="BG5511">
        <v>0</v>
      </c>
      <c r="BH5511">
        <v>1200</v>
      </c>
      <c r="BI5511">
        <v>1</v>
      </c>
      <c r="BJ5511">
        <v>1</v>
      </c>
      <c r="BK5511">
        <v>0</v>
      </c>
      <c r="BL5511">
        <v>0</v>
      </c>
      <c r="BO5511">
        <v>0</v>
      </c>
      <c r="BP5511">
        <v>0</v>
      </c>
      <c r="BW5511" t="str">
        <f t="shared" ref="BW5511:BW5518" si="2563">"14:51:29.273"</f>
        <v>14:51:29.273</v>
      </c>
      <c r="CJ5511">
        <v>0</v>
      </c>
      <c r="CK5511">
        <v>2</v>
      </c>
      <c r="CL5511">
        <v>0</v>
      </c>
      <c r="CM5511">
        <v>2</v>
      </c>
      <c r="CN5511">
        <v>0</v>
      </c>
      <c r="CO5511">
        <v>7</v>
      </c>
      <c r="CP5511" t="s">
        <v>119</v>
      </c>
      <c r="CQ5511">
        <v>343</v>
      </c>
      <c r="CR5511">
        <v>1</v>
      </c>
      <c r="CW5511">
        <v>11164056</v>
      </c>
      <c r="CY5511">
        <v>1</v>
      </c>
      <c r="CZ5511">
        <v>0</v>
      </c>
      <c r="DA5511">
        <v>0</v>
      </c>
      <c r="DB5511">
        <v>0</v>
      </c>
      <c r="DC5511">
        <v>0</v>
      </c>
      <c r="DD5511">
        <v>1</v>
      </c>
      <c r="DE5511">
        <v>0</v>
      </c>
      <c r="DF5511">
        <v>0</v>
      </c>
      <c r="DG5511">
        <v>0</v>
      </c>
      <c r="DH5511">
        <v>0</v>
      </c>
      <c r="DI5511">
        <v>0</v>
      </c>
    </row>
    <row r="5512" spans="1:113" x14ac:dyDescent="0.3">
      <c r="A5512" t="str">
        <f t="shared" si="2560"/>
        <v>05/12/2020 14:51:11.436</v>
      </c>
      <c r="C5512" t="str">
        <f t="shared" si="2533"/>
        <v>FFDFD3C0</v>
      </c>
      <c r="D5512" t="s">
        <v>134</v>
      </c>
      <c r="E5512">
        <v>12</v>
      </c>
      <c r="H5512">
        <v>64</v>
      </c>
      <c r="I5512" t="s">
        <v>135</v>
      </c>
      <c r="J5512" t="s">
        <v>136</v>
      </c>
      <c r="K5512">
        <v>0</v>
      </c>
      <c r="L5512">
        <v>3</v>
      </c>
      <c r="M5512">
        <v>0</v>
      </c>
      <c r="N5512">
        <v>2</v>
      </c>
      <c r="O5512">
        <v>1</v>
      </c>
      <c r="P5512">
        <v>0</v>
      </c>
      <c r="Q5512">
        <v>0</v>
      </c>
      <c r="S5512" t="str">
        <f t="shared" si="2561"/>
        <v>14:51:29.266</v>
      </c>
      <c r="T5512" t="str">
        <f t="shared" si="2562"/>
        <v>14:51:29.166</v>
      </c>
      <c r="U5512" t="str">
        <f t="shared" si="2559"/>
        <v>A9808D</v>
      </c>
      <c r="V5512">
        <v>0</v>
      </c>
      <c r="W5512">
        <v>0</v>
      </c>
      <c r="X5512">
        <v>1</v>
      </c>
      <c r="Z5512">
        <v>0</v>
      </c>
      <c r="AA5512">
        <v>9</v>
      </c>
      <c r="AB5512">
        <v>3</v>
      </c>
      <c r="AC5512">
        <v>0</v>
      </c>
      <c r="AD5512">
        <v>10</v>
      </c>
      <c r="AE5512">
        <v>0</v>
      </c>
      <c r="AF5512">
        <v>3</v>
      </c>
      <c r="AG5512">
        <v>2</v>
      </c>
      <c r="AH5512">
        <v>0</v>
      </c>
      <c r="AI5512" t="s">
        <v>1223</v>
      </c>
      <c r="AJ5512">
        <v>28.213533999999999</v>
      </c>
      <c r="AK5512" t="s">
        <v>1224</v>
      </c>
      <c r="AL5512">
        <v>-82.392568999999995</v>
      </c>
      <c r="AM5512">
        <v>100</v>
      </c>
      <c r="AN5512">
        <v>1100</v>
      </c>
      <c r="AO5512" t="s">
        <v>118</v>
      </c>
      <c r="AP5512">
        <v>36</v>
      </c>
      <c r="AQ5512">
        <v>-110</v>
      </c>
      <c r="AR5512">
        <v>-960</v>
      </c>
      <c r="AZ5512">
        <v>1200</v>
      </c>
      <c r="BA5512">
        <v>1</v>
      </c>
      <c r="BB5512" t="str">
        <f t="shared" si="2534"/>
        <v xml:space="preserve">N711JA  </v>
      </c>
      <c r="BC5512">
        <v>1</v>
      </c>
      <c r="BE5512">
        <v>0</v>
      </c>
      <c r="BF5512">
        <v>0</v>
      </c>
      <c r="BG5512">
        <v>0</v>
      </c>
      <c r="BH5512">
        <v>1200</v>
      </c>
      <c r="BI5512">
        <v>1</v>
      </c>
      <c r="BJ5512">
        <v>1</v>
      </c>
      <c r="BK5512">
        <v>0</v>
      </c>
      <c r="BL5512">
        <v>0</v>
      </c>
      <c r="BO5512">
        <v>0</v>
      </c>
      <c r="BP5512">
        <v>0</v>
      </c>
      <c r="BW5512" t="str">
        <f t="shared" si="2563"/>
        <v>14:51:29.273</v>
      </c>
      <c r="CJ5512">
        <v>0</v>
      </c>
      <c r="CK5512">
        <v>2</v>
      </c>
      <c r="CL5512">
        <v>0</v>
      </c>
      <c r="CM5512">
        <v>2</v>
      </c>
      <c r="CN5512">
        <v>0</v>
      </c>
      <c r="CO5512">
        <v>7</v>
      </c>
      <c r="CP5512" t="s">
        <v>119</v>
      </c>
      <c r="CQ5512">
        <v>343</v>
      </c>
      <c r="CR5512">
        <v>1</v>
      </c>
      <c r="CW5512">
        <v>11164056</v>
      </c>
      <c r="CY5512">
        <v>1</v>
      </c>
      <c r="CZ5512">
        <v>0</v>
      </c>
      <c r="DA5512">
        <v>1</v>
      </c>
      <c r="DB5512">
        <v>0</v>
      </c>
      <c r="DC5512">
        <v>0</v>
      </c>
      <c r="DD5512">
        <v>1</v>
      </c>
      <c r="DE5512">
        <v>0</v>
      </c>
      <c r="DF5512">
        <v>0</v>
      </c>
      <c r="DG5512">
        <v>0</v>
      </c>
      <c r="DH5512">
        <v>0</v>
      </c>
      <c r="DI5512">
        <v>0</v>
      </c>
    </row>
    <row r="5513" spans="1:113" x14ac:dyDescent="0.3">
      <c r="A5513" t="str">
        <f t="shared" si="2560"/>
        <v>05/12/2020 14:51:11.436</v>
      </c>
      <c r="C5513" t="str">
        <f t="shared" si="2533"/>
        <v>FFDFD3C0</v>
      </c>
      <c r="D5513" t="s">
        <v>113</v>
      </c>
      <c r="E5513">
        <v>3</v>
      </c>
      <c r="H5513">
        <v>164</v>
      </c>
      <c r="I5513" t="s">
        <v>114</v>
      </c>
      <c r="J5513" t="s">
        <v>115</v>
      </c>
      <c r="K5513">
        <v>0</v>
      </c>
      <c r="L5513">
        <v>3</v>
      </c>
      <c r="M5513">
        <v>0</v>
      </c>
      <c r="N5513">
        <v>2</v>
      </c>
      <c r="O5513">
        <v>1</v>
      </c>
      <c r="P5513">
        <v>0</v>
      </c>
      <c r="Q5513">
        <v>0</v>
      </c>
      <c r="S5513" t="str">
        <f t="shared" si="2561"/>
        <v>14:51:29.266</v>
      </c>
      <c r="T5513" t="str">
        <f t="shared" si="2562"/>
        <v>14:51:29.166</v>
      </c>
      <c r="U5513" t="str">
        <f t="shared" si="2559"/>
        <v>A9808D</v>
      </c>
      <c r="V5513">
        <v>0</v>
      </c>
      <c r="W5513">
        <v>0</v>
      </c>
      <c r="X5513">
        <v>1</v>
      </c>
      <c r="Z5513">
        <v>0</v>
      </c>
      <c r="AA5513">
        <v>9</v>
      </c>
      <c r="AB5513">
        <v>3</v>
      </c>
      <c r="AC5513">
        <v>0</v>
      </c>
      <c r="AD5513">
        <v>10</v>
      </c>
      <c r="AE5513">
        <v>0</v>
      </c>
      <c r="AF5513">
        <v>3</v>
      </c>
      <c r="AG5513">
        <v>2</v>
      </c>
      <c r="AH5513">
        <v>0</v>
      </c>
      <c r="AI5513" t="s">
        <v>1223</v>
      </c>
      <c r="AJ5513">
        <v>28.213533999999999</v>
      </c>
      <c r="AK5513" t="s">
        <v>1224</v>
      </c>
      <c r="AL5513">
        <v>-82.392568999999995</v>
      </c>
      <c r="AM5513">
        <v>100</v>
      </c>
      <c r="AN5513">
        <v>1100</v>
      </c>
      <c r="AO5513" t="s">
        <v>118</v>
      </c>
      <c r="AP5513">
        <v>36</v>
      </c>
      <c r="AQ5513">
        <v>-110</v>
      </c>
      <c r="AR5513">
        <v>-960</v>
      </c>
      <c r="AZ5513">
        <v>1200</v>
      </c>
      <c r="BA5513">
        <v>1</v>
      </c>
      <c r="BB5513" t="str">
        <f t="shared" si="2534"/>
        <v xml:space="preserve">N711JA  </v>
      </c>
      <c r="BC5513">
        <v>1</v>
      </c>
      <c r="BE5513">
        <v>0</v>
      </c>
      <c r="BF5513">
        <v>0</v>
      </c>
      <c r="BG5513">
        <v>0</v>
      </c>
      <c r="BH5513">
        <v>1200</v>
      </c>
      <c r="BI5513">
        <v>1</v>
      </c>
      <c r="BJ5513">
        <v>1</v>
      </c>
      <c r="BK5513">
        <v>0</v>
      </c>
      <c r="BL5513">
        <v>0</v>
      </c>
      <c r="BO5513">
        <v>0</v>
      </c>
      <c r="BP5513">
        <v>0</v>
      </c>
      <c r="BW5513" t="str">
        <f t="shared" si="2563"/>
        <v>14:51:29.273</v>
      </c>
      <c r="CJ5513">
        <v>0</v>
      </c>
      <c r="CK5513">
        <v>2</v>
      </c>
      <c r="CL5513">
        <v>0</v>
      </c>
      <c r="CM5513">
        <v>2</v>
      </c>
      <c r="CN5513">
        <v>0</v>
      </c>
      <c r="CO5513">
        <v>7</v>
      </c>
      <c r="CP5513" t="s">
        <v>119</v>
      </c>
      <c r="CQ5513">
        <v>343</v>
      </c>
      <c r="CR5513">
        <v>1</v>
      </c>
      <c r="CW5513">
        <v>11164056</v>
      </c>
      <c r="CY5513">
        <v>1</v>
      </c>
      <c r="CZ5513">
        <v>0</v>
      </c>
      <c r="DA5513">
        <v>1</v>
      </c>
      <c r="DB5513">
        <v>0</v>
      </c>
      <c r="DC5513">
        <v>0</v>
      </c>
      <c r="DD5513">
        <v>1</v>
      </c>
      <c r="DE5513">
        <v>0</v>
      </c>
      <c r="DF5513">
        <v>0</v>
      </c>
      <c r="DG5513">
        <v>0</v>
      </c>
      <c r="DH5513">
        <v>0</v>
      </c>
      <c r="DI5513">
        <v>0</v>
      </c>
    </row>
    <row r="5514" spans="1:113" x14ac:dyDescent="0.3">
      <c r="A5514" t="str">
        <f t="shared" si="2560"/>
        <v>05/12/2020 14:51:11.436</v>
      </c>
      <c r="C5514" t="str">
        <f t="shared" si="2533"/>
        <v>FFDFD3C0</v>
      </c>
      <c r="D5514" t="s">
        <v>138</v>
      </c>
      <c r="E5514">
        <v>2</v>
      </c>
      <c r="H5514">
        <v>8</v>
      </c>
      <c r="I5514" t="s">
        <v>139</v>
      </c>
      <c r="J5514" t="s">
        <v>136</v>
      </c>
      <c r="K5514">
        <v>0</v>
      </c>
      <c r="L5514">
        <v>3</v>
      </c>
      <c r="M5514">
        <v>0</v>
      </c>
      <c r="N5514">
        <v>2</v>
      </c>
      <c r="O5514">
        <v>1</v>
      </c>
      <c r="P5514">
        <v>0</v>
      </c>
      <c r="Q5514">
        <v>0</v>
      </c>
      <c r="S5514" t="str">
        <f t="shared" si="2561"/>
        <v>14:51:29.266</v>
      </c>
      <c r="T5514" t="str">
        <f t="shared" si="2562"/>
        <v>14:51:29.166</v>
      </c>
      <c r="U5514" t="str">
        <f t="shared" si="2559"/>
        <v>A9808D</v>
      </c>
      <c r="V5514">
        <v>0</v>
      </c>
      <c r="W5514">
        <v>0</v>
      </c>
      <c r="X5514">
        <v>1</v>
      </c>
      <c r="Z5514">
        <v>0</v>
      </c>
      <c r="AA5514">
        <v>9</v>
      </c>
      <c r="AB5514">
        <v>3</v>
      </c>
      <c r="AC5514">
        <v>0</v>
      </c>
      <c r="AD5514">
        <v>10</v>
      </c>
      <c r="AE5514">
        <v>0</v>
      </c>
      <c r="AF5514">
        <v>3</v>
      </c>
      <c r="AG5514">
        <v>2</v>
      </c>
      <c r="AH5514">
        <v>0</v>
      </c>
      <c r="AI5514" t="s">
        <v>1223</v>
      </c>
      <c r="AJ5514">
        <v>28.213533999999999</v>
      </c>
      <c r="AK5514" t="s">
        <v>1224</v>
      </c>
      <c r="AL5514">
        <v>-82.392568999999995</v>
      </c>
      <c r="AM5514">
        <v>100</v>
      </c>
      <c r="AN5514">
        <v>1100</v>
      </c>
      <c r="AO5514" t="s">
        <v>118</v>
      </c>
      <c r="AP5514">
        <v>36</v>
      </c>
      <c r="AQ5514">
        <v>-110</v>
      </c>
      <c r="AR5514">
        <v>-960</v>
      </c>
      <c r="AZ5514">
        <v>1200</v>
      </c>
      <c r="BA5514">
        <v>1</v>
      </c>
      <c r="BB5514" t="str">
        <f t="shared" si="2534"/>
        <v xml:space="preserve">N711JA  </v>
      </c>
      <c r="BC5514">
        <v>1</v>
      </c>
      <c r="BE5514">
        <v>0</v>
      </c>
      <c r="BF5514">
        <v>0</v>
      </c>
      <c r="BG5514">
        <v>0</v>
      </c>
      <c r="BH5514">
        <v>1200</v>
      </c>
      <c r="BI5514">
        <v>1</v>
      </c>
      <c r="BJ5514">
        <v>1</v>
      </c>
      <c r="BK5514">
        <v>0</v>
      </c>
      <c r="BL5514">
        <v>0</v>
      </c>
      <c r="BO5514">
        <v>0</v>
      </c>
      <c r="BP5514">
        <v>0</v>
      </c>
      <c r="BW5514" t="str">
        <f t="shared" si="2563"/>
        <v>14:51:29.273</v>
      </c>
      <c r="CJ5514">
        <v>0</v>
      </c>
      <c r="CK5514">
        <v>2</v>
      </c>
      <c r="CL5514">
        <v>0</v>
      </c>
      <c r="CM5514">
        <v>2</v>
      </c>
      <c r="CN5514">
        <v>0</v>
      </c>
      <c r="CO5514">
        <v>7</v>
      </c>
      <c r="CP5514" t="s">
        <v>119</v>
      </c>
      <c r="CQ5514">
        <v>343</v>
      </c>
      <c r="CR5514">
        <v>1</v>
      </c>
      <c r="CW5514">
        <v>11164056</v>
      </c>
      <c r="CY5514">
        <v>1</v>
      </c>
      <c r="CZ5514">
        <v>0</v>
      </c>
      <c r="DA5514">
        <v>1</v>
      </c>
      <c r="DB5514">
        <v>0</v>
      </c>
      <c r="DC5514">
        <v>0</v>
      </c>
      <c r="DD5514">
        <v>1</v>
      </c>
      <c r="DE5514">
        <v>0</v>
      </c>
      <c r="DF5514">
        <v>0</v>
      </c>
      <c r="DG5514">
        <v>0</v>
      </c>
      <c r="DH5514">
        <v>0</v>
      </c>
      <c r="DI5514">
        <v>0</v>
      </c>
    </row>
    <row r="5515" spans="1:113" x14ac:dyDescent="0.3">
      <c r="A5515" t="str">
        <f t="shared" si="2560"/>
        <v>05/12/2020 14:51:11.436</v>
      </c>
      <c r="C5515" t="str">
        <f t="shared" si="2533"/>
        <v>FFDFD3C0</v>
      </c>
      <c r="D5515" t="s">
        <v>138</v>
      </c>
      <c r="E5515">
        <v>3</v>
      </c>
      <c r="H5515">
        <v>9</v>
      </c>
      <c r="I5515" t="s">
        <v>140</v>
      </c>
      <c r="J5515" t="s">
        <v>136</v>
      </c>
      <c r="K5515">
        <v>0</v>
      </c>
      <c r="L5515">
        <v>3</v>
      </c>
      <c r="M5515">
        <v>0</v>
      </c>
      <c r="N5515">
        <v>2</v>
      </c>
      <c r="O5515">
        <v>1</v>
      </c>
      <c r="P5515">
        <v>0</v>
      </c>
      <c r="Q5515">
        <v>0</v>
      </c>
      <c r="S5515" t="str">
        <f t="shared" si="2561"/>
        <v>14:51:29.266</v>
      </c>
      <c r="T5515" t="str">
        <f t="shared" si="2562"/>
        <v>14:51:29.166</v>
      </c>
      <c r="U5515" t="str">
        <f t="shared" si="2559"/>
        <v>A9808D</v>
      </c>
      <c r="V5515">
        <v>0</v>
      </c>
      <c r="W5515">
        <v>0</v>
      </c>
      <c r="X5515">
        <v>1</v>
      </c>
      <c r="Z5515">
        <v>0</v>
      </c>
      <c r="AA5515">
        <v>9</v>
      </c>
      <c r="AB5515">
        <v>3</v>
      </c>
      <c r="AC5515">
        <v>0</v>
      </c>
      <c r="AD5515">
        <v>10</v>
      </c>
      <c r="AE5515">
        <v>0</v>
      </c>
      <c r="AF5515">
        <v>3</v>
      </c>
      <c r="AG5515">
        <v>2</v>
      </c>
      <c r="AH5515">
        <v>0</v>
      </c>
      <c r="AI5515" t="s">
        <v>1223</v>
      </c>
      <c r="AJ5515">
        <v>28.213533999999999</v>
      </c>
      <c r="AK5515" t="s">
        <v>1224</v>
      </c>
      <c r="AL5515">
        <v>-82.392568999999995</v>
      </c>
      <c r="AM5515">
        <v>100</v>
      </c>
      <c r="AN5515">
        <v>1100</v>
      </c>
      <c r="AO5515" t="s">
        <v>118</v>
      </c>
      <c r="AP5515">
        <v>36</v>
      </c>
      <c r="AQ5515">
        <v>-110</v>
      </c>
      <c r="AR5515">
        <v>-960</v>
      </c>
      <c r="AZ5515">
        <v>1200</v>
      </c>
      <c r="BA5515">
        <v>1</v>
      </c>
      <c r="BB5515" t="str">
        <f t="shared" si="2534"/>
        <v xml:space="preserve">N711JA  </v>
      </c>
      <c r="BC5515">
        <v>1</v>
      </c>
      <c r="BE5515">
        <v>0</v>
      </c>
      <c r="BF5515">
        <v>0</v>
      </c>
      <c r="BG5515">
        <v>0</v>
      </c>
      <c r="BH5515">
        <v>1200</v>
      </c>
      <c r="BI5515">
        <v>1</v>
      </c>
      <c r="BJ5515">
        <v>1</v>
      </c>
      <c r="BK5515">
        <v>0</v>
      </c>
      <c r="BL5515">
        <v>0</v>
      </c>
      <c r="BO5515">
        <v>0</v>
      </c>
      <c r="BP5515">
        <v>0</v>
      </c>
      <c r="BW5515" t="str">
        <f t="shared" si="2563"/>
        <v>14:51:29.273</v>
      </c>
      <c r="CJ5515">
        <v>0</v>
      </c>
      <c r="CK5515">
        <v>2</v>
      </c>
      <c r="CL5515">
        <v>0</v>
      </c>
      <c r="CM5515">
        <v>2</v>
      </c>
      <c r="CN5515">
        <v>0</v>
      </c>
      <c r="CO5515">
        <v>7</v>
      </c>
      <c r="CP5515" t="s">
        <v>119</v>
      </c>
      <c r="CQ5515">
        <v>343</v>
      </c>
      <c r="CR5515">
        <v>1</v>
      </c>
      <c r="CW5515">
        <v>11164056</v>
      </c>
      <c r="CY5515">
        <v>1</v>
      </c>
      <c r="CZ5515">
        <v>0</v>
      </c>
      <c r="DA5515">
        <v>1</v>
      </c>
      <c r="DB5515">
        <v>0</v>
      </c>
      <c r="DC5515">
        <v>0</v>
      </c>
      <c r="DD5515">
        <v>1</v>
      </c>
      <c r="DE5515">
        <v>0</v>
      </c>
      <c r="DF5515">
        <v>0</v>
      </c>
      <c r="DG5515">
        <v>0</v>
      </c>
      <c r="DH5515">
        <v>0</v>
      </c>
      <c r="DI5515">
        <v>0</v>
      </c>
    </row>
    <row r="5516" spans="1:113" x14ac:dyDescent="0.3">
      <c r="A5516" t="str">
        <f t="shared" si="2560"/>
        <v>05/12/2020 14:51:11.436</v>
      </c>
      <c r="C5516" t="str">
        <f t="shared" si="2533"/>
        <v>FFDFD3C0</v>
      </c>
      <c r="D5516" t="s">
        <v>126</v>
      </c>
      <c r="E5516">
        <v>7</v>
      </c>
      <c r="F5516">
        <v>1007</v>
      </c>
      <c r="G5516" t="s">
        <v>127</v>
      </c>
      <c r="J5516" t="s">
        <v>128</v>
      </c>
      <c r="K5516">
        <v>0</v>
      </c>
      <c r="L5516">
        <v>3</v>
      </c>
      <c r="M5516">
        <v>0</v>
      </c>
      <c r="N5516">
        <v>2</v>
      </c>
      <c r="O5516">
        <v>1</v>
      </c>
      <c r="P5516">
        <v>0</v>
      </c>
      <c r="Q5516">
        <v>0</v>
      </c>
      <c r="S5516" t="str">
        <f t="shared" si="2561"/>
        <v>14:51:29.266</v>
      </c>
      <c r="T5516" t="str">
        <f t="shared" si="2562"/>
        <v>14:51:29.166</v>
      </c>
      <c r="U5516" t="str">
        <f t="shared" si="2559"/>
        <v>A9808D</v>
      </c>
      <c r="V5516">
        <v>0</v>
      </c>
      <c r="W5516">
        <v>0</v>
      </c>
      <c r="X5516">
        <v>1</v>
      </c>
      <c r="Z5516">
        <v>0</v>
      </c>
      <c r="AA5516">
        <v>9</v>
      </c>
      <c r="AB5516">
        <v>3</v>
      </c>
      <c r="AC5516">
        <v>0</v>
      </c>
      <c r="AD5516">
        <v>10</v>
      </c>
      <c r="AE5516">
        <v>0</v>
      </c>
      <c r="AF5516">
        <v>3</v>
      </c>
      <c r="AG5516">
        <v>2</v>
      </c>
      <c r="AH5516">
        <v>0</v>
      </c>
      <c r="AI5516" t="s">
        <v>1223</v>
      </c>
      <c r="AJ5516">
        <v>28.213533999999999</v>
      </c>
      <c r="AK5516" t="s">
        <v>1224</v>
      </c>
      <c r="AL5516">
        <v>-82.392568999999995</v>
      </c>
      <c r="AM5516">
        <v>100</v>
      </c>
      <c r="AN5516">
        <v>1100</v>
      </c>
      <c r="AO5516" t="s">
        <v>118</v>
      </c>
      <c r="AP5516">
        <v>36</v>
      </c>
      <c r="AQ5516">
        <v>-110</v>
      </c>
      <c r="AR5516">
        <v>-960</v>
      </c>
      <c r="AZ5516">
        <v>1200</v>
      </c>
      <c r="BA5516">
        <v>1</v>
      </c>
      <c r="BB5516" t="str">
        <f t="shared" si="2534"/>
        <v xml:space="preserve">N711JA  </v>
      </c>
      <c r="BC5516">
        <v>1</v>
      </c>
      <c r="BE5516">
        <v>0</v>
      </c>
      <c r="BF5516">
        <v>0</v>
      </c>
      <c r="BG5516">
        <v>0</v>
      </c>
      <c r="BH5516">
        <v>1200</v>
      </c>
      <c r="BI5516">
        <v>1</v>
      </c>
      <c r="BJ5516">
        <v>1</v>
      </c>
      <c r="BK5516">
        <v>0</v>
      </c>
      <c r="BL5516">
        <v>0</v>
      </c>
      <c r="BO5516">
        <v>0</v>
      </c>
      <c r="BP5516">
        <v>0</v>
      </c>
      <c r="BW5516" t="str">
        <f t="shared" si="2563"/>
        <v>14:51:29.273</v>
      </c>
      <c r="CJ5516">
        <v>0</v>
      </c>
      <c r="CK5516">
        <v>2</v>
      </c>
      <c r="CL5516">
        <v>0</v>
      </c>
      <c r="CM5516">
        <v>2</v>
      </c>
      <c r="CN5516">
        <v>0</v>
      </c>
      <c r="CO5516">
        <v>7</v>
      </c>
      <c r="CP5516" t="s">
        <v>119</v>
      </c>
      <c r="CQ5516">
        <v>343</v>
      </c>
      <c r="CR5516">
        <v>1</v>
      </c>
      <c r="CW5516">
        <v>11164056</v>
      </c>
      <c r="CY5516">
        <v>1</v>
      </c>
      <c r="CZ5516">
        <v>0</v>
      </c>
      <c r="DA5516">
        <v>1</v>
      </c>
      <c r="DB5516">
        <v>0</v>
      </c>
      <c r="DC5516">
        <v>0</v>
      </c>
      <c r="DD5516">
        <v>1</v>
      </c>
      <c r="DE5516">
        <v>0</v>
      </c>
      <c r="DF5516">
        <v>0</v>
      </c>
      <c r="DG5516">
        <v>0</v>
      </c>
      <c r="DH5516">
        <v>0</v>
      </c>
      <c r="DI5516">
        <v>0</v>
      </c>
    </row>
    <row r="5517" spans="1:113" x14ac:dyDescent="0.3">
      <c r="A5517" t="str">
        <f t="shared" si="2560"/>
        <v>05/12/2020 14:51:11.436</v>
      </c>
      <c r="C5517" t="str">
        <f t="shared" si="2533"/>
        <v>FFDFD3C0</v>
      </c>
      <c r="D5517" t="s">
        <v>131</v>
      </c>
      <c r="E5517">
        <v>10</v>
      </c>
      <c r="F5517">
        <v>2010</v>
      </c>
      <c r="G5517" t="s">
        <v>132</v>
      </c>
      <c r="J5517" t="s">
        <v>133</v>
      </c>
      <c r="K5517">
        <v>0</v>
      </c>
      <c r="L5517">
        <v>3</v>
      </c>
      <c r="M5517">
        <v>0</v>
      </c>
      <c r="N5517">
        <v>2</v>
      </c>
      <c r="O5517">
        <v>1</v>
      </c>
      <c r="P5517">
        <v>0</v>
      </c>
      <c r="Q5517">
        <v>0</v>
      </c>
      <c r="S5517" t="str">
        <f t="shared" si="2561"/>
        <v>14:51:29.266</v>
      </c>
      <c r="T5517" t="str">
        <f t="shared" si="2562"/>
        <v>14:51:29.166</v>
      </c>
      <c r="U5517" t="str">
        <f t="shared" si="2559"/>
        <v>A9808D</v>
      </c>
      <c r="V5517">
        <v>0</v>
      </c>
      <c r="W5517">
        <v>0</v>
      </c>
      <c r="X5517">
        <v>1</v>
      </c>
      <c r="Z5517">
        <v>0</v>
      </c>
      <c r="AA5517">
        <v>9</v>
      </c>
      <c r="AB5517">
        <v>3</v>
      </c>
      <c r="AC5517">
        <v>0</v>
      </c>
      <c r="AD5517">
        <v>10</v>
      </c>
      <c r="AE5517">
        <v>0</v>
      </c>
      <c r="AF5517">
        <v>3</v>
      </c>
      <c r="AG5517">
        <v>2</v>
      </c>
      <c r="AH5517">
        <v>0</v>
      </c>
      <c r="AI5517" t="s">
        <v>1223</v>
      </c>
      <c r="AJ5517">
        <v>28.213533999999999</v>
      </c>
      <c r="AK5517" t="s">
        <v>1224</v>
      </c>
      <c r="AL5517">
        <v>-82.392568999999995</v>
      </c>
      <c r="AM5517">
        <v>100</v>
      </c>
      <c r="AN5517">
        <v>1100</v>
      </c>
      <c r="AO5517" t="s">
        <v>118</v>
      </c>
      <c r="AP5517">
        <v>36</v>
      </c>
      <c r="AQ5517">
        <v>-110</v>
      </c>
      <c r="AR5517">
        <v>-960</v>
      </c>
      <c r="AZ5517">
        <v>1200</v>
      </c>
      <c r="BA5517">
        <v>1</v>
      </c>
      <c r="BB5517" t="str">
        <f t="shared" si="2534"/>
        <v xml:space="preserve">N711JA  </v>
      </c>
      <c r="BC5517">
        <v>1</v>
      </c>
      <c r="BE5517">
        <v>0</v>
      </c>
      <c r="BF5517">
        <v>0</v>
      </c>
      <c r="BG5517">
        <v>0</v>
      </c>
      <c r="BH5517">
        <v>1200</v>
      </c>
      <c r="BI5517">
        <v>1</v>
      </c>
      <c r="BJ5517">
        <v>1</v>
      </c>
      <c r="BK5517">
        <v>0</v>
      </c>
      <c r="BL5517">
        <v>0</v>
      </c>
      <c r="BO5517">
        <v>0</v>
      </c>
      <c r="BP5517">
        <v>0</v>
      </c>
      <c r="BW5517" t="str">
        <f t="shared" si="2563"/>
        <v>14:51:29.273</v>
      </c>
      <c r="CJ5517">
        <v>0</v>
      </c>
      <c r="CK5517">
        <v>2</v>
      </c>
      <c r="CL5517">
        <v>0</v>
      </c>
      <c r="CM5517">
        <v>2</v>
      </c>
      <c r="CN5517">
        <v>0</v>
      </c>
      <c r="CO5517">
        <v>7</v>
      </c>
      <c r="CP5517" t="s">
        <v>119</v>
      </c>
      <c r="CQ5517">
        <v>343</v>
      </c>
      <c r="CR5517">
        <v>1</v>
      </c>
      <c r="CW5517">
        <v>11164056</v>
      </c>
      <c r="CY5517">
        <v>1</v>
      </c>
      <c r="CZ5517">
        <v>0</v>
      </c>
      <c r="DA5517">
        <v>1</v>
      </c>
      <c r="DB5517">
        <v>0</v>
      </c>
      <c r="DC5517">
        <v>0</v>
      </c>
      <c r="DD5517">
        <v>1</v>
      </c>
      <c r="DE5517">
        <v>0</v>
      </c>
      <c r="DF5517">
        <v>0</v>
      </c>
      <c r="DG5517">
        <v>0</v>
      </c>
      <c r="DH5517">
        <v>0</v>
      </c>
      <c r="DI5517">
        <v>0</v>
      </c>
    </row>
    <row r="5518" spans="1:113" x14ac:dyDescent="0.3">
      <c r="A5518" t="str">
        <f t="shared" si="2560"/>
        <v>05/12/2020 14:51:11.436</v>
      </c>
      <c r="C5518" t="str">
        <f t="shared" si="2533"/>
        <v>FFDFD3C0</v>
      </c>
      <c r="D5518" t="s">
        <v>131</v>
      </c>
      <c r="E5518">
        <v>12</v>
      </c>
      <c r="F5518">
        <v>2012</v>
      </c>
      <c r="G5518" t="s">
        <v>137</v>
      </c>
      <c r="J5518" t="s">
        <v>133</v>
      </c>
      <c r="K5518">
        <v>0</v>
      </c>
      <c r="L5518">
        <v>3</v>
      </c>
      <c r="M5518">
        <v>0</v>
      </c>
      <c r="N5518">
        <v>2</v>
      </c>
      <c r="O5518">
        <v>1</v>
      </c>
      <c r="P5518">
        <v>0</v>
      </c>
      <c r="Q5518">
        <v>0</v>
      </c>
      <c r="S5518" t="str">
        <f t="shared" si="2561"/>
        <v>14:51:29.266</v>
      </c>
      <c r="T5518" t="str">
        <f t="shared" si="2562"/>
        <v>14:51:29.166</v>
      </c>
      <c r="U5518" t="str">
        <f t="shared" si="2559"/>
        <v>A9808D</v>
      </c>
      <c r="V5518">
        <v>0</v>
      </c>
      <c r="W5518">
        <v>0</v>
      </c>
      <c r="X5518">
        <v>1</v>
      </c>
      <c r="Z5518">
        <v>0</v>
      </c>
      <c r="AA5518">
        <v>9</v>
      </c>
      <c r="AB5518">
        <v>3</v>
      </c>
      <c r="AC5518">
        <v>0</v>
      </c>
      <c r="AD5518">
        <v>10</v>
      </c>
      <c r="AE5518">
        <v>0</v>
      </c>
      <c r="AF5518">
        <v>3</v>
      </c>
      <c r="AG5518">
        <v>2</v>
      </c>
      <c r="AH5518">
        <v>0</v>
      </c>
      <c r="AI5518" t="s">
        <v>1223</v>
      </c>
      <c r="AJ5518">
        <v>28.213533999999999</v>
      </c>
      <c r="AK5518" t="s">
        <v>1224</v>
      </c>
      <c r="AL5518">
        <v>-82.392568999999995</v>
      </c>
      <c r="AM5518">
        <v>100</v>
      </c>
      <c r="AN5518">
        <v>1100</v>
      </c>
      <c r="AO5518" t="s">
        <v>118</v>
      </c>
      <c r="AP5518">
        <v>36</v>
      </c>
      <c r="AQ5518">
        <v>-110</v>
      </c>
      <c r="AR5518">
        <v>-960</v>
      </c>
      <c r="AZ5518">
        <v>1200</v>
      </c>
      <c r="BA5518">
        <v>1</v>
      </c>
      <c r="BB5518" t="str">
        <f t="shared" si="2534"/>
        <v xml:space="preserve">N711JA  </v>
      </c>
      <c r="BC5518">
        <v>1</v>
      </c>
      <c r="BE5518">
        <v>0</v>
      </c>
      <c r="BF5518">
        <v>0</v>
      </c>
      <c r="BG5518">
        <v>0</v>
      </c>
      <c r="BH5518">
        <v>1200</v>
      </c>
      <c r="BI5518">
        <v>1</v>
      </c>
      <c r="BJ5518">
        <v>1</v>
      </c>
      <c r="BK5518">
        <v>0</v>
      </c>
      <c r="BL5518">
        <v>0</v>
      </c>
      <c r="BO5518">
        <v>0</v>
      </c>
      <c r="BP5518">
        <v>0</v>
      </c>
      <c r="BW5518" t="str">
        <f t="shared" si="2563"/>
        <v>14:51:29.273</v>
      </c>
      <c r="CJ5518">
        <v>0</v>
      </c>
      <c r="CK5518">
        <v>2</v>
      </c>
      <c r="CL5518">
        <v>0</v>
      </c>
      <c r="CM5518">
        <v>2</v>
      </c>
      <c r="CN5518">
        <v>0</v>
      </c>
      <c r="CO5518">
        <v>7</v>
      </c>
      <c r="CP5518" t="s">
        <v>119</v>
      </c>
      <c r="CQ5518">
        <v>343</v>
      </c>
      <c r="CR5518">
        <v>1</v>
      </c>
      <c r="CW5518">
        <v>11164056</v>
      </c>
      <c r="CY5518">
        <v>1</v>
      </c>
      <c r="CZ5518">
        <v>0</v>
      </c>
      <c r="DA5518">
        <v>1</v>
      </c>
      <c r="DB5518">
        <v>0</v>
      </c>
      <c r="DC5518">
        <v>0</v>
      </c>
      <c r="DD5518">
        <v>1</v>
      </c>
      <c r="DE5518">
        <v>0</v>
      </c>
      <c r="DF5518">
        <v>0</v>
      </c>
      <c r="DG5518">
        <v>0</v>
      </c>
      <c r="DH5518">
        <v>0</v>
      </c>
      <c r="DI5518">
        <v>0</v>
      </c>
    </row>
    <row r="5519" spans="1:113" x14ac:dyDescent="0.3">
      <c r="A5519" t="str">
        <f t="shared" ref="A5519:A5526" si="2564">"05/12/2020 14:51:12.381"</f>
        <v>05/12/2020 14:51:12.381</v>
      </c>
      <c r="C5519" t="str">
        <f t="shared" si="2533"/>
        <v>FFDFD3C0</v>
      </c>
      <c r="D5519" t="s">
        <v>131</v>
      </c>
      <c r="E5519">
        <v>10</v>
      </c>
      <c r="F5519">
        <v>2010</v>
      </c>
      <c r="G5519" t="s">
        <v>132</v>
      </c>
      <c r="J5519" t="s">
        <v>133</v>
      </c>
      <c r="K5519">
        <v>0</v>
      </c>
      <c r="L5519">
        <v>3</v>
      </c>
      <c r="M5519">
        <v>0</v>
      </c>
      <c r="N5519">
        <v>2</v>
      </c>
      <c r="O5519">
        <v>1</v>
      </c>
      <c r="P5519">
        <v>0</v>
      </c>
      <c r="Q5519">
        <v>0</v>
      </c>
      <c r="S5519" t="str">
        <f t="shared" ref="S5519:S5526" si="2565">"14:51:30.227"</f>
        <v>14:51:30.227</v>
      </c>
      <c r="T5519" t="str">
        <f t="shared" ref="T5519:T5526" si="2566">"14:51:30.027"</f>
        <v>14:51:30.027</v>
      </c>
      <c r="U5519" t="str">
        <f t="shared" si="2559"/>
        <v>A9808D</v>
      </c>
      <c r="V5519">
        <v>0</v>
      </c>
      <c r="W5519">
        <v>0</v>
      </c>
      <c r="X5519">
        <v>1</v>
      </c>
      <c r="Z5519">
        <v>0</v>
      </c>
      <c r="AA5519">
        <v>9</v>
      </c>
      <c r="AB5519">
        <v>3</v>
      </c>
      <c r="AC5519">
        <v>0</v>
      </c>
      <c r="AD5519">
        <v>10</v>
      </c>
      <c r="AE5519">
        <v>0</v>
      </c>
      <c r="AF5519">
        <v>3</v>
      </c>
      <c r="AG5519">
        <v>2</v>
      </c>
      <c r="AH5519">
        <v>0</v>
      </c>
      <c r="AI5519" t="s">
        <v>1225</v>
      </c>
      <c r="AJ5519">
        <v>28.213083999999998</v>
      </c>
      <c r="AK5519" t="s">
        <v>1226</v>
      </c>
      <c r="AL5519">
        <v>-82.392332999999994</v>
      </c>
      <c r="AM5519">
        <v>100</v>
      </c>
      <c r="AN5519">
        <v>1100</v>
      </c>
      <c r="AO5519" t="s">
        <v>118</v>
      </c>
      <c r="AP5519">
        <v>41</v>
      </c>
      <c r="AQ5519">
        <v>-107</v>
      </c>
      <c r="AR5519">
        <v>-832</v>
      </c>
      <c r="AZ5519">
        <v>1200</v>
      </c>
      <c r="BA5519">
        <v>1</v>
      </c>
      <c r="BB5519" t="str">
        <f t="shared" si="2534"/>
        <v xml:space="preserve">N711JA  </v>
      </c>
      <c r="BC5519">
        <v>1</v>
      </c>
      <c r="BE5519">
        <v>0</v>
      </c>
      <c r="BF5519">
        <v>0</v>
      </c>
      <c r="BG5519">
        <v>0</v>
      </c>
      <c r="BH5519">
        <v>1175</v>
      </c>
      <c r="BI5519">
        <v>1</v>
      </c>
      <c r="BJ5519">
        <v>1</v>
      </c>
      <c r="BK5519">
        <v>0</v>
      </c>
      <c r="BL5519">
        <v>0</v>
      </c>
      <c r="BO5519">
        <v>0</v>
      </c>
      <c r="BP5519">
        <v>0</v>
      </c>
      <c r="BW5519" t="str">
        <f t="shared" ref="BW5519:BW5526" si="2567">"14:51:30.231"</f>
        <v>14:51:30.231</v>
      </c>
      <c r="CJ5519">
        <v>0</v>
      </c>
      <c r="CK5519">
        <v>2</v>
      </c>
      <c r="CL5519">
        <v>0</v>
      </c>
      <c r="CM5519">
        <v>2</v>
      </c>
      <c r="CN5519">
        <v>0</v>
      </c>
      <c r="CO5519">
        <v>6</v>
      </c>
      <c r="CP5519" t="s">
        <v>119</v>
      </c>
      <c r="CQ5519">
        <v>8</v>
      </c>
      <c r="CR5519">
        <v>3</v>
      </c>
      <c r="CW5519">
        <v>9288228</v>
      </c>
      <c r="CY5519">
        <v>1</v>
      </c>
      <c r="CZ5519">
        <v>0</v>
      </c>
      <c r="DA5519">
        <v>0</v>
      </c>
      <c r="DB5519">
        <v>0</v>
      </c>
      <c r="DC5519">
        <v>0</v>
      </c>
      <c r="DD5519">
        <v>1</v>
      </c>
      <c r="DE5519">
        <v>0</v>
      </c>
      <c r="DF5519">
        <v>0</v>
      </c>
      <c r="DG5519">
        <v>0</v>
      </c>
      <c r="DH5519">
        <v>0</v>
      </c>
      <c r="DI5519">
        <v>0</v>
      </c>
    </row>
    <row r="5520" spans="1:113" x14ac:dyDescent="0.3">
      <c r="A5520" t="str">
        <f t="shared" si="2564"/>
        <v>05/12/2020 14:51:12.381</v>
      </c>
      <c r="C5520" t="str">
        <f t="shared" si="2533"/>
        <v>FFDFD3C0</v>
      </c>
      <c r="D5520" t="s">
        <v>131</v>
      </c>
      <c r="E5520">
        <v>12</v>
      </c>
      <c r="F5520">
        <v>2012</v>
      </c>
      <c r="G5520" t="s">
        <v>137</v>
      </c>
      <c r="J5520" t="s">
        <v>133</v>
      </c>
      <c r="K5520">
        <v>0</v>
      </c>
      <c r="L5520">
        <v>3</v>
      </c>
      <c r="M5520">
        <v>0</v>
      </c>
      <c r="N5520">
        <v>2</v>
      </c>
      <c r="O5520">
        <v>1</v>
      </c>
      <c r="P5520">
        <v>0</v>
      </c>
      <c r="Q5520">
        <v>0</v>
      </c>
      <c r="S5520" t="str">
        <f t="shared" si="2565"/>
        <v>14:51:30.227</v>
      </c>
      <c r="T5520" t="str">
        <f t="shared" si="2566"/>
        <v>14:51:30.027</v>
      </c>
      <c r="U5520" t="str">
        <f t="shared" si="2559"/>
        <v>A9808D</v>
      </c>
      <c r="V5520">
        <v>0</v>
      </c>
      <c r="W5520">
        <v>0</v>
      </c>
      <c r="X5520">
        <v>1</v>
      </c>
      <c r="Z5520">
        <v>0</v>
      </c>
      <c r="AA5520">
        <v>9</v>
      </c>
      <c r="AB5520">
        <v>3</v>
      </c>
      <c r="AC5520">
        <v>0</v>
      </c>
      <c r="AD5520">
        <v>10</v>
      </c>
      <c r="AE5520">
        <v>0</v>
      </c>
      <c r="AF5520">
        <v>3</v>
      </c>
      <c r="AG5520">
        <v>2</v>
      </c>
      <c r="AH5520">
        <v>0</v>
      </c>
      <c r="AI5520" t="s">
        <v>1225</v>
      </c>
      <c r="AJ5520">
        <v>28.213083999999998</v>
      </c>
      <c r="AK5520" t="s">
        <v>1226</v>
      </c>
      <c r="AL5520">
        <v>-82.392332999999994</v>
      </c>
      <c r="AM5520">
        <v>100</v>
      </c>
      <c r="AN5520">
        <v>1100</v>
      </c>
      <c r="AO5520" t="s">
        <v>118</v>
      </c>
      <c r="AP5520">
        <v>41</v>
      </c>
      <c r="AQ5520">
        <v>-107</v>
      </c>
      <c r="AR5520">
        <v>-832</v>
      </c>
      <c r="AZ5520">
        <v>1200</v>
      </c>
      <c r="BA5520">
        <v>1</v>
      </c>
      <c r="BB5520" t="str">
        <f t="shared" si="2534"/>
        <v xml:space="preserve">N711JA  </v>
      </c>
      <c r="BC5520">
        <v>1</v>
      </c>
      <c r="BE5520">
        <v>0</v>
      </c>
      <c r="BF5520">
        <v>0</v>
      </c>
      <c r="BG5520">
        <v>0</v>
      </c>
      <c r="BH5520">
        <v>1175</v>
      </c>
      <c r="BI5520">
        <v>1</v>
      </c>
      <c r="BJ5520">
        <v>1</v>
      </c>
      <c r="BK5520">
        <v>0</v>
      </c>
      <c r="BL5520">
        <v>0</v>
      </c>
      <c r="BO5520">
        <v>0</v>
      </c>
      <c r="BP5520">
        <v>0</v>
      </c>
      <c r="BW5520" t="str">
        <f t="shared" si="2567"/>
        <v>14:51:30.231</v>
      </c>
      <c r="CJ5520">
        <v>0</v>
      </c>
      <c r="CK5520">
        <v>2</v>
      </c>
      <c r="CL5520">
        <v>0</v>
      </c>
      <c r="CM5520">
        <v>2</v>
      </c>
      <c r="CN5520">
        <v>0</v>
      </c>
      <c r="CO5520">
        <v>6</v>
      </c>
      <c r="CP5520" t="s">
        <v>119</v>
      </c>
      <c r="CQ5520">
        <v>8</v>
      </c>
      <c r="CR5520">
        <v>3</v>
      </c>
      <c r="CW5520">
        <v>9288228</v>
      </c>
      <c r="CY5520">
        <v>1</v>
      </c>
      <c r="CZ5520">
        <v>0</v>
      </c>
      <c r="DA5520">
        <v>1</v>
      </c>
      <c r="DB5520">
        <v>0</v>
      </c>
      <c r="DC5520">
        <v>0</v>
      </c>
      <c r="DD5520">
        <v>1</v>
      </c>
      <c r="DE5520">
        <v>0</v>
      </c>
      <c r="DF5520">
        <v>0</v>
      </c>
      <c r="DG5520">
        <v>0</v>
      </c>
      <c r="DH5520">
        <v>0</v>
      </c>
      <c r="DI5520">
        <v>0</v>
      </c>
    </row>
    <row r="5521" spans="1:113" x14ac:dyDescent="0.3">
      <c r="A5521" t="str">
        <f t="shared" si="2564"/>
        <v>05/12/2020 14:51:12.381</v>
      </c>
      <c r="C5521" t="str">
        <f t="shared" si="2533"/>
        <v>FFDFD3C0</v>
      </c>
      <c r="D5521" t="s">
        <v>126</v>
      </c>
      <c r="E5521">
        <v>6</v>
      </c>
      <c r="F5521">
        <v>1006</v>
      </c>
      <c r="G5521" t="s">
        <v>114</v>
      </c>
      <c r="J5521" t="s">
        <v>128</v>
      </c>
      <c r="K5521">
        <v>0</v>
      </c>
      <c r="L5521">
        <v>3</v>
      </c>
      <c r="M5521">
        <v>0</v>
      </c>
      <c r="N5521">
        <v>2</v>
      </c>
      <c r="O5521">
        <v>1</v>
      </c>
      <c r="P5521">
        <v>0</v>
      </c>
      <c r="Q5521">
        <v>0</v>
      </c>
      <c r="S5521" t="str">
        <f t="shared" si="2565"/>
        <v>14:51:30.227</v>
      </c>
      <c r="T5521" t="str">
        <f t="shared" si="2566"/>
        <v>14:51:30.027</v>
      </c>
      <c r="U5521" t="str">
        <f t="shared" si="2559"/>
        <v>A9808D</v>
      </c>
      <c r="V5521">
        <v>0</v>
      </c>
      <c r="W5521">
        <v>0</v>
      </c>
      <c r="X5521">
        <v>1</v>
      </c>
      <c r="Z5521">
        <v>0</v>
      </c>
      <c r="AA5521">
        <v>9</v>
      </c>
      <c r="AB5521">
        <v>3</v>
      </c>
      <c r="AC5521">
        <v>0</v>
      </c>
      <c r="AD5521">
        <v>10</v>
      </c>
      <c r="AE5521">
        <v>0</v>
      </c>
      <c r="AF5521">
        <v>3</v>
      </c>
      <c r="AG5521">
        <v>2</v>
      </c>
      <c r="AH5521">
        <v>0</v>
      </c>
      <c r="AI5521" t="s">
        <v>1225</v>
      </c>
      <c r="AJ5521">
        <v>28.213083999999998</v>
      </c>
      <c r="AK5521" t="s">
        <v>1226</v>
      </c>
      <c r="AL5521">
        <v>-82.392332999999994</v>
      </c>
      <c r="AM5521">
        <v>100</v>
      </c>
      <c r="AN5521">
        <v>1100</v>
      </c>
      <c r="AO5521" t="s">
        <v>118</v>
      </c>
      <c r="AP5521">
        <v>41</v>
      </c>
      <c r="AQ5521">
        <v>-107</v>
      </c>
      <c r="AR5521">
        <v>-832</v>
      </c>
      <c r="AZ5521">
        <v>1200</v>
      </c>
      <c r="BA5521">
        <v>1</v>
      </c>
      <c r="BB5521" t="str">
        <f t="shared" si="2534"/>
        <v xml:space="preserve">N711JA  </v>
      </c>
      <c r="BC5521">
        <v>1</v>
      </c>
      <c r="BE5521">
        <v>0</v>
      </c>
      <c r="BF5521">
        <v>0</v>
      </c>
      <c r="BG5521">
        <v>0</v>
      </c>
      <c r="BH5521">
        <v>1175</v>
      </c>
      <c r="BI5521">
        <v>1</v>
      </c>
      <c r="BJ5521">
        <v>1</v>
      </c>
      <c r="BK5521">
        <v>0</v>
      </c>
      <c r="BL5521">
        <v>0</v>
      </c>
      <c r="BO5521">
        <v>0</v>
      </c>
      <c r="BP5521">
        <v>0</v>
      </c>
      <c r="BW5521" t="str">
        <f t="shared" si="2567"/>
        <v>14:51:30.231</v>
      </c>
      <c r="CJ5521">
        <v>0</v>
      </c>
      <c r="CK5521">
        <v>2</v>
      </c>
      <c r="CL5521">
        <v>0</v>
      </c>
      <c r="CM5521">
        <v>2</v>
      </c>
      <c r="CN5521">
        <v>0</v>
      </c>
      <c r="CO5521">
        <v>6</v>
      </c>
      <c r="CP5521" t="s">
        <v>119</v>
      </c>
      <c r="CQ5521">
        <v>8</v>
      </c>
      <c r="CR5521">
        <v>3</v>
      </c>
      <c r="CW5521">
        <v>9288228</v>
      </c>
      <c r="CY5521">
        <v>1</v>
      </c>
      <c r="CZ5521">
        <v>0</v>
      </c>
      <c r="DA5521">
        <v>1</v>
      </c>
      <c r="DB5521">
        <v>0</v>
      </c>
      <c r="DC5521">
        <v>0</v>
      </c>
      <c r="DD5521">
        <v>1</v>
      </c>
      <c r="DE5521">
        <v>0</v>
      </c>
      <c r="DF5521">
        <v>0</v>
      </c>
      <c r="DG5521">
        <v>0</v>
      </c>
      <c r="DH5521">
        <v>0</v>
      </c>
      <c r="DI5521">
        <v>0</v>
      </c>
    </row>
    <row r="5522" spans="1:113" x14ac:dyDescent="0.3">
      <c r="A5522" t="str">
        <f t="shared" si="2564"/>
        <v>05/12/2020 14:51:12.381</v>
      </c>
      <c r="C5522" t="str">
        <f t="shared" si="2533"/>
        <v>FFDFD3C0</v>
      </c>
      <c r="D5522" t="s">
        <v>134</v>
      </c>
      <c r="E5522">
        <v>12</v>
      </c>
      <c r="H5522">
        <v>64</v>
      </c>
      <c r="I5522" t="s">
        <v>135</v>
      </c>
      <c r="J5522" t="s">
        <v>136</v>
      </c>
      <c r="K5522">
        <v>0</v>
      </c>
      <c r="L5522">
        <v>3</v>
      </c>
      <c r="M5522">
        <v>0</v>
      </c>
      <c r="N5522">
        <v>2</v>
      </c>
      <c r="O5522">
        <v>1</v>
      </c>
      <c r="P5522">
        <v>0</v>
      </c>
      <c r="Q5522">
        <v>0</v>
      </c>
      <c r="S5522" t="str">
        <f t="shared" si="2565"/>
        <v>14:51:30.227</v>
      </c>
      <c r="T5522" t="str">
        <f t="shared" si="2566"/>
        <v>14:51:30.027</v>
      </c>
      <c r="U5522" t="str">
        <f t="shared" si="2559"/>
        <v>A9808D</v>
      </c>
      <c r="V5522">
        <v>0</v>
      </c>
      <c r="W5522">
        <v>0</v>
      </c>
      <c r="X5522">
        <v>1</v>
      </c>
      <c r="Z5522">
        <v>0</v>
      </c>
      <c r="AA5522">
        <v>9</v>
      </c>
      <c r="AB5522">
        <v>3</v>
      </c>
      <c r="AC5522">
        <v>0</v>
      </c>
      <c r="AD5522">
        <v>10</v>
      </c>
      <c r="AE5522">
        <v>0</v>
      </c>
      <c r="AF5522">
        <v>3</v>
      </c>
      <c r="AG5522">
        <v>2</v>
      </c>
      <c r="AH5522">
        <v>0</v>
      </c>
      <c r="AI5522" t="s">
        <v>1225</v>
      </c>
      <c r="AJ5522">
        <v>28.213083999999998</v>
      </c>
      <c r="AK5522" t="s">
        <v>1226</v>
      </c>
      <c r="AL5522">
        <v>-82.392332999999994</v>
      </c>
      <c r="AM5522">
        <v>100</v>
      </c>
      <c r="AN5522">
        <v>1100</v>
      </c>
      <c r="AO5522" t="s">
        <v>118</v>
      </c>
      <c r="AP5522">
        <v>41</v>
      </c>
      <c r="AQ5522">
        <v>-107</v>
      </c>
      <c r="AR5522">
        <v>-832</v>
      </c>
      <c r="AZ5522">
        <v>1200</v>
      </c>
      <c r="BA5522">
        <v>1</v>
      </c>
      <c r="BB5522" t="str">
        <f t="shared" si="2534"/>
        <v xml:space="preserve">N711JA  </v>
      </c>
      <c r="BC5522">
        <v>1</v>
      </c>
      <c r="BE5522">
        <v>0</v>
      </c>
      <c r="BF5522">
        <v>0</v>
      </c>
      <c r="BG5522">
        <v>0</v>
      </c>
      <c r="BH5522">
        <v>1175</v>
      </c>
      <c r="BI5522">
        <v>1</v>
      </c>
      <c r="BJ5522">
        <v>1</v>
      </c>
      <c r="BK5522">
        <v>0</v>
      </c>
      <c r="BL5522">
        <v>0</v>
      </c>
      <c r="BO5522">
        <v>0</v>
      </c>
      <c r="BP5522">
        <v>0</v>
      </c>
      <c r="BW5522" t="str">
        <f t="shared" si="2567"/>
        <v>14:51:30.231</v>
      </c>
      <c r="CJ5522">
        <v>0</v>
      </c>
      <c r="CK5522">
        <v>2</v>
      </c>
      <c r="CL5522">
        <v>0</v>
      </c>
      <c r="CM5522">
        <v>2</v>
      </c>
      <c r="CN5522">
        <v>0</v>
      </c>
      <c r="CO5522">
        <v>6</v>
      </c>
      <c r="CP5522" t="s">
        <v>119</v>
      </c>
      <c r="CQ5522">
        <v>8</v>
      </c>
      <c r="CR5522">
        <v>3</v>
      </c>
      <c r="CW5522">
        <v>9288228</v>
      </c>
      <c r="CY5522">
        <v>1</v>
      </c>
      <c r="CZ5522">
        <v>0</v>
      </c>
      <c r="DA5522">
        <v>1</v>
      </c>
      <c r="DB5522">
        <v>0</v>
      </c>
      <c r="DC5522">
        <v>0</v>
      </c>
      <c r="DD5522">
        <v>1</v>
      </c>
      <c r="DE5522">
        <v>0</v>
      </c>
      <c r="DF5522">
        <v>0</v>
      </c>
      <c r="DG5522">
        <v>0</v>
      </c>
      <c r="DH5522">
        <v>0</v>
      </c>
      <c r="DI5522">
        <v>0</v>
      </c>
    </row>
    <row r="5523" spans="1:113" x14ac:dyDescent="0.3">
      <c r="A5523" t="str">
        <f t="shared" si="2564"/>
        <v>05/12/2020 14:51:12.381</v>
      </c>
      <c r="C5523" t="str">
        <f t="shared" si="2533"/>
        <v>FFDFD3C0</v>
      </c>
      <c r="D5523" t="s">
        <v>113</v>
      </c>
      <c r="E5523">
        <v>3</v>
      </c>
      <c r="H5523">
        <v>164</v>
      </c>
      <c r="I5523" t="s">
        <v>114</v>
      </c>
      <c r="J5523" t="s">
        <v>115</v>
      </c>
      <c r="K5523">
        <v>0</v>
      </c>
      <c r="L5523">
        <v>3</v>
      </c>
      <c r="M5523">
        <v>0</v>
      </c>
      <c r="N5523">
        <v>2</v>
      </c>
      <c r="O5523">
        <v>1</v>
      </c>
      <c r="P5523">
        <v>0</v>
      </c>
      <c r="Q5523">
        <v>0</v>
      </c>
      <c r="S5523" t="str">
        <f t="shared" si="2565"/>
        <v>14:51:30.227</v>
      </c>
      <c r="T5523" t="str">
        <f t="shared" si="2566"/>
        <v>14:51:30.027</v>
      </c>
      <c r="U5523" t="str">
        <f t="shared" si="2559"/>
        <v>A9808D</v>
      </c>
      <c r="V5523">
        <v>0</v>
      </c>
      <c r="W5523">
        <v>0</v>
      </c>
      <c r="X5523">
        <v>1</v>
      </c>
      <c r="Z5523">
        <v>0</v>
      </c>
      <c r="AA5523">
        <v>9</v>
      </c>
      <c r="AB5523">
        <v>3</v>
      </c>
      <c r="AC5523">
        <v>0</v>
      </c>
      <c r="AD5523">
        <v>10</v>
      </c>
      <c r="AE5523">
        <v>0</v>
      </c>
      <c r="AF5523">
        <v>3</v>
      </c>
      <c r="AG5523">
        <v>2</v>
      </c>
      <c r="AH5523">
        <v>0</v>
      </c>
      <c r="AI5523" t="s">
        <v>1225</v>
      </c>
      <c r="AJ5523">
        <v>28.213083999999998</v>
      </c>
      <c r="AK5523" t="s">
        <v>1226</v>
      </c>
      <c r="AL5523">
        <v>-82.392332999999994</v>
      </c>
      <c r="AM5523">
        <v>100</v>
      </c>
      <c r="AN5523">
        <v>1100</v>
      </c>
      <c r="AO5523" t="s">
        <v>118</v>
      </c>
      <c r="AP5523">
        <v>41</v>
      </c>
      <c r="AQ5523">
        <v>-107</v>
      </c>
      <c r="AR5523">
        <v>-832</v>
      </c>
      <c r="AZ5523">
        <v>1200</v>
      </c>
      <c r="BA5523">
        <v>1</v>
      </c>
      <c r="BB5523" t="str">
        <f t="shared" si="2534"/>
        <v xml:space="preserve">N711JA  </v>
      </c>
      <c r="BC5523">
        <v>1</v>
      </c>
      <c r="BE5523">
        <v>0</v>
      </c>
      <c r="BF5523">
        <v>0</v>
      </c>
      <c r="BG5523">
        <v>0</v>
      </c>
      <c r="BH5523">
        <v>1175</v>
      </c>
      <c r="BI5523">
        <v>1</v>
      </c>
      <c r="BJ5523">
        <v>1</v>
      </c>
      <c r="BK5523">
        <v>0</v>
      </c>
      <c r="BL5523">
        <v>0</v>
      </c>
      <c r="BO5523">
        <v>0</v>
      </c>
      <c r="BP5523">
        <v>0</v>
      </c>
      <c r="BW5523" t="str">
        <f t="shared" si="2567"/>
        <v>14:51:30.231</v>
      </c>
      <c r="CJ5523">
        <v>0</v>
      </c>
      <c r="CK5523">
        <v>2</v>
      </c>
      <c r="CL5523">
        <v>0</v>
      </c>
      <c r="CM5523">
        <v>2</v>
      </c>
      <c r="CN5523">
        <v>0</v>
      </c>
      <c r="CO5523">
        <v>6</v>
      </c>
      <c r="CP5523" t="s">
        <v>119</v>
      </c>
      <c r="CQ5523">
        <v>8</v>
      </c>
      <c r="CR5523">
        <v>3</v>
      </c>
      <c r="CW5523">
        <v>9288228</v>
      </c>
      <c r="CY5523">
        <v>1</v>
      </c>
      <c r="CZ5523">
        <v>0</v>
      </c>
      <c r="DA5523">
        <v>1</v>
      </c>
      <c r="DB5523">
        <v>0</v>
      </c>
      <c r="DC5523">
        <v>0</v>
      </c>
      <c r="DD5523">
        <v>1</v>
      </c>
      <c r="DE5523">
        <v>0</v>
      </c>
      <c r="DF5523">
        <v>0</v>
      </c>
      <c r="DG5523">
        <v>0</v>
      </c>
      <c r="DH5523">
        <v>0</v>
      </c>
      <c r="DI5523">
        <v>0</v>
      </c>
    </row>
    <row r="5524" spans="1:113" x14ac:dyDescent="0.3">
      <c r="A5524" t="str">
        <f t="shared" si="2564"/>
        <v>05/12/2020 14:51:12.381</v>
      </c>
      <c r="C5524" t="str">
        <f t="shared" si="2533"/>
        <v>FFDFD3C0</v>
      </c>
      <c r="D5524" t="s">
        <v>138</v>
      </c>
      <c r="E5524">
        <v>2</v>
      </c>
      <c r="H5524">
        <v>8</v>
      </c>
      <c r="I5524" t="s">
        <v>139</v>
      </c>
      <c r="J5524" t="s">
        <v>136</v>
      </c>
      <c r="K5524">
        <v>0</v>
      </c>
      <c r="L5524">
        <v>3</v>
      </c>
      <c r="M5524">
        <v>0</v>
      </c>
      <c r="N5524">
        <v>2</v>
      </c>
      <c r="O5524">
        <v>1</v>
      </c>
      <c r="P5524">
        <v>0</v>
      </c>
      <c r="Q5524">
        <v>0</v>
      </c>
      <c r="S5524" t="str">
        <f t="shared" si="2565"/>
        <v>14:51:30.227</v>
      </c>
      <c r="T5524" t="str">
        <f t="shared" si="2566"/>
        <v>14:51:30.027</v>
      </c>
      <c r="U5524" t="str">
        <f t="shared" si="2559"/>
        <v>A9808D</v>
      </c>
      <c r="V5524">
        <v>0</v>
      </c>
      <c r="W5524">
        <v>0</v>
      </c>
      <c r="X5524">
        <v>1</v>
      </c>
      <c r="Z5524">
        <v>0</v>
      </c>
      <c r="AA5524">
        <v>9</v>
      </c>
      <c r="AB5524">
        <v>3</v>
      </c>
      <c r="AC5524">
        <v>0</v>
      </c>
      <c r="AD5524">
        <v>10</v>
      </c>
      <c r="AE5524">
        <v>0</v>
      </c>
      <c r="AF5524">
        <v>3</v>
      </c>
      <c r="AG5524">
        <v>2</v>
      </c>
      <c r="AH5524">
        <v>0</v>
      </c>
      <c r="AI5524" t="s">
        <v>1225</v>
      </c>
      <c r="AJ5524">
        <v>28.213083999999998</v>
      </c>
      <c r="AK5524" t="s">
        <v>1226</v>
      </c>
      <c r="AL5524">
        <v>-82.392332999999994</v>
      </c>
      <c r="AM5524">
        <v>100</v>
      </c>
      <c r="AN5524">
        <v>1100</v>
      </c>
      <c r="AO5524" t="s">
        <v>118</v>
      </c>
      <c r="AP5524">
        <v>41</v>
      </c>
      <c r="AQ5524">
        <v>-107</v>
      </c>
      <c r="AR5524">
        <v>-832</v>
      </c>
      <c r="AZ5524">
        <v>1200</v>
      </c>
      <c r="BA5524">
        <v>1</v>
      </c>
      <c r="BB5524" t="str">
        <f t="shared" si="2534"/>
        <v xml:space="preserve">N711JA  </v>
      </c>
      <c r="BC5524">
        <v>1</v>
      </c>
      <c r="BE5524">
        <v>0</v>
      </c>
      <c r="BF5524">
        <v>0</v>
      </c>
      <c r="BG5524">
        <v>0</v>
      </c>
      <c r="BH5524">
        <v>1175</v>
      </c>
      <c r="BI5524">
        <v>1</v>
      </c>
      <c r="BJ5524">
        <v>1</v>
      </c>
      <c r="BK5524">
        <v>0</v>
      </c>
      <c r="BL5524">
        <v>0</v>
      </c>
      <c r="BO5524">
        <v>0</v>
      </c>
      <c r="BP5524">
        <v>0</v>
      </c>
      <c r="BW5524" t="str">
        <f t="shared" si="2567"/>
        <v>14:51:30.231</v>
      </c>
      <c r="CJ5524">
        <v>0</v>
      </c>
      <c r="CK5524">
        <v>2</v>
      </c>
      <c r="CL5524">
        <v>0</v>
      </c>
      <c r="CM5524">
        <v>2</v>
      </c>
      <c r="CN5524">
        <v>0</v>
      </c>
      <c r="CO5524">
        <v>6</v>
      </c>
      <c r="CP5524" t="s">
        <v>119</v>
      </c>
      <c r="CQ5524">
        <v>8</v>
      </c>
      <c r="CR5524">
        <v>3</v>
      </c>
      <c r="CW5524">
        <v>9288228</v>
      </c>
      <c r="CY5524">
        <v>1</v>
      </c>
      <c r="CZ5524">
        <v>0</v>
      </c>
      <c r="DA5524">
        <v>1</v>
      </c>
      <c r="DB5524">
        <v>0</v>
      </c>
      <c r="DC5524">
        <v>0</v>
      </c>
      <c r="DD5524">
        <v>1</v>
      </c>
      <c r="DE5524">
        <v>0</v>
      </c>
      <c r="DF5524">
        <v>0</v>
      </c>
      <c r="DG5524">
        <v>0</v>
      </c>
      <c r="DH5524">
        <v>0</v>
      </c>
      <c r="DI5524">
        <v>0</v>
      </c>
    </row>
    <row r="5525" spans="1:113" x14ac:dyDescent="0.3">
      <c r="A5525" t="str">
        <f t="shared" si="2564"/>
        <v>05/12/2020 14:51:12.381</v>
      </c>
      <c r="C5525" t="str">
        <f t="shared" si="2533"/>
        <v>FFDFD3C0</v>
      </c>
      <c r="D5525" t="s">
        <v>138</v>
      </c>
      <c r="E5525">
        <v>3</v>
      </c>
      <c r="H5525">
        <v>9</v>
      </c>
      <c r="I5525" t="s">
        <v>140</v>
      </c>
      <c r="J5525" t="s">
        <v>136</v>
      </c>
      <c r="K5525">
        <v>0</v>
      </c>
      <c r="L5525">
        <v>3</v>
      </c>
      <c r="M5525">
        <v>0</v>
      </c>
      <c r="N5525">
        <v>2</v>
      </c>
      <c r="O5525">
        <v>1</v>
      </c>
      <c r="P5525">
        <v>0</v>
      </c>
      <c r="Q5525">
        <v>0</v>
      </c>
      <c r="S5525" t="str">
        <f t="shared" si="2565"/>
        <v>14:51:30.227</v>
      </c>
      <c r="T5525" t="str">
        <f t="shared" si="2566"/>
        <v>14:51:30.027</v>
      </c>
      <c r="U5525" t="str">
        <f t="shared" si="2559"/>
        <v>A9808D</v>
      </c>
      <c r="V5525">
        <v>0</v>
      </c>
      <c r="W5525">
        <v>0</v>
      </c>
      <c r="X5525">
        <v>1</v>
      </c>
      <c r="Z5525">
        <v>0</v>
      </c>
      <c r="AA5525">
        <v>9</v>
      </c>
      <c r="AB5525">
        <v>3</v>
      </c>
      <c r="AC5525">
        <v>0</v>
      </c>
      <c r="AD5525">
        <v>10</v>
      </c>
      <c r="AE5525">
        <v>0</v>
      </c>
      <c r="AF5525">
        <v>3</v>
      </c>
      <c r="AG5525">
        <v>2</v>
      </c>
      <c r="AH5525">
        <v>0</v>
      </c>
      <c r="AI5525" t="s">
        <v>1225</v>
      </c>
      <c r="AJ5525">
        <v>28.213083999999998</v>
      </c>
      <c r="AK5525" t="s">
        <v>1226</v>
      </c>
      <c r="AL5525">
        <v>-82.392332999999994</v>
      </c>
      <c r="AM5525">
        <v>100</v>
      </c>
      <c r="AN5525">
        <v>1100</v>
      </c>
      <c r="AO5525" t="s">
        <v>118</v>
      </c>
      <c r="AP5525">
        <v>41</v>
      </c>
      <c r="AQ5525">
        <v>-107</v>
      </c>
      <c r="AR5525">
        <v>-832</v>
      </c>
      <c r="AZ5525">
        <v>1200</v>
      </c>
      <c r="BA5525">
        <v>1</v>
      </c>
      <c r="BB5525" t="str">
        <f t="shared" si="2534"/>
        <v xml:space="preserve">N711JA  </v>
      </c>
      <c r="BC5525">
        <v>1</v>
      </c>
      <c r="BE5525">
        <v>0</v>
      </c>
      <c r="BF5525">
        <v>0</v>
      </c>
      <c r="BG5525">
        <v>0</v>
      </c>
      <c r="BH5525">
        <v>1175</v>
      </c>
      <c r="BI5525">
        <v>1</v>
      </c>
      <c r="BJ5525">
        <v>1</v>
      </c>
      <c r="BK5525">
        <v>0</v>
      </c>
      <c r="BL5525">
        <v>0</v>
      </c>
      <c r="BO5525">
        <v>0</v>
      </c>
      <c r="BP5525">
        <v>0</v>
      </c>
      <c r="BW5525" t="str">
        <f t="shared" si="2567"/>
        <v>14:51:30.231</v>
      </c>
      <c r="CJ5525">
        <v>0</v>
      </c>
      <c r="CK5525">
        <v>2</v>
      </c>
      <c r="CL5525">
        <v>0</v>
      </c>
      <c r="CM5525">
        <v>2</v>
      </c>
      <c r="CN5525">
        <v>0</v>
      </c>
      <c r="CO5525">
        <v>6</v>
      </c>
      <c r="CP5525" t="s">
        <v>119</v>
      </c>
      <c r="CQ5525">
        <v>8</v>
      </c>
      <c r="CR5525">
        <v>3</v>
      </c>
      <c r="CW5525">
        <v>9288228</v>
      </c>
      <c r="CY5525">
        <v>1</v>
      </c>
      <c r="CZ5525">
        <v>0</v>
      </c>
      <c r="DA5525">
        <v>1</v>
      </c>
      <c r="DB5525">
        <v>0</v>
      </c>
      <c r="DC5525">
        <v>0</v>
      </c>
      <c r="DD5525">
        <v>1</v>
      </c>
      <c r="DE5525">
        <v>0</v>
      </c>
      <c r="DF5525">
        <v>0</v>
      </c>
      <c r="DG5525">
        <v>0</v>
      </c>
      <c r="DH5525">
        <v>0</v>
      </c>
      <c r="DI5525">
        <v>0</v>
      </c>
    </row>
    <row r="5526" spans="1:113" x14ac:dyDescent="0.3">
      <c r="A5526" t="str">
        <f t="shared" si="2564"/>
        <v>05/12/2020 14:51:12.381</v>
      </c>
      <c r="C5526" t="str">
        <f t="shared" ref="C5526:C5589" si="2568">"FFDFD3C0"</f>
        <v>FFDFD3C0</v>
      </c>
      <c r="D5526" t="s">
        <v>126</v>
      </c>
      <c r="E5526">
        <v>7</v>
      </c>
      <c r="F5526">
        <v>1007</v>
      </c>
      <c r="G5526" t="s">
        <v>127</v>
      </c>
      <c r="J5526" t="s">
        <v>128</v>
      </c>
      <c r="K5526">
        <v>0</v>
      </c>
      <c r="L5526">
        <v>3</v>
      </c>
      <c r="M5526">
        <v>0</v>
      </c>
      <c r="N5526">
        <v>2</v>
      </c>
      <c r="O5526">
        <v>1</v>
      </c>
      <c r="P5526">
        <v>0</v>
      </c>
      <c r="Q5526">
        <v>0</v>
      </c>
      <c r="S5526" t="str">
        <f t="shared" si="2565"/>
        <v>14:51:30.227</v>
      </c>
      <c r="T5526" t="str">
        <f t="shared" si="2566"/>
        <v>14:51:30.027</v>
      </c>
      <c r="U5526" t="str">
        <f t="shared" si="2559"/>
        <v>A9808D</v>
      </c>
      <c r="V5526">
        <v>0</v>
      </c>
      <c r="W5526">
        <v>0</v>
      </c>
      <c r="X5526">
        <v>1</v>
      </c>
      <c r="Z5526">
        <v>0</v>
      </c>
      <c r="AA5526">
        <v>9</v>
      </c>
      <c r="AB5526">
        <v>3</v>
      </c>
      <c r="AC5526">
        <v>0</v>
      </c>
      <c r="AD5526">
        <v>10</v>
      </c>
      <c r="AE5526">
        <v>0</v>
      </c>
      <c r="AF5526">
        <v>3</v>
      </c>
      <c r="AG5526">
        <v>2</v>
      </c>
      <c r="AH5526">
        <v>0</v>
      </c>
      <c r="AI5526" t="s">
        <v>1225</v>
      </c>
      <c r="AJ5526">
        <v>28.213083999999998</v>
      </c>
      <c r="AK5526" t="s">
        <v>1226</v>
      </c>
      <c r="AL5526">
        <v>-82.392332999999994</v>
      </c>
      <c r="AM5526">
        <v>100</v>
      </c>
      <c r="AN5526">
        <v>1100</v>
      </c>
      <c r="AO5526" t="s">
        <v>118</v>
      </c>
      <c r="AP5526">
        <v>41</v>
      </c>
      <c r="AQ5526">
        <v>-107</v>
      </c>
      <c r="AR5526">
        <v>-832</v>
      </c>
      <c r="AZ5526">
        <v>1200</v>
      </c>
      <c r="BA5526">
        <v>1</v>
      </c>
      <c r="BB5526" t="str">
        <f t="shared" ref="BB5526:BB5589" si="2569">"N711JA  "</f>
        <v xml:space="preserve">N711JA  </v>
      </c>
      <c r="BC5526">
        <v>1</v>
      </c>
      <c r="BE5526">
        <v>0</v>
      </c>
      <c r="BF5526">
        <v>0</v>
      </c>
      <c r="BG5526">
        <v>0</v>
      </c>
      <c r="BH5526">
        <v>1175</v>
      </c>
      <c r="BI5526">
        <v>1</v>
      </c>
      <c r="BJ5526">
        <v>1</v>
      </c>
      <c r="BK5526">
        <v>0</v>
      </c>
      <c r="BL5526">
        <v>0</v>
      </c>
      <c r="BO5526">
        <v>0</v>
      </c>
      <c r="BP5526">
        <v>0</v>
      </c>
      <c r="BW5526" t="str">
        <f t="shared" si="2567"/>
        <v>14:51:30.231</v>
      </c>
      <c r="CJ5526">
        <v>0</v>
      </c>
      <c r="CK5526">
        <v>2</v>
      </c>
      <c r="CL5526">
        <v>0</v>
      </c>
      <c r="CM5526">
        <v>2</v>
      </c>
      <c r="CN5526">
        <v>0</v>
      </c>
      <c r="CO5526">
        <v>6</v>
      </c>
      <c r="CP5526" t="s">
        <v>119</v>
      </c>
      <c r="CQ5526">
        <v>8</v>
      </c>
      <c r="CR5526">
        <v>3</v>
      </c>
      <c r="CW5526">
        <v>9288228</v>
      </c>
      <c r="CY5526">
        <v>1</v>
      </c>
      <c r="CZ5526">
        <v>0</v>
      </c>
      <c r="DA5526">
        <v>1</v>
      </c>
      <c r="DB5526">
        <v>0</v>
      </c>
      <c r="DC5526">
        <v>0</v>
      </c>
      <c r="DD5526">
        <v>1</v>
      </c>
      <c r="DE5526">
        <v>0</v>
      </c>
      <c r="DF5526">
        <v>0</v>
      </c>
      <c r="DG5526">
        <v>0</v>
      </c>
      <c r="DH5526">
        <v>0</v>
      </c>
      <c r="DI5526">
        <v>0</v>
      </c>
    </row>
    <row r="5527" spans="1:113" x14ac:dyDescent="0.3">
      <c r="A5527" t="str">
        <f t="shared" ref="A5527:A5534" si="2570">"05/12/2020 14:51:13.476"</f>
        <v>05/12/2020 14:51:13.476</v>
      </c>
      <c r="C5527" t="str">
        <f t="shared" si="2568"/>
        <v>FFDFD3C0</v>
      </c>
      <c r="D5527" t="s">
        <v>113</v>
      </c>
      <c r="E5527">
        <v>3</v>
      </c>
      <c r="H5527">
        <v>164</v>
      </c>
      <c r="I5527" t="s">
        <v>114</v>
      </c>
      <c r="J5527" t="s">
        <v>115</v>
      </c>
      <c r="K5527">
        <v>0</v>
      </c>
      <c r="L5527">
        <v>3</v>
      </c>
      <c r="M5527">
        <v>0</v>
      </c>
      <c r="N5527">
        <v>2</v>
      </c>
      <c r="O5527">
        <v>1</v>
      </c>
      <c r="P5527">
        <v>0</v>
      </c>
      <c r="Q5527">
        <v>0</v>
      </c>
      <c r="S5527" t="str">
        <f t="shared" ref="S5527:S5534" si="2571">"14:51:31.313"</f>
        <v>14:51:31.313</v>
      </c>
      <c r="T5527" t="str">
        <f t="shared" ref="T5527:T5534" si="2572">"14:51:31.113"</f>
        <v>14:51:31.113</v>
      </c>
      <c r="U5527" t="str">
        <f t="shared" si="2559"/>
        <v>A9808D</v>
      </c>
      <c r="V5527">
        <v>0</v>
      </c>
      <c r="W5527">
        <v>0</v>
      </c>
      <c r="X5527">
        <v>1</v>
      </c>
      <c r="Z5527">
        <v>0</v>
      </c>
      <c r="AA5527">
        <v>9</v>
      </c>
      <c r="AB5527">
        <v>3</v>
      </c>
      <c r="AC5527">
        <v>0</v>
      </c>
      <c r="AD5527">
        <v>10</v>
      </c>
      <c r="AE5527">
        <v>0</v>
      </c>
      <c r="AF5527">
        <v>3</v>
      </c>
      <c r="AG5527">
        <v>2</v>
      </c>
      <c r="AH5527">
        <v>0</v>
      </c>
      <c r="AI5527" t="s">
        <v>1227</v>
      </c>
      <c r="AJ5527">
        <v>28.212568999999998</v>
      </c>
      <c r="AK5527" t="s">
        <v>1228</v>
      </c>
      <c r="AL5527">
        <v>-82.392075000000006</v>
      </c>
      <c r="AM5527">
        <v>100</v>
      </c>
      <c r="AN5527">
        <v>1100</v>
      </c>
      <c r="AO5527" t="s">
        <v>118</v>
      </c>
      <c r="AP5527">
        <v>48</v>
      </c>
      <c r="AQ5527">
        <v>-102</v>
      </c>
      <c r="AR5527">
        <v>-640</v>
      </c>
      <c r="AZ5527">
        <v>1200</v>
      </c>
      <c r="BA5527">
        <v>1</v>
      </c>
      <c r="BB5527" t="str">
        <f t="shared" si="2569"/>
        <v xml:space="preserve">N711JA  </v>
      </c>
      <c r="BC5527">
        <v>1</v>
      </c>
      <c r="BE5527">
        <v>0</v>
      </c>
      <c r="BF5527">
        <v>0</v>
      </c>
      <c r="BG5527">
        <v>0</v>
      </c>
      <c r="BH5527">
        <v>1175</v>
      </c>
      <c r="BI5527">
        <v>1</v>
      </c>
      <c r="BJ5527">
        <v>1</v>
      </c>
      <c r="BK5527">
        <v>0</v>
      </c>
      <c r="BL5527">
        <v>0</v>
      </c>
      <c r="BO5527">
        <v>0</v>
      </c>
      <c r="BP5527">
        <v>0</v>
      </c>
      <c r="BW5527" t="str">
        <f t="shared" ref="BW5527:BW5534" si="2573">"14:51:31.314"</f>
        <v>14:51:31.314</v>
      </c>
      <c r="CJ5527">
        <v>0</v>
      </c>
      <c r="CK5527">
        <v>2</v>
      </c>
      <c r="CL5527">
        <v>0</v>
      </c>
      <c r="CM5527">
        <v>2</v>
      </c>
      <c r="CN5527">
        <v>0</v>
      </c>
      <c r="CO5527">
        <v>7</v>
      </c>
      <c r="CP5527" t="s">
        <v>119</v>
      </c>
      <c r="CQ5527">
        <v>343</v>
      </c>
      <c r="CR5527">
        <v>1</v>
      </c>
      <c r="CW5527">
        <v>11166092</v>
      </c>
      <c r="CY5527">
        <v>1</v>
      </c>
      <c r="CZ5527">
        <v>0</v>
      </c>
      <c r="DA5527">
        <v>0</v>
      </c>
      <c r="DB5527">
        <v>0</v>
      </c>
      <c r="DC5527">
        <v>0</v>
      </c>
      <c r="DD5527">
        <v>1</v>
      </c>
      <c r="DE5527">
        <v>0</v>
      </c>
      <c r="DF5527">
        <v>0</v>
      </c>
      <c r="DG5527">
        <v>0</v>
      </c>
      <c r="DH5527">
        <v>0</v>
      </c>
      <c r="DI5527">
        <v>0</v>
      </c>
    </row>
    <row r="5528" spans="1:113" x14ac:dyDescent="0.3">
      <c r="A5528" t="str">
        <f t="shared" si="2570"/>
        <v>05/12/2020 14:51:13.476</v>
      </c>
      <c r="C5528" t="str">
        <f t="shared" si="2568"/>
        <v>FFDFD3C0</v>
      </c>
      <c r="D5528" t="s">
        <v>126</v>
      </c>
      <c r="E5528">
        <v>7</v>
      </c>
      <c r="F5528">
        <v>1007</v>
      </c>
      <c r="G5528" t="s">
        <v>127</v>
      </c>
      <c r="J5528" t="s">
        <v>128</v>
      </c>
      <c r="K5528">
        <v>0</v>
      </c>
      <c r="L5528">
        <v>3</v>
      </c>
      <c r="M5528">
        <v>0</v>
      </c>
      <c r="N5528">
        <v>2</v>
      </c>
      <c r="O5528">
        <v>1</v>
      </c>
      <c r="P5528">
        <v>0</v>
      </c>
      <c r="Q5528">
        <v>0</v>
      </c>
      <c r="S5528" t="str">
        <f t="shared" si="2571"/>
        <v>14:51:31.313</v>
      </c>
      <c r="T5528" t="str">
        <f t="shared" si="2572"/>
        <v>14:51:31.113</v>
      </c>
      <c r="U5528" t="str">
        <f t="shared" si="2559"/>
        <v>A9808D</v>
      </c>
      <c r="V5528">
        <v>0</v>
      </c>
      <c r="W5528">
        <v>0</v>
      </c>
      <c r="X5528">
        <v>1</v>
      </c>
      <c r="Z5528">
        <v>0</v>
      </c>
      <c r="AA5528">
        <v>9</v>
      </c>
      <c r="AB5528">
        <v>3</v>
      </c>
      <c r="AC5528">
        <v>0</v>
      </c>
      <c r="AD5528">
        <v>10</v>
      </c>
      <c r="AE5528">
        <v>0</v>
      </c>
      <c r="AF5528">
        <v>3</v>
      </c>
      <c r="AG5528">
        <v>2</v>
      </c>
      <c r="AH5528">
        <v>0</v>
      </c>
      <c r="AI5528" t="s">
        <v>1227</v>
      </c>
      <c r="AJ5528">
        <v>28.212568999999998</v>
      </c>
      <c r="AK5528" t="s">
        <v>1228</v>
      </c>
      <c r="AL5528">
        <v>-82.392075000000006</v>
      </c>
      <c r="AM5528">
        <v>100</v>
      </c>
      <c r="AN5528">
        <v>1100</v>
      </c>
      <c r="AO5528" t="s">
        <v>118</v>
      </c>
      <c r="AP5528">
        <v>48</v>
      </c>
      <c r="AQ5528">
        <v>-102</v>
      </c>
      <c r="AR5528">
        <v>-640</v>
      </c>
      <c r="AZ5528">
        <v>1200</v>
      </c>
      <c r="BA5528">
        <v>1</v>
      </c>
      <c r="BB5528" t="str">
        <f t="shared" si="2569"/>
        <v xml:space="preserve">N711JA  </v>
      </c>
      <c r="BC5528">
        <v>1</v>
      </c>
      <c r="BE5528">
        <v>0</v>
      </c>
      <c r="BF5528">
        <v>0</v>
      </c>
      <c r="BG5528">
        <v>0</v>
      </c>
      <c r="BH5528">
        <v>1175</v>
      </c>
      <c r="BI5528">
        <v>1</v>
      </c>
      <c r="BJ5528">
        <v>1</v>
      </c>
      <c r="BK5528">
        <v>0</v>
      </c>
      <c r="BL5528">
        <v>0</v>
      </c>
      <c r="BO5528">
        <v>0</v>
      </c>
      <c r="BP5528">
        <v>0</v>
      </c>
      <c r="BW5528" t="str">
        <f t="shared" si="2573"/>
        <v>14:51:31.314</v>
      </c>
      <c r="CJ5528">
        <v>0</v>
      </c>
      <c r="CK5528">
        <v>2</v>
      </c>
      <c r="CL5528">
        <v>0</v>
      </c>
      <c r="CM5528">
        <v>2</v>
      </c>
      <c r="CN5528">
        <v>0</v>
      </c>
      <c r="CO5528">
        <v>7</v>
      </c>
      <c r="CP5528" t="s">
        <v>119</v>
      </c>
      <c r="CQ5528">
        <v>343</v>
      </c>
      <c r="CR5528">
        <v>1</v>
      </c>
      <c r="CW5528">
        <v>11166092</v>
      </c>
      <c r="CY5528">
        <v>1</v>
      </c>
      <c r="CZ5528">
        <v>0</v>
      </c>
      <c r="DA5528">
        <v>1</v>
      </c>
      <c r="DB5528">
        <v>0</v>
      </c>
      <c r="DC5528">
        <v>0</v>
      </c>
      <c r="DD5528">
        <v>1</v>
      </c>
      <c r="DE5528">
        <v>0</v>
      </c>
      <c r="DF5528">
        <v>0</v>
      </c>
      <c r="DG5528">
        <v>0</v>
      </c>
      <c r="DH5528">
        <v>0</v>
      </c>
      <c r="DI5528">
        <v>0</v>
      </c>
    </row>
    <row r="5529" spans="1:113" x14ac:dyDescent="0.3">
      <c r="A5529" t="str">
        <f t="shared" si="2570"/>
        <v>05/12/2020 14:51:13.476</v>
      </c>
      <c r="C5529" t="str">
        <f t="shared" si="2568"/>
        <v>FFDFD3C0</v>
      </c>
      <c r="D5529" t="s">
        <v>138</v>
      </c>
      <c r="E5529">
        <v>2</v>
      </c>
      <c r="H5529">
        <v>8</v>
      </c>
      <c r="I5529" t="s">
        <v>139</v>
      </c>
      <c r="J5529" t="s">
        <v>136</v>
      </c>
      <c r="K5529">
        <v>0</v>
      </c>
      <c r="L5529">
        <v>3</v>
      </c>
      <c r="M5529">
        <v>0</v>
      </c>
      <c r="N5529">
        <v>2</v>
      </c>
      <c r="O5529">
        <v>1</v>
      </c>
      <c r="P5529">
        <v>0</v>
      </c>
      <c r="Q5529">
        <v>0</v>
      </c>
      <c r="S5529" t="str">
        <f t="shared" si="2571"/>
        <v>14:51:31.313</v>
      </c>
      <c r="T5529" t="str">
        <f t="shared" si="2572"/>
        <v>14:51:31.113</v>
      </c>
      <c r="U5529" t="str">
        <f t="shared" si="2559"/>
        <v>A9808D</v>
      </c>
      <c r="V5529">
        <v>0</v>
      </c>
      <c r="W5529">
        <v>0</v>
      </c>
      <c r="X5529">
        <v>1</v>
      </c>
      <c r="Z5529">
        <v>0</v>
      </c>
      <c r="AA5529">
        <v>9</v>
      </c>
      <c r="AB5529">
        <v>3</v>
      </c>
      <c r="AC5529">
        <v>0</v>
      </c>
      <c r="AD5529">
        <v>10</v>
      </c>
      <c r="AE5529">
        <v>0</v>
      </c>
      <c r="AF5529">
        <v>3</v>
      </c>
      <c r="AG5529">
        <v>2</v>
      </c>
      <c r="AH5529">
        <v>0</v>
      </c>
      <c r="AI5529" t="s">
        <v>1227</v>
      </c>
      <c r="AJ5529">
        <v>28.212568999999998</v>
      </c>
      <c r="AK5529" t="s">
        <v>1228</v>
      </c>
      <c r="AL5529">
        <v>-82.392075000000006</v>
      </c>
      <c r="AM5529">
        <v>100</v>
      </c>
      <c r="AN5529">
        <v>1100</v>
      </c>
      <c r="AO5529" t="s">
        <v>118</v>
      </c>
      <c r="AP5529">
        <v>48</v>
      </c>
      <c r="AQ5529">
        <v>-102</v>
      </c>
      <c r="AR5529">
        <v>-640</v>
      </c>
      <c r="AZ5529">
        <v>1200</v>
      </c>
      <c r="BA5529">
        <v>1</v>
      </c>
      <c r="BB5529" t="str">
        <f t="shared" si="2569"/>
        <v xml:space="preserve">N711JA  </v>
      </c>
      <c r="BC5529">
        <v>1</v>
      </c>
      <c r="BE5529">
        <v>0</v>
      </c>
      <c r="BF5529">
        <v>0</v>
      </c>
      <c r="BG5529">
        <v>0</v>
      </c>
      <c r="BH5529">
        <v>1175</v>
      </c>
      <c r="BI5529">
        <v>1</v>
      </c>
      <c r="BJ5529">
        <v>1</v>
      </c>
      <c r="BK5529">
        <v>0</v>
      </c>
      <c r="BL5529">
        <v>0</v>
      </c>
      <c r="BO5529">
        <v>0</v>
      </c>
      <c r="BP5529">
        <v>0</v>
      </c>
      <c r="BW5529" t="str">
        <f t="shared" si="2573"/>
        <v>14:51:31.314</v>
      </c>
      <c r="CJ5529">
        <v>0</v>
      </c>
      <c r="CK5529">
        <v>2</v>
      </c>
      <c r="CL5529">
        <v>0</v>
      </c>
      <c r="CM5529">
        <v>2</v>
      </c>
      <c r="CN5529">
        <v>0</v>
      </c>
      <c r="CO5529">
        <v>7</v>
      </c>
      <c r="CP5529" t="s">
        <v>119</v>
      </c>
      <c r="CQ5529">
        <v>343</v>
      </c>
      <c r="CR5529">
        <v>1</v>
      </c>
      <c r="CW5529">
        <v>11166092</v>
      </c>
      <c r="CY5529">
        <v>1</v>
      </c>
      <c r="CZ5529">
        <v>0</v>
      </c>
      <c r="DA5529">
        <v>1</v>
      </c>
      <c r="DB5529">
        <v>0</v>
      </c>
      <c r="DC5529">
        <v>0</v>
      </c>
      <c r="DD5529">
        <v>1</v>
      </c>
      <c r="DE5529">
        <v>0</v>
      </c>
      <c r="DF5529">
        <v>0</v>
      </c>
      <c r="DG5529">
        <v>0</v>
      </c>
      <c r="DH5529">
        <v>0</v>
      </c>
      <c r="DI5529">
        <v>0</v>
      </c>
    </row>
    <row r="5530" spans="1:113" x14ac:dyDescent="0.3">
      <c r="A5530" t="str">
        <f t="shared" si="2570"/>
        <v>05/12/2020 14:51:13.476</v>
      </c>
      <c r="C5530" t="str">
        <f t="shared" si="2568"/>
        <v>FFDFD3C0</v>
      </c>
      <c r="D5530" t="s">
        <v>138</v>
      </c>
      <c r="E5530">
        <v>3</v>
      </c>
      <c r="H5530">
        <v>9</v>
      </c>
      <c r="I5530" t="s">
        <v>140</v>
      </c>
      <c r="J5530" t="s">
        <v>136</v>
      </c>
      <c r="K5530">
        <v>0</v>
      </c>
      <c r="L5530">
        <v>3</v>
      </c>
      <c r="M5530">
        <v>0</v>
      </c>
      <c r="N5530">
        <v>2</v>
      </c>
      <c r="O5530">
        <v>1</v>
      </c>
      <c r="P5530">
        <v>0</v>
      </c>
      <c r="Q5530">
        <v>0</v>
      </c>
      <c r="S5530" t="str">
        <f t="shared" si="2571"/>
        <v>14:51:31.313</v>
      </c>
      <c r="T5530" t="str">
        <f t="shared" si="2572"/>
        <v>14:51:31.113</v>
      </c>
      <c r="U5530" t="str">
        <f t="shared" si="2559"/>
        <v>A9808D</v>
      </c>
      <c r="V5530">
        <v>0</v>
      </c>
      <c r="W5530">
        <v>0</v>
      </c>
      <c r="X5530">
        <v>1</v>
      </c>
      <c r="Z5530">
        <v>0</v>
      </c>
      <c r="AA5530">
        <v>9</v>
      </c>
      <c r="AB5530">
        <v>3</v>
      </c>
      <c r="AC5530">
        <v>0</v>
      </c>
      <c r="AD5530">
        <v>10</v>
      </c>
      <c r="AE5530">
        <v>0</v>
      </c>
      <c r="AF5530">
        <v>3</v>
      </c>
      <c r="AG5530">
        <v>2</v>
      </c>
      <c r="AH5530">
        <v>0</v>
      </c>
      <c r="AI5530" t="s">
        <v>1227</v>
      </c>
      <c r="AJ5530">
        <v>28.212568999999998</v>
      </c>
      <c r="AK5530" t="s">
        <v>1228</v>
      </c>
      <c r="AL5530">
        <v>-82.392075000000006</v>
      </c>
      <c r="AM5530">
        <v>100</v>
      </c>
      <c r="AN5530">
        <v>1100</v>
      </c>
      <c r="AO5530" t="s">
        <v>118</v>
      </c>
      <c r="AP5530">
        <v>48</v>
      </c>
      <c r="AQ5530">
        <v>-102</v>
      </c>
      <c r="AR5530">
        <v>-640</v>
      </c>
      <c r="AZ5530">
        <v>1200</v>
      </c>
      <c r="BA5530">
        <v>1</v>
      </c>
      <c r="BB5530" t="str">
        <f t="shared" si="2569"/>
        <v xml:space="preserve">N711JA  </v>
      </c>
      <c r="BC5530">
        <v>1</v>
      </c>
      <c r="BE5530">
        <v>0</v>
      </c>
      <c r="BF5530">
        <v>0</v>
      </c>
      <c r="BG5530">
        <v>0</v>
      </c>
      <c r="BH5530">
        <v>1175</v>
      </c>
      <c r="BI5530">
        <v>1</v>
      </c>
      <c r="BJ5530">
        <v>1</v>
      </c>
      <c r="BK5530">
        <v>0</v>
      </c>
      <c r="BL5530">
        <v>0</v>
      </c>
      <c r="BO5530">
        <v>0</v>
      </c>
      <c r="BP5530">
        <v>0</v>
      </c>
      <c r="BW5530" t="str">
        <f t="shared" si="2573"/>
        <v>14:51:31.314</v>
      </c>
      <c r="CJ5530">
        <v>0</v>
      </c>
      <c r="CK5530">
        <v>2</v>
      </c>
      <c r="CL5530">
        <v>0</v>
      </c>
      <c r="CM5530">
        <v>2</v>
      </c>
      <c r="CN5530">
        <v>0</v>
      </c>
      <c r="CO5530">
        <v>7</v>
      </c>
      <c r="CP5530" t="s">
        <v>119</v>
      </c>
      <c r="CQ5530">
        <v>343</v>
      </c>
      <c r="CR5530">
        <v>1</v>
      </c>
      <c r="CW5530">
        <v>11166092</v>
      </c>
      <c r="CY5530">
        <v>1</v>
      </c>
      <c r="CZ5530">
        <v>0</v>
      </c>
      <c r="DA5530">
        <v>1</v>
      </c>
      <c r="DB5530">
        <v>0</v>
      </c>
      <c r="DC5530">
        <v>0</v>
      </c>
      <c r="DD5530">
        <v>1</v>
      </c>
      <c r="DE5530">
        <v>0</v>
      </c>
      <c r="DF5530">
        <v>0</v>
      </c>
      <c r="DG5530">
        <v>0</v>
      </c>
      <c r="DH5530">
        <v>0</v>
      </c>
      <c r="DI5530">
        <v>0</v>
      </c>
    </row>
    <row r="5531" spans="1:113" x14ac:dyDescent="0.3">
      <c r="A5531" t="str">
        <f t="shared" si="2570"/>
        <v>05/12/2020 14:51:13.476</v>
      </c>
      <c r="C5531" t="str">
        <f t="shared" si="2568"/>
        <v>FFDFD3C0</v>
      </c>
      <c r="D5531" t="s">
        <v>131</v>
      </c>
      <c r="E5531">
        <v>12</v>
      </c>
      <c r="F5531">
        <v>2012</v>
      </c>
      <c r="G5531" t="s">
        <v>137</v>
      </c>
      <c r="J5531" t="s">
        <v>133</v>
      </c>
      <c r="K5531">
        <v>0</v>
      </c>
      <c r="L5531">
        <v>3</v>
      </c>
      <c r="M5531">
        <v>0</v>
      </c>
      <c r="N5531">
        <v>2</v>
      </c>
      <c r="O5531">
        <v>1</v>
      </c>
      <c r="P5531">
        <v>0</v>
      </c>
      <c r="Q5531">
        <v>0</v>
      </c>
      <c r="S5531" t="str">
        <f t="shared" si="2571"/>
        <v>14:51:31.313</v>
      </c>
      <c r="T5531" t="str">
        <f t="shared" si="2572"/>
        <v>14:51:31.113</v>
      </c>
      <c r="U5531" t="str">
        <f t="shared" si="2559"/>
        <v>A9808D</v>
      </c>
      <c r="V5531">
        <v>0</v>
      </c>
      <c r="W5531">
        <v>0</v>
      </c>
      <c r="X5531">
        <v>1</v>
      </c>
      <c r="Z5531">
        <v>0</v>
      </c>
      <c r="AA5531">
        <v>9</v>
      </c>
      <c r="AB5531">
        <v>3</v>
      </c>
      <c r="AC5531">
        <v>0</v>
      </c>
      <c r="AD5531">
        <v>10</v>
      </c>
      <c r="AE5531">
        <v>0</v>
      </c>
      <c r="AF5531">
        <v>3</v>
      </c>
      <c r="AG5531">
        <v>2</v>
      </c>
      <c r="AH5531">
        <v>0</v>
      </c>
      <c r="AI5531" t="s">
        <v>1227</v>
      </c>
      <c r="AJ5531">
        <v>28.212568999999998</v>
      </c>
      <c r="AK5531" t="s">
        <v>1228</v>
      </c>
      <c r="AL5531">
        <v>-82.392075000000006</v>
      </c>
      <c r="AM5531">
        <v>100</v>
      </c>
      <c r="AN5531">
        <v>1100</v>
      </c>
      <c r="AO5531" t="s">
        <v>118</v>
      </c>
      <c r="AP5531">
        <v>48</v>
      </c>
      <c r="AQ5531">
        <v>-102</v>
      </c>
      <c r="AR5531">
        <v>-640</v>
      </c>
      <c r="AZ5531">
        <v>1200</v>
      </c>
      <c r="BA5531">
        <v>1</v>
      </c>
      <c r="BB5531" t="str">
        <f t="shared" si="2569"/>
        <v xml:space="preserve">N711JA  </v>
      </c>
      <c r="BC5531">
        <v>1</v>
      </c>
      <c r="BE5531">
        <v>0</v>
      </c>
      <c r="BF5531">
        <v>0</v>
      </c>
      <c r="BG5531">
        <v>0</v>
      </c>
      <c r="BH5531">
        <v>1175</v>
      </c>
      <c r="BI5531">
        <v>1</v>
      </c>
      <c r="BJ5531">
        <v>1</v>
      </c>
      <c r="BK5531">
        <v>0</v>
      </c>
      <c r="BL5531">
        <v>0</v>
      </c>
      <c r="BO5531">
        <v>0</v>
      </c>
      <c r="BP5531">
        <v>0</v>
      </c>
      <c r="BW5531" t="str">
        <f t="shared" si="2573"/>
        <v>14:51:31.314</v>
      </c>
      <c r="CJ5531">
        <v>0</v>
      </c>
      <c r="CK5531">
        <v>2</v>
      </c>
      <c r="CL5531">
        <v>0</v>
      </c>
      <c r="CM5531">
        <v>2</v>
      </c>
      <c r="CN5531">
        <v>0</v>
      </c>
      <c r="CO5531">
        <v>7</v>
      </c>
      <c r="CP5531" t="s">
        <v>119</v>
      </c>
      <c r="CQ5531">
        <v>343</v>
      </c>
      <c r="CR5531">
        <v>1</v>
      </c>
      <c r="CW5531">
        <v>11166092</v>
      </c>
      <c r="CY5531">
        <v>1</v>
      </c>
      <c r="CZ5531">
        <v>0</v>
      </c>
      <c r="DA5531">
        <v>1</v>
      </c>
      <c r="DB5531">
        <v>0</v>
      </c>
      <c r="DC5531">
        <v>0</v>
      </c>
      <c r="DD5531">
        <v>1</v>
      </c>
      <c r="DE5531">
        <v>0</v>
      </c>
      <c r="DF5531">
        <v>0</v>
      </c>
      <c r="DG5531">
        <v>0</v>
      </c>
      <c r="DH5531">
        <v>0</v>
      </c>
      <c r="DI5531">
        <v>0</v>
      </c>
    </row>
    <row r="5532" spans="1:113" x14ac:dyDescent="0.3">
      <c r="A5532" t="str">
        <f t="shared" si="2570"/>
        <v>05/12/2020 14:51:13.476</v>
      </c>
      <c r="C5532" t="str">
        <f t="shared" si="2568"/>
        <v>FFDFD3C0</v>
      </c>
      <c r="D5532" t="s">
        <v>131</v>
      </c>
      <c r="E5532">
        <v>10</v>
      </c>
      <c r="F5532">
        <v>2010</v>
      </c>
      <c r="G5532" t="s">
        <v>132</v>
      </c>
      <c r="J5532" t="s">
        <v>133</v>
      </c>
      <c r="K5532">
        <v>0</v>
      </c>
      <c r="L5532">
        <v>3</v>
      </c>
      <c r="M5532">
        <v>0</v>
      </c>
      <c r="N5532">
        <v>2</v>
      </c>
      <c r="O5532">
        <v>1</v>
      </c>
      <c r="P5532">
        <v>0</v>
      </c>
      <c r="Q5532">
        <v>0</v>
      </c>
      <c r="S5532" t="str">
        <f t="shared" si="2571"/>
        <v>14:51:31.313</v>
      </c>
      <c r="T5532" t="str">
        <f t="shared" si="2572"/>
        <v>14:51:31.113</v>
      </c>
      <c r="U5532" t="str">
        <f t="shared" si="2559"/>
        <v>A9808D</v>
      </c>
      <c r="V5532">
        <v>0</v>
      </c>
      <c r="W5532">
        <v>0</v>
      </c>
      <c r="X5532">
        <v>1</v>
      </c>
      <c r="Z5532">
        <v>0</v>
      </c>
      <c r="AA5532">
        <v>9</v>
      </c>
      <c r="AB5532">
        <v>3</v>
      </c>
      <c r="AC5532">
        <v>0</v>
      </c>
      <c r="AD5532">
        <v>10</v>
      </c>
      <c r="AE5532">
        <v>0</v>
      </c>
      <c r="AF5532">
        <v>3</v>
      </c>
      <c r="AG5532">
        <v>2</v>
      </c>
      <c r="AH5532">
        <v>0</v>
      </c>
      <c r="AI5532" t="s">
        <v>1227</v>
      </c>
      <c r="AJ5532">
        <v>28.212568999999998</v>
      </c>
      <c r="AK5532" t="s">
        <v>1228</v>
      </c>
      <c r="AL5532">
        <v>-82.392075000000006</v>
      </c>
      <c r="AM5532">
        <v>100</v>
      </c>
      <c r="AN5532">
        <v>1100</v>
      </c>
      <c r="AO5532" t="s">
        <v>118</v>
      </c>
      <c r="AP5532">
        <v>48</v>
      </c>
      <c r="AQ5532">
        <v>-102</v>
      </c>
      <c r="AR5532">
        <v>-640</v>
      </c>
      <c r="AZ5532">
        <v>1200</v>
      </c>
      <c r="BA5532">
        <v>1</v>
      </c>
      <c r="BB5532" t="str">
        <f t="shared" si="2569"/>
        <v xml:space="preserve">N711JA  </v>
      </c>
      <c r="BC5532">
        <v>1</v>
      </c>
      <c r="BE5532">
        <v>0</v>
      </c>
      <c r="BF5532">
        <v>0</v>
      </c>
      <c r="BG5532">
        <v>0</v>
      </c>
      <c r="BH5532">
        <v>1175</v>
      </c>
      <c r="BI5532">
        <v>1</v>
      </c>
      <c r="BJ5532">
        <v>1</v>
      </c>
      <c r="BK5532">
        <v>0</v>
      </c>
      <c r="BL5532">
        <v>0</v>
      </c>
      <c r="BO5532">
        <v>0</v>
      </c>
      <c r="BP5532">
        <v>0</v>
      </c>
      <c r="BW5532" t="str">
        <f t="shared" si="2573"/>
        <v>14:51:31.314</v>
      </c>
      <c r="CJ5532">
        <v>0</v>
      </c>
      <c r="CK5532">
        <v>2</v>
      </c>
      <c r="CL5532">
        <v>0</v>
      </c>
      <c r="CM5532">
        <v>2</v>
      </c>
      <c r="CN5532">
        <v>0</v>
      </c>
      <c r="CO5532">
        <v>7</v>
      </c>
      <c r="CP5532" t="s">
        <v>119</v>
      </c>
      <c r="CQ5532">
        <v>343</v>
      </c>
      <c r="CR5532">
        <v>1</v>
      </c>
      <c r="CW5532">
        <v>11166092</v>
      </c>
      <c r="CY5532">
        <v>1</v>
      </c>
      <c r="CZ5532">
        <v>0</v>
      </c>
      <c r="DA5532">
        <v>1</v>
      </c>
      <c r="DB5532">
        <v>0</v>
      </c>
      <c r="DC5532">
        <v>0</v>
      </c>
      <c r="DD5532">
        <v>1</v>
      </c>
      <c r="DE5532">
        <v>0</v>
      </c>
      <c r="DF5532">
        <v>0</v>
      </c>
      <c r="DG5532">
        <v>0</v>
      </c>
      <c r="DH5532">
        <v>0</v>
      </c>
      <c r="DI5532">
        <v>0</v>
      </c>
    </row>
    <row r="5533" spans="1:113" x14ac:dyDescent="0.3">
      <c r="A5533" t="str">
        <f t="shared" si="2570"/>
        <v>05/12/2020 14:51:13.476</v>
      </c>
      <c r="C5533" t="str">
        <f t="shared" si="2568"/>
        <v>FFDFD3C0</v>
      </c>
      <c r="D5533" t="s">
        <v>126</v>
      </c>
      <c r="E5533">
        <v>6</v>
      </c>
      <c r="F5533">
        <v>1006</v>
      </c>
      <c r="G5533" t="s">
        <v>114</v>
      </c>
      <c r="J5533" t="s">
        <v>128</v>
      </c>
      <c r="K5533">
        <v>0</v>
      </c>
      <c r="L5533">
        <v>3</v>
      </c>
      <c r="M5533">
        <v>0</v>
      </c>
      <c r="N5533">
        <v>2</v>
      </c>
      <c r="O5533">
        <v>1</v>
      </c>
      <c r="P5533">
        <v>0</v>
      </c>
      <c r="Q5533">
        <v>0</v>
      </c>
      <c r="S5533" t="str">
        <f t="shared" si="2571"/>
        <v>14:51:31.313</v>
      </c>
      <c r="T5533" t="str">
        <f t="shared" si="2572"/>
        <v>14:51:31.113</v>
      </c>
      <c r="U5533" t="str">
        <f t="shared" si="2559"/>
        <v>A9808D</v>
      </c>
      <c r="V5533">
        <v>0</v>
      </c>
      <c r="W5533">
        <v>0</v>
      </c>
      <c r="X5533">
        <v>1</v>
      </c>
      <c r="Z5533">
        <v>0</v>
      </c>
      <c r="AA5533">
        <v>9</v>
      </c>
      <c r="AB5533">
        <v>3</v>
      </c>
      <c r="AC5533">
        <v>0</v>
      </c>
      <c r="AD5533">
        <v>10</v>
      </c>
      <c r="AE5533">
        <v>0</v>
      </c>
      <c r="AF5533">
        <v>3</v>
      </c>
      <c r="AG5533">
        <v>2</v>
      </c>
      <c r="AH5533">
        <v>0</v>
      </c>
      <c r="AI5533" t="s">
        <v>1227</v>
      </c>
      <c r="AJ5533">
        <v>28.212568999999998</v>
      </c>
      <c r="AK5533" t="s">
        <v>1228</v>
      </c>
      <c r="AL5533">
        <v>-82.392075000000006</v>
      </c>
      <c r="AM5533">
        <v>100</v>
      </c>
      <c r="AN5533">
        <v>1100</v>
      </c>
      <c r="AO5533" t="s">
        <v>118</v>
      </c>
      <c r="AP5533">
        <v>48</v>
      </c>
      <c r="AQ5533">
        <v>-102</v>
      </c>
      <c r="AR5533">
        <v>-640</v>
      </c>
      <c r="AZ5533">
        <v>1200</v>
      </c>
      <c r="BA5533">
        <v>1</v>
      </c>
      <c r="BB5533" t="str">
        <f t="shared" si="2569"/>
        <v xml:space="preserve">N711JA  </v>
      </c>
      <c r="BC5533">
        <v>1</v>
      </c>
      <c r="BE5533">
        <v>0</v>
      </c>
      <c r="BF5533">
        <v>0</v>
      </c>
      <c r="BG5533">
        <v>0</v>
      </c>
      <c r="BH5533">
        <v>1175</v>
      </c>
      <c r="BI5533">
        <v>1</v>
      </c>
      <c r="BJ5533">
        <v>1</v>
      </c>
      <c r="BK5533">
        <v>0</v>
      </c>
      <c r="BL5533">
        <v>0</v>
      </c>
      <c r="BO5533">
        <v>0</v>
      </c>
      <c r="BP5533">
        <v>0</v>
      </c>
      <c r="BW5533" t="str">
        <f t="shared" si="2573"/>
        <v>14:51:31.314</v>
      </c>
      <c r="CJ5533">
        <v>0</v>
      </c>
      <c r="CK5533">
        <v>2</v>
      </c>
      <c r="CL5533">
        <v>0</v>
      </c>
      <c r="CM5533">
        <v>2</v>
      </c>
      <c r="CN5533">
        <v>0</v>
      </c>
      <c r="CO5533">
        <v>7</v>
      </c>
      <c r="CP5533" t="s">
        <v>119</v>
      </c>
      <c r="CQ5533">
        <v>343</v>
      </c>
      <c r="CR5533">
        <v>1</v>
      </c>
      <c r="CW5533">
        <v>11166092</v>
      </c>
      <c r="CY5533">
        <v>1</v>
      </c>
      <c r="CZ5533">
        <v>0</v>
      </c>
      <c r="DA5533">
        <v>1</v>
      </c>
      <c r="DB5533">
        <v>0</v>
      </c>
      <c r="DC5533">
        <v>0</v>
      </c>
      <c r="DD5533">
        <v>1</v>
      </c>
      <c r="DE5533">
        <v>0</v>
      </c>
      <c r="DF5533">
        <v>0</v>
      </c>
      <c r="DG5533">
        <v>0</v>
      </c>
      <c r="DH5533">
        <v>0</v>
      </c>
      <c r="DI5533">
        <v>0</v>
      </c>
    </row>
    <row r="5534" spans="1:113" x14ac:dyDescent="0.3">
      <c r="A5534" t="str">
        <f t="shared" si="2570"/>
        <v>05/12/2020 14:51:13.476</v>
      </c>
      <c r="C5534" t="str">
        <f t="shared" si="2568"/>
        <v>FFDFD3C0</v>
      </c>
      <c r="D5534" t="s">
        <v>134</v>
      </c>
      <c r="E5534">
        <v>12</v>
      </c>
      <c r="H5534">
        <v>64</v>
      </c>
      <c r="I5534" t="s">
        <v>135</v>
      </c>
      <c r="J5534" t="s">
        <v>136</v>
      </c>
      <c r="K5534">
        <v>0</v>
      </c>
      <c r="L5534">
        <v>3</v>
      </c>
      <c r="M5534">
        <v>0</v>
      </c>
      <c r="N5534">
        <v>2</v>
      </c>
      <c r="O5534">
        <v>1</v>
      </c>
      <c r="P5534">
        <v>0</v>
      </c>
      <c r="Q5534">
        <v>0</v>
      </c>
      <c r="S5534" t="str">
        <f t="shared" si="2571"/>
        <v>14:51:31.313</v>
      </c>
      <c r="T5534" t="str">
        <f t="shared" si="2572"/>
        <v>14:51:31.113</v>
      </c>
      <c r="U5534" t="str">
        <f t="shared" si="2559"/>
        <v>A9808D</v>
      </c>
      <c r="V5534">
        <v>0</v>
      </c>
      <c r="W5534">
        <v>0</v>
      </c>
      <c r="X5534">
        <v>1</v>
      </c>
      <c r="Z5534">
        <v>0</v>
      </c>
      <c r="AA5534">
        <v>9</v>
      </c>
      <c r="AB5534">
        <v>3</v>
      </c>
      <c r="AC5534">
        <v>0</v>
      </c>
      <c r="AD5534">
        <v>10</v>
      </c>
      <c r="AE5534">
        <v>0</v>
      </c>
      <c r="AF5534">
        <v>3</v>
      </c>
      <c r="AG5534">
        <v>2</v>
      </c>
      <c r="AH5534">
        <v>0</v>
      </c>
      <c r="AI5534" t="s">
        <v>1227</v>
      </c>
      <c r="AJ5534">
        <v>28.212568999999998</v>
      </c>
      <c r="AK5534" t="s">
        <v>1228</v>
      </c>
      <c r="AL5534">
        <v>-82.392075000000006</v>
      </c>
      <c r="AM5534">
        <v>100</v>
      </c>
      <c r="AN5534">
        <v>1100</v>
      </c>
      <c r="AO5534" t="s">
        <v>118</v>
      </c>
      <c r="AP5534">
        <v>48</v>
      </c>
      <c r="AQ5534">
        <v>-102</v>
      </c>
      <c r="AR5534">
        <v>-640</v>
      </c>
      <c r="AZ5534">
        <v>1200</v>
      </c>
      <c r="BA5534">
        <v>1</v>
      </c>
      <c r="BB5534" t="str">
        <f t="shared" si="2569"/>
        <v xml:space="preserve">N711JA  </v>
      </c>
      <c r="BC5534">
        <v>1</v>
      </c>
      <c r="BE5534">
        <v>0</v>
      </c>
      <c r="BF5534">
        <v>0</v>
      </c>
      <c r="BG5534">
        <v>0</v>
      </c>
      <c r="BH5534">
        <v>1175</v>
      </c>
      <c r="BI5534">
        <v>1</v>
      </c>
      <c r="BJ5534">
        <v>1</v>
      </c>
      <c r="BK5534">
        <v>0</v>
      </c>
      <c r="BL5534">
        <v>0</v>
      </c>
      <c r="BO5534">
        <v>0</v>
      </c>
      <c r="BP5534">
        <v>0</v>
      </c>
      <c r="BW5534" t="str">
        <f t="shared" si="2573"/>
        <v>14:51:31.314</v>
      </c>
      <c r="CJ5534">
        <v>0</v>
      </c>
      <c r="CK5534">
        <v>2</v>
      </c>
      <c r="CL5534">
        <v>0</v>
      </c>
      <c r="CM5534">
        <v>2</v>
      </c>
      <c r="CN5534">
        <v>0</v>
      </c>
      <c r="CO5534">
        <v>7</v>
      </c>
      <c r="CP5534" t="s">
        <v>119</v>
      </c>
      <c r="CQ5534">
        <v>343</v>
      </c>
      <c r="CR5534">
        <v>1</v>
      </c>
      <c r="CW5534">
        <v>11166092</v>
      </c>
      <c r="CY5534">
        <v>1</v>
      </c>
      <c r="CZ5534">
        <v>0</v>
      </c>
      <c r="DA5534">
        <v>1</v>
      </c>
      <c r="DB5534">
        <v>0</v>
      </c>
      <c r="DC5534">
        <v>0</v>
      </c>
      <c r="DD5534">
        <v>1</v>
      </c>
      <c r="DE5534">
        <v>0</v>
      </c>
      <c r="DF5534">
        <v>0</v>
      </c>
      <c r="DG5534">
        <v>0</v>
      </c>
      <c r="DH5534">
        <v>0</v>
      </c>
      <c r="DI5534">
        <v>0</v>
      </c>
    </row>
    <row r="5535" spans="1:113" x14ac:dyDescent="0.3">
      <c r="A5535" t="str">
        <f t="shared" ref="A5535:A5542" si="2574">"05/12/2020 14:51:14.480"</f>
        <v>05/12/2020 14:51:14.480</v>
      </c>
      <c r="C5535" t="str">
        <f t="shared" si="2568"/>
        <v>FFDFD3C0</v>
      </c>
      <c r="D5535" t="s">
        <v>134</v>
      </c>
      <c r="E5535">
        <v>12</v>
      </c>
      <c r="H5535">
        <v>64</v>
      </c>
      <c r="I5535" t="s">
        <v>135</v>
      </c>
      <c r="J5535" t="s">
        <v>136</v>
      </c>
      <c r="K5535">
        <v>0</v>
      </c>
      <c r="L5535">
        <v>3</v>
      </c>
      <c r="M5535">
        <v>0</v>
      </c>
      <c r="N5535">
        <v>2</v>
      </c>
      <c r="O5535">
        <v>1</v>
      </c>
      <c r="P5535">
        <v>0</v>
      </c>
      <c r="Q5535">
        <v>0</v>
      </c>
      <c r="S5535" t="str">
        <f t="shared" ref="S5535:S5542" si="2575">"14:51:32.289"</f>
        <v>14:51:32.289</v>
      </c>
      <c r="T5535" t="str">
        <f t="shared" ref="T5535:T5542" si="2576">"14:51:32.089"</f>
        <v>14:51:32.089</v>
      </c>
      <c r="U5535" t="str">
        <f t="shared" si="2559"/>
        <v>A9808D</v>
      </c>
      <c r="V5535">
        <v>0</v>
      </c>
      <c r="W5535">
        <v>0</v>
      </c>
      <c r="X5535">
        <v>1</v>
      </c>
      <c r="Z5535">
        <v>0</v>
      </c>
      <c r="AA5535">
        <v>9</v>
      </c>
      <c r="AB5535">
        <v>3</v>
      </c>
      <c r="AC5535">
        <v>0</v>
      </c>
      <c r="AD5535">
        <v>10</v>
      </c>
      <c r="AE5535">
        <v>0</v>
      </c>
      <c r="AF5535">
        <v>3</v>
      </c>
      <c r="AG5535">
        <v>2</v>
      </c>
      <c r="AH5535">
        <v>0</v>
      </c>
      <c r="AI5535" t="s">
        <v>1229</v>
      </c>
      <c r="AJ5535">
        <v>28.212097</v>
      </c>
      <c r="AK5535" t="s">
        <v>1230</v>
      </c>
      <c r="AL5535">
        <v>-82.391795999999999</v>
      </c>
      <c r="AM5535">
        <v>100</v>
      </c>
      <c r="AN5535">
        <v>1100</v>
      </c>
      <c r="AO5535" t="s">
        <v>118</v>
      </c>
      <c r="AP5535">
        <v>52</v>
      </c>
      <c r="AQ5535">
        <v>-100</v>
      </c>
      <c r="AR5535">
        <v>-704</v>
      </c>
      <c r="AZ5535">
        <v>1200</v>
      </c>
      <c r="BA5535">
        <v>1</v>
      </c>
      <c r="BB5535" t="str">
        <f t="shared" si="2569"/>
        <v xml:space="preserve">N711JA  </v>
      </c>
      <c r="BC5535">
        <v>1</v>
      </c>
      <c r="BE5535">
        <v>0</v>
      </c>
      <c r="BF5535">
        <v>0</v>
      </c>
      <c r="BG5535">
        <v>0</v>
      </c>
      <c r="BH5535">
        <v>1150</v>
      </c>
      <c r="BI5535">
        <v>1</v>
      </c>
      <c r="BJ5535">
        <v>1</v>
      </c>
      <c r="BK5535">
        <v>0</v>
      </c>
      <c r="BL5535">
        <v>0</v>
      </c>
      <c r="BO5535">
        <v>0</v>
      </c>
      <c r="BP5535">
        <v>0</v>
      </c>
      <c r="BW5535" t="str">
        <f t="shared" ref="BW5535:BW5542" si="2577">"14:51:32.296"</f>
        <v>14:51:32.296</v>
      </c>
      <c r="CJ5535">
        <v>0</v>
      </c>
      <c r="CK5535">
        <v>2</v>
      </c>
      <c r="CL5535">
        <v>0</v>
      </c>
      <c r="CM5535">
        <v>2</v>
      </c>
      <c r="CN5535">
        <v>0</v>
      </c>
      <c r="CO5535">
        <v>7</v>
      </c>
      <c r="CP5535" t="s">
        <v>119</v>
      </c>
      <c r="CQ5535">
        <v>343</v>
      </c>
      <c r="CR5535">
        <v>1</v>
      </c>
      <c r="CW5535">
        <v>11167116</v>
      </c>
      <c r="CY5535">
        <v>1</v>
      </c>
      <c r="CZ5535">
        <v>0</v>
      </c>
      <c r="DA5535">
        <v>0</v>
      </c>
      <c r="DB5535">
        <v>0</v>
      </c>
      <c r="DC5535">
        <v>0</v>
      </c>
      <c r="DD5535">
        <v>1</v>
      </c>
      <c r="DE5535">
        <v>0</v>
      </c>
      <c r="DF5535">
        <v>0</v>
      </c>
      <c r="DG5535">
        <v>0</v>
      </c>
      <c r="DH5535">
        <v>0</v>
      </c>
      <c r="DI5535">
        <v>0</v>
      </c>
    </row>
    <row r="5536" spans="1:113" x14ac:dyDescent="0.3">
      <c r="A5536" t="str">
        <f t="shared" si="2574"/>
        <v>05/12/2020 14:51:14.480</v>
      </c>
      <c r="C5536" t="str">
        <f t="shared" si="2568"/>
        <v>FFDFD3C0</v>
      </c>
      <c r="D5536" t="s">
        <v>113</v>
      </c>
      <c r="E5536">
        <v>3</v>
      </c>
      <c r="H5536">
        <v>164</v>
      </c>
      <c r="I5536" t="s">
        <v>114</v>
      </c>
      <c r="J5536" t="s">
        <v>115</v>
      </c>
      <c r="K5536">
        <v>0</v>
      </c>
      <c r="L5536">
        <v>3</v>
      </c>
      <c r="M5536">
        <v>0</v>
      </c>
      <c r="N5536">
        <v>2</v>
      </c>
      <c r="O5536">
        <v>1</v>
      </c>
      <c r="P5536">
        <v>0</v>
      </c>
      <c r="Q5536">
        <v>0</v>
      </c>
      <c r="S5536" t="str">
        <f t="shared" si="2575"/>
        <v>14:51:32.289</v>
      </c>
      <c r="T5536" t="str">
        <f t="shared" si="2576"/>
        <v>14:51:32.089</v>
      </c>
      <c r="U5536" t="str">
        <f t="shared" si="2559"/>
        <v>A9808D</v>
      </c>
      <c r="V5536">
        <v>0</v>
      </c>
      <c r="W5536">
        <v>0</v>
      </c>
      <c r="X5536">
        <v>1</v>
      </c>
      <c r="Z5536">
        <v>0</v>
      </c>
      <c r="AA5536">
        <v>9</v>
      </c>
      <c r="AB5536">
        <v>3</v>
      </c>
      <c r="AC5536">
        <v>0</v>
      </c>
      <c r="AD5536">
        <v>10</v>
      </c>
      <c r="AE5536">
        <v>0</v>
      </c>
      <c r="AF5536">
        <v>3</v>
      </c>
      <c r="AG5536">
        <v>2</v>
      </c>
      <c r="AH5536">
        <v>0</v>
      </c>
      <c r="AI5536" t="s">
        <v>1229</v>
      </c>
      <c r="AJ5536">
        <v>28.212097</v>
      </c>
      <c r="AK5536" t="s">
        <v>1230</v>
      </c>
      <c r="AL5536">
        <v>-82.391795999999999</v>
      </c>
      <c r="AM5536">
        <v>100</v>
      </c>
      <c r="AN5536">
        <v>1100</v>
      </c>
      <c r="AO5536" t="s">
        <v>118</v>
      </c>
      <c r="AP5536">
        <v>52</v>
      </c>
      <c r="AQ5536">
        <v>-100</v>
      </c>
      <c r="AR5536">
        <v>-704</v>
      </c>
      <c r="AZ5536">
        <v>1200</v>
      </c>
      <c r="BA5536">
        <v>1</v>
      </c>
      <c r="BB5536" t="str">
        <f t="shared" si="2569"/>
        <v xml:space="preserve">N711JA  </v>
      </c>
      <c r="BC5536">
        <v>1</v>
      </c>
      <c r="BE5536">
        <v>0</v>
      </c>
      <c r="BF5536">
        <v>0</v>
      </c>
      <c r="BG5536">
        <v>0</v>
      </c>
      <c r="BH5536">
        <v>1150</v>
      </c>
      <c r="BI5536">
        <v>1</v>
      </c>
      <c r="BJ5536">
        <v>1</v>
      </c>
      <c r="BK5536">
        <v>0</v>
      </c>
      <c r="BL5536">
        <v>0</v>
      </c>
      <c r="BO5536">
        <v>0</v>
      </c>
      <c r="BP5536">
        <v>0</v>
      </c>
      <c r="BW5536" t="str">
        <f t="shared" si="2577"/>
        <v>14:51:32.296</v>
      </c>
      <c r="CJ5536">
        <v>0</v>
      </c>
      <c r="CK5536">
        <v>2</v>
      </c>
      <c r="CL5536">
        <v>0</v>
      </c>
      <c r="CM5536">
        <v>2</v>
      </c>
      <c r="CN5536">
        <v>0</v>
      </c>
      <c r="CO5536">
        <v>7</v>
      </c>
      <c r="CP5536" t="s">
        <v>119</v>
      </c>
      <c r="CQ5536">
        <v>343</v>
      </c>
      <c r="CR5536">
        <v>1</v>
      </c>
      <c r="CW5536">
        <v>11167116</v>
      </c>
      <c r="CY5536">
        <v>1</v>
      </c>
      <c r="CZ5536">
        <v>0</v>
      </c>
      <c r="DA5536">
        <v>1</v>
      </c>
      <c r="DB5536">
        <v>0</v>
      </c>
      <c r="DC5536">
        <v>0</v>
      </c>
      <c r="DD5536">
        <v>1</v>
      </c>
      <c r="DE5536">
        <v>0</v>
      </c>
      <c r="DF5536">
        <v>0</v>
      </c>
      <c r="DG5536">
        <v>0</v>
      </c>
      <c r="DH5536">
        <v>0</v>
      </c>
      <c r="DI5536">
        <v>0</v>
      </c>
    </row>
    <row r="5537" spans="1:113" x14ac:dyDescent="0.3">
      <c r="A5537" t="str">
        <f t="shared" si="2574"/>
        <v>05/12/2020 14:51:14.480</v>
      </c>
      <c r="C5537" t="str">
        <f t="shared" si="2568"/>
        <v>FFDFD3C0</v>
      </c>
      <c r="D5537" t="s">
        <v>126</v>
      </c>
      <c r="E5537">
        <v>7</v>
      </c>
      <c r="F5537">
        <v>1007</v>
      </c>
      <c r="G5537" t="s">
        <v>127</v>
      </c>
      <c r="J5537" t="s">
        <v>128</v>
      </c>
      <c r="K5537">
        <v>0</v>
      </c>
      <c r="L5537">
        <v>3</v>
      </c>
      <c r="M5537">
        <v>0</v>
      </c>
      <c r="N5537">
        <v>2</v>
      </c>
      <c r="O5537">
        <v>1</v>
      </c>
      <c r="P5537">
        <v>0</v>
      </c>
      <c r="Q5537">
        <v>0</v>
      </c>
      <c r="S5537" t="str">
        <f t="shared" si="2575"/>
        <v>14:51:32.289</v>
      </c>
      <c r="T5537" t="str">
        <f t="shared" si="2576"/>
        <v>14:51:32.089</v>
      </c>
      <c r="U5537" t="str">
        <f t="shared" si="2559"/>
        <v>A9808D</v>
      </c>
      <c r="V5537">
        <v>0</v>
      </c>
      <c r="W5537">
        <v>0</v>
      </c>
      <c r="X5537">
        <v>1</v>
      </c>
      <c r="Z5537">
        <v>0</v>
      </c>
      <c r="AA5537">
        <v>9</v>
      </c>
      <c r="AB5537">
        <v>3</v>
      </c>
      <c r="AC5537">
        <v>0</v>
      </c>
      <c r="AD5537">
        <v>10</v>
      </c>
      <c r="AE5537">
        <v>0</v>
      </c>
      <c r="AF5537">
        <v>3</v>
      </c>
      <c r="AG5537">
        <v>2</v>
      </c>
      <c r="AH5537">
        <v>0</v>
      </c>
      <c r="AI5537" t="s">
        <v>1229</v>
      </c>
      <c r="AJ5537">
        <v>28.212097</v>
      </c>
      <c r="AK5537" t="s">
        <v>1230</v>
      </c>
      <c r="AL5537">
        <v>-82.391795999999999</v>
      </c>
      <c r="AM5537">
        <v>100</v>
      </c>
      <c r="AN5537">
        <v>1100</v>
      </c>
      <c r="AO5537" t="s">
        <v>118</v>
      </c>
      <c r="AP5537">
        <v>52</v>
      </c>
      <c r="AQ5537">
        <v>-100</v>
      </c>
      <c r="AR5537">
        <v>-704</v>
      </c>
      <c r="AZ5537">
        <v>1200</v>
      </c>
      <c r="BA5537">
        <v>1</v>
      </c>
      <c r="BB5537" t="str">
        <f t="shared" si="2569"/>
        <v xml:space="preserve">N711JA  </v>
      </c>
      <c r="BC5537">
        <v>1</v>
      </c>
      <c r="BE5537">
        <v>0</v>
      </c>
      <c r="BF5537">
        <v>0</v>
      </c>
      <c r="BG5537">
        <v>0</v>
      </c>
      <c r="BH5537">
        <v>1150</v>
      </c>
      <c r="BI5537">
        <v>1</v>
      </c>
      <c r="BJ5537">
        <v>1</v>
      </c>
      <c r="BK5537">
        <v>0</v>
      </c>
      <c r="BL5537">
        <v>0</v>
      </c>
      <c r="BO5537">
        <v>0</v>
      </c>
      <c r="BP5537">
        <v>0</v>
      </c>
      <c r="BW5537" t="str">
        <f t="shared" si="2577"/>
        <v>14:51:32.296</v>
      </c>
      <c r="CJ5537">
        <v>0</v>
      </c>
      <c r="CK5537">
        <v>2</v>
      </c>
      <c r="CL5537">
        <v>0</v>
      </c>
      <c r="CM5537">
        <v>2</v>
      </c>
      <c r="CN5537">
        <v>0</v>
      </c>
      <c r="CO5537">
        <v>7</v>
      </c>
      <c r="CP5537" t="s">
        <v>119</v>
      </c>
      <c r="CQ5537">
        <v>343</v>
      </c>
      <c r="CR5537">
        <v>1</v>
      </c>
      <c r="CW5537">
        <v>11167116</v>
      </c>
      <c r="CY5537">
        <v>1</v>
      </c>
      <c r="CZ5537">
        <v>0</v>
      </c>
      <c r="DA5537">
        <v>1</v>
      </c>
      <c r="DB5537">
        <v>0</v>
      </c>
      <c r="DC5537">
        <v>0</v>
      </c>
      <c r="DD5537">
        <v>1</v>
      </c>
      <c r="DE5537">
        <v>0</v>
      </c>
      <c r="DF5537">
        <v>0</v>
      </c>
      <c r="DG5537">
        <v>0</v>
      </c>
      <c r="DH5537">
        <v>0</v>
      </c>
      <c r="DI5537">
        <v>0</v>
      </c>
    </row>
    <row r="5538" spans="1:113" x14ac:dyDescent="0.3">
      <c r="A5538" t="str">
        <f t="shared" si="2574"/>
        <v>05/12/2020 14:51:14.480</v>
      </c>
      <c r="C5538" t="str">
        <f t="shared" si="2568"/>
        <v>FFDFD3C0</v>
      </c>
      <c r="D5538" t="s">
        <v>131</v>
      </c>
      <c r="E5538">
        <v>10</v>
      </c>
      <c r="F5538">
        <v>2010</v>
      </c>
      <c r="G5538" t="s">
        <v>132</v>
      </c>
      <c r="J5538" t="s">
        <v>133</v>
      </c>
      <c r="K5538">
        <v>0</v>
      </c>
      <c r="L5538">
        <v>3</v>
      </c>
      <c r="M5538">
        <v>0</v>
      </c>
      <c r="N5538">
        <v>2</v>
      </c>
      <c r="O5538">
        <v>1</v>
      </c>
      <c r="P5538">
        <v>0</v>
      </c>
      <c r="Q5538">
        <v>0</v>
      </c>
      <c r="S5538" t="str">
        <f t="shared" si="2575"/>
        <v>14:51:32.289</v>
      </c>
      <c r="T5538" t="str">
        <f t="shared" si="2576"/>
        <v>14:51:32.089</v>
      </c>
      <c r="U5538" t="str">
        <f t="shared" si="2559"/>
        <v>A9808D</v>
      </c>
      <c r="V5538">
        <v>0</v>
      </c>
      <c r="W5538">
        <v>0</v>
      </c>
      <c r="X5538">
        <v>1</v>
      </c>
      <c r="Z5538">
        <v>0</v>
      </c>
      <c r="AA5538">
        <v>9</v>
      </c>
      <c r="AB5538">
        <v>3</v>
      </c>
      <c r="AC5538">
        <v>0</v>
      </c>
      <c r="AD5538">
        <v>10</v>
      </c>
      <c r="AE5538">
        <v>0</v>
      </c>
      <c r="AF5538">
        <v>3</v>
      </c>
      <c r="AG5538">
        <v>2</v>
      </c>
      <c r="AH5538">
        <v>0</v>
      </c>
      <c r="AI5538" t="s">
        <v>1229</v>
      </c>
      <c r="AJ5538">
        <v>28.212097</v>
      </c>
      <c r="AK5538" t="s">
        <v>1230</v>
      </c>
      <c r="AL5538">
        <v>-82.391795999999999</v>
      </c>
      <c r="AM5538">
        <v>100</v>
      </c>
      <c r="AN5538">
        <v>1100</v>
      </c>
      <c r="AO5538" t="s">
        <v>118</v>
      </c>
      <c r="AP5538">
        <v>52</v>
      </c>
      <c r="AQ5538">
        <v>-100</v>
      </c>
      <c r="AR5538">
        <v>-704</v>
      </c>
      <c r="AZ5538">
        <v>1200</v>
      </c>
      <c r="BA5538">
        <v>1</v>
      </c>
      <c r="BB5538" t="str">
        <f t="shared" si="2569"/>
        <v xml:space="preserve">N711JA  </v>
      </c>
      <c r="BC5538">
        <v>1</v>
      </c>
      <c r="BE5538">
        <v>0</v>
      </c>
      <c r="BF5538">
        <v>0</v>
      </c>
      <c r="BG5538">
        <v>0</v>
      </c>
      <c r="BH5538">
        <v>1150</v>
      </c>
      <c r="BI5538">
        <v>1</v>
      </c>
      <c r="BJ5538">
        <v>1</v>
      </c>
      <c r="BK5538">
        <v>0</v>
      </c>
      <c r="BL5538">
        <v>0</v>
      </c>
      <c r="BO5538">
        <v>0</v>
      </c>
      <c r="BP5538">
        <v>0</v>
      </c>
      <c r="BW5538" t="str">
        <f t="shared" si="2577"/>
        <v>14:51:32.296</v>
      </c>
      <c r="CJ5538">
        <v>0</v>
      </c>
      <c r="CK5538">
        <v>2</v>
      </c>
      <c r="CL5538">
        <v>0</v>
      </c>
      <c r="CM5538">
        <v>2</v>
      </c>
      <c r="CN5538">
        <v>0</v>
      </c>
      <c r="CO5538">
        <v>7</v>
      </c>
      <c r="CP5538" t="s">
        <v>119</v>
      </c>
      <c r="CQ5538">
        <v>343</v>
      </c>
      <c r="CR5538">
        <v>1</v>
      </c>
      <c r="CW5538">
        <v>11167116</v>
      </c>
      <c r="CY5538">
        <v>1</v>
      </c>
      <c r="CZ5538">
        <v>0</v>
      </c>
      <c r="DA5538">
        <v>1</v>
      </c>
      <c r="DB5538">
        <v>0</v>
      </c>
      <c r="DC5538">
        <v>0</v>
      </c>
      <c r="DD5538">
        <v>1</v>
      </c>
      <c r="DE5538">
        <v>0</v>
      </c>
      <c r="DF5538">
        <v>0</v>
      </c>
      <c r="DG5538">
        <v>0</v>
      </c>
      <c r="DH5538">
        <v>0</v>
      </c>
      <c r="DI5538">
        <v>0</v>
      </c>
    </row>
    <row r="5539" spans="1:113" x14ac:dyDescent="0.3">
      <c r="A5539" t="str">
        <f t="shared" si="2574"/>
        <v>05/12/2020 14:51:14.480</v>
      </c>
      <c r="C5539" t="str">
        <f t="shared" si="2568"/>
        <v>FFDFD3C0</v>
      </c>
      <c r="D5539" t="s">
        <v>131</v>
      </c>
      <c r="E5539">
        <v>12</v>
      </c>
      <c r="F5539">
        <v>2012</v>
      </c>
      <c r="G5539" t="s">
        <v>137</v>
      </c>
      <c r="J5539" t="s">
        <v>133</v>
      </c>
      <c r="K5539">
        <v>0</v>
      </c>
      <c r="L5539">
        <v>3</v>
      </c>
      <c r="M5539">
        <v>0</v>
      </c>
      <c r="N5539">
        <v>2</v>
      </c>
      <c r="O5539">
        <v>1</v>
      </c>
      <c r="P5539">
        <v>0</v>
      </c>
      <c r="Q5539">
        <v>0</v>
      </c>
      <c r="S5539" t="str">
        <f t="shared" si="2575"/>
        <v>14:51:32.289</v>
      </c>
      <c r="T5539" t="str">
        <f t="shared" si="2576"/>
        <v>14:51:32.089</v>
      </c>
      <c r="U5539" t="str">
        <f t="shared" si="2559"/>
        <v>A9808D</v>
      </c>
      <c r="V5539">
        <v>0</v>
      </c>
      <c r="W5539">
        <v>0</v>
      </c>
      <c r="X5539">
        <v>1</v>
      </c>
      <c r="Z5539">
        <v>0</v>
      </c>
      <c r="AA5539">
        <v>9</v>
      </c>
      <c r="AB5539">
        <v>3</v>
      </c>
      <c r="AC5539">
        <v>0</v>
      </c>
      <c r="AD5539">
        <v>10</v>
      </c>
      <c r="AE5539">
        <v>0</v>
      </c>
      <c r="AF5539">
        <v>3</v>
      </c>
      <c r="AG5539">
        <v>2</v>
      </c>
      <c r="AH5539">
        <v>0</v>
      </c>
      <c r="AI5539" t="s">
        <v>1229</v>
      </c>
      <c r="AJ5539">
        <v>28.212097</v>
      </c>
      <c r="AK5539" t="s">
        <v>1230</v>
      </c>
      <c r="AL5539">
        <v>-82.391795999999999</v>
      </c>
      <c r="AM5539">
        <v>100</v>
      </c>
      <c r="AN5539">
        <v>1100</v>
      </c>
      <c r="AO5539" t="s">
        <v>118</v>
      </c>
      <c r="AP5539">
        <v>52</v>
      </c>
      <c r="AQ5539">
        <v>-100</v>
      </c>
      <c r="AR5539">
        <v>-704</v>
      </c>
      <c r="AZ5539">
        <v>1200</v>
      </c>
      <c r="BA5539">
        <v>1</v>
      </c>
      <c r="BB5539" t="str">
        <f t="shared" si="2569"/>
        <v xml:space="preserve">N711JA  </v>
      </c>
      <c r="BC5539">
        <v>1</v>
      </c>
      <c r="BE5539">
        <v>0</v>
      </c>
      <c r="BF5539">
        <v>0</v>
      </c>
      <c r="BG5539">
        <v>0</v>
      </c>
      <c r="BH5539">
        <v>1150</v>
      </c>
      <c r="BI5539">
        <v>1</v>
      </c>
      <c r="BJ5539">
        <v>1</v>
      </c>
      <c r="BK5539">
        <v>0</v>
      </c>
      <c r="BL5539">
        <v>0</v>
      </c>
      <c r="BO5539">
        <v>0</v>
      </c>
      <c r="BP5539">
        <v>0</v>
      </c>
      <c r="BW5539" t="str">
        <f t="shared" si="2577"/>
        <v>14:51:32.296</v>
      </c>
      <c r="CJ5539">
        <v>0</v>
      </c>
      <c r="CK5539">
        <v>2</v>
      </c>
      <c r="CL5539">
        <v>0</v>
      </c>
      <c r="CM5539">
        <v>2</v>
      </c>
      <c r="CN5539">
        <v>0</v>
      </c>
      <c r="CO5539">
        <v>7</v>
      </c>
      <c r="CP5539" t="s">
        <v>119</v>
      </c>
      <c r="CQ5539">
        <v>343</v>
      </c>
      <c r="CR5539">
        <v>1</v>
      </c>
      <c r="CW5539">
        <v>11167116</v>
      </c>
      <c r="CY5539">
        <v>1</v>
      </c>
      <c r="CZ5539">
        <v>0</v>
      </c>
      <c r="DA5539">
        <v>1</v>
      </c>
      <c r="DB5539">
        <v>0</v>
      </c>
      <c r="DC5539">
        <v>0</v>
      </c>
      <c r="DD5539">
        <v>1</v>
      </c>
      <c r="DE5539">
        <v>0</v>
      </c>
      <c r="DF5539">
        <v>0</v>
      </c>
      <c r="DG5539">
        <v>0</v>
      </c>
      <c r="DH5539">
        <v>0</v>
      </c>
      <c r="DI5539">
        <v>0</v>
      </c>
    </row>
    <row r="5540" spans="1:113" x14ac:dyDescent="0.3">
      <c r="A5540" t="str">
        <f t="shared" si="2574"/>
        <v>05/12/2020 14:51:14.480</v>
      </c>
      <c r="C5540" t="str">
        <f t="shared" si="2568"/>
        <v>FFDFD3C0</v>
      </c>
      <c r="D5540" t="s">
        <v>138</v>
      </c>
      <c r="E5540">
        <v>2</v>
      </c>
      <c r="H5540">
        <v>8</v>
      </c>
      <c r="I5540" t="s">
        <v>139</v>
      </c>
      <c r="J5540" t="s">
        <v>136</v>
      </c>
      <c r="K5540">
        <v>0</v>
      </c>
      <c r="L5540">
        <v>3</v>
      </c>
      <c r="M5540">
        <v>0</v>
      </c>
      <c r="N5540">
        <v>2</v>
      </c>
      <c r="O5540">
        <v>1</v>
      </c>
      <c r="P5540">
        <v>0</v>
      </c>
      <c r="Q5540">
        <v>0</v>
      </c>
      <c r="S5540" t="str">
        <f t="shared" si="2575"/>
        <v>14:51:32.289</v>
      </c>
      <c r="T5540" t="str">
        <f t="shared" si="2576"/>
        <v>14:51:32.089</v>
      </c>
      <c r="U5540" t="str">
        <f t="shared" si="2559"/>
        <v>A9808D</v>
      </c>
      <c r="V5540">
        <v>0</v>
      </c>
      <c r="W5540">
        <v>0</v>
      </c>
      <c r="X5540">
        <v>1</v>
      </c>
      <c r="Z5540">
        <v>0</v>
      </c>
      <c r="AA5540">
        <v>9</v>
      </c>
      <c r="AB5540">
        <v>3</v>
      </c>
      <c r="AC5540">
        <v>0</v>
      </c>
      <c r="AD5540">
        <v>10</v>
      </c>
      <c r="AE5540">
        <v>0</v>
      </c>
      <c r="AF5540">
        <v>3</v>
      </c>
      <c r="AG5540">
        <v>2</v>
      </c>
      <c r="AH5540">
        <v>0</v>
      </c>
      <c r="AI5540" t="s">
        <v>1229</v>
      </c>
      <c r="AJ5540">
        <v>28.212097</v>
      </c>
      <c r="AK5540" t="s">
        <v>1230</v>
      </c>
      <c r="AL5540">
        <v>-82.391795999999999</v>
      </c>
      <c r="AM5540">
        <v>100</v>
      </c>
      <c r="AN5540">
        <v>1100</v>
      </c>
      <c r="AO5540" t="s">
        <v>118</v>
      </c>
      <c r="AP5540">
        <v>52</v>
      </c>
      <c r="AQ5540">
        <v>-100</v>
      </c>
      <c r="AR5540">
        <v>-704</v>
      </c>
      <c r="AZ5540">
        <v>1200</v>
      </c>
      <c r="BA5540">
        <v>1</v>
      </c>
      <c r="BB5540" t="str">
        <f t="shared" si="2569"/>
        <v xml:space="preserve">N711JA  </v>
      </c>
      <c r="BC5540">
        <v>1</v>
      </c>
      <c r="BE5540">
        <v>0</v>
      </c>
      <c r="BF5540">
        <v>0</v>
      </c>
      <c r="BG5540">
        <v>0</v>
      </c>
      <c r="BH5540">
        <v>1150</v>
      </c>
      <c r="BI5540">
        <v>1</v>
      </c>
      <c r="BJ5540">
        <v>1</v>
      </c>
      <c r="BK5540">
        <v>0</v>
      </c>
      <c r="BL5540">
        <v>0</v>
      </c>
      <c r="BO5540">
        <v>0</v>
      </c>
      <c r="BP5540">
        <v>0</v>
      </c>
      <c r="BW5540" t="str">
        <f t="shared" si="2577"/>
        <v>14:51:32.296</v>
      </c>
      <c r="CJ5540">
        <v>0</v>
      </c>
      <c r="CK5540">
        <v>2</v>
      </c>
      <c r="CL5540">
        <v>0</v>
      </c>
      <c r="CM5540">
        <v>2</v>
      </c>
      <c r="CN5540">
        <v>0</v>
      </c>
      <c r="CO5540">
        <v>7</v>
      </c>
      <c r="CP5540" t="s">
        <v>119</v>
      </c>
      <c r="CQ5540">
        <v>343</v>
      </c>
      <c r="CR5540">
        <v>1</v>
      </c>
      <c r="CW5540">
        <v>11167116</v>
      </c>
      <c r="CY5540">
        <v>1</v>
      </c>
      <c r="CZ5540">
        <v>0</v>
      </c>
      <c r="DA5540">
        <v>1</v>
      </c>
      <c r="DB5540">
        <v>0</v>
      </c>
      <c r="DC5540">
        <v>0</v>
      </c>
      <c r="DD5540">
        <v>1</v>
      </c>
      <c r="DE5540">
        <v>0</v>
      </c>
      <c r="DF5540">
        <v>0</v>
      </c>
      <c r="DG5540">
        <v>0</v>
      </c>
      <c r="DH5540">
        <v>0</v>
      </c>
      <c r="DI5540">
        <v>0</v>
      </c>
    </row>
    <row r="5541" spans="1:113" x14ac:dyDescent="0.3">
      <c r="A5541" t="str">
        <f t="shared" si="2574"/>
        <v>05/12/2020 14:51:14.480</v>
      </c>
      <c r="C5541" t="str">
        <f t="shared" si="2568"/>
        <v>FFDFD3C0</v>
      </c>
      <c r="D5541" t="s">
        <v>138</v>
      </c>
      <c r="E5541">
        <v>3</v>
      </c>
      <c r="H5541">
        <v>9</v>
      </c>
      <c r="I5541" t="s">
        <v>140</v>
      </c>
      <c r="J5541" t="s">
        <v>136</v>
      </c>
      <c r="K5541">
        <v>0</v>
      </c>
      <c r="L5541">
        <v>3</v>
      </c>
      <c r="M5541">
        <v>0</v>
      </c>
      <c r="N5541">
        <v>2</v>
      </c>
      <c r="O5541">
        <v>1</v>
      </c>
      <c r="P5541">
        <v>0</v>
      </c>
      <c r="Q5541">
        <v>0</v>
      </c>
      <c r="S5541" t="str">
        <f t="shared" si="2575"/>
        <v>14:51:32.289</v>
      </c>
      <c r="T5541" t="str">
        <f t="shared" si="2576"/>
        <v>14:51:32.089</v>
      </c>
      <c r="U5541" t="str">
        <f t="shared" si="2559"/>
        <v>A9808D</v>
      </c>
      <c r="V5541">
        <v>0</v>
      </c>
      <c r="W5541">
        <v>0</v>
      </c>
      <c r="X5541">
        <v>1</v>
      </c>
      <c r="Z5541">
        <v>0</v>
      </c>
      <c r="AA5541">
        <v>9</v>
      </c>
      <c r="AB5541">
        <v>3</v>
      </c>
      <c r="AC5541">
        <v>0</v>
      </c>
      <c r="AD5541">
        <v>10</v>
      </c>
      <c r="AE5541">
        <v>0</v>
      </c>
      <c r="AF5541">
        <v>3</v>
      </c>
      <c r="AG5541">
        <v>2</v>
      </c>
      <c r="AH5541">
        <v>0</v>
      </c>
      <c r="AI5541" t="s">
        <v>1229</v>
      </c>
      <c r="AJ5541">
        <v>28.212097</v>
      </c>
      <c r="AK5541" t="s">
        <v>1230</v>
      </c>
      <c r="AL5541">
        <v>-82.391795999999999</v>
      </c>
      <c r="AM5541">
        <v>100</v>
      </c>
      <c r="AN5541">
        <v>1100</v>
      </c>
      <c r="AO5541" t="s">
        <v>118</v>
      </c>
      <c r="AP5541">
        <v>52</v>
      </c>
      <c r="AQ5541">
        <v>-100</v>
      </c>
      <c r="AR5541">
        <v>-704</v>
      </c>
      <c r="AZ5541">
        <v>1200</v>
      </c>
      <c r="BA5541">
        <v>1</v>
      </c>
      <c r="BB5541" t="str">
        <f t="shared" si="2569"/>
        <v xml:space="preserve">N711JA  </v>
      </c>
      <c r="BC5541">
        <v>1</v>
      </c>
      <c r="BE5541">
        <v>0</v>
      </c>
      <c r="BF5541">
        <v>0</v>
      </c>
      <c r="BG5541">
        <v>0</v>
      </c>
      <c r="BH5541">
        <v>1150</v>
      </c>
      <c r="BI5541">
        <v>1</v>
      </c>
      <c r="BJ5541">
        <v>1</v>
      </c>
      <c r="BK5541">
        <v>0</v>
      </c>
      <c r="BL5541">
        <v>0</v>
      </c>
      <c r="BO5541">
        <v>0</v>
      </c>
      <c r="BP5541">
        <v>0</v>
      </c>
      <c r="BW5541" t="str">
        <f t="shared" si="2577"/>
        <v>14:51:32.296</v>
      </c>
      <c r="CJ5541">
        <v>0</v>
      </c>
      <c r="CK5541">
        <v>2</v>
      </c>
      <c r="CL5541">
        <v>0</v>
      </c>
      <c r="CM5541">
        <v>2</v>
      </c>
      <c r="CN5541">
        <v>0</v>
      </c>
      <c r="CO5541">
        <v>7</v>
      </c>
      <c r="CP5541" t="s">
        <v>119</v>
      </c>
      <c r="CQ5541">
        <v>343</v>
      </c>
      <c r="CR5541">
        <v>1</v>
      </c>
      <c r="CW5541">
        <v>11167116</v>
      </c>
      <c r="CY5541">
        <v>1</v>
      </c>
      <c r="CZ5541">
        <v>0</v>
      </c>
      <c r="DA5541">
        <v>1</v>
      </c>
      <c r="DB5541">
        <v>0</v>
      </c>
      <c r="DC5541">
        <v>0</v>
      </c>
      <c r="DD5541">
        <v>1</v>
      </c>
      <c r="DE5541">
        <v>0</v>
      </c>
      <c r="DF5541">
        <v>0</v>
      </c>
      <c r="DG5541">
        <v>0</v>
      </c>
      <c r="DH5541">
        <v>0</v>
      </c>
      <c r="DI5541">
        <v>0</v>
      </c>
    </row>
    <row r="5542" spans="1:113" x14ac:dyDescent="0.3">
      <c r="A5542" t="str">
        <f t="shared" si="2574"/>
        <v>05/12/2020 14:51:14.480</v>
      </c>
      <c r="C5542" t="str">
        <f t="shared" si="2568"/>
        <v>FFDFD3C0</v>
      </c>
      <c r="D5542" t="s">
        <v>126</v>
      </c>
      <c r="E5542">
        <v>6</v>
      </c>
      <c r="F5542">
        <v>1006</v>
      </c>
      <c r="G5542" t="s">
        <v>114</v>
      </c>
      <c r="J5542" t="s">
        <v>128</v>
      </c>
      <c r="K5542">
        <v>0</v>
      </c>
      <c r="L5542">
        <v>3</v>
      </c>
      <c r="M5542">
        <v>0</v>
      </c>
      <c r="N5542">
        <v>2</v>
      </c>
      <c r="O5542">
        <v>1</v>
      </c>
      <c r="P5542">
        <v>0</v>
      </c>
      <c r="Q5542">
        <v>0</v>
      </c>
      <c r="S5542" t="str">
        <f t="shared" si="2575"/>
        <v>14:51:32.289</v>
      </c>
      <c r="T5542" t="str">
        <f t="shared" si="2576"/>
        <v>14:51:32.089</v>
      </c>
      <c r="U5542" t="str">
        <f t="shared" si="2559"/>
        <v>A9808D</v>
      </c>
      <c r="V5542">
        <v>0</v>
      </c>
      <c r="W5542">
        <v>0</v>
      </c>
      <c r="X5542">
        <v>1</v>
      </c>
      <c r="Z5542">
        <v>0</v>
      </c>
      <c r="AA5542">
        <v>9</v>
      </c>
      <c r="AB5542">
        <v>3</v>
      </c>
      <c r="AC5542">
        <v>0</v>
      </c>
      <c r="AD5542">
        <v>10</v>
      </c>
      <c r="AE5542">
        <v>0</v>
      </c>
      <c r="AF5542">
        <v>3</v>
      </c>
      <c r="AG5542">
        <v>2</v>
      </c>
      <c r="AH5542">
        <v>0</v>
      </c>
      <c r="AI5542" t="s">
        <v>1229</v>
      </c>
      <c r="AJ5542">
        <v>28.212097</v>
      </c>
      <c r="AK5542" t="s">
        <v>1230</v>
      </c>
      <c r="AL5542">
        <v>-82.391795999999999</v>
      </c>
      <c r="AM5542">
        <v>100</v>
      </c>
      <c r="AN5542">
        <v>1100</v>
      </c>
      <c r="AO5542" t="s">
        <v>118</v>
      </c>
      <c r="AP5542">
        <v>52</v>
      </c>
      <c r="AQ5542">
        <v>-100</v>
      </c>
      <c r="AR5542">
        <v>-704</v>
      </c>
      <c r="AZ5542">
        <v>1200</v>
      </c>
      <c r="BA5542">
        <v>1</v>
      </c>
      <c r="BB5542" t="str">
        <f t="shared" si="2569"/>
        <v xml:space="preserve">N711JA  </v>
      </c>
      <c r="BC5542">
        <v>1</v>
      </c>
      <c r="BE5542">
        <v>0</v>
      </c>
      <c r="BF5542">
        <v>0</v>
      </c>
      <c r="BG5542">
        <v>0</v>
      </c>
      <c r="BH5542">
        <v>1150</v>
      </c>
      <c r="BI5542">
        <v>1</v>
      </c>
      <c r="BJ5542">
        <v>1</v>
      </c>
      <c r="BK5542">
        <v>0</v>
      </c>
      <c r="BL5542">
        <v>0</v>
      </c>
      <c r="BO5542">
        <v>0</v>
      </c>
      <c r="BP5542">
        <v>0</v>
      </c>
      <c r="BW5542" t="str">
        <f t="shared" si="2577"/>
        <v>14:51:32.296</v>
      </c>
      <c r="CJ5542">
        <v>0</v>
      </c>
      <c r="CK5542">
        <v>2</v>
      </c>
      <c r="CL5542">
        <v>0</v>
      </c>
      <c r="CM5542">
        <v>2</v>
      </c>
      <c r="CN5542">
        <v>0</v>
      </c>
      <c r="CO5542">
        <v>7</v>
      </c>
      <c r="CP5542" t="s">
        <v>119</v>
      </c>
      <c r="CQ5542">
        <v>343</v>
      </c>
      <c r="CR5542">
        <v>1</v>
      </c>
      <c r="CW5542">
        <v>11167116</v>
      </c>
      <c r="CY5542">
        <v>1</v>
      </c>
      <c r="CZ5542">
        <v>0</v>
      </c>
      <c r="DA5542">
        <v>1</v>
      </c>
      <c r="DB5542">
        <v>0</v>
      </c>
      <c r="DC5542">
        <v>0</v>
      </c>
      <c r="DD5542">
        <v>1</v>
      </c>
      <c r="DE5542">
        <v>0</v>
      </c>
      <c r="DF5542">
        <v>0</v>
      </c>
      <c r="DG5542">
        <v>0</v>
      </c>
      <c r="DH5542">
        <v>0</v>
      </c>
      <c r="DI5542">
        <v>0</v>
      </c>
    </row>
    <row r="5543" spans="1:113" x14ac:dyDescent="0.3">
      <c r="A5543" t="str">
        <f t="shared" ref="A5543:A5550" si="2578">"05/12/2020 14:51:15.494"</f>
        <v>05/12/2020 14:51:15.494</v>
      </c>
      <c r="C5543" t="str">
        <f t="shared" si="2568"/>
        <v>FFDFD3C0</v>
      </c>
      <c r="D5543" t="s">
        <v>134</v>
      </c>
      <c r="E5543">
        <v>12</v>
      </c>
      <c r="H5543">
        <v>64</v>
      </c>
      <c r="I5543" t="s">
        <v>135</v>
      </c>
      <c r="J5543" t="s">
        <v>136</v>
      </c>
      <c r="K5543">
        <v>0</v>
      </c>
      <c r="L5543">
        <v>3</v>
      </c>
      <c r="M5543">
        <v>0</v>
      </c>
      <c r="N5543">
        <v>2</v>
      </c>
      <c r="O5543">
        <v>1</v>
      </c>
      <c r="P5543">
        <v>0</v>
      </c>
      <c r="Q5543">
        <v>0</v>
      </c>
      <c r="S5543" t="str">
        <f t="shared" ref="S5543:S5550" si="2579">"14:51:33.297"</f>
        <v>14:51:33.297</v>
      </c>
      <c r="T5543" t="str">
        <f t="shared" ref="T5543:T5550" si="2580">"14:51:32.997"</f>
        <v>14:51:32.997</v>
      </c>
      <c r="U5543" t="str">
        <f t="shared" si="2559"/>
        <v>A9808D</v>
      </c>
      <c r="V5543">
        <v>0</v>
      </c>
      <c r="W5543">
        <v>0</v>
      </c>
      <c r="X5543">
        <v>1</v>
      </c>
      <c r="Z5543">
        <v>0</v>
      </c>
      <c r="AA5543">
        <v>9</v>
      </c>
      <c r="AB5543">
        <v>3</v>
      </c>
      <c r="AC5543">
        <v>0</v>
      </c>
      <c r="AD5543">
        <v>10</v>
      </c>
      <c r="AE5543">
        <v>0</v>
      </c>
      <c r="AF5543">
        <v>3</v>
      </c>
      <c r="AG5543">
        <v>2</v>
      </c>
      <c r="AH5543">
        <v>0</v>
      </c>
      <c r="AI5543" t="s">
        <v>1231</v>
      </c>
      <c r="AJ5543">
        <v>28.211689</v>
      </c>
      <c r="AK5543" t="s">
        <v>1232</v>
      </c>
      <c r="AL5543">
        <v>-82.391474000000002</v>
      </c>
      <c r="AM5543">
        <v>100</v>
      </c>
      <c r="AN5543">
        <v>1100</v>
      </c>
      <c r="AO5543" t="s">
        <v>118</v>
      </c>
      <c r="AP5543">
        <v>56</v>
      </c>
      <c r="AQ5543">
        <v>-97</v>
      </c>
      <c r="AR5543">
        <v>-832</v>
      </c>
      <c r="AZ5543">
        <v>1200</v>
      </c>
      <c r="BA5543">
        <v>1</v>
      </c>
      <c r="BB5543" t="str">
        <f t="shared" si="2569"/>
        <v xml:space="preserve">N711JA  </v>
      </c>
      <c r="BC5543">
        <v>1</v>
      </c>
      <c r="BE5543">
        <v>0</v>
      </c>
      <c r="BF5543">
        <v>0</v>
      </c>
      <c r="BG5543">
        <v>0</v>
      </c>
      <c r="BH5543">
        <v>1150</v>
      </c>
      <c r="BI5543">
        <v>1</v>
      </c>
      <c r="BJ5543">
        <v>1</v>
      </c>
      <c r="BK5543">
        <v>0</v>
      </c>
      <c r="BL5543">
        <v>0</v>
      </c>
      <c r="BO5543">
        <v>0</v>
      </c>
      <c r="BP5543">
        <v>0</v>
      </c>
      <c r="BW5543" t="str">
        <f t="shared" ref="BW5543:BW5550" si="2581">"14:51:33.304"</f>
        <v>14:51:33.304</v>
      </c>
      <c r="CJ5543">
        <v>0</v>
      </c>
      <c r="CK5543">
        <v>2</v>
      </c>
      <c r="CL5543">
        <v>0</v>
      </c>
      <c r="CM5543">
        <v>2</v>
      </c>
      <c r="CN5543">
        <v>0</v>
      </c>
      <c r="CO5543">
        <v>7</v>
      </c>
      <c r="CP5543" t="s">
        <v>119</v>
      </c>
      <c r="CQ5543">
        <v>343</v>
      </c>
      <c r="CR5543">
        <v>1</v>
      </c>
      <c r="CW5543">
        <v>11168188</v>
      </c>
      <c r="CY5543">
        <v>1</v>
      </c>
      <c r="CZ5543">
        <v>0</v>
      </c>
      <c r="DA5543">
        <v>0</v>
      </c>
      <c r="DB5543">
        <v>0</v>
      </c>
      <c r="DC5543">
        <v>0</v>
      </c>
      <c r="DD5543">
        <v>1</v>
      </c>
      <c r="DE5543">
        <v>0</v>
      </c>
      <c r="DF5543">
        <v>0</v>
      </c>
      <c r="DG5543">
        <v>0</v>
      </c>
      <c r="DH5543">
        <v>0</v>
      </c>
      <c r="DI5543">
        <v>0</v>
      </c>
    </row>
    <row r="5544" spans="1:113" x14ac:dyDescent="0.3">
      <c r="A5544" t="str">
        <f t="shared" si="2578"/>
        <v>05/12/2020 14:51:15.494</v>
      </c>
      <c r="C5544" t="str">
        <f t="shared" si="2568"/>
        <v>FFDFD3C0</v>
      </c>
      <c r="D5544" t="s">
        <v>126</v>
      </c>
      <c r="E5544">
        <v>7</v>
      </c>
      <c r="F5544">
        <v>1007</v>
      </c>
      <c r="G5544" t="s">
        <v>127</v>
      </c>
      <c r="J5544" t="s">
        <v>128</v>
      </c>
      <c r="K5544">
        <v>0</v>
      </c>
      <c r="L5544">
        <v>3</v>
      </c>
      <c r="M5544">
        <v>0</v>
      </c>
      <c r="N5544">
        <v>2</v>
      </c>
      <c r="O5544">
        <v>1</v>
      </c>
      <c r="P5544">
        <v>0</v>
      </c>
      <c r="Q5544">
        <v>0</v>
      </c>
      <c r="S5544" t="str">
        <f t="shared" si="2579"/>
        <v>14:51:33.297</v>
      </c>
      <c r="T5544" t="str">
        <f t="shared" si="2580"/>
        <v>14:51:32.997</v>
      </c>
      <c r="U5544" t="str">
        <f t="shared" si="2559"/>
        <v>A9808D</v>
      </c>
      <c r="V5544">
        <v>0</v>
      </c>
      <c r="W5544">
        <v>0</v>
      </c>
      <c r="X5544">
        <v>1</v>
      </c>
      <c r="Z5544">
        <v>0</v>
      </c>
      <c r="AA5544">
        <v>9</v>
      </c>
      <c r="AB5544">
        <v>3</v>
      </c>
      <c r="AC5544">
        <v>0</v>
      </c>
      <c r="AD5544">
        <v>10</v>
      </c>
      <c r="AE5544">
        <v>0</v>
      </c>
      <c r="AF5544">
        <v>3</v>
      </c>
      <c r="AG5544">
        <v>2</v>
      </c>
      <c r="AH5544">
        <v>0</v>
      </c>
      <c r="AI5544" t="s">
        <v>1231</v>
      </c>
      <c r="AJ5544">
        <v>28.211689</v>
      </c>
      <c r="AK5544" t="s">
        <v>1232</v>
      </c>
      <c r="AL5544">
        <v>-82.391474000000002</v>
      </c>
      <c r="AM5544">
        <v>100</v>
      </c>
      <c r="AN5544">
        <v>1100</v>
      </c>
      <c r="AO5544" t="s">
        <v>118</v>
      </c>
      <c r="AP5544">
        <v>56</v>
      </c>
      <c r="AQ5544">
        <v>-97</v>
      </c>
      <c r="AR5544">
        <v>-832</v>
      </c>
      <c r="AZ5544">
        <v>1200</v>
      </c>
      <c r="BA5544">
        <v>1</v>
      </c>
      <c r="BB5544" t="str">
        <f t="shared" si="2569"/>
        <v xml:space="preserve">N711JA  </v>
      </c>
      <c r="BC5544">
        <v>1</v>
      </c>
      <c r="BE5544">
        <v>0</v>
      </c>
      <c r="BF5544">
        <v>0</v>
      </c>
      <c r="BG5544">
        <v>0</v>
      </c>
      <c r="BH5544">
        <v>1150</v>
      </c>
      <c r="BI5544">
        <v>1</v>
      </c>
      <c r="BJ5544">
        <v>1</v>
      </c>
      <c r="BK5544">
        <v>0</v>
      </c>
      <c r="BL5544">
        <v>0</v>
      </c>
      <c r="BO5544">
        <v>0</v>
      </c>
      <c r="BP5544">
        <v>0</v>
      </c>
      <c r="BW5544" t="str">
        <f t="shared" si="2581"/>
        <v>14:51:33.304</v>
      </c>
      <c r="CJ5544">
        <v>0</v>
      </c>
      <c r="CK5544">
        <v>2</v>
      </c>
      <c r="CL5544">
        <v>0</v>
      </c>
      <c r="CM5544">
        <v>2</v>
      </c>
      <c r="CN5544">
        <v>0</v>
      </c>
      <c r="CO5544">
        <v>7</v>
      </c>
      <c r="CP5544" t="s">
        <v>119</v>
      </c>
      <c r="CQ5544">
        <v>343</v>
      </c>
      <c r="CR5544">
        <v>1</v>
      </c>
      <c r="CW5544">
        <v>11168188</v>
      </c>
      <c r="CY5544">
        <v>1</v>
      </c>
      <c r="CZ5544">
        <v>0</v>
      </c>
      <c r="DA5544">
        <v>1</v>
      </c>
      <c r="DB5544">
        <v>0</v>
      </c>
      <c r="DC5544">
        <v>0</v>
      </c>
      <c r="DD5544">
        <v>1</v>
      </c>
      <c r="DE5544">
        <v>0</v>
      </c>
      <c r="DF5544">
        <v>0</v>
      </c>
      <c r="DG5544">
        <v>0</v>
      </c>
      <c r="DH5544">
        <v>0</v>
      </c>
      <c r="DI5544">
        <v>0</v>
      </c>
    </row>
    <row r="5545" spans="1:113" x14ac:dyDescent="0.3">
      <c r="A5545" t="str">
        <f t="shared" si="2578"/>
        <v>05/12/2020 14:51:15.494</v>
      </c>
      <c r="C5545" t="str">
        <f t="shared" si="2568"/>
        <v>FFDFD3C0</v>
      </c>
      <c r="D5545" t="s">
        <v>131</v>
      </c>
      <c r="E5545">
        <v>12</v>
      </c>
      <c r="F5545">
        <v>2012</v>
      </c>
      <c r="G5545" t="s">
        <v>137</v>
      </c>
      <c r="J5545" t="s">
        <v>133</v>
      </c>
      <c r="K5545">
        <v>0</v>
      </c>
      <c r="L5545">
        <v>3</v>
      </c>
      <c r="M5545">
        <v>0</v>
      </c>
      <c r="N5545">
        <v>2</v>
      </c>
      <c r="O5545">
        <v>1</v>
      </c>
      <c r="P5545">
        <v>0</v>
      </c>
      <c r="Q5545">
        <v>0</v>
      </c>
      <c r="S5545" t="str">
        <f t="shared" si="2579"/>
        <v>14:51:33.297</v>
      </c>
      <c r="T5545" t="str">
        <f t="shared" si="2580"/>
        <v>14:51:32.997</v>
      </c>
      <c r="U5545" t="str">
        <f t="shared" si="2559"/>
        <v>A9808D</v>
      </c>
      <c r="V5545">
        <v>0</v>
      </c>
      <c r="W5545">
        <v>0</v>
      </c>
      <c r="X5545">
        <v>1</v>
      </c>
      <c r="Z5545">
        <v>0</v>
      </c>
      <c r="AA5545">
        <v>9</v>
      </c>
      <c r="AB5545">
        <v>3</v>
      </c>
      <c r="AC5545">
        <v>0</v>
      </c>
      <c r="AD5545">
        <v>10</v>
      </c>
      <c r="AE5545">
        <v>0</v>
      </c>
      <c r="AF5545">
        <v>3</v>
      </c>
      <c r="AG5545">
        <v>2</v>
      </c>
      <c r="AH5545">
        <v>0</v>
      </c>
      <c r="AI5545" t="s">
        <v>1231</v>
      </c>
      <c r="AJ5545">
        <v>28.211689</v>
      </c>
      <c r="AK5545" t="s">
        <v>1232</v>
      </c>
      <c r="AL5545">
        <v>-82.391474000000002</v>
      </c>
      <c r="AM5545">
        <v>100</v>
      </c>
      <c r="AN5545">
        <v>1100</v>
      </c>
      <c r="AO5545" t="s">
        <v>118</v>
      </c>
      <c r="AP5545">
        <v>56</v>
      </c>
      <c r="AQ5545">
        <v>-97</v>
      </c>
      <c r="AR5545">
        <v>-832</v>
      </c>
      <c r="AZ5545">
        <v>1200</v>
      </c>
      <c r="BA5545">
        <v>1</v>
      </c>
      <c r="BB5545" t="str">
        <f t="shared" si="2569"/>
        <v xml:space="preserve">N711JA  </v>
      </c>
      <c r="BC5545">
        <v>1</v>
      </c>
      <c r="BE5545">
        <v>0</v>
      </c>
      <c r="BF5545">
        <v>0</v>
      </c>
      <c r="BG5545">
        <v>0</v>
      </c>
      <c r="BH5545">
        <v>1150</v>
      </c>
      <c r="BI5545">
        <v>1</v>
      </c>
      <c r="BJ5545">
        <v>1</v>
      </c>
      <c r="BK5545">
        <v>0</v>
      </c>
      <c r="BL5545">
        <v>0</v>
      </c>
      <c r="BO5545">
        <v>0</v>
      </c>
      <c r="BP5545">
        <v>0</v>
      </c>
      <c r="BW5545" t="str">
        <f t="shared" si="2581"/>
        <v>14:51:33.304</v>
      </c>
      <c r="CJ5545">
        <v>0</v>
      </c>
      <c r="CK5545">
        <v>2</v>
      </c>
      <c r="CL5545">
        <v>0</v>
      </c>
      <c r="CM5545">
        <v>2</v>
      </c>
      <c r="CN5545">
        <v>0</v>
      </c>
      <c r="CO5545">
        <v>7</v>
      </c>
      <c r="CP5545" t="s">
        <v>119</v>
      </c>
      <c r="CQ5545">
        <v>343</v>
      </c>
      <c r="CR5545">
        <v>1</v>
      </c>
      <c r="CW5545">
        <v>11168188</v>
      </c>
      <c r="CY5545">
        <v>1</v>
      </c>
      <c r="CZ5545">
        <v>0</v>
      </c>
      <c r="DA5545">
        <v>1</v>
      </c>
      <c r="DB5545">
        <v>0</v>
      </c>
      <c r="DC5545">
        <v>0</v>
      </c>
      <c r="DD5545">
        <v>1</v>
      </c>
      <c r="DE5545">
        <v>0</v>
      </c>
      <c r="DF5545">
        <v>0</v>
      </c>
      <c r="DG5545">
        <v>0</v>
      </c>
      <c r="DH5545">
        <v>0</v>
      </c>
      <c r="DI5545">
        <v>0</v>
      </c>
    </row>
    <row r="5546" spans="1:113" x14ac:dyDescent="0.3">
      <c r="A5546" t="str">
        <f t="shared" si="2578"/>
        <v>05/12/2020 14:51:15.494</v>
      </c>
      <c r="C5546" t="str">
        <f t="shared" si="2568"/>
        <v>FFDFD3C0</v>
      </c>
      <c r="D5546" t="s">
        <v>131</v>
      </c>
      <c r="E5546">
        <v>10</v>
      </c>
      <c r="F5546">
        <v>2010</v>
      </c>
      <c r="G5546" t="s">
        <v>132</v>
      </c>
      <c r="J5546" t="s">
        <v>133</v>
      </c>
      <c r="K5546">
        <v>0</v>
      </c>
      <c r="L5546">
        <v>3</v>
      </c>
      <c r="M5546">
        <v>0</v>
      </c>
      <c r="N5546">
        <v>2</v>
      </c>
      <c r="O5546">
        <v>1</v>
      </c>
      <c r="P5546">
        <v>0</v>
      </c>
      <c r="Q5546">
        <v>0</v>
      </c>
      <c r="S5546" t="str">
        <f t="shared" si="2579"/>
        <v>14:51:33.297</v>
      </c>
      <c r="T5546" t="str">
        <f t="shared" si="2580"/>
        <v>14:51:32.997</v>
      </c>
      <c r="U5546" t="str">
        <f t="shared" si="2559"/>
        <v>A9808D</v>
      </c>
      <c r="V5546">
        <v>0</v>
      </c>
      <c r="W5546">
        <v>0</v>
      </c>
      <c r="X5546">
        <v>1</v>
      </c>
      <c r="Z5546">
        <v>0</v>
      </c>
      <c r="AA5546">
        <v>9</v>
      </c>
      <c r="AB5546">
        <v>3</v>
      </c>
      <c r="AC5546">
        <v>0</v>
      </c>
      <c r="AD5546">
        <v>10</v>
      </c>
      <c r="AE5546">
        <v>0</v>
      </c>
      <c r="AF5546">
        <v>3</v>
      </c>
      <c r="AG5546">
        <v>2</v>
      </c>
      <c r="AH5546">
        <v>0</v>
      </c>
      <c r="AI5546" t="s">
        <v>1231</v>
      </c>
      <c r="AJ5546">
        <v>28.211689</v>
      </c>
      <c r="AK5546" t="s">
        <v>1232</v>
      </c>
      <c r="AL5546">
        <v>-82.391474000000002</v>
      </c>
      <c r="AM5546">
        <v>100</v>
      </c>
      <c r="AN5546">
        <v>1100</v>
      </c>
      <c r="AO5546" t="s">
        <v>118</v>
      </c>
      <c r="AP5546">
        <v>56</v>
      </c>
      <c r="AQ5546">
        <v>-97</v>
      </c>
      <c r="AR5546">
        <v>-832</v>
      </c>
      <c r="AZ5546">
        <v>1200</v>
      </c>
      <c r="BA5546">
        <v>1</v>
      </c>
      <c r="BB5546" t="str">
        <f t="shared" si="2569"/>
        <v xml:space="preserve">N711JA  </v>
      </c>
      <c r="BC5546">
        <v>1</v>
      </c>
      <c r="BE5546">
        <v>0</v>
      </c>
      <c r="BF5546">
        <v>0</v>
      </c>
      <c r="BG5546">
        <v>0</v>
      </c>
      <c r="BH5546">
        <v>1150</v>
      </c>
      <c r="BI5546">
        <v>1</v>
      </c>
      <c r="BJ5546">
        <v>1</v>
      </c>
      <c r="BK5546">
        <v>0</v>
      </c>
      <c r="BL5546">
        <v>0</v>
      </c>
      <c r="BO5546">
        <v>0</v>
      </c>
      <c r="BP5546">
        <v>0</v>
      </c>
      <c r="BW5546" t="str">
        <f t="shared" si="2581"/>
        <v>14:51:33.304</v>
      </c>
      <c r="CJ5546">
        <v>0</v>
      </c>
      <c r="CK5546">
        <v>2</v>
      </c>
      <c r="CL5546">
        <v>0</v>
      </c>
      <c r="CM5546">
        <v>2</v>
      </c>
      <c r="CN5546">
        <v>0</v>
      </c>
      <c r="CO5546">
        <v>7</v>
      </c>
      <c r="CP5546" t="s">
        <v>119</v>
      </c>
      <c r="CQ5546">
        <v>343</v>
      </c>
      <c r="CR5546">
        <v>1</v>
      </c>
      <c r="CW5546">
        <v>11168188</v>
      </c>
      <c r="CY5546">
        <v>1</v>
      </c>
      <c r="CZ5546">
        <v>0</v>
      </c>
      <c r="DA5546">
        <v>1</v>
      </c>
      <c r="DB5546">
        <v>0</v>
      </c>
      <c r="DC5546">
        <v>0</v>
      </c>
      <c r="DD5546">
        <v>1</v>
      </c>
      <c r="DE5546">
        <v>0</v>
      </c>
      <c r="DF5546">
        <v>0</v>
      </c>
      <c r="DG5546">
        <v>0</v>
      </c>
      <c r="DH5546">
        <v>0</v>
      </c>
      <c r="DI5546">
        <v>0</v>
      </c>
    </row>
    <row r="5547" spans="1:113" x14ac:dyDescent="0.3">
      <c r="A5547" t="str">
        <f t="shared" si="2578"/>
        <v>05/12/2020 14:51:15.494</v>
      </c>
      <c r="C5547" t="str">
        <f t="shared" si="2568"/>
        <v>FFDFD3C0</v>
      </c>
      <c r="D5547" t="s">
        <v>113</v>
      </c>
      <c r="E5547">
        <v>3</v>
      </c>
      <c r="H5547">
        <v>164</v>
      </c>
      <c r="I5547" t="s">
        <v>114</v>
      </c>
      <c r="J5547" t="s">
        <v>115</v>
      </c>
      <c r="K5547">
        <v>0</v>
      </c>
      <c r="L5547">
        <v>3</v>
      </c>
      <c r="M5547">
        <v>0</v>
      </c>
      <c r="N5547">
        <v>2</v>
      </c>
      <c r="O5547">
        <v>1</v>
      </c>
      <c r="P5547">
        <v>0</v>
      </c>
      <c r="Q5547">
        <v>0</v>
      </c>
      <c r="S5547" t="str">
        <f t="shared" si="2579"/>
        <v>14:51:33.297</v>
      </c>
      <c r="T5547" t="str">
        <f t="shared" si="2580"/>
        <v>14:51:32.997</v>
      </c>
      <c r="U5547" t="str">
        <f t="shared" si="2559"/>
        <v>A9808D</v>
      </c>
      <c r="V5547">
        <v>0</v>
      </c>
      <c r="W5547">
        <v>0</v>
      </c>
      <c r="X5547">
        <v>1</v>
      </c>
      <c r="Z5547">
        <v>0</v>
      </c>
      <c r="AA5547">
        <v>9</v>
      </c>
      <c r="AB5547">
        <v>3</v>
      </c>
      <c r="AC5547">
        <v>0</v>
      </c>
      <c r="AD5547">
        <v>10</v>
      </c>
      <c r="AE5547">
        <v>0</v>
      </c>
      <c r="AF5547">
        <v>3</v>
      </c>
      <c r="AG5547">
        <v>2</v>
      </c>
      <c r="AH5547">
        <v>0</v>
      </c>
      <c r="AI5547" t="s">
        <v>1231</v>
      </c>
      <c r="AJ5547">
        <v>28.211689</v>
      </c>
      <c r="AK5547" t="s">
        <v>1232</v>
      </c>
      <c r="AL5547">
        <v>-82.391474000000002</v>
      </c>
      <c r="AM5547">
        <v>100</v>
      </c>
      <c r="AN5547">
        <v>1100</v>
      </c>
      <c r="AO5547" t="s">
        <v>118</v>
      </c>
      <c r="AP5547">
        <v>56</v>
      </c>
      <c r="AQ5547">
        <v>-97</v>
      </c>
      <c r="AR5547">
        <v>-832</v>
      </c>
      <c r="AZ5547">
        <v>1200</v>
      </c>
      <c r="BA5547">
        <v>1</v>
      </c>
      <c r="BB5547" t="str">
        <f t="shared" si="2569"/>
        <v xml:space="preserve">N711JA  </v>
      </c>
      <c r="BC5547">
        <v>1</v>
      </c>
      <c r="BE5547">
        <v>0</v>
      </c>
      <c r="BF5547">
        <v>0</v>
      </c>
      <c r="BG5547">
        <v>0</v>
      </c>
      <c r="BH5547">
        <v>1150</v>
      </c>
      <c r="BI5547">
        <v>1</v>
      </c>
      <c r="BJ5547">
        <v>1</v>
      </c>
      <c r="BK5547">
        <v>0</v>
      </c>
      <c r="BL5547">
        <v>0</v>
      </c>
      <c r="BO5547">
        <v>0</v>
      </c>
      <c r="BP5547">
        <v>0</v>
      </c>
      <c r="BW5547" t="str">
        <f t="shared" si="2581"/>
        <v>14:51:33.304</v>
      </c>
      <c r="CJ5547">
        <v>0</v>
      </c>
      <c r="CK5547">
        <v>2</v>
      </c>
      <c r="CL5547">
        <v>0</v>
      </c>
      <c r="CM5547">
        <v>2</v>
      </c>
      <c r="CN5547">
        <v>0</v>
      </c>
      <c r="CO5547">
        <v>7</v>
      </c>
      <c r="CP5547" t="s">
        <v>119</v>
      </c>
      <c r="CQ5547">
        <v>343</v>
      </c>
      <c r="CR5547">
        <v>1</v>
      </c>
      <c r="CW5547">
        <v>11168188</v>
      </c>
      <c r="CY5547">
        <v>1</v>
      </c>
      <c r="CZ5547">
        <v>0</v>
      </c>
      <c r="DA5547">
        <v>1</v>
      </c>
      <c r="DB5547">
        <v>0</v>
      </c>
      <c r="DC5547">
        <v>0</v>
      </c>
      <c r="DD5547">
        <v>1</v>
      </c>
      <c r="DE5547">
        <v>0</v>
      </c>
      <c r="DF5547">
        <v>0</v>
      </c>
      <c r="DG5547">
        <v>0</v>
      </c>
      <c r="DH5547">
        <v>0</v>
      </c>
      <c r="DI5547">
        <v>0</v>
      </c>
    </row>
    <row r="5548" spans="1:113" x14ac:dyDescent="0.3">
      <c r="A5548" t="str">
        <f t="shared" si="2578"/>
        <v>05/12/2020 14:51:15.494</v>
      </c>
      <c r="C5548" t="str">
        <f t="shared" si="2568"/>
        <v>FFDFD3C0</v>
      </c>
      <c r="D5548" t="s">
        <v>126</v>
      </c>
      <c r="E5548">
        <v>6</v>
      </c>
      <c r="F5548">
        <v>1006</v>
      </c>
      <c r="G5548" t="s">
        <v>114</v>
      </c>
      <c r="J5548" t="s">
        <v>128</v>
      </c>
      <c r="K5548">
        <v>0</v>
      </c>
      <c r="L5548">
        <v>3</v>
      </c>
      <c r="M5548">
        <v>0</v>
      </c>
      <c r="N5548">
        <v>2</v>
      </c>
      <c r="O5548">
        <v>1</v>
      </c>
      <c r="P5548">
        <v>0</v>
      </c>
      <c r="Q5548">
        <v>0</v>
      </c>
      <c r="S5548" t="str">
        <f t="shared" si="2579"/>
        <v>14:51:33.297</v>
      </c>
      <c r="T5548" t="str">
        <f t="shared" si="2580"/>
        <v>14:51:32.997</v>
      </c>
      <c r="U5548" t="str">
        <f t="shared" si="2559"/>
        <v>A9808D</v>
      </c>
      <c r="V5548">
        <v>0</v>
      </c>
      <c r="W5548">
        <v>0</v>
      </c>
      <c r="X5548">
        <v>1</v>
      </c>
      <c r="Z5548">
        <v>0</v>
      </c>
      <c r="AA5548">
        <v>9</v>
      </c>
      <c r="AB5548">
        <v>3</v>
      </c>
      <c r="AC5548">
        <v>0</v>
      </c>
      <c r="AD5548">
        <v>10</v>
      </c>
      <c r="AE5548">
        <v>0</v>
      </c>
      <c r="AF5548">
        <v>3</v>
      </c>
      <c r="AG5548">
        <v>2</v>
      </c>
      <c r="AH5548">
        <v>0</v>
      </c>
      <c r="AI5548" t="s">
        <v>1231</v>
      </c>
      <c r="AJ5548">
        <v>28.211689</v>
      </c>
      <c r="AK5548" t="s">
        <v>1232</v>
      </c>
      <c r="AL5548">
        <v>-82.391474000000002</v>
      </c>
      <c r="AM5548">
        <v>100</v>
      </c>
      <c r="AN5548">
        <v>1100</v>
      </c>
      <c r="AO5548" t="s">
        <v>118</v>
      </c>
      <c r="AP5548">
        <v>56</v>
      </c>
      <c r="AQ5548">
        <v>-97</v>
      </c>
      <c r="AR5548">
        <v>-832</v>
      </c>
      <c r="AZ5548">
        <v>1200</v>
      </c>
      <c r="BA5548">
        <v>1</v>
      </c>
      <c r="BB5548" t="str">
        <f t="shared" si="2569"/>
        <v xml:space="preserve">N711JA  </v>
      </c>
      <c r="BC5548">
        <v>1</v>
      </c>
      <c r="BE5548">
        <v>0</v>
      </c>
      <c r="BF5548">
        <v>0</v>
      </c>
      <c r="BG5548">
        <v>0</v>
      </c>
      <c r="BH5548">
        <v>1150</v>
      </c>
      <c r="BI5548">
        <v>1</v>
      </c>
      <c r="BJ5548">
        <v>1</v>
      </c>
      <c r="BK5548">
        <v>0</v>
      </c>
      <c r="BL5548">
        <v>0</v>
      </c>
      <c r="BO5548">
        <v>0</v>
      </c>
      <c r="BP5548">
        <v>0</v>
      </c>
      <c r="BW5548" t="str">
        <f t="shared" si="2581"/>
        <v>14:51:33.304</v>
      </c>
      <c r="CJ5548">
        <v>0</v>
      </c>
      <c r="CK5548">
        <v>2</v>
      </c>
      <c r="CL5548">
        <v>0</v>
      </c>
      <c r="CM5548">
        <v>2</v>
      </c>
      <c r="CN5548">
        <v>0</v>
      </c>
      <c r="CO5548">
        <v>7</v>
      </c>
      <c r="CP5548" t="s">
        <v>119</v>
      </c>
      <c r="CQ5548">
        <v>343</v>
      </c>
      <c r="CR5548">
        <v>1</v>
      </c>
      <c r="CW5548">
        <v>11168188</v>
      </c>
      <c r="CY5548">
        <v>1</v>
      </c>
      <c r="CZ5548">
        <v>0</v>
      </c>
      <c r="DA5548">
        <v>1</v>
      </c>
      <c r="DB5548">
        <v>0</v>
      </c>
      <c r="DC5548">
        <v>0</v>
      </c>
      <c r="DD5548">
        <v>1</v>
      </c>
      <c r="DE5548">
        <v>0</v>
      </c>
      <c r="DF5548">
        <v>0</v>
      </c>
      <c r="DG5548">
        <v>0</v>
      </c>
      <c r="DH5548">
        <v>0</v>
      </c>
      <c r="DI5548">
        <v>0</v>
      </c>
    </row>
    <row r="5549" spans="1:113" x14ac:dyDescent="0.3">
      <c r="A5549" t="str">
        <f t="shared" si="2578"/>
        <v>05/12/2020 14:51:15.494</v>
      </c>
      <c r="C5549" t="str">
        <f t="shared" si="2568"/>
        <v>FFDFD3C0</v>
      </c>
      <c r="D5549" t="s">
        <v>138</v>
      </c>
      <c r="E5549">
        <v>2</v>
      </c>
      <c r="H5549">
        <v>8</v>
      </c>
      <c r="I5549" t="s">
        <v>139</v>
      </c>
      <c r="J5549" t="s">
        <v>136</v>
      </c>
      <c r="K5549">
        <v>0</v>
      </c>
      <c r="L5549">
        <v>3</v>
      </c>
      <c r="M5549">
        <v>0</v>
      </c>
      <c r="N5549">
        <v>2</v>
      </c>
      <c r="O5549">
        <v>1</v>
      </c>
      <c r="P5549">
        <v>0</v>
      </c>
      <c r="Q5549">
        <v>0</v>
      </c>
      <c r="S5549" t="str">
        <f t="shared" si="2579"/>
        <v>14:51:33.297</v>
      </c>
      <c r="T5549" t="str">
        <f t="shared" si="2580"/>
        <v>14:51:32.997</v>
      </c>
      <c r="U5549" t="str">
        <f t="shared" si="2559"/>
        <v>A9808D</v>
      </c>
      <c r="V5549">
        <v>0</v>
      </c>
      <c r="W5549">
        <v>0</v>
      </c>
      <c r="X5549">
        <v>1</v>
      </c>
      <c r="Z5549">
        <v>0</v>
      </c>
      <c r="AA5549">
        <v>9</v>
      </c>
      <c r="AB5549">
        <v>3</v>
      </c>
      <c r="AC5549">
        <v>0</v>
      </c>
      <c r="AD5549">
        <v>10</v>
      </c>
      <c r="AE5549">
        <v>0</v>
      </c>
      <c r="AF5549">
        <v>3</v>
      </c>
      <c r="AG5549">
        <v>2</v>
      </c>
      <c r="AH5549">
        <v>0</v>
      </c>
      <c r="AI5549" t="s">
        <v>1231</v>
      </c>
      <c r="AJ5549">
        <v>28.211689</v>
      </c>
      <c r="AK5549" t="s">
        <v>1232</v>
      </c>
      <c r="AL5549">
        <v>-82.391474000000002</v>
      </c>
      <c r="AM5549">
        <v>100</v>
      </c>
      <c r="AN5549">
        <v>1100</v>
      </c>
      <c r="AO5549" t="s">
        <v>118</v>
      </c>
      <c r="AP5549">
        <v>56</v>
      </c>
      <c r="AQ5549">
        <v>-97</v>
      </c>
      <c r="AR5549">
        <v>-832</v>
      </c>
      <c r="AZ5549">
        <v>1200</v>
      </c>
      <c r="BA5549">
        <v>1</v>
      </c>
      <c r="BB5549" t="str">
        <f t="shared" si="2569"/>
        <v xml:space="preserve">N711JA  </v>
      </c>
      <c r="BC5549">
        <v>1</v>
      </c>
      <c r="BE5549">
        <v>0</v>
      </c>
      <c r="BF5549">
        <v>0</v>
      </c>
      <c r="BG5549">
        <v>0</v>
      </c>
      <c r="BH5549">
        <v>1150</v>
      </c>
      <c r="BI5549">
        <v>1</v>
      </c>
      <c r="BJ5549">
        <v>1</v>
      </c>
      <c r="BK5549">
        <v>0</v>
      </c>
      <c r="BL5549">
        <v>0</v>
      </c>
      <c r="BO5549">
        <v>0</v>
      </c>
      <c r="BP5549">
        <v>0</v>
      </c>
      <c r="BW5549" t="str">
        <f t="shared" si="2581"/>
        <v>14:51:33.304</v>
      </c>
      <c r="CJ5549">
        <v>0</v>
      </c>
      <c r="CK5549">
        <v>2</v>
      </c>
      <c r="CL5549">
        <v>0</v>
      </c>
      <c r="CM5549">
        <v>2</v>
      </c>
      <c r="CN5549">
        <v>0</v>
      </c>
      <c r="CO5549">
        <v>7</v>
      </c>
      <c r="CP5549" t="s">
        <v>119</v>
      </c>
      <c r="CQ5549">
        <v>343</v>
      </c>
      <c r="CR5549">
        <v>1</v>
      </c>
      <c r="CW5549">
        <v>11168188</v>
      </c>
      <c r="CY5549">
        <v>1</v>
      </c>
      <c r="CZ5549">
        <v>0</v>
      </c>
      <c r="DA5549">
        <v>1</v>
      </c>
      <c r="DB5549">
        <v>0</v>
      </c>
      <c r="DC5549">
        <v>0</v>
      </c>
      <c r="DD5549">
        <v>1</v>
      </c>
      <c r="DE5549">
        <v>0</v>
      </c>
      <c r="DF5549">
        <v>0</v>
      </c>
      <c r="DG5549">
        <v>0</v>
      </c>
      <c r="DH5549">
        <v>0</v>
      </c>
      <c r="DI5549">
        <v>0</v>
      </c>
    </row>
    <row r="5550" spans="1:113" x14ac:dyDescent="0.3">
      <c r="A5550" t="str">
        <f t="shared" si="2578"/>
        <v>05/12/2020 14:51:15.494</v>
      </c>
      <c r="C5550" t="str">
        <f t="shared" si="2568"/>
        <v>FFDFD3C0</v>
      </c>
      <c r="D5550" t="s">
        <v>138</v>
      </c>
      <c r="E5550">
        <v>3</v>
      </c>
      <c r="H5550">
        <v>9</v>
      </c>
      <c r="I5550" t="s">
        <v>140</v>
      </c>
      <c r="J5550" t="s">
        <v>136</v>
      </c>
      <c r="K5550">
        <v>0</v>
      </c>
      <c r="L5550">
        <v>3</v>
      </c>
      <c r="M5550">
        <v>0</v>
      </c>
      <c r="N5550">
        <v>2</v>
      </c>
      <c r="O5550">
        <v>1</v>
      </c>
      <c r="P5550">
        <v>0</v>
      </c>
      <c r="Q5550">
        <v>0</v>
      </c>
      <c r="S5550" t="str">
        <f t="shared" si="2579"/>
        <v>14:51:33.297</v>
      </c>
      <c r="T5550" t="str">
        <f t="shared" si="2580"/>
        <v>14:51:32.997</v>
      </c>
      <c r="U5550" t="str">
        <f t="shared" si="2559"/>
        <v>A9808D</v>
      </c>
      <c r="V5550">
        <v>0</v>
      </c>
      <c r="W5550">
        <v>0</v>
      </c>
      <c r="X5550">
        <v>1</v>
      </c>
      <c r="Z5550">
        <v>0</v>
      </c>
      <c r="AA5550">
        <v>9</v>
      </c>
      <c r="AB5550">
        <v>3</v>
      </c>
      <c r="AC5550">
        <v>0</v>
      </c>
      <c r="AD5550">
        <v>10</v>
      </c>
      <c r="AE5550">
        <v>0</v>
      </c>
      <c r="AF5550">
        <v>3</v>
      </c>
      <c r="AG5550">
        <v>2</v>
      </c>
      <c r="AH5550">
        <v>0</v>
      </c>
      <c r="AI5550" t="s">
        <v>1231</v>
      </c>
      <c r="AJ5550">
        <v>28.211689</v>
      </c>
      <c r="AK5550" t="s">
        <v>1232</v>
      </c>
      <c r="AL5550">
        <v>-82.391474000000002</v>
      </c>
      <c r="AM5550">
        <v>100</v>
      </c>
      <c r="AN5550">
        <v>1100</v>
      </c>
      <c r="AO5550" t="s">
        <v>118</v>
      </c>
      <c r="AP5550">
        <v>56</v>
      </c>
      <c r="AQ5550">
        <v>-97</v>
      </c>
      <c r="AR5550">
        <v>-832</v>
      </c>
      <c r="AZ5550">
        <v>1200</v>
      </c>
      <c r="BA5550">
        <v>1</v>
      </c>
      <c r="BB5550" t="str">
        <f t="shared" si="2569"/>
        <v xml:space="preserve">N711JA  </v>
      </c>
      <c r="BC5550">
        <v>1</v>
      </c>
      <c r="BE5550">
        <v>0</v>
      </c>
      <c r="BF5550">
        <v>0</v>
      </c>
      <c r="BG5550">
        <v>0</v>
      </c>
      <c r="BH5550">
        <v>1150</v>
      </c>
      <c r="BI5550">
        <v>1</v>
      </c>
      <c r="BJ5550">
        <v>1</v>
      </c>
      <c r="BK5550">
        <v>0</v>
      </c>
      <c r="BL5550">
        <v>0</v>
      </c>
      <c r="BO5550">
        <v>0</v>
      </c>
      <c r="BP5550">
        <v>0</v>
      </c>
      <c r="BW5550" t="str">
        <f t="shared" si="2581"/>
        <v>14:51:33.304</v>
      </c>
      <c r="CJ5550">
        <v>0</v>
      </c>
      <c r="CK5550">
        <v>2</v>
      </c>
      <c r="CL5550">
        <v>0</v>
      </c>
      <c r="CM5550">
        <v>2</v>
      </c>
      <c r="CN5550">
        <v>0</v>
      </c>
      <c r="CO5550">
        <v>7</v>
      </c>
      <c r="CP5550" t="s">
        <v>119</v>
      </c>
      <c r="CQ5550">
        <v>343</v>
      </c>
      <c r="CR5550">
        <v>1</v>
      </c>
      <c r="CW5550">
        <v>11168188</v>
      </c>
      <c r="CY5550">
        <v>1</v>
      </c>
      <c r="CZ5550">
        <v>0</v>
      </c>
      <c r="DA5550">
        <v>1</v>
      </c>
      <c r="DB5550">
        <v>0</v>
      </c>
      <c r="DC5550">
        <v>0</v>
      </c>
      <c r="DD5550">
        <v>1</v>
      </c>
      <c r="DE5550">
        <v>0</v>
      </c>
      <c r="DF5550">
        <v>0</v>
      </c>
      <c r="DG5550">
        <v>0</v>
      </c>
      <c r="DH5550">
        <v>0</v>
      </c>
      <c r="DI5550">
        <v>0</v>
      </c>
    </row>
    <row r="5551" spans="1:113" x14ac:dyDescent="0.3">
      <c r="A5551" t="str">
        <f t="shared" ref="A5551:A5558" si="2582">"05/12/2020 14:51:16.453"</f>
        <v>05/12/2020 14:51:16.453</v>
      </c>
      <c r="C5551" t="str">
        <f t="shared" si="2568"/>
        <v>FFDFD3C0</v>
      </c>
      <c r="D5551" t="s">
        <v>126</v>
      </c>
      <c r="E5551">
        <v>7</v>
      </c>
      <c r="F5551">
        <v>1007</v>
      </c>
      <c r="G5551" t="s">
        <v>127</v>
      </c>
      <c r="J5551" t="s">
        <v>128</v>
      </c>
      <c r="K5551">
        <v>0</v>
      </c>
      <c r="L5551">
        <v>3</v>
      </c>
      <c r="M5551">
        <v>0</v>
      </c>
      <c r="N5551">
        <v>2</v>
      </c>
      <c r="O5551">
        <v>1</v>
      </c>
      <c r="P5551">
        <v>0</v>
      </c>
      <c r="Q5551">
        <v>0</v>
      </c>
      <c r="S5551" t="str">
        <f t="shared" ref="S5551:S5558" si="2583">"14:51:34.266"</f>
        <v>14:51:34.266</v>
      </c>
      <c r="T5551" t="str">
        <f t="shared" ref="T5551:T5558" si="2584">"14:51:33.966"</f>
        <v>14:51:33.966</v>
      </c>
      <c r="U5551" t="str">
        <f t="shared" si="2559"/>
        <v>A9808D</v>
      </c>
      <c r="V5551">
        <v>0</v>
      </c>
      <c r="W5551">
        <v>0</v>
      </c>
      <c r="X5551">
        <v>1</v>
      </c>
      <c r="Z5551">
        <v>0</v>
      </c>
      <c r="AA5551">
        <v>9</v>
      </c>
      <c r="AB5551">
        <v>3</v>
      </c>
      <c r="AC5551">
        <v>0</v>
      </c>
      <c r="AD5551">
        <v>10</v>
      </c>
      <c r="AE5551">
        <v>0</v>
      </c>
      <c r="AF5551">
        <v>3</v>
      </c>
      <c r="AG5551">
        <v>2</v>
      </c>
      <c r="AH5551">
        <v>0</v>
      </c>
      <c r="AI5551" t="s">
        <v>1233</v>
      </c>
      <c r="AJ5551">
        <v>28.211259999999999</v>
      </c>
      <c r="AK5551" t="s">
        <v>1234</v>
      </c>
      <c r="AL5551">
        <v>-82.391152000000005</v>
      </c>
      <c r="AM5551">
        <v>100</v>
      </c>
      <c r="AN5551">
        <v>1100</v>
      </c>
      <c r="AO5551" t="s">
        <v>118</v>
      </c>
      <c r="AP5551">
        <v>60</v>
      </c>
      <c r="AQ5551">
        <v>-94</v>
      </c>
      <c r="AR5551">
        <v>-768</v>
      </c>
      <c r="AZ5551">
        <v>1200</v>
      </c>
      <c r="BA5551">
        <v>1</v>
      </c>
      <c r="BB5551" t="str">
        <f t="shared" si="2569"/>
        <v xml:space="preserve">N711JA  </v>
      </c>
      <c r="BC5551">
        <v>1</v>
      </c>
      <c r="BE5551">
        <v>0</v>
      </c>
      <c r="BF5551">
        <v>0</v>
      </c>
      <c r="BG5551">
        <v>0</v>
      </c>
      <c r="BH5551">
        <v>1125</v>
      </c>
      <c r="BI5551">
        <v>1</v>
      </c>
      <c r="BJ5551">
        <v>1</v>
      </c>
      <c r="BK5551">
        <v>0</v>
      </c>
      <c r="BL5551">
        <v>0</v>
      </c>
      <c r="BO5551">
        <v>0</v>
      </c>
      <c r="BP5551">
        <v>0</v>
      </c>
      <c r="BW5551" t="str">
        <f t="shared" ref="BW5551:BW5558" si="2585">"14:51:34.268"</f>
        <v>14:51:34.268</v>
      </c>
      <c r="CJ5551">
        <v>0</v>
      </c>
      <c r="CK5551">
        <v>2</v>
      </c>
      <c r="CL5551">
        <v>0</v>
      </c>
      <c r="CM5551">
        <v>2</v>
      </c>
      <c r="CN5551">
        <v>0</v>
      </c>
      <c r="CO5551">
        <v>7</v>
      </c>
      <c r="CP5551" t="s">
        <v>119</v>
      </c>
      <c r="CQ5551">
        <v>343</v>
      </c>
      <c r="CR5551">
        <v>1</v>
      </c>
      <c r="CW5551">
        <v>11169164</v>
      </c>
      <c r="CY5551">
        <v>1</v>
      </c>
      <c r="CZ5551">
        <v>0</v>
      </c>
      <c r="DA5551">
        <v>0</v>
      </c>
      <c r="DB5551">
        <v>0</v>
      </c>
      <c r="DC5551">
        <v>0</v>
      </c>
      <c r="DD5551">
        <v>1</v>
      </c>
      <c r="DE5551">
        <v>0</v>
      </c>
      <c r="DF5551">
        <v>0</v>
      </c>
      <c r="DG5551">
        <v>0</v>
      </c>
      <c r="DH5551">
        <v>0</v>
      </c>
      <c r="DI5551">
        <v>0</v>
      </c>
    </row>
    <row r="5552" spans="1:113" x14ac:dyDescent="0.3">
      <c r="A5552" t="str">
        <f t="shared" si="2582"/>
        <v>05/12/2020 14:51:16.453</v>
      </c>
      <c r="C5552" t="str">
        <f t="shared" si="2568"/>
        <v>FFDFD3C0</v>
      </c>
      <c r="D5552" t="s">
        <v>131</v>
      </c>
      <c r="E5552">
        <v>12</v>
      </c>
      <c r="F5552">
        <v>2012</v>
      </c>
      <c r="G5552" t="s">
        <v>137</v>
      </c>
      <c r="J5552" t="s">
        <v>133</v>
      </c>
      <c r="K5552">
        <v>0</v>
      </c>
      <c r="L5552">
        <v>3</v>
      </c>
      <c r="M5552">
        <v>0</v>
      </c>
      <c r="N5552">
        <v>2</v>
      </c>
      <c r="O5552">
        <v>1</v>
      </c>
      <c r="P5552">
        <v>0</v>
      </c>
      <c r="Q5552">
        <v>0</v>
      </c>
      <c r="S5552" t="str">
        <f t="shared" si="2583"/>
        <v>14:51:34.266</v>
      </c>
      <c r="T5552" t="str">
        <f t="shared" si="2584"/>
        <v>14:51:33.966</v>
      </c>
      <c r="U5552" t="str">
        <f t="shared" si="2559"/>
        <v>A9808D</v>
      </c>
      <c r="V5552">
        <v>0</v>
      </c>
      <c r="W5552">
        <v>0</v>
      </c>
      <c r="X5552">
        <v>1</v>
      </c>
      <c r="Z5552">
        <v>0</v>
      </c>
      <c r="AA5552">
        <v>9</v>
      </c>
      <c r="AB5552">
        <v>3</v>
      </c>
      <c r="AC5552">
        <v>0</v>
      </c>
      <c r="AD5552">
        <v>10</v>
      </c>
      <c r="AE5552">
        <v>0</v>
      </c>
      <c r="AF5552">
        <v>3</v>
      </c>
      <c r="AG5552">
        <v>2</v>
      </c>
      <c r="AH5552">
        <v>0</v>
      </c>
      <c r="AI5552" t="s">
        <v>1233</v>
      </c>
      <c r="AJ5552">
        <v>28.211259999999999</v>
      </c>
      <c r="AK5552" t="s">
        <v>1234</v>
      </c>
      <c r="AL5552">
        <v>-82.391152000000005</v>
      </c>
      <c r="AM5552">
        <v>100</v>
      </c>
      <c r="AN5552">
        <v>1100</v>
      </c>
      <c r="AO5552" t="s">
        <v>118</v>
      </c>
      <c r="AP5552">
        <v>60</v>
      </c>
      <c r="AQ5552">
        <v>-94</v>
      </c>
      <c r="AR5552">
        <v>-768</v>
      </c>
      <c r="AZ5552">
        <v>1200</v>
      </c>
      <c r="BA5552">
        <v>1</v>
      </c>
      <c r="BB5552" t="str">
        <f t="shared" si="2569"/>
        <v xml:space="preserve">N711JA  </v>
      </c>
      <c r="BC5552">
        <v>1</v>
      </c>
      <c r="BE5552">
        <v>0</v>
      </c>
      <c r="BF5552">
        <v>0</v>
      </c>
      <c r="BG5552">
        <v>0</v>
      </c>
      <c r="BH5552">
        <v>1125</v>
      </c>
      <c r="BI5552">
        <v>1</v>
      </c>
      <c r="BJ5552">
        <v>1</v>
      </c>
      <c r="BK5552">
        <v>0</v>
      </c>
      <c r="BL5552">
        <v>0</v>
      </c>
      <c r="BO5552">
        <v>0</v>
      </c>
      <c r="BP5552">
        <v>0</v>
      </c>
      <c r="BW5552" t="str">
        <f t="shared" si="2585"/>
        <v>14:51:34.268</v>
      </c>
      <c r="CJ5552">
        <v>0</v>
      </c>
      <c r="CK5552">
        <v>2</v>
      </c>
      <c r="CL5552">
        <v>0</v>
      </c>
      <c r="CM5552">
        <v>2</v>
      </c>
      <c r="CN5552">
        <v>0</v>
      </c>
      <c r="CO5552">
        <v>7</v>
      </c>
      <c r="CP5552" t="s">
        <v>119</v>
      </c>
      <c r="CQ5552">
        <v>343</v>
      </c>
      <c r="CR5552">
        <v>1</v>
      </c>
      <c r="CW5552">
        <v>11169164</v>
      </c>
      <c r="CY5552">
        <v>1</v>
      </c>
      <c r="CZ5552">
        <v>0</v>
      </c>
      <c r="DA5552">
        <v>1</v>
      </c>
      <c r="DB5552">
        <v>0</v>
      </c>
      <c r="DC5552">
        <v>0</v>
      </c>
      <c r="DD5552">
        <v>1</v>
      </c>
      <c r="DE5552">
        <v>0</v>
      </c>
      <c r="DF5552">
        <v>0</v>
      </c>
      <c r="DG5552">
        <v>0</v>
      </c>
      <c r="DH5552">
        <v>0</v>
      </c>
      <c r="DI5552">
        <v>0</v>
      </c>
    </row>
    <row r="5553" spans="1:113" x14ac:dyDescent="0.3">
      <c r="A5553" t="str">
        <f t="shared" si="2582"/>
        <v>05/12/2020 14:51:16.453</v>
      </c>
      <c r="C5553" t="str">
        <f t="shared" si="2568"/>
        <v>FFDFD3C0</v>
      </c>
      <c r="D5553" t="s">
        <v>131</v>
      </c>
      <c r="E5553">
        <v>10</v>
      </c>
      <c r="F5553">
        <v>2010</v>
      </c>
      <c r="G5553" t="s">
        <v>132</v>
      </c>
      <c r="J5553" t="s">
        <v>133</v>
      </c>
      <c r="K5553">
        <v>0</v>
      </c>
      <c r="L5553">
        <v>3</v>
      </c>
      <c r="M5553">
        <v>0</v>
      </c>
      <c r="N5553">
        <v>2</v>
      </c>
      <c r="O5553">
        <v>1</v>
      </c>
      <c r="P5553">
        <v>0</v>
      </c>
      <c r="Q5553">
        <v>0</v>
      </c>
      <c r="S5553" t="str">
        <f t="shared" si="2583"/>
        <v>14:51:34.266</v>
      </c>
      <c r="T5553" t="str">
        <f t="shared" si="2584"/>
        <v>14:51:33.966</v>
      </c>
      <c r="U5553" t="str">
        <f t="shared" si="2559"/>
        <v>A9808D</v>
      </c>
      <c r="V5553">
        <v>0</v>
      </c>
      <c r="W5553">
        <v>0</v>
      </c>
      <c r="X5553">
        <v>1</v>
      </c>
      <c r="Z5553">
        <v>0</v>
      </c>
      <c r="AA5553">
        <v>9</v>
      </c>
      <c r="AB5553">
        <v>3</v>
      </c>
      <c r="AC5553">
        <v>0</v>
      </c>
      <c r="AD5553">
        <v>10</v>
      </c>
      <c r="AE5553">
        <v>0</v>
      </c>
      <c r="AF5553">
        <v>3</v>
      </c>
      <c r="AG5553">
        <v>2</v>
      </c>
      <c r="AH5553">
        <v>0</v>
      </c>
      <c r="AI5553" t="s">
        <v>1233</v>
      </c>
      <c r="AJ5553">
        <v>28.211259999999999</v>
      </c>
      <c r="AK5553" t="s">
        <v>1234</v>
      </c>
      <c r="AL5553">
        <v>-82.391152000000005</v>
      </c>
      <c r="AM5553">
        <v>100</v>
      </c>
      <c r="AN5553">
        <v>1100</v>
      </c>
      <c r="AO5553" t="s">
        <v>118</v>
      </c>
      <c r="AP5553">
        <v>60</v>
      </c>
      <c r="AQ5553">
        <v>-94</v>
      </c>
      <c r="AR5553">
        <v>-768</v>
      </c>
      <c r="AZ5553">
        <v>1200</v>
      </c>
      <c r="BA5553">
        <v>1</v>
      </c>
      <c r="BB5553" t="str">
        <f t="shared" si="2569"/>
        <v xml:space="preserve">N711JA  </v>
      </c>
      <c r="BC5553">
        <v>1</v>
      </c>
      <c r="BE5553">
        <v>0</v>
      </c>
      <c r="BF5553">
        <v>0</v>
      </c>
      <c r="BG5553">
        <v>0</v>
      </c>
      <c r="BH5553">
        <v>1125</v>
      </c>
      <c r="BI5553">
        <v>1</v>
      </c>
      <c r="BJ5553">
        <v>1</v>
      </c>
      <c r="BK5553">
        <v>0</v>
      </c>
      <c r="BL5553">
        <v>0</v>
      </c>
      <c r="BO5553">
        <v>0</v>
      </c>
      <c r="BP5553">
        <v>0</v>
      </c>
      <c r="BW5553" t="str">
        <f t="shared" si="2585"/>
        <v>14:51:34.268</v>
      </c>
      <c r="CJ5553">
        <v>0</v>
      </c>
      <c r="CK5553">
        <v>2</v>
      </c>
      <c r="CL5553">
        <v>0</v>
      </c>
      <c r="CM5553">
        <v>2</v>
      </c>
      <c r="CN5553">
        <v>0</v>
      </c>
      <c r="CO5553">
        <v>7</v>
      </c>
      <c r="CP5553" t="s">
        <v>119</v>
      </c>
      <c r="CQ5553">
        <v>343</v>
      </c>
      <c r="CR5553">
        <v>1</v>
      </c>
      <c r="CW5553">
        <v>11169164</v>
      </c>
      <c r="CY5553">
        <v>1</v>
      </c>
      <c r="CZ5553">
        <v>0</v>
      </c>
      <c r="DA5553">
        <v>1</v>
      </c>
      <c r="DB5553">
        <v>0</v>
      </c>
      <c r="DC5553">
        <v>0</v>
      </c>
      <c r="DD5553">
        <v>1</v>
      </c>
      <c r="DE5553">
        <v>0</v>
      </c>
      <c r="DF5553">
        <v>0</v>
      </c>
      <c r="DG5553">
        <v>0</v>
      </c>
      <c r="DH5553">
        <v>0</v>
      </c>
      <c r="DI5553">
        <v>0</v>
      </c>
    </row>
    <row r="5554" spans="1:113" x14ac:dyDescent="0.3">
      <c r="A5554" t="str">
        <f t="shared" si="2582"/>
        <v>05/12/2020 14:51:16.453</v>
      </c>
      <c r="C5554" t="str">
        <f t="shared" si="2568"/>
        <v>FFDFD3C0</v>
      </c>
      <c r="D5554" t="s">
        <v>134</v>
      </c>
      <c r="E5554">
        <v>12</v>
      </c>
      <c r="H5554">
        <v>64</v>
      </c>
      <c r="I5554" t="s">
        <v>135</v>
      </c>
      <c r="J5554" t="s">
        <v>136</v>
      </c>
      <c r="K5554">
        <v>0</v>
      </c>
      <c r="L5554">
        <v>3</v>
      </c>
      <c r="M5554">
        <v>0</v>
      </c>
      <c r="N5554">
        <v>2</v>
      </c>
      <c r="O5554">
        <v>1</v>
      </c>
      <c r="P5554">
        <v>0</v>
      </c>
      <c r="Q5554">
        <v>0</v>
      </c>
      <c r="S5554" t="str">
        <f t="shared" si="2583"/>
        <v>14:51:34.266</v>
      </c>
      <c r="T5554" t="str">
        <f t="shared" si="2584"/>
        <v>14:51:33.966</v>
      </c>
      <c r="U5554" t="str">
        <f t="shared" si="2559"/>
        <v>A9808D</v>
      </c>
      <c r="V5554">
        <v>0</v>
      </c>
      <c r="W5554">
        <v>0</v>
      </c>
      <c r="X5554">
        <v>1</v>
      </c>
      <c r="Z5554">
        <v>0</v>
      </c>
      <c r="AA5554">
        <v>9</v>
      </c>
      <c r="AB5554">
        <v>3</v>
      </c>
      <c r="AC5554">
        <v>0</v>
      </c>
      <c r="AD5554">
        <v>10</v>
      </c>
      <c r="AE5554">
        <v>0</v>
      </c>
      <c r="AF5554">
        <v>3</v>
      </c>
      <c r="AG5554">
        <v>2</v>
      </c>
      <c r="AH5554">
        <v>0</v>
      </c>
      <c r="AI5554" t="s">
        <v>1233</v>
      </c>
      <c r="AJ5554">
        <v>28.211259999999999</v>
      </c>
      <c r="AK5554" t="s">
        <v>1234</v>
      </c>
      <c r="AL5554">
        <v>-82.391152000000005</v>
      </c>
      <c r="AM5554">
        <v>100</v>
      </c>
      <c r="AN5554">
        <v>1100</v>
      </c>
      <c r="AO5554" t="s">
        <v>118</v>
      </c>
      <c r="AP5554">
        <v>60</v>
      </c>
      <c r="AQ5554">
        <v>-94</v>
      </c>
      <c r="AR5554">
        <v>-768</v>
      </c>
      <c r="AZ5554">
        <v>1200</v>
      </c>
      <c r="BA5554">
        <v>1</v>
      </c>
      <c r="BB5554" t="str">
        <f t="shared" si="2569"/>
        <v xml:space="preserve">N711JA  </v>
      </c>
      <c r="BC5554">
        <v>1</v>
      </c>
      <c r="BE5554">
        <v>0</v>
      </c>
      <c r="BF5554">
        <v>0</v>
      </c>
      <c r="BG5554">
        <v>0</v>
      </c>
      <c r="BH5554">
        <v>1125</v>
      </c>
      <c r="BI5554">
        <v>1</v>
      </c>
      <c r="BJ5554">
        <v>1</v>
      </c>
      <c r="BK5554">
        <v>0</v>
      </c>
      <c r="BL5554">
        <v>0</v>
      </c>
      <c r="BO5554">
        <v>0</v>
      </c>
      <c r="BP5554">
        <v>0</v>
      </c>
      <c r="BW5554" t="str">
        <f t="shared" si="2585"/>
        <v>14:51:34.268</v>
      </c>
      <c r="CJ5554">
        <v>0</v>
      </c>
      <c r="CK5554">
        <v>2</v>
      </c>
      <c r="CL5554">
        <v>0</v>
      </c>
      <c r="CM5554">
        <v>2</v>
      </c>
      <c r="CN5554">
        <v>0</v>
      </c>
      <c r="CO5554">
        <v>7</v>
      </c>
      <c r="CP5554" t="s">
        <v>119</v>
      </c>
      <c r="CQ5554">
        <v>343</v>
      </c>
      <c r="CR5554">
        <v>1</v>
      </c>
      <c r="CW5554">
        <v>11169164</v>
      </c>
      <c r="CY5554">
        <v>1</v>
      </c>
      <c r="CZ5554">
        <v>0</v>
      </c>
      <c r="DA5554">
        <v>1</v>
      </c>
      <c r="DB5554">
        <v>0</v>
      </c>
      <c r="DC5554">
        <v>0</v>
      </c>
      <c r="DD5554">
        <v>1</v>
      </c>
      <c r="DE5554">
        <v>0</v>
      </c>
      <c r="DF5554">
        <v>0</v>
      </c>
      <c r="DG5554">
        <v>0</v>
      </c>
      <c r="DH5554">
        <v>0</v>
      </c>
      <c r="DI5554">
        <v>0</v>
      </c>
    </row>
    <row r="5555" spans="1:113" x14ac:dyDescent="0.3">
      <c r="A5555" t="str">
        <f t="shared" si="2582"/>
        <v>05/12/2020 14:51:16.453</v>
      </c>
      <c r="C5555" t="str">
        <f t="shared" si="2568"/>
        <v>FFDFD3C0</v>
      </c>
      <c r="D5555" t="s">
        <v>126</v>
      </c>
      <c r="E5555">
        <v>6</v>
      </c>
      <c r="F5555">
        <v>1006</v>
      </c>
      <c r="G5555" t="s">
        <v>114</v>
      </c>
      <c r="J5555" t="s">
        <v>128</v>
      </c>
      <c r="K5555">
        <v>0</v>
      </c>
      <c r="L5555">
        <v>3</v>
      </c>
      <c r="M5555">
        <v>0</v>
      </c>
      <c r="N5555">
        <v>2</v>
      </c>
      <c r="O5555">
        <v>1</v>
      </c>
      <c r="P5555">
        <v>0</v>
      </c>
      <c r="Q5555">
        <v>0</v>
      </c>
      <c r="S5555" t="str">
        <f t="shared" si="2583"/>
        <v>14:51:34.266</v>
      </c>
      <c r="T5555" t="str">
        <f t="shared" si="2584"/>
        <v>14:51:33.966</v>
      </c>
      <c r="U5555" t="str">
        <f t="shared" si="2559"/>
        <v>A9808D</v>
      </c>
      <c r="V5555">
        <v>0</v>
      </c>
      <c r="W5555">
        <v>0</v>
      </c>
      <c r="X5555">
        <v>1</v>
      </c>
      <c r="Z5555">
        <v>0</v>
      </c>
      <c r="AA5555">
        <v>9</v>
      </c>
      <c r="AB5555">
        <v>3</v>
      </c>
      <c r="AC5555">
        <v>0</v>
      </c>
      <c r="AD5555">
        <v>10</v>
      </c>
      <c r="AE5555">
        <v>0</v>
      </c>
      <c r="AF5555">
        <v>3</v>
      </c>
      <c r="AG5555">
        <v>2</v>
      </c>
      <c r="AH5555">
        <v>0</v>
      </c>
      <c r="AI5555" t="s">
        <v>1233</v>
      </c>
      <c r="AJ5555">
        <v>28.211259999999999</v>
      </c>
      <c r="AK5555" t="s">
        <v>1234</v>
      </c>
      <c r="AL5555">
        <v>-82.391152000000005</v>
      </c>
      <c r="AM5555">
        <v>100</v>
      </c>
      <c r="AN5555">
        <v>1100</v>
      </c>
      <c r="AO5555" t="s">
        <v>118</v>
      </c>
      <c r="AP5555">
        <v>60</v>
      </c>
      <c r="AQ5555">
        <v>-94</v>
      </c>
      <c r="AR5555">
        <v>-768</v>
      </c>
      <c r="AZ5555">
        <v>1200</v>
      </c>
      <c r="BA5555">
        <v>1</v>
      </c>
      <c r="BB5555" t="str">
        <f t="shared" si="2569"/>
        <v xml:space="preserve">N711JA  </v>
      </c>
      <c r="BC5555">
        <v>1</v>
      </c>
      <c r="BE5555">
        <v>0</v>
      </c>
      <c r="BF5555">
        <v>0</v>
      </c>
      <c r="BG5555">
        <v>0</v>
      </c>
      <c r="BH5555">
        <v>1125</v>
      </c>
      <c r="BI5555">
        <v>1</v>
      </c>
      <c r="BJ5555">
        <v>1</v>
      </c>
      <c r="BK5555">
        <v>0</v>
      </c>
      <c r="BL5555">
        <v>0</v>
      </c>
      <c r="BO5555">
        <v>0</v>
      </c>
      <c r="BP5555">
        <v>0</v>
      </c>
      <c r="BW5555" t="str">
        <f t="shared" si="2585"/>
        <v>14:51:34.268</v>
      </c>
      <c r="CJ5555">
        <v>0</v>
      </c>
      <c r="CK5555">
        <v>2</v>
      </c>
      <c r="CL5555">
        <v>0</v>
      </c>
      <c r="CM5555">
        <v>2</v>
      </c>
      <c r="CN5555">
        <v>0</v>
      </c>
      <c r="CO5555">
        <v>7</v>
      </c>
      <c r="CP5555" t="s">
        <v>119</v>
      </c>
      <c r="CQ5555">
        <v>343</v>
      </c>
      <c r="CR5555">
        <v>1</v>
      </c>
      <c r="CW5555">
        <v>11169164</v>
      </c>
      <c r="CY5555">
        <v>1</v>
      </c>
      <c r="CZ5555">
        <v>0</v>
      </c>
      <c r="DA5555">
        <v>1</v>
      </c>
      <c r="DB5555">
        <v>0</v>
      </c>
      <c r="DC5555">
        <v>0</v>
      </c>
      <c r="DD5555">
        <v>1</v>
      </c>
      <c r="DE5555">
        <v>0</v>
      </c>
      <c r="DF5555">
        <v>0</v>
      </c>
      <c r="DG5555">
        <v>0</v>
      </c>
      <c r="DH5555">
        <v>0</v>
      </c>
      <c r="DI5555">
        <v>0</v>
      </c>
    </row>
    <row r="5556" spans="1:113" x14ac:dyDescent="0.3">
      <c r="A5556" t="str">
        <f t="shared" si="2582"/>
        <v>05/12/2020 14:51:16.453</v>
      </c>
      <c r="C5556" t="str">
        <f t="shared" si="2568"/>
        <v>FFDFD3C0</v>
      </c>
      <c r="D5556" t="s">
        <v>113</v>
      </c>
      <c r="E5556">
        <v>3</v>
      </c>
      <c r="H5556">
        <v>164</v>
      </c>
      <c r="I5556" t="s">
        <v>114</v>
      </c>
      <c r="J5556" t="s">
        <v>115</v>
      </c>
      <c r="K5556">
        <v>0</v>
      </c>
      <c r="L5556">
        <v>3</v>
      </c>
      <c r="M5556">
        <v>0</v>
      </c>
      <c r="N5556">
        <v>2</v>
      </c>
      <c r="O5556">
        <v>1</v>
      </c>
      <c r="P5556">
        <v>0</v>
      </c>
      <c r="Q5556">
        <v>0</v>
      </c>
      <c r="S5556" t="str">
        <f t="shared" si="2583"/>
        <v>14:51:34.266</v>
      </c>
      <c r="T5556" t="str">
        <f t="shared" si="2584"/>
        <v>14:51:33.966</v>
      </c>
      <c r="U5556" t="str">
        <f t="shared" si="2559"/>
        <v>A9808D</v>
      </c>
      <c r="V5556">
        <v>0</v>
      </c>
      <c r="W5556">
        <v>0</v>
      </c>
      <c r="X5556">
        <v>1</v>
      </c>
      <c r="Z5556">
        <v>0</v>
      </c>
      <c r="AA5556">
        <v>9</v>
      </c>
      <c r="AB5556">
        <v>3</v>
      </c>
      <c r="AC5556">
        <v>0</v>
      </c>
      <c r="AD5556">
        <v>10</v>
      </c>
      <c r="AE5556">
        <v>0</v>
      </c>
      <c r="AF5556">
        <v>3</v>
      </c>
      <c r="AG5556">
        <v>2</v>
      </c>
      <c r="AH5556">
        <v>0</v>
      </c>
      <c r="AI5556" t="s">
        <v>1233</v>
      </c>
      <c r="AJ5556">
        <v>28.211259999999999</v>
      </c>
      <c r="AK5556" t="s">
        <v>1234</v>
      </c>
      <c r="AL5556">
        <v>-82.391152000000005</v>
      </c>
      <c r="AM5556">
        <v>100</v>
      </c>
      <c r="AN5556">
        <v>1100</v>
      </c>
      <c r="AO5556" t="s">
        <v>118</v>
      </c>
      <c r="AP5556">
        <v>60</v>
      </c>
      <c r="AQ5556">
        <v>-94</v>
      </c>
      <c r="AR5556">
        <v>-768</v>
      </c>
      <c r="AZ5556">
        <v>1200</v>
      </c>
      <c r="BA5556">
        <v>1</v>
      </c>
      <c r="BB5556" t="str">
        <f t="shared" si="2569"/>
        <v xml:space="preserve">N711JA  </v>
      </c>
      <c r="BC5556">
        <v>1</v>
      </c>
      <c r="BE5556">
        <v>0</v>
      </c>
      <c r="BF5556">
        <v>0</v>
      </c>
      <c r="BG5556">
        <v>0</v>
      </c>
      <c r="BH5556">
        <v>1125</v>
      </c>
      <c r="BI5556">
        <v>1</v>
      </c>
      <c r="BJ5556">
        <v>1</v>
      </c>
      <c r="BK5556">
        <v>0</v>
      </c>
      <c r="BL5556">
        <v>0</v>
      </c>
      <c r="BO5556">
        <v>0</v>
      </c>
      <c r="BP5556">
        <v>0</v>
      </c>
      <c r="BW5556" t="str">
        <f t="shared" si="2585"/>
        <v>14:51:34.268</v>
      </c>
      <c r="CJ5556">
        <v>0</v>
      </c>
      <c r="CK5556">
        <v>2</v>
      </c>
      <c r="CL5556">
        <v>0</v>
      </c>
      <c r="CM5556">
        <v>2</v>
      </c>
      <c r="CN5556">
        <v>0</v>
      </c>
      <c r="CO5556">
        <v>7</v>
      </c>
      <c r="CP5556" t="s">
        <v>119</v>
      </c>
      <c r="CQ5556">
        <v>343</v>
      </c>
      <c r="CR5556">
        <v>1</v>
      </c>
      <c r="CW5556">
        <v>11169164</v>
      </c>
      <c r="CY5556">
        <v>1</v>
      </c>
      <c r="CZ5556">
        <v>0</v>
      </c>
      <c r="DA5556">
        <v>1</v>
      </c>
      <c r="DB5556">
        <v>0</v>
      </c>
      <c r="DC5556">
        <v>0</v>
      </c>
      <c r="DD5556">
        <v>1</v>
      </c>
      <c r="DE5556">
        <v>0</v>
      </c>
      <c r="DF5556">
        <v>0</v>
      </c>
      <c r="DG5556">
        <v>0</v>
      </c>
      <c r="DH5556">
        <v>0</v>
      </c>
      <c r="DI5556">
        <v>0</v>
      </c>
    </row>
    <row r="5557" spans="1:113" x14ac:dyDescent="0.3">
      <c r="A5557" t="str">
        <f t="shared" si="2582"/>
        <v>05/12/2020 14:51:16.453</v>
      </c>
      <c r="C5557" t="str">
        <f t="shared" si="2568"/>
        <v>FFDFD3C0</v>
      </c>
      <c r="D5557" t="s">
        <v>138</v>
      </c>
      <c r="E5557">
        <v>2</v>
      </c>
      <c r="H5557">
        <v>8</v>
      </c>
      <c r="I5557" t="s">
        <v>139</v>
      </c>
      <c r="J5557" t="s">
        <v>136</v>
      </c>
      <c r="K5557">
        <v>0</v>
      </c>
      <c r="L5557">
        <v>3</v>
      </c>
      <c r="M5557">
        <v>0</v>
      </c>
      <c r="N5557">
        <v>2</v>
      </c>
      <c r="O5557">
        <v>1</v>
      </c>
      <c r="P5557">
        <v>0</v>
      </c>
      <c r="Q5557">
        <v>0</v>
      </c>
      <c r="S5557" t="str">
        <f t="shared" si="2583"/>
        <v>14:51:34.266</v>
      </c>
      <c r="T5557" t="str">
        <f t="shared" si="2584"/>
        <v>14:51:33.966</v>
      </c>
      <c r="U5557" t="str">
        <f t="shared" si="2559"/>
        <v>A9808D</v>
      </c>
      <c r="V5557">
        <v>0</v>
      </c>
      <c r="W5557">
        <v>0</v>
      </c>
      <c r="X5557">
        <v>1</v>
      </c>
      <c r="Z5557">
        <v>0</v>
      </c>
      <c r="AA5557">
        <v>9</v>
      </c>
      <c r="AB5557">
        <v>3</v>
      </c>
      <c r="AC5557">
        <v>0</v>
      </c>
      <c r="AD5557">
        <v>10</v>
      </c>
      <c r="AE5557">
        <v>0</v>
      </c>
      <c r="AF5557">
        <v>3</v>
      </c>
      <c r="AG5557">
        <v>2</v>
      </c>
      <c r="AH5557">
        <v>0</v>
      </c>
      <c r="AI5557" t="s">
        <v>1233</v>
      </c>
      <c r="AJ5557">
        <v>28.211259999999999</v>
      </c>
      <c r="AK5557" t="s">
        <v>1234</v>
      </c>
      <c r="AL5557">
        <v>-82.391152000000005</v>
      </c>
      <c r="AM5557">
        <v>100</v>
      </c>
      <c r="AN5557">
        <v>1100</v>
      </c>
      <c r="AO5557" t="s">
        <v>118</v>
      </c>
      <c r="AP5557">
        <v>60</v>
      </c>
      <c r="AQ5557">
        <v>-94</v>
      </c>
      <c r="AR5557">
        <v>-768</v>
      </c>
      <c r="AZ5557">
        <v>1200</v>
      </c>
      <c r="BA5557">
        <v>1</v>
      </c>
      <c r="BB5557" t="str">
        <f t="shared" si="2569"/>
        <v xml:space="preserve">N711JA  </v>
      </c>
      <c r="BC5557">
        <v>1</v>
      </c>
      <c r="BE5557">
        <v>0</v>
      </c>
      <c r="BF5557">
        <v>0</v>
      </c>
      <c r="BG5557">
        <v>0</v>
      </c>
      <c r="BH5557">
        <v>1125</v>
      </c>
      <c r="BI5557">
        <v>1</v>
      </c>
      <c r="BJ5557">
        <v>1</v>
      </c>
      <c r="BK5557">
        <v>0</v>
      </c>
      <c r="BL5557">
        <v>0</v>
      </c>
      <c r="BO5557">
        <v>0</v>
      </c>
      <c r="BP5557">
        <v>0</v>
      </c>
      <c r="BW5557" t="str">
        <f t="shared" si="2585"/>
        <v>14:51:34.268</v>
      </c>
      <c r="CJ5557">
        <v>0</v>
      </c>
      <c r="CK5557">
        <v>2</v>
      </c>
      <c r="CL5557">
        <v>0</v>
      </c>
      <c r="CM5557">
        <v>2</v>
      </c>
      <c r="CN5557">
        <v>0</v>
      </c>
      <c r="CO5557">
        <v>7</v>
      </c>
      <c r="CP5557" t="s">
        <v>119</v>
      </c>
      <c r="CQ5557">
        <v>343</v>
      </c>
      <c r="CR5557">
        <v>1</v>
      </c>
      <c r="CW5557">
        <v>11169164</v>
      </c>
      <c r="CY5557">
        <v>1</v>
      </c>
      <c r="CZ5557">
        <v>0</v>
      </c>
      <c r="DA5557">
        <v>1</v>
      </c>
      <c r="DB5557">
        <v>0</v>
      </c>
      <c r="DC5557">
        <v>0</v>
      </c>
      <c r="DD5557">
        <v>1</v>
      </c>
      <c r="DE5557">
        <v>0</v>
      </c>
      <c r="DF5557">
        <v>0</v>
      </c>
      <c r="DG5557">
        <v>0</v>
      </c>
      <c r="DH5557">
        <v>0</v>
      </c>
      <c r="DI5557">
        <v>0</v>
      </c>
    </row>
    <row r="5558" spans="1:113" x14ac:dyDescent="0.3">
      <c r="A5558" t="str">
        <f t="shared" si="2582"/>
        <v>05/12/2020 14:51:16.453</v>
      </c>
      <c r="C5558" t="str">
        <f t="shared" si="2568"/>
        <v>FFDFD3C0</v>
      </c>
      <c r="D5558" t="s">
        <v>138</v>
      </c>
      <c r="E5558">
        <v>3</v>
      </c>
      <c r="H5558">
        <v>9</v>
      </c>
      <c r="I5558" t="s">
        <v>140</v>
      </c>
      <c r="J5558" t="s">
        <v>136</v>
      </c>
      <c r="K5558">
        <v>0</v>
      </c>
      <c r="L5558">
        <v>3</v>
      </c>
      <c r="M5558">
        <v>0</v>
      </c>
      <c r="N5558">
        <v>2</v>
      </c>
      <c r="O5558">
        <v>1</v>
      </c>
      <c r="P5558">
        <v>0</v>
      </c>
      <c r="Q5558">
        <v>0</v>
      </c>
      <c r="S5558" t="str">
        <f t="shared" si="2583"/>
        <v>14:51:34.266</v>
      </c>
      <c r="T5558" t="str">
        <f t="shared" si="2584"/>
        <v>14:51:33.966</v>
      </c>
      <c r="U5558" t="str">
        <f t="shared" si="2559"/>
        <v>A9808D</v>
      </c>
      <c r="V5558">
        <v>0</v>
      </c>
      <c r="W5558">
        <v>0</v>
      </c>
      <c r="X5558">
        <v>1</v>
      </c>
      <c r="Z5558">
        <v>0</v>
      </c>
      <c r="AA5558">
        <v>9</v>
      </c>
      <c r="AB5558">
        <v>3</v>
      </c>
      <c r="AC5558">
        <v>0</v>
      </c>
      <c r="AD5558">
        <v>10</v>
      </c>
      <c r="AE5558">
        <v>0</v>
      </c>
      <c r="AF5558">
        <v>3</v>
      </c>
      <c r="AG5558">
        <v>2</v>
      </c>
      <c r="AH5558">
        <v>0</v>
      </c>
      <c r="AI5558" t="s">
        <v>1233</v>
      </c>
      <c r="AJ5558">
        <v>28.211259999999999</v>
      </c>
      <c r="AK5558" t="s">
        <v>1234</v>
      </c>
      <c r="AL5558">
        <v>-82.391152000000005</v>
      </c>
      <c r="AM5558">
        <v>100</v>
      </c>
      <c r="AN5558">
        <v>1100</v>
      </c>
      <c r="AO5558" t="s">
        <v>118</v>
      </c>
      <c r="AP5558">
        <v>60</v>
      </c>
      <c r="AQ5558">
        <v>-94</v>
      </c>
      <c r="AR5558">
        <v>-768</v>
      </c>
      <c r="AZ5558">
        <v>1200</v>
      </c>
      <c r="BA5558">
        <v>1</v>
      </c>
      <c r="BB5558" t="str">
        <f t="shared" si="2569"/>
        <v xml:space="preserve">N711JA  </v>
      </c>
      <c r="BC5558">
        <v>1</v>
      </c>
      <c r="BE5558">
        <v>0</v>
      </c>
      <c r="BF5558">
        <v>0</v>
      </c>
      <c r="BG5558">
        <v>0</v>
      </c>
      <c r="BH5558">
        <v>1125</v>
      </c>
      <c r="BI5558">
        <v>1</v>
      </c>
      <c r="BJ5558">
        <v>1</v>
      </c>
      <c r="BK5558">
        <v>0</v>
      </c>
      <c r="BL5558">
        <v>0</v>
      </c>
      <c r="BO5558">
        <v>0</v>
      </c>
      <c r="BP5558">
        <v>0</v>
      </c>
      <c r="BW5558" t="str">
        <f t="shared" si="2585"/>
        <v>14:51:34.268</v>
      </c>
      <c r="CJ5558">
        <v>0</v>
      </c>
      <c r="CK5558">
        <v>2</v>
      </c>
      <c r="CL5558">
        <v>0</v>
      </c>
      <c r="CM5558">
        <v>2</v>
      </c>
      <c r="CN5558">
        <v>0</v>
      </c>
      <c r="CO5558">
        <v>7</v>
      </c>
      <c r="CP5558" t="s">
        <v>119</v>
      </c>
      <c r="CQ5558">
        <v>343</v>
      </c>
      <c r="CR5558">
        <v>1</v>
      </c>
      <c r="CW5558">
        <v>11169164</v>
      </c>
      <c r="CY5558">
        <v>1</v>
      </c>
      <c r="CZ5558">
        <v>0</v>
      </c>
      <c r="DA5558">
        <v>1</v>
      </c>
      <c r="DB5558">
        <v>0</v>
      </c>
      <c r="DC5558">
        <v>0</v>
      </c>
      <c r="DD5558">
        <v>1</v>
      </c>
      <c r="DE5558">
        <v>0</v>
      </c>
      <c r="DF5558">
        <v>0</v>
      </c>
      <c r="DG5558">
        <v>0</v>
      </c>
      <c r="DH5558">
        <v>0</v>
      </c>
      <c r="DI5558">
        <v>0</v>
      </c>
    </row>
    <row r="5559" spans="1:113" x14ac:dyDescent="0.3">
      <c r="A5559" t="str">
        <f t="shared" ref="A5559:A5566" si="2586">"05/12/2020 14:51:17.509"</f>
        <v>05/12/2020 14:51:17.509</v>
      </c>
      <c r="C5559" t="str">
        <f t="shared" si="2568"/>
        <v>FFDFD3C0</v>
      </c>
      <c r="D5559" t="s">
        <v>126</v>
      </c>
      <c r="E5559">
        <v>7</v>
      </c>
      <c r="F5559">
        <v>1007</v>
      </c>
      <c r="G5559" t="s">
        <v>127</v>
      </c>
      <c r="J5559" t="s">
        <v>128</v>
      </c>
      <c r="K5559">
        <v>0</v>
      </c>
      <c r="L5559">
        <v>3</v>
      </c>
      <c r="M5559">
        <v>0</v>
      </c>
      <c r="N5559">
        <v>2</v>
      </c>
      <c r="O5559">
        <v>1</v>
      </c>
      <c r="P5559">
        <v>0</v>
      </c>
      <c r="Q5559">
        <v>0</v>
      </c>
      <c r="S5559" t="str">
        <f t="shared" ref="S5559:S5566" si="2587">"14:51:35.344"</f>
        <v>14:51:35.344</v>
      </c>
      <c r="T5559" t="str">
        <f t="shared" ref="T5559:T5566" si="2588">"14:51:35.044"</f>
        <v>14:51:35.044</v>
      </c>
      <c r="U5559" t="str">
        <f t="shared" si="2559"/>
        <v>A9808D</v>
      </c>
      <c r="V5559">
        <v>0</v>
      </c>
      <c r="W5559">
        <v>0</v>
      </c>
      <c r="X5559">
        <v>1</v>
      </c>
      <c r="Z5559">
        <v>0</v>
      </c>
      <c r="AA5559">
        <v>9</v>
      </c>
      <c r="AB5559">
        <v>3</v>
      </c>
      <c r="AC5559">
        <v>0</v>
      </c>
      <c r="AD5559">
        <v>10</v>
      </c>
      <c r="AE5559">
        <v>0</v>
      </c>
      <c r="AF5559">
        <v>3</v>
      </c>
      <c r="AG5559">
        <v>2</v>
      </c>
      <c r="AH5559">
        <v>0</v>
      </c>
      <c r="AI5559" t="s">
        <v>1235</v>
      </c>
      <c r="AJ5559">
        <v>28.210788000000001</v>
      </c>
      <c r="AK5559" t="s">
        <v>1236</v>
      </c>
      <c r="AL5559">
        <v>-82.390809000000004</v>
      </c>
      <c r="AM5559">
        <v>100</v>
      </c>
      <c r="AN5559">
        <v>1000</v>
      </c>
      <c r="AO5559" t="s">
        <v>118</v>
      </c>
      <c r="AP5559">
        <v>62</v>
      </c>
      <c r="AQ5559">
        <v>-93</v>
      </c>
      <c r="AR5559">
        <v>-896</v>
      </c>
      <c r="AZ5559">
        <v>1200</v>
      </c>
      <c r="BA5559">
        <v>1</v>
      </c>
      <c r="BB5559" t="str">
        <f t="shared" si="2569"/>
        <v xml:space="preserve">N711JA  </v>
      </c>
      <c r="BC5559">
        <v>1</v>
      </c>
      <c r="BE5559">
        <v>0</v>
      </c>
      <c r="BF5559">
        <v>0</v>
      </c>
      <c r="BG5559">
        <v>0</v>
      </c>
      <c r="BH5559">
        <v>1025</v>
      </c>
      <c r="BI5559">
        <v>1</v>
      </c>
      <c r="BJ5559">
        <v>1</v>
      </c>
      <c r="BK5559">
        <v>0</v>
      </c>
      <c r="BL5559">
        <v>0</v>
      </c>
      <c r="BO5559">
        <v>0</v>
      </c>
      <c r="BP5559">
        <v>0</v>
      </c>
      <c r="BW5559" t="str">
        <f t="shared" ref="BW5559:BW5566" si="2589">"14:51:35.351"</f>
        <v>14:51:35.351</v>
      </c>
      <c r="CJ5559">
        <v>0</v>
      </c>
      <c r="CK5559">
        <v>2</v>
      </c>
      <c r="CL5559">
        <v>0</v>
      </c>
      <c r="CM5559">
        <v>2</v>
      </c>
      <c r="CN5559">
        <v>0</v>
      </c>
      <c r="CO5559">
        <v>7</v>
      </c>
      <c r="CP5559" t="s">
        <v>119</v>
      </c>
      <c r="CQ5559">
        <v>343</v>
      </c>
      <c r="CR5559">
        <v>1</v>
      </c>
      <c r="CW5559">
        <v>11170179</v>
      </c>
      <c r="CY5559">
        <v>1</v>
      </c>
      <c r="CZ5559">
        <v>0</v>
      </c>
      <c r="DA5559">
        <v>0</v>
      </c>
      <c r="DB5559">
        <v>0</v>
      </c>
      <c r="DC5559">
        <v>0</v>
      </c>
      <c r="DD5559">
        <v>1</v>
      </c>
      <c r="DE5559">
        <v>0</v>
      </c>
      <c r="DF5559">
        <v>0</v>
      </c>
      <c r="DG5559">
        <v>0</v>
      </c>
      <c r="DH5559">
        <v>0</v>
      </c>
      <c r="DI5559">
        <v>0</v>
      </c>
    </row>
    <row r="5560" spans="1:113" x14ac:dyDescent="0.3">
      <c r="A5560" t="str">
        <f t="shared" si="2586"/>
        <v>05/12/2020 14:51:17.509</v>
      </c>
      <c r="C5560" t="str">
        <f t="shared" si="2568"/>
        <v>FFDFD3C0</v>
      </c>
      <c r="D5560" t="s">
        <v>131</v>
      </c>
      <c r="E5560">
        <v>10</v>
      </c>
      <c r="F5560">
        <v>2010</v>
      </c>
      <c r="G5560" t="s">
        <v>132</v>
      </c>
      <c r="J5560" t="s">
        <v>133</v>
      </c>
      <c r="K5560">
        <v>0</v>
      </c>
      <c r="L5560">
        <v>3</v>
      </c>
      <c r="M5560">
        <v>0</v>
      </c>
      <c r="N5560">
        <v>2</v>
      </c>
      <c r="O5560">
        <v>1</v>
      </c>
      <c r="P5560">
        <v>0</v>
      </c>
      <c r="Q5560">
        <v>0</v>
      </c>
      <c r="S5560" t="str">
        <f t="shared" si="2587"/>
        <v>14:51:35.344</v>
      </c>
      <c r="T5560" t="str">
        <f t="shared" si="2588"/>
        <v>14:51:35.044</v>
      </c>
      <c r="U5560" t="str">
        <f t="shared" si="2559"/>
        <v>A9808D</v>
      </c>
      <c r="V5560">
        <v>0</v>
      </c>
      <c r="W5560">
        <v>0</v>
      </c>
      <c r="X5560">
        <v>1</v>
      </c>
      <c r="Z5560">
        <v>0</v>
      </c>
      <c r="AA5560">
        <v>9</v>
      </c>
      <c r="AB5560">
        <v>3</v>
      </c>
      <c r="AC5560">
        <v>0</v>
      </c>
      <c r="AD5560">
        <v>10</v>
      </c>
      <c r="AE5560">
        <v>0</v>
      </c>
      <c r="AF5560">
        <v>3</v>
      </c>
      <c r="AG5560">
        <v>2</v>
      </c>
      <c r="AH5560">
        <v>0</v>
      </c>
      <c r="AI5560" t="s">
        <v>1235</v>
      </c>
      <c r="AJ5560">
        <v>28.210788000000001</v>
      </c>
      <c r="AK5560" t="s">
        <v>1236</v>
      </c>
      <c r="AL5560">
        <v>-82.390809000000004</v>
      </c>
      <c r="AM5560">
        <v>100</v>
      </c>
      <c r="AN5560">
        <v>1000</v>
      </c>
      <c r="AO5560" t="s">
        <v>118</v>
      </c>
      <c r="AP5560">
        <v>62</v>
      </c>
      <c r="AQ5560">
        <v>-93</v>
      </c>
      <c r="AR5560">
        <v>-896</v>
      </c>
      <c r="AZ5560">
        <v>1200</v>
      </c>
      <c r="BA5560">
        <v>1</v>
      </c>
      <c r="BB5560" t="str">
        <f t="shared" si="2569"/>
        <v xml:space="preserve">N711JA  </v>
      </c>
      <c r="BC5560">
        <v>1</v>
      </c>
      <c r="BE5560">
        <v>0</v>
      </c>
      <c r="BF5560">
        <v>0</v>
      </c>
      <c r="BG5560">
        <v>0</v>
      </c>
      <c r="BH5560">
        <v>1025</v>
      </c>
      <c r="BI5560">
        <v>1</v>
      </c>
      <c r="BJ5560">
        <v>1</v>
      </c>
      <c r="BK5560">
        <v>0</v>
      </c>
      <c r="BL5560">
        <v>0</v>
      </c>
      <c r="BO5560">
        <v>0</v>
      </c>
      <c r="BP5560">
        <v>0</v>
      </c>
      <c r="BW5560" t="str">
        <f t="shared" si="2589"/>
        <v>14:51:35.351</v>
      </c>
      <c r="CJ5560">
        <v>0</v>
      </c>
      <c r="CK5560">
        <v>2</v>
      </c>
      <c r="CL5560">
        <v>0</v>
      </c>
      <c r="CM5560">
        <v>2</v>
      </c>
      <c r="CN5560">
        <v>0</v>
      </c>
      <c r="CO5560">
        <v>7</v>
      </c>
      <c r="CP5560" t="s">
        <v>119</v>
      </c>
      <c r="CQ5560">
        <v>343</v>
      </c>
      <c r="CR5560">
        <v>1</v>
      </c>
      <c r="CW5560">
        <v>11170179</v>
      </c>
      <c r="CY5560">
        <v>1</v>
      </c>
      <c r="CZ5560">
        <v>0</v>
      </c>
      <c r="DA5560">
        <v>1</v>
      </c>
      <c r="DB5560">
        <v>0</v>
      </c>
      <c r="DC5560">
        <v>0</v>
      </c>
      <c r="DD5560">
        <v>1</v>
      </c>
      <c r="DE5560">
        <v>0</v>
      </c>
      <c r="DF5560">
        <v>0</v>
      </c>
      <c r="DG5560">
        <v>0</v>
      </c>
      <c r="DH5560">
        <v>0</v>
      </c>
      <c r="DI5560">
        <v>0</v>
      </c>
    </row>
    <row r="5561" spans="1:113" x14ac:dyDescent="0.3">
      <c r="A5561" t="str">
        <f t="shared" si="2586"/>
        <v>05/12/2020 14:51:17.509</v>
      </c>
      <c r="C5561" t="str">
        <f t="shared" si="2568"/>
        <v>FFDFD3C0</v>
      </c>
      <c r="D5561" t="s">
        <v>131</v>
      </c>
      <c r="E5561">
        <v>12</v>
      </c>
      <c r="F5561">
        <v>2012</v>
      </c>
      <c r="G5561" t="s">
        <v>137</v>
      </c>
      <c r="J5561" t="s">
        <v>133</v>
      </c>
      <c r="K5561">
        <v>0</v>
      </c>
      <c r="L5561">
        <v>3</v>
      </c>
      <c r="M5561">
        <v>0</v>
      </c>
      <c r="N5561">
        <v>2</v>
      </c>
      <c r="O5561">
        <v>1</v>
      </c>
      <c r="P5561">
        <v>0</v>
      </c>
      <c r="Q5561">
        <v>0</v>
      </c>
      <c r="S5561" t="str">
        <f t="shared" si="2587"/>
        <v>14:51:35.344</v>
      </c>
      <c r="T5561" t="str">
        <f t="shared" si="2588"/>
        <v>14:51:35.044</v>
      </c>
      <c r="U5561" t="str">
        <f t="shared" si="2559"/>
        <v>A9808D</v>
      </c>
      <c r="V5561">
        <v>0</v>
      </c>
      <c r="W5561">
        <v>0</v>
      </c>
      <c r="X5561">
        <v>1</v>
      </c>
      <c r="Z5561">
        <v>0</v>
      </c>
      <c r="AA5561">
        <v>9</v>
      </c>
      <c r="AB5561">
        <v>3</v>
      </c>
      <c r="AC5561">
        <v>0</v>
      </c>
      <c r="AD5561">
        <v>10</v>
      </c>
      <c r="AE5561">
        <v>0</v>
      </c>
      <c r="AF5561">
        <v>3</v>
      </c>
      <c r="AG5561">
        <v>2</v>
      </c>
      <c r="AH5561">
        <v>0</v>
      </c>
      <c r="AI5561" t="s">
        <v>1235</v>
      </c>
      <c r="AJ5561">
        <v>28.210788000000001</v>
      </c>
      <c r="AK5561" t="s">
        <v>1236</v>
      </c>
      <c r="AL5561">
        <v>-82.390809000000004</v>
      </c>
      <c r="AM5561">
        <v>100</v>
      </c>
      <c r="AN5561">
        <v>1000</v>
      </c>
      <c r="AO5561" t="s">
        <v>118</v>
      </c>
      <c r="AP5561">
        <v>62</v>
      </c>
      <c r="AQ5561">
        <v>-93</v>
      </c>
      <c r="AR5561">
        <v>-896</v>
      </c>
      <c r="AZ5561">
        <v>1200</v>
      </c>
      <c r="BA5561">
        <v>1</v>
      </c>
      <c r="BB5561" t="str">
        <f t="shared" si="2569"/>
        <v xml:space="preserve">N711JA  </v>
      </c>
      <c r="BC5561">
        <v>1</v>
      </c>
      <c r="BE5561">
        <v>0</v>
      </c>
      <c r="BF5561">
        <v>0</v>
      </c>
      <c r="BG5561">
        <v>0</v>
      </c>
      <c r="BH5561">
        <v>1025</v>
      </c>
      <c r="BI5561">
        <v>1</v>
      </c>
      <c r="BJ5561">
        <v>1</v>
      </c>
      <c r="BK5561">
        <v>0</v>
      </c>
      <c r="BL5561">
        <v>0</v>
      </c>
      <c r="BO5561">
        <v>0</v>
      </c>
      <c r="BP5561">
        <v>0</v>
      </c>
      <c r="BW5561" t="str">
        <f t="shared" si="2589"/>
        <v>14:51:35.351</v>
      </c>
      <c r="CJ5561">
        <v>0</v>
      </c>
      <c r="CK5561">
        <v>2</v>
      </c>
      <c r="CL5561">
        <v>0</v>
      </c>
      <c r="CM5561">
        <v>2</v>
      </c>
      <c r="CN5561">
        <v>0</v>
      </c>
      <c r="CO5561">
        <v>7</v>
      </c>
      <c r="CP5561" t="s">
        <v>119</v>
      </c>
      <c r="CQ5561">
        <v>343</v>
      </c>
      <c r="CR5561">
        <v>1</v>
      </c>
      <c r="CW5561">
        <v>11170179</v>
      </c>
      <c r="CY5561">
        <v>1</v>
      </c>
      <c r="CZ5561">
        <v>0</v>
      </c>
      <c r="DA5561">
        <v>1</v>
      </c>
      <c r="DB5561">
        <v>0</v>
      </c>
      <c r="DC5561">
        <v>0</v>
      </c>
      <c r="DD5561">
        <v>1</v>
      </c>
      <c r="DE5561">
        <v>0</v>
      </c>
      <c r="DF5561">
        <v>0</v>
      </c>
      <c r="DG5561">
        <v>0</v>
      </c>
      <c r="DH5561">
        <v>0</v>
      </c>
      <c r="DI5561">
        <v>0</v>
      </c>
    </row>
    <row r="5562" spans="1:113" x14ac:dyDescent="0.3">
      <c r="A5562" t="str">
        <f t="shared" si="2586"/>
        <v>05/12/2020 14:51:17.509</v>
      </c>
      <c r="C5562" t="str">
        <f t="shared" si="2568"/>
        <v>FFDFD3C0</v>
      </c>
      <c r="D5562" t="s">
        <v>126</v>
      </c>
      <c r="E5562">
        <v>6</v>
      </c>
      <c r="F5562">
        <v>1006</v>
      </c>
      <c r="G5562" t="s">
        <v>114</v>
      </c>
      <c r="J5562" t="s">
        <v>128</v>
      </c>
      <c r="K5562">
        <v>0</v>
      </c>
      <c r="L5562">
        <v>3</v>
      </c>
      <c r="M5562">
        <v>0</v>
      </c>
      <c r="N5562">
        <v>2</v>
      </c>
      <c r="O5562">
        <v>1</v>
      </c>
      <c r="P5562">
        <v>0</v>
      </c>
      <c r="Q5562">
        <v>0</v>
      </c>
      <c r="S5562" t="str">
        <f t="shared" si="2587"/>
        <v>14:51:35.344</v>
      </c>
      <c r="T5562" t="str">
        <f t="shared" si="2588"/>
        <v>14:51:35.044</v>
      </c>
      <c r="U5562" t="str">
        <f t="shared" si="2559"/>
        <v>A9808D</v>
      </c>
      <c r="V5562">
        <v>0</v>
      </c>
      <c r="W5562">
        <v>0</v>
      </c>
      <c r="X5562">
        <v>1</v>
      </c>
      <c r="Z5562">
        <v>0</v>
      </c>
      <c r="AA5562">
        <v>9</v>
      </c>
      <c r="AB5562">
        <v>3</v>
      </c>
      <c r="AC5562">
        <v>0</v>
      </c>
      <c r="AD5562">
        <v>10</v>
      </c>
      <c r="AE5562">
        <v>0</v>
      </c>
      <c r="AF5562">
        <v>3</v>
      </c>
      <c r="AG5562">
        <v>2</v>
      </c>
      <c r="AH5562">
        <v>0</v>
      </c>
      <c r="AI5562" t="s">
        <v>1235</v>
      </c>
      <c r="AJ5562">
        <v>28.210788000000001</v>
      </c>
      <c r="AK5562" t="s">
        <v>1236</v>
      </c>
      <c r="AL5562">
        <v>-82.390809000000004</v>
      </c>
      <c r="AM5562">
        <v>100</v>
      </c>
      <c r="AN5562">
        <v>1000</v>
      </c>
      <c r="AO5562" t="s">
        <v>118</v>
      </c>
      <c r="AP5562">
        <v>62</v>
      </c>
      <c r="AQ5562">
        <v>-93</v>
      </c>
      <c r="AR5562">
        <v>-896</v>
      </c>
      <c r="AZ5562">
        <v>1200</v>
      </c>
      <c r="BA5562">
        <v>1</v>
      </c>
      <c r="BB5562" t="str">
        <f t="shared" si="2569"/>
        <v xml:space="preserve">N711JA  </v>
      </c>
      <c r="BC5562">
        <v>1</v>
      </c>
      <c r="BE5562">
        <v>0</v>
      </c>
      <c r="BF5562">
        <v>0</v>
      </c>
      <c r="BG5562">
        <v>0</v>
      </c>
      <c r="BH5562">
        <v>1025</v>
      </c>
      <c r="BI5562">
        <v>1</v>
      </c>
      <c r="BJ5562">
        <v>1</v>
      </c>
      <c r="BK5562">
        <v>0</v>
      </c>
      <c r="BL5562">
        <v>0</v>
      </c>
      <c r="BO5562">
        <v>0</v>
      </c>
      <c r="BP5562">
        <v>0</v>
      </c>
      <c r="BW5562" t="str">
        <f t="shared" si="2589"/>
        <v>14:51:35.351</v>
      </c>
      <c r="CJ5562">
        <v>0</v>
      </c>
      <c r="CK5562">
        <v>2</v>
      </c>
      <c r="CL5562">
        <v>0</v>
      </c>
      <c r="CM5562">
        <v>2</v>
      </c>
      <c r="CN5562">
        <v>0</v>
      </c>
      <c r="CO5562">
        <v>7</v>
      </c>
      <c r="CP5562" t="s">
        <v>119</v>
      </c>
      <c r="CQ5562">
        <v>343</v>
      </c>
      <c r="CR5562">
        <v>1</v>
      </c>
      <c r="CW5562">
        <v>11170179</v>
      </c>
      <c r="CY5562">
        <v>1</v>
      </c>
      <c r="CZ5562">
        <v>0</v>
      </c>
      <c r="DA5562">
        <v>1</v>
      </c>
      <c r="DB5562">
        <v>0</v>
      </c>
      <c r="DC5562">
        <v>0</v>
      </c>
      <c r="DD5562">
        <v>1</v>
      </c>
      <c r="DE5562">
        <v>0</v>
      </c>
      <c r="DF5562">
        <v>0</v>
      </c>
      <c r="DG5562">
        <v>0</v>
      </c>
      <c r="DH5562">
        <v>0</v>
      </c>
      <c r="DI5562">
        <v>0</v>
      </c>
    </row>
    <row r="5563" spans="1:113" x14ac:dyDescent="0.3">
      <c r="A5563" t="str">
        <f t="shared" si="2586"/>
        <v>05/12/2020 14:51:17.509</v>
      </c>
      <c r="C5563" t="str">
        <f t="shared" si="2568"/>
        <v>FFDFD3C0</v>
      </c>
      <c r="D5563" t="s">
        <v>134</v>
      </c>
      <c r="E5563">
        <v>12</v>
      </c>
      <c r="H5563">
        <v>64</v>
      </c>
      <c r="I5563" t="s">
        <v>135</v>
      </c>
      <c r="J5563" t="s">
        <v>136</v>
      </c>
      <c r="K5563">
        <v>0</v>
      </c>
      <c r="L5563">
        <v>3</v>
      </c>
      <c r="M5563">
        <v>0</v>
      </c>
      <c r="N5563">
        <v>2</v>
      </c>
      <c r="O5563">
        <v>1</v>
      </c>
      <c r="P5563">
        <v>0</v>
      </c>
      <c r="Q5563">
        <v>0</v>
      </c>
      <c r="S5563" t="str">
        <f t="shared" si="2587"/>
        <v>14:51:35.344</v>
      </c>
      <c r="T5563" t="str">
        <f t="shared" si="2588"/>
        <v>14:51:35.044</v>
      </c>
      <c r="U5563" t="str">
        <f t="shared" si="2559"/>
        <v>A9808D</v>
      </c>
      <c r="V5563">
        <v>0</v>
      </c>
      <c r="W5563">
        <v>0</v>
      </c>
      <c r="X5563">
        <v>1</v>
      </c>
      <c r="Z5563">
        <v>0</v>
      </c>
      <c r="AA5563">
        <v>9</v>
      </c>
      <c r="AB5563">
        <v>3</v>
      </c>
      <c r="AC5563">
        <v>0</v>
      </c>
      <c r="AD5563">
        <v>10</v>
      </c>
      <c r="AE5563">
        <v>0</v>
      </c>
      <c r="AF5563">
        <v>3</v>
      </c>
      <c r="AG5563">
        <v>2</v>
      </c>
      <c r="AH5563">
        <v>0</v>
      </c>
      <c r="AI5563" t="s">
        <v>1235</v>
      </c>
      <c r="AJ5563">
        <v>28.210788000000001</v>
      </c>
      <c r="AK5563" t="s">
        <v>1236</v>
      </c>
      <c r="AL5563">
        <v>-82.390809000000004</v>
      </c>
      <c r="AM5563">
        <v>100</v>
      </c>
      <c r="AN5563">
        <v>1000</v>
      </c>
      <c r="AO5563" t="s">
        <v>118</v>
      </c>
      <c r="AP5563">
        <v>62</v>
      </c>
      <c r="AQ5563">
        <v>-93</v>
      </c>
      <c r="AR5563">
        <v>-896</v>
      </c>
      <c r="AZ5563">
        <v>1200</v>
      </c>
      <c r="BA5563">
        <v>1</v>
      </c>
      <c r="BB5563" t="str">
        <f t="shared" si="2569"/>
        <v xml:space="preserve">N711JA  </v>
      </c>
      <c r="BC5563">
        <v>1</v>
      </c>
      <c r="BE5563">
        <v>0</v>
      </c>
      <c r="BF5563">
        <v>0</v>
      </c>
      <c r="BG5563">
        <v>0</v>
      </c>
      <c r="BH5563">
        <v>1025</v>
      </c>
      <c r="BI5563">
        <v>1</v>
      </c>
      <c r="BJ5563">
        <v>1</v>
      </c>
      <c r="BK5563">
        <v>0</v>
      </c>
      <c r="BL5563">
        <v>0</v>
      </c>
      <c r="BO5563">
        <v>0</v>
      </c>
      <c r="BP5563">
        <v>0</v>
      </c>
      <c r="BW5563" t="str">
        <f t="shared" si="2589"/>
        <v>14:51:35.351</v>
      </c>
      <c r="CJ5563">
        <v>0</v>
      </c>
      <c r="CK5563">
        <v>2</v>
      </c>
      <c r="CL5563">
        <v>0</v>
      </c>
      <c r="CM5563">
        <v>2</v>
      </c>
      <c r="CN5563">
        <v>0</v>
      </c>
      <c r="CO5563">
        <v>7</v>
      </c>
      <c r="CP5563" t="s">
        <v>119</v>
      </c>
      <c r="CQ5563">
        <v>343</v>
      </c>
      <c r="CR5563">
        <v>1</v>
      </c>
      <c r="CW5563">
        <v>11170179</v>
      </c>
      <c r="CY5563">
        <v>1</v>
      </c>
      <c r="CZ5563">
        <v>0</v>
      </c>
      <c r="DA5563">
        <v>1</v>
      </c>
      <c r="DB5563">
        <v>0</v>
      </c>
      <c r="DC5563">
        <v>0</v>
      </c>
      <c r="DD5563">
        <v>1</v>
      </c>
      <c r="DE5563">
        <v>0</v>
      </c>
      <c r="DF5563">
        <v>0</v>
      </c>
      <c r="DG5563">
        <v>0</v>
      </c>
      <c r="DH5563">
        <v>0</v>
      </c>
      <c r="DI5563">
        <v>0</v>
      </c>
    </row>
    <row r="5564" spans="1:113" x14ac:dyDescent="0.3">
      <c r="A5564" t="str">
        <f t="shared" si="2586"/>
        <v>05/12/2020 14:51:17.509</v>
      </c>
      <c r="C5564" t="str">
        <f t="shared" si="2568"/>
        <v>FFDFD3C0</v>
      </c>
      <c r="D5564" t="s">
        <v>113</v>
      </c>
      <c r="E5564">
        <v>3</v>
      </c>
      <c r="H5564">
        <v>164</v>
      </c>
      <c r="I5564" t="s">
        <v>114</v>
      </c>
      <c r="J5564" t="s">
        <v>115</v>
      </c>
      <c r="K5564">
        <v>0</v>
      </c>
      <c r="L5564">
        <v>3</v>
      </c>
      <c r="M5564">
        <v>0</v>
      </c>
      <c r="N5564">
        <v>2</v>
      </c>
      <c r="O5564">
        <v>1</v>
      </c>
      <c r="P5564">
        <v>0</v>
      </c>
      <c r="Q5564">
        <v>0</v>
      </c>
      <c r="S5564" t="str">
        <f t="shared" si="2587"/>
        <v>14:51:35.344</v>
      </c>
      <c r="T5564" t="str">
        <f t="shared" si="2588"/>
        <v>14:51:35.044</v>
      </c>
      <c r="U5564" t="str">
        <f t="shared" si="2559"/>
        <v>A9808D</v>
      </c>
      <c r="V5564">
        <v>0</v>
      </c>
      <c r="W5564">
        <v>0</v>
      </c>
      <c r="X5564">
        <v>1</v>
      </c>
      <c r="Z5564">
        <v>0</v>
      </c>
      <c r="AA5564">
        <v>9</v>
      </c>
      <c r="AB5564">
        <v>3</v>
      </c>
      <c r="AC5564">
        <v>0</v>
      </c>
      <c r="AD5564">
        <v>10</v>
      </c>
      <c r="AE5564">
        <v>0</v>
      </c>
      <c r="AF5564">
        <v>3</v>
      </c>
      <c r="AG5564">
        <v>2</v>
      </c>
      <c r="AH5564">
        <v>0</v>
      </c>
      <c r="AI5564" t="s">
        <v>1235</v>
      </c>
      <c r="AJ5564">
        <v>28.210788000000001</v>
      </c>
      <c r="AK5564" t="s">
        <v>1236</v>
      </c>
      <c r="AL5564">
        <v>-82.390809000000004</v>
      </c>
      <c r="AM5564">
        <v>100</v>
      </c>
      <c r="AN5564">
        <v>1000</v>
      </c>
      <c r="AO5564" t="s">
        <v>118</v>
      </c>
      <c r="AP5564">
        <v>62</v>
      </c>
      <c r="AQ5564">
        <v>-93</v>
      </c>
      <c r="AR5564">
        <v>-896</v>
      </c>
      <c r="AZ5564">
        <v>1200</v>
      </c>
      <c r="BA5564">
        <v>1</v>
      </c>
      <c r="BB5564" t="str">
        <f t="shared" si="2569"/>
        <v xml:space="preserve">N711JA  </v>
      </c>
      <c r="BC5564">
        <v>1</v>
      </c>
      <c r="BE5564">
        <v>0</v>
      </c>
      <c r="BF5564">
        <v>0</v>
      </c>
      <c r="BG5564">
        <v>0</v>
      </c>
      <c r="BH5564">
        <v>1025</v>
      </c>
      <c r="BI5564">
        <v>1</v>
      </c>
      <c r="BJ5564">
        <v>1</v>
      </c>
      <c r="BK5564">
        <v>0</v>
      </c>
      <c r="BL5564">
        <v>0</v>
      </c>
      <c r="BO5564">
        <v>0</v>
      </c>
      <c r="BP5564">
        <v>0</v>
      </c>
      <c r="BW5564" t="str">
        <f t="shared" si="2589"/>
        <v>14:51:35.351</v>
      </c>
      <c r="CJ5564">
        <v>0</v>
      </c>
      <c r="CK5564">
        <v>2</v>
      </c>
      <c r="CL5564">
        <v>0</v>
      </c>
      <c r="CM5564">
        <v>2</v>
      </c>
      <c r="CN5564">
        <v>0</v>
      </c>
      <c r="CO5564">
        <v>7</v>
      </c>
      <c r="CP5564" t="s">
        <v>119</v>
      </c>
      <c r="CQ5564">
        <v>343</v>
      </c>
      <c r="CR5564">
        <v>1</v>
      </c>
      <c r="CW5564">
        <v>11170179</v>
      </c>
      <c r="CY5564">
        <v>1</v>
      </c>
      <c r="CZ5564">
        <v>0</v>
      </c>
      <c r="DA5564">
        <v>1</v>
      </c>
      <c r="DB5564">
        <v>0</v>
      </c>
      <c r="DC5564">
        <v>0</v>
      </c>
      <c r="DD5564">
        <v>1</v>
      </c>
      <c r="DE5564">
        <v>0</v>
      </c>
      <c r="DF5564">
        <v>0</v>
      </c>
      <c r="DG5564">
        <v>0</v>
      </c>
      <c r="DH5564">
        <v>0</v>
      </c>
      <c r="DI5564">
        <v>0</v>
      </c>
    </row>
    <row r="5565" spans="1:113" x14ac:dyDescent="0.3">
      <c r="A5565" t="str">
        <f t="shared" si="2586"/>
        <v>05/12/2020 14:51:17.509</v>
      </c>
      <c r="C5565" t="str">
        <f t="shared" si="2568"/>
        <v>FFDFD3C0</v>
      </c>
      <c r="D5565" t="s">
        <v>138</v>
      </c>
      <c r="E5565">
        <v>2</v>
      </c>
      <c r="H5565">
        <v>8</v>
      </c>
      <c r="I5565" t="s">
        <v>139</v>
      </c>
      <c r="J5565" t="s">
        <v>136</v>
      </c>
      <c r="K5565">
        <v>0</v>
      </c>
      <c r="L5565">
        <v>3</v>
      </c>
      <c r="M5565">
        <v>0</v>
      </c>
      <c r="N5565">
        <v>2</v>
      </c>
      <c r="O5565">
        <v>1</v>
      </c>
      <c r="P5565">
        <v>0</v>
      </c>
      <c r="Q5565">
        <v>0</v>
      </c>
      <c r="S5565" t="str">
        <f t="shared" si="2587"/>
        <v>14:51:35.344</v>
      </c>
      <c r="T5565" t="str">
        <f t="shared" si="2588"/>
        <v>14:51:35.044</v>
      </c>
      <c r="U5565" t="str">
        <f t="shared" si="2559"/>
        <v>A9808D</v>
      </c>
      <c r="V5565">
        <v>0</v>
      </c>
      <c r="W5565">
        <v>0</v>
      </c>
      <c r="X5565">
        <v>1</v>
      </c>
      <c r="Z5565">
        <v>0</v>
      </c>
      <c r="AA5565">
        <v>9</v>
      </c>
      <c r="AB5565">
        <v>3</v>
      </c>
      <c r="AC5565">
        <v>0</v>
      </c>
      <c r="AD5565">
        <v>10</v>
      </c>
      <c r="AE5565">
        <v>0</v>
      </c>
      <c r="AF5565">
        <v>3</v>
      </c>
      <c r="AG5565">
        <v>2</v>
      </c>
      <c r="AH5565">
        <v>0</v>
      </c>
      <c r="AI5565" t="s">
        <v>1235</v>
      </c>
      <c r="AJ5565">
        <v>28.210788000000001</v>
      </c>
      <c r="AK5565" t="s">
        <v>1236</v>
      </c>
      <c r="AL5565">
        <v>-82.390809000000004</v>
      </c>
      <c r="AM5565">
        <v>100</v>
      </c>
      <c r="AN5565">
        <v>1000</v>
      </c>
      <c r="AO5565" t="s">
        <v>118</v>
      </c>
      <c r="AP5565">
        <v>62</v>
      </c>
      <c r="AQ5565">
        <v>-93</v>
      </c>
      <c r="AR5565">
        <v>-896</v>
      </c>
      <c r="AZ5565">
        <v>1200</v>
      </c>
      <c r="BA5565">
        <v>1</v>
      </c>
      <c r="BB5565" t="str">
        <f t="shared" si="2569"/>
        <v xml:space="preserve">N711JA  </v>
      </c>
      <c r="BC5565">
        <v>1</v>
      </c>
      <c r="BE5565">
        <v>0</v>
      </c>
      <c r="BF5565">
        <v>0</v>
      </c>
      <c r="BG5565">
        <v>0</v>
      </c>
      <c r="BH5565">
        <v>1025</v>
      </c>
      <c r="BI5565">
        <v>1</v>
      </c>
      <c r="BJ5565">
        <v>1</v>
      </c>
      <c r="BK5565">
        <v>0</v>
      </c>
      <c r="BL5565">
        <v>0</v>
      </c>
      <c r="BO5565">
        <v>0</v>
      </c>
      <c r="BP5565">
        <v>0</v>
      </c>
      <c r="BW5565" t="str">
        <f t="shared" si="2589"/>
        <v>14:51:35.351</v>
      </c>
      <c r="CJ5565">
        <v>0</v>
      </c>
      <c r="CK5565">
        <v>2</v>
      </c>
      <c r="CL5565">
        <v>0</v>
      </c>
      <c r="CM5565">
        <v>2</v>
      </c>
      <c r="CN5565">
        <v>0</v>
      </c>
      <c r="CO5565">
        <v>7</v>
      </c>
      <c r="CP5565" t="s">
        <v>119</v>
      </c>
      <c r="CQ5565">
        <v>343</v>
      </c>
      <c r="CR5565">
        <v>1</v>
      </c>
      <c r="CW5565">
        <v>11170179</v>
      </c>
      <c r="CY5565">
        <v>1</v>
      </c>
      <c r="CZ5565">
        <v>0</v>
      </c>
      <c r="DA5565">
        <v>1</v>
      </c>
      <c r="DB5565">
        <v>0</v>
      </c>
      <c r="DC5565">
        <v>0</v>
      </c>
      <c r="DD5565">
        <v>1</v>
      </c>
      <c r="DE5565">
        <v>0</v>
      </c>
      <c r="DF5565">
        <v>0</v>
      </c>
      <c r="DG5565">
        <v>0</v>
      </c>
      <c r="DH5565">
        <v>0</v>
      </c>
      <c r="DI5565">
        <v>0</v>
      </c>
    </row>
    <row r="5566" spans="1:113" x14ac:dyDescent="0.3">
      <c r="A5566" t="str">
        <f t="shared" si="2586"/>
        <v>05/12/2020 14:51:17.509</v>
      </c>
      <c r="C5566" t="str">
        <f t="shared" si="2568"/>
        <v>FFDFD3C0</v>
      </c>
      <c r="D5566" t="s">
        <v>138</v>
      </c>
      <c r="E5566">
        <v>3</v>
      </c>
      <c r="H5566">
        <v>9</v>
      </c>
      <c r="I5566" t="s">
        <v>140</v>
      </c>
      <c r="J5566" t="s">
        <v>136</v>
      </c>
      <c r="K5566">
        <v>0</v>
      </c>
      <c r="L5566">
        <v>3</v>
      </c>
      <c r="M5566">
        <v>0</v>
      </c>
      <c r="N5566">
        <v>2</v>
      </c>
      <c r="O5566">
        <v>1</v>
      </c>
      <c r="P5566">
        <v>0</v>
      </c>
      <c r="Q5566">
        <v>0</v>
      </c>
      <c r="S5566" t="str">
        <f t="shared" si="2587"/>
        <v>14:51:35.344</v>
      </c>
      <c r="T5566" t="str">
        <f t="shared" si="2588"/>
        <v>14:51:35.044</v>
      </c>
      <c r="U5566" t="str">
        <f t="shared" si="2559"/>
        <v>A9808D</v>
      </c>
      <c r="V5566">
        <v>0</v>
      </c>
      <c r="W5566">
        <v>0</v>
      </c>
      <c r="X5566">
        <v>1</v>
      </c>
      <c r="Z5566">
        <v>0</v>
      </c>
      <c r="AA5566">
        <v>9</v>
      </c>
      <c r="AB5566">
        <v>3</v>
      </c>
      <c r="AC5566">
        <v>0</v>
      </c>
      <c r="AD5566">
        <v>10</v>
      </c>
      <c r="AE5566">
        <v>0</v>
      </c>
      <c r="AF5566">
        <v>3</v>
      </c>
      <c r="AG5566">
        <v>2</v>
      </c>
      <c r="AH5566">
        <v>0</v>
      </c>
      <c r="AI5566" t="s">
        <v>1235</v>
      </c>
      <c r="AJ5566">
        <v>28.210788000000001</v>
      </c>
      <c r="AK5566" t="s">
        <v>1236</v>
      </c>
      <c r="AL5566">
        <v>-82.390809000000004</v>
      </c>
      <c r="AM5566">
        <v>100</v>
      </c>
      <c r="AN5566">
        <v>1000</v>
      </c>
      <c r="AO5566" t="s">
        <v>118</v>
      </c>
      <c r="AP5566">
        <v>62</v>
      </c>
      <c r="AQ5566">
        <v>-93</v>
      </c>
      <c r="AR5566">
        <v>-896</v>
      </c>
      <c r="AZ5566">
        <v>1200</v>
      </c>
      <c r="BA5566">
        <v>1</v>
      </c>
      <c r="BB5566" t="str">
        <f t="shared" si="2569"/>
        <v xml:space="preserve">N711JA  </v>
      </c>
      <c r="BC5566">
        <v>1</v>
      </c>
      <c r="BE5566">
        <v>0</v>
      </c>
      <c r="BF5566">
        <v>0</v>
      </c>
      <c r="BG5566">
        <v>0</v>
      </c>
      <c r="BH5566">
        <v>1025</v>
      </c>
      <c r="BI5566">
        <v>1</v>
      </c>
      <c r="BJ5566">
        <v>1</v>
      </c>
      <c r="BK5566">
        <v>0</v>
      </c>
      <c r="BL5566">
        <v>0</v>
      </c>
      <c r="BO5566">
        <v>0</v>
      </c>
      <c r="BP5566">
        <v>0</v>
      </c>
      <c r="BW5566" t="str">
        <f t="shared" si="2589"/>
        <v>14:51:35.351</v>
      </c>
      <c r="CJ5566">
        <v>0</v>
      </c>
      <c r="CK5566">
        <v>2</v>
      </c>
      <c r="CL5566">
        <v>0</v>
      </c>
      <c r="CM5566">
        <v>2</v>
      </c>
      <c r="CN5566">
        <v>0</v>
      </c>
      <c r="CO5566">
        <v>7</v>
      </c>
      <c r="CP5566" t="s">
        <v>119</v>
      </c>
      <c r="CQ5566">
        <v>343</v>
      </c>
      <c r="CR5566">
        <v>1</v>
      </c>
      <c r="CW5566">
        <v>11170179</v>
      </c>
      <c r="CY5566">
        <v>1</v>
      </c>
      <c r="CZ5566">
        <v>0</v>
      </c>
      <c r="DA5566">
        <v>1</v>
      </c>
      <c r="DB5566">
        <v>0</v>
      </c>
      <c r="DC5566">
        <v>0</v>
      </c>
      <c r="DD5566">
        <v>1</v>
      </c>
      <c r="DE5566">
        <v>0</v>
      </c>
      <c r="DF5566">
        <v>0</v>
      </c>
      <c r="DG5566">
        <v>0</v>
      </c>
      <c r="DH5566">
        <v>0</v>
      </c>
      <c r="DI5566">
        <v>0</v>
      </c>
    </row>
    <row r="5567" spans="1:113" x14ac:dyDescent="0.3">
      <c r="A5567" t="str">
        <f t="shared" ref="A5567:A5574" si="2590">"05/12/2020 14:51:18.598"</f>
        <v>05/12/2020 14:51:18.598</v>
      </c>
      <c r="C5567" t="str">
        <f t="shared" si="2568"/>
        <v>FFDFD3C0</v>
      </c>
      <c r="D5567" t="s">
        <v>138</v>
      </c>
      <c r="E5567">
        <v>3</v>
      </c>
      <c r="H5567">
        <v>9</v>
      </c>
      <c r="I5567" t="s">
        <v>140</v>
      </c>
      <c r="J5567" t="s">
        <v>136</v>
      </c>
      <c r="K5567">
        <v>0</v>
      </c>
      <c r="L5567">
        <v>3</v>
      </c>
      <c r="M5567">
        <v>0</v>
      </c>
      <c r="N5567">
        <v>2</v>
      </c>
      <c r="O5567">
        <v>1</v>
      </c>
      <c r="P5567">
        <v>0</v>
      </c>
      <c r="Q5567">
        <v>0</v>
      </c>
      <c r="S5567" t="str">
        <f t="shared" ref="S5567:S5574" si="2591">"14:51:36.414"</f>
        <v>14:51:36.414</v>
      </c>
      <c r="T5567" t="str">
        <f t="shared" ref="T5567:T5574" si="2592">"14:51:36.114"</f>
        <v>14:51:36.114</v>
      </c>
      <c r="U5567" t="str">
        <f t="shared" si="2559"/>
        <v>A9808D</v>
      </c>
      <c r="V5567">
        <v>0</v>
      </c>
      <c r="W5567">
        <v>0</v>
      </c>
      <c r="X5567">
        <v>1</v>
      </c>
      <c r="Z5567">
        <v>0</v>
      </c>
      <c r="AA5567">
        <v>9</v>
      </c>
      <c r="AB5567">
        <v>3</v>
      </c>
      <c r="AC5567">
        <v>0</v>
      </c>
      <c r="AD5567">
        <v>10</v>
      </c>
      <c r="AE5567">
        <v>0</v>
      </c>
      <c r="AF5567">
        <v>3</v>
      </c>
      <c r="AG5567">
        <v>2</v>
      </c>
      <c r="AH5567">
        <v>0</v>
      </c>
      <c r="AI5567" t="s">
        <v>1237</v>
      </c>
      <c r="AJ5567">
        <v>28.210336999999999</v>
      </c>
      <c r="AK5567" t="s">
        <v>1238</v>
      </c>
      <c r="AL5567">
        <v>-82.390486999999993</v>
      </c>
      <c r="AM5567">
        <v>100</v>
      </c>
      <c r="AN5567">
        <v>1000</v>
      </c>
      <c r="AO5567" t="s">
        <v>118</v>
      </c>
      <c r="AP5567">
        <v>63</v>
      </c>
      <c r="AQ5567">
        <v>-92</v>
      </c>
      <c r="AR5567">
        <v>-960</v>
      </c>
      <c r="AZ5567">
        <v>1200</v>
      </c>
      <c r="BA5567">
        <v>1</v>
      </c>
      <c r="BB5567" t="str">
        <f t="shared" si="2569"/>
        <v xml:space="preserve">N711JA  </v>
      </c>
      <c r="BC5567">
        <v>1</v>
      </c>
      <c r="BE5567">
        <v>0</v>
      </c>
      <c r="BF5567">
        <v>0</v>
      </c>
      <c r="BG5567">
        <v>0</v>
      </c>
      <c r="BH5567">
        <v>1100</v>
      </c>
      <c r="BI5567">
        <v>1</v>
      </c>
      <c r="BJ5567">
        <v>1</v>
      </c>
      <c r="BK5567">
        <v>0</v>
      </c>
      <c r="BL5567">
        <v>0</v>
      </c>
      <c r="BO5567">
        <v>0</v>
      </c>
      <c r="BP5567">
        <v>0</v>
      </c>
      <c r="BW5567" t="str">
        <f t="shared" ref="BW5567:BW5574" si="2593">"14:51:36.417"</f>
        <v>14:51:36.417</v>
      </c>
      <c r="CJ5567">
        <v>0</v>
      </c>
      <c r="CK5567">
        <v>2</v>
      </c>
      <c r="CL5567">
        <v>0</v>
      </c>
      <c r="CM5567">
        <v>2</v>
      </c>
      <c r="CN5567">
        <v>0</v>
      </c>
      <c r="CO5567">
        <v>7</v>
      </c>
      <c r="CP5567" t="s">
        <v>119</v>
      </c>
      <c r="CQ5567">
        <v>343</v>
      </c>
      <c r="CR5567">
        <v>1</v>
      </c>
      <c r="CW5567">
        <v>11171346</v>
      </c>
      <c r="CY5567">
        <v>1</v>
      </c>
      <c r="CZ5567">
        <v>0</v>
      </c>
      <c r="DA5567">
        <v>0</v>
      </c>
      <c r="DB5567">
        <v>0</v>
      </c>
      <c r="DC5567">
        <v>0</v>
      </c>
      <c r="DD5567">
        <v>1</v>
      </c>
      <c r="DE5567">
        <v>0</v>
      </c>
      <c r="DF5567">
        <v>0</v>
      </c>
      <c r="DG5567">
        <v>0</v>
      </c>
      <c r="DH5567">
        <v>0</v>
      </c>
      <c r="DI5567">
        <v>0</v>
      </c>
    </row>
    <row r="5568" spans="1:113" x14ac:dyDescent="0.3">
      <c r="A5568" t="str">
        <f t="shared" si="2590"/>
        <v>05/12/2020 14:51:18.598</v>
      </c>
      <c r="C5568" t="str">
        <f t="shared" si="2568"/>
        <v>FFDFD3C0</v>
      </c>
      <c r="D5568" t="s">
        <v>138</v>
      </c>
      <c r="E5568">
        <v>2</v>
      </c>
      <c r="H5568">
        <v>8</v>
      </c>
      <c r="I5568" t="s">
        <v>139</v>
      </c>
      <c r="J5568" t="s">
        <v>136</v>
      </c>
      <c r="K5568">
        <v>0</v>
      </c>
      <c r="L5568">
        <v>3</v>
      </c>
      <c r="M5568">
        <v>0</v>
      </c>
      <c r="N5568">
        <v>2</v>
      </c>
      <c r="O5568">
        <v>1</v>
      </c>
      <c r="P5568">
        <v>0</v>
      </c>
      <c r="Q5568">
        <v>0</v>
      </c>
      <c r="S5568" t="str">
        <f t="shared" si="2591"/>
        <v>14:51:36.414</v>
      </c>
      <c r="T5568" t="str">
        <f t="shared" si="2592"/>
        <v>14:51:36.114</v>
      </c>
      <c r="U5568" t="str">
        <f t="shared" si="2559"/>
        <v>A9808D</v>
      </c>
      <c r="V5568">
        <v>0</v>
      </c>
      <c r="W5568">
        <v>0</v>
      </c>
      <c r="X5568">
        <v>1</v>
      </c>
      <c r="Z5568">
        <v>0</v>
      </c>
      <c r="AA5568">
        <v>9</v>
      </c>
      <c r="AB5568">
        <v>3</v>
      </c>
      <c r="AC5568">
        <v>0</v>
      </c>
      <c r="AD5568">
        <v>10</v>
      </c>
      <c r="AE5568">
        <v>0</v>
      </c>
      <c r="AF5568">
        <v>3</v>
      </c>
      <c r="AG5568">
        <v>2</v>
      </c>
      <c r="AH5568">
        <v>0</v>
      </c>
      <c r="AI5568" t="s">
        <v>1237</v>
      </c>
      <c r="AJ5568">
        <v>28.210336999999999</v>
      </c>
      <c r="AK5568" t="s">
        <v>1238</v>
      </c>
      <c r="AL5568">
        <v>-82.390486999999993</v>
      </c>
      <c r="AM5568">
        <v>100</v>
      </c>
      <c r="AN5568">
        <v>1000</v>
      </c>
      <c r="AO5568" t="s">
        <v>118</v>
      </c>
      <c r="AP5568">
        <v>63</v>
      </c>
      <c r="AQ5568">
        <v>-92</v>
      </c>
      <c r="AR5568">
        <v>-960</v>
      </c>
      <c r="AZ5568">
        <v>1200</v>
      </c>
      <c r="BA5568">
        <v>1</v>
      </c>
      <c r="BB5568" t="str">
        <f t="shared" si="2569"/>
        <v xml:space="preserve">N711JA  </v>
      </c>
      <c r="BC5568">
        <v>1</v>
      </c>
      <c r="BE5568">
        <v>0</v>
      </c>
      <c r="BF5568">
        <v>0</v>
      </c>
      <c r="BG5568">
        <v>0</v>
      </c>
      <c r="BH5568">
        <v>1100</v>
      </c>
      <c r="BI5568">
        <v>1</v>
      </c>
      <c r="BJ5568">
        <v>1</v>
      </c>
      <c r="BK5568">
        <v>0</v>
      </c>
      <c r="BL5568">
        <v>0</v>
      </c>
      <c r="BO5568">
        <v>0</v>
      </c>
      <c r="BP5568">
        <v>0</v>
      </c>
      <c r="BW5568" t="str">
        <f t="shared" si="2593"/>
        <v>14:51:36.417</v>
      </c>
      <c r="CJ5568">
        <v>0</v>
      </c>
      <c r="CK5568">
        <v>2</v>
      </c>
      <c r="CL5568">
        <v>0</v>
      </c>
      <c r="CM5568">
        <v>2</v>
      </c>
      <c r="CN5568">
        <v>0</v>
      </c>
      <c r="CO5568">
        <v>7</v>
      </c>
      <c r="CP5568" t="s">
        <v>119</v>
      </c>
      <c r="CQ5568">
        <v>343</v>
      </c>
      <c r="CR5568">
        <v>1</v>
      </c>
      <c r="CW5568">
        <v>11171346</v>
      </c>
      <c r="CY5568">
        <v>1</v>
      </c>
      <c r="CZ5568">
        <v>0</v>
      </c>
      <c r="DA5568">
        <v>1</v>
      </c>
      <c r="DB5568">
        <v>0</v>
      </c>
      <c r="DC5568">
        <v>0</v>
      </c>
      <c r="DD5568">
        <v>1</v>
      </c>
      <c r="DE5568">
        <v>0</v>
      </c>
      <c r="DF5568">
        <v>0</v>
      </c>
      <c r="DG5568">
        <v>0</v>
      </c>
      <c r="DH5568">
        <v>0</v>
      </c>
      <c r="DI5568">
        <v>0</v>
      </c>
    </row>
    <row r="5569" spans="1:113" x14ac:dyDescent="0.3">
      <c r="A5569" t="str">
        <f t="shared" si="2590"/>
        <v>05/12/2020 14:51:18.598</v>
      </c>
      <c r="C5569" t="str">
        <f t="shared" si="2568"/>
        <v>FFDFD3C0</v>
      </c>
      <c r="D5569" t="s">
        <v>126</v>
      </c>
      <c r="E5569">
        <v>7</v>
      </c>
      <c r="F5569">
        <v>1007</v>
      </c>
      <c r="G5569" t="s">
        <v>127</v>
      </c>
      <c r="J5569" t="s">
        <v>128</v>
      </c>
      <c r="K5569">
        <v>0</v>
      </c>
      <c r="L5569">
        <v>3</v>
      </c>
      <c r="M5569">
        <v>0</v>
      </c>
      <c r="N5569">
        <v>2</v>
      </c>
      <c r="O5569">
        <v>1</v>
      </c>
      <c r="P5569">
        <v>0</v>
      </c>
      <c r="Q5569">
        <v>0</v>
      </c>
      <c r="S5569" t="str">
        <f t="shared" si="2591"/>
        <v>14:51:36.414</v>
      </c>
      <c r="T5569" t="str">
        <f t="shared" si="2592"/>
        <v>14:51:36.114</v>
      </c>
      <c r="U5569" t="str">
        <f t="shared" si="2559"/>
        <v>A9808D</v>
      </c>
      <c r="V5569">
        <v>0</v>
      </c>
      <c r="W5569">
        <v>0</v>
      </c>
      <c r="X5569">
        <v>1</v>
      </c>
      <c r="Z5569">
        <v>0</v>
      </c>
      <c r="AA5569">
        <v>9</v>
      </c>
      <c r="AB5569">
        <v>3</v>
      </c>
      <c r="AC5569">
        <v>0</v>
      </c>
      <c r="AD5569">
        <v>10</v>
      </c>
      <c r="AE5569">
        <v>0</v>
      </c>
      <c r="AF5569">
        <v>3</v>
      </c>
      <c r="AG5569">
        <v>2</v>
      </c>
      <c r="AH5569">
        <v>0</v>
      </c>
      <c r="AI5569" t="s">
        <v>1237</v>
      </c>
      <c r="AJ5569">
        <v>28.210336999999999</v>
      </c>
      <c r="AK5569" t="s">
        <v>1238</v>
      </c>
      <c r="AL5569">
        <v>-82.390486999999993</v>
      </c>
      <c r="AM5569">
        <v>100</v>
      </c>
      <c r="AN5569">
        <v>1000</v>
      </c>
      <c r="AO5569" t="s">
        <v>118</v>
      </c>
      <c r="AP5569">
        <v>63</v>
      </c>
      <c r="AQ5569">
        <v>-92</v>
      </c>
      <c r="AR5569">
        <v>-960</v>
      </c>
      <c r="AZ5569">
        <v>1200</v>
      </c>
      <c r="BA5569">
        <v>1</v>
      </c>
      <c r="BB5569" t="str">
        <f t="shared" si="2569"/>
        <v xml:space="preserve">N711JA  </v>
      </c>
      <c r="BC5569">
        <v>1</v>
      </c>
      <c r="BE5569">
        <v>0</v>
      </c>
      <c r="BF5569">
        <v>0</v>
      </c>
      <c r="BG5569">
        <v>0</v>
      </c>
      <c r="BH5569">
        <v>1100</v>
      </c>
      <c r="BI5569">
        <v>1</v>
      </c>
      <c r="BJ5569">
        <v>1</v>
      </c>
      <c r="BK5569">
        <v>0</v>
      </c>
      <c r="BL5569">
        <v>0</v>
      </c>
      <c r="BO5569">
        <v>0</v>
      </c>
      <c r="BP5569">
        <v>0</v>
      </c>
      <c r="BW5569" t="str">
        <f t="shared" si="2593"/>
        <v>14:51:36.417</v>
      </c>
      <c r="CJ5569">
        <v>0</v>
      </c>
      <c r="CK5569">
        <v>2</v>
      </c>
      <c r="CL5569">
        <v>0</v>
      </c>
      <c r="CM5569">
        <v>2</v>
      </c>
      <c r="CN5569">
        <v>0</v>
      </c>
      <c r="CO5569">
        <v>7</v>
      </c>
      <c r="CP5569" t="s">
        <v>119</v>
      </c>
      <c r="CQ5569">
        <v>343</v>
      </c>
      <c r="CR5569">
        <v>1</v>
      </c>
      <c r="CW5569">
        <v>11171346</v>
      </c>
      <c r="CY5569">
        <v>1</v>
      </c>
      <c r="CZ5569">
        <v>0</v>
      </c>
      <c r="DA5569">
        <v>1</v>
      </c>
      <c r="DB5569">
        <v>0</v>
      </c>
      <c r="DC5569">
        <v>0</v>
      </c>
      <c r="DD5569">
        <v>1</v>
      </c>
      <c r="DE5569">
        <v>0</v>
      </c>
      <c r="DF5569">
        <v>0</v>
      </c>
      <c r="DG5569">
        <v>0</v>
      </c>
      <c r="DH5569">
        <v>0</v>
      </c>
      <c r="DI5569">
        <v>0</v>
      </c>
    </row>
    <row r="5570" spans="1:113" x14ac:dyDescent="0.3">
      <c r="A5570" t="str">
        <f t="shared" si="2590"/>
        <v>05/12/2020 14:51:18.598</v>
      </c>
      <c r="C5570" t="str">
        <f t="shared" si="2568"/>
        <v>FFDFD3C0</v>
      </c>
      <c r="D5570" t="s">
        <v>131</v>
      </c>
      <c r="E5570">
        <v>10</v>
      </c>
      <c r="F5570">
        <v>2010</v>
      </c>
      <c r="G5570" t="s">
        <v>132</v>
      </c>
      <c r="J5570" t="s">
        <v>133</v>
      </c>
      <c r="K5570">
        <v>0</v>
      </c>
      <c r="L5570">
        <v>3</v>
      </c>
      <c r="M5570">
        <v>0</v>
      </c>
      <c r="N5570">
        <v>2</v>
      </c>
      <c r="O5570">
        <v>1</v>
      </c>
      <c r="P5570">
        <v>0</v>
      </c>
      <c r="Q5570">
        <v>0</v>
      </c>
      <c r="S5570" t="str">
        <f t="shared" si="2591"/>
        <v>14:51:36.414</v>
      </c>
      <c r="T5570" t="str">
        <f t="shared" si="2592"/>
        <v>14:51:36.114</v>
      </c>
      <c r="U5570" t="str">
        <f t="shared" ref="U5570:U5633" si="2594">"A9808D"</f>
        <v>A9808D</v>
      </c>
      <c r="V5570">
        <v>0</v>
      </c>
      <c r="W5570">
        <v>0</v>
      </c>
      <c r="X5570">
        <v>1</v>
      </c>
      <c r="Z5570">
        <v>0</v>
      </c>
      <c r="AA5570">
        <v>9</v>
      </c>
      <c r="AB5570">
        <v>3</v>
      </c>
      <c r="AC5570">
        <v>0</v>
      </c>
      <c r="AD5570">
        <v>10</v>
      </c>
      <c r="AE5570">
        <v>0</v>
      </c>
      <c r="AF5570">
        <v>3</v>
      </c>
      <c r="AG5570">
        <v>2</v>
      </c>
      <c r="AH5570">
        <v>0</v>
      </c>
      <c r="AI5570" t="s">
        <v>1237</v>
      </c>
      <c r="AJ5570">
        <v>28.210336999999999</v>
      </c>
      <c r="AK5570" t="s">
        <v>1238</v>
      </c>
      <c r="AL5570">
        <v>-82.390486999999993</v>
      </c>
      <c r="AM5570">
        <v>100</v>
      </c>
      <c r="AN5570">
        <v>1000</v>
      </c>
      <c r="AO5570" t="s">
        <v>118</v>
      </c>
      <c r="AP5570">
        <v>63</v>
      </c>
      <c r="AQ5570">
        <v>-92</v>
      </c>
      <c r="AR5570">
        <v>-960</v>
      </c>
      <c r="AZ5570">
        <v>1200</v>
      </c>
      <c r="BA5570">
        <v>1</v>
      </c>
      <c r="BB5570" t="str">
        <f t="shared" si="2569"/>
        <v xml:space="preserve">N711JA  </v>
      </c>
      <c r="BC5570">
        <v>1</v>
      </c>
      <c r="BE5570">
        <v>0</v>
      </c>
      <c r="BF5570">
        <v>0</v>
      </c>
      <c r="BG5570">
        <v>0</v>
      </c>
      <c r="BH5570">
        <v>1100</v>
      </c>
      <c r="BI5570">
        <v>1</v>
      </c>
      <c r="BJ5570">
        <v>1</v>
      </c>
      <c r="BK5570">
        <v>0</v>
      </c>
      <c r="BL5570">
        <v>0</v>
      </c>
      <c r="BO5570">
        <v>0</v>
      </c>
      <c r="BP5570">
        <v>0</v>
      </c>
      <c r="BW5570" t="str">
        <f t="shared" si="2593"/>
        <v>14:51:36.417</v>
      </c>
      <c r="CJ5570">
        <v>0</v>
      </c>
      <c r="CK5570">
        <v>2</v>
      </c>
      <c r="CL5570">
        <v>0</v>
      </c>
      <c r="CM5570">
        <v>2</v>
      </c>
      <c r="CN5570">
        <v>0</v>
      </c>
      <c r="CO5570">
        <v>7</v>
      </c>
      <c r="CP5570" t="s">
        <v>119</v>
      </c>
      <c r="CQ5570">
        <v>343</v>
      </c>
      <c r="CR5570">
        <v>1</v>
      </c>
      <c r="CW5570">
        <v>11171346</v>
      </c>
      <c r="CY5570">
        <v>1</v>
      </c>
      <c r="CZ5570">
        <v>0</v>
      </c>
      <c r="DA5570">
        <v>1</v>
      </c>
      <c r="DB5570">
        <v>0</v>
      </c>
      <c r="DC5570">
        <v>0</v>
      </c>
      <c r="DD5570">
        <v>1</v>
      </c>
      <c r="DE5570">
        <v>0</v>
      </c>
      <c r="DF5570">
        <v>0</v>
      </c>
      <c r="DG5570">
        <v>0</v>
      </c>
      <c r="DH5570">
        <v>0</v>
      </c>
      <c r="DI5570">
        <v>0</v>
      </c>
    </row>
    <row r="5571" spans="1:113" x14ac:dyDescent="0.3">
      <c r="A5571" t="str">
        <f t="shared" si="2590"/>
        <v>05/12/2020 14:51:18.598</v>
      </c>
      <c r="C5571" t="str">
        <f t="shared" si="2568"/>
        <v>FFDFD3C0</v>
      </c>
      <c r="D5571" t="s">
        <v>131</v>
      </c>
      <c r="E5571">
        <v>12</v>
      </c>
      <c r="F5571">
        <v>2012</v>
      </c>
      <c r="G5571" t="s">
        <v>137</v>
      </c>
      <c r="J5571" t="s">
        <v>133</v>
      </c>
      <c r="K5571">
        <v>0</v>
      </c>
      <c r="L5571">
        <v>3</v>
      </c>
      <c r="M5571">
        <v>0</v>
      </c>
      <c r="N5571">
        <v>2</v>
      </c>
      <c r="O5571">
        <v>1</v>
      </c>
      <c r="P5571">
        <v>0</v>
      </c>
      <c r="Q5571">
        <v>0</v>
      </c>
      <c r="S5571" t="str">
        <f t="shared" si="2591"/>
        <v>14:51:36.414</v>
      </c>
      <c r="T5571" t="str">
        <f t="shared" si="2592"/>
        <v>14:51:36.114</v>
      </c>
      <c r="U5571" t="str">
        <f t="shared" si="2594"/>
        <v>A9808D</v>
      </c>
      <c r="V5571">
        <v>0</v>
      </c>
      <c r="W5571">
        <v>0</v>
      </c>
      <c r="X5571">
        <v>1</v>
      </c>
      <c r="Z5571">
        <v>0</v>
      </c>
      <c r="AA5571">
        <v>9</v>
      </c>
      <c r="AB5571">
        <v>3</v>
      </c>
      <c r="AC5571">
        <v>0</v>
      </c>
      <c r="AD5571">
        <v>10</v>
      </c>
      <c r="AE5571">
        <v>0</v>
      </c>
      <c r="AF5571">
        <v>3</v>
      </c>
      <c r="AG5571">
        <v>2</v>
      </c>
      <c r="AH5571">
        <v>0</v>
      </c>
      <c r="AI5571" t="s">
        <v>1237</v>
      </c>
      <c r="AJ5571">
        <v>28.210336999999999</v>
      </c>
      <c r="AK5571" t="s">
        <v>1238</v>
      </c>
      <c r="AL5571">
        <v>-82.390486999999993</v>
      </c>
      <c r="AM5571">
        <v>100</v>
      </c>
      <c r="AN5571">
        <v>1000</v>
      </c>
      <c r="AO5571" t="s">
        <v>118</v>
      </c>
      <c r="AP5571">
        <v>63</v>
      </c>
      <c r="AQ5571">
        <v>-92</v>
      </c>
      <c r="AR5571">
        <v>-960</v>
      </c>
      <c r="AZ5571">
        <v>1200</v>
      </c>
      <c r="BA5571">
        <v>1</v>
      </c>
      <c r="BB5571" t="str">
        <f t="shared" si="2569"/>
        <v xml:space="preserve">N711JA  </v>
      </c>
      <c r="BC5571">
        <v>1</v>
      </c>
      <c r="BE5571">
        <v>0</v>
      </c>
      <c r="BF5571">
        <v>0</v>
      </c>
      <c r="BG5571">
        <v>0</v>
      </c>
      <c r="BH5571">
        <v>1100</v>
      </c>
      <c r="BI5571">
        <v>1</v>
      </c>
      <c r="BJ5571">
        <v>1</v>
      </c>
      <c r="BK5571">
        <v>0</v>
      </c>
      <c r="BL5571">
        <v>0</v>
      </c>
      <c r="BO5571">
        <v>0</v>
      </c>
      <c r="BP5571">
        <v>0</v>
      </c>
      <c r="BW5571" t="str">
        <f t="shared" si="2593"/>
        <v>14:51:36.417</v>
      </c>
      <c r="CJ5571">
        <v>0</v>
      </c>
      <c r="CK5571">
        <v>2</v>
      </c>
      <c r="CL5571">
        <v>0</v>
      </c>
      <c r="CM5571">
        <v>2</v>
      </c>
      <c r="CN5571">
        <v>0</v>
      </c>
      <c r="CO5571">
        <v>7</v>
      </c>
      <c r="CP5571" t="s">
        <v>119</v>
      </c>
      <c r="CQ5571">
        <v>343</v>
      </c>
      <c r="CR5571">
        <v>1</v>
      </c>
      <c r="CW5571">
        <v>11171346</v>
      </c>
      <c r="CY5571">
        <v>1</v>
      </c>
      <c r="CZ5571">
        <v>0</v>
      </c>
      <c r="DA5571">
        <v>1</v>
      </c>
      <c r="DB5571">
        <v>0</v>
      </c>
      <c r="DC5571">
        <v>0</v>
      </c>
      <c r="DD5571">
        <v>1</v>
      </c>
      <c r="DE5571">
        <v>0</v>
      </c>
      <c r="DF5571">
        <v>0</v>
      </c>
      <c r="DG5571">
        <v>0</v>
      </c>
      <c r="DH5571">
        <v>0</v>
      </c>
      <c r="DI5571">
        <v>0</v>
      </c>
    </row>
    <row r="5572" spans="1:113" x14ac:dyDescent="0.3">
      <c r="A5572" t="str">
        <f t="shared" si="2590"/>
        <v>05/12/2020 14:51:18.598</v>
      </c>
      <c r="C5572" t="str">
        <f t="shared" si="2568"/>
        <v>FFDFD3C0</v>
      </c>
      <c r="D5572" t="s">
        <v>126</v>
      </c>
      <c r="E5572">
        <v>6</v>
      </c>
      <c r="F5572">
        <v>1006</v>
      </c>
      <c r="G5572" t="s">
        <v>114</v>
      </c>
      <c r="J5572" t="s">
        <v>128</v>
      </c>
      <c r="K5572">
        <v>0</v>
      </c>
      <c r="L5572">
        <v>3</v>
      </c>
      <c r="M5572">
        <v>0</v>
      </c>
      <c r="N5572">
        <v>2</v>
      </c>
      <c r="O5572">
        <v>1</v>
      </c>
      <c r="P5572">
        <v>0</v>
      </c>
      <c r="Q5572">
        <v>0</v>
      </c>
      <c r="S5572" t="str">
        <f t="shared" si="2591"/>
        <v>14:51:36.414</v>
      </c>
      <c r="T5572" t="str">
        <f t="shared" si="2592"/>
        <v>14:51:36.114</v>
      </c>
      <c r="U5572" t="str">
        <f t="shared" si="2594"/>
        <v>A9808D</v>
      </c>
      <c r="V5572">
        <v>0</v>
      </c>
      <c r="W5572">
        <v>0</v>
      </c>
      <c r="X5572">
        <v>1</v>
      </c>
      <c r="Z5572">
        <v>0</v>
      </c>
      <c r="AA5572">
        <v>9</v>
      </c>
      <c r="AB5572">
        <v>3</v>
      </c>
      <c r="AC5572">
        <v>0</v>
      </c>
      <c r="AD5572">
        <v>10</v>
      </c>
      <c r="AE5572">
        <v>0</v>
      </c>
      <c r="AF5572">
        <v>3</v>
      </c>
      <c r="AG5572">
        <v>2</v>
      </c>
      <c r="AH5572">
        <v>0</v>
      </c>
      <c r="AI5572" t="s">
        <v>1237</v>
      </c>
      <c r="AJ5572">
        <v>28.210336999999999</v>
      </c>
      <c r="AK5572" t="s">
        <v>1238</v>
      </c>
      <c r="AL5572">
        <v>-82.390486999999993</v>
      </c>
      <c r="AM5572">
        <v>100</v>
      </c>
      <c r="AN5572">
        <v>1000</v>
      </c>
      <c r="AO5572" t="s">
        <v>118</v>
      </c>
      <c r="AP5572">
        <v>63</v>
      </c>
      <c r="AQ5572">
        <v>-92</v>
      </c>
      <c r="AR5572">
        <v>-960</v>
      </c>
      <c r="AZ5572">
        <v>1200</v>
      </c>
      <c r="BA5572">
        <v>1</v>
      </c>
      <c r="BB5572" t="str">
        <f t="shared" si="2569"/>
        <v xml:space="preserve">N711JA  </v>
      </c>
      <c r="BC5572">
        <v>1</v>
      </c>
      <c r="BE5572">
        <v>0</v>
      </c>
      <c r="BF5572">
        <v>0</v>
      </c>
      <c r="BG5572">
        <v>0</v>
      </c>
      <c r="BH5572">
        <v>1100</v>
      </c>
      <c r="BI5572">
        <v>1</v>
      </c>
      <c r="BJ5572">
        <v>1</v>
      </c>
      <c r="BK5572">
        <v>0</v>
      </c>
      <c r="BL5572">
        <v>0</v>
      </c>
      <c r="BO5572">
        <v>0</v>
      </c>
      <c r="BP5572">
        <v>0</v>
      </c>
      <c r="BW5572" t="str">
        <f t="shared" si="2593"/>
        <v>14:51:36.417</v>
      </c>
      <c r="CJ5572">
        <v>0</v>
      </c>
      <c r="CK5572">
        <v>2</v>
      </c>
      <c r="CL5572">
        <v>0</v>
      </c>
      <c r="CM5572">
        <v>2</v>
      </c>
      <c r="CN5572">
        <v>0</v>
      </c>
      <c r="CO5572">
        <v>7</v>
      </c>
      <c r="CP5572" t="s">
        <v>119</v>
      </c>
      <c r="CQ5572">
        <v>343</v>
      </c>
      <c r="CR5572">
        <v>1</v>
      </c>
      <c r="CW5572">
        <v>11171346</v>
      </c>
      <c r="CY5572">
        <v>1</v>
      </c>
      <c r="CZ5572">
        <v>0</v>
      </c>
      <c r="DA5572">
        <v>1</v>
      </c>
      <c r="DB5572">
        <v>0</v>
      </c>
      <c r="DC5572">
        <v>0</v>
      </c>
      <c r="DD5572">
        <v>1</v>
      </c>
      <c r="DE5572">
        <v>0</v>
      </c>
      <c r="DF5572">
        <v>0</v>
      </c>
      <c r="DG5572">
        <v>0</v>
      </c>
      <c r="DH5572">
        <v>0</v>
      </c>
      <c r="DI5572">
        <v>0</v>
      </c>
    </row>
    <row r="5573" spans="1:113" x14ac:dyDescent="0.3">
      <c r="A5573" t="str">
        <f t="shared" si="2590"/>
        <v>05/12/2020 14:51:18.598</v>
      </c>
      <c r="C5573" t="str">
        <f t="shared" si="2568"/>
        <v>FFDFD3C0</v>
      </c>
      <c r="D5573" t="s">
        <v>134</v>
      </c>
      <c r="E5573">
        <v>12</v>
      </c>
      <c r="H5573">
        <v>64</v>
      </c>
      <c r="I5573" t="s">
        <v>135</v>
      </c>
      <c r="J5573" t="s">
        <v>136</v>
      </c>
      <c r="K5573">
        <v>0</v>
      </c>
      <c r="L5573">
        <v>3</v>
      </c>
      <c r="M5573">
        <v>0</v>
      </c>
      <c r="N5573">
        <v>2</v>
      </c>
      <c r="O5573">
        <v>1</v>
      </c>
      <c r="P5573">
        <v>0</v>
      </c>
      <c r="Q5573">
        <v>0</v>
      </c>
      <c r="S5573" t="str">
        <f t="shared" si="2591"/>
        <v>14:51:36.414</v>
      </c>
      <c r="T5573" t="str">
        <f t="shared" si="2592"/>
        <v>14:51:36.114</v>
      </c>
      <c r="U5573" t="str">
        <f t="shared" si="2594"/>
        <v>A9808D</v>
      </c>
      <c r="V5573">
        <v>0</v>
      </c>
      <c r="W5573">
        <v>0</v>
      </c>
      <c r="X5573">
        <v>1</v>
      </c>
      <c r="Z5573">
        <v>0</v>
      </c>
      <c r="AA5573">
        <v>9</v>
      </c>
      <c r="AB5573">
        <v>3</v>
      </c>
      <c r="AC5573">
        <v>0</v>
      </c>
      <c r="AD5573">
        <v>10</v>
      </c>
      <c r="AE5573">
        <v>0</v>
      </c>
      <c r="AF5573">
        <v>3</v>
      </c>
      <c r="AG5573">
        <v>2</v>
      </c>
      <c r="AH5573">
        <v>0</v>
      </c>
      <c r="AI5573" t="s">
        <v>1237</v>
      </c>
      <c r="AJ5573">
        <v>28.210336999999999</v>
      </c>
      <c r="AK5573" t="s">
        <v>1238</v>
      </c>
      <c r="AL5573">
        <v>-82.390486999999993</v>
      </c>
      <c r="AM5573">
        <v>100</v>
      </c>
      <c r="AN5573">
        <v>1000</v>
      </c>
      <c r="AO5573" t="s">
        <v>118</v>
      </c>
      <c r="AP5573">
        <v>63</v>
      </c>
      <c r="AQ5573">
        <v>-92</v>
      </c>
      <c r="AR5573">
        <v>-960</v>
      </c>
      <c r="AZ5573">
        <v>1200</v>
      </c>
      <c r="BA5573">
        <v>1</v>
      </c>
      <c r="BB5573" t="str">
        <f t="shared" si="2569"/>
        <v xml:space="preserve">N711JA  </v>
      </c>
      <c r="BC5573">
        <v>1</v>
      </c>
      <c r="BE5573">
        <v>0</v>
      </c>
      <c r="BF5573">
        <v>0</v>
      </c>
      <c r="BG5573">
        <v>0</v>
      </c>
      <c r="BH5573">
        <v>1100</v>
      </c>
      <c r="BI5573">
        <v>1</v>
      </c>
      <c r="BJ5573">
        <v>1</v>
      </c>
      <c r="BK5573">
        <v>0</v>
      </c>
      <c r="BL5573">
        <v>0</v>
      </c>
      <c r="BO5573">
        <v>0</v>
      </c>
      <c r="BP5573">
        <v>0</v>
      </c>
      <c r="BW5573" t="str">
        <f t="shared" si="2593"/>
        <v>14:51:36.417</v>
      </c>
      <c r="CJ5573">
        <v>0</v>
      </c>
      <c r="CK5573">
        <v>2</v>
      </c>
      <c r="CL5573">
        <v>0</v>
      </c>
      <c r="CM5573">
        <v>2</v>
      </c>
      <c r="CN5573">
        <v>0</v>
      </c>
      <c r="CO5573">
        <v>7</v>
      </c>
      <c r="CP5573" t="s">
        <v>119</v>
      </c>
      <c r="CQ5573">
        <v>343</v>
      </c>
      <c r="CR5573">
        <v>1</v>
      </c>
      <c r="CW5573">
        <v>11171346</v>
      </c>
      <c r="CY5573">
        <v>1</v>
      </c>
      <c r="CZ5573">
        <v>0</v>
      </c>
      <c r="DA5573">
        <v>1</v>
      </c>
      <c r="DB5573">
        <v>0</v>
      </c>
      <c r="DC5573">
        <v>0</v>
      </c>
      <c r="DD5573">
        <v>1</v>
      </c>
      <c r="DE5573">
        <v>0</v>
      </c>
      <c r="DF5573">
        <v>0</v>
      </c>
      <c r="DG5573">
        <v>0</v>
      </c>
      <c r="DH5573">
        <v>0</v>
      </c>
      <c r="DI5573">
        <v>0</v>
      </c>
    </row>
    <row r="5574" spans="1:113" x14ac:dyDescent="0.3">
      <c r="A5574" t="str">
        <f t="shared" si="2590"/>
        <v>05/12/2020 14:51:18.598</v>
      </c>
      <c r="C5574" t="str">
        <f t="shared" si="2568"/>
        <v>FFDFD3C0</v>
      </c>
      <c r="D5574" t="s">
        <v>113</v>
      </c>
      <c r="E5574">
        <v>3</v>
      </c>
      <c r="H5574">
        <v>164</v>
      </c>
      <c r="I5574" t="s">
        <v>114</v>
      </c>
      <c r="J5574" t="s">
        <v>115</v>
      </c>
      <c r="K5574">
        <v>0</v>
      </c>
      <c r="L5574">
        <v>3</v>
      </c>
      <c r="M5574">
        <v>0</v>
      </c>
      <c r="N5574">
        <v>2</v>
      </c>
      <c r="O5574">
        <v>1</v>
      </c>
      <c r="P5574">
        <v>0</v>
      </c>
      <c r="Q5574">
        <v>0</v>
      </c>
      <c r="S5574" t="str">
        <f t="shared" si="2591"/>
        <v>14:51:36.414</v>
      </c>
      <c r="T5574" t="str">
        <f t="shared" si="2592"/>
        <v>14:51:36.114</v>
      </c>
      <c r="U5574" t="str">
        <f t="shared" si="2594"/>
        <v>A9808D</v>
      </c>
      <c r="V5574">
        <v>0</v>
      </c>
      <c r="W5574">
        <v>0</v>
      </c>
      <c r="X5574">
        <v>1</v>
      </c>
      <c r="Z5574">
        <v>0</v>
      </c>
      <c r="AA5574">
        <v>9</v>
      </c>
      <c r="AB5574">
        <v>3</v>
      </c>
      <c r="AC5574">
        <v>0</v>
      </c>
      <c r="AD5574">
        <v>10</v>
      </c>
      <c r="AE5574">
        <v>0</v>
      </c>
      <c r="AF5574">
        <v>3</v>
      </c>
      <c r="AG5574">
        <v>2</v>
      </c>
      <c r="AH5574">
        <v>0</v>
      </c>
      <c r="AI5574" t="s">
        <v>1237</v>
      </c>
      <c r="AJ5574">
        <v>28.210336999999999</v>
      </c>
      <c r="AK5574" t="s">
        <v>1238</v>
      </c>
      <c r="AL5574">
        <v>-82.390486999999993</v>
      </c>
      <c r="AM5574">
        <v>100</v>
      </c>
      <c r="AN5574">
        <v>1000</v>
      </c>
      <c r="AO5574" t="s">
        <v>118</v>
      </c>
      <c r="AP5574">
        <v>63</v>
      </c>
      <c r="AQ5574">
        <v>-92</v>
      </c>
      <c r="AR5574">
        <v>-960</v>
      </c>
      <c r="AZ5574">
        <v>1200</v>
      </c>
      <c r="BA5574">
        <v>1</v>
      </c>
      <c r="BB5574" t="str">
        <f t="shared" si="2569"/>
        <v xml:space="preserve">N711JA  </v>
      </c>
      <c r="BC5574">
        <v>1</v>
      </c>
      <c r="BE5574">
        <v>0</v>
      </c>
      <c r="BF5574">
        <v>0</v>
      </c>
      <c r="BG5574">
        <v>0</v>
      </c>
      <c r="BH5574">
        <v>1100</v>
      </c>
      <c r="BI5574">
        <v>1</v>
      </c>
      <c r="BJ5574">
        <v>1</v>
      </c>
      <c r="BK5574">
        <v>0</v>
      </c>
      <c r="BL5574">
        <v>0</v>
      </c>
      <c r="BO5574">
        <v>0</v>
      </c>
      <c r="BP5574">
        <v>0</v>
      </c>
      <c r="BW5574" t="str">
        <f t="shared" si="2593"/>
        <v>14:51:36.417</v>
      </c>
      <c r="CJ5574">
        <v>0</v>
      </c>
      <c r="CK5574">
        <v>2</v>
      </c>
      <c r="CL5574">
        <v>0</v>
      </c>
      <c r="CM5574">
        <v>2</v>
      </c>
      <c r="CN5574">
        <v>0</v>
      </c>
      <c r="CO5574">
        <v>7</v>
      </c>
      <c r="CP5574" t="s">
        <v>119</v>
      </c>
      <c r="CQ5574">
        <v>343</v>
      </c>
      <c r="CR5574">
        <v>1</v>
      </c>
      <c r="CW5574">
        <v>11171346</v>
      </c>
      <c r="CY5574">
        <v>1</v>
      </c>
      <c r="CZ5574">
        <v>0</v>
      </c>
      <c r="DA5574">
        <v>1</v>
      </c>
      <c r="DB5574">
        <v>0</v>
      </c>
      <c r="DC5574">
        <v>0</v>
      </c>
      <c r="DD5574">
        <v>1</v>
      </c>
      <c r="DE5574">
        <v>0</v>
      </c>
      <c r="DF5574">
        <v>0</v>
      </c>
      <c r="DG5574">
        <v>0</v>
      </c>
      <c r="DH5574">
        <v>0</v>
      </c>
      <c r="DI5574">
        <v>0</v>
      </c>
    </row>
    <row r="5575" spans="1:113" x14ac:dyDescent="0.3">
      <c r="A5575" t="str">
        <f t="shared" ref="A5575:A5582" si="2595">"05/12/2020 14:51:19.651"</f>
        <v>05/12/2020 14:51:19.651</v>
      </c>
      <c r="C5575" t="str">
        <f t="shared" si="2568"/>
        <v>FFDFD3C0</v>
      </c>
      <c r="D5575" t="s">
        <v>134</v>
      </c>
      <c r="E5575">
        <v>12</v>
      </c>
      <c r="H5575">
        <v>64</v>
      </c>
      <c r="I5575" t="s">
        <v>135</v>
      </c>
      <c r="J5575" t="s">
        <v>136</v>
      </c>
      <c r="K5575">
        <v>0</v>
      </c>
      <c r="L5575">
        <v>3</v>
      </c>
      <c r="M5575">
        <v>0</v>
      </c>
      <c r="N5575">
        <v>2</v>
      </c>
      <c r="O5575">
        <v>1</v>
      </c>
      <c r="P5575">
        <v>0</v>
      </c>
      <c r="Q5575">
        <v>0</v>
      </c>
      <c r="S5575" t="str">
        <f t="shared" ref="S5575:S5582" si="2596">"14:51:37.477"</f>
        <v>14:51:37.477</v>
      </c>
      <c r="T5575" t="str">
        <f t="shared" ref="T5575:T5582" si="2597">"14:51:36.977"</f>
        <v>14:51:36.977</v>
      </c>
      <c r="U5575" t="str">
        <f t="shared" si="2594"/>
        <v>A9808D</v>
      </c>
      <c r="V5575">
        <v>0</v>
      </c>
      <c r="W5575">
        <v>0</v>
      </c>
      <c r="X5575">
        <v>1</v>
      </c>
      <c r="Z5575">
        <v>0</v>
      </c>
      <c r="AA5575">
        <v>9</v>
      </c>
      <c r="AB5575">
        <v>3</v>
      </c>
      <c r="AC5575">
        <v>0</v>
      </c>
      <c r="AD5575">
        <v>10</v>
      </c>
      <c r="AE5575">
        <v>0</v>
      </c>
      <c r="AF5575">
        <v>3</v>
      </c>
      <c r="AG5575">
        <v>2</v>
      </c>
      <c r="AH5575">
        <v>0</v>
      </c>
      <c r="AI5575" t="s">
        <v>1239</v>
      </c>
      <c r="AJ5575">
        <v>28.209865000000001</v>
      </c>
      <c r="AK5575" t="s">
        <v>1240</v>
      </c>
      <c r="AL5575">
        <v>-82.390079</v>
      </c>
      <c r="AM5575">
        <v>100</v>
      </c>
      <c r="AN5575">
        <v>1000</v>
      </c>
      <c r="AO5575" t="s">
        <v>118</v>
      </c>
      <c r="AP5575">
        <v>64</v>
      </c>
      <c r="AQ5575">
        <v>-92</v>
      </c>
      <c r="AR5575">
        <v>-1024</v>
      </c>
      <c r="AZ5575">
        <v>1200</v>
      </c>
      <c r="BA5575">
        <v>1</v>
      </c>
      <c r="BB5575" t="str">
        <f t="shared" si="2569"/>
        <v xml:space="preserve">N711JA  </v>
      </c>
      <c r="BC5575">
        <v>1</v>
      </c>
      <c r="BE5575">
        <v>0</v>
      </c>
      <c r="BF5575">
        <v>0</v>
      </c>
      <c r="BG5575">
        <v>0</v>
      </c>
      <c r="BH5575">
        <v>1075</v>
      </c>
      <c r="BI5575">
        <v>1</v>
      </c>
      <c r="BJ5575">
        <v>1</v>
      </c>
      <c r="BK5575">
        <v>0</v>
      </c>
      <c r="BL5575">
        <v>0</v>
      </c>
      <c r="BO5575">
        <v>0</v>
      </c>
      <c r="BP5575">
        <v>0</v>
      </c>
      <c r="BW5575" t="str">
        <f t="shared" ref="BW5575:BW5582" si="2598">"14:51:37.481"</f>
        <v>14:51:37.481</v>
      </c>
      <c r="CJ5575">
        <v>0</v>
      </c>
      <c r="CK5575">
        <v>2</v>
      </c>
      <c r="CL5575">
        <v>0</v>
      </c>
      <c r="CM5575">
        <v>2</v>
      </c>
      <c r="CN5575">
        <v>0</v>
      </c>
      <c r="CO5575">
        <v>7</v>
      </c>
      <c r="CP5575" t="s">
        <v>119</v>
      </c>
      <c r="CQ5575">
        <v>343</v>
      </c>
      <c r="CR5575">
        <v>2</v>
      </c>
      <c r="CW5575">
        <v>13421248</v>
      </c>
      <c r="CY5575">
        <v>1</v>
      </c>
      <c r="CZ5575">
        <v>0</v>
      </c>
      <c r="DA5575">
        <v>0</v>
      </c>
      <c r="DB5575">
        <v>0</v>
      </c>
      <c r="DC5575">
        <v>0</v>
      </c>
      <c r="DD5575">
        <v>1</v>
      </c>
      <c r="DE5575">
        <v>0</v>
      </c>
      <c r="DF5575">
        <v>0</v>
      </c>
      <c r="DG5575">
        <v>0</v>
      </c>
      <c r="DH5575">
        <v>0</v>
      </c>
      <c r="DI5575">
        <v>0</v>
      </c>
    </row>
    <row r="5576" spans="1:113" x14ac:dyDescent="0.3">
      <c r="A5576" t="str">
        <f t="shared" si="2595"/>
        <v>05/12/2020 14:51:19.651</v>
      </c>
      <c r="C5576" t="str">
        <f t="shared" si="2568"/>
        <v>FFDFD3C0</v>
      </c>
      <c r="D5576" t="s">
        <v>113</v>
      </c>
      <c r="E5576">
        <v>3</v>
      </c>
      <c r="H5576">
        <v>164</v>
      </c>
      <c r="I5576" t="s">
        <v>114</v>
      </c>
      <c r="J5576" t="s">
        <v>115</v>
      </c>
      <c r="K5576">
        <v>0</v>
      </c>
      <c r="L5576">
        <v>3</v>
      </c>
      <c r="M5576">
        <v>0</v>
      </c>
      <c r="N5576">
        <v>2</v>
      </c>
      <c r="O5576">
        <v>1</v>
      </c>
      <c r="P5576">
        <v>0</v>
      </c>
      <c r="Q5576">
        <v>0</v>
      </c>
      <c r="S5576" t="str">
        <f t="shared" si="2596"/>
        <v>14:51:37.477</v>
      </c>
      <c r="T5576" t="str">
        <f t="shared" si="2597"/>
        <v>14:51:36.977</v>
      </c>
      <c r="U5576" t="str">
        <f t="shared" si="2594"/>
        <v>A9808D</v>
      </c>
      <c r="V5576">
        <v>0</v>
      </c>
      <c r="W5576">
        <v>0</v>
      </c>
      <c r="X5576">
        <v>1</v>
      </c>
      <c r="Z5576">
        <v>0</v>
      </c>
      <c r="AA5576">
        <v>9</v>
      </c>
      <c r="AB5576">
        <v>3</v>
      </c>
      <c r="AC5576">
        <v>0</v>
      </c>
      <c r="AD5576">
        <v>10</v>
      </c>
      <c r="AE5576">
        <v>0</v>
      </c>
      <c r="AF5576">
        <v>3</v>
      </c>
      <c r="AG5576">
        <v>2</v>
      </c>
      <c r="AH5576">
        <v>0</v>
      </c>
      <c r="AI5576" t="s">
        <v>1239</v>
      </c>
      <c r="AJ5576">
        <v>28.209865000000001</v>
      </c>
      <c r="AK5576" t="s">
        <v>1240</v>
      </c>
      <c r="AL5576">
        <v>-82.390079</v>
      </c>
      <c r="AM5576">
        <v>100</v>
      </c>
      <c r="AN5576">
        <v>1000</v>
      </c>
      <c r="AO5576" t="s">
        <v>118</v>
      </c>
      <c r="AP5576">
        <v>64</v>
      </c>
      <c r="AQ5576">
        <v>-92</v>
      </c>
      <c r="AR5576">
        <v>-1024</v>
      </c>
      <c r="AZ5576">
        <v>1200</v>
      </c>
      <c r="BA5576">
        <v>1</v>
      </c>
      <c r="BB5576" t="str">
        <f t="shared" si="2569"/>
        <v xml:space="preserve">N711JA  </v>
      </c>
      <c r="BC5576">
        <v>1</v>
      </c>
      <c r="BE5576">
        <v>0</v>
      </c>
      <c r="BF5576">
        <v>0</v>
      </c>
      <c r="BG5576">
        <v>0</v>
      </c>
      <c r="BH5576">
        <v>1075</v>
      </c>
      <c r="BI5576">
        <v>1</v>
      </c>
      <c r="BJ5576">
        <v>1</v>
      </c>
      <c r="BK5576">
        <v>0</v>
      </c>
      <c r="BL5576">
        <v>0</v>
      </c>
      <c r="BO5576">
        <v>0</v>
      </c>
      <c r="BP5576">
        <v>0</v>
      </c>
      <c r="BW5576" t="str">
        <f t="shared" si="2598"/>
        <v>14:51:37.481</v>
      </c>
      <c r="CJ5576">
        <v>0</v>
      </c>
      <c r="CK5576">
        <v>2</v>
      </c>
      <c r="CL5576">
        <v>0</v>
      </c>
      <c r="CM5576">
        <v>2</v>
      </c>
      <c r="CN5576">
        <v>0</v>
      </c>
      <c r="CO5576">
        <v>7</v>
      </c>
      <c r="CP5576" t="s">
        <v>119</v>
      </c>
      <c r="CQ5576">
        <v>343</v>
      </c>
      <c r="CR5576">
        <v>2</v>
      </c>
      <c r="CW5576">
        <v>13421248</v>
      </c>
      <c r="CY5576">
        <v>1</v>
      </c>
      <c r="CZ5576">
        <v>0</v>
      </c>
      <c r="DA5576">
        <v>1</v>
      </c>
      <c r="DB5576">
        <v>0</v>
      </c>
      <c r="DC5576">
        <v>0</v>
      </c>
      <c r="DD5576">
        <v>1</v>
      </c>
      <c r="DE5576">
        <v>0</v>
      </c>
      <c r="DF5576">
        <v>0</v>
      </c>
      <c r="DG5576">
        <v>0</v>
      </c>
      <c r="DH5576">
        <v>0</v>
      </c>
      <c r="DI5576">
        <v>0</v>
      </c>
    </row>
    <row r="5577" spans="1:113" x14ac:dyDescent="0.3">
      <c r="A5577" t="str">
        <f t="shared" si="2595"/>
        <v>05/12/2020 14:51:19.651</v>
      </c>
      <c r="C5577" t="str">
        <f t="shared" si="2568"/>
        <v>FFDFD3C0</v>
      </c>
      <c r="D5577" t="s">
        <v>138</v>
      </c>
      <c r="E5577">
        <v>2</v>
      </c>
      <c r="H5577">
        <v>8</v>
      </c>
      <c r="I5577" t="s">
        <v>139</v>
      </c>
      <c r="J5577" t="s">
        <v>136</v>
      </c>
      <c r="K5577">
        <v>0</v>
      </c>
      <c r="L5577">
        <v>3</v>
      </c>
      <c r="M5577">
        <v>0</v>
      </c>
      <c r="N5577">
        <v>2</v>
      </c>
      <c r="O5577">
        <v>1</v>
      </c>
      <c r="P5577">
        <v>0</v>
      </c>
      <c r="Q5577">
        <v>0</v>
      </c>
      <c r="S5577" t="str">
        <f t="shared" si="2596"/>
        <v>14:51:37.477</v>
      </c>
      <c r="T5577" t="str">
        <f t="shared" si="2597"/>
        <v>14:51:36.977</v>
      </c>
      <c r="U5577" t="str">
        <f t="shared" si="2594"/>
        <v>A9808D</v>
      </c>
      <c r="V5577">
        <v>0</v>
      </c>
      <c r="W5577">
        <v>0</v>
      </c>
      <c r="X5577">
        <v>1</v>
      </c>
      <c r="Z5577">
        <v>0</v>
      </c>
      <c r="AA5577">
        <v>9</v>
      </c>
      <c r="AB5577">
        <v>3</v>
      </c>
      <c r="AC5577">
        <v>0</v>
      </c>
      <c r="AD5577">
        <v>10</v>
      </c>
      <c r="AE5577">
        <v>0</v>
      </c>
      <c r="AF5577">
        <v>3</v>
      </c>
      <c r="AG5577">
        <v>2</v>
      </c>
      <c r="AH5577">
        <v>0</v>
      </c>
      <c r="AI5577" t="s">
        <v>1239</v>
      </c>
      <c r="AJ5577">
        <v>28.209865000000001</v>
      </c>
      <c r="AK5577" t="s">
        <v>1240</v>
      </c>
      <c r="AL5577">
        <v>-82.390079</v>
      </c>
      <c r="AM5577">
        <v>100</v>
      </c>
      <c r="AN5577">
        <v>1000</v>
      </c>
      <c r="AO5577" t="s">
        <v>118</v>
      </c>
      <c r="AP5577">
        <v>64</v>
      </c>
      <c r="AQ5577">
        <v>-92</v>
      </c>
      <c r="AR5577">
        <v>-1024</v>
      </c>
      <c r="AZ5577">
        <v>1200</v>
      </c>
      <c r="BA5577">
        <v>1</v>
      </c>
      <c r="BB5577" t="str">
        <f t="shared" si="2569"/>
        <v xml:space="preserve">N711JA  </v>
      </c>
      <c r="BC5577">
        <v>1</v>
      </c>
      <c r="BE5577">
        <v>0</v>
      </c>
      <c r="BF5577">
        <v>0</v>
      </c>
      <c r="BG5577">
        <v>0</v>
      </c>
      <c r="BH5577">
        <v>1075</v>
      </c>
      <c r="BI5577">
        <v>1</v>
      </c>
      <c r="BJ5577">
        <v>1</v>
      </c>
      <c r="BK5577">
        <v>0</v>
      </c>
      <c r="BL5577">
        <v>0</v>
      </c>
      <c r="BO5577">
        <v>0</v>
      </c>
      <c r="BP5577">
        <v>0</v>
      </c>
      <c r="BW5577" t="str">
        <f t="shared" si="2598"/>
        <v>14:51:37.481</v>
      </c>
      <c r="CJ5577">
        <v>0</v>
      </c>
      <c r="CK5577">
        <v>2</v>
      </c>
      <c r="CL5577">
        <v>0</v>
      </c>
      <c r="CM5577">
        <v>2</v>
      </c>
      <c r="CN5577">
        <v>0</v>
      </c>
      <c r="CO5577">
        <v>7</v>
      </c>
      <c r="CP5577" t="s">
        <v>119</v>
      </c>
      <c r="CQ5577">
        <v>343</v>
      </c>
      <c r="CR5577">
        <v>2</v>
      </c>
      <c r="CW5577">
        <v>13421248</v>
      </c>
      <c r="CY5577">
        <v>1</v>
      </c>
      <c r="CZ5577">
        <v>0</v>
      </c>
      <c r="DA5577">
        <v>1</v>
      </c>
      <c r="DB5577">
        <v>0</v>
      </c>
      <c r="DC5577">
        <v>0</v>
      </c>
      <c r="DD5577">
        <v>1</v>
      </c>
      <c r="DE5577">
        <v>0</v>
      </c>
      <c r="DF5577">
        <v>0</v>
      </c>
      <c r="DG5577">
        <v>0</v>
      </c>
      <c r="DH5577">
        <v>0</v>
      </c>
      <c r="DI5577">
        <v>0</v>
      </c>
    </row>
    <row r="5578" spans="1:113" x14ac:dyDescent="0.3">
      <c r="A5578" t="str">
        <f t="shared" si="2595"/>
        <v>05/12/2020 14:51:19.651</v>
      </c>
      <c r="C5578" t="str">
        <f t="shared" si="2568"/>
        <v>FFDFD3C0</v>
      </c>
      <c r="D5578" t="s">
        <v>138</v>
      </c>
      <c r="E5578">
        <v>3</v>
      </c>
      <c r="H5578">
        <v>9</v>
      </c>
      <c r="I5578" t="s">
        <v>140</v>
      </c>
      <c r="J5578" t="s">
        <v>136</v>
      </c>
      <c r="K5578">
        <v>0</v>
      </c>
      <c r="L5578">
        <v>3</v>
      </c>
      <c r="M5578">
        <v>0</v>
      </c>
      <c r="N5578">
        <v>2</v>
      </c>
      <c r="O5578">
        <v>1</v>
      </c>
      <c r="P5578">
        <v>0</v>
      </c>
      <c r="Q5578">
        <v>0</v>
      </c>
      <c r="S5578" t="str">
        <f t="shared" si="2596"/>
        <v>14:51:37.477</v>
      </c>
      <c r="T5578" t="str">
        <f t="shared" si="2597"/>
        <v>14:51:36.977</v>
      </c>
      <c r="U5578" t="str">
        <f t="shared" si="2594"/>
        <v>A9808D</v>
      </c>
      <c r="V5578">
        <v>0</v>
      </c>
      <c r="W5578">
        <v>0</v>
      </c>
      <c r="X5578">
        <v>1</v>
      </c>
      <c r="Z5578">
        <v>0</v>
      </c>
      <c r="AA5578">
        <v>9</v>
      </c>
      <c r="AB5578">
        <v>3</v>
      </c>
      <c r="AC5578">
        <v>0</v>
      </c>
      <c r="AD5578">
        <v>10</v>
      </c>
      <c r="AE5578">
        <v>0</v>
      </c>
      <c r="AF5578">
        <v>3</v>
      </c>
      <c r="AG5578">
        <v>2</v>
      </c>
      <c r="AH5578">
        <v>0</v>
      </c>
      <c r="AI5578" t="s">
        <v>1239</v>
      </c>
      <c r="AJ5578">
        <v>28.209865000000001</v>
      </c>
      <c r="AK5578" t="s">
        <v>1240</v>
      </c>
      <c r="AL5578">
        <v>-82.390079</v>
      </c>
      <c r="AM5578">
        <v>100</v>
      </c>
      <c r="AN5578">
        <v>1000</v>
      </c>
      <c r="AO5578" t="s">
        <v>118</v>
      </c>
      <c r="AP5578">
        <v>64</v>
      </c>
      <c r="AQ5578">
        <v>-92</v>
      </c>
      <c r="AR5578">
        <v>-1024</v>
      </c>
      <c r="AZ5578">
        <v>1200</v>
      </c>
      <c r="BA5578">
        <v>1</v>
      </c>
      <c r="BB5578" t="str">
        <f t="shared" si="2569"/>
        <v xml:space="preserve">N711JA  </v>
      </c>
      <c r="BC5578">
        <v>1</v>
      </c>
      <c r="BE5578">
        <v>0</v>
      </c>
      <c r="BF5578">
        <v>0</v>
      </c>
      <c r="BG5578">
        <v>0</v>
      </c>
      <c r="BH5578">
        <v>1075</v>
      </c>
      <c r="BI5578">
        <v>1</v>
      </c>
      <c r="BJ5578">
        <v>1</v>
      </c>
      <c r="BK5578">
        <v>0</v>
      </c>
      <c r="BL5578">
        <v>0</v>
      </c>
      <c r="BO5578">
        <v>0</v>
      </c>
      <c r="BP5578">
        <v>0</v>
      </c>
      <c r="BW5578" t="str">
        <f t="shared" si="2598"/>
        <v>14:51:37.481</v>
      </c>
      <c r="CJ5578">
        <v>0</v>
      </c>
      <c r="CK5578">
        <v>2</v>
      </c>
      <c r="CL5578">
        <v>0</v>
      </c>
      <c r="CM5578">
        <v>2</v>
      </c>
      <c r="CN5578">
        <v>0</v>
      </c>
      <c r="CO5578">
        <v>7</v>
      </c>
      <c r="CP5578" t="s">
        <v>119</v>
      </c>
      <c r="CQ5578">
        <v>343</v>
      </c>
      <c r="CR5578">
        <v>2</v>
      </c>
      <c r="CW5578">
        <v>13421248</v>
      </c>
      <c r="CY5578">
        <v>1</v>
      </c>
      <c r="CZ5578">
        <v>0</v>
      </c>
      <c r="DA5578">
        <v>1</v>
      </c>
      <c r="DB5578">
        <v>0</v>
      </c>
      <c r="DC5578">
        <v>0</v>
      </c>
      <c r="DD5578">
        <v>1</v>
      </c>
      <c r="DE5578">
        <v>0</v>
      </c>
      <c r="DF5578">
        <v>0</v>
      </c>
      <c r="DG5578">
        <v>0</v>
      </c>
      <c r="DH5578">
        <v>0</v>
      </c>
      <c r="DI5578">
        <v>0</v>
      </c>
    </row>
    <row r="5579" spans="1:113" x14ac:dyDescent="0.3">
      <c r="A5579" t="str">
        <f t="shared" si="2595"/>
        <v>05/12/2020 14:51:19.651</v>
      </c>
      <c r="C5579" t="str">
        <f t="shared" si="2568"/>
        <v>FFDFD3C0</v>
      </c>
      <c r="D5579" t="s">
        <v>126</v>
      </c>
      <c r="E5579">
        <v>7</v>
      </c>
      <c r="F5579">
        <v>1007</v>
      </c>
      <c r="G5579" t="s">
        <v>127</v>
      </c>
      <c r="J5579" t="s">
        <v>128</v>
      </c>
      <c r="K5579">
        <v>0</v>
      </c>
      <c r="L5579">
        <v>3</v>
      </c>
      <c r="M5579">
        <v>0</v>
      </c>
      <c r="N5579">
        <v>2</v>
      </c>
      <c r="O5579">
        <v>1</v>
      </c>
      <c r="P5579">
        <v>0</v>
      </c>
      <c r="Q5579">
        <v>0</v>
      </c>
      <c r="S5579" t="str">
        <f t="shared" si="2596"/>
        <v>14:51:37.477</v>
      </c>
      <c r="T5579" t="str">
        <f t="shared" si="2597"/>
        <v>14:51:36.977</v>
      </c>
      <c r="U5579" t="str">
        <f t="shared" si="2594"/>
        <v>A9808D</v>
      </c>
      <c r="V5579">
        <v>0</v>
      </c>
      <c r="W5579">
        <v>0</v>
      </c>
      <c r="X5579">
        <v>1</v>
      </c>
      <c r="Z5579">
        <v>0</v>
      </c>
      <c r="AA5579">
        <v>9</v>
      </c>
      <c r="AB5579">
        <v>3</v>
      </c>
      <c r="AC5579">
        <v>0</v>
      </c>
      <c r="AD5579">
        <v>10</v>
      </c>
      <c r="AE5579">
        <v>0</v>
      </c>
      <c r="AF5579">
        <v>3</v>
      </c>
      <c r="AG5579">
        <v>2</v>
      </c>
      <c r="AH5579">
        <v>0</v>
      </c>
      <c r="AI5579" t="s">
        <v>1239</v>
      </c>
      <c r="AJ5579">
        <v>28.209865000000001</v>
      </c>
      <c r="AK5579" t="s">
        <v>1240</v>
      </c>
      <c r="AL5579">
        <v>-82.390079</v>
      </c>
      <c r="AM5579">
        <v>100</v>
      </c>
      <c r="AN5579">
        <v>1000</v>
      </c>
      <c r="AO5579" t="s">
        <v>118</v>
      </c>
      <c r="AP5579">
        <v>64</v>
      </c>
      <c r="AQ5579">
        <v>-92</v>
      </c>
      <c r="AR5579">
        <v>-1024</v>
      </c>
      <c r="AZ5579">
        <v>1200</v>
      </c>
      <c r="BA5579">
        <v>1</v>
      </c>
      <c r="BB5579" t="str">
        <f t="shared" si="2569"/>
        <v xml:space="preserve">N711JA  </v>
      </c>
      <c r="BC5579">
        <v>1</v>
      </c>
      <c r="BE5579">
        <v>0</v>
      </c>
      <c r="BF5579">
        <v>0</v>
      </c>
      <c r="BG5579">
        <v>0</v>
      </c>
      <c r="BH5579">
        <v>1075</v>
      </c>
      <c r="BI5579">
        <v>1</v>
      </c>
      <c r="BJ5579">
        <v>1</v>
      </c>
      <c r="BK5579">
        <v>0</v>
      </c>
      <c r="BL5579">
        <v>0</v>
      </c>
      <c r="BO5579">
        <v>0</v>
      </c>
      <c r="BP5579">
        <v>0</v>
      </c>
      <c r="BW5579" t="str">
        <f t="shared" si="2598"/>
        <v>14:51:37.481</v>
      </c>
      <c r="CJ5579">
        <v>0</v>
      </c>
      <c r="CK5579">
        <v>2</v>
      </c>
      <c r="CL5579">
        <v>0</v>
      </c>
      <c r="CM5579">
        <v>2</v>
      </c>
      <c r="CN5579">
        <v>0</v>
      </c>
      <c r="CO5579">
        <v>7</v>
      </c>
      <c r="CP5579" t="s">
        <v>119</v>
      </c>
      <c r="CQ5579">
        <v>343</v>
      </c>
      <c r="CR5579">
        <v>2</v>
      </c>
      <c r="CW5579">
        <v>13421248</v>
      </c>
      <c r="CY5579">
        <v>1</v>
      </c>
      <c r="CZ5579">
        <v>0</v>
      </c>
      <c r="DA5579">
        <v>1</v>
      </c>
      <c r="DB5579">
        <v>0</v>
      </c>
      <c r="DC5579">
        <v>0</v>
      </c>
      <c r="DD5579">
        <v>1</v>
      </c>
      <c r="DE5579">
        <v>0</v>
      </c>
      <c r="DF5579">
        <v>0</v>
      </c>
      <c r="DG5579">
        <v>0</v>
      </c>
      <c r="DH5579">
        <v>0</v>
      </c>
      <c r="DI5579">
        <v>0</v>
      </c>
    </row>
    <row r="5580" spans="1:113" x14ac:dyDescent="0.3">
      <c r="A5580" t="str">
        <f t="shared" si="2595"/>
        <v>05/12/2020 14:51:19.651</v>
      </c>
      <c r="C5580" t="str">
        <f t="shared" si="2568"/>
        <v>FFDFD3C0</v>
      </c>
      <c r="D5580" t="s">
        <v>131</v>
      </c>
      <c r="E5580">
        <v>10</v>
      </c>
      <c r="F5580">
        <v>2010</v>
      </c>
      <c r="G5580" t="s">
        <v>132</v>
      </c>
      <c r="J5580" t="s">
        <v>133</v>
      </c>
      <c r="K5580">
        <v>0</v>
      </c>
      <c r="L5580">
        <v>3</v>
      </c>
      <c r="M5580">
        <v>0</v>
      </c>
      <c r="N5580">
        <v>2</v>
      </c>
      <c r="O5580">
        <v>1</v>
      </c>
      <c r="P5580">
        <v>0</v>
      </c>
      <c r="Q5580">
        <v>0</v>
      </c>
      <c r="S5580" t="str">
        <f t="shared" si="2596"/>
        <v>14:51:37.477</v>
      </c>
      <c r="T5580" t="str">
        <f t="shared" si="2597"/>
        <v>14:51:36.977</v>
      </c>
      <c r="U5580" t="str">
        <f t="shared" si="2594"/>
        <v>A9808D</v>
      </c>
      <c r="V5580">
        <v>0</v>
      </c>
      <c r="W5580">
        <v>0</v>
      </c>
      <c r="X5580">
        <v>1</v>
      </c>
      <c r="Z5580">
        <v>0</v>
      </c>
      <c r="AA5580">
        <v>9</v>
      </c>
      <c r="AB5580">
        <v>3</v>
      </c>
      <c r="AC5580">
        <v>0</v>
      </c>
      <c r="AD5580">
        <v>10</v>
      </c>
      <c r="AE5580">
        <v>0</v>
      </c>
      <c r="AF5580">
        <v>3</v>
      </c>
      <c r="AG5580">
        <v>2</v>
      </c>
      <c r="AH5580">
        <v>0</v>
      </c>
      <c r="AI5580" t="s">
        <v>1239</v>
      </c>
      <c r="AJ5580">
        <v>28.209865000000001</v>
      </c>
      <c r="AK5580" t="s">
        <v>1240</v>
      </c>
      <c r="AL5580">
        <v>-82.390079</v>
      </c>
      <c r="AM5580">
        <v>100</v>
      </c>
      <c r="AN5580">
        <v>1000</v>
      </c>
      <c r="AO5580" t="s">
        <v>118</v>
      </c>
      <c r="AP5580">
        <v>64</v>
      </c>
      <c r="AQ5580">
        <v>-92</v>
      </c>
      <c r="AR5580">
        <v>-1024</v>
      </c>
      <c r="AZ5580">
        <v>1200</v>
      </c>
      <c r="BA5580">
        <v>1</v>
      </c>
      <c r="BB5580" t="str">
        <f t="shared" si="2569"/>
        <v xml:space="preserve">N711JA  </v>
      </c>
      <c r="BC5580">
        <v>1</v>
      </c>
      <c r="BE5580">
        <v>0</v>
      </c>
      <c r="BF5580">
        <v>0</v>
      </c>
      <c r="BG5580">
        <v>0</v>
      </c>
      <c r="BH5580">
        <v>1075</v>
      </c>
      <c r="BI5580">
        <v>1</v>
      </c>
      <c r="BJ5580">
        <v>1</v>
      </c>
      <c r="BK5580">
        <v>0</v>
      </c>
      <c r="BL5580">
        <v>0</v>
      </c>
      <c r="BO5580">
        <v>0</v>
      </c>
      <c r="BP5580">
        <v>0</v>
      </c>
      <c r="BW5580" t="str">
        <f t="shared" si="2598"/>
        <v>14:51:37.481</v>
      </c>
      <c r="CJ5580">
        <v>0</v>
      </c>
      <c r="CK5580">
        <v>2</v>
      </c>
      <c r="CL5580">
        <v>0</v>
      </c>
      <c r="CM5580">
        <v>2</v>
      </c>
      <c r="CN5580">
        <v>0</v>
      </c>
      <c r="CO5580">
        <v>7</v>
      </c>
      <c r="CP5580" t="s">
        <v>119</v>
      </c>
      <c r="CQ5580">
        <v>343</v>
      </c>
      <c r="CR5580">
        <v>2</v>
      </c>
      <c r="CW5580">
        <v>13421248</v>
      </c>
      <c r="CY5580">
        <v>1</v>
      </c>
      <c r="CZ5580">
        <v>0</v>
      </c>
      <c r="DA5580">
        <v>1</v>
      </c>
      <c r="DB5580">
        <v>0</v>
      </c>
      <c r="DC5580">
        <v>0</v>
      </c>
      <c r="DD5580">
        <v>1</v>
      </c>
      <c r="DE5580">
        <v>0</v>
      </c>
      <c r="DF5580">
        <v>0</v>
      </c>
      <c r="DG5580">
        <v>0</v>
      </c>
      <c r="DH5580">
        <v>0</v>
      </c>
      <c r="DI5580">
        <v>0</v>
      </c>
    </row>
    <row r="5581" spans="1:113" x14ac:dyDescent="0.3">
      <c r="A5581" t="str">
        <f t="shared" si="2595"/>
        <v>05/12/2020 14:51:19.651</v>
      </c>
      <c r="C5581" t="str">
        <f t="shared" si="2568"/>
        <v>FFDFD3C0</v>
      </c>
      <c r="D5581" t="s">
        <v>131</v>
      </c>
      <c r="E5581">
        <v>12</v>
      </c>
      <c r="F5581">
        <v>2012</v>
      </c>
      <c r="G5581" t="s">
        <v>137</v>
      </c>
      <c r="J5581" t="s">
        <v>133</v>
      </c>
      <c r="K5581">
        <v>0</v>
      </c>
      <c r="L5581">
        <v>3</v>
      </c>
      <c r="M5581">
        <v>0</v>
      </c>
      <c r="N5581">
        <v>2</v>
      </c>
      <c r="O5581">
        <v>1</v>
      </c>
      <c r="P5581">
        <v>0</v>
      </c>
      <c r="Q5581">
        <v>0</v>
      </c>
      <c r="S5581" t="str">
        <f t="shared" si="2596"/>
        <v>14:51:37.477</v>
      </c>
      <c r="T5581" t="str">
        <f t="shared" si="2597"/>
        <v>14:51:36.977</v>
      </c>
      <c r="U5581" t="str">
        <f t="shared" si="2594"/>
        <v>A9808D</v>
      </c>
      <c r="V5581">
        <v>0</v>
      </c>
      <c r="W5581">
        <v>0</v>
      </c>
      <c r="X5581">
        <v>1</v>
      </c>
      <c r="Z5581">
        <v>0</v>
      </c>
      <c r="AA5581">
        <v>9</v>
      </c>
      <c r="AB5581">
        <v>3</v>
      </c>
      <c r="AC5581">
        <v>0</v>
      </c>
      <c r="AD5581">
        <v>10</v>
      </c>
      <c r="AE5581">
        <v>0</v>
      </c>
      <c r="AF5581">
        <v>3</v>
      </c>
      <c r="AG5581">
        <v>2</v>
      </c>
      <c r="AH5581">
        <v>0</v>
      </c>
      <c r="AI5581" t="s">
        <v>1239</v>
      </c>
      <c r="AJ5581">
        <v>28.209865000000001</v>
      </c>
      <c r="AK5581" t="s">
        <v>1240</v>
      </c>
      <c r="AL5581">
        <v>-82.390079</v>
      </c>
      <c r="AM5581">
        <v>100</v>
      </c>
      <c r="AN5581">
        <v>1000</v>
      </c>
      <c r="AO5581" t="s">
        <v>118</v>
      </c>
      <c r="AP5581">
        <v>64</v>
      </c>
      <c r="AQ5581">
        <v>-92</v>
      </c>
      <c r="AR5581">
        <v>-1024</v>
      </c>
      <c r="AZ5581">
        <v>1200</v>
      </c>
      <c r="BA5581">
        <v>1</v>
      </c>
      <c r="BB5581" t="str">
        <f t="shared" si="2569"/>
        <v xml:space="preserve">N711JA  </v>
      </c>
      <c r="BC5581">
        <v>1</v>
      </c>
      <c r="BE5581">
        <v>0</v>
      </c>
      <c r="BF5581">
        <v>0</v>
      </c>
      <c r="BG5581">
        <v>0</v>
      </c>
      <c r="BH5581">
        <v>1075</v>
      </c>
      <c r="BI5581">
        <v>1</v>
      </c>
      <c r="BJ5581">
        <v>1</v>
      </c>
      <c r="BK5581">
        <v>0</v>
      </c>
      <c r="BL5581">
        <v>0</v>
      </c>
      <c r="BO5581">
        <v>0</v>
      </c>
      <c r="BP5581">
        <v>0</v>
      </c>
      <c r="BW5581" t="str">
        <f t="shared" si="2598"/>
        <v>14:51:37.481</v>
      </c>
      <c r="CJ5581">
        <v>0</v>
      </c>
      <c r="CK5581">
        <v>2</v>
      </c>
      <c r="CL5581">
        <v>0</v>
      </c>
      <c r="CM5581">
        <v>2</v>
      </c>
      <c r="CN5581">
        <v>0</v>
      </c>
      <c r="CO5581">
        <v>7</v>
      </c>
      <c r="CP5581" t="s">
        <v>119</v>
      </c>
      <c r="CQ5581">
        <v>343</v>
      </c>
      <c r="CR5581">
        <v>2</v>
      </c>
      <c r="CW5581">
        <v>13421248</v>
      </c>
      <c r="CY5581">
        <v>1</v>
      </c>
      <c r="CZ5581">
        <v>0</v>
      </c>
      <c r="DA5581">
        <v>1</v>
      </c>
      <c r="DB5581">
        <v>0</v>
      </c>
      <c r="DC5581">
        <v>0</v>
      </c>
      <c r="DD5581">
        <v>1</v>
      </c>
      <c r="DE5581">
        <v>0</v>
      </c>
      <c r="DF5581">
        <v>0</v>
      </c>
      <c r="DG5581">
        <v>0</v>
      </c>
      <c r="DH5581">
        <v>0</v>
      </c>
      <c r="DI5581">
        <v>0</v>
      </c>
    </row>
    <row r="5582" spans="1:113" x14ac:dyDescent="0.3">
      <c r="A5582" t="str">
        <f t="shared" si="2595"/>
        <v>05/12/2020 14:51:19.651</v>
      </c>
      <c r="C5582" t="str">
        <f t="shared" si="2568"/>
        <v>FFDFD3C0</v>
      </c>
      <c r="D5582" t="s">
        <v>126</v>
      </c>
      <c r="E5582">
        <v>6</v>
      </c>
      <c r="F5582">
        <v>1006</v>
      </c>
      <c r="G5582" t="s">
        <v>114</v>
      </c>
      <c r="J5582" t="s">
        <v>128</v>
      </c>
      <c r="K5582">
        <v>0</v>
      </c>
      <c r="L5582">
        <v>3</v>
      </c>
      <c r="M5582">
        <v>0</v>
      </c>
      <c r="N5582">
        <v>2</v>
      </c>
      <c r="O5582">
        <v>1</v>
      </c>
      <c r="P5582">
        <v>0</v>
      </c>
      <c r="Q5582">
        <v>0</v>
      </c>
      <c r="S5582" t="str">
        <f t="shared" si="2596"/>
        <v>14:51:37.477</v>
      </c>
      <c r="T5582" t="str">
        <f t="shared" si="2597"/>
        <v>14:51:36.977</v>
      </c>
      <c r="U5582" t="str">
        <f t="shared" si="2594"/>
        <v>A9808D</v>
      </c>
      <c r="V5582">
        <v>0</v>
      </c>
      <c r="W5582">
        <v>0</v>
      </c>
      <c r="X5582">
        <v>1</v>
      </c>
      <c r="Z5582">
        <v>0</v>
      </c>
      <c r="AA5582">
        <v>9</v>
      </c>
      <c r="AB5582">
        <v>3</v>
      </c>
      <c r="AC5582">
        <v>0</v>
      </c>
      <c r="AD5582">
        <v>10</v>
      </c>
      <c r="AE5582">
        <v>0</v>
      </c>
      <c r="AF5582">
        <v>3</v>
      </c>
      <c r="AG5582">
        <v>2</v>
      </c>
      <c r="AH5582">
        <v>0</v>
      </c>
      <c r="AI5582" t="s">
        <v>1239</v>
      </c>
      <c r="AJ5582">
        <v>28.209865000000001</v>
      </c>
      <c r="AK5582" t="s">
        <v>1240</v>
      </c>
      <c r="AL5582">
        <v>-82.390079</v>
      </c>
      <c r="AM5582">
        <v>100</v>
      </c>
      <c r="AN5582">
        <v>1000</v>
      </c>
      <c r="AO5582" t="s">
        <v>118</v>
      </c>
      <c r="AP5582">
        <v>64</v>
      </c>
      <c r="AQ5582">
        <v>-92</v>
      </c>
      <c r="AR5582">
        <v>-1024</v>
      </c>
      <c r="AZ5582">
        <v>1200</v>
      </c>
      <c r="BA5582">
        <v>1</v>
      </c>
      <c r="BB5582" t="str">
        <f t="shared" si="2569"/>
        <v xml:space="preserve">N711JA  </v>
      </c>
      <c r="BC5582">
        <v>1</v>
      </c>
      <c r="BE5582">
        <v>0</v>
      </c>
      <c r="BF5582">
        <v>0</v>
      </c>
      <c r="BG5582">
        <v>0</v>
      </c>
      <c r="BH5582">
        <v>1075</v>
      </c>
      <c r="BI5582">
        <v>1</v>
      </c>
      <c r="BJ5582">
        <v>1</v>
      </c>
      <c r="BK5582">
        <v>0</v>
      </c>
      <c r="BL5582">
        <v>0</v>
      </c>
      <c r="BO5582">
        <v>0</v>
      </c>
      <c r="BP5582">
        <v>0</v>
      </c>
      <c r="BW5582" t="str">
        <f t="shared" si="2598"/>
        <v>14:51:37.481</v>
      </c>
      <c r="CJ5582">
        <v>0</v>
      </c>
      <c r="CK5582">
        <v>2</v>
      </c>
      <c r="CL5582">
        <v>0</v>
      </c>
      <c r="CM5582">
        <v>2</v>
      </c>
      <c r="CN5582">
        <v>0</v>
      </c>
      <c r="CO5582">
        <v>7</v>
      </c>
      <c r="CP5582" t="s">
        <v>119</v>
      </c>
      <c r="CQ5582">
        <v>343</v>
      </c>
      <c r="CR5582">
        <v>2</v>
      </c>
      <c r="CW5582">
        <v>13421248</v>
      </c>
      <c r="CY5582">
        <v>1</v>
      </c>
      <c r="CZ5582">
        <v>0</v>
      </c>
      <c r="DA5582">
        <v>1</v>
      </c>
      <c r="DB5582">
        <v>0</v>
      </c>
      <c r="DC5582">
        <v>0</v>
      </c>
      <c r="DD5582">
        <v>1</v>
      </c>
      <c r="DE5582">
        <v>0</v>
      </c>
      <c r="DF5582">
        <v>0</v>
      </c>
      <c r="DG5582">
        <v>0</v>
      </c>
      <c r="DH5582">
        <v>0</v>
      </c>
      <c r="DI5582">
        <v>0</v>
      </c>
    </row>
    <row r="5583" spans="1:113" x14ac:dyDescent="0.3">
      <c r="A5583" t="str">
        <f t="shared" ref="A5583:A5590" si="2599">"05/12/2020 14:51:20.613"</f>
        <v>05/12/2020 14:51:20.613</v>
      </c>
      <c r="C5583" t="str">
        <f t="shared" si="2568"/>
        <v>FFDFD3C0</v>
      </c>
      <c r="D5583" t="s">
        <v>134</v>
      </c>
      <c r="E5583">
        <v>12</v>
      </c>
      <c r="H5583">
        <v>64</v>
      </c>
      <c r="I5583" t="s">
        <v>135</v>
      </c>
      <c r="J5583" t="s">
        <v>136</v>
      </c>
      <c r="K5583">
        <v>0</v>
      </c>
      <c r="L5583">
        <v>3</v>
      </c>
      <c r="M5583">
        <v>0</v>
      </c>
      <c r="N5583">
        <v>2</v>
      </c>
      <c r="O5583">
        <v>1</v>
      </c>
      <c r="P5583">
        <v>0</v>
      </c>
      <c r="Q5583">
        <v>0</v>
      </c>
      <c r="S5583" t="str">
        <f t="shared" ref="S5583:S5590" si="2600">"14:51:38.422"</f>
        <v>14:51:38.422</v>
      </c>
      <c r="T5583" t="str">
        <f t="shared" ref="T5583:T5590" si="2601">"14:51:38.022"</f>
        <v>14:51:38.022</v>
      </c>
      <c r="U5583" t="str">
        <f t="shared" si="2594"/>
        <v>A9808D</v>
      </c>
      <c r="V5583">
        <v>0</v>
      </c>
      <c r="W5583">
        <v>0</v>
      </c>
      <c r="X5583">
        <v>1</v>
      </c>
      <c r="Z5583">
        <v>0</v>
      </c>
      <c r="AA5583">
        <v>9</v>
      </c>
      <c r="AB5583">
        <v>3</v>
      </c>
      <c r="AC5583">
        <v>0</v>
      </c>
      <c r="AD5583">
        <v>10</v>
      </c>
      <c r="AE5583">
        <v>0</v>
      </c>
      <c r="AF5583">
        <v>3</v>
      </c>
      <c r="AG5583">
        <v>2</v>
      </c>
      <c r="AH5583">
        <v>0</v>
      </c>
      <c r="AI5583" t="s">
        <v>1241</v>
      </c>
      <c r="AJ5583">
        <v>28.209457</v>
      </c>
      <c r="AK5583" t="s">
        <v>1242</v>
      </c>
      <c r="AL5583">
        <v>-82.389758</v>
      </c>
      <c r="AM5583">
        <v>100</v>
      </c>
      <c r="AN5583">
        <v>1000</v>
      </c>
      <c r="AO5583" t="s">
        <v>118</v>
      </c>
      <c r="AP5583">
        <v>65</v>
      </c>
      <c r="AQ5583">
        <v>-91</v>
      </c>
      <c r="AR5583">
        <v>-1024</v>
      </c>
      <c r="AZ5583">
        <v>1200</v>
      </c>
      <c r="BA5583">
        <v>1</v>
      </c>
      <c r="BB5583" t="str">
        <f t="shared" si="2569"/>
        <v xml:space="preserve">N711JA  </v>
      </c>
      <c r="BC5583">
        <v>1</v>
      </c>
      <c r="BE5583">
        <v>0</v>
      </c>
      <c r="BF5583">
        <v>0</v>
      </c>
      <c r="BG5583">
        <v>0</v>
      </c>
      <c r="BH5583">
        <v>1075</v>
      </c>
      <c r="BI5583">
        <v>1</v>
      </c>
      <c r="BJ5583">
        <v>1</v>
      </c>
      <c r="BK5583">
        <v>0</v>
      </c>
      <c r="BL5583">
        <v>0</v>
      </c>
      <c r="BO5583">
        <v>0</v>
      </c>
      <c r="BP5583">
        <v>0</v>
      </c>
      <c r="BW5583" t="str">
        <f t="shared" ref="BW5583:BW5590" si="2602">"14:51:38.427"</f>
        <v>14:51:38.427</v>
      </c>
      <c r="CJ5583">
        <v>0</v>
      </c>
      <c r="CK5583">
        <v>2</v>
      </c>
      <c r="CL5583">
        <v>0</v>
      </c>
      <c r="CM5583">
        <v>2</v>
      </c>
      <c r="CN5583">
        <v>0</v>
      </c>
      <c r="CO5583">
        <v>7</v>
      </c>
      <c r="CP5583" t="s">
        <v>119</v>
      </c>
      <c r="CQ5583">
        <v>343</v>
      </c>
      <c r="CR5583">
        <v>2</v>
      </c>
      <c r="CW5583">
        <v>13421973</v>
      </c>
      <c r="CY5583">
        <v>1</v>
      </c>
      <c r="CZ5583">
        <v>0</v>
      </c>
      <c r="DA5583">
        <v>0</v>
      </c>
      <c r="DB5583">
        <v>0</v>
      </c>
      <c r="DC5583">
        <v>0</v>
      </c>
      <c r="DD5583">
        <v>1</v>
      </c>
      <c r="DE5583">
        <v>0</v>
      </c>
      <c r="DF5583">
        <v>0</v>
      </c>
      <c r="DG5583">
        <v>0</v>
      </c>
      <c r="DH5583">
        <v>0</v>
      </c>
      <c r="DI5583">
        <v>0</v>
      </c>
    </row>
    <row r="5584" spans="1:113" x14ac:dyDescent="0.3">
      <c r="A5584" t="str">
        <f t="shared" si="2599"/>
        <v>05/12/2020 14:51:20.613</v>
      </c>
      <c r="C5584" t="str">
        <f t="shared" si="2568"/>
        <v>FFDFD3C0</v>
      </c>
      <c r="D5584" t="s">
        <v>113</v>
      </c>
      <c r="E5584">
        <v>3</v>
      </c>
      <c r="H5584">
        <v>164</v>
      </c>
      <c r="I5584" t="s">
        <v>114</v>
      </c>
      <c r="J5584" t="s">
        <v>115</v>
      </c>
      <c r="K5584">
        <v>0</v>
      </c>
      <c r="L5584">
        <v>3</v>
      </c>
      <c r="M5584">
        <v>0</v>
      </c>
      <c r="N5584">
        <v>2</v>
      </c>
      <c r="O5584">
        <v>1</v>
      </c>
      <c r="P5584">
        <v>0</v>
      </c>
      <c r="Q5584">
        <v>0</v>
      </c>
      <c r="S5584" t="str">
        <f t="shared" si="2600"/>
        <v>14:51:38.422</v>
      </c>
      <c r="T5584" t="str">
        <f t="shared" si="2601"/>
        <v>14:51:38.022</v>
      </c>
      <c r="U5584" t="str">
        <f t="shared" si="2594"/>
        <v>A9808D</v>
      </c>
      <c r="V5584">
        <v>0</v>
      </c>
      <c r="W5584">
        <v>0</v>
      </c>
      <c r="X5584">
        <v>1</v>
      </c>
      <c r="Z5584">
        <v>0</v>
      </c>
      <c r="AA5584">
        <v>9</v>
      </c>
      <c r="AB5584">
        <v>3</v>
      </c>
      <c r="AC5584">
        <v>0</v>
      </c>
      <c r="AD5584">
        <v>10</v>
      </c>
      <c r="AE5584">
        <v>0</v>
      </c>
      <c r="AF5584">
        <v>3</v>
      </c>
      <c r="AG5584">
        <v>2</v>
      </c>
      <c r="AH5584">
        <v>0</v>
      </c>
      <c r="AI5584" t="s">
        <v>1241</v>
      </c>
      <c r="AJ5584">
        <v>28.209457</v>
      </c>
      <c r="AK5584" t="s">
        <v>1242</v>
      </c>
      <c r="AL5584">
        <v>-82.389758</v>
      </c>
      <c r="AM5584">
        <v>100</v>
      </c>
      <c r="AN5584">
        <v>1000</v>
      </c>
      <c r="AO5584" t="s">
        <v>118</v>
      </c>
      <c r="AP5584">
        <v>65</v>
      </c>
      <c r="AQ5584">
        <v>-91</v>
      </c>
      <c r="AR5584">
        <v>-1024</v>
      </c>
      <c r="AZ5584">
        <v>1200</v>
      </c>
      <c r="BA5584">
        <v>1</v>
      </c>
      <c r="BB5584" t="str">
        <f t="shared" si="2569"/>
        <v xml:space="preserve">N711JA  </v>
      </c>
      <c r="BC5584">
        <v>1</v>
      </c>
      <c r="BE5584">
        <v>0</v>
      </c>
      <c r="BF5584">
        <v>0</v>
      </c>
      <c r="BG5584">
        <v>0</v>
      </c>
      <c r="BH5584">
        <v>1075</v>
      </c>
      <c r="BI5584">
        <v>1</v>
      </c>
      <c r="BJ5584">
        <v>1</v>
      </c>
      <c r="BK5584">
        <v>0</v>
      </c>
      <c r="BL5584">
        <v>0</v>
      </c>
      <c r="BO5584">
        <v>0</v>
      </c>
      <c r="BP5584">
        <v>0</v>
      </c>
      <c r="BW5584" t="str">
        <f t="shared" si="2602"/>
        <v>14:51:38.427</v>
      </c>
      <c r="CJ5584">
        <v>0</v>
      </c>
      <c r="CK5584">
        <v>2</v>
      </c>
      <c r="CL5584">
        <v>0</v>
      </c>
      <c r="CM5584">
        <v>2</v>
      </c>
      <c r="CN5584">
        <v>0</v>
      </c>
      <c r="CO5584">
        <v>7</v>
      </c>
      <c r="CP5584" t="s">
        <v>119</v>
      </c>
      <c r="CQ5584">
        <v>343</v>
      </c>
      <c r="CR5584">
        <v>2</v>
      </c>
      <c r="CW5584">
        <v>13421973</v>
      </c>
      <c r="CY5584">
        <v>1</v>
      </c>
      <c r="CZ5584">
        <v>0</v>
      </c>
      <c r="DA5584">
        <v>1</v>
      </c>
      <c r="DB5584">
        <v>0</v>
      </c>
      <c r="DC5584">
        <v>0</v>
      </c>
      <c r="DD5584">
        <v>1</v>
      </c>
      <c r="DE5584">
        <v>0</v>
      </c>
      <c r="DF5584">
        <v>0</v>
      </c>
      <c r="DG5584">
        <v>0</v>
      </c>
      <c r="DH5584">
        <v>0</v>
      </c>
      <c r="DI5584">
        <v>0</v>
      </c>
    </row>
    <row r="5585" spans="1:113" x14ac:dyDescent="0.3">
      <c r="A5585" t="str">
        <f t="shared" si="2599"/>
        <v>05/12/2020 14:51:20.613</v>
      </c>
      <c r="C5585" t="str">
        <f t="shared" si="2568"/>
        <v>FFDFD3C0</v>
      </c>
      <c r="D5585" t="s">
        <v>138</v>
      </c>
      <c r="E5585">
        <v>2</v>
      </c>
      <c r="H5585">
        <v>8</v>
      </c>
      <c r="I5585" t="s">
        <v>139</v>
      </c>
      <c r="J5585" t="s">
        <v>136</v>
      </c>
      <c r="K5585">
        <v>0</v>
      </c>
      <c r="L5585">
        <v>3</v>
      </c>
      <c r="M5585">
        <v>0</v>
      </c>
      <c r="N5585">
        <v>2</v>
      </c>
      <c r="O5585">
        <v>1</v>
      </c>
      <c r="P5585">
        <v>0</v>
      </c>
      <c r="Q5585">
        <v>0</v>
      </c>
      <c r="S5585" t="str">
        <f t="shared" si="2600"/>
        <v>14:51:38.422</v>
      </c>
      <c r="T5585" t="str">
        <f t="shared" si="2601"/>
        <v>14:51:38.022</v>
      </c>
      <c r="U5585" t="str">
        <f t="shared" si="2594"/>
        <v>A9808D</v>
      </c>
      <c r="V5585">
        <v>0</v>
      </c>
      <c r="W5585">
        <v>0</v>
      </c>
      <c r="X5585">
        <v>1</v>
      </c>
      <c r="Z5585">
        <v>0</v>
      </c>
      <c r="AA5585">
        <v>9</v>
      </c>
      <c r="AB5585">
        <v>3</v>
      </c>
      <c r="AC5585">
        <v>0</v>
      </c>
      <c r="AD5585">
        <v>10</v>
      </c>
      <c r="AE5585">
        <v>0</v>
      </c>
      <c r="AF5585">
        <v>3</v>
      </c>
      <c r="AG5585">
        <v>2</v>
      </c>
      <c r="AH5585">
        <v>0</v>
      </c>
      <c r="AI5585" t="s">
        <v>1241</v>
      </c>
      <c r="AJ5585">
        <v>28.209457</v>
      </c>
      <c r="AK5585" t="s">
        <v>1242</v>
      </c>
      <c r="AL5585">
        <v>-82.389758</v>
      </c>
      <c r="AM5585">
        <v>100</v>
      </c>
      <c r="AN5585">
        <v>1000</v>
      </c>
      <c r="AO5585" t="s">
        <v>118</v>
      </c>
      <c r="AP5585">
        <v>65</v>
      </c>
      <c r="AQ5585">
        <v>-91</v>
      </c>
      <c r="AR5585">
        <v>-1024</v>
      </c>
      <c r="AZ5585">
        <v>1200</v>
      </c>
      <c r="BA5585">
        <v>1</v>
      </c>
      <c r="BB5585" t="str">
        <f t="shared" si="2569"/>
        <v xml:space="preserve">N711JA  </v>
      </c>
      <c r="BC5585">
        <v>1</v>
      </c>
      <c r="BE5585">
        <v>0</v>
      </c>
      <c r="BF5585">
        <v>0</v>
      </c>
      <c r="BG5585">
        <v>0</v>
      </c>
      <c r="BH5585">
        <v>1075</v>
      </c>
      <c r="BI5585">
        <v>1</v>
      </c>
      <c r="BJ5585">
        <v>1</v>
      </c>
      <c r="BK5585">
        <v>0</v>
      </c>
      <c r="BL5585">
        <v>0</v>
      </c>
      <c r="BO5585">
        <v>0</v>
      </c>
      <c r="BP5585">
        <v>0</v>
      </c>
      <c r="BW5585" t="str">
        <f t="shared" si="2602"/>
        <v>14:51:38.427</v>
      </c>
      <c r="CJ5585">
        <v>0</v>
      </c>
      <c r="CK5585">
        <v>2</v>
      </c>
      <c r="CL5585">
        <v>0</v>
      </c>
      <c r="CM5585">
        <v>2</v>
      </c>
      <c r="CN5585">
        <v>0</v>
      </c>
      <c r="CO5585">
        <v>7</v>
      </c>
      <c r="CP5585" t="s">
        <v>119</v>
      </c>
      <c r="CQ5585">
        <v>343</v>
      </c>
      <c r="CR5585">
        <v>2</v>
      </c>
      <c r="CW5585">
        <v>13421973</v>
      </c>
      <c r="CY5585">
        <v>1</v>
      </c>
      <c r="CZ5585">
        <v>0</v>
      </c>
      <c r="DA5585">
        <v>1</v>
      </c>
      <c r="DB5585">
        <v>0</v>
      </c>
      <c r="DC5585">
        <v>0</v>
      </c>
      <c r="DD5585">
        <v>1</v>
      </c>
      <c r="DE5585">
        <v>0</v>
      </c>
      <c r="DF5585">
        <v>0</v>
      </c>
      <c r="DG5585">
        <v>0</v>
      </c>
      <c r="DH5585">
        <v>0</v>
      </c>
      <c r="DI5585">
        <v>0</v>
      </c>
    </row>
    <row r="5586" spans="1:113" x14ac:dyDescent="0.3">
      <c r="A5586" t="str">
        <f t="shared" si="2599"/>
        <v>05/12/2020 14:51:20.613</v>
      </c>
      <c r="C5586" t="str">
        <f t="shared" si="2568"/>
        <v>FFDFD3C0</v>
      </c>
      <c r="D5586" t="s">
        <v>138</v>
      </c>
      <c r="E5586">
        <v>3</v>
      </c>
      <c r="H5586">
        <v>9</v>
      </c>
      <c r="I5586" t="s">
        <v>140</v>
      </c>
      <c r="J5586" t="s">
        <v>136</v>
      </c>
      <c r="K5586">
        <v>0</v>
      </c>
      <c r="L5586">
        <v>3</v>
      </c>
      <c r="M5586">
        <v>0</v>
      </c>
      <c r="N5586">
        <v>2</v>
      </c>
      <c r="O5586">
        <v>1</v>
      </c>
      <c r="P5586">
        <v>0</v>
      </c>
      <c r="Q5586">
        <v>0</v>
      </c>
      <c r="S5586" t="str">
        <f t="shared" si="2600"/>
        <v>14:51:38.422</v>
      </c>
      <c r="T5586" t="str">
        <f t="shared" si="2601"/>
        <v>14:51:38.022</v>
      </c>
      <c r="U5586" t="str">
        <f t="shared" si="2594"/>
        <v>A9808D</v>
      </c>
      <c r="V5586">
        <v>0</v>
      </c>
      <c r="W5586">
        <v>0</v>
      </c>
      <c r="X5586">
        <v>1</v>
      </c>
      <c r="Z5586">
        <v>0</v>
      </c>
      <c r="AA5586">
        <v>9</v>
      </c>
      <c r="AB5586">
        <v>3</v>
      </c>
      <c r="AC5586">
        <v>0</v>
      </c>
      <c r="AD5586">
        <v>10</v>
      </c>
      <c r="AE5586">
        <v>0</v>
      </c>
      <c r="AF5586">
        <v>3</v>
      </c>
      <c r="AG5586">
        <v>2</v>
      </c>
      <c r="AH5586">
        <v>0</v>
      </c>
      <c r="AI5586" t="s">
        <v>1241</v>
      </c>
      <c r="AJ5586">
        <v>28.209457</v>
      </c>
      <c r="AK5586" t="s">
        <v>1242</v>
      </c>
      <c r="AL5586">
        <v>-82.389758</v>
      </c>
      <c r="AM5586">
        <v>100</v>
      </c>
      <c r="AN5586">
        <v>1000</v>
      </c>
      <c r="AO5586" t="s">
        <v>118</v>
      </c>
      <c r="AP5586">
        <v>65</v>
      </c>
      <c r="AQ5586">
        <v>-91</v>
      </c>
      <c r="AR5586">
        <v>-1024</v>
      </c>
      <c r="AZ5586">
        <v>1200</v>
      </c>
      <c r="BA5586">
        <v>1</v>
      </c>
      <c r="BB5586" t="str">
        <f t="shared" si="2569"/>
        <v xml:space="preserve">N711JA  </v>
      </c>
      <c r="BC5586">
        <v>1</v>
      </c>
      <c r="BE5586">
        <v>0</v>
      </c>
      <c r="BF5586">
        <v>0</v>
      </c>
      <c r="BG5586">
        <v>0</v>
      </c>
      <c r="BH5586">
        <v>1075</v>
      </c>
      <c r="BI5586">
        <v>1</v>
      </c>
      <c r="BJ5586">
        <v>1</v>
      </c>
      <c r="BK5586">
        <v>0</v>
      </c>
      <c r="BL5586">
        <v>0</v>
      </c>
      <c r="BO5586">
        <v>0</v>
      </c>
      <c r="BP5586">
        <v>0</v>
      </c>
      <c r="BW5586" t="str">
        <f t="shared" si="2602"/>
        <v>14:51:38.427</v>
      </c>
      <c r="CJ5586">
        <v>0</v>
      </c>
      <c r="CK5586">
        <v>2</v>
      </c>
      <c r="CL5586">
        <v>0</v>
      </c>
      <c r="CM5586">
        <v>2</v>
      </c>
      <c r="CN5586">
        <v>0</v>
      </c>
      <c r="CO5586">
        <v>7</v>
      </c>
      <c r="CP5586" t="s">
        <v>119</v>
      </c>
      <c r="CQ5586">
        <v>343</v>
      </c>
      <c r="CR5586">
        <v>2</v>
      </c>
      <c r="CW5586">
        <v>13421973</v>
      </c>
      <c r="CY5586">
        <v>1</v>
      </c>
      <c r="CZ5586">
        <v>0</v>
      </c>
      <c r="DA5586">
        <v>1</v>
      </c>
      <c r="DB5586">
        <v>0</v>
      </c>
      <c r="DC5586">
        <v>0</v>
      </c>
      <c r="DD5586">
        <v>1</v>
      </c>
      <c r="DE5586">
        <v>0</v>
      </c>
      <c r="DF5586">
        <v>0</v>
      </c>
      <c r="DG5586">
        <v>0</v>
      </c>
      <c r="DH5586">
        <v>0</v>
      </c>
      <c r="DI5586">
        <v>0</v>
      </c>
    </row>
    <row r="5587" spans="1:113" x14ac:dyDescent="0.3">
      <c r="A5587" t="str">
        <f t="shared" si="2599"/>
        <v>05/12/2020 14:51:20.613</v>
      </c>
      <c r="C5587" t="str">
        <f t="shared" si="2568"/>
        <v>FFDFD3C0</v>
      </c>
      <c r="D5587" t="s">
        <v>126</v>
      </c>
      <c r="E5587">
        <v>7</v>
      </c>
      <c r="F5587">
        <v>1007</v>
      </c>
      <c r="G5587" t="s">
        <v>127</v>
      </c>
      <c r="J5587" t="s">
        <v>128</v>
      </c>
      <c r="K5587">
        <v>0</v>
      </c>
      <c r="L5587">
        <v>3</v>
      </c>
      <c r="M5587">
        <v>0</v>
      </c>
      <c r="N5587">
        <v>2</v>
      </c>
      <c r="O5587">
        <v>1</v>
      </c>
      <c r="P5587">
        <v>0</v>
      </c>
      <c r="Q5587">
        <v>0</v>
      </c>
      <c r="S5587" t="str">
        <f t="shared" si="2600"/>
        <v>14:51:38.422</v>
      </c>
      <c r="T5587" t="str">
        <f t="shared" si="2601"/>
        <v>14:51:38.022</v>
      </c>
      <c r="U5587" t="str">
        <f t="shared" si="2594"/>
        <v>A9808D</v>
      </c>
      <c r="V5587">
        <v>0</v>
      </c>
      <c r="W5587">
        <v>0</v>
      </c>
      <c r="X5587">
        <v>1</v>
      </c>
      <c r="Z5587">
        <v>0</v>
      </c>
      <c r="AA5587">
        <v>9</v>
      </c>
      <c r="AB5587">
        <v>3</v>
      </c>
      <c r="AC5587">
        <v>0</v>
      </c>
      <c r="AD5587">
        <v>10</v>
      </c>
      <c r="AE5587">
        <v>0</v>
      </c>
      <c r="AF5587">
        <v>3</v>
      </c>
      <c r="AG5587">
        <v>2</v>
      </c>
      <c r="AH5587">
        <v>0</v>
      </c>
      <c r="AI5587" t="s">
        <v>1241</v>
      </c>
      <c r="AJ5587">
        <v>28.209457</v>
      </c>
      <c r="AK5587" t="s">
        <v>1242</v>
      </c>
      <c r="AL5587">
        <v>-82.389758</v>
      </c>
      <c r="AM5587">
        <v>100</v>
      </c>
      <c r="AN5587">
        <v>1000</v>
      </c>
      <c r="AO5587" t="s">
        <v>118</v>
      </c>
      <c r="AP5587">
        <v>65</v>
      </c>
      <c r="AQ5587">
        <v>-91</v>
      </c>
      <c r="AR5587">
        <v>-1024</v>
      </c>
      <c r="AZ5587">
        <v>1200</v>
      </c>
      <c r="BA5587">
        <v>1</v>
      </c>
      <c r="BB5587" t="str">
        <f t="shared" si="2569"/>
        <v xml:space="preserve">N711JA  </v>
      </c>
      <c r="BC5587">
        <v>1</v>
      </c>
      <c r="BE5587">
        <v>0</v>
      </c>
      <c r="BF5587">
        <v>0</v>
      </c>
      <c r="BG5587">
        <v>0</v>
      </c>
      <c r="BH5587">
        <v>1075</v>
      </c>
      <c r="BI5587">
        <v>1</v>
      </c>
      <c r="BJ5587">
        <v>1</v>
      </c>
      <c r="BK5587">
        <v>0</v>
      </c>
      <c r="BL5587">
        <v>0</v>
      </c>
      <c r="BO5587">
        <v>0</v>
      </c>
      <c r="BP5587">
        <v>0</v>
      </c>
      <c r="BW5587" t="str">
        <f t="shared" si="2602"/>
        <v>14:51:38.427</v>
      </c>
      <c r="CJ5587">
        <v>0</v>
      </c>
      <c r="CK5587">
        <v>2</v>
      </c>
      <c r="CL5587">
        <v>0</v>
      </c>
      <c r="CM5587">
        <v>2</v>
      </c>
      <c r="CN5587">
        <v>0</v>
      </c>
      <c r="CO5587">
        <v>7</v>
      </c>
      <c r="CP5587" t="s">
        <v>119</v>
      </c>
      <c r="CQ5587">
        <v>343</v>
      </c>
      <c r="CR5587">
        <v>2</v>
      </c>
      <c r="CW5587">
        <v>13421973</v>
      </c>
      <c r="CY5587">
        <v>1</v>
      </c>
      <c r="CZ5587">
        <v>0</v>
      </c>
      <c r="DA5587">
        <v>1</v>
      </c>
      <c r="DB5587">
        <v>0</v>
      </c>
      <c r="DC5587">
        <v>0</v>
      </c>
      <c r="DD5587">
        <v>1</v>
      </c>
      <c r="DE5587">
        <v>0</v>
      </c>
      <c r="DF5587">
        <v>0</v>
      </c>
      <c r="DG5587">
        <v>0</v>
      </c>
      <c r="DH5587">
        <v>0</v>
      </c>
      <c r="DI5587">
        <v>0</v>
      </c>
    </row>
    <row r="5588" spans="1:113" x14ac:dyDescent="0.3">
      <c r="A5588" t="str">
        <f t="shared" si="2599"/>
        <v>05/12/2020 14:51:20.613</v>
      </c>
      <c r="C5588" t="str">
        <f t="shared" si="2568"/>
        <v>FFDFD3C0</v>
      </c>
      <c r="D5588" t="s">
        <v>131</v>
      </c>
      <c r="E5588">
        <v>10</v>
      </c>
      <c r="F5588">
        <v>2010</v>
      </c>
      <c r="G5588" t="s">
        <v>132</v>
      </c>
      <c r="J5588" t="s">
        <v>133</v>
      </c>
      <c r="K5588">
        <v>0</v>
      </c>
      <c r="L5588">
        <v>3</v>
      </c>
      <c r="M5588">
        <v>0</v>
      </c>
      <c r="N5588">
        <v>2</v>
      </c>
      <c r="O5588">
        <v>1</v>
      </c>
      <c r="P5588">
        <v>0</v>
      </c>
      <c r="Q5588">
        <v>0</v>
      </c>
      <c r="S5588" t="str">
        <f t="shared" si="2600"/>
        <v>14:51:38.422</v>
      </c>
      <c r="T5588" t="str">
        <f t="shared" si="2601"/>
        <v>14:51:38.022</v>
      </c>
      <c r="U5588" t="str">
        <f t="shared" si="2594"/>
        <v>A9808D</v>
      </c>
      <c r="V5588">
        <v>0</v>
      </c>
      <c r="W5588">
        <v>0</v>
      </c>
      <c r="X5588">
        <v>1</v>
      </c>
      <c r="Z5588">
        <v>0</v>
      </c>
      <c r="AA5588">
        <v>9</v>
      </c>
      <c r="AB5588">
        <v>3</v>
      </c>
      <c r="AC5588">
        <v>0</v>
      </c>
      <c r="AD5588">
        <v>10</v>
      </c>
      <c r="AE5588">
        <v>0</v>
      </c>
      <c r="AF5588">
        <v>3</v>
      </c>
      <c r="AG5588">
        <v>2</v>
      </c>
      <c r="AH5588">
        <v>0</v>
      </c>
      <c r="AI5588" t="s">
        <v>1241</v>
      </c>
      <c r="AJ5588">
        <v>28.209457</v>
      </c>
      <c r="AK5588" t="s">
        <v>1242</v>
      </c>
      <c r="AL5588">
        <v>-82.389758</v>
      </c>
      <c r="AM5588">
        <v>100</v>
      </c>
      <c r="AN5588">
        <v>1000</v>
      </c>
      <c r="AO5588" t="s">
        <v>118</v>
      </c>
      <c r="AP5588">
        <v>65</v>
      </c>
      <c r="AQ5588">
        <v>-91</v>
      </c>
      <c r="AR5588">
        <v>-1024</v>
      </c>
      <c r="AZ5588">
        <v>1200</v>
      </c>
      <c r="BA5588">
        <v>1</v>
      </c>
      <c r="BB5588" t="str">
        <f t="shared" si="2569"/>
        <v xml:space="preserve">N711JA  </v>
      </c>
      <c r="BC5588">
        <v>1</v>
      </c>
      <c r="BE5588">
        <v>0</v>
      </c>
      <c r="BF5588">
        <v>0</v>
      </c>
      <c r="BG5588">
        <v>0</v>
      </c>
      <c r="BH5588">
        <v>1075</v>
      </c>
      <c r="BI5588">
        <v>1</v>
      </c>
      <c r="BJ5588">
        <v>1</v>
      </c>
      <c r="BK5588">
        <v>0</v>
      </c>
      <c r="BL5588">
        <v>0</v>
      </c>
      <c r="BO5588">
        <v>0</v>
      </c>
      <c r="BP5588">
        <v>0</v>
      </c>
      <c r="BW5588" t="str">
        <f t="shared" si="2602"/>
        <v>14:51:38.427</v>
      </c>
      <c r="CJ5588">
        <v>0</v>
      </c>
      <c r="CK5588">
        <v>2</v>
      </c>
      <c r="CL5588">
        <v>0</v>
      </c>
      <c r="CM5588">
        <v>2</v>
      </c>
      <c r="CN5588">
        <v>0</v>
      </c>
      <c r="CO5588">
        <v>7</v>
      </c>
      <c r="CP5588" t="s">
        <v>119</v>
      </c>
      <c r="CQ5588">
        <v>343</v>
      </c>
      <c r="CR5588">
        <v>2</v>
      </c>
      <c r="CW5588">
        <v>13421973</v>
      </c>
      <c r="CY5588">
        <v>1</v>
      </c>
      <c r="CZ5588">
        <v>0</v>
      </c>
      <c r="DA5588">
        <v>1</v>
      </c>
      <c r="DB5588">
        <v>0</v>
      </c>
      <c r="DC5588">
        <v>0</v>
      </c>
      <c r="DD5588">
        <v>1</v>
      </c>
      <c r="DE5588">
        <v>0</v>
      </c>
      <c r="DF5588">
        <v>0</v>
      </c>
      <c r="DG5588">
        <v>0</v>
      </c>
      <c r="DH5588">
        <v>0</v>
      </c>
      <c r="DI5588">
        <v>0</v>
      </c>
    </row>
    <row r="5589" spans="1:113" x14ac:dyDescent="0.3">
      <c r="A5589" t="str">
        <f t="shared" si="2599"/>
        <v>05/12/2020 14:51:20.613</v>
      </c>
      <c r="C5589" t="str">
        <f t="shared" si="2568"/>
        <v>FFDFD3C0</v>
      </c>
      <c r="D5589" t="s">
        <v>131</v>
      </c>
      <c r="E5589">
        <v>12</v>
      </c>
      <c r="F5589">
        <v>2012</v>
      </c>
      <c r="G5589" t="s">
        <v>137</v>
      </c>
      <c r="J5589" t="s">
        <v>133</v>
      </c>
      <c r="K5589">
        <v>0</v>
      </c>
      <c r="L5589">
        <v>3</v>
      </c>
      <c r="M5589">
        <v>0</v>
      </c>
      <c r="N5589">
        <v>2</v>
      </c>
      <c r="O5589">
        <v>1</v>
      </c>
      <c r="P5589">
        <v>0</v>
      </c>
      <c r="Q5589">
        <v>0</v>
      </c>
      <c r="S5589" t="str">
        <f t="shared" si="2600"/>
        <v>14:51:38.422</v>
      </c>
      <c r="T5589" t="str">
        <f t="shared" si="2601"/>
        <v>14:51:38.022</v>
      </c>
      <c r="U5589" t="str">
        <f t="shared" si="2594"/>
        <v>A9808D</v>
      </c>
      <c r="V5589">
        <v>0</v>
      </c>
      <c r="W5589">
        <v>0</v>
      </c>
      <c r="X5589">
        <v>1</v>
      </c>
      <c r="Z5589">
        <v>0</v>
      </c>
      <c r="AA5589">
        <v>9</v>
      </c>
      <c r="AB5589">
        <v>3</v>
      </c>
      <c r="AC5589">
        <v>0</v>
      </c>
      <c r="AD5589">
        <v>10</v>
      </c>
      <c r="AE5589">
        <v>0</v>
      </c>
      <c r="AF5589">
        <v>3</v>
      </c>
      <c r="AG5589">
        <v>2</v>
      </c>
      <c r="AH5589">
        <v>0</v>
      </c>
      <c r="AI5589" t="s">
        <v>1241</v>
      </c>
      <c r="AJ5589">
        <v>28.209457</v>
      </c>
      <c r="AK5589" t="s">
        <v>1242</v>
      </c>
      <c r="AL5589">
        <v>-82.389758</v>
      </c>
      <c r="AM5589">
        <v>100</v>
      </c>
      <c r="AN5589">
        <v>1000</v>
      </c>
      <c r="AO5589" t="s">
        <v>118</v>
      </c>
      <c r="AP5589">
        <v>65</v>
      </c>
      <c r="AQ5589">
        <v>-91</v>
      </c>
      <c r="AR5589">
        <v>-1024</v>
      </c>
      <c r="AZ5589">
        <v>1200</v>
      </c>
      <c r="BA5589">
        <v>1</v>
      </c>
      <c r="BB5589" t="str">
        <f t="shared" si="2569"/>
        <v xml:space="preserve">N711JA  </v>
      </c>
      <c r="BC5589">
        <v>1</v>
      </c>
      <c r="BE5589">
        <v>0</v>
      </c>
      <c r="BF5589">
        <v>0</v>
      </c>
      <c r="BG5589">
        <v>0</v>
      </c>
      <c r="BH5589">
        <v>1075</v>
      </c>
      <c r="BI5589">
        <v>1</v>
      </c>
      <c r="BJ5589">
        <v>1</v>
      </c>
      <c r="BK5589">
        <v>0</v>
      </c>
      <c r="BL5589">
        <v>0</v>
      </c>
      <c r="BO5589">
        <v>0</v>
      </c>
      <c r="BP5589">
        <v>0</v>
      </c>
      <c r="BW5589" t="str">
        <f t="shared" si="2602"/>
        <v>14:51:38.427</v>
      </c>
      <c r="CJ5589">
        <v>0</v>
      </c>
      <c r="CK5589">
        <v>2</v>
      </c>
      <c r="CL5589">
        <v>0</v>
      </c>
      <c r="CM5589">
        <v>2</v>
      </c>
      <c r="CN5589">
        <v>0</v>
      </c>
      <c r="CO5589">
        <v>7</v>
      </c>
      <c r="CP5589" t="s">
        <v>119</v>
      </c>
      <c r="CQ5589">
        <v>343</v>
      </c>
      <c r="CR5589">
        <v>2</v>
      </c>
      <c r="CW5589">
        <v>13421973</v>
      </c>
      <c r="CY5589">
        <v>1</v>
      </c>
      <c r="CZ5589">
        <v>0</v>
      </c>
      <c r="DA5589">
        <v>1</v>
      </c>
      <c r="DB5589">
        <v>0</v>
      </c>
      <c r="DC5589">
        <v>0</v>
      </c>
      <c r="DD5589">
        <v>1</v>
      </c>
      <c r="DE5589">
        <v>0</v>
      </c>
      <c r="DF5589">
        <v>0</v>
      </c>
      <c r="DG5589">
        <v>0</v>
      </c>
      <c r="DH5589">
        <v>0</v>
      </c>
      <c r="DI5589">
        <v>0</v>
      </c>
    </row>
    <row r="5590" spans="1:113" x14ac:dyDescent="0.3">
      <c r="A5590" t="str">
        <f t="shared" si="2599"/>
        <v>05/12/2020 14:51:20.613</v>
      </c>
      <c r="C5590" t="str">
        <f t="shared" ref="C5590:C5653" si="2603">"FFDFD3C0"</f>
        <v>FFDFD3C0</v>
      </c>
      <c r="D5590" t="s">
        <v>126</v>
      </c>
      <c r="E5590">
        <v>6</v>
      </c>
      <c r="F5590">
        <v>1006</v>
      </c>
      <c r="G5590" t="s">
        <v>114</v>
      </c>
      <c r="J5590" t="s">
        <v>128</v>
      </c>
      <c r="K5590">
        <v>0</v>
      </c>
      <c r="L5590">
        <v>3</v>
      </c>
      <c r="M5590">
        <v>0</v>
      </c>
      <c r="N5590">
        <v>2</v>
      </c>
      <c r="O5590">
        <v>1</v>
      </c>
      <c r="P5590">
        <v>0</v>
      </c>
      <c r="Q5590">
        <v>0</v>
      </c>
      <c r="S5590" t="str">
        <f t="shared" si="2600"/>
        <v>14:51:38.422</v>
      </c>
      <c r="T5590" t="str">
        <f t="shared" si="2601"/>
        <v>14:51:38.022</v>
      </c>
      <c r="U5590" t="str">
        <f t="shared" si="2594"/>
        <v>A9808D</v>
      </c>
      <c r="V5590">
        <v>0</v>
      </c>
      <c r="W5590">
        <v>0</v>
      </c>
      <c r="X5590">
        <v>1</v>
      </c>
      <c r="Z5590">
        <v>0</v>
      </c>
      <c r="AA5590">
        <v>9</v>
      </c>
      <c r="AB5590">
        <v>3</v>
      </c>
      <c r="AC5590">
        <v>0</v>
      </c>
      <c r="AD5590">
        <v>10</v>
      </c>
      <c r="AE5590">
        <v>0</v>
      </c>
      <c r="AF5590">
        <v>3</v>
      </c>
      <c r="AG5590">
        <v>2</v>
      </c>
      <c r="AH5590">
        <v>0</v>
      </c>
      <c r="AI5590" t="s">
        <v>1241</v>
      </c>
      <c r="AJ5590">
        <v>28.209457</v>
      </c>
      <c r="AK5590" t="s">
        <v>1242</v>
      </c>
      <c r="AL5590">
        <v>-82.389758</v>
      </c>
      <c r="AM5590">
        <v>100</v>
      </c>
      <c r="AN5590">
        <v>1000</v>
      </c>
      <c r="AO5590" t="s">
        <v>118</v>
      </c>
      <c r="AP5590">
        <v>65</v>
      </c>
      <c r="AQ5590">
        <v>-91</v>
      </c>
      <c r="AR5590">
        <v>-1024</v>
      </c>
      <c r="AZ5590">
        <v>1200</v>
      </c>
      <c r="BA5590">
        <v>1</v>
      </c>
      <c r="BB5590" t="str">
        <f t="shared" ref="BB5590:BB5653" si="2604">"N711JA  "</f>
        <v xml:space="preserve">N711JA  </v>
      </c>
      <c r="BC5590">
        <v>1</v>
      </c>
      <c r="BE5590">
        <v>0</v>
      </c>
      <c r="BF5590">
        <v>0</v>
      </c>
      <c r="BG5590">
        <v>0</v>
      </c>
      <c r="BH5590">
        <v>1075</v>
      </c>
      <c r="BI5590">
        <v>1</v>
      </c>
      <c r="BJ5590">
        <v>1</v>
      </c>
      <c r="BK5590">
        <v>0</v>
      </c>
      <c r="BL5590">
        <v>0</v>
      </c>
      <c r="BO5590">
        <v>0</v>
      </c>
      <c r="BP5590">
        <v>0</v>
      </c>
      <c r="BW5590" t="str">
        <f t="shared" si="2602"/>
        <v>14:51:38.427</v>
      </c>
      <c r="CJ5590">
        <v>0</v>
      </c>
      <c r="CK5590">
        <v>2</v>
      </c>
      <c r="CL5590">
        <v>0</v>
      </c>
      <c r="CM5590">
        <v>2</v>
      </c>
      <c r="CN5590">
        <v>0</v>
      </c>
      <c r="CO5590">
        <v>7</v>
      </c>
      <c r="CP5590" t="s">
        <v>119</v>
      </c>
      <c r="CQ5590">
        <v>343</v>
      </c>
      <c r="CR5590">
        <v>2</v>
      </c>
      <c r="CW5590">
        <v>13421973</v>
      </c>
      <c r="CY5590">
        <v>1</v>
      </c>
      <c r="CZ5590">
        <v>0</v>
      </c>
      <c r="DA5590">
        <v>1</v>
      </c>
      <c r="DB5590">
        <v>0</v>
      </c>
      <c r="DC5590">
        <v>0</v>
      </c>
      <c r="DD5590">
        <v>1</v>
      </c>
      <c r="DE5590">
        <v>0</v>
      </c>
      <c r="DF5590">
        <v>0</v>
      </c>
      <c r="DG5590">
        <v>0</v>
      </c>
      <c r="DH5590">
        <v>0</v>
      </c>
      <c r="DI5590">
        <v>0</v>
      </c>
    </row>
    <row r="5591" spans="1:113" x14ac:dyDescent="0.3">
      <c r="A5591" t="str">
        <f t="shared" ref="A5591:A5598" si="2605">"05/12/2020 14:51:21.727"</f>
        <v>05/12/2020 14:51:21.727</v>
      </c>
      <c r="C5591" t="str">
        <f t="shared" si="2603"/>
        <v>FFDFD3C0</v>
      </c>
      <c r="D5591" t="s">
        <v>134</v>
      </c>
      <c r="E5591">
        <v>12</v>
      </c>
      <c r="H5591">
        <v>64</v>
      </c>
      <c r="I5591" t="s">
        <v>135</v>
      </c>
      <c r="J5591" t="s">
        <v>136</v>
      </c>
      <c r="K5591">
        <v>0</v>
      </c>
      <c r="L5591">
        <v>3</v>
      </c>
      <c r="M5591">
        <v>0</v>
      </c>
      <c r="N5591">
        <v>2</v>
      </c>
      <c r="O5591">
        <v>1</v>
      </c>
      <c r="P5591">
        <v>0</v>
      </c>
      <c r="Q5591">
        <v>0</v>
      </c>
      <c r="S5591" t="str">
        <f t="shared" ref="S5591:T5598" si="2606">"14:51:39.508"</f>
        <v>14:51:39.508</v>
      </c>
      <c r="T5591" t="str">
        <f t="shared" si="2606"/>
        <v>14:51:39.508</v>
      </c>
      <c r="U5591" t="str">
        <f t="shared" si="2594"/>
        <v>A9808D</v>
      </c>
      <c r="V5591">
        <v>0</v>
      </c>
      <c r="W5591">
        <v>0</v>
      </c>
      <c r="X5591">
        <v>1</v>
      </c>
      <c r="Z5591">
        <v>0</v>
      </c>
      <c r="AA5591">
        <v>9</v>
      </c>
      <c r="AB5591">
        <v>3</v>
      </c>
      <c r="AC5591">
        <v>0</v>
      </c>
      <c r="AD5591">
        <v>10</v>
      </c>
      <c r="AE5591">
        <v>0</v>
      </c>
      <c r="AF5591">
        <v>3</v>
      </c>
      <c r="AG5591">
        <v>2</v>
      </c>
      <c r="AH5591">
        <v>0</v>
      </c>
      <c r="AI5591" t="s">
        <v>1243</v>
      </c>
      <c r="AJ5591">
        <v>28.209028</v>
      </c>
      <c r="AK5591" t="s">
        <v>1188</v>
      </c>
      <c r="AL5591">
        <v>-82.389436000000003</v>
      </c>
      <c r="AM5591">
        <v>100</v>
      </c>
      <c r="AN5591">
        <v>1000</v>
      </c>
      <c r="AO5591" t="s">
        <v>118</v>
      </c>
      <c r="AP5591">
        <v>67</v>
      </c>
      <c r="AQ5591">
        <v>-89</v>
      </c>
      <c r="AR5591">
        <v>-1152</v>
      </c>
      <c r="AZ5591">
        <v>1200</v>
      </c>
      <c r="BA5591">
        <v>1</v>
      </c>
      <c r="BB5591" t="str">
        <f t="shared" si="2604"/>
        <v xml:space="preserve">N711JA  </v>
      </c>
      <c r="BC5591">
        <v>1</v>
      </c>
      <c r="BE5591">
        <v>0</v>
      </c>
      <c r="BF5591">
        <v>0</v>
      </c>
      <c r="BG5591">
        <v>0</v>
      </c>
      <c r="BH5591">
        <v>1025</v>
      </c>
      <c r="BI5591">
        <v>1</v>
      </c>
      <c r="BJ5591">
        <v>1</v>
      </c>
      <c r="BK5591">
        <v>0</v>
      </c>
      <c r="BL5591">
        <v>0</v>
      </c>
      <c r="BO5591">
        <v>0</v>
      </c>
      <c r="BP5591">
        <v>0</v>
      </c>
      <c r="BW5591" t="str">
        <f t="shared" ref="BW5591:BW5598" si="2607">"14:51:39.510"</f>
        <v>14:51:39.510</v>
      </c>
      <c r="CJ5591">
        <v>0</v>
      </c>
      <c r="CK5591">
        <v>2</v>
      </c>
      <c r="CL5591">
        <v>0</v>
      </c>
      <c r="CM5591">
        <v>2</v>
      </c>
      <c r="CN5591">
        <v>0</v>
      </c>
      <c r="CO5591">
        <v>7</v>
      </c>
      <c r="CP5591" t="s">
        <v>119</v>
      </c>
      <c r="CQ5591">
        <v>343</v>
      </c>
      <c r="CR5591">
        <v>2</v>
      </c>
      <c r="CW5591">
        <v>13422787</v>
      </c>
      <c r="CY5591">
        <v>1</v>
      </c>
      <c r="CZ5591">
        <v>0</v>
      </c>
      <c r="DA5591">
        <v>0</v>
      </c>
      <c r="DB5591">
        <v>0</v>
      </c>
      <c r="DC5591">
        <v>0</v>
      </c>
      <c r="DD5591">
        <v>1</v>
      </c>
      <c r="DE5591">
        <v>0</v>
      </c>
      <c r="DF5591">
        <v>0</v>
      </c>
      <c r="DG5591">
        <v>0</v>
      </c>
      <c r="DH5591">
        <v>0</v>
      </c>
      <c r="DI5591">
        <v>0</v>
      </c>
    </row>
    <row r="5592" spans="1:113" x14ac:dyDescent="0.3">
      <c r="A5592" t="str">
        <f t="shared" si="2605"/>
        <v>05/12/2020 14:51:21.727</v>
      </c>
      <c r="C5592" t="str">
        <f t="shared" si="2603"/>
        <v>FFDFD3C0</v>
      </c>
      <c r="D5592" t="s">
        <v>113</v>
      </c>
      <c r="E5592">
        <v>3</v>
      </c>
      <c r="H5592">
        <v>164</v>
      </c>
      <c r="I5592" t="s">
        <v>114</v>
      </c>
      <c r="J5592" t="s">
        <v>115</v>
      </c>
      <c r="K5592">
        <v>0</v>
      </c>
      <c r="L5592">
        <v>3</v>
      </c>
      <c r="M5592">
        <v>0</v>
      </c>
      <c r="N5592">
        <v>2</v>
      </c>
      <c r="O5592">
        <v>1</v>
      </c>
      <c r="P5592">
        <v>0</v>
      </c>
      <c r="Q5592">
        <v>0</v>
      </c>
      <c r="S5592" t="str">
        <f t="shared" si="2606"/>
        <v>14:51:39.508</v>
      </c>
      <c r="T5592" t="str">
        <f t="shared" si="2606"/>
        <v>14:51:39.508</v>
      </c>
      <c r="U5592" t="str">
        <f t="shared" si="2594"/>
        <v>A9808D</v>
      </c>
      <c r="V5592">
        <v>0</v>
      </c>
      <c r="W5592">
        <v>0</v>
      </c>
      <c r="X5592">
        <v>1</v>
      </c>
      <c r="Z5592">
        <v>0</v>
      </c>
      <c r="AA5592">
        <v>9</v>
      </c>
      <c r="AB5592">
        <v>3</v>
      </c>
      <c r="AC5592">
        <v>0</v>
      </c>
      <c r="AD5592">
        <v>10</v>
      </c>
      <c r="AE5592">
        <v>0</v>
      </c>
      <c r="AF5592">
        <v>3</v>
      </c>
      <c r="AG5592">
        <v>2</v>
      </c>
      <c r="AH5592">
        <v>0</v>
      </c>
      <c r="AI5592" t="s">
        <v>1243</v>
      </c>
      <c r="AJ5592">
        <v>28.209028</v>
      </c>
      <c r="AK5592" t="s">
        <v>1188</v>
      </c>
      <c r="AL5592">
        <v>-82.389436000000003</v>
      </c>
      <c r="AM5592">
        <v>100</v>
      </c>
      <c r="AN5592">
        <v>1000</v>
      </c>
      <c r="AO5592" t="s">
        <v>118</v>
      </c>
      <c r="AP5592">
        <v>67</v>
      </c>
      <c r="AQ5592">
        <v>-89</v>
      </c>
      <c r="AR5592">
        <v>-1152</v>
      </c>
      <c r="AZ5592">
        <v>1200</v>
      </c>
      <c r="BA5592">
        <v>1</v>
      </c>
      <c r="BB5592" t="str">
        <f t="shared" si="2604"/>
        <v xml:space="preserve">N711JA  </v>
      </c>
      <c r="BC5592">
        <v>1</v>
      </c>
      <c r="BE5592">
        <v>0</v>
      </c>
      <c r="BF5592">
        <v>0</v>
      </c>
      <c r="BG5592">
        <v>0</v>
      </c>
      <c r="BH5592">
        <v>1025</v>
      </c>
      <c r="BI5592">
        <v>1</v>
      </c>
      <c r="BJ5592">
        <v>1</v>
      </c>
      <c r="BK5592">
        <v>0</v>
      </c>
      <c r="BL5592">
        <v>0</v>
      </c>
      <c r="BO5592">
        <v>0</v>
      </c>
      <c r="BP5592">
        <v>0</v>
      </c>
      <c r="BW5592" t="str">
        <f t="shared" si="2607"/>
        <v>14:51:39.510</v>
      </c>
      <c r="CJ5592">
        <v>0</v>
      </c>
      <c r="CK5592">
        <v>2</v>
      </c>
      <c r="CL5592">
        <v>0</v>
      </c>
      <c r="CM5592">
        <v>2</v>
      </c>
      <c r="CN5592">
        <v>0</v>
      </c>
      <c r="CO5592">
        <v>7</v>
      </c>
      <c r="CP5592" t="s">
        <v>119</v>
      </c>
      <c r="CQ5592">
        <v>343</v>
      </c>
      <c r="CR5592">
        <v>2</v>
      </c>
      <c r="CW5592">
        <v>13422787</v>
      </c>
      <c r="CY5592">
        <v>1</v>
      </c>
      <c r="CZ5592">
        <v>0</v>
      </c>
      <c r="DA5592">
        <v>1</v>
      </c>
      <c r="DB5592">
        <v>0</v>
      </c>
      <c r="DC5592">
        <v>0</v>
      </c>
      <c r="DD5592">
        <v>1</v>
      </c>
      <c r="DE5592">
        <v>0</v>
      </c>
      <c r="DF5592">
        <v>0</v>
      </c>
      <c r="DG5592">
        <v>0</v>
      </c>
      <c r="DH5592">
        <v>0</v>
      </c>
      <c r="DI5592">
        <v>0</v>
      </c>
    </row>
    <row r="5593" spans="1:113" x14ac:dyDescent="0.3">
      <c r="A5593" t="str">
        <f t="shared" si="2605"/>
        <v>05/12/2020 14:51:21.727</v>
      </c>
      <c r="C5593" t="str">
        <f t="shared" si="2603"/>
        <v>FFDFD3C0</v>
      </c>
      <c r="D5593" t="s">
        <v>138</v>
      </c>
      <c r="E5593">
        <v>2</v>
      </c>
      <c r="H5593">
        <v>8</v>
      </c>
      <c r="I5593" t="s">
        <v>139</v>
      </c>
      <c r="J5593" t="s">
        <v>136</v>
      </c>
      <c r="K5593">
        <v>0</v>
      </c>
      <c r="L5593">
        <v>3</v>
      </c>
      <c r="M5593">
        <v>0</v>
      </c>
      <c r="N5593">
        <v>2</v>
      </c>
      <c r="O5593">
        <v>1</v>
      </c>
      <c r="P5593">
        <v>0</v>
      </c>
      <c r="Q5593">
        <v>0</v>
      </c>
      <c r="S5593" t="str">
        <f t="shared" si="2606"/>
        <v>14:51:39.508</v>
      </c>
      <c r="T5593" t="str">
        <f t="shared" si="2606"/>
        <v>14:51:39.508</v>
      </c>
      <c r="U5593" t="str">
        <f t="shared" si="2594"/>
        <v>A9808D</v>
      </c>
      <c r="V5593">
        <v>0</v>
      </c>
      <c r="W5593">
        <v>0</v>
      </c>
      <c r="X5593">
        <v>1</v>
      </c>
      <c r="Z5593">
        <v>0</v>
      </c>
      <c r="AA5593">
        <v>9</v>
      </c>
      <c r="AB5593">
        <v>3</v>
      </c>
      <c r="AC5593">
        <v>0</v>
      </c>
      <c r="AD5593">
        <v>10</v>
      </c>
      <c r="AE5593">
        <v>0</v>
      </c>
      <c r="AF5593">
        <v>3</v>
      </c>
      <c r="AG5593">
        <v>2</v>
      </c>
      <c r="AH5593">
        <v>0</v>
      </c>
      <c r="AI5593" t="s">
        <v>1243</v>
      </c>
      <c r="AJ5593">
        <v>28.209028</v>
      </c>
      <c r="AK5593" t="s">
        <v>1188</v>
      </c>
      <c r="AL5593">
        <v>-82.389436000000003</v>
      </c>
      <c r="AM5593">
        <v>100</v>
      </c>
      <c r="AN5593">
        <v>1000</v>
      </c>
      <c r="AO5593" t="s">
        <v>118</v>
      </c>
      <c r="AP5593">
        <v>67</v>
      </c>
      <c r="AQ5593">
        <v>-89</v>
      </c>
      <c r="AR5593">
        <v>-1152</v>
      </c>
      <c r="AZ5593">
        <v>1200</v>
      </c>
      <c r="BA5593">
        <v>1</v>
      </c>
      <c r="BB5593" t="str">
        <f t="shared" si="2604"/>
        <v xml:space="preserve">N711JA  </v>
      </c>
      <c r="BC5593">
        <v>1</v>
      </c>
      <c r="BE5593">
        <v>0</v>
      </c>
      <c r="BF5593">
        <v>0</v>
      </c>
      <c r="BG5593">
        <v>0</v>
      </c>
      <c r="BH5593">
        <v>1025</v>
      </c>
      <c r="BI5593">
        <v>1</v>
      </c>
      <c r="BJ5593">
        <v>1</v>
      </c>
      <c r="BK5593">
        <v>0</v>
      </c>
      <c r="BL5593">
        <v>0</v>
      </c>
      <c r="BO5593">
        <v>0</v>
      </c>
      <c r="BP5593">
        <v>0</v>
      </c>
      <c r="BW5593" t="str">
        <f t="shared" si="2607"/>
        <v>14:51:39.510</v>
      </c>
      <c r="CJ5593">
        <v>0</v>
      </c>
      <c r="CK5593">
        <v>2</v>
      </c>
      <c r="CL5593">
        <v>0</v>
      </c>
      <c r="CM5593">
        <v>2</v>
      </c>
      <c r="CN5593">
        <v>0</v>
      </c>
      <c r="CO5593">
        <v>7</v>
      </c>
      <c r="CP5593" t="s">
        <v>119</v>
      </c>
      <c r="CQ5593">
        <v>343</v>
      </c>
      <c r="CR5593">
        <v>2</v>
      </c>
      <c r="CW5593">
        <v>13422787</v>
      </c>
      <c r="CY5593">
        <v>1</v>
      </c>
      <c r="CZ5593">
        <v>0</v>
      </c>
      <c r="DA5593">
        <v>1</v>
      </c>
      <c r="DB5593">
        <v>0</v>
      </c>
      <c r="DC5593">
        <v>0</v>
      </c>
      <c r="DD5593">
        <v>1</v>
      </c>
      <c r="DE5593">
        <v>0</v>
      </c>
      <c r="DF5593">
        <v>0</v>
      </c>
      <c r="DG5593">
        <v>0</v>
      </c>
      <c r="DH5593">
        <v>0</v>
      </c>
      <c r="DI5593">
        <v>0</v>
      </c>
    </row>
    <row r="5594" spans="1:113" x14ac:dyDescent="0.3">
      <c r="A5594" t="str">
        <f t="shared" si="2605"/>
        <v>05/12/2020 14:51:21.727</v>
      </c>
      <c r="C5594" t="str">
        <f t="shared" si="2603"/>
        <v>FFDFD3C0</v>
      </c>
      <c r="D5594" t="s">
        <v>138</v>
      </c>
      <c r="E5594">
        <v>3</v>
      </c>
      <c r="H5594">
        <v>9</v>
      </c>
      <c r="I5594" t="s">
        <v>140</v>
      </c>
      <c r="J5594" t="s">
        <v>136</v>
      </c>
      <c r="K5594">
        <v>0</v>
      </c>
      <c r="L5594">
        <v>3</v>
      </c>
      <c r="M5594">
        <v>0</v>
      </c>
      <c r="N5594">
        <v>2</v>
      </c>
      <c r="O5594">
        <v>1</v>
      </c>
      <c r="P5594">
        <v>0</v>
      </c>
      <c r="Q5594">
        <v>0</v>
      </c>
      <c r="S5594" t="str">
        <f t="shared" si="2606"/>
        <v>14:51:39.508</v>
      </c>
      <c r="T5594" t="str">
        <f t="shared" si="2606"/>
        <v>14:51:39.508</v>
      </c>
      <c r="U5594" t="str">
        <f t="shared" si="2594"/>
        <v>A9808D</v>
      </c>
      <c r="V5594">
        <v>0</v>
      </c>
      <c r="W5594">
        <v>0</v>
      </c>
      <c r="X5594">
        <v>1</v>
      </c>
      <c r="Z5594">
        <v>0</v>
      </c>
      <c r="AA5594">
        <v>9</v>
      </c>
      <c r="AB5594">
        <v>3</v>
      </c>
      <c r="AC5594">
        <v>0</v>
      </c>
      <c r="AD5594">
        <v>10</v>
      </c>
      <c r="AE5594">
        <v>0</v>
      </c>
      <c r="AF5594">
        <v>3</v>
      </c>
      <c r="AG5594">
        <v>2</v>
      </c>
      <c r="AH5594">
        <v>0</v>
      </c>
      <c r="AI5594" t="s">
        <v>1243</v>
      </c>
      <c r="AJ5594">
        <v>28.209028</v>
      </c>
      <c r="AK5594" t="s">
        <v>1188</v>
      </c>
      <c r="AL5594">
        <v>-82.389436000000003</v>
      </c>
      <c r="AM5594">
        <v>100</v>
      </c>
      <c r="AN5594">
        <v>1000</v>
      </c>
      <c r="AO5594" t="s">
        <v>118</v>
      </c>
      <c r="AP5594">
        <v>67</v>
      </c>
      <c r="AQ5594">
        <v>-89</v>
      </c>
      <c r="AR5594">
        <v>-1152</v>
      </c>
      <c r="AZ5594">
        <v>1200</v>
      </c>
      <c r="BA5594">
        <v>1</v>
      </c>
      <c r="BB5594" t="str">
        <f t="shared" si="2604"/>
        <v xml:space="preserve">N711JA  </v>
      </c>
      <c r="BC5594">
        <v>1</v>
      </c>
      <c r="BE5594">
        <v>0</v>
      </c>
      <c r="BF5594">
        <v>0</v>
      </c>
      <c r="BG5594">
        <v>0</v>
      </c>
      <c r="BH5594">
        <v>1025</v>
      </c>
      <c r="BI5594">
        <v>1</v>
      </c>
      <c r="BJ5594">
        <v>1</v>
      </c>
      <c r="BK5594">
        <v>0</v>
      </c>
      <c r="BL5594">
        <v>0</v>
      </c>
      <c r="BO5594">
        <v>0</v>
      </c>
      <c r="BP5594">
        <v>0</v>
      </c>
      <c r="BW5594" t="str">
        <f t="shared" si="2607"/>
        <v>14:51:39.510</v>
      </c>
      <c r="CJ5594">
        <v>0</v>
      </c>
      <c r="CK5594">
        <v>2</v>
      </c>
      <c r="CL5594">
        <v>0</v>
      </c>
      <c r="CM5594">
        <v>2</v>
      </c>
      <c r="CN5594">
        <v>0</v>
      </c>
      <c r="CO5594">
        <v>7</v>
      </c>
      <c r="CP5594" t="s">
        <v>119</v>
      </c>
      <c r="CQ5594">
        <v>343</v>
      </c>
      <c r="CR5594">
        <v>2</v>
      </c>
      <c r="CW5594">
        <v>13422787</v>
      </c>
      <c r="CY5594">
        <v>1</v>
      </c>
      <c r="CZ5594">
        <v>0</v>
      </c>
      <c r="DA5594">
        <v>1</v>
      </c>
      <c r="DB5594">
        <v>0</v>
      </c>
      <c r="DC5594">
        <v>0</v>
      </c>
      <c r="DD5594">
        <v>1</v>
      </c>
      <c r="DE5594">
        <v>0</v>
      </c>
      <c r="DF5594">
        <v>0</v>
      </c>
      <c r="DG5594">
        <v>0</v>
      </c>
      <c r="DH5594">
        <v>0</v>
      </c>
      <c r="DI5594">
        <v>0</v>
      </c>
    </row>
    <row r="5595" spans="1:113" x14ac:dyDescent="0.3">
      <c r="A5595" t="str">
        <f t="shared" si="2605"/>
        <v>05/12/2020 14:51:21.727</v>
      </c>
      <c r="C5595" t="str">
        <f t="shared" si="2603"/>
        <v>FFDFD3C0</v>
      </c>
      <c r="D5595" t="s">
        <v>126</v>
      </c>
      <c r="E5595">
        <v>7</v>
      </c>
      <c r="F5595">
        <v>1007</v>
      </c>
      <c r="G5595" t="s">
        <v>127</v>
      </c>
      <c r="J5595" t="s">
        <v>128</v>
      </c>
      <c r="K5595">
        <v>0</v>
      </c>
      <c r="L5595">
        <v>3</v>
      </c>
      <c r="M5595">
        <v>0</v>
      </c>
      <c r="N5595">
        <v>2</v>
      </c>
      <c r="O5595">
        <v>1</v>
      </c>
      <c r="P5595">
        <v>0</v>
      </c>
      <c r="Q5595">
        <v>0</v>
      </c>
      <c r="S5595" t="str">
        <f t="shared" si="2606"/>
        <v>14:51:39.508</v>
      </c>
      <c r="T5595" t="str">
        <f t="shared" si="2606"/>
        <v>14:51:39.508</v>
      </c>
      <c r="U5595" t="str">
        <f t="shared" si="2594"/>
        <v>A9808D</v>
      </c>
      <c r="V5595">
        <v>0</v>
      </c>
      <c r="W5595">
        <v>0</v>
      </c>
      <c r="X5595">
        <v>1</v>
      </c>
      <c r="Z5595">
        <v>0</v>
      </c>
      <c r="AA5595">
        <v>9</v>
      </c>
      <c r="AB5595">
        <v>3</v>
      </c>
      <c r="AC5595">
        <v>0</v>
      </c>
      <c r="AD5595">
        <v>10</v>
      </c>
      <c r="AE5595">
        <v>0</v>
      </c>
      <c r="AF5595">
        <v>3</v>
      </c>
      <c r="AG5595">
        <v>2</v>
      </c>
      <c r="AH5595">
        <v>0</v>
      </c>
      <c r="AI5595" t="s">
        <v>1243</v>
      </c>
      <c r="AJ5595">
        <v>28.209028</v>
      </c>
      <c r="AK5595" t="s">
        <v>1188</v>
      </c>
      <c r="AL5595">
        <v>-82.389436000000003</v>
      </c>
      <c r="AM5595">
        <v>100</v>
      </c>
      <c r="AN5595">
        <v>1000</v>
      </c>
      <c r="AO5595" t="s">
        <v>118</v>
      </c>
      <c r="AP5595">
        <v>67</v>
      </c>
      <c r="AQ5595">
        <v>-89</v>
      </c>
      <c r="AR5595">
        <v>-1152</v>
      </c>
      <c r="AZ5595">
        <v>1200</v>
      </c>
      <c r="BA5595">
        <v>1</v>
      </c>
      <c r="BB5595" t="str">
        <f t="shared" si="2604"/>
        <v xml:space="preserve">N711JA  </v>
      </c>
      <c r="BC5595">
        <v>1</v>
      </c>
      <c r="BE5595">
        <v>0</v>
      </c>
      <c r="BF5595">
        <v>0</v>
      </c>
      <c r="BG5595">
        <v>0</v>
      </c>
      <c r="BH5595">
        <v>1025</v>
      </c>
      <c r="BI5595">
        <v>1</v>
      </c>
      <c r="BJ5595">
        <v>1</v>
      </c>
      <c r="BK5595">
        <v>0</v>
      </c>
      <c r="BL5595">
        <v>0</v>
      </c>
      <c r="BO5595">
        <v>0</v>
      </c>
      <c r="BP5595">
        <v>0</v>
      </c>
      <c r="BW5595" t="str">
        <f t="shared" si="2607"/>
        <v>14:51:39.510</v>
      </c>
      <c r="CJ5595">
        <v>0</v>
      </c>
      <c r="CK5595">
        <v>2</v>
      </c>
      <c r="CL5595">
        <v>0</v>
      </c>
      <c r="CM5595">
        <v>2</v>
      </c>
      <c r="CN5595">
        <v>0</v>
      </c>
      <c r="CO5595">
        <v>7</v>
      </c>
      <c r="CP5595" t="s">
        <v>119</v>
      </c>
      <c r="CQ5595">
        <v>343</v>
      </c>
      <c r="CR5595">
        <v>2</v>
      </c>
      <c r="CW5595">
        <v>13422787</v>
      </c>
      <c r="CY5595">
        <v>1</v>
      </c>
      <c r="CZ5595">
        <v>0</v>
      </c>
      <c r="DA5595">
        <v>1</v>
      </c>
      <c r="DB5595">
        <v>0</v>
      </c>
      <c r="DC5595">
        <v>0</v>
      </c>
      <c r="DD5595">
        <v>1</v>
      </c>
      <c r="DE5595">
        <v>0</v>
      </c>
      <c r="DF5595">
        <v>0</v>
      </c>
      <c r="DG5595">
        <v>0</v>
      </c>
      <c r="DH5595">
        <v>0</v>
      </c>
      <c r="DI5595">
        <v>0</v>
      </c>
    </row>
    <row r="5596" spans="1:113" x14ac:dyDescent="0.3">
      <c r="A5596" t="str">
        <f t="shared" si="2605"/>
        <v>05/12/2020 14:51:21.727</v>
      </c>
      <c r="C5596" t="str">
        <f t="shared" si="2603"/>
        <v>FFDFD3C0</v>
      </c>
      <c r="D5596" t="s">
        <v>131</v>
      </c>
      <c r="E5596">
        <v>10</v>
      </c>
      <c r="F5596">
        <v>2010</v>
      </c>
      <c r="G5596" t="s">
        <v>132</v>
      </c>
      <c r="J5596" t="s">
        <v>133</v>
      </c>
      <c r="K5596">
        <v>0</v>
      </c>
      <c r="L5596">
        <v>3</v>
      </c>
      <c r="M5596">
        <v>0</v>
      </c>
      <c r="N5596">
        <v>2</v>
      </c>
      <c r="O5596">
        <v>1</v>
      </c>
      <c r="P5596">
        <v>0</v>
      </c>
      <c r="Q5596">
        <v>0</v>
      </c>
      <c r="S5596" t="str">
        <f t="shared" si="2606"/>
        <v>14:51:39.508</v>
      </c>
      <c r="T5596" t="str">
        <f t="shared" si="2606"/>
        <v>14:51:39.508</v>
      </c>
      <c r="U5596" t="str">
        <f t="shared" si="2594"/>
        <v>A9808D</v>
      </c>
      <c r="V5596">
        <v>0</v>
      </c>
      <c r="W5596">
        <v>0</v>
      </c>
      <c r="X5596">
        <v>1</v>
      </c>
      <c r="Z5596">
        <v>0</v>
      </c>
      <c r="AA5596">
        <v>9</v>
      </c>
      <c r="AB5596">
        <v>3</v>
      </c>
      <c r="AC5596">
        <v>0</v>
      </c>
      <c r="AD5596">
        <v>10</v>
      </c>
      <c r="AE5596">
        <v>0</v>
      </c>
      <c r="AF5596">
        <v>3</v>
      </c>
      <c r="AG5596">
        <v>2</v>
      </c>
      <c r="AH5596">
        <v>0</v>
      </c>
      <c r="AI5596" t="s">
        <v>1243</v>
      </c>
      <c r="AJ5596">
        <v>28.209028</v>
      </c>
      <c r="AK5596" t="s">
        <v>1188</v>
      </c>
      <c r="AL5596">
        <v>-82.389436000000003</v>
      </c>
      <c r="AM5596">
        <v>100</v>
      </c>
      <c r="AN5596">
        <v>1000</v>
      </c>
      <c r="AO5596" t="s">
        <v>118</v>
      </c>
      <c r="AP5596">
        <v>67</v>
      </c>
      <c r="AQ5596">
        <v>-89</v>
      </c>
      <c r="AR5596">
        <v>-1152</v>
      </c>
      <c r="AZ5596">
        <v>1200</v>
      </c>
      <c r="BA5596">
        <v>1</v>
      </c>
      <c r="BB5596" t="str">
        <f t="shared" si="2604"/>
        <v xml:space="preserve">N711JA  </v>
      </c>
      <c r="BC5596">
        <v>1</v>
      </c>
      <c r="BE5596">
        <v>0</v>
      </c>
      <c r="BF5596">
        <v>0</v>
      </c>
      <c r="BG5596">
        <v>0</v>
      </c>
      <c r="BH5596">
        <v>1025</v>
      </c>
      <c r="BI5596">
        <v>1</v>
      </c>
      <c r="BJ5596">
        <v>1</v>
      </c>
      <c r="BK5596">
        <v>0</v>
      </c>
      <c r="BL5596">
        <v>0</v>
      </c>
      <c r="BO5596">
        <v>0</v>
      </c>
      <c r="BP5596">
        <v>0</v>
      </c>
      <c r="BW5596" t="str">
        <f t="shared" si="2607"/>
        <v>14:51:39.510</v>
      </c>
      <c r="CJ5596">
        <v>0</v>
      </c>
      <c r="CK5596">
        <v>2</v>
      </c>
      <c r="CL5596">
        <v>0</v>
      </c>
      <c r="CM5596">
        <v>2</v>
      </c>
      <c r="CN5596">
        <v>0</v>
      </c>
      <c r="CO5596">
        <v>7</v>
      </c>
      <c r="CP5596" t="s">
        <v>119</v>
      </c>
      <c r="CQ5596">
        <v>343</v>
      </c>
      <c r="CR5596">
        <v>2</v>
      </c>
      <c r="CW5596">
        <v>13422787</v>
      </c>
      <c r="CY5596">
        <v>1</v>
      </c>
      <c r="CZ5596">
        <v>0</v>
      </c>
      <c r="DA5596">
        <v>1</v>
      </c>
      <c r="DB5596">
        <v>0</v>
      </c>
      <c r="DC5596">
        <v>0</v>
      </c>
      <c r="DD5596">
        <v>1</v>
      </c>
      <c r="DE5596">
        <v>0</v>
      </c>
      <c r="DF5596">
        <v>0</v>
      </c>
      <c r="DG5596">
        <v>0</v>
      </c>
      <c r="DH5596">
        <v>0</v>
      </c>
      <c r="DI5596">
        <v>0</v>
      </c>
    </row>
    <row r="5597" spans="1:113" x14ac:dyDescent="0.3">
      <c r="A5597" t="str">
        <f t="shared" si="2605"/>
        <v>05/12/2020 14:51:21.727</v>
      </c>
      <c r="C5597" t="str">
        <f t="shared" si="2603"/>
        <v>FFDFD3C0</v>
      </c>
      <c r="D5597" t="s">
        <v>131</v>
      </c>
      <c r="E5597">
        <v>12</v>
      </c>
      <c r="F5597">
        <v>2012</v>
      </c>
      <c r="G5597" t="s">
        <v>137</v>
      </c>
      <c r="J5597" t="s">
        <v>133</v>
      </c>
      <c r="K5597">
        <v>0</v>
      </c>
      <c r="L5597">
        <v>3</v>
      </c>
      <c r="M5597">
        <v>0</v>
      </c>
      <c r="N5597">
        <v>2</v>
      </c>
      <c r="O5597">
        <v>1</v>
      </c>
      <c r="P5597">
        <v>0</v>
      </c>
      <c r="Q5597">
        <v>0</v>
      </c>
      <c r="S5597" t="str">
        <f t="shared" si="2606"/>
        <v>14:51:39.508</v>
      </c>
      <c r="T5597" t="str">
        <f t="shared" si="2606"/>
        <v>14:51:39.508</v>
      </c>
      <c r="U5597" t="str">
        <f t="shared" si="2594"/>
        <v>A9808D</v>
      </c>
      <c r="V5597">
        <v>0</v>
      </c>
      <c r="W5597">
        <v>0</v>
      </c>
      <c r="X5597">
        <v>1</v>
      </c>
      <c r="Z5597">
        <v>0</v>
      </c>
      <c r="AA5597">
        <v>9</v>
      </c>
      <c r="AB5597">
        <v>3</v>
      </c>
      <c r="AC5597">
        <v>0</v>
      </c>
      <c r="AD5597">
        <v>10</v>
      </c>
      <c r="AE5597">
        <v>0</v>
      </c>
      <c r="AF5597">
        <v>3</v>
      </c>
      <c r="AG5597">
        <v>2</v>
      </c>
      <c r="AH5597">
        <v>0</v>
      </c>
      <c r="AI5597" t="s">
        <v>1243</v>
      </c>
      <c r="AJ5597">
        <v>28.209028</v>
      </c>
      <c r="AK5597" t="s">
        <v>1188</v>
      </c>
      <c r="AL5597">
        <v>-82.389436000000003</v>
      </c>
      <c r="AM5597">
        <v>100</v>
      </c>
      <c r="AN5597">
        <v>1000</v>
      </c>
      <c r="AO5597" t="s">
        <v>118</v>
      </c>
      <c r="AP5597">
        <v>67</v>
      </c>
      <c r="AQ5597">
        <v>-89</v>
      </c>
      <c r="AR5597">
        <v>-1152</v>
      </c>
      <c r="AZ5597">
        <v>1200</v>
      </c>
      <c r="BA5597">
        <v>1</v>
      </c>
      <c r="BB5597" t="str">
        <f t="shared" si="2604"/>
        <v xml:space="preserve">N711JA  </v>
      </c>
      <c r="BC5597">
        <v>1</v>
      </c>
      <c r="BE5597">
        <v>0</v>
      </c>
      <c r="BF5597">
        <v>0</v>
      </c>
      <c r="BG5597">
        <v>0</v>
      </c>
      <c r="BH5597">
        <v>1025</v>
      </c>
      <c r="BI5597">
        <v>1</v>
      </c>
      <c r="BJ5597">
        <v>1</v>
      </c>
      <c r="BK5597">
        <v>0</v>
      </c>
      <c r="BL5597">
        <v>0</v>
      </c>
      <c r="BO5597">
        <v>0</v>
      </c>
      <c r="BP5597">
        <v>0</v>
      </c>
      <c r="BW5597" t="str">
        <f t="shared" si="2607"/>
        <v>14:51:39.510</v>
      </c>
      <c r="CJ5597">
        <v>0</v>
      </c>
      <c r="CK5597">
        <v>2</v>
      </c>
      <c r="CL5597">
        <v>0</v>
      </c>
      <c r="CM5597">
        <v>2</v>
      </c>
      <c r="CN5597">
        <v>0</v>
      </c>
      <c r="CO5597">
        <v>7</v>
      </c>
      <c r="CP5597" t="s">
        <v>119</v>
      </c>
      <c r="CQ5597">
        <v>343</v>
      </c>
      <c r="CR5597">
        <v>2</v>
      </c>
      <c r="CW5597">
        <v>13422787</v>
      </c>
      <c r="CY5597">
        <v>1</v>
      </c>
      <c r="CZ5597">
        <v>0</v>
      </c>
      <c r="DA5597">
        <v>1</v>
      </c>
      <c r="DB5597">
        <v>0</v>
      </c>
      <c r="DC5597">
        <v>0</v>
      </c>
      <c r="DD5597">
        <v>1</v>
      </c>
      <c r="DE5597">
        <v>0</v>
      </c>
      <c r="DF5597">
        <v>0</v>
      </c>
      <c r="DG5597">
        <v>0</v>
      </c>
      <c r="DH5597">
        <v>0</v>
      </c>
      <c r="DI5597">
        <v>0</v>
      </c>
    </row>
    <row r="5598" spans="1:113" x14ac:dyDescent="0.3">
      <c r="A5598" t="str">
        <f t="shared" si="2605"/>
        <v>05/12/2020 14:51:21.727</v>
      </c>
      <c r="C5598" t="str">
        <f t="shared" si="2603"/>
        <v>FFDFD3C0</v>
      </c>
      <c r="D5598" t="s">
        <v>126</v>
      </c>
      <c r="E5598">
        <v>6</v>
      </c>
      <c r="F5598">
        <v>1006</v>
      </c>
      <c r="G5598" t="s">
        <v>114</v>
      </c>
      <c r="J5598" t="s">
        <v>128</v>
      </c>
      <c r="K5598">
        <v>0</v>
      </c>
      <c r="L5598">
        <v>3</v>
      </c>
      <c r="M5598">
        <v>0</v>
      </c>
      <c r="N5598">
        <v>2</v>
      </c>
      <c r="O5598">
        <v>1</v>
      </c>
      <c r="P5598">
        <v>0</v>
      </c>
      <c r="Q5598">
        <v>0</v>
      </c>
      <c r="S5598" t="str">
        <f t="shared" si="2606"/>
        <v>14:51:39.508</v>
      </c>
      <c r="T5598" t="str">
        <f t="shared" si="2606"/>
        <v>14:51:39.508</v>
      </c>
      <c r="U5598" t="str">
        <f t="shared" si="2594"/>
        <v>A9808D</v>
      </c>
      <c r="V5598">
        <v>0</v>
      </c>
      <c r="W5598">
        <v>0</v>
      </c>
      <c r="X5598">
        <v>1</v>
      </c>
      <c r="Z5598">
        <v>0</v>
      </c>
      <c r="AA5598">
        <v>9</v>
      </c>
      <c r="AB5598">
        <v>3</v>
      </c>
      <c r="AC5598">
        <v>0</v>
      </c>
      <c r="AD5598">
        <v>10</v>
      </c>
      <c r="AE5598">
        <v>0</v>
      </c>
      <c r="AF5598">
        <v>3</v>
      </c>
      <c r="AG5598">
        <v>2</v>
      </c>
      <c r="AH5598">
        <v>0</v>
      </c>
      <c r="AI5598" t="s">
        <v>1243</v>
      </c>
      <c r="AJ5598">
        <v>28.209028</v>
      </c>
      <c r="AK5598" t="s">
        <v>1188</v>
      </c>
      <c r="AL5598">
        <v>-82.389436000000003</v>
      </c>
      <c r="AM5598">
        <v>100</v>
      </c>
      <c r="AN5598">
        <v>1000</v>
      </c>
      <c r="AO5598" t="s">
        <v>118</v>
      </c>
      <c r="AP5598">
        <v>67</v>
      </c>
      <c r="AQ5598">
        <v>-89</v>
      </c>
      <c r="AR5598">
        <v>-1152</v>
      </c>
      <c r="AZ5598">
        <v>1200</v>
      </c>
      <c r="BA5598">
        <v>1</v>
      </c>
      <c r="BB5598" t="str">
        <f t="shared" si="2604"/>
        <v xml:space="preserve">N711JA  </v>
      </c>
      <c r="BC5598">
        <v>1</v>
      </c>
      <c r="BE5598">
        <v>0</v>
      </c>
      <c r="BF5598">
        <v>0</v>
      </c>
      <c r="BG5598">
        <v>0</v>
      </c>
      <c r="BH5598">
        <v>1025</v>
      </c>
      <c r="BI5598">
        <v>1</v>
      </c>
      <c r="BJ5598">
        <v>1</v>
      </c>
      <c r="BK5598">
        <v>0</v>
      </c>
      <c r="BL5598">
        <v>0</v>
      </c>
      <c r="BO5598">
        <v>0</v>
      </c>
      <c r="BP5598">
        <v>0</v>
      </c>
      <c r="BW5598" t="str">
        <f t="shared" si="2607"/>
        <v>14:51:39.510</v>
      </c>
      <c r="CJ5598">
        <v>0</v>
      </c>
      <c r="CK5598">
        <v>2</v>
      </c>
      <c r="CL5598">
        <v>0</v>
      </c>
      <c r="CM5598">
        <v>2</v>
      </c>
      <c r="CN5598">
        <v>0</v>
      </c>
      <c r="CO5598">
        <v>7</v>
      </c>
      <c r="CP5598" t="s">
        <v>119</v>
      </c>
      <c r="CQ5598">
        <v>343</v>
      </c>
      <c r="CR5598">
        <v>2</v>
      </c>
      <c r="CW5598">
        <v>13422787</v>
      </c>
      <c r="CY5598">
        <v>1</v>
      </c>
      <c r="CZ5598">
        <v>0</v>
      </c>
      <c r="DA5598">
        <v>1</v>
      </c>
      <c r="DB5598">
        <v>0</v>
      </c>
      <c r="DC5598">
        <v>0</v>
      </c>
      <c r="DD5598">
        <v>1</v>
      </c>
      <c r="DE5598">
        <v>0</v>
      </c>
      <c r="DF5598">
        <v>0</v>
      </c>
      <c r="DG5598">
        <v>0</v>
      </c>
      <c r="DH5598">
        <v>0</v>
      </c>
      <c r="DI5598">
        <v>0</v>
      </c>
    </row>
    <row r="5599" spans="1:113" x14ac:dyDescent="0.3">
      <c r="A5599" t="str">
        <f t="shared" ref="A5599:A5606" si="2608">"05/12/2020 14:51:22.842"</f>
        <v>05/12/2020 14:51:22.842</v>
      </c>
      <c r="C5599" t="str">
        <f t="shared" si="2603"/>
        <v>FFDFD3C0</v>
      </c>
      <c r="D5599" t="s">
        <v>134</v>
      </c>
      <c r="E5599">
        <v>12</v>
      </c>
      <c r="H5599">
        <v>64</v>
      </c>
      <c r="I5599" t="s">
        <v>135</v>
      </c>
      <c r="J5599" t="s">
        <v>136</v>
      </c>
      <c r="K5599">
        <v>0</v>
      </c>
      <c r="L5599">
        <v>3</v>
      </c>
      <c r="M5599">
        <v>0</v>
      </c>
      <c r="N5599">
        <v>2</v>
      </c>
      <c r="O5599">
        <v>1</v>
      </c>
      <c r="P5599">
        <v>0</v>
      </c>
      <c r="Q5599">
        <v>0</v>
      </c>
      <c r="S5599" t="str">
        <f t="shared" ref="S5599:S5606" si="2609">"14:51:40.609"</f>
        <v>14:51:40.609</v>
      </c>
      <c r="T5599" t="str">
        <f t="shared" ref="T5599:T5606" si="2610">"14:51:40.509"</f>
        <v>14:51:40.509</v>
      </c>
      <c r="U5599" t="str">
        <f t="shared" si="2594"/>
        <v>A9808D</v>
      </c>
      <c r="V5599">
        <v>0</v>
      </c>
      <c r="W5599">
        <v>0</v>
      </c>
      <c r="X5599">
        <v>1</v>
      </c>
      <c r="Z5599">
        <v>0</v>
      </c>
      <c r="AA5599">
        <v>9</v>
      </c>
      <c r="AB5599">
        <v>3</v>
      </c>
      <c r="AC5599">
        <v>0</v>
      </c>
      <c r="AD5599">
        <v>10</v>
      </c>
      <c r="AE5599">
        <v>0</v>
      </c>
      <c r="AF5599">
        <v>3</v>
      </c>
      <c r="AG5599">
        <v>2</v>
      </c>
      <c r="AH5599">
        <v>0</v>
      </c>
      <c r="AI5599" t="s">
        <v>1244</v>
      </c>
      <c r="AJ5599">
        <v>28.208577999999999</v>
      </c>
      <c r="AK5599" t="s">
        <v>1245</v>
      </c>
      <c r="AL5599">
        <v>-82.389007000000007</v>
      </c>
      <c r="AM5599">
        <v>100</v>
      </c>
      <c r="AN5599">
        <v>1000</v>
      </c>
      <c r="AO5599" t="s">
        <v>118</v>
      </c>
      <c r="AP5599">
        <v>68</v>
      </c>
      <c r="AQ5599">
        <v>-88</v>
      </c>
      <c r="AR5599">
        <v>-1152</v>
      </c>
      <c r="AZ5599">
        <v>1200</v>
      </c>
      <c r="BA5599">
        <v>1</v>
      </c>
      <c r="BB5599" t="str">
        <f t="shared" si="2604"/>
        <v xml:space="preserve">N711JA  </v>
      </c>
      <c r="BC5599">
        <v>1</v>
      </c>
      <c r="BE5599">
        <v>0</v>
      </c>
      <c r="BF5599">
        <v>0</v>
      </c>
      <c r="BG5599">
        <v>0</v>
      </c>
      <c r="BH5599">
        <v>1025</v>
      </c>
      <c r="BI5599">
        <v>1</v>
      </c>
      <c r="BJ5599">
        <v>1</v>
      </c>
      <c r="BK5599">
        <v>0</v>
      </c>
      <c r="BL5599">
        <v>0</v>
      </c>
      <c r="BO5599">
        <v>0</v>
      </c>
      <c r="BP5599">
        <v>0</v>
      </c>
      <c r="BW5599" t="str">
        <f t="shared" ref="BW5599:BW5606" si="2611">"14:51:40.612"</f>
        <v>14:51:40.612</v>
      </c>
      <c r="CJ5599">
        <v>0</v>
      </c>
      <c r="CK5599">
        <v>2</v>
      </c>
      <c r="CL5599">
        <v>0</v>
      </c>
      <c r="CM5599">
        <v>2</v>
      </c>
      <c r="CN5599">
        <v>0</v>
      </c>
      <c r="CO5599">
        <v>7</v>
      </c>
      <c r="CP5599" t="s">
        <v>119</v>
      </c>
      <c r="CQ5599">
        <v>343</v>
      </c>
      <c r="CR5599">
        <v>1</v>
      </c>
      <c r="CW5599">
        <v>11175649</v>
      </c>
      <c r="CY5599">
        <v>1</v>
      </c>
      <c r="CZ5599">
        <v>0</v>
      </c>
      <c r="DA5599">
        <v>0</v>
      </c>
      <c r="DB5599">
        <v>0</v>
      </c>
      <c r="DC5599">
        <v>0</v>
      </c>
      <c r="DD5599">
        <v>1</v>
      </c>
      <c r="DE5599">
        <v>0</v>
      </c>
      <c r="DF5599">
        <v>0</v>
      </c>
      <c r="DG5599">
        <v>0</v>
      </c>
      <c r="DH5599">
        <v>0</v>
      </c>
      <c r="DI5599">
        <v>0</v>
      </c>
    </row>
    <row r="5600" spans="1:113" x14ac:dyDescent="0.3">
      <c r="A5600" t="str">
        <f t="shared" si="2608"/>
        <v>05/12/2020 14:51:22.842</v>
      </c>
      <c r="C5600" t="str">
        <f t="shared" si="2603"/>
        <v>FFDFD3C0</v>
      </c>
      <c r="D5600" t="s">
        <v>131</v>
      </c>
      <c r="E5600">
        <v>10</v>
      </c>
      <c r="F5600">
        <v>2010</v>
      </c>
      <c r="G5600" t="s">
        <v>132</v>
      </c>
      <c r="J5600" t="s">
        <v>133</v>
      </c>
      <c r="K5600">
        <v>0</v>
      </c>
      <c r="L5600">
        <v>3</v>
      </c>
      <c r="M5600">
        <v>0</v>
      </c>
      <c r="N5600">
        <v>2</v>
      </c>
      <c r="O5600">
        <v>1</v>
      </c>
      <c r="P5600">
        <v>0</v>
      </c>
      <c r="Q5600">
        <v>0</v>
      </c>
      <c r="S5600" t="str">
        <f t="shared" si="2609"/>
        <v>14:51:40.609</v>
      </c>
      <c r="T5600" t="str">
        <f t="shared" si="2610"/>
        <v>14:51:40.509</v>
      </c>
      <c r="U5600" t="str">
        <f t="shared" si="2594"/>
        <v>A9808D</v>
      </c>
      <c r="V5600">
        <v>0</v>
      </c>
      <c r="W5600">
        <v>0</v>
      </c>
      <c r="X5600">
        <v>1</v>
      </c>
      <c r="Z5600">
        <v>0</v>
      </c>
      <c r="AA5600">
        <v>9</v>
      </c>
      <c r="AB5600">
        <v>3</v>
      </c>
      <c r="AC5600">
        <v>0</v>
      </c>
      <c r="AD5600">
        <v>10</v>
      </c>
      <c r="AE5600">
        <v>0</v>
      </c>
      <c r="AF5600">
        <v>3</v>
      </c>
      <c r="AG5600">
        <v>2</v>
      </c>
      <c r="AH5600">
        <v>0</v>
      </c>
      <c r="AI5600" t="s">
        <v>1244</v>
      </c>
      <c r="AJ5600">
        <v>28.208577999999999</v>
      </c>
      <c r="AK5600" t="s">
        <v>1245</v>
      </c>
      <c r="AL5600">
        <v>-82.389007000000007</v>
      </c>
      <c r="AM5600">
        <v>100</v>
      </c>
      <c r="AN5600">
        <v>1000</v>
      </c>
      <c r="AO5600" t="s">
        <v>118</v>
      </c>
      <c r="AP5600">
        <v>68</v>
      </c>
      <c r="AQ5600">
        <v>-88</v>
      </c>
      <c r="AR5600">
        <v>-1152</v>
      </c>
      <c r="AZ5600">
        <v>1200</v>
      </c>
      <c r="BA5600">
        <v>1</v>
      </c>
      <c r="BB5600" t="str">
        <f t="shared" si="2604"/>
        <v xml:space="preserve">N711JA  </v>
      </c>
      <c r="BC5600">
        <v>1</v>
      </c>
      <c r="BE5600">
        <v>0</v>
      </c>
      <c r="BF5600">
        <v>0</v>
      </c>
      <c r="BG5600">
        <v>0</v>
      </c>
      <c r="BH5600">
        <v>1025</v>
      </c>
      <c r="BI5600">
        <v>1</v>
      </c>
      <c r="BJ5600">
        <v>1</v>
      </c>
      <c r="BK5600">
        <v>0</v>
      </c>
      <c r="BL5600">
        <v>0</v>
      </c>
      <c r="BO5600">
        <v>0</v>
      </c>
      <c r="BP5600">
        <v>0</v>
      </c>
      <c r="BW5600" t="str">
        <f t="shared" si="2611"/>
        <v>14:51:40.612</v>
      </c>
      <c r="CJ5600">
        <v>0</v>
      </c>
      <c r="CK5600">
        <v>2</v>
      </c>
      <c r="CL5600">
        <v>0</v>
      </c>
      <c r="CM5600">
        <v>2</v>
      </c>
      <c r="CN5600">
        <v>0</v>
      </c>
      <c r="CO5600">
        <v>7</v>
      </c>
      <c r="CP5600" t="s">
        <v>119</v>
      </c>
      <c r="CQ5600">
        <v>343</v>
      </c>
      <c r="CR5600">
        <v>1</v>
      </c>
      <c r="CW5600">
        <v>11175649</v>
      </c>
      <c r="CY5600">
        <v>1</v>
      </c>
      <c r="CZ5600">
        <v>0</v>
      </c>
      <c r="DA5600">
        <v>1</v>
      </c>
      <c r="DB5600">
        <v>0</v>
      </c>
      <c r="DC5600">
        <v>0</v>
      </c>
      <c r="DD5600">
        <v>1</v>
      </c>
      <c r="DE5600">
        <v>0</v>
      </c>
      <c r="DF5600">
        <v>0</v>
      </c>
      <c r="DG5600">
        <v>0</v>
      </c>
      <c r="DH5600">
        <v>0</v>
      </c>
      <c r="DI5600">
        <v>0</v>
      </c>
    </row>
    <row r="5601" spans="1:113" x14ac:dyDescent="0.3">
      <c r="A5601" t="str">
        <f t="shared" si="2608"/>
        <v>05/12/2020 14:51:22.842</v>
      </c>
      <c r="C5601" t="str">
        <f t="shared" si="2603"/>
        <v>FFDFD3C0</v>
      </c>
      <c r="D5601" t="s">
        <v>126</v>
      </c>
      <c r="E5601">
        <v>7</v>
      </c>
      <c r="F5601">
        <v>1007</v>
      </c>
      <c r="G5601" t="s">
        <v>127</v>
      </c>
      <c r="J5601" t="s">
        <v>128</v>
      </c>
      <c r="K5601">
        <v>0</v>
      </c>
      <c r="L5601">
        <v>3</v>
      </c>
      <c r="M5601">
        <v>0</v>
      </c>
      <c r="N5601">
        <v>2</v>
      </c>
      <c r="O5601">
        <v>1</v>
      </c>
      <c r="P5601">
        <v>0</v>
      </c>
      <c r="Q5601">
        <v>0</v>
      </c>
      <c r="S5601" t="str">
        <f t="shared" si="2609"/>
        <v>14:51:40.609</v>
      </c>
      <c r="T5601" t="str">
        <f t="shared" si="2610"/>
        <v>14:51:40.509</v>
      </c>
      <c r="U5601" t="str">
        <f t="shared" si="2594"/>
        <v>A9808D</v>
      </c>
      <c r="V5601">
        <v>0</v>
      </c>
      <c r="W5601">
        <v>0</v>
      </c>
      <c r="X5601">
        <v>1</v>
      </c>
      <c r="Z5601">
        <v>0</v>
      </c>
      <c r="AA5601">
        <v>9</v>
      </c>
      <c r="AB5601">
        <v>3</v>
      </c>
      <c r="AC5601">
        <v>0</v>
      </c>
      <c r="AD5601">
        <v>10</v>
      </c>
      <c r="AE5601">
        <v>0</v>
      </c>
      <c r="AF5601">
        <v>3</v>
      </c>
      <c r="AG5601">
        <v>2</v>
      </c>
      <c r="AH5601">
        <v>0</v>
      </c>
      <c r="AI5601" t="s">
        <v>1244</v>
      </c>
      <c r="AJ5601">
        <v>28.208577999999999</v>
      </c>
      <c r="AK5601" t="s">
        <v>1245</v>
      </c>
      <c r="AL5601">
        <v>-82.389007000000007</v>
      </c>
      <c r="AM5601">
        <v>100</v>
      </c>
      <c r="AN5601">
        <v>1000</v>
      </c>
      <c r="AO5601" t="s">
        <v>118</v>
      </c>
      <c r="AP5601">
        <v>68</v>
      </c>
      <c r="AQ5601">
        <v>-88</v>
      </c>
      <c r="AR5601">
        <v>-1152</v>
      </c>
      <c r="AZ5601">
        <v>1200</v>
      </c>
      <c r="BA5601">
        <v>1</v>
      </c>
      <c r="BB5601" t="str">
        <f t="shared" si="2604"/>
        <v xml:space="preserve">N711JA  </v>
      </c>
      <c r="BC5601">
        <v>1</v>
      </c>
      <c r="BE5601">
        <v>0</v>
      </c>
      <c r="BF5601">
        <v>0</v>
      </c>
      <c r="BG5601">
        <v>0</v>
      </c>
      <c r="BH5601">
        <v>1025</v>
      </c>
      <c r="BI5601">
        <v>1</v>
      </c>
      <c r="BJ5601">
        <v>1</v>
      </c>
      <c r="BK5601">
        <v>0</v>
      </c>
      <c r="BL5601">
        <v>0</v>
      </c>
      <c r="BO5601">
        <v>0</v>
      </c>
      <c r="BP5601">
        <v>0</v>
      </c>
      <c r="BW5601" t="str">
        <f t="shared" si="2611"/>
        <v>14:51:40.612</v>
      </c>
      <c r="CJ5601">
        <v>0</v>
      </c>
      <c r="CK5601">
        <v>2</v>
      </c>
      <c r="CL5601">
        <v>0</v>
      </c>
      <c r="CM5601">
        <v>2</v>
      </c>
      <c r="CN5601">
        <v>0</v>
      </c>
      <c r="CO5601">
        <v>7</v>
      </c>
      <c r="CP5601" t="s">
        <v>119</v>
      </c>
      <c r="CQ5601">
        <v>343</v>
      </c>
      <c r="CR5601">
        <v>1</v>
      </c>
      <c r="CW5601">
        <v>11175649</v>
      </c>
      <c r="CY5601">
        <v>1</v>
      </c>
      <c r="CZ5601">
        <v>0</v>
      </c>
      <c r="DA5601">
        <v>1</v>
      </c>
      <c r="DB5601">
        <v>0</v>
      </c>
      <c r="DC5601">
        <v>0</v>
      </c>
      <c r="DD5601">
        <v>1</v>
      </c>
      <c r="DE5601">
        <v>0</v>
      </c>
      <c r="DF5601">
        <v>0</v>
      </c>
      <c r="DG5601">
        <v>0</v>
      </c>
      <c r="DH5601">
        <v>0</v>
      </c>
      <c r="DI5601">
        <v>0</v>
      </c>
    </row>
    <row r="5602" spans="1:113" x14ac:dyDescent="0.3">
      <c r="A5602" t="str">
        <f t="shared" si="2608"/>
        <v>05/12/2020 14:51:22.842</v>
      </c>
      <c r="C5602" t="str">
        <f t="shared" si="2603"/>
        <v>FFDFD3C0</v>
      </c>
      <c r="D5602" t="s">
        <v>131</v>
      </c>
      <c r="E5602">
        <v>12</v>
      </c>
      <c r="F5602">
        <v>2012</v>
      </c>
      <c r="G5602" t="s">
        <v>137</v>
      </c>
      <c r="J5602" t="s">
        <v>133</v>
      </c>
      <c r="K5602">
        <v>0</v>
      </c>
      <c r="L5602">
        <v>3</v>
      </c>
      <c r="M5602">
        <v>0</v>
      </c>
      <c r="N5602">
        <v>2</v>
      </c>
      <c r="O5602">
        <v>1</v>
      </c>
      <c r="P5602">
        <v>0</v>
      </c>
      <c r="Q5602">
        <v>0</v>
      </c>
      <c r="S5602" t="str">
        <f t="shared" si="2609"/>
        <v>14:51:40.609</v>
      </c>
      <c r="T5602" t="str">
        <f t="shared" si="2610"/>
        <v>14:51:40.509</v>
      </c>
      <c r="U5602" t="str">
        <f t="shared" si="2594"/>
        <v>A9808D</v>
      </c>
      <c r="V5602">
        <v>0</v>
      </c>
      <c r="W5602">
        <v>0</v>
      </c>
      <c r="X5602">
        <v>1</v>
      </c>
      <c r="Z5602">
        <v>0</v>
      </c>
      <c r="AA5602">
        <v>9</v>
      </c>
      <c r="AB5602">
        <v>3</v>
      </c>
      <c r="AC5602">
        <v>0</v>
      </c>
      <c r="AD5602">
        <v>10</v>
      </c>
      <c r="AE5602">
        <v>0</v>
      </c>
      <c r="AF5602">
        <v>3</v>
      </c>
      <c r="AG5602">
        <v>2</v>
      </c>
      <c r="AH5602">
        <v>0</v>
      </c>
      <c r="AI5602" t="s">
        <v>1244</v>
      </c>
      <c r="AJ5602">
        <v>28.208577999999999</v>
      </c>
      <c r="AK5602" t="s">
        <v>1245</v>
      </c>
      <c r="AL5602">
        <v>-82.389007000000007</v>
      </c>
      <c r="AM5602">
        <v>100</v>
      </c>
      <c r="AN5602">
        <v>1000</v>
      </c>
      <c r="AO5602" t="s">
        <v>118</v>
      </c>
      <c r="AP5602">
        <v>68</v>
      </c>
      <c r="AQ5602">
        <v>-88</v>
      </c>
      <c r="AR5602">
        <v>-1152</v>
      </c>
      <c r="AZ5602">
        <v>1200</v>
      </c>
      <c r="BA5602">
        <v>1</v>
      </c>
      <c r="BB5602" t="str">
        <f t="shared" si="2604"/>
        <v xml:space="preserve">N711JA  </v>
      </c>
      <c r="BC5602">
        <v>1</v>
      </c>
      <c r="BE5602">
        <v>0</v>
      </c>
      <c r="BF5602">
        <v>0</v>
      </c>
      <c r="BG5602">
        <v>0</v>
      </c>
      <c r="BH5602">
        <v>1025</v>
      </c>
      <c r="BI5602">
        <v>1</v>
      </c>
      <c r="BJ5602">
        <v>1</v>
      </c>
      <c r="BK5602">
        <v>0</v>
      </c>
      <c r="BL5602">
        <v>0</v>
      </c>
      <c r="BO5602">
        <v>0</v>
      </c>
      <c r="BP5602">
        <v>0</v>
      </c>
      <c r="BW5602" t="str">
        <f t="shared" si="2611"/>
        <v>14:51:40.612</v>
      </c>
      <c r="CJ5602">
        <v>0</v>
      </c>
      <c r="CK5602">
        <v>2</v>
      </c>
      <c r="CL5602">
        <v>0</v>
      </c>
      <c r="CM5602">
        <v>2</v>
      </c>
      <c r="CN5602">
        <v>0</v>
      </c>
      <c r="CO5602">
        <v>7</v>
      </c>
      <c r="CP5602" t="s">
        <v>119</v>
      </c>
      <c r="CQ5602">
        <v>343</v>
      </c>
      <c r="CR5602">
        <v>1</v>
      </c>
      <c r="CW5602">
        <v>11175649</v>
      </c>
      <c r="CY5602">
        <v>1</v>
      </c>
      <c r="CZ5602">
        <v>0</v>
      </c>
      <c r="DA5602">
        <v>1</v>
      </c>
      <c r="DB5602">
        <v>0</v>
      </c>
      <c r="DC5602">
        <v>0</v>
      </c>
      <c r="DD5602">
        <v>1</v>
      </c>
      <c r="DE5602">
        <v>0</v>
      </c>
      <c r="DF5602">
        <v>0</v>
      </c>
      <c r="DG5602">
        <v>0</v>
      </c>
      <c r="DH5602">
        <v>0</v>
      </c>
      <c r="DI5602">
        <v>0</v>
      </c>
    </row>
    <row r="5603" spans="1:113" x14ac:dyDescent="0.3">
      <c r="A5603" t="str">
        <f t="shared" si="2608"/>
        <v>05/12/2020 14:51:22.842</v>
      </c>
      <c r="C5603" t="str">
        <f t="shared" si="2603"/>
        <v>FFDFD3C0</v>
      </c>
      <c r="D5603" t="s">
        <v>113</v>
      </c>
      <c r="E5603">
        <v>3</v>
      </c>
      <c r="H5603">
        <v>164</v>
      </c>
      <c r="I5603" t="s">
        <v>114</v>
      </c>
      <c r="J5603" t="s">
        <v>115</v>
      </c>
      <c r="K5603">
        <v>0</v>
      </c>
      <c r="L5603">
        <v>3</v>
      </c>
      <c r="M5603">
        <v>0</v>
      </c>
      <c r="N5603">
        <v>2</v>
      </c>
      <c r="O5603">
        <v>1</v>
      </c>
      <c r="P5603">
        <v>0</v>
      </c>
      <c r="Q5603">
        <v>0</v>
      </c>
      <c r="S5603" t="str">
        <f t="shared" si="2609"/>
        <v>14:51:40.609</v>
      </c>
      <c r="T5603" t="str">
        <f t="shared" si="2610"/>
        <v>14:51:40.509</v>
      </c>
      <c r="U5603" t="str">
        <f t="shared" si="2594"/>
        <v>A9808D</v>
      </c>
      <c r="V5603">
        <v>0</v>
      </c>
      <c r="W5603">
        <v>0</v>
      </c>
      <c r="X5603">
        <v>1</v>
      </c>
      <c r="Z5603">
        <v>0</v>
      </c>
      <c r="AA5603">
        <v>9</v>
      </c>
      <c r="AB5603">
        <v>3</v>
      </c>
      <c r="AC5603">
        <v>0</v>
      </c>
      <c r="AD5603">
        <v>10</v>
      </c>
      <c r="AE5603">
        <v>0</v>
      </c>
      <c r="AF5603">
        <v>3</v>
      </c>
      <c r="AG5603">
        <v>2</v>
      </c>
      <c r="AH5603">
        <v>0</v>
      </c>
      <c r="AI5603" t="s">
        <v>1244</v>
      </c>
      <c r="AJ5603">
        <v>28.208577999999999</v>
      </c>
      <c r="AK5603" t="s">
        <v>1245</v>
      </c>
      <c r="AL5603">
        <v>-82.389007000000007</v>
      </c>
      <c r="AM5603">
        <v>100</v>
      </c>
      <c r="AN5603">
        <v>1000</v>
      </c>
      <c r="AO5603" t="s">
        <v>118</v>
      </c>
      <c r="AP5603">
        <v>68</v>
      </c>
      <c r="AQ5603">
        <v>-88</v>
      </c>
      <c r="AR5603">
        <v>-1152</v>
      </c>
      <c r="AZ5603">
        <v>1200</v>
      </c>
      <c r="BA5603">
        <v>1</v>
      </c>
      <c r="BB5603" t="str">
        <f t="shared" si="2604"/>
        <v xml:space="preserve">N711JA  </v>
      </c>
      <c r="BC5603">
        <v>1</v>
      </c>
      <c r="BE5603">
        <v>0</v>
      </c>
      <c r="BF5603">
        <v>0</v>
      </c>
      <c r="BG5603">
        <v>0</v>
      </c>
      <c r="BH5603">
        <v>1025</v>
      </c>
      <c r="BI5603">
        <v>1</v>
      </c>
      <c r="BJ5603">
        <v>1</v>
      </c>
      <c r="BK5603">
        <v>0</v>
      </c>
      <c r="BL5603">
        <v>0</v>
      </c>
      <c r="BO5603">
        <v>0</v>
      </c>
      <c r="BP5603">
        <v>0</v>
      </c>
      <c r="BW5603" t="str">
        <f t="shared" si="2611"/>
        <v>14:51:40.612</v>
      </c>
      <c r="CJ5603">
        <v>0</v>
      </c>
      <c r="CK5603">
        <v>2</v>
      </c>
      <c r="CL5603">
        <v>0</v>
      </c>
      <c r="CM5603">
        <v>2</v>
      </c>
      <c r="CN5603">
        <v>0</v>
      </c>
      <c r="CO5603">
        <v>7</v>
      </c>
      <c r="CP5603" t="s">
        <v>119</v>
      </c>
      <c r="CQ5603">
        <v>343</v>
      </c>
      <c r="CR5603">
        <v>1</v>
      </c>
      <c r="CW5603">
        <v>11175649</v>
      </c>
      <c r="CY5603">
        <v>1</v>
      </c>
      <c r="CZ5603">
        <v>0</v>
      </c>
      <c r="DA5603">
        <v>1</v>
      </c>
      <c r="DB5603">
        <v>0</v>
      </c>
      <c r="DC5603">
        <v>0</v>
      </c>
      <c r="DD5603">
        <v>1</v>
      </c>
      <c r="DE5603">
        <v>0</v>
      </c>
      <c r="DF5603">
        <v>0</v>
      </c>
      <c r="DG5603">
        <v>0</v>
      </c>
      <c r="DH5603">
        <v>0</v>
      </c>
      <c r="DI5603">
        <v>0</v>
      </c>
    </row>
    <row r="5604" spans="1:113" x14ac:dyDescent="0.3">
      <c r="A5604" t="str">
        <f t="shared" si="2608"/>
        <v>05/12/2020 14:51:22.842</v>
      </c>
      <c r="C5604" t="str">
        <f t="shared" si="2603"/>
        <v>FFDFD3C0</v>
      </c>
      <c r="D5604" t="s">
        <v>138</v>
      </c>
      <c r="E5604">
        <v>2</v>
      </c>
      <c r="H5604">
        <v>8</v>
      </c>
      <c r="I5604" t="s">
        <v>139</v>
      </c>
      <c r="J5604" t="s">
        <v>136</v>
      </c>
      <c r="K5604">
        <v>0</v>
      </c>
      <c r="L5604">
        <v>3</v>
      </c>
      <c r="M5604">
        <v>0</v>
      </c>
      <c r="N5604">
        <v>2</v>
      </c>
      <c r="O5604">
        <v>1</v>
      </c>
      <c r="P5604">
        <v>0</v>
      </c>
      <c r="Q5604">
        <v>0</v>
      </c>
      <c r="S5604" t="str">
        <f t="shared" si="2609"/>
        <v>14:51:40.609</v>
      </c>
      <c r="T5604" t="str">
        <f t="shared" si="2610"/>
        <v>14:51:40.509</v>
      </c>
      <c r="U5604" t="str">
        <f t="shared" si="2594"/>
        <v>A9808D</v>
      </c>
      <c r="V5604">
        <v>0</v>
      </c>
      <c r="W5604">
        <v>0</v>
      </c>
      <c r="X5604">
        <v>1</v>
      </c>
      <c r="Z5604">
        <v>0</v>
      </c>
      <c r="AA5604">
        <v>9</v>
      </c>
      <c r="AB5604">
        <v>3</v>
      </c>
      <c r="AC5604">
        <v>0</v>
      </c>
      <c r="AD5604">
        <v>10</v>
      </c>
      <c r="AE5604">
        <v>0</v>
      </c>
      <c r="AF5604">
        <v>3</v>
      </c>
      <c r="AG5604">
        <v>2</v>
      </c>
      <c r="AH5604">
        <v>0</v>
      </c>
      <c r="AI5604" t="s">
        <v>1244</v>
      </c>
      <c r="AJ5604">
        <v>28.208577999999999</v>
      </c>
      <c r="AK5604" t="s">
        <v>1245</v>
      </c>
      <c r="AL5604">
        <v>-82.389007000000007</v>
      </c>
      <c r="AM5604">
        <v>100</v>
      </c>
      <c r="AN5604">
        <v>1000</v>
      </c>
      <c r="AO5604" t="s">
        <v>118</v>
      </c>
      <c r="AP5604">
        <v>68</v>
      </c>
      <c r="AQ5604">
        <v>-88</v>
      </c>
      <c r="AR5604">
        <v>-1152</v>
      </c>
      <c r="AZ5604">
        <v>1200</v>
      </c>
      <c r="BA5604">
        <v>1</v>
      </c>
      <c r="BB5604" t="str">
        <f t="shared" si="2604"/>
        <v xml:space="preserve">N711JA  </v>
      </c>
      <c r="BC5604">
        <v>1</v>
      </c>
      <c r="BE5604">
        <v>0</v>
      </c>
      <c r="BF5604">
        <v>0</v>
      </c>
      <c r="BG5604">
        <v>0</v>
      </c>
      <c r="BH5604">
        <v>1025</v>
      </c>
      <c r="BI5604">
        <v>1</v>
      </c>
      <c r="BJ5604">
        <v>1</v>
      </c>
      <c r="BK5604">
        <v>0</v>
      </c>
      <c r="BL5604">
        <v>0</v>
      </c>
      <c r="BO5604">
        <v>0</v>
      </c>
      <c r="BP5604">
        <v>0</v>
      </c>
      <c r="BW5604" t="str">
        <f t="shared" si="2611"/>
        <v>14:51:40.612</v>
      </c>
      <c r="CJ5604">
        <v>0</v>
      </c>
      <c r="CK5604">
        <v>2</v>
      </c>
      <c r="CL5604">
        <v>0</v>
      </c>
      <c r="CM5604">
        <v>2</v>
      </c>
      <c r="CN5604">
        <v>0</v>
      </c>
      <c r="CO5604">
        <v>7</v>
      </c>
      <c r="CP5604" t="s">
        <v>119</v>
      </c>
      <c r="CQ5604">
        <v>343</v>
      </c>
      <c r="CR5604">
        <v>1</v>
      </c>
      <c r="CW5604">
        <v>11175649</v>
      </c>
      <c r="CY5604">
        <v>1</v>
      </c>
      <c r="CZ5604">
        <v>0</v>
      </c>
      <c r="DA5604">
        <v>1</v>
      </c>
      <c r="DB5604">
        <v>0</v>
      </c>
      <c r="DC5604">
        <v>0</v>
      </c>
      <c r="DD5604">
        <v>1</v>
      </c>
      <c r="DE5604">
        <v>0</v>
      </c>
      <c r="DF5604">
        <v>0</v>
      </c>
      <c r="DG5604">
        <v>0</v>
      </c>
      <c r="DH5604">
        <v>0</v>
      </c>
      <c r="DI5604">
        <v>0</v>
      </c>
    </row>
    <row r="5605" spans="1:113" x14ac:dyDescent="0.3">
      <c r="A5605" t="str">
        <f t="shared" si="2608"/>
        <v>05/12/2020 14:51:22.842</v>
      </c>
      <c r="C5605" t="str">
        <f t="shared" si="2603"/>
        <v>FFDFD3C0</v>
      </c>
      <c r="D5605" t="s">
        <v>138</v>
      </c>
      <c r="E5605">
        <v>3</v>
      </c>
      <c r="H5605">
        <v>9</v>
      </c>
      <c r="I5605" t="s">
        <v>140</v>
      </c>
      <c r="J5605" t="s">
        <v>136</v>
      </c>
      <c r="K5605">
        <v>0</v>
      </c>
      <c r="L5605">
        <v>3</v>
      </c>
      <c r="M5605">
        <v>0</v>
      </c>
      <c r="N5605">
        <v>2</v>
      </c>
      <c r="O5605">
        <v>1</v>
      </c>
      <c r="P5605">
        <v>0</v>
      </c>
      <c r="Q5605">
        <v>0</v>
      </c>
      <c r="S5605" t="str">
        <f t="shared" si="2609"/>
        <v>14:51:40.609</v>
      </c>
      <c r="T5605" t="str">
        <f t="shared" si="2610"/>
        <v>14:51:40.509</v>
      </c>
      <c r="U5605" t="str">
        <f t="shared" si="2594"/>
        <v>A9808D</v>
      </c>
      <c r="V5605">
        <v>0</v>
      </c>
      <c r="W5605">
        <v>0</v>
      </c>
      <c r="X5605">
        <v>1</v>
      </c>
      <c r="Z5605">
        <v>0</v>
      </c>
      <c r="AA5605">
        <v>9</v>
      </c>
      <c r="AB5605">
        <v>3</v>
      </c>
      <c r="AC5605">
        <v>0</v>
      </c>
      <c r="AD5605">
        <v>10</v>
      </c>
      <c r="AE5605">
        <v>0</v>
      </c>
      <c r="AF5605">
        <v>3</v>
      </c>
      <c r="AG5605">
        <v>2</v>
      </c>
      <c r="AH5605">
        <v>0</v>
      </c>
      <c r="AI5605" t="s">
        <v>1244</v>
      </c>
      <c r="AJ5605">
        <v>28.208577999999999</v>
      </c>
      <c r="AK5605" t="s">
        <v>1245</v>
      </c>
      <c r="AL5605">
        <v>-82.389007000000007</v>
      </c>
      <c r="AM5605">
        <v>100</v>
      </c>
      <c r="AN5605">
        <v>1000</v>
      </c>
      <c r="AO5605" t="s">
        <v>118</v>
      </c>
      <c r="AP5605">
        <v>68</v>
      </c>
      <c r="AQ5605">
        <v>-88</v>
      </c>
      <c r="AR5605">
        <v>-1152</v>
      </c>
      <c r="AZ5605">
        <v>1200</v>
      </c>
      <c r="BA5605">
        <v>1</v>
      </c>
      <c r="BB5605" t="str">
        <f t="shared" si="2604"/>
        <v xml:space="preserve">N711JA  </v>
      </c>
      <c r="BC5605">
        <v>1</v>
      </c>
      <c r="BE5605">
        <v>0</v>
      </c>
      <c r="BF5605">
        <v>0</v>
      </c>
      <c r="BG5605">
        <v>0</v>
      </c>
      <c r="BH5605">
        <v>1025</v>
      </c>
      <c r="BI5605">
        <v>1</v>
      </c>
      <c r="BJ5605">
        <v>1</v>
      </c>
      <c r="BK5605">
        <v>0</v>
      </c>
      <c r="BL5605">
        <v>0</v>
      </c>
      <c r="BO5605">
        <v>0</v>
      </c>
      <c r="BP5605">
        <v>0</v>
      </c>
      <c r="BW5605" t="str">
        <f t="shared" si="2611"/>
        <v>14:51:40.612</v>
      </c>
      <c r="CJ5605">
        <v>0</v>
      </c>
      <c r="CK5605">
        <v>2</v>
      </c>
      <c r="CL5605">
        <v>0</v>
      </c>
      <c r="CM5605">
        <v>2</v>
      </c>
      <c r="CN5605">
        <v>0</v>
      </c>
      <c r="CO5605">
        <v>7</v>
      </c>
      <c r="CP5605" t="s">
        <v>119</v>
      </c>
      <c r="CQ5605">
        <v>343</v>
      </c>
      <c r="CR5605">
        <v>1</v>
      </c>
      <c r="CW5605">
        <v>11175649</v>
      </c>
      <c r="CY5605">
        <v>1</v>
      </c>
      <c r="CZ5605">
        <v>0</v>
      </c>
      <c r="DA5605">
        <v>1</v>
      </c>
      <c r="DB5605">
        <v>0</v>
      </c>
      <c r="DC5605">
        <v>0</v>
      </c>
      <c r="DD5605">
        <v>1</v>
      </c>
      <c r="DE5605">
        <v>0</v>
      </c>
      <c r="DF5605">
        <v>0</v>
      </c>
      <c r="DG5605">
        <v>0</v>
      </c>
      <c r="DH5605">
        <v>0</v>
      </c>
      <c r="DI5605">
        <v>0</v>
      </c>
    </row>
    <row r="5606" spans="1:113" x14ac:dyDescent="0.3">
      <c r="A5606" t="str">
        <f t="shared" si="2608"/>
        <v>05/12/2020 14:51:22.842</v>
      </c>
      <c r="C5606" t="str">
        <f t="shared" si="2603"/>
        <v>FFDFD3C0</v>
      </c>
      <c r="D5606" t="s">
        <v>126</v>
      </c>
      <c r="E5606">
        <v>6</v>
      </c>
      <c r="F5606">
        <v>1006</v>
      </c>
      <c r="G5606" t="s">
        <v>114</v>
      </c>
      <c r="J5606" t="s">
        <v>128</v>
      </c>
      <c r="K5606">
        <v>0</v>
      </c>
      <c r="L5606">
        <v>3</v>
      </c>
      <c r="M5606">
        <v>0</v>
      </c>
      <c r="N5606">
        <v>2</v>
      </c>
      <c r="O5606">
        <v>1</v>
      </c>
      <c r="P5606">
        <v>0</v>
      </c>
      <c r="Q5606">
        <v>0</v>
      </c>
      <c r="S5606" t="str">
        <f t="shared" si="2609"/>
        <v>14:51:40.609</v>
      </c>
      <c r="T5606" t="str">
        <f t="shared" si="2610"/>
        <v>14:51:40.509</v>
      </c>
      <c r="U5606" t="str">
        <f t="shared" si="2594"/>
        <v>A9808D</v>
      </c>
      <c r="V5606">
        <v>0</v>
      </c>
      <c r="W5606">
        <v>0</v>
      </c>
      <c r="X5606">
        <v>1</v>
      </c>
      <c r="Z5606">
        <v>0</v>
      </c>
      <c r="AA5606">
        <v>9</v>
      </c>
      <c r="AB5606">
        <v>3</v>
      </c>
      <c r="AC5606">
        <v>0</v>
      </c>
      <c r="AD5606">
        <v>10</v>
      </c>
      <c r="AE5606">
        <v>0</v>
      </c>
      <c r="AF5606">
        <v>3</v>
      </c>
      <c r="AG5606">
        <v>2</v>
      </c>
      <c r="AH5606">
        <v>0</v>
      </c>
      <c r="AI5606" t="s">
        <v>1244</v>
      </c>
      <c r="AJ5606">
        <v>28.208577999999999</v>
      </c>
      <c r="AK5606" t="s">
        <v>1245</v>
      </c>
      <c r="AL5606">
        <v>-82.389007000000007</v>
      </c>
      <c r="AM5606">
        <v>100</v>
      </c>
      <c r="AN5606">
        <v>1000</v>
      </c>
      <c r="AO5606" t="s">
        <v>118</v>
      </c>
      <c r="AP5606">
        <v>68</v>
      </c>
      <c r="AQ5606">
        <v>-88</v>
      </c>
      <c r="AR5606">
        <v>-1152</v>
      </c>
      <c r="AZ5606">
        <v>1200</v>
      </c>
      <c r="BA5606">
        <v>1</v>
      </c>
      <c r="BB5606" t="str">
        <f t="shared" si="2604"/>
        <v xml:space="preserve">N711JA  </v>
      </c>
      <c r="BC5606">
        <v>1</v>
      </c>
      <c r="BE5606">
        <v>0</v>
      </c>
      <c r="BF5606">
        <v>0</v>
      </c>
      <c r="BG5606">
        <v>0</v>
      </c>
      <c r="BH5606">
        <v>1025</v>
      </c>
      <c r="BI5606">
        <v>1</v>
      </c>
      <c r="BJ5606">
        <v>1</v>
      </c>
      <c r="BK5606">
        <v>0</v>
      </c>
      <c r="BL5606">
        <v>0</v>
      </c>
      <c r="BO5606">
        <v>0</v>
      </c>
      <c r="BP5606">
        <v>0</v>
      </c>
      <c r="BW5606" t="str">
        <f t="shared" si="2611"/>
        <v>14:51:40.612</v>
      </c>
      <c r="CJ5606">
        <v>0</v>
      </c>
      <c r="CK5606">
        <v>2</v>
      </c>
      <c r="CL5606">
        <v>0</v>
      </c>
      <c r="CM5606">
        <v>2</v>
      </c>
      <c r="CN5606">
        <v>0</v>
      </c>
      <c r="CO5606">
        <v>7</v>
      </c>
      <c r="CP5606" t="s">
        <v>119</v>
      </c>
      <c r="CQ5606">
        <v>343</v>
      </c>
      <c r="CR5606">
        <v>1</v>
      </c>
      <c r="CW5606">
        <v>11175649</v>
      </c>
      <c r="CY5606">
        <v>1</v>
      </c>
      <c r="CZ5606">
        <v>0</v>
      </c>
      <c r="DA5606">
        <v>1</v>
      </c>
      <c r="DB5606">
        <v>0</v>
      </c>
      <c r="DC5606">
        <v>0</v>
      </c>
      <c r="DD5606">
        <v>1</v>
      </c>
      <c r="DE5606">
        <v>0</v>
      </c>
      <c r="DF5606">
        <v>0</v>
      </c>
      <c r="DG5606">
        <v>0</v>
      </c>
      <c r="DH5606">
        <v>0</v>
      </c>
      <c r="DI5606">
        <v>0</v>
      </c>
    </row>
    <row r="5607" spans="1:113" x14ac:dyDescent="0.3">
      <c r="A5607" t="str">
        <f>"05/12/2020 14:51:23.749"</f>
        <v>05/12/2020 14:51:23.749</v>
      </c>
      <c r="C5607" t="str">
        <f t="shared" si="2603"/>
        <v>FFDFD3C0</v>
      </c>
      <c r="D5607" t="s">
        <v>126</v>
      </c>
      <c r="E5607">
        <v>7</v>
      </c>
      <c r="F5607">
        <v>1007</v>
      </c>
      <c r="G5607" t="s">
        <v>127</v>
      </c>
      <c r="J5607" t="s">
        <v>128</v>
      </c>
      <c r="K5607">
        <v>0</v>
      </c>
      <c r="L5607">
        <v>3</v>
      </c>
      <c r="M5607">
        <v>0</v>
      </c>
      <c r="N5607">
        <v>2</v>
      </c>
      <c r="O5607">
        <v>1</v>
      </c>
      <c r="P5607">
        <v>0</v>
      </c>
      <c r="Q5607">
        <v>0</v>
      </c>
      <c r="S5607" t="str">
        <f t="shared" ref="S5607:T5611" si="2612">"14:51:41.539"</f>
        <v>14:51:41.539</v>
      </c>
      <c r="T5607" t="str">
        <f t="shared" si="2612"/>
        <v>14:51:41.539</v>
      </c>
      <c r="U5607" t="str">
        <f t="shared" si="2594"/>
        <v>A9808D</v>
      </c>
      <c r="V5607">
        <v>0</v>
      </c>
      <c r="W5607">
        <v>0</v>
      </c>
      <c r="X5607">
        <v>1</v>
      </c>
      <c r="Z5607">
        <v>0</v>
      </c>
      <c r="AA5607">
        <v>9</v>
      </c>
      <c r="AB5607">
        <v>3</v>
      </c>
      <c r="AC5607">
        <v>0</v>
      </c>
      <c r="AD5607">
        <v>10</v>
      </c>
      <c r="AE5607">
        <v>0</v>
      </c>
      <c r="AF5607">
        <v>3</v>
      </c>
      <c r="AG5607">
        <v>2</v>
      </c>
      <c r="AH5607">
        <v>0</v>
      </c>
      <c r="AI5607" t="s">
        <v>1246</v>
      </c>
      <c r="AJ5607">
        <v>28.208169999999999</v>
      </c>
      <c r="AK5607" t="s">
        <v>1247</v>
      </c>
      <c r="AL5607">
        <v>-82.388642000000004</v>
      </c>
      <c r="AM5607">
        <v>100</v>
      </c>
      <c r="AN5607">
        <v>900</v>
      </c>
      <c r="AO5607" t="s">
        <v>118</v>
      </c>
      <c r="AP5607">
        <v>69</v>
      </c>
      <c r="AQ5607">
        <v>-88</v>
      </c>
      <c r="AR5607">
        <v>-1024</v>
      </c>
      <c r="AZ5607">
        <v>1200</v>
      </c>
      <c r="BA5607">
        <v>1</v>
      </c>
      <c r="BB5607" t="str">
        <f t="shared" si="2604"/>
        <v xml:space="preserve">N711JA  </v>
      </c>
      <c r="BC5607">
        <v>1</v>
      </c>
      <c r="BE5607">
        <v>0</v>
      </c>
      <c r="BF5607">
        <v>0</v>
      </c>
      <c r="BG5607">
        <v>0</v>
      </c>
      <c r="BH5607">
        <v>1000</v>
      </c>
      <c r="BI5607">
        <v>1</v>
      </c>
      <c r="BJ5607">
        <v>1</v>
      </c>
      <c r="BK5607">
        <v>0</v>
      </c>
      <c r="BL5607">
        <v>0</v>
      </c>
      <c r="BO5607">
        <v>0</v>
      </c>
      <c r="BP5607">
        <v>0</v>
      </c>
      <c r="BW5607" t="str">
        <f>"14:51:41.546"</f>
        <v>14:51:41.546</v>
      </c>
      <c r="CJ5607">
        <v>0</v>
      </c>
      <c r="CK5607">
        <v>2</v>
      </c>
      <c r="CL5607">
        <v>0</v>
      </c>
      <c r="CM5607">
        <v>2</v>
      </c>
      <c r="CN5607">
        <v>0</v>
      </c>
      <c r="CO5607">
        <v>6</v>
      </c>
      <c r="CP5607" t="s">
        <v>119</v>
      </c>
      <c r="CQ5607">
        <v>358</v>
      </c>
      <c r="CR5607">
        <v>0</v>
      </c>
      <c r="CW5607">
        <v>5294714</v>
      </c>
      <c r="CY5607">
        <v>1</v>
      </c>
      <c r="CZ5607">
        <v>0</v>
      </c>
      <c r="DA5607">
        <v>0</v>
      </c>
      <c r="DB5607">
        <v>0</v>
      </c>
      <c r="DC5607">
        <v>0</v>
      </c>
      <c r="DD5607">
        <v>1</v>
      </c>
      <c r="DE5607">
        <v>0</v>
      </c>
      <c r="DF5607">
        <v>0</v>
      </c>
      <c r="DG5607">
        <v>0</v>
      </c>
      <c r="DH5607">
        <v>0</v>
      </c>
      <c r="DI5607">
        <v>0</v>
      </c>
    </row>
    <row r="5608" spans="1:113" x14ac:dyDescent="0.3">
      <c r="A5608" t="str">
        <f>"05/12/2020 14:51:23.749"</f>
        <v>05/12/2020 14:51:23.749</v>
      </c>
      <c r="C5608" t="str">
        <f t="shared" si="2603"/>
        <v>FFDFD3C0</v>
      </c>
      <c r="D5608" t="s">
        <v>131</v>
      </c>
      <c r="E5608">
        <v>10</v>
      </c>
      <c r="F5608">
        <v>2010</v>
      </c>
      <c r="G5608" t="s">
        <v>132</v>
      </c>
      <c r="J5608" t="s">
        <v>133</v>
      </c>
      <c r="K5608">
        <v>0</v>
      </c>
      <c r="L5608">
        <v>3</v>
      </c>
      <c r="M5608">
        <v>0</v>
      </c>
      <c r="N5608">
        <v>2</v>
      </c>
      <c r="O5608">
        <v>1</v>
      </c>
      <c r="P5608">
        <v>0</v>
      </c>
      <c r="Q5608">
        <v>0</v>
      </c>
      <c r="S5608" t="str">
        <f t="shared" si="2612"/>
        <v>14:51:41.539</v>
      </c>
      <c r="T5608" t="str">
        <f t="shared" si="2612"/>
        <v>14:51:41.539</v>
      </c>
      <c r="U5608" t="str">
        <f t="shared" si="2594"/>
        <v>A9808D</v>
      </c>
      <c r="V5608">
        <v>0</v>
      </c>
      <c r="W5608">
        <v>0</v>
      </c>
      <c r="X5608">
        <v>1</v>
      </c>
      <c r="Z5608">
        <v>0</v>
      </c>
      <c r="AA5608">
        <v>9</v>
      </c>
      <c r="AB5608">
        <v>3</v>
      </c>
      <c r="AC5608">
        <v>0</v>
      </c>
      <c r="AD5608">
        <v>10</v>
      </c>
      <c r="AE5608">
        <v>0</v>
      </c>
      <c r="AF5608">
        <v>3</v>
      </c>
      <c r="AG5608">
        <v>2</v>
      </c>
      <c r="AH5608">
        <v>0</v>
      </c>
      <c r="AI5608" t="s">
        <v>1246</v>
      </c>
      <c r="AJ5608">
        <v>28.208169999999999</v>
      </c>
      <c r="AK5608" t="s">
        <v>1247</v>
      </c>
      <c r="AL5608">
        <v>-82.388642000000004</v>
      </c>
      <c r="AM5608">
        <v>100</v>
      </c>
      <c r="AN5608">
        <v>900</v>
      </c>
      <c r="AO5608" t="s">
        <v>118</v>
      </c>
      <c r="AP5608">
        <v>69</v>
      </c>
      <c r="AQ5608">
        <v>-88</v>
      </c>
      <c r="AR5608">
        <v>-1024</v>
      </c>
      <c r="AZ5608">
        <v>1200</v>
      </c>
      <c r="BA5608">
        <v>1</v>
      </c>
      <c r="BB5608" t="str">
        <f t="shared" si="2604"/>
        <v xml:space="preserve">N711JA  </v>
      </c>
      <c r="BC5608">
        <v>1</v>
      </c>
      <c r="BE5608">
        <v>0</v>
      </c>
      <c r="BF5608">
        <v>0</v>
      </c>
      <c r="BG5608">
        <v>0</v>
      </c>
      <c r="BH5608">
        <v>1000</v>
      </c>
      <c r="BI5608">
        <v>1</v>
      </c>
      <c r="BJ5608">
        <v>1</v>
      </c>
      <c r="BK5608">
        <v>0</v>
      </c>
      <c r="BL5608">
        <v>0</v>
      </c>
      <c r="BO5608">
        <v>0</v>
      </c>
      <c r="BP5608">
        <v>0</v>
      </c>
      <c r="BW5608" t="str">
        <f>"14:51:41.546"</f>
        <v>14:51:41.546</v>
      </c>
      <c r="CJ5608">
        <v>0</v>
      </c>
      <c r="CK5608">
        <v>2</v>
      </c>
      <c r="CL5608">
        <v>0</v>
      </c>
      <c r="CM5608">
        <v>2</v>
      </c>
      <c r="CN5608">
        <v>0</v>
      </c>
      <c r="CO5608">
        <v>6</v>
      </c>
      <c r="CP5608" t="s">
        <v>119</v>
      </c>
      <c r="CQ5608">
        <v>358</v>
      </c>
      <c r="CR5608">
        <v>0</v>
      </c>
      <c r="CW5608">
        <v>5294714</v>
      </c>
      <c r="CY5608">
        <v>1</v>
      </c>
      <c r="CZ5608">
        <v>0</v>
      </c>
      <c r="DA5608">
        <v>1</v>
      </c>
      <c r="DB5608">
        <v>0</v>
      </c>
      <c r="DC5608">
        <v>0</v>
      </c>
      <c r="DD5608">
        <v>1</v>
      </c>
      <c r="DE5608">
        <v>0</v>
      </c>
      <c r="DF5608">
        <v>0</v>
      </c>
      <c r="DG5608">
        <v>0</v>
      </c>
      <c r="DH5608">
        <v>0</v>
      </c>
      <c r="DI5608">
        <v>0</v>
      </c>
    </row>
    <row r="5609" spans="1:113" x14ac:dyDescent="0.3">
      <c r="A5609" t="str">
        <f>"05/12/2020 14:51:23.749"</f>
        <v>05/12/2020 14:51:23.749</v>
      </c>
      <c r="C5609" t="str">
        <f t="shared" si="2603"/>
        <v>FFDFD3C0</v>
      </c>
      <c r="D5609" t="s">
        <v>134</v>
      </c>
      <c r="E5609">
        <v>12</v>
      </c>
      <c r="H5609">
        <v>64</v>
      </c>
      <c r="I5609" t="s">
        <v>135</v>
      </c>
      <c r="J5609" t="s">
        <v>136</v>
      </c>
      <c r="K5609">
        <v>0</v>
      </c>
      <c r="L5609">
        <v>3</v>
      </c>
      <c r="M5609">
        <v>0</v>
      </c>
      <c r="N5609">
        <v>2</v>
      </c>
      <c r="O5609">
        <v>1</v>
      </c>
      <c r="P5609">
        <v>0</v>
      </c>
      <c r="Q5609">
        <v>0</v>
      </c>
      <c r="S5609" t="str">
        <f t="shared" si="2612"/>
        <v>14:51:41.539</v>
      </c>
      <c r="T5609" t="str">
        <f t="shared" si="2612"/>
        <v>14:51:41.539</v>
      </c>
      <c r="U5609" t="str">
        <f t="shared" si="2594"/>
        <v>A9808D</v>
      </c>
      <c r="V5609">
        <v>0</v>
      </c>
      <c r="W5609">
        <v>0</v>
      </c>
      <c r="X5609">
        <v>1</v>
      </c>
      <c r="Z5609">
        <v>0</v>
      </c>
      <c r="AA5609">
        <v>9</v>
      </c>
      <c r="AB5609">
        <v>3</v>
      </c>
      <c r="AC5609">
        <v>0</v>
      </c>
      <c r="AD5609">
        <v>10</v>
      </c>
      <c r="AE5609">
        <v>0</v>
      </c>
      <c r="AF5609">
        <v>3</v>
      </c>
      <c r="AG5609">
        <v>2</v>
      </c>
      <c r="AH5609">
        <v>0</v>
      </c>
      <c r="AI5609" t="s">
        <v>1246</v>
      </c>
      <c r="AJ5609">
        <v>28.208169999999999</v>
      </c>
      <c r="AK5609" t="s">
        <v>1247</v>
      </c>
      <c r="AL5609">
        <v>-82.388642000000004</v>
      </c>
      <c r="AM5609">
        <v>100</v>
      </c>
      <c r="AN5609">
        <v>900</v>
      </c>
      <c r="AO5609" t="s">
        <v>118</v>
      </c>
      <c r="AP5609">
        <v>69</v>
      </c>
      <c r="AQ5609">
        <v>-88</v>
      </c>
      <c r="AR5609">
        <v>-1024</v>
      </c>
      <c r="AZ5609">
        <v>1200</v>
      </c>
      <c r="BA5609">
        <v>1</v>
      </c>
      <c r="BB5609" t="str">
        <f t="shared" si="2604"/>
        <v xml:space="preserve">N711JA  </v>
      </c>
      <c r="BC5609">
        <v>1</v>
      </c>
      <c r="BE5609">
        <v>0</v>
      </c>
      <c r="BF5609">
        <v>0</v>
      </c>
      <c r="BG5609">
        <v>0</v>
      </c>
      <c r="BH5609">
        <v>1000</v>
      </c>
      <c r="BI5609">
        <v>1</v>
      </c>
      <c r="BJ5609">
        <v>1</v>
      </c>
      <c r="BK5609">
        <v>0</v>
      </c>
      <c r="BL5609">
        <v>0</v>
      </c>
      <c r="BO5609">
        <v>0</v>
      </c>
      <c r="BP5609">
        <v>0</v>
      </c>
      <c r="BW5609" t="str">
        <f>"14:51:41.546"</f>
        <v>14:51:41.546</v>
      </c>
      <c r="CJ5609">
        <v>0</v>
      </c>
      <c r="CK5609">
        <v>2</v>
      </c>
      <c r="CL5609">
        <v>0</v>
      </c>
      <c r="CM5609">
        <v>2</v>
      </c>
      <c r="CN5609">
        <v>0</v>
      </c>
      <c r="CO5609">
        <v>6</v>
      </c>
      <c r="CP5609" t="s">
        <v>119</v>
      </c>
      <c r="CQ5609">
        <v>358</v>
      </c>
      <c r="CR5609">
        <v>0</v>
      </c>
      <c r="CW5609">
        <v>5294714</v>
      </c>
      <c r="CY5609">
        <v>1</v>
      </c>
      <c r="CZ5609">
        <v>0</v>
      </c>
      <c r="DA5609">
        <v>1</v>
      </c>
      <c r="DB5609">
        <v>0</v>
      </c>
      <c r="DC5609">
        <v>0</v>
      </c>
      <c r="DD5609">
        <v>1</v>
      </c>
      <c r="DE5609">
        <v>0</v>
      </c>
      <c r="DF5609">
        <v>0</v>
      </c>
      <c r="DG5609">
        <v>0</v>
      </c>
      <c r="DH5609">
        <v>0</v>
      </c>
      <c r="DI5609">
        <v>0</v>
      </c>
    </row>
    <row r="5610" spans="1:113" x14ac:dyDescent="0.3">
      <c r="A5610" t="str">
        <f>"05/12/2020 14:51:23.749"</f>
        <v>05/12/2020 14:51:23.749</v>
      </c>
      <c r="C5610" t="str">
        <f t="shared" si="2603"/>
        <v>FFDFD3C0</v>
      </c>
      <c r="D5610" t="s">
        <v>126</v>
      </c>
      <c r="E5610">
        <v>6</v>
      </c>
      <c r="F5610">
        <v>1006</v>
      </c>
      <c r="G5610" t="s">
        <v>114</v>
      </c>
      <c r="J5610" t="s">
        <v>128</v>
      </c>
      <c r="K5610">
        <v>0</v>
      </c>
      <c r="L5610">
        <v>3</v>
      </c>
      <c r="M5610">
        <v>0</v>
      </c>
      <c r="N5610">
        <v>2</v>
      </c>
      <c r="O5610">
        <v>1</v>
      </c>
      <c r="P5610">
        <v>0</v>
      </c>
      <c r="Q5610">
        <v>0</v>
      </c>
      <c r="S5610" t="str">
        <f t="shared" si="2612"/>
        <v>14:51:41.539</v>
      </c>
      <c r="T5610" t="str">
        <f t="shared" si="2612"/>
        <v>14:51:41.539</v>
      </c>
      <c r="U5610" t="str">
        <f t="shared" si="2594"/>
        <v>A9808D</v>
      </c>
      <c r="V5610">
        <v>0</v>
      </c>
      <c r="W5610">
        <v>0</v>
      </c>
      <c r="X5610">
        <v>1</v>
      </c>
      <c r="Z5610">
        <v>0</v>
      </c>
      <c r="AA5610">
        <v>9</v>
      </c>
      <c r="AB5610">
        <v>3</v>
      </c>
      <c r="AC5610">
        <v>0</v>
      </c>
      <c r="AD5610">
        <v>10</v>
      </c>
      <c r="AE5610">
        <v>0</v>
      </c>
      <c r="AF5610">
        <v>3</v>
      </c>
      <c r="AG5610">
        <v>2</v>
      </c>
      <c r="AH5610">
        <v>0</v>
      </c>
      <c r="AI5610" t="s">
        <v>1246</v>
      </c>
      <c r="AJ5610">
        <v>28.208169999999999</v>
      </c>
      <c r="AK5610" t="s">
        <v>1247</v>
      </c>
      <c r="AL5610">
        <v>-82.388642000000004</v>
      </c>
      <c r="AM5610">
        <v>100</v>
      </c>
      <c r="AN5610">
        <v>900</v>
      </c>
      <c r="AO5610" t="s">
        <v>118</v>
      </c>
      <c r="AP5610">
        <v>69</v>
      </c>
      <c r="AQ5610">
        <v>-88</v>
      </c>
      <c r="AR5610">
        <v>-1024</v>
      </c>
      <c r="AZ5610">
        <v>1200</v>
      </c>
      <c r="BA5610">
        <v>1</v>
      </c>
      <c r="BB5610" t="str">
        <f t="shared" si="2604"/>
        <v xml:space="preserve">N711JA  </v>
      </c>
      <c r="BC5610">
        <v>1</v>
      </c>
      <c r="BE5610">
        <v>0</v>
      </c>
      <c r="BF5610">
        <v>0</v>
      </c>
      <c r="BG5610">
        <v>0</v>
      </c>
      <c r="BH5610">
        <v>1000</v>
      </c>
      <c r="BI5610">
        <v>1</v>
      </c>
      <c r="BJ5610">
        <v>1</v>
      </c>
      <c r="BK5610">
        <v>0</v>
      </c>
      <c r="BL5610">
        <v>0</v>
      </c>
      <c r="BO5610">
        <v>0</v>
      </c>
      <c r="BP5610">
        <v>0</v>
      </c>
      <c r="BW5610" t="str">
        <f>"14:51:41.546"</f>
        <v>14:51:41.546</v>
      </c>
      <c r="CJ5610">
        <v>0</v>
      </c>
      <c r="CK5610">
        <v>2</v>
      </c>
      <c r="CL5610">
        <v>0</v>
      </c>
      <c r="CM5610">
        <v>2</v>
      </c>
      <c r="CN5610">
        <v>0</v>
      </c>
      <c r="CO5610">
        <v>6</v>
      </c>
      <c r="CP5610" t="s">
        <v>119</v>
      </c>
      <c r="CQ5610">
        <v>358</v>
      </c>
      <c r="CR5610">
        <v>0</v>
      </c>
      <c r="CW5610">
        <v>5294714</v>
      </c>
      <c r="CY5610">
        <v>1</v>
      </c>
      <c r="CZ5610">
        <v>0</v>
      </c>
      <c r="DA5610">
        <v>1</v>
      </c>
      <c r="DB5610">
        <v>0</v>
      </c>
      <c r="DC5610">
        <v>0</v>
      </c>
      <c r="DD5610">
        <v>1</v>
      </c>
      <c r="DE5610">
        <v>0</v>
      </c>
      <c r="DF5610">
        <v>0</v>
      </c>
      <c r="DG5610">
        <v>0</v>
      </c>
      <c r="DH5610">
        <v>0</v>
      </c>
      <c r="DI5610">
        <v>0</v>
      </c>
    </row>
    <row r="5611" spans="1:113" x14ac:dyDescent="0.3">
      <c r="A5611" t="str">
        <f>"05/12/2020 14:51:23.749"</f>
        <v>05/12/2020 14:51:23.749</v>
      </c>
      <c r="C5611" t="str">
        <f t="shared" si="2603"/>
        <v>FFDFD3C0</v>
      </c>
      <c r="D5611" t="s">
        <v>138</v>
      </c>
      <c r="E5611">
        <v>3</v>
      </c>
      <c r="H5611">
        <v>9</v>
      </c>
      <c r="I5611" t="s">
        <v>140</v>
      </c>
      <c r="J5611" t="s">
        <v>136</v>
      </c>
      <c r="K5611">
        <v>0</v>
      </c>
      <c r="L5611">
        <v>3</v>
      </c>
      <c r="M5611">
        <v>0</v>
      </c>
      <c r="N5611">
        <v>2</v>
      </c>
      <c r="O5611">
        <v>1</v>
      </c>
      <c r="P5611">
        <v>0</v>
      </c>
      <c r="Q5611">
        <v>0</v>
      </c>
      <c r="S5611" t="str">
        <f t="shared" si="2612"/>
        <v>14:51:41.539</v>
      </c>
      <c r="T5611" t="str">
        <f t="shared" si="2612"/>
        <v>14:51:41.539</v>
      </c>
      <c r="U5611" t="str">
        <f t="shared" si="2594"/>
        <v>A9808D</v>
      </c>
      <c r="V5611">
        <v>0</v>
      </c>
      <c r="W5611">
        <v>0</v>
      </c>
      <c r="X5611">
        <v>1</v>
      </c>
      <c r="Z5611">
        <v>0</v>
      </c>
      <c r="AA5611">
        <v>9</v>
      </c>
      <c r="AB5611">
        <v>3</v>
      </c>
      <c r="AC5611">
        <v>0</v>
      </c>
      <c r="AD5611">
        <v>10</v>
      </c>
      <c r="AE5611">
        <v>0</v>
      </c>
      <c r="AF5611">
        <v>3</v>
      </c>
      <c r="AG5611">
        <v>2</v>
      </c>
      <c r="AH5611">
        <v>0</v>
      </c>
      <c r="AI5611" t="s">
        <v>1246</v>
      </c>
      <c r="AJ5611">
        <v>28.208169999999999</v>
      </c>
      <c r="AK5611" t="s">
        <v>1247</v>
      </c>
      <c r="AL5611">
        <v>-82.388642000000004</v>
      </c>
      <c r="AM5611">
        <v>100</v>
      </c>
      <c r="AN5611">
        <v>900</v>
      </c>
      <c r="AO5611" t="s">
        <v>118</v>
      </c>
      <c r="AP5611">
        <v>69</v>
      </c>
      <c r="AQ5611">
        <v>-88</v>
      </c>
      <c r="AR5611">
        <v>-1024</v>
      </c>
      <c r="AZ5611">
        <v>1200</v>
      </c>
      <c r="BA5611">
        <v>1</v>
      </c>
      <c r="BB5611" t="str">
        <f t="shared" si="2604"/>
        <v xml:space="preserve">N711JA  </v>
      </c>
      <c r="BC5611">
        <v>1</v>
      </c>
      <c r="BE5611">
        <v>0</v>
      </c>
      <c r="BF5611">
        <v>0</v>
      </c>
      <c r="BG5611">
        <v>0</v>
      </c>
      <c r="BH5611">
        <v>1000</v>
      </c>
      <c r="BI5611">
        <v>1</v>
      </c>
      <c r="BJ5611">
        <v>1</v>
      </c>
      <c r="BK5611">
        <v>0</v>
      </c>
      <c r="BL5611">
        <v>0</v>
      </c>
      <c r="BO5611">
        <v>0</v>
      </c>
      <c r="BP5611">
        <v>0</v>
      </c>
      <c r="BW5611" t="str">
        <f>"14:51:41.546"</f>
        <v>14:51:41.546</v>
      </c>
      <c r="CJ5611">
        <v>0</v>
      </c>
      <c r="CK5611">
        <v>2</v>
      </c>
      <c r="CL5611">
        <v>0</v>
      </c>
      <c r="CM5611">
        <v>2</v>
      </c>
      <c r="CN5611">
        <v>0</v>
      </c>
      <c r="CO5611">
        <v>6</v>
      </c>
      <c r="CP5611" t="s">
        <v>119</v>
      </c>
      <c r="CQ5611">
        <v>358</v>
      </c>
      <c r="CR5611">
        <v>0</v>
      </c>
      <c r="CW5611">
        <v>5294714</v>
      </c>
      <c r="CY5611">
        <v>1</v>
      </c>
      <c r="CZ5611">
        <v>0</v>
      </c>
      <c r="DA5611">
        <v>1</v>
      </c>
      <c r="DB5611">
        <v>0</v>
      </c>
      <c r="DC5611">
        <v>0</v>
      </c>
      <c r="DD5611">
        <v>1</v>
      </c>
      <c r="DE5611">
        <v>0</v>
      </c>
      <c r="DF5611">
        <v>0</v>
      </c>
      <c r="DG5611">
        <v>0</v>
      </c>
      <c r="DH5611">
        <v>0</v>
      </c>
      <c r="DI5611">
        <v>0</v>
      </c>
    </row>
    <row r="5612" spans="1:113" x14ac:dyDescent="0.3">
      <c r="A5612" t="str">
        <f t="shared" ref="A5612:A5619" si="2613">"05/12/2020 14:51:24.805"</f>
        <v>05/12/2020 14:51:24.805</v>
      </c>
      <c r="C5612" t="str">
        <f t="shared" si="2603"/>
        <v>FFDFD3C0</v>
      </c>
      <c r="D5612" t="s">
        <v>126</v>
      </c>
      <c r="E5612">
        <v>7</v>
      </c>
      <c r="F5612">
        <v>1007</v>
      </c>
      <c r="G5612" t="s">
        <v>127</v>
      </c>
      <c r="J5612" t="s">
        <v>128</v>
      </c>
      <c r="K5612">
        <v>0</v>
      </c>
      <c r="L5612">
        <v>3</v>
      </c>
      <c r="M5612">
        <v>0</v>
      </c>
      <c r="N5612">
        <v>2</v>
      </c>
      <c r="O5612">
        <v>1</v>
      </c>
      <c r="P5612">
        <v>0</v>
      </c>
      <c r="Q5612">
        <v>0</v>
      </c>
      <c r="S5612" t="str">
        <f t="shared" ref="S5612:S5619" si="2614">"14:51:42.609"</f>
        <v>14:51:42.609</v>
      </c>
      <c r="T5612" t="str">
        <f t="shared" ref="T5612:T5619" si="2615">"14:51:42.509"</f>
        <v>14:51:42.509</v>
      </c>
      <c r="U5612" t="str">
        <f t="shared" si="2594"/>
        <v>A9808D</v>
      </c>
      <c r="V5612">
        <v>0</v>
      </c>
      <c r="W5612">
        <v>0</v>
      </c>
      <c r="X5612">
        <v>1</v>
      </c>
      <c r="Z5612">
        <v>0</v>
      </c>
      <c r="AA5612">
        <v>9</v>
      </c>
      <c r="AB5612">
        <v>3</v>
      </c>
      <c r="AC5612">
        <v>0</v>
      </c>
      <c r="AD5612">
        <v>10</v>
      </c>
      <c r="AE5612">
        <v>0</v>
      </c>
      <c r="AF5612">
        <v>3</v>
      </c>
      <c r="AG5612">
        <v>2</v>
      </c>
      <c r="AH5612">
        <v>0</v>
      </c>
      <c r="AI5612" t="s">
        <v>1248</v>
      </c>
      <c r="AJ5612">
        <v>28.207761999999999</v>
      </c>
      <c r="AK5612" t="s">
        <v>1249</v>
      </c>
      <c r="AL5612">
        <v>-82.388319999999993</v>
      </c>
      <c r="AM5612">
        <v>100</v>
      </c>
      <c r="AN5612">
        <v>900</v>
      </c>
      <c r="AO5612" t="s">
        <v>118</v>
      </c>
      <c r="AP5612">
        <v>69</v>
      </c>
      <c r="AQ5612">
        <v>-87</v>
      </c>
      <c r="AR5612">
        <v>-896</v>
      </c>
      <c r="AZ5612">
        <v>1200</v>
      </c>
      <c r="BA5612">
        <v>1</v>
      </c>
      <c r="BB5612" t="str">
        <f t="shared" si="2604"/>
        <v xml:space="preserve">N711JA  </v>
      </c>
      <c r="BC5612">
        <v>1</v>
      </c>
      <c r="BE5612">
        <v>0</v>
      </c>
      <c r="BF5612">
        <v>0</v>
      </c>
      <c r="BG5612">
        <v>0</v>
      </c>
      <c r="BH5612">
        <v>975</v>
      </c>
      <c r="BI5612">
        <v>1</v>
      </c>
      <c r="BJ5612">
        <v>1</v>
      </c>
      <c r="BK5612">
        <v>0</v>
      </c>
      <c r="BL5612">
        <v>0</v>
      </c>
      <c r="BO5612">
        <v>0</v>
      </c>
      <c r="BP5612">
        <v>0</v>
      </c>
      <c r="BW5612" t="str">
        <f t="shared" ref="BW5612:BW5619" si="2616">"14:51:42.614"</f>
        <v>14:51:42.614</v>
      </c>
      <c r="CJ5612">
        <v>0</v>
      </c>
      <c r="CK5612">
        <v>2</v>
      </c>
      <c r="CL5612">
        <v>0</v>
      </c>
      <c r="CM5612">
        <v>2</v>
      </c>
      <c r="CN5612">
        <v>0</v>
      </c>
      <c r="CO5612">
        <v>7</v>
      </c>
      <c r="CP5612" t="s">
        <v>119</v>
      </c>
      <c r="CQ5612">
        <v>343</v>
      </c>
      <c r="CR5612">
        <v>1</v>
      </c>
      <c r="CW5612">
        <v>11177746</v>
      </c>
      <c r="CY5612">
        <v>1</v>
      </c>
      <c r="CZ5612">
        <v>0</v>
      </c>
      <c r="DA5612">
        <v>0</v>
      </c>
      <c r="DB5612">
        <v>0</v>
      </c>
      <c r="DC5612">
        <v>0</v>
      </c>
      <c r="DD5612">
        <v>1</v>
      </c>
      <c r="DE5612">
        <v>0</v>
      </c>
      <c r="DF5612">
        <v>0</v>
      </c>
      <c r="DG5612">
        <v>0</v>
      </c>
      <c r="DH5612">
        <v>0</v>
      </c>
      <c r="DI5612">
        <v>0</v>
      </c>
    </row>
    <row r="5613" spans="1:113" x14ac:dyDescent="0.3">
      <c r="A5613" t="str">
        <f t="shared" si="2613"/>
        <v>05/12/2020 14:51:24.805</v>
      </c>
      <c r="C5613" t="str">
        <f t="shared" si="2603"/>
        <v>FFDFD3C0</v>
      </c>
      <c r="D5613" t="s">
        <v>131</v>
      </c>
      <c r="E5613">
        <v>12</v>
      </c>
      <c r="F5613">
        <v>2012</v>
      </c>
      <c r="G5613" t="s">
        <v>137</v>
      </c>
      <c r="J5613" t="s">
        <v>133</v>
      </c>
      <c r="K5613">
        <v>0</v>
      </c>
      <c r="L5613">
        <v>3</v>
      </c>
      <c r="M5613">
        <v>0</v>
      </c>
      <c r="N5613">
        <v>2</v>
      </c>
      <c r="O5613">
        <v>1</v>
      </c>
      <c r="P5613">
        <v>0</v>
      </c>
      <c r="Q5613">
        <v>0</v>
      </c>
      <c r="S5613" t="str">
        <f t="shared" si="2614"/>
        <v>14:51:42.609</v>
      </c>
      <c r="T5613" t="str">
        <f t="shared" si="2615"/>
        <v>14:51:42.509</v>
      </c>
      <c r="U5613" t="str">
        <f t="shared" si="2594"/>
        <v>A9808D</v>
      </c>
      <c r="V5613">
        <v>0</v>
      </c>
      <c r="W5613">
        <v>0</v>
      </c>
      <c r="X5613">
        <v>1</v>
      </c>
      <c r="Z5613">
        <v>0</v>
      </c>
      <c r="AA5613">
        <v>9</v>
      </c>
      <c r="AB5613">
        <v>3</v>
      </c>
      <c r="AC5613">
        <v>0</v>
      </c>
      <c r="AD5613">
        <v>10</v>
      </c>
      <c r="AE5613">
        <v>0</v>
      </c>
      <c r="AF5613">
        <v>3</v>
      </c>
      <c r="AG5613">
        <v>2</v>
      </c>
      <c r="AH5613">
        <v>0</v>
      </c>
      <c r="AI5613" t="s">
        <v>1248</v>
      </c>
      <c r="AJ5613">
        <v>28.207761999999999</v>
      </c>
      <c r="AK5613" t="s">
        <v>1249</v>
      </c>
      <c r="AL5613">
        <v>-82.388319999999993</v>
      </c>
      <c r="AM5613">
        <v>100</v>
      </c>
      <c r="AN5613">
        <v>900</v>
      </c>
      <c r="AO5613" t="s">
        <v>118</v>
      </c>
      <c r="AP5613">
        <v>69</v>
      </c>
      <c r="AQ5613">
        <v>-87</v>
      </c>
      <c r="AR5613">
        <v>-896</v>
      </c>
      <c r="AZ5613">
        <v>1200</v>
      </c>
      <c r="BA5613">
        <v>1</v>
      </c>
      <c r="BB5613" t="str">
        <f t="shared" si="2604"/>
        <v xml:space="preserve">N711JA  </v>
      </c>
      <c r="BC5613">
        <v>1</v>
      </c>
      <c r="BE5613">
        <v>0</v>
      </c>
      <c r="BF5613">
        <v>0</v>
      </c>
      <c r="BG5613">
        <v>0</v>
      </c>
      <c r="BH5613">
        <v>975</v>
      </c>
      <c r="BI5613">
        <v>1</v>
      </c>
      <c r="BJ5613">
        <v>1</v>
      </c>
      <c r="BK5613">
        <v>0</v>
      </c>
      <c r="BL5613">
        <v>0</v>
      </c>
      <c r="BO5613">
        <v>0</v>
      </c>
      <c r="BP5613">
        <v>0</v>
      </c>
      <c r="BW5613" t="str">
        <f t="shared" si="2616"/>
        <v>14:51:42.614</v>
      </c>
      <c r="CJ5613">
        <v>0</v>
      </c>
      <c r="CK5613">
        <v>2</v>
      </c>
      <c r="CL5613">
        <v>0</v>
      </c>
      <c r="CM5613">
        <v>2</v>
      </c>
      <c r="CN5613">
        <v>0</v>
      </c>
      <c r="CO5613">
        <v>7</v>
      </c>
      <c r="CP5613" t="s">
        <v>119</v>
      </c>
      <c r="CQ5613">
        <v>343</v>
      </c>
      <c r="CR5613">
        <v>1</v>
      </c>
      <c r="CW5613">
        <v>11177746</v>
      </c>
      <c r="CY5613">
        <v>1</v>
      </c>
      <c r="CZ5613">
        <v>0</v>
      </c>
      <c r="DA5613">
        <v>1</v>
      </c>
      <c r="DB5613">
        <v>0</v>
      </c>
      <c r="DC5613">
        <v>0</v>
      </c>
      <c r="DD5613">
        <v>1</v>
      </c>
      <c r="DE5613">
        <v>0</v>
      </c>
      <c r="DF5613">
        <v>0</v>
      </c>
      <c r="DG5613">
        <v>0</v>
      </c>
      <c r="DH5613">
        <v>0</v>
      </c>
      <c r="DI5613">
        <v>0</v>
      </c>
    </row>
    <row r="5614" spans="1:113" x14ac:dyDescent="0.3">
      <c r="A5614" t="str">
        <f t="shared" si="2613"/>
        <v>05/12/2020 14:51:24.805</v>
      </c>
      <c r="C5614" t="str">
        <f t="shared" si="2603"/>
        <v>FFDFD3C0</v>
      </c>
      <c r="D5614" t="s">
        <v>131</v>
      </c>
      <c r="E5614">
        <v>10</v>
      </c>
      <c r="F5614">
        <v>2010</v>
      </c>
      <c r="G5614" t="s">
        <v>132</v>
      </c>
      <c r="J5614" t="s">
        <v>133</v>
      </c>
      <c r="K5614">
        <v>0</v>
      </c>
      <c r="L5614">
        <v>3</v>
      </c>
      <c r="M5614">
        <v>0</v>
      </c>
      <c r="N5614">
        <v>2</v>
      </c>
      <c r="O5614">
        <v>1</v>
      </c>
      <c r="P5614">
        <v>0</v>
      </c>
      <c r="Q5614">
        <v>0</v>
      </c>
      <c r="S5614" t="str">
        <f t="shared" si="2614"/>
        <v>14:51:42.609</v>
      </c>
      <c r="T5614" t="str">
        <f t="shared" si="2615"/>
        <v>14:51:42.509</v>
      </c>
      <c r="U5614" t="str">
        <f t="shared" si="2594"/>
        <v>A9808D</v>
      </c>
      <c r="V5614">
        <v>0</v>
      </c>
      <c r="W5614">
        <v>0</v>
      </c>
      <c r="X5614">
        <v>1</v>
      </c>
      <c r="Z5614">
        <v>0</v>
      </c>
      <c r="AA5614">
        <v>9</v>
      </c>
      <c r="AB5614">
        <v>3</v>
      </c>
      <c r="AC5614">
        <v>0</v>
      </c>
      <c r="AD5614">
        <v>10</v>
      </c>
      <c r="AE5614">
        <v>0</v>
      </c>
      <c r="AF5614">
        <v>3</v>
      </c>
      <c r="AG5614">
        <v>2</v>
      </c>
      <c r="AH5614">
        <v>0</v>
      </c>
      <c r="AI5614" t="s">
        <v>1248</v>
      </c>
      <c r="AJ5614">
        <v>28.207761999999999</v>
      </c>
      <c r="AK5614" t="s">
        <v>1249</v>
      </c>
      <c r="AL5614">
        <v>-82.388319999999993</v>
      </c>
      <c r="AM5614">
        <v>100</v>
      </c>
      <c r="AN5614">
        <v>900</v>
      </c>
      <c r="AO5614" t="s">
        <v>118</v>
      </c>
      <c r="AP5614">
        <v>69</v>
      </c>
      <c r="AQ5614">
        <v>-87</v>
      </c>
      <c r="AR5614">
        <v>-896</v>
      </c>
      <c r="AZ5614">
        <v>1200</v>
      </c>
      <c r="BA5614">
        <v>1</v>
      </c>
      <c r="BB5614" t="str">
        <f t="shared" si="2604"/>
        <v xml:space="preserve">N711JA  </v>
      </c>
      <c r="BC5614">
        <v>1</v>
      </c>
      <c r="BE5614">
        <v>0</v>
      </c>
      <c r="BF5614">
        <v>0</v>
      </c>
      <c r="BG5614">
        <v>0</v>
      </c>
      <c r="BH5614">
        <v>975</v>
      </c>
      <c r="BI5614">
        <v>1</v>
      </c>
      <c r="BJ5614">
        <v>1</v>
      </c>
      <c r="BK5614">
        <v>0</v>
      </c>
      <c r="BL5614">
        <v>0</v>
      </c>
      <c r="BO5614">
        <v>0</v>
      </c>
      <c r="BP5614">
        <v>0</v>
      </c>
      <c r="BW5614" t="str">
        <f t="shared" si="2616"/>
        <v>14:51:42.614</v>
      </c>
      <c r="CJ5614">
        <v>0</v>
      </c>
      <c r="CK5614">
        <v>2</v>
      </c>
      <c r="CL5614">
        <v>0</v>
      </c>
      <c r="CM5614">
        <v>2</v>
      </c>
      <c r="CN5614">
        <v>0</v>
      </c>
      <c r="CO5614">
        <v>7</v>
      </c>
      <c r="CP5614" t="s">
        <v>119</v>
      </c>
      <c r="CQ5614">
        <v>343</v>
      </c>
      <c r="CR5614">
        <v>1</v>
      </c>
      <c r="CW5614">
        <v>11177746</v>
      </c>
      <c r="CY5614">
        <v>1</v>
      </c>
      <c r="CZ5614">
        <v>0</v>
      </c>
      <c r="DA5614">
        <v>1</v>
      </c>
      <c r="DB5614">
        <v>0</v>
      </c>
      <c r="DC5614">
        <v>0</v>
      </c>
      <c r="DD5614">
        <v>1</v>
      </c>
      <c r="DE5614">
        <v>0</v>
      </c>
      <c r="DF5614">
        <v>0</v>
      </c>
      <c r="DG5614">
        <v>0</v>
      </c>
      <c r="DH5614">
        <v>0</v>
      </c>
      <c r="DI5614">
        <v>0</v>
      </c>
    </row>
    <row r="5615" spans="1:113" x14ac:dyDescent="0.3">
      <c r="A5615" t="str">
        <f t="shared" si="2613"/>
        <v>05/12/2020 14:51:24.805</v>
      </c>
      <c r="C5615" t="str">
        <f t="shared" si="2603"/>
        <v>FFDFD3C0</v>
      </c>
      <c r="D5615" t="s">
        <v>126</v>
      </c>
      <c r="E5615">
        <v>6</v>
      </c>
      <c r="F5615">
        <v>1006</v>
      </c>
      <c r="G5615" t="s">
        <v>114</v>
      </c>
      <c r="J5615" t="s">
        <v>128</v>
      </c>
      <c r="K5615">
        <v>0</v>
      </c>
      <c r="L5615">
        <v>3</v>
      </c>
      <c r="M5615">
        <v>0</v>
      </c>
      <c r="N5615">
        <v>2</v>
      </c>
      <c r="O5615">
        <v>1</v>
      </c>
      <c r="P5615">
        <v>0</v>
      </c>
      <c r="Q5615">
        <v>0</v>
      </c>
      <c r="S5615" t="str">
        <f t="shared" si="2614"/>
        <v>14:51:42.609</v>
      </c>
      <c r="T5615" t="str">
        <f t="shared" si="2615"/>
        <v>14:51:42.509</v>
      </c>
      <c r="U5615" t="str">
        <f t="shared" si="2594"/>
        <v>A9808D</v>
      </c>
      <c r="V5615">
        <v>0</v>
      </c>
      <c r="W5615">
        <v>0</v>
      </c>
      <c r="X5615">
        <v>1</v>
      </c>
      <c r="Z5615">
        <v>0</v>
      </c>
      <c r="AA5615">
        <v>9</v>
      </c>
      <c r="AB5615">
        <v>3</v>
      </c>
      <c r="AC5615">
        <v>0</v>
      </c>
      <c r="AD5615">
        <v>10</v>
      </c>
      <c r="AE5615">
        <v>0</v>
      </c>
      <c r="AF5615">
        <v>3</v>
      </c>
      <c r="AG5615">
        <v>2</v>
      </c>
      <c r="AH5615">
        <v>0</v>
      </c>
      <c r="AI5615" t="s">
        <v>1248</v>
      </c>
      <c r="AJ5615">
        <v>28.207761999999999</v>
      </c>
      <c r="AK5615" t="s">
        <v>1249</v>
      </c>
      <c r="AL5615">
        <v>-82.388319999999993</v>
      </c>
      <c r="AM5615">
        <v>100</v>
      </c>
      <c r="AN5615">
        <v>900</v>
      </c>
      <c r="AO5615" t="s">
        <v>118</v>
      </c>
      <c r="AP5615">
        <v>69</v>
      </c>
      <c r="AQ5615">
        <v>-87</v>
      </c>
      <c r="AR5615">
        <v>-896</v>
      </c>
      <c r="AZ5615">
        <v>1200</v>
      </c>
      <c r="BA5615">
        <v>1</v>
      </c>
      <c r="BB5615" t="str">
        <f t="shared" si="2604"/>
        <v xml:space="preserve">N711JA  </v>
      </c>
      <c r="BC5615">
        <v>1</v>
      </c>
      <c r="BE5615">
        <v>0</v>
      </c>
      <c r="BF5615">
        <v>0</v>
      </c>
      <c r="BG5615">
        <v>0</v>
      </c>
      <c r="BH5615">
        <v>975</v>
      </c>
      <c r="BI5615">
        <v>1</v>
      </c>
      <c r="BJ5615">
        <v>1</v>
      </c>
      <c r="BK5615">
        <v>0</v>
      </c>
      <c r="BL5615">
        <v>0</v>
      </c>
      <c r="BO5615">
        <v>0</v>
      </c>
      <c r="BP5615">
        <v>0</v>
      </c>
      <c r="BW5615" t="str">
        <f t="shared" si="2616"/>
        <v>14:51:42.614</v>
      </c>
      <c r="CJ5615">
        <v>0</v>
      </c>
      <c r="CK5615">
        <v>2</v>
      </c>
      <c r="CL5615">
        <v>0</v>
      </c>
      <c r="CM5615">
        <v>2</v>
      </c>
      <c r="CN5615">
        <v>0</v>
      </c>
      <c r="CO5615">
        <v>7</v>
      </c>
      <c r="CP5615" t="s">
        <v>119</v>
      </c>
      <c r="CQ5615">
        <v>343</v>
      </c>
      <c r="CR5615">
        <v>1</v>
      </c>
      <c r="CW5615">
        <v>11177746</v>
      </c>
      <c r="CY5615">
        <v>1</v>
      </c>
      <c r="CZ5615">
        <v>0</v>
      </c>
      <c r="DA5615">
        <v>1</v>
      </c>
      <c r="DB5615">
        <v>0</v>
      </c>
      <c r="DC5615">
        <v>0</v>
      </c>
      <c r="DD5615">
        <v>1</v>
      </c>
      <c r="DE5615">
        <v>0</v>
      </c>
      <c r="DF5615">
        <v>0</v>
      </c>
      <c r="DG5615">
        <v>0</v>
      </c>
      <c r="DH5615">
        <v>0</v>
      </c>
      <c r="DI5615">
        <v>0</v>
      </c>
    </row>
    <row r="5616" spans="1:113" x14ac:dyDescent="0.3">
      <c r="A5616" t="str">
        <f t="shared" si="2613"/>
        <v>05/12/2020 14:51:24.805</v>
      </c>
      <c r="C5616" t="str">
        <f t="shared" si="2603"/>
        <v>FFDFD3C0</v>
      </c>
      <c r="D5616" t="s">
        <v>134</v>
      </c>
      <c r="E5616">
        <v>12</v>
      </c>
      <c r="H5616">
        <v>64</v>
      </c>
      <c r="I5616" t="s">
        <v>135</v>
      </c>
      <c r="J5616" t="s">
        <v>136</v>
      </c>
      <c r="K5616">
        <v>0</v>
      </c>
      <c r="L5616">
        <v>3</v>
      </c>
      <c r="M5616">
        <v>0</v>
      </c>
      <c r="N5616">
        <v>2</v>
      </c>
      <c r="O5616">
        <v>1</v>
      </c>
      <c r="P5616">
        <v>0</v>
      </c>
      <c r="Q5616">
        <v>0</v>
      </c>
      <c r="S5616" t="str">
        <f t="shared" si="2614"/>
        <v>14:51:42.609</v>
      </c>
      <c r="T5616" t="str">
        <f t="shared" si="2615"/>
        <v>14:51:42.509</v>
      </c>
      <c r="U5616" t="str">
        <f t="shared" si="2594"/>
        <v>A9808D</v>
      </c>
      <c r="V5616">
        <v>0</v>
      </c>
      <c r="W5616">
        <v>0</v>
      </c>
      <c r="X5616">
        <v>1</v>
      </c>
      <c r="Z5616">
        <v>0</v>
      </c>
      <c r="AA5616">
        <v>9</v>
      </c>
      <c r="AB5616">
        <v>3</v>
      </c>
      <c r="AC5616">
        <v>0</v>
      </c>
      <c r="AD5616">
        <v>10</v>
      </c>
      <c r="AE5616">
        <v>0</v>
      </c>
      <c r="AF5616">
        <v>3</v>
      </c>
      <c r="AG5616">
        <v>2</v>
      </c>
      <c r="AH5616">
        <v>0</v>
      </c>
      <c r="AI5616" t="s">
        <v>1248</v>
      </c>
      <c r="AJ5616">
        <v>28.207761999999999</v>
      </c>
      <c r="AK5616" t="s">
        <v>1249</v>
      </c>
      <c r="AL5616">
        <v>-82.388319999999993</v>
      </c>
      <c r="AM5616">
        <v>100</v>
      </c>
      <c r="AN5616">
        <v>900</v>
      </c>
      <c r="AO5616" t="s">
        <v>118</v>
      </c>
      <c r="AP5616">
        <v>69</v>
      </c>
      <c r="AQ5616">
        <v>-87</v>
      </c>
      <c r="AR5616">
        <v>-896</v>
      </c>
      <c r="AZ5616">
        <v>1200</v>
      </c>
      <c r="BA5616">
        <v>1</v>
      </c>
      <c r="BB5616" t="str">
        <f t="shared" si="2604"/>
        <v xml:space="preserve">N711JA  </v>
      </c>
      <c r="BC5616">
        <v>1</v>
      </c>
      <c r="BE5616">
        <v>0</v>
      </c>
      <c r="BF5616">
        <v>0</v>
      </c>
      <c r="BG5616">
        <v>0</v>
      </c>
      <c r="BH5616">
        <v>975</v>
      </c>
      <c r="BI5616">
        <v>1</v>
      </c>
      <c r="BJ5616">
        <v>1</v>
      </c>
      <c r="BK5616">
        <v>0</v>
      </c>
      <c r="BL5616">
        <v>0</v>
      </c>
      <c r="BO5616">
        <v>0</v>
      </c>
      <c r="BP5616">
        <v>0</v>
      </c>
      <c r="BW5616" t="str">
        <f t="shared" si="2616"/>
        <v>14:51:42.614</v>
      </c>
      <c r="CJ5616">
        <v>0</v>
      </c>
      <c r="CK5616">
        <v>2</v>
      </c>
      <c r="CL5616">
        <v>0</v>
      </c>
      <c r="CM5616">
        <v>2</v>
      </c>
      <c r="CN5616">
        <v>0</v>
      </c>
      <c r="CO5616">
        <v>7</v>
      </c>
      <c r="CP5616" t="s">
        <v>119</v>
      </c>
      <c r="CQ5616">
        <v>343</v>
      </c>
      <c r="CR5616">
        <v>1</v>
      </c>
      <c r="CW5616">
        <v>11177746</v>
      </c>
      <c r="CY5616">
        <v>1</v>
      </c>
      <c r="CZ5616">
        <v>0</v>
      </c>
      <c r="DA5616">
        <v>1</v>
      </c>
      <c r="DB5616">
        <v>0</v>
      </c>
      <c r="DC5616">
        <v>0</v>
      </c>
      <c r="DD5616">
        <v>1</v>
      </c>
      <c r="DE5616">
        <v>0</v>
      </c>
      <c r="DF5616">
        <v>0</v>
      </c>
      <c r="DG5616">
        <v>0</v>
      </c>
      <c r="DH5616">
        <v>0</v>
      </c>
      <c r="DI5616">
        <v>0</v>
      </c>
    </row>
    <row r="5617" spans="1:113" x14ac:dyDescent="0.3">
      <c r="A5617" t="str">
        <f t="shared" si="2613"/>
        <v>05/12/2020 14:51:24.805</v>
      </c>
      <c r="C5617" t="str">
        <f t="shared" si="2603"/>
        <v>FFDFD3C0</v>
      </c>
      <c r="D5617" t="s">
        <v>113</v>
      </c>
      <c r="E5617">
        <v>3</v>
      </c>
      <c r="H5617">
        <v>164</v>
      </c>
      <c r="I5617" t="s">
        <v>114</v>
      </c>
      <c r="J5617" t="s">
        <v>115</v>
      </c>
      <c r="K5617">
        <v>0</v>
      </c>
      <c r="L5617">
        <v>3</v>
      </c>
      <c r="M5617">
        <v>0</v>
      </c>
      <c r="N5617">
        <v>2</v>
      </c>
      <c r="O5617">
        <v>1</v>
      </c>
      <c r="P5617">
        <v>0</v>
      </c>
      <c r="Q5617">
        <v>0</v>
      </c>
      <c r="S5617" t="str">
        <f t="shared" si="2614"/>
        <v>14:51:42.609</v>
      </c>
      <c r="T5617" t="str">
        <f t="shared" si="2615"/>
        <v>14:51:42.509</v>
      </c>
      <c r="U5617" t="str">
        <f t="shared" si="2594"/>
        <v>A9808D</v>
      </c>
      <c r="V5617">
        <v>0</v>
      </c>
      <c r="W5617">
        <v>0</v>
      </c>
      <c r="X5617">
        <v>1</v>
      </c>
      <c r="Z5617">
        <v>0</v>
      </c>
      <c r="AA5617">
        <v>9</v>
      </c>
      <c r="AB5617">
        <v>3</v>
      </c>
      <c r="AC5617">
        <v>0</v>
      </c>
      <c r="AD5617">
        <v>10</v>
      </c>
      <c r="AE5617">
        <v>0</v>
      </c>
      <c r="AF5617">
        <v>3</v>
      </c>
      <c r="AG5617">
        <v>2</v>
      </c>
      <c r="AH5617">
        <v>0</v>
      </c>
      <c r="AI5617" t="s">
        <v>1248</v>
      </c>
      <c r="AJ5617">
        <v>28.207761999999999</v>
      </c>
      <c r="AK5617" t="s">
        <v>1249</v>
      </c>
      <c r="AL5617">
        <v>-82.388319999999993</v>
      </c>
      <c r="AM5617">
        <v>100</v>
      </c>
      <c r="AN5617">
        <v>900</v>
      </c>
      <c r="AO5617" t="s">
        <v>118</v>
      </c>
      <c r="AP5617">
        <v>69</v>
      </c>
      <c r="AQ5617">
        <v>-87</v>
      </c>
      <c r="AR5617">
        <v>-896</v>
      </c>
      <c r="AZ5617">
        <v>1200</v>
      </c>
      <c r="BA5617">
        <v>1</v>
      </c>
      <c r="BB5617" t="str">
        <f t="shared" si="2604"/>
        <v xml:space="preserve">N711JA  </v>
      </c>
      <c r="BC5617">
        <v>1</v>
      </c>
      <c r="BE5617">
        <v>0</v>
      </c>
      <c r="BF5617">
        <v>0</v>
      </c>
      <c r="BG5617">
        <v>0</v>
      </c>
      <c r="BH5617">
        <v>975</v>
      </c>
      <c r="BI5617">
        <v>1</v>
      </c>
      <c r="BJ5617">
        <v>1</v>
      </c>
      <c r="BK5617">
        <v>0</v>
      </c>
      <c r="BL5617">
        <v>0</v>
      </c>
      <c r="BO5617">
        <v>0</v>
      </c>
      <c r="BP5617">
        <v>0</v>
      </c>
      <c r="BW5617" t="str">
        <f t="shared" si="2616"/>
        <v>14:51:42.614</v>
      </c>
      <c r="CJ5617">
        <v>0</v>
      </c>
      <c r="CK5617">
        <v>2</v>
      </c>
      <c r="CL5617">
        <v>0</v>
      </c>
      <c r="CM5617">
        <v>2</v>
      </c>
      <c r="CN5617">
        <v>0</v>
      </c>
      <c r="CO5617">
        <v>7</v>
      </c>
      <c r="CP5617" t="s">
        <v>119</v>
      </c>
      <c r="CQ5617">
        <v>343</v>
      </c>
      <c r="CR5617">
        <v>1</v>
      </c>
      <c r="CW5617">
        <v>11177746</v>
      </c>
      <c r="CY5617">
        <v>1</v>
      </c>
      <c r="CZ5617">
        <v>0</v>
      </c>
      <c r="DA5617">
        <v>1</v>
      </c>
      <c r="DB5617">
        <v>0</v>
      </c>
      <c r="DC5617">
        <v>0</v>
      </c>
      <c r="DD5617">
        <v>1</v>
      </c>
      <c r="DE5617">
        <v>0</v>
      </c>
      <c r="DF5617">
        <v>0</v>
      </c>
      <c r="DG5617">
        <v>0</v>
      </c>
      <c r="DH5617">
        <v>0</v>
      </c>
      <c r="DI5617">
        <v>0</v>
      </c>
    </row>
    <row r="5618" spans="1:113" x14ac:dyDescent="0.3">
      <c r="A5618" t="str">
        <f t="shared" si="2613"/>
        <v>05/12/2020 14:51:24.805</v>
      </c>
      <c r="C5618" t="str">
        <f t="shared" si="2603"/>
        <v>FFDFD3C0</v>
      </c>
      <c r="D5618" t="s">
        <v>138</v>
      </c>
      <c r="E5618">
        <v>2</v>
      </c>
      <c r="H5618">
        <v>8</v>
      </c>
      <c r="I5618" t="s">
        <v>139</v>
      </c>
      <c r="J5618" t="s">
        <v>136</v>
      </c>
      <c r="K5618">
        <v>0</v>
      </c>
      <c r="L5618">
        <v>3</v>
      </c>
      <c r="M5618">
        <v>0</v>
      </c>
      <c r="N5618">
        <v>2</v>
      </c>
      <c r="O5618">
        <v>1</v>
      </c>
      <c r="P5618">
        <v>0</v>
      </c>
      <c r="Q5618">
        <v>0</v>
      </c>
      <c r="S5618" t="str">
        <f t="shared" si="2614"/>
        <v>14:51:42.609</v>
      </c>
      <c r="T5618" t="str">
        <f t="shared" si="2615"/>
        <v>14:51:42.509</v>
      </c>
      <c r="U5618" t="str">
        <f t="shared" si="2594"/>
        <v>A9808D</v>
      </c>
      <c r="V5618">
        <v>0</v>
      </c>
      <c r="W5618">
        <v>0</v>
      </c>
      <c r="X5618">
        <v>1</v>
      </c>
      <c r="Z5618">
        <v>0</v>
      </c>
      <c r="AA5618">
        <v>9</v>
      </c>
      <c r="AB5618">
        <v>3</v>
      </c>
      <c r="AC5618">
        <v>0</v>
      </c>
      <c r="AD5618">
        <v>10</v>
      </c>
      <c r="AE5618">
        <v>0</v>
      </c>
      <c r="AF5618">
        <v>3</v>
      </c>
      <c r="AG5618">
        <v>2</v>
      </c>
      <c r="AH5618">
        <v>0</v>
      </c>
      <c r="AI5618" t="s">
        <v>1248</v>
      </c>
      <c r="AJ5618">
        <v>28.207761999999999</v>
      </c>
      <c r="AK5618" t="s">
        <v>1249</v>
      </c>
      <c r="AL5618">
        <v>-82.388319999999993</v>
      </c>
      <c r="AM5618">
        <v>100</v>
      </c>
      <c r="AN5618">
        <v>900</v>
      </c>
      <c r="AO5618" t="s">
        <v>118</v>
      </c>
      <c r="AP5618">
        <v>69</v>
      </c>
      <c r="AQ5618">
        <v>-87</v>
      </c>
      <c r="AR5618">
        <v>-896</v>
      </c>
      <c r="AZ5618">
        <v>1200</v>
      </c>
      <c r="BA5618">
        <v>1</v>
      </c>
      <c r="BB5618" t="str">
        <f t="shared" si="2604"/>
        <v xml:space="preserve">N711JA  </v>
      </c>
      <c r="BC5618">
        <v>1</v>
      </c>
      <c r="BE5618">
        <v>0</v>
      </c>
      <c r="BF5618">
        <v>0</v>
      </c>
      <c r="BG5618">
        <v>0</v>
      </c>
      <c r="BH5618">
        <v>975</v>
      </c>
      <c r="BI5618">
        <v>1</v>
      </c>
      <c r="BJ5618">
        <v>1</v>
      </c>
      <c r="BK5618">
        <v>0</v>
      </c>
      <c r="BL5618">
        <v>0</v>
      </c>
      <c r="BO5618">
        <v>0</v>
      </c>
      <c r="BP5618">
        <v>0</v>
      </c>
      <c r="BW5618" t="str">
        <f t="shared" si="2616"/>
        <v>14:51:42.614</v>
      </c>
      <c r="CJ5618">
        <v>0</v>
      </c>
      <c r="CK5618">
        <v>2</v>
      </c>
      <c r="CL5618">
        <v>0</v>
      </c>
      <c r="CM5618">
        <v>2</v>
      </c>
      <c r="CN5618">
        <v>0</v>
      </c>
      <c r="CO5618">
        <v>7</v>
      </c>
      <c r="CP5618" t="s">
        <v>119</v>
      </c>
      <c r="CQ5618">
        <v>343</v>
      </c>
      <c r="CR5618">
        <v>1</v>
      </c>
      <c r="CW5618">
        <v>11177746</v>
      </c>
      <c r="CY5618">
        <v>1</v>
      </c>
      <c r="CZ5618">
        <v>0</v>
      </c>
      <c r="DA5618">
        <v>1</v>
      </c>
      <c r="DB5618">
        <v>0</v>
      </c>
      <c r="DC5618">
        <v>0</v>
      </c>
      <c r="DD5618">
        <v>1</v>
      </c>
      <c r="DE5618">
        <v>0</v>
      </c>
      <c r="DF5618">
        <v>0</v>
      </c>
      <c r="DG5618">
        <v>0</v>
      </c>
      <c r="DH5618">
        <v>0</v>
      </c>
      <c r="DI5618">
        <v>0</v>
      </c>
    </row>
    <row r="5619" spans="1:113" x14ac:dyDescent="0.3">
      <c r="A5619" t="str">
        <f t="shared" si="2613"/>
        <v>05/12/2020 14:51:24.805</v>
      </c>
      <c r="C5619" t="str">
        <f t="shared" si="2603"/>
        <v>FFDFD3C0</v>
      </c>
      <c r="D5619" t="s">
        <v>138</v>
      </c>
      <c r="E5619">
        <v>3</v>
      </c>
      <c r="H5619">
        <v>9</v>
      </c>
      <c r="I5619" t="s">
        <v>140</v>
      </c>
      <c r="J5619" t="s">
        <v>136</v>
      </c>
      <c r="K5619">
        <v>0</v>
      </c>
      <c r="L5619">
        <v>3</v>
      </c>
      <c r="M5619">
        <v>0</v>
      </c>
      <c r="N5619">
        <v>2</v>
      </c>
      <c r="O5619">
        <v>1</v>
      </c>
      <c r="P5619">
        <v>0</v>
      </c>
      <c r="Q5619">
        <v>0</v>
      </c>
      <c r="S5619" t="str">
        <f t="shared" si="2614"/>
        <v>14:51:42.609</v>
      </c>
      <c r="T5619" t="str">
        <f t="shared" si="2615"/>
        <v>14:51:42.509</v>
      </c>
      <c r="U5619" t="str">
        <f t="shared" si="2594"/>
        <v>A9808D</v>
      </c>
      <c r="V5619">
        <v>0</v>
      </c>
      <c r="W5619">
        <v>0</v>
      </c>
      <c r="X5619">
        <v>1</v>
      </c>
      <c r="Z5619">
        <v>0</v>
      </c>
      <c r="AA5619">
        <v>9</v>
      </c>
      <c r="AB5619">
        <v>3</v>
      </c>
      <c r="AC5619">
        <v>0</v>
      </c>
      <c r="AD5619">
        <v>10</v>
      </c>
      <c r="AE5619">
        <v>0</v>
      </c>
      <c r="AF5619">
        <v>3</v>
      </c>
      <c r="AG5619">
        <v>2</v>
      </c>
      <c r="AH5619">
        <v>0</v>
      </c>
      <c r="AI5619" t="s">
        <v>1248</v>
      </c>
      <c r="AJ5619">
        <v>28.207761999999999</v>
      </c>
      <c r="AK5619" t="s">
        <v>1249</v>
      </c>
      <c r="AL5619">
        <v>-82.388319999999993</v>
      </c>
      <c r="AM5619">
        <v>100</v>
      </c>
      <c r="AN5619">
        <v>900</v>
      </c>
      <c r="AO5619" t="s">
        <v>118</v>
      </c>
      <c r="AP5619">
        <v>69</v>
      </c>
      <c r="AQ5619">
        <v>-87</v>
      </c>
      <c r="AR5619">
        <v>-896</v>
      </c>
      <c r="AZ5619">
        <v>1200</v>
      </c>
      <c r="BA5619">
        <v>1</v>
      </c>
      <c r="BB5619" t="str">
        <f t="shared" si="2604"/>
        <v xml:space="preserve">N711JA  </v>
      </c>
      <c r="BC5619">
        <v>1</v>
      </c>
      <c r="BE5619">
        <v>0</v>
      </c>
      <c r="BF5619">
        <v>0</v>
      </c>
      <c r="BG5619">
        <v>0</v>
      </c>
      <c r="BH5619">
        <v>975</v>
      </c>
      <c r="BI5619">
        <v>1</v>
      </c>
      <c r="BJ5619">
        <v>1</v>
      </c>
      <c r="BK5619">
        <v>0</v>
      </c>
      <c r="BL5619">
        <v>0</v>
      </c>
      <c r="BO5619">
        <v>0</v>
      </c>
      <c r="BP5619">
        <v>0</v>
      </c>
      <c r="BW5619" t="str">
        <f t="shared" si="2616"/>
        <v>14:51:42.614</v>
      </c>
      <c r="CJ5619">
        <v>0</v>
      </c>
      <c r="CK5619">
        <v>2</v>
      </c>
      <c r="CL5619">
        <v>0</v>
      </c>
      <c r="CM5619">
        <v>2</v>
      </c>
      <c r="CN5619">
        <v>0</v>
      </c>
      <c r="CO5619">
        <v>7</v>
      </c>
      <c r="CP5619" t="s">
        <v>119</v>
      </c>
      <c r="CQ5619">
        <v>343</v>
      </c>
      <c r="CR5619">
        <v>1</v>
      </c>
      <c r="CW5619">
        <v>11177746</v>
      </c>
      <c r="CY5619">
        <v>1</v>
      </c>
      <c r="CZ5619">
        <v>0</v>
      </c>
      <c r="DA5619">
        <v>1</v>
      </c>
      <c r="DB5619">
        <v>0</v>
      </c>
      <c r="DC5619">
        <v>0</v>
      </c>
      <c r="DD5619">
        <v>1</v>
      </c>
      <c r="DE5619">
        <v>0</v>
      </c>
      <c r="DF5619">
        <v>0</v>
      </c>
      <c r="DG5619">
        <v>0</v>
      </c>
      <c r="DH5619">
        <v>0</v>
      </c>
      <c r="DI5619">
        <v>0</v>
      </c>
    </row>
    <row r="5620" spans="1:113" x14ac:dyDescent="0.3">
      <c r="A5620" t="str">
        <f t="shared" ref="A5620:A5627" si="2617">"05/12/2020 14:51:25.861"</f>
        <v>05/12/2020 14:51:25.861</v>
      </c>
      <c r="C5620" t="str">
        <f t="shared" si="2603"/>
        <v>FFDFD3C0</v>
      </c>
      <c r="D5620" t="s">
        <v>126</v>
      </c>
      <c r="E5620">
        <v>7</v>
      </c>
      <c r="F5620">
        <v>1007</v>
      </c>
      <c r="G5620" t="s">
        <v>127</v>
      </c>
      <c r="J5620" t="s">
        <v>128</v>
      </c>
      <c r="K5620">
        <v>0</v>
      </c>
      <c r="L5620">
        <v>3</v>
      </c>
      <c r="M5620">
        <v>0</v>
      </c>
      <c r="N5620">
        <v>2</v>
      </c>
      <c r="O5620">
        <v>1</v>
      </c>
      <c r="P5620">
        <v>0</v>
      </c>
      <c r="Q5620">
        <v>0</v>
      </c>
      <c r="S5620" t="str">
        <f t="shared" ref="S5620:S5627" si="2618">"14:51:43.695"</f>
        <v>14:51:43.695</v>
      </c>
      <c r="T5620" t="str">
        <f t="shared" ref="T5620:T5627" si="2619">"14:51:43.495"</f>
        <v>14:51:43.495</v>
      </c>
      <c r="U5620" t="str">
        <f t="shared" si="2594"/>
        <v>A9808D</v>
      </c>
      <c r="V5620">
        <v>0</v>
      </c>
      <c r="W5620">
        <v>0</v>
      </c>
      <c r="X5620">
        <v>1</v>
      </c>
      <c r="Z5620">
        <v>0</v>
      </c>
      <c r="AA5620">
        <v>9</v>
      </c>
      <c r="AB5620">
        <v>3</v>
      </c>
      <c r="AC5620">
        <v>0</v>
      </c>
      <c r="AD5620">
        <v>10</v>
      </c>
      <c r="AE5620">
        <v>0</v>
      </c>
      <c r="AF5620">
        <v>3</v>
      </c>
      <c r="AG5620">
        <v>2</v>
      </c>
      <c r="AH5620">
        <v>0</v>
      </c>
      <c r="AI5620" t="s">
        <v>1250</v>
      </c>
      <c r="AJ5620">
        <v>28.207355</v>
      </c>
      <c r="AK5620" t="s">
        <v>1251</v>
      </c>
      <c r="AL5620">
        <v>-82.387868999999995</v>
      </c>
      <c r="AM5620">
        <v>100</v>
      </c>
      <c r="AN5620">
        <v>900</v>
      </c>
      <c r="AO5620" t="s">
        <v>118</v>
      </c>
      <c r="AP5620">
        <v>70</v>
      </c>
      <c r="AQ5620">
        <v>-86</v>
      </c>
      <c r="AR5620">
        <v>-832</v>
      </c>
      <c r="AZ5620">
        <v>1200</v>
      </c>
      <c r="BA5620">
        <v>1</v>
      </c>
      <c r="BB5620" t="str">
        <f t="shared" si="2604"/>
        <v xml:space="preserve">N711JA  </v>
      </c>
      <c r="BC5620">
        <v>1</v>
      </c>
      <c r="BE5620">
        <v>0</v>
      </c>
      <c r="BF5620">
        <v>0</v>
      </c>
      <c r="BG5620">
        <v>0</v>
      </c>
      <c r="BH5620">
        <v>975</v>
      </c>
      <c r="BI5620">
        <v>1</v>
      </c>
      <c r="BJ5620">
        <v>1</v>
      </c>
      <c r="BK5620">
        <v>0</v>
      </c>
      <c r="BL5620">
        <v>0</v>
      </c>
      <c r="BO5620">
        <v>0</v>
      </c>
      <c r="BP5620">
        <v>0</v>
      </c>
      <c r="BW5620" t="str">
        <f t="shared" ref="BW5620:BW5627" si="2620">"14:51:43.699"</f>
        <v>14:51:43.699</v>
      </c>
      <c r="CJ5620">
        <v>0</v>
      </c>
      <c r="CK5620">
        <v>2</v>
      </c>
      <c r="CL5620">
        <v>0</v>
      </c>
      <c r="CM5620">
        <v>2</v>
      </c>
      <c r="CN5620">
        <v>0</v>
      </c>
      <c r="CO5620">
        <v>7</v>
      </c>
      <c r="CP5620" t="s">
        <v>119</v>
      </c>
      <c r="CQ5620">
        <v>343</v>
      </c>
      <c r="CR5620">
        <v>2</v>
      </c>
      <c r="CW5620">
        <v>13425838</v>
      </c>
      <c r="CY5620">
        <v>1</v>
      </c>
      <c r="CZ5620">
        <v>0</v>
      </c>
      <c r="DA5620">
        <v>0</v>
      </c>
      <c r="DB5620">
        <v>0</v>
      </c>
      <c r="DC5620">
        <v>0</v>
      </c>
      <c r="DD5620">
        <v>1</v>
      </c>
      <c r="DE5620">
        <v>0</v>
      </c>
      <c r="DF5620">
        <v>0</v>
      </c>
      <c r="DG5620">
        <v>0</v>
      </c>
      <c r="DH5620">
        <v>0</v>
      </c>
      <c r="DI5620">
        <v>0</v>
      </c>
    </row>
    <row r="5621" spans="1:113" x14ac:dyDescent="0.3">
      <c r="A5621" t="str">
        <f t="shared" si="2617"/>
        <v>05/12/2020 14:51:25.861</v>
      </c>
      <c r="C5621" t="str">
        <f t="shared" si="2603"/>
        <v>FFDFD3C0</v>
      </c>
      <c r="D5621" t="s">
        <v>131</v>
      </c>
      <c r="E5621">
        <v>10</v>
      </c>
      <c r="F5621">
        <v>2010</v>
      </c>
      <c r="G5621" t="s">
        <v>132</v>
      </c>
      <c r="J5621" t="s">
        <v>133</v>
      </c>
      <c r="K5621">
        <v>0</v>
      </c>
      <c r="L5621">
        <v>3</v>
      </c>
      <c r="M5621">
        <v>0</v>
      </c>
      <c r="N5621">
        <v>2</v>
      </c>
      <c r="O5621">
        <v>1</v>
      </c>
      <c r="P5621">
        <v>0</v>
      </c>
      <c r="Q5621">
        <v>0</v>
      </c>
      <c r="S5621" t="str">
        <f t="shared" si="2618"/>
        <v>14:51:43.695</v>
      </c>
      <c r="T5621" t="str">
        <f t="shared" si="2619"/>
        <v>14:51:43.495</v>
      </c>
      <c r="U5621" t="str">
        <f t="shared" si="2594"/>
        <v>A9808D</v>
      </c>
      <c r="V5621">
        <v>0</v>
      </c>
      <c r="W5621">
        <v>0</v>
      </c>
      <c r="X5621">
        <v>1</v>
      </c>
      <c r="Z5621">
        <v>0</v>
      </c>
      <c r="AA5621">
        <v>9</v>
      </c>
      <c r="AB5621">
        <v>3</v>
      </c>
      <c r="AC5621">
        <v>0</v>
      </c>
      <c r="AD5621">
        <v>10</v>
      </c>
      <c r="AE5621">
        <v>0</v>
      </c>
      <c r="AF5621">
        <v>3</v>
      </c>
      <c r="AG5621">
        <v>2</v>
      </c>
      <c r="AH5621">
        <v>0</v>
      </c>
      <c r="AI5621" t="s">
        <v>1250</v>
      </c>
      <c r="AJ5621">
        <v>28.207355</v>
      </c>
      <c r="AK5621" t="s">
        <v>1251</v>
      </c>
      <c r="AL5621">
        <v>-82.387868999999995</v>
      </c>
      <c r="AM5621">
        <v>100</v>
      </c>
      <c r="AN5621">
        <v>900</v>
      </c>
      <c r="AO5621" t="s">
        <v>118</v>
      </c>
      <c r="AP5621">
        <v>70</v>
      </c>
      <c r="AQ5621">
        <v>-86</v>
      </c>
      <c r="AR5621">
        <v>-832</v>
      </c>
      <c r="AZ5621">
        <v>1200</v>
      </c>
      <c r="BA5621">
        <v>1</v>
      </c>
      <c r="BB5621" t="str">
        <f t="shared" si="2604"/>
        <v xml:space="preserve">N711JA  </v>
      </c>
      <c r="BC5621">
        <v>1</v>
      </c>
      <c r="BE5621">
        <v>0</v>
      </c>
      <c r="BF5621">
        <v>0</v>
      </c>
      <c r="BG5621">
        <v>0</v>
      </c>
      <c r="BH5621">
        <v>975</v>
      </c>
      <c r="BI5621">
        <v>1</v>
      </c>
      <c r="BJ5621">
        <v>1</v>
      </c>
      <c r="BK5621">
        <v>0</v>
      </c>
      <c r="BL5621">
        <v>0</v>
      </c>
      <c r="BO5621">
        <v>0</v>
      </c>
      <c r="BP5621">
        <v>0</v>
      </c>
      <c r="BW5621" t="str">
        <f t="shared" si="2620"/>
        <v>14:51:43.699</v>
      </c>
      <c r="CJ5621">
        <v>0</v>
      </c>
      <c r="CK5621">
        <v>2</v>
      </c>
      <c r="CL5621">
        <v>0</v>
      </c>
      <c r="CM5621">
        <v>2</v>
      </c>
      <c r="CN5621">
        <v>0</v>
      </c>
      <c r="CO5621">
        <v>7</v>
      </c>
      <c r="CP5621" t="s">
        <v>119</v>
      </c>
      <c r="CQ5621">
        <v>343</v>
      </c>
      <c r="CR5621">
        <v>2</v>
      </c>
      <c r="CW5621">
        <v>13425838</v>
      </c>
      <c r="CY5621">
        <v>1</v>
      </c>
      <c r="CZ5621">
        <v>0</v>
      </c>
      <c r="DA5621">
        <v>1</v>
      </c>
      <c r="DB5621">
        <v>0</v>
      </c>
      <c r="DC5621">
        <v>0</v>
      </c>
      <c r="DD5621">
        <v>1</v>
      </c>
      <c r="DE5621">
        <v>0</v>
      </c>
      <c r="DF5621">
        <v>0</v>
      </c>
      <c r="DG5621">
        <v>0</v>
      </c>
      <c r="DH5621">
        <v>0</v>
      </c>
      <c r="DI5621">
        <v>0</v>
      </c>
    </row>
    <row r="5622" spans="1:113" x14ac:dyDescent="0.3">
      <c r="A5622" t="str">
        <f t="shared" si="2617"/>
        <v>05/12/2020 14:51:25.861</v>
      </c>
      <c r="C5622" t="str">
        <f t="shared" si="2603"/>
        <v>FFDFD3C0</v>
      </c>
      <c r="D5622" t="s">
        <v>131</v>
      </c>
      <c r="E5622">
        <v>12</v>
      </c>
      <c r="F5622">
        <v>2012</v>
      </c>
      <c r="G5622" t="s">
        <v>137</v>
      </c>
      <c r="J5622" t="s">
        <v>133</v>
      </c>
      <c r="K5622">
        <v>0</v>
      </c>
      <c r="L5622">
        <v>3</v>
      </c>
      <c r="M5622">
        <v>0</v>
      </c>
      <c r="N5622">
        <v>2</v>
      </c>
      <c r="O5622">
        <v>1</v>
      </c>
      <c r="P5622">
        <v>0</v>
      </c>
      <c r="Q5622">
        <v>0</v>
      </c>
      <c r="S5622" t="str">
        <f t="shared" si="2618"/>
        <v>14:51:43.695</v>
      </c>
      <c r="T5622" t="str">
        <f t="shared" si="2619"/>
        <v>14:51:43.495</v>
      </c>
      <c r="U5622" t="str">
        <f t="shared" si="2594"/>
        <v>A9808D</v>
      </c>
      <c r="V5622">
        <v>0</v>
      </c>
      <c r="W5622">
        <v>0</v>
      </c>
      <c r="X5622">
        <v>1</v>
      </c>
      <c r="Z5622">
        <v>0</v>
      </c>
      <c r="AA5622">
        <v>9</v>
      </c>
      <c r="AB5622">
        <v>3</v>
      </c>
      <c r="AC5622">
        <v>0</v>
      </c>
      <c r="AD5622">
        <v>10</v>
      </c>
      <c r="AE5622">
        <v>0</v>
      </c>
      <c r="AF5622">
        <v>3</v>
      </c>
      <c r="AG5622">
        <v>2</v>
      </c>
      <c r="AH5622">
        <v>0</v>
      </c>
      <c r="AI5622" t="s">
        <v>1250</v>
      </c>
      <c r="AJ5622">
        <v>28.207355</v>
      </c>
      <c r="AK5622" t="s">
        <v>1251</v>
      </c>
      <c r="AL5622">
        <v>-82.387868999999995</v>
      </c>
      <c r="AM5622">
        <v>100</v>
      </c>
      <c r="AN5622">
        <v>900</v>
      </c>
      <c r="AO5622" t="s">
        <v>118</v>
      </c>
      <c r="AP5622">
        <v>70</v>
      </c>
      <c r="AQ5622">
        <v>-86</v>
      </c>
      <c r="AR5622">
        <v>-832</v>
      </c>
      <c r="AZ5622">
        <v>1200</v>
      </c>
      <c r="BA5622">
        <v>1</v>
      </c>
      <c r="BB5622" t="str">
        <f t="shared" si="2604"/>
        <v xml:space="preserve">N711JA  </v>
      </c>
      <c r="BC5622">
        <v>1</v>
      </c>
      <c r="BE5622">
        <v>0</v>
      </c>
      <c r="BF5622">
        <v>0</v>
      </c>
      <c r="BG5622">
        <v>0</v>
      </c>
      <c r="BH5622">
        <v>975</v>
      </c>
      <c r="BI5622">
        <v>1</v>
      </c>
      <c r="BJ5622">
        <v>1</v>
      </c>
      <c r="BK5622">
        <v>0</v>
      </c>
      <c r="BL5622">
        <v>0</v>
      </c>
      <c r="BO5622">
        <v>0</v>
      </c>
      <c r="BP5622">
        <v>0</v>
      </c>
      <c r="BW5622" t="str">
        <f t="shared" si="2620"/>
        <v>14:51:43.699</v>
      </c>
      <c r="CJ5622">
        <v>0</v>
      </c>
      <c r="CK5622">
        <v>2</v>
      </c>
      <c r="CL5622">
        <v>0</v>
      </c>
      <c r="CM5622">
        <v>2</v>
      </c>
      <c r="CN5622">
        <v>0</v>
      </c>
      <c r="CO5622">
        <v>7</v>
      </c>
      <c r="CP5622" t="s">
        <v>119</v>
      </c>
      <c r="CQ5622">
        <v>343</v>
      </c>
      <c r="CR5622">
        <v>2</v>
      </c>
      <c r="CW5622">
        <v>13425838</v>
      </c>
      <c r="CY5622">
        <v>1</v>
      </c>
      <c r="CZ5622">
        <v>0</v>
      </c>
      <c r="DA5622">
        <v>1</v>
      </c>
      <c r="DB5622">
        <v>0</v>
      </c>
      <c r="DC5622">
        <v>0</v>
      </c>
      <c r="DD5622">
        <v>1</v>
      </c>
      <c r="DE5622">
        <v>0</v>
      </c>
      <c r="DF5622">
        <v>0</v>
      </c>
      <c r="DG5622">
        <v>0</v>
      </c>
      <c r="DH5622">
        <v>0</v>
      </c>
      <c r="DI5622">
        <v>0</v>
      </c>
    </row>
    <row r="5623" spans="1:113" x14ac:dyDescent="0.3">
      <c r="A5623" t="str">
        <f t="shared" si="2617"/>
        <v>05/12/2020 14:51:25.861</v>
      </c>
      <c r="C5623" t="str">
        <f t="shared" si="2603"/>
        <v>FFDFD3C0</v>
      </c>
      <c r="D5623" t="s">
        <v>126</v>
      </c>
      <c r="E5623">
        <v>6</v>
      </c>
      <c r="F5623">
        <v>1006</v>
      </c>
      <c r="G5623" t="s">
        <v>114</v>
      </c>
      <c r="J5623" t="s">
        <v>128</v>
      </c>
      <c r="K5623">
        <v>0</v>
      </c>
      <c r="L5623">
        <v>3</v>
      </c>
      <c r="M5623">
        <v>0</v>
      </c>
      <c r="N5623">
        <v>2</v>
      </c>
      <c r="O5623">
        <v>1</v>
      </c>
      <c r="P5623">
        <v>0</v>
      </c>
      <c r="Q5623">
        <v>0</v>
      </c>
      <c r="S5623" t="str">
        <f t="shared" si="2618"/>
        <v>14:51:43.695</v>
      </c>
      <c r="T5623" t="str">
        <f t="shared" si="2619"/>
        <v>14:51:43.495</v>
      </c>
      <c r="U5623" t="str">
        <f t="shared" si="2594"/>
        <v>A9808D</v>
      </c>
      <c r="V5623">
        <v>0</v>
      </c>
      <c r="W5623">
        <v>0</v>
      </c>
      <c r="X5623">
        <v>1</v>
      </c>
      <c r="Z5623">
        <v>0</v>
      </c>
      <c r="AA5623">
        <v>9</v>
      </c>
      <c r="AB5623">
        <v>3</v>
      </c>
      <c r="AC5623">
        <v>0</v>
      </c>
      <c r="AD5623">
        <v>10</v>
      </c>
      <c r="AE5623">
        <v>0</v>
      </c>
      <c r="AF5623">
        <v>3</v>
      </c>
      <c r="AG5623">
        <v>2</v>
      </c>
      <c r="AH5623">
        <v>0</v>
      </c>
      <c r="AI5623" t="s">
        <v>1250</v>
      </c>
      <c r="AJ5623">
        <v>28.207355</v>
      </c>
      <c r="AK5623" t="s">
        <v>1251</v>
      </c>
      <c r="AL5623">
        <v>-82.387868999999995</v>
      </c>
      <c r="AM5623">
        <v>100</v>
      </c>
      <c r="AN5623">
        <v>900</v>
      </c>
      <c r="AO5623" t="s">
        <v>118</v>
      </c>
      <c r="AP5623">
        <v>70</v>
      </c>
      <c r="AQ5623">
        <v>-86</v>
      </c>
      <c r="AR5623">
        <v>-832</v>
      </c>
      <c r="AZ5623">
        <v>1200</v>
      </c>
      <c r="BA5623">
        <v>1</v>
      </c>
      <c r="BB5623" t="str">
        <f t="shared" si="2604"/>
        <v xml:space="preserve">N711JA  </v>
      </c>
      <c r="BC5623">
        <v>1</v>
      </c>
      <c r="BE5623">
        <v>0</v>
      </c>
      <c r="BF5623">
        <v>0</v>
      </c>
      <c r="BG5623">
        <v>0</v>
      </c>
      <c r="BH5623">
        <v>975</v>
      </c>
      <c r="BI5623">
        <v>1</v>
      </c>
      <c r="BJ5623">
        <v>1</v>
      </c>
      <c r="BK5623">
        <v>0</v>
      </c>
      <c r="BL5623">
        <v>0</v>
      </c>
      <c r="BO5623">
        <v>0</v>
      </c>
      <c r="BP5623">
        <v>0</v>
      </c>
      <c r="BW5623" t="str">
        <f t="shared" si="2620"/>
        <v>14:51:43.699</v>
      </c>
      <c r="CJ5623">
        <v>0</v>
      </c>
      <c r="CK5623">
        <v>2</v>
      </c>
      <c r="CL5623">
        <v>0</v>
      </c>
      <c r="CM5623">
        <v>2</v>
      </c>
      <c r="CN5623">
        <v>0</v>
      </c>
      <c r="CO5623">
        <v>7</v>
      </c>
      <c r="CP5623" t="s">
        <v>119</v>
      </c>
      <c r="CQ5623">
        <v>343</v>
      </c>
      <c r="CR5623">
        <v>2</v>
      </c>
      <c r="CW5623">
        <v>13425838</v>
      </c>
      <c r="CY5623">
        <v>1</v>
      </c>
      <c r="CZ5623">
        <v>0</v>
      </c>
      <c r="DA5623">
        <v>1</v>
      </c>
      <c r="DB5623">
        <v>0</v>
      </c>
      <c r="DC5623">
        <v>0</v>
      </c>
      <c r="DD5623">
        <v>1</v>
      </c>
      <c r="DE5623">
        <v>0</v>
      </c>
      <c r="DF5623">
        <v>0</v>
      </c>
      <c r="DG5623">
        <v>0</v>
      </c>
      <c r="DH5623">
        <v>0</v>
      </c>
      <c r="DI5623">
        <v>0</v>
      </c>
    </row>
    <row r="5624" spans="1:113" x14ac:dyDescent="0.3">
      <c r="A5624" t="str">
        <f t="shared" si="2617"/>
        <v>05/12/2020 14:51:25.861</v>
      </c>
      <c r="C5624" t="str">
        <f t="shared" si="2603"/>
        <v>FFDFD3C0</v>
      </c>
      <c r="D5624" t="s">
        <v>134</v>
      </c>
      <c r="E5624">
        <v>12</v>
      </c>
      <c r="H5624">
        <v>64</v>
      </c>
      <c r="I5624" t="s">
        <v>135</v>
      </c>
      <c r="J5624" t="s">
        <v>136</v>
      </c>
      <c r="K5624">
        <v>0</v>
      </c>
      <c r="L5624">
        <v>3</v>
      </c>
      <c r="M5624">
        <v>0</v>
      </c>
      <c r="N5624">
        <v>2</v>
      </c>
      <c r="O5624">
        <v>1</v>
      </c>
      <c r="P5624">
        <v>0</v>
      </c>
      <c r="Q5624">
        <v>0</v>
      </c>
      <c r="S5624" t="str">
        <f t="shared" si="2618"/>
        <v>14:51:43.695</v>
      </c>
      <c r="T5624" t="str">
        <f t="shared" si="2619"/>
        <v>14:51:43.495</v>
      </c>
      <c r="U5624" t="str">
        <f t="shared" si="2594"/>
        <v>A9808D</v>
      </c>
      <c r="V5624">
        <v>0</v>
      </c>
      <c r="W5624">
        <v>0</v>
      </c>
      <c r="X5624">
        <v>1</v>
      </c>
      <c r="Z5624">
        <v>0</v>
      </c>
      <c r="AA5624">
        <v>9</v>
      </c>
      <c r="AB5624">
        <v>3</v>
      </c>
      <c r="AC5624">
        <v>0</v>
      </c>
      <c r="AD5624">
        <v>10</v>
      </c>
      <c r="AE5624">
        <v>0</v>
      </c>
      <c r="AF5624">
        <v>3</v>
      </c>
      <c r="AG5624">
        <v>2</v>
      </c>
      <c r="AH5624">
        <v>0</v>
      </c>
      <c r="AI5624" t="s">
        <v>1250</v>
      </c>
      <c r="AJ5624">
        <v>28.207355</v>
      </c>
      <c r="AK5624" t="s">
        <v>1251</v>
      </c>
      <c r="AL5624">
        <v>-82.387868999999995</v>
      </c>
      <c r="AM5624">
        <v>100</v>
      </c>
      <c r="AN5624">
        <v>900</v>
      </c>
      <c r="AO5624" t="s">
        <v>118</v>
      </c>
      <c r="AP5624">
        <v>70</v>
      </c>
      <c r="AQ5624">
        <v>-86</v>
      </c>
      <c r="AR5624">
        <v>-832</v>
      </c>
      <c r="AZ5624">
        <v>1200</v>
      </c>
      <c r="BA5624">
        <v>1</v>
      </c>
      <c r="BB5624" t="str">
        <f t="shared" si="2604"/>
        <v xml:space="preserve">N711JA  </v>
      </c>
      <c r="BC5624">
        <v>1</v>
      </c>
      <c r="BE5624">
        <v>0</v>
      </c>
      <c r="BF5624">
        <v>0</v>
      </c>
      <c r="BG5624">
        <v>0</v>
      </c>
      <c r="BH5624">
        <v>975</v>
      </c>
      <c r="BI5624">
        <v>1</v>
      </c>
      <c r="BJ5624">
        <v>1</v>
      </c>
      <c r="BK5624">
        <v>0</v>
      </c>
      <c r="BL5624">
        <v>0</v>
      </c>
      <c r="BO5624">
        <v>0</v>
      </c>
      <c r="BP5624">
        <v>0</v>
      </c>
      <c r="BW5624" t="str">
        <f t="shared" si="2620"/>
        <v>14:51:43.699</v>
      </c>
      <c r="CJ5624">
        <v>0</v>
      </c>
      <c r="CK5624">
        <v>2</v>
      </c>
      <c r="CL5624">
        <v>0</v>
      </c>
      <c r="CM5624">
        <v>2</v>
      </c>
      <c r="CN5624">
        <v>0</v>
      </c>
      <c r="CO5624">
        <v>7</v>
      </c>
      <c r="CP5624" t="s">
        <v>119</v>
      </c>
      <c r="CQ5624">
        <v>343</v>
      </c>
      <c r="CR5624">
        <v>2</v>
      </c>
      <c r="CW5624">
        <v>13425838</v>
      </c>
      <c r="CY5624">
        <v>1</v>
      </c>
      <c r="CZ5624">
        <v>0</v>
      </c>
      <c r="DA5624">
        <v>1</v>
      </c>
      <c r="DB5624">
        <v>0</v>
      </c>
      <c r="DC5624">
        <v>0</v>
      </c>
      <c r="DD5624">
        <v>1</v>
      </c>
      <c r="DE5624">
        <v>0</v>
      </c>
      <c r="DF5624">
        <v>0</v>
      </c>
      <c r="DG5624">
        <v>0</v>
      </c>
      <c r="DH5624">
        <v>0</v>
      </c>
      <c r="DI5624">
        <v>0</v>
      </c>
    </row>
    <row r="5625" spans="1:113" x14ac:dyDescent="0.3">
      <c r="A5625" t="str">
        <f t="shared" si="2617"/>
        <v>05/12/2020 14:51:25.861</v>
      </c>
      <c r="C5625" t="str">
        <f t="shared" si="2603"/>
        <v>FFDFD3C0</v>
      </c>
      <c r="D5625" t="s">
        <v>113</v>
      </c>
      <c r="E5625">
        <v>3</v>
      </c>
      <c r="H5625">
        <v>164</v>
      </c>
      <c r="I5625" t="s">
        <v>114</v>
      </c>
      <c r="J5625" t="s">
        <v>115</v>
      </c>
      <c r="K5625">
        <v>0</v>
      </c>
      <c r="L5625">
        <v>3</v>
      </c>
      <c r="M5625">
        <v>0</v>
      </c>
      <c r="N5625">
        <v>2</v>
      </c>
      <c r="O5625">
        <v>1</v>
      </c>
      <c r="P5625">
        <v>0</v>
      </c>
      <c r="Q5625">
        <v>0</v>
      </c>
      <c r="S5625" t="str">
        <f t="shared" si="2618"/>
        <v>14:51:43.695</v>
      </c>
      <c r="T5625" t="str">
        <f t="shared" si="2619"/>
        <v>14:51:43.495</v>
      </c>
      <c r="U5625" t="str">
        <f t="shared" si="2594"/>
        <v>A9808D</v>
      </c>
      <c r="V5625">
        <v>0</v>
      </c>
      <c r="W5625">
        <v>0</v>
      </c>
      <c r="X5625">
        <v>1</v>
      </c>
      <c r="Z5625">
        <v>0</v>
      </c>
      <c r="AA5625">
        <v>9</v>
      </c>
      <c r="AB5625">
        <v>3</v>
      </c>
      <c r="AC5625">
        <v>0</v>
      </c>
      <c r="AD5625">
        <v>10</v>
      </c>
      <c r="AE5625">
        <v>0</v>
      </c>
      <c r="AF5625">
        <v>3</v>
      </c>
      <c r="AG5625">
        <v>2</v>
      </c>
      <c r="AH5625">
        <v>0</v>
      </c>
      <c r="AI5625" t="s">
        <v>1250</v>
      </c>
      <c r="AJ5625">
        <v>28.207355</v>
      </c>
      <c r="AK5625" t="s">
        <v>1251</v>
      </c>
      <c r="AL5625">
        <v>-82.387868999999995</v>
      </c>
      <c r="AM5625">
        <v>100</v>
      </c>
      <c r="AN5625">
        <v>900</v>
      </c>
      <c r="AO5625" t="s">
        <v>118</v>
      </c>
      <c r="AP5625">
        <v>70</v>
      </c>
      <c r="AQ5625">
        <v>-86</v>
      </c>
      <c r="AR5625">
        <v>-832</v>
      </c>
      <c r="AZ5625">
        <v>1200</v>
      </c>
      <c r="BA5625">
        <v>1</v>
      </c>
      <c r="BB5625" t="str">
        <f t="shared" si="2604"/>
        <v xml:space="preserve">N711JA  </v>
      </c>
      <c r="BC5625">
        <v>1</v>
      </c>
      <c r="BE5625">
        <v>0</v>
      </c>
      <c r="BF5625">
        <v>0</v>
      </c>
      <c r="BG5625">
        <v>0</v>
      </c>
      <c r="BH5625">
        <v>975</v>
      </c>
      <c r="BI5625">
        <v>1</v>
      </c>
      <c r="BJ5625">
        <v>1</v>
      </c>
      <c r="BK5625">
        <v>0</v>
      </c>
      <c r="BL5625">
        <v>0</v>
      </c>
      <c r="BO5625">
        <v>0</v>
      </c>
      <c r="BP5625">
        <v>0</v>
      </c>
      <c r="BW5625" t="str">
        <f t="shared" si="2620"/>
        <v>14:51:43.699</v>
      </c>
      <c r="CJ5625">
        <v>0</v>
      </c>
      <c r="CK5625">
        <v>2</v>
      </c>
      <c r="CL5625">
        <v>0</v>
      </c>
      <c r="CM5625">
        <v>2</v>
      </c>
      <c r="CN5625">
        <v>0</v>
      </c>
      <c r="CO5625">
        <v>7</v>
      </c>
      <c r="CP5625" t="s">
        <v>119</v>
      </c>
      <c r="CQ5625">
        <v>343</v>
      </c>
      <c r="CR5625">
        <v>2</v>
      </c>
      <c r="CW5625">
        <v>13425838</v>
      </c>
      <c r="CY5625">
        <v>1</v>
      </c>
      <c r="CZ5625">
        <v>0</v>
      </c>
      <c r="DA5625">
        <v>1</v>
      </c>
      <c r="DB5625">
        <v>0</v>
      </c>
      <c r="DC5625">
        <v>0</v>
      </c>
      <c r="DD5625">
        <v>1</v>
      </c>
      <c r="DE5625">
        <v>0</v>
      </c>
      <c r="DF5625">
        <v>0</v>
      </c>
      <c r="DG5625">
        <v>0</v>
      </c>
      <c r="DH5625">
        <v>0</v>
      </c>
      <c r="DI5625">
        <v>0</v>
      </c>
    </row>
    <row r="5626" spans="1:113" x14ac:dyDescent="0.3">
      <c r="A5626" t="str">
        <f t="shared" si="2617"/>
        <v>05/12/2020 14:51:25.861</v>
      </c>
      <c r="C5626" t="str">
        <f t="shared" si="2603"/>
        <v>FFDFD3C0</v>
      </c>
      <c r="D5626" t="s">
        <v>138</v>
      </c>
      <c r="E5626">
        <v>2</v>
      </c>
      <c r="H5626">
        <v>8</v>
      </c>
      <c r="I5626" t="s">
        <v>139</v>
      </c>
      <c r="J5626" t="s">
        <v>136</v>
      </c>
      <c r="K5626">
        <v>0</v>
      </c>
      <c r="L5626">
        <v>3</v>
      </c>
      <c r="M5626">
        <v>0</v>
      </c>
      <c r="N5626">
        <v>2</v>
      </c>
      <c r="O5626">
        <v>1</v>
      </c>
      <c r="P5626">
        <v>0</v>
      </c>
      <c r="Q5626">
        <v>0</v>
      </c>
      <c r="S5626" t="str">
        <f t="shared" si="2618"/>
        <v>14:51:43.695</v>
      </c>
      <c r="T5626" t="str">
        <f t="shared" si="2619"/>
        <v>14:51:43.495</v>
      </c>
      <c r="U5626" t="str">
        <f t="shared" si="2594"/>
        <v>A9808D</v>
      </c>
      <c r="V5626">
        <v>0</v>
      </c>
      <c r="W5626">
        <v>0</v>
      </c>
      <c r="X5626">
        <v>1</v>
      </c>
      <c r="Z5626">
        <v>0</v>
      </c>
      <c r="AA5626">
        <v>9</v>
      </c>
      <c r="AB5626">
        <v>3</v>
      </c>
      <c r="AC5626">
        <v>0</v>
      </c>
      <c r="AD5626">
        <v>10</v>
      </c>
      <c r="AE5626">
        <v>0</v>
      </c>
      <c r="AF5626">
        <v>3</v>
      </c>
      <c r="AG5626">
        <v>2</v>
      </c>
      <c r="AH5626">
        <v>0</v>
      </c>
      <c r="AI5626" t="s">
        <v>1250</v>
      </c>
      <c r="AJ5626">
        <v>28.207355</v>
      </c>
      <c r="AK5626" t="s">
        <v>1251</v>
      </c>
      <c r="AL5626">
        <v>-82.387868999999995</v>
      </c>
      <c r="AM5626">
        <v>100</v>
      </c>
      <c r="AN5626">
        <v>900</v>
      </c>
      <c r="AO5626" t="s">
        <v>118</v>
      </c>
      <c r="AP5626">
        <v>70</v>
      </c>
      <c r="AQ5626">
        <v>-86</v>
      </c>
      <c r="AR5626">
        <v>-832</v>
      </c>
      <c r="AZ5626">
        <v>1200</v>
      </c>
      <c r="BA5626">
        <v>1</v>
      </c>
      <c r="BB5626" t="str">
        <f t="shared" si="2604"/>
        <v xml:space="preserve">N711JA  </v>
      </c>
      <c r="BC5626">
        <v>1</v>
      </c>
      <c r="BE5626">
        <v>0</v>
      </c>
      <c r="BF5626">
        <v>0</v>
      </c>
      <c r="BG5626">
        <v>0</v>
      </c>
      <c r="BH5626">
        <v>975</v>
      </c>
      <c r="BI5626">
        <v>1</v>
      </c>
      <c r="BJ5626">
        <v>1</v>
      </c>
      <c r="BK5626">
        <v>0</v>
      </c>
      <c r="BL5626">
        <v>0</v>
      </c>
      <c r="BO5626">
        <v>0</v>
      </c>
      <c r="BP5626">
        <v>0</v>
      </c>
      <c r="BW5626" t="str">
        <f t="shared" si="2620"/>
        <v>14:51:43.699</v>
      </c>
      <c r="CJ5626">
        <v>0</v>
      </c>
      <c r="CK5626">
        <v>2</v>
      </c>
      <c r="CL5626">
        <v>0</v>
      </c>
      <c r="CM5626">
        <v>2</v>
      </c>
      <c r="CN5626">
        <v>0</v>
      </c>
      <c r="CO5626">
        <v>7</v>
      </c>
      <c r="CP5626" t="s">
        <v>119</v>
      </c>
      <c r="CQ5626">
        <v>343</v>
      </c>
      <c r="CR5626">
        <v>2</v>
      </c>
      <c r="CW5626">
        <v>13425838</v>
      </c>
      <c r="CY5626">
        <v>1</v>
      </c>
      <c r="CZ5626">
        <v>0</v>
      </c>
      <c r="DA5626">
        <v>1</v>
      </c>
      <c r="DB5626">
        <v>0</v>
      </c>
      <c r="DC5626">
        <v>0</v>
      </c>
      <c r="DD5626">
        <v>1</v>
      </c>
      <c r="DE5626">
        <v>0</v>
      </c>
      <c r="DF5626">
        <v>0</v>
      </c>
      <c r="DG5626">
        <v>0</v>
      </c>
      <c r="DH5626">
        <v>0</v>
      </c>
      <c r="DI5626">
        <v>0</v>
      </c>
    </row>
    <row r="5627" spans="1:113" x14ac:dyDescent="0.3">
      <c r="A5627" t="str">
        <f t="shared" si="2617"/>
        <v>05/12/2020 14:51:25.861</v>
      </c>
      <c r="C5627" t="str">
        <f t="shared" si="2603"/>
        <v>FFDFD3C0</v>
      </c>
      <c r="D5627" t="s">
        <v>138</v>
      </c>
      <c r="E5627">
        <v>3</v>
      </c>
      <c r="H5627">
        <v>9</v>
      </c>
      <c r="I5627" t="s">
        <v>140</v>
      </c>
      <c r="J5627" t="s">
        <v>136</v>
      </c>
      <c r="K5627">
        <v>0</v>
      </c>
      <c r="L5627">
        <v>3</v>
      </c>
      <c r="M5627">
        <v>0</v>
      </c>
      <c r="N5627">
        <v>2</v>
      </c>
      <c r="O5627">
        <v>1</v>
      </c>
      <c r="P5627">
        <v>0</v>
      </c>
      <c r="Q5627">
        <v>0</v>
      </c>
      <c r="S5627" t="str">
        <f t="shared" si="2618"/>
        <v>14:51:43.695</v>
      </c>
      <c r="T5627" t="str">
        <f t="shared" si="2619"/>
        <v>14:51:43.495</v>
      </c>
      <c r="U5627" t="str">
        <f t="shared" si="2594"/>
        <v>A9808D</v>
      </c>
      <c r="V5627">
        <v>0</v>
      </c>
      <c r="W5627">
        <v>0</v>
      </c>
      <c r="X5627">
        <v>1</v>
      </c>
      <c r="Z5627">
        <v>0</v>
      </c>
      <c r="AA5627">
        <v>9</v>
      </c>
      <c r="AB5627">
        <v>3</v>
      </c>
      <c r="AC5627">
        <v>0</v>
      </c>
      <c r="AD5627">
        <v>10</v>
      </c>
      <c r="AE5627">
        <v>0</v>
      </c>
      <c r="AF5627">
        <v>3</v>
      </c>
      <c r="AG5627">
        <v>2</v>
      </c>
      <c r="AH5627">
        <v>0</v>
      </c>
      <c r="AI5627" t="s">
        <v>1250</v>
      </c>
      <c r="AJ5627">
        <v>28.207355</v>
      </c>
      <c r="AK5627" t="s">
        <v>1251</v>
      </c>
      <c r="AL5627">
        <v>-82.387868999999995</v>
      </c>
      <c r="AM5627">
        <v>100</v>
      </c>
      <c r="AN5627">
        <v>900</v>
      </c>
      <c r="AO5627" t="s">
        <v>118</v>
      </c>
      <c r="AP5627">
        <v>70</v>
      </c>
      <c r="AQ5627">
        <v>-86</v>
      </c>
      <c r="AR5627">
        <v>-832</v>
      </c>
      <c r="AZ5627">
        <v>1200</v>
      </c>
      <c r="BA5627">
        <v>1</v>
      </c>
      <c r="BB5627" t="str">
        <f t="shared" si="2604"/>
        <v xml:space="preserve">N711JA  </v>
      </c>
      <c r="BC5627">
        <v>1</v>
      </c>
      <c r="BE5627">
        <v>0</v>
      </c>
      <c r="BF5627">
        <v>0</v>
      </c>
      <c r="BG5627">
        <v>0</v>
      </c>
      <c r="BH5627">
        <v>975</v>
      </c>
      <c r="BI5627">
        <v>1</v>
      </c>
      <c r="BJ5627">
        <v>1</v>
      </c>
      <c r="BK5627">
        <v>0</v>
      </c>
      <c r="BL5627">
        <v>0</v>
      </c>
      <c r="BO5627">
        <v>0</v>
      </c>
      <c r="BP5627">
        <v>0</v>
      </c>
      <c r="BW5627" t="str">
        <f t="shared" si="2620"/>
        <v>14:51:43.699</v>
      </c>
      <c r="CJ5627">
        <v>0</v>
      </c>
      <c r="CK5627">
        <v>2</v>
      </c>
      <c r="CL5627">
        <v>0</v>
      </c>
      <c r="CM5627">
        <v>2</v>
      </c>
      <c r="CN5627">
        <v>0</v>
      </c>
      <c r="CO5627">
        <v>7</v>
      </c>
      <c r="CP5627" t="s">
        <v>119</v>
      </c>
      <c r="CQ5627">
        <v>343</v>
      </c>
      <c r="CR5627">
        <v>2</v>
      </c>
      <c r="CW5627">
        <v>13425838</v>
      </c>
      <c r="CY5627">
        <v>1</v>
      </c>
      <c r="CZ5627">
        <v>0</v>
      </c>
      <c r="DA5627">
        <v>1</v>
      </c>
      <c r="DB5627">
        <v>0</v>
      </c>
      <c r="DC5627">
        <v>0</v>
      </c>
      <c r="DD5627">
        <v>1</v>
      </c>
      <c r="DE5627">
        <v>0</v>
      </c>
      <c r="DF5627">
        <v>0</v>
      </c>
      <c r="DG5627">
        <v>0</v>
      </c>
      <c r="DH5627">
        <v>0</v>
      </c>
      <c r="DI5627">
        <v>0</v>
      </c>
    </row>
    <row r="5628" spans="1:113" x14ac:dyDescent="0.3">
      <c r="A5628" t="str">
        <f t="shared" ref="A5628:A5635" si="2621">"05/12/2020 14:51:26.715"</f>
        <v>05/12/2020 14:51:26.715</v>
      </c>
      <c r="C5628" t="str">
        <f t="shared" si="2603"/>
        <v>FFDFD3C0</v>
      </c>
      <c r="D5628" t="s">
        <v>126</v>
      </c>
      <c r="E5628">
        <v>7</v>
      </c>
      <c r="F5628">
        <v>1007</v>
      </c>
      <c r="G5628" t="s">
        <v>127</v>
      </c>
      <c r="J5628" t="s">
        <v>128</v>
      </c>
      <c r="K5628">
        <v>0</v>
      </c>
      <c r="L5628">
        <v>3</v>
      </c>
      <c r="M5628">
        <v>0</v>
      </c>
      <c r="N5628">
        <v>2</v>
      </c>
      <c r="O5628">
        <v>1</v>
      </c>
      <c r="P5628">
        <v>0</v>
      </c>
      <c r="Q5628">
        <v>0</v>
      </c>
      <c r="S5628" t="str">
        <f t="shared" ref="S5628:T5635" si="2622">"14:51:44.555"</f>
        <v>14:51:44.555</v>
      </c>
      <c r="T5628" t="str">
        <f t="shared" si="2622"/>
        <v>14:51:44.555</v>
      </c>
      <c r="U5628" t="str">
        <f t="shared" si="2594"/>
        <v>A9808D</v>
      </c>
      <c r="V5628">
        <v>0</v>
      </c>
      <c r="W5628">
        <v>0</v>
      </c>
      <c r="X5628">
        <v>1</v>
      </c>
      <c r="Z5628">
        <v>0</v>
      </c>
      <c r="AA5628">
        <v>9</v>
      </c>
      <c r="AB5628">
        <v>3</v>
      </c>
      <c r="AC5628">
        <v>0</v>
      </c>
      <c r="AD5628">
        <v>10</v>
      </c>
      <c r="AE5628">
        <v>0</v>
      </c>
      <c r="AF5628">
        <v>3</v>
      </c>
      <c r="AG5628">
        <v>2</v>
      </c>
      <c r="AH5628">
        <v>0</v>
      </c>
      <c r="AI5628" t="s">
        <v>1252</v>
      </c>
      <c r="AJ5628">
        <v>28.206990000000001</v>
      </c>
      <c r="AK5628" t="s">
        <v>1253</v>
      </c>
      <c r="AL5628">
        <v>-82.387590000000003</v>
      </c>
      <c r="AM5628">
        <v>100</v>
      </c>
      <c r="AN5628">
        <v>900</v>
      </c>
      <c r="AO5628" t="s">
        <v>118</v>
      </c>
      <c r="AP5628">
        <v>70</v>
      </c>
      <c r="AQ5628">
        <v>-85</v>
      </c>
      <c r="AR5628">
        <v>-832</v>
      </c>
      <c r="AZ5628">
        <v>1200</v>
      </c>
      <c r="BA5628">
        <v>1</v>
      </c>
      <c r="BB5628" t="str">
        <f t="shared" si="2604"/>
        <v xml:space="preserve">N711JA  </v>
      </c>
      <c r="BC5628">
        <v>1</v>
      </c>
      <c r="BE5628">
        <v>0</v>
      </c>
      <c r="BF5628">
        <v>0</v>
      </c>
      <c r="BG5628">
        <v>0</v>
      </c>
      <c r="BH5628">
        <v>950</v>
      </c>
      <c r="BI5628">
        <v>1</v>
      </c>
      <c r="BJ5628">
        <v>1</v>
      </c>
      <c r="BK5628">
        <v>0</v>
      </c>
      <c r="BL5628">
        <v>0</v>
      </c>
      <c r="BO5628">
        <v>0</v>
      </c>
      <c r="BP5628">
        <v>0</v>
      </c>
      <c r="BW5628" t="str">
        <f t="shared" ref="BW5628:BW5635" si="2623">"14:51:44.561"</f>
        <v>14:51:44.561</v>
      </c>
      <c r="CJ5628">
        <v>0</v>
      </c>
      <c r="CK5628">
        <v>2</v>
      </c>
      <c r="CL5628">
        <v>0</v>
      </c>
      <c r="CM5628">
        <v>2</v>
      </c>
      <c r="CN5628">
        <v>0</v>
      </c>
      <c r="CO5628">
        <v>7</v>
      </c>
      <c r="CP5628" t="s">
        <v>119</v>
      </c>
      <c r="CQ5628">
        <v>343</v>
      </c>
      <c r="CR5628">
        <v>1</v>
      </c>
      <c r="CW5628">
        <v>11179695</v>
      </c>
      <c r="CY5628">
        <v>1</v>
      </c>
      <c r="CZ5628">
        <v>0</v>
      </c>
      <c r="DA5628">
        <v>0</v>
      </c>
      <c r="DB5628">
        <v>0</v>
      </c>
      <c r="DC5628">
        <v>0</v>
      </c>
      <c r="DD5628">
        <v>1</v>
      </c>
      <c r="DE5628">
        <v>0</v>
      </c>
      <c r="DF5628">
        <v>0</v>
      </c>
      <c r="DG5628">
        <v>0</v>
      </c>
      <c r="DH5628">
        <v>0</v>
      </c>
      <c r="DI5628">
        <v>0</v>
      </c>
    </row>
    <row r="5629" spans="1:113" x14ac:dyDescent="0.3">
      <c r="A5629" t="str">
        <f t="shared" si="2621"/>
        <v>05/12/2020 14:51:26.715</v>
      </c>
      <c r="C5629" t="str">
        <f t="shared" si="2603"/>
        <v>FFDFD3C0</v>
      </c>
      <c r="D5629" t="s">
        <v>131</v>
      </c>
      <c r="E5629">
        <v>12</v>
      </c>
      <c r="F5629">
        <v>2012</v>
      </c>
      <c r="G5629" t="s">
        <v>137</v>
      </c>
      <c r="J5629" t="s">
        <v>133</v>
      </c>
      <c r="K5629">
        <v>0</v>
      </c>
      <c r="L5629">
        <v>3</v>
      </c>
      <c r="M5629">
        <v>0</v>
      </c>
      <c r="N5629">
        <v>2</v>
      </c>
      <c r="O5629">
        <v>1</v>
      </c>
      <c r="P5629">
        <v>0</v>
      </c>
      <c r="Q5629">
        <v>0</v>
      </c>
      <c r="S5629" t="str">
        <f t="shared" si="2622"/>
        <v>14:51:44.555</v>
      </c>
      <c r="T5629" t="str">
        <f t="shared" si="2622"/>
        <v>14:51:44.555</v>
      </c>
      <c r="U5629" t="str">
        <f t="shared" si="2594"/>
        <v>A9808D</v>
      </c>
      <c r="V5629">
        <v>0</v>
      </c>
      <c r="W5629">
        <v>0</v>
      </c>
      <c r="X5629">
        <v>1</v>
      </c>
      <c r="Z5629">
        <v>0</v>
      </c>
      <c r="AA5629">
        <v>9</v>
      </c>
      <c r="AB5629">
        <v>3</v>
      </c>
      <c r="AC5629">
        <v>0</v>
      </c>
      <c r="AD5629">
        <v>10</v>
      </c>
      <c r="AE5629">
        <v>0</v>
      </c>
      <c r="AF5629">
        <v>3</v>
      </c>
      <c r="AG5629">
        <v>2</v>
      </c>
      <c r="AH5629">
        <v>0</v>
      </c>
      <c r="AI5629" t="s">
        <v>1252</v>
      </c>
      <c r="AJ5629">
        <v>28.206990000000001</v>
      </c>
      <c r="AK5629" t="s">
        <v>1253</v>
      </c>
      <c r="AL5629">
        <v>-82.387590000000003</v>
      </c>
      <c r="AM5629">
        <v>100</v>
      </c>
      <c r="AN5629">
        <v>900</v>
      </c>
      <c r="AO5629" t="s">
        <v>118</v>
      </c>
      <c r="AP5629">
        <v>70</v>
      </c>
      <c r="AQ5629">
        <v>-85</v>
      </c>
      <c r="AR5629">
        <v>-832</v>
      </c>
      <c r="AZ5629">
        <v>1200</v>
      </c>
      <c r="BA5629">
        <v>1</v>
      </c>
      <c r="BB5629" t="str">
        <f t="shared" si="2604"/>
        <v xml:space="preserve">N711JA  </v>
      </c>
      <c r="BC5629">
        <v>1</v>
      </c>
      <c r="BE5629">
        <v>0</v>
      </c>
      <c r="BF5629">
        <v>0</v>
      </c>
      <c r="BG5629">
        <v>0</v>
      </c>
      <c r="BH5629">
        <v>950</v>
      </c>
      <c r="BI5629">
        <v>1</v>
      </c>
      <c r="BJ5629">
        <v>1</v>
      </c>
      <c r="BK5629">
        <v>0</v>
      </c>
      <c r="BL5629">
        <v>0</v>
      </c>
      <c r="BO5629">
        <v>0</v>
      </c>
      <c r="BP5629">
        <v>0</v>
      </c>
      <c r="BW5629" t="str">
        <f t="shared" si="2623"/>
        <v>14:51:44.561</v>
      </c>
      <c r="CJ5629">
        <v>0</v>
      </c>
      <c r="CK5629">
        <v>2</v>
      </c>
      <c r="CL5629">
        <v>0</v>
      </c>
      <c r="CM5629">
        <v>2</v>
      </c>
      <c r="CN5629">
        <v>0</v>
      </c>
      <c r="CO5629">
        <v>7</v>
      </c>
      <c r="CP5629" t="s">
        <v>119</v>
      </c>
      <c r="CQ5629">
        <v>343</v>
      </c>
      <c r="CR5629">
        <v>1</v>
      </c>
      <c r="CW5629">
        <v>11179695</v>
      </c>
      <c r="CY5629">
        <v>1</v>
      </c>
      <c r="CZ5629">
        <v>0</v>
      </c>
      <c r="DA5629">
        <v>1</v>
      </c>
      <c r="DB5629">
        <v>0</v>
      </c>
      <c r="DC5629">
        <v>0</v>
      </c>
      <c r="DD5629">
        <v>1</v>
      </c>
      <c r="DE5629">
        <v>0</v>
      </c>
      <c r="DF5629">
        <v>0</v>
      </c>
      <c r="DG5629">
        <v>0</v>
      </c>
      <c r="DH5629">
        <v>0</v>
      </c>
      <c r="DI5629">
        <v>0</v>
      </c>
    </row>
    <row r="5630" spans="1:113" x14ac:dyDescent="0.3">
      <c r="A5630" t="str">
        <f t="shared" si="2621"/>
        <v>05/12/2020 14:51:26.715</v>
      </c>
      <c r="C5630" t="str">
        <f t="shared" si="2603"/>
        <v>FFDFD3C0</v>
      </c>
      <c r="D5630" t="s">
        <v>131</v>
      </c>
      <c r="E5630">
        <v>10</v>
      </c>
      <c r="F5630">
        <v>2010</v>
      </c>
      <c r="G5630" t="s">
        <v>132</v>
      </c>
      <c r="J5630" t="s">
        <v>133</v>
      </c>
      <c r="K5630">
        <v>0</v>
      </c>
      <c r="L5630">
        <v>3</v>
      </c>
      <c r="M5630">
        <v>0</v>
      </c>
      <c r="N5630">
        <v>2</v>
      </c>
      <c r="O5630">
        <v>1</v>
      </c>
      <c r="P5630">
        <v>0</v>
      </c>
      <c r="Q5630">
        <v>0</v>
      </c>
      <c r="S5630" t="str">
        <f t="shared" si="2622"/>
        <v>14:51:44.555</v>
      </c>
      <c r="T5630" t="str">
        <f t="shared" si="2622"/>
        <v>14:51:44.555</v>
      </c>
      <c r="U5630" t="str">
        <f t="shared" si="2594"/>
        <v>A9808D</v>
      </c>
      <c r="V5630">
        <v>0</v>
      </c>
      <c r="W5630">
        <v>0</v>
      </c>
      <c r="X5630">
        <v>1</v>
      </c>
      <c r="Z5630">
        <v>0</v>
      </c>
      <c r="AA5630">
        <v>9</v>
      </c>
      <c r="AB5630">
        <v>3</v>
      </c>
      <c r="AC5630">
        <v>0</v>
      </c>
      <c r="AD5630">
        <v>10</v>
      </c>
      <c r="AE5630">
        <v>0</v>
      </c>
      <c r="AF5630">
        <v>3</v>
      </c>
      <c r="AG5630">
        <v>2</v>
      </c>
      <c r="AH5630">
        <v>0</v>
      </c>
      <c r="AI5630" t="s">
        <v>1252</v>
      </c>
      <c r="AJ5630">
        <v>28.206990000000001</v>
      </c>
      <c r="AK5630" t="s">
        <v>1253</v>
      </c>
      <c r="AL5630">
        <v>-82.387590000000003</v>
      </c>
      <c r="AM5630">
        <v>100</v>
      </c>
      <c r="AN5630">
        <v>900</v>
      </c>
      <c r="AO5630" t="s">
        <v>118</v>
      </c>
      <c r="AP5630">
        <v>70</v>
      </c>
      <c r="AQ5630">
        <v>-85</v>
      </c>
      <c r="AR5630">
        <v>-832</v>
      </c>
      <c r="AZ5630">
        <v>1200</v>
      </c>
      <c r="BA5630">
        <v>1</v>
      </c>
      <c r="BB5630" t="str">
        <f t="shared" si="2604"/>
        <v xml:space="preserve">N711JA  </v>
      </c>
      <c r="BC5630">
        <v>1</v>
      </c>
      <c r="BE5630">
        <v>0</v>
      </c>
      <c r="BF5630">
        <v>0</v>
      </c>
      <c r="BG5630">
        <v>0</v>
      </c>
      <c r="BH5630">
        <v>950</v>
      </c>
      <c r="BI5630">
        <v>1</v>
      </c>
      <c r="BJ5630">
        <v>1</v>
      </c>
      <c r="BK5630">
        <v>0</v>
      </c>
      <c r="BL5630">
        <v>0</v>
      </c>
      <c r="BO5630">
        <v>0</v>
      </c>
      <c r="BP5630">
        <v>0</v>
      </c>
      <c r="BW5630" t="str">
        <f t="shared" si="2623"/>
        <v>14:51:44.561</v>
      </c>
      <c r="CJ5630">
        <v>0</v>
      </c>
      <c r="CK5630">
        <v>2</v>
      </c>
      <c r="CL5630">
        <v>0</v>
      </c>
      <c r="CM5630">
        <v>2</v>
      </c>
      <c r="CN5630">
        <v>0</v>
      </c>
      <c r="CO5630">
        <v>7</v>
      </c>
      <c r="CP5630" t="s">
        <v>119</v>
      </c>
      <c r="CQ5630">
        <v>343</v>
      </c>
      <c r="CR5630">
        <v>1</v>
      </c>
      <c r="CW5630">
        <v>11179695</v>
      </c>
      <c r="CY5630">
        <v>1</v>
      </c>
      <c r="CZ5630">
        <v>0</v>
      </c>
      <c r="DA5630">
        <v>1</v>
      </c>
      <c r="DB5630">
        <v>0</v>
      </c>
      <c r="DC5630">
        <v>0</v>
      </c>
      <c r="DD5630">
        <v>1</v>
      </c>
      <c r="DE5630">
        <v>0</v>
      </c>
      <c r="DF5630">
        <v>0</v>
      </c>
      <c r="DG5630">
        <v>0</v>
      </c>
      <c r="DH5630">
        <v>0</v>
      </c>
      <c r="DI5630">
        <v>0</v>
      </c>
    </row>
    <row r="5631" spans="1:113" x14ac:dyDescent="0.3">
      <c r="A5631" t="str">
        <f t="shared" si="2621"/>
        <v>05/12/2020 14:51:26.715</v>
      </c>
      <c r="C5631" t="str">
        <f t="shared" si="2603"/>
        <v>FFDFD3C0</v>
      </c>
      <c r="D5631" t="s">
        <v>126</v>
      </c>
      <c r="E5631">
        <v>6</v>
      </c>
      <c r="F5631">
        <v>1006</v>
      </c>
      <c r="G5631" t="s">
        <v>114</v>
      </c>
      <c r="J5631" t="s">
        <v>128</v>
      </c>
      <c r="K5631">
        <v>0</v>
      </c>
      <c r="L5631">
        <v>3</v>
      </c>
      <c r="M5631">
        <v>0</v>
      </c>
      <c r="N5631">
        <v>2</v>
      </c>
      <c r="O5631">
        <v>1</v>
      </c>
      <c r="P5631">
        <v>0</v>
      </c>
      <c r="Q5631">
        <v>0</v>
      </c>
      <c r="S5631" t="str">
        <f t="shared" si="2622"/>
        <v>14:51:44.555</v>
      </c>
      <c r="T5631" t="str">
        <f t="shared" si="2622"/>
        <v>14:51:44.555</v>
      </c>
      <c r="U5631" t="str">
        <f t="shared" si="2594"/>
        <v>A9808D</v>
      </c>
      <c r="V5631">
        <v>0</v>
      </c>
      <c r="W5631">
        <v>0</v>
      </c>
      <c r="X5631">
        <v>1</v>
      </c>
      <c r="Z5631">
        <v>0</v>
      </c>
      <c r="AA5631">
        <v>9</v>
      </c>
      <c r="AB5631">
        <v>3</v>
      </c>
      <c r="AC5631">
        <v>0</v>
      </c>
      <c r="AD5631">
        <v>10</v>
      </c>
      <c r="AE5631">
        <v>0</v>
      </c>
      <c r="AF5631">
        <v>3</v>
      </c>
      <c r="AG5631">
        <v>2</v>
      </c>
      <c r="AH5631">
        <v>0</v>
      </c>
      <c r="AI5631" t="s">
        <v>1252</v>
      </c>
      <c r="AJ5631">
        <v>28.206990000000001</v>
      </c>
      <c r="AK5631" t="s">
        <v>1253</v>
      </c>
      <c r="AL5631">
        <v>-82.387590000000003</v>
      </c>
      <c r="AM5631">
        <v>100</v>
      </c>
      <c r="AN5631">
        <v>900</v>
      </c>
      <c r="AO5631" t="s">
        <v>118</v>
      </c>
      <c r="AP5631">
        <v>70</v>
      </c>
      <c r="AQ5631">
        <v>-85</v>
      </c>
      <c r="AR5631">
        <v>-832</v>
      </c>
      <c r="AZ5631">
        <v>1200</v>
      </c>
      <c r="BA5631">
        <v>1</v>
      </c>
      <c r="BB5631" t="str">
        <f t="shared" si="2604"/>
        <v xml:space="preserve">N711JA  </v>
      </c>
      <c r="BC5631">
        <v>1</v>
      </c>
      <c r="BE5631">
        <v>0</v>
      </c>
      <c r="BF5631">
        <v>0</v>
      </c>
      <c r="BG5631">
        <v>0</v>
      </c>
      <c r="BH5631">
        <v>950</v>
      </c>
      <c r="BI5631">
        <v>1</v>
      </c>
      <c r="BJ5631">
        <v>1</v>
      </c>
      <c r="BK5631">
        <v>0</v>
      </c>
      <c r="BL5631">
        <v>0</v>
      </c>
      <c r="BO5631">
        <v>0</v>
      </c>
      <c r="BP5631">
        <v>0</v>
      </c>
      <c r="BW5631" t="str">
        <f t="shared" si="2623"/>
        <v>14:51:44.561</v>
      </c>
      <c r="CJ5631">
        <v>0</v>
      </c>
      <c r="CK5631">
        <v>2</v>
      </c>
      <c r="CL5631">
        <v>0</v>
      </c>
      <c r="CM5631">
        <v>2</v>
      </c>
      <c r="CN5631">
        <v>0</v>
      </c>
      <c r="CO5631">
        <v>7</v>
      </c>
      <c r="CP5631" t="s">
        <v>119</v>
      </c>
      <c r="CQ5631">
        <v>343</v>
      </c>
      <c r="CR5631">
        <v>1</v>
      </c>
      <c r="CW5631">
        <v>11179695</v>
      </c>
      <c r="CY5631">
        <v>1</v>
      </c>
      <c r="CZ5631">
        <v>0</v>
      </c>
      <c r="DA5631">
        <v>1</v>
      </c>
      <c r="DB5631">
        <v>0</v>
      </c>
      <c r="DC5631">
        <v>0</v>
      </c>
      <c r="DD5631">
        <v>1</v>
      </c>
      <c r="DE5631">
        <v>0</v>
      </c>
      <c r="DF5631">
        <v>0</v>
      </c>
      <c r="DG5631">
        <v>0</v>
      </c>
      <c r="DH5631">
        <v>0</v>
      </c>
      <c r="DI5631">
        <v>0</v>
      </c>
    </row>
    <row r="5632" spans="1:113" x14ac:dyDescent="0.3">
      <c r="A5632" t="str">
        <f t="shared" si="2621"/>
        <v>05/12/2020 14:51:26.715</v>
      </c>
      <c r="C5632" t="str">
        <f t="shared" si="2603"/>
        <v>FFDFD3C0</v>
      </c>
      <c r="D5632" t="s">
        <v>134</v>
      </c>
      <c r="E5632">
        <v>12</v>
      </c>
      <c r="H5632">
        <v>64</v>
      </c>
      <c r="I5632" t="s">
        <v>135</v>
      </c>
      <c r="J5632" t="s">
        <v>136</v>
      </c>
      <c r="K5632">
        <v>0</v>
      </c>
      <c r="L5632">
        <v>3</v>
      </c>
      <c r="M5632">
        <v>0</v>
      </c>
      <c r="N5632">
        <v>2</v>
      </c>
      <c r="O5632">
        <v>1</v>
      </c>
      <c r="P5632">
        <v>0</v>
      </c>
      <c r="Q5632">
        <v>0</v>
      </c>
      <c r="S5632" t="str">
        <f t="shared" si="2622"/>
        <v>14:51:44.555</v>
      </c>
      <c r="T5632" t="str">
        <f t="shared" si="2622"/>
        <v>14:51:44.555</v>
      </c>
      <c r="U5632" t="str">
        <f t="shared" si="2594"/>
        <v>A9808D</v>
      </c>
      <c r="V5632">
        <v>0</v>
      </c>
      <c r="W5632">
        <v>0</v>
      </c>
      <c r="X5632">
        <v>1</v>
      </c>
      <c r="Z5632">
        <v>0</v>
      </c>
      <c r="AA5632">
        <v>9</v>
      </c>
      <c r="AB5632">
        <v>3</v>
      </c>
      <c r="AC5632">
        <v>0</v>
      </c>
      <c r="AD5632">
        <v>10</v>
      </c>
      <c r="AE5632">
        <v>0</v>
      </c>
      <c r="AF5632">
        <v>3</v>
      </c>
      <c r="AG5632">
        <v>2</v>
      </c>
      <c r="AH5632">
        <v>0</v>
      </c>
      <c r="AI5632" t="s">
        <v>1252</v>
      </c>
      <c r="AJ5632">
        <v>28.206990000000001</v>
      </c>
      <c r="AK5632" t="s">
        <v>1253</v>
      </c>
      <c r="AL5632">
        <v>-82.387590000000003</v>
      </c>
      <c r="AM5632">
        <v>100</v>
      </c>
      <c r="AN5632">
        <v>900</v>
      </c>
      <c r="AO5632" t="s">
        <v>118</v>
      </c>
      <c r="AP5632">
        <v>70</v>
      </c>
      <c r="AQ5632">
        <v>-85</v>
      </c>
      <c r="AR5632">
        <v>-832</v>
      </c>
      <c r="AZ5632">
        <v>1200</v>
      </c>
      <c r="BA5632">
        <v>1</v>
      </c>
      <c r="BB5632" t="str">
        <f t="shared" si="2604"/>
        <v xml:space="preserve">N711JA  </v>
      </c>
      <c r="BC5632">
        <v>1</v>
      </c>
      <c r="BE5632">
        <v>0</v>
      </c>
      <c r="BF5632">
        <v>0</v>
      </c>
      <c r="BG5632">
        <v>0</v>
      </c>
      <c r="BH5632">
        <v>950</v>
      </c>
      <c r="BI5632">
        <v>1</v>
      </c>
      <c r="BJ5632">
        <v>1</v>
      </c>
      <c r="BK5632">
        <v>0</v>
      </c>
      <c r="BL5632">
        <v>0</v>
      </c>
      <c r="BO5632">
        <v>0</v>
      </c>
      <c r="BP5632">
        <v>0</v>
      </c>
      <c r="BW5632" t="str">
        <f t="shared" si="2623"/>
        <v>14:51:44.561</v>
      </c>
      <c r="CJ5632">
        <v>0</v>
      </c>
      <c r="CK5632">
        <v>2</v>
      </c>
      <c r="CL5632">
        <v>0</v>
      </c>
      <c r="CM5632">
        <v>2</v>
      </c>
      <c r="CN5632">
        <v>0</v>
      </c>
      <c r="CO5632">
        <v>7</v>
      </c>
      <c r="CP5632" t="s">
        <v>119</v>
      </c>
      <c r="CQ5632">
        <v>343</v>
      </c>
      <c r="CR5632">
        <v>1</v>
      </c>
      <c r="CW5632">
        <v>11179695</v>
      </c>
      <c r="CY5632">
        <v>1</v>
      </c>
      <c r="CZ5632">
        <v>0</v>
      </c>
      <c r="DA5632">
        <v>1</v>
      </c>
      <c r="DB5632">
        <v>0</v>
      </c>
      <c r="DC5632">
        <v>0</v>
      </c>
      <c r="DD5632">
        <v>1</v>
      </c>
      <c r="DE5632">
        <v>0</v>
      </c>
      <c r="DF5632">
        <v>0</v>
      </c>
      <c r="DG5632">
        <v>0</v>
      </c>
      <c r="DH5632">
        <v>0</v>
      </c>
      <c r="DI5632">
        <v>0</v>
      </c>
    </row>
    <row r="5633" spans="1:113" x14ac:dyDescent="0.3">
      <c r="A5633" t="str">
        <f t="shared" si="2621"/>
        <v>05/12/2020 14:51:26.715</v>
      </c>
      <c r="C5633" t="str">
        <f t="shared" si="2603"/>
        <v>FFDFD3C0</v>
      </c>
      <c r="D5633" t="s">
        <v>113</v>
      </c>
      <c r="E5633">
        <v>3</v>
      </c>
      <c r="H5633">
        <v>164</v>
      </c>
      <c r="I5633" t="s">
        <v>114</v>
      </c>
      <c r="J5633" t="s">
        <v>115</v>
      </c>
      <c r="K5633">
        <v>0</v>
      </c>
      <c r="L5633">
        <v>3</v>
      </c>
      <c r="M5633">
        <v>0</v>
      </c>
      <c r="N5633">
        <v>2</v>
      </c>
      <c r="O5633">
        <v>1</v>
      </c>
      <c r="P5633">
        <v>0</v>
      </c>
      <c r="Q5633">
        <v>0</v>
      </c>
      <c r="S5633" t="str">
        <f t="shared" si="2622"/>
        <v>14:51:44.555</v>
      </c>
      <c r="T5633" t="str">
        <f t="shared" si="2622"/>
        <v>14:51:44.555</v>
      </c>
      <c r="U5633" t="str">
        <f t="shared" si="2594"/>
        <v>A9808D</v>
      </c>
      <c r="V5633">
        <v>0</v>
      </c>
      <c r="W5633">
        <v>0</v>
      </c>
      <c r="X5633">
        <v>1</v>
      </c>
      <c r="Z5633">
        <v>0</v>
      </c>
      <c r="AA5633">
        <v>9</v>
      </c>
      <c r="AB5633">
        <v>3</v>
      </c>
      <c r="AC5633">
        <v>0</v>
      </c>
      <c r="AD5633">
        <v>10</v>
      </c>
      <c r="AE5633">
        <v>0</v>
      </c>
      <c r="AF5633">
        <v>3</v>
      </c>
      <c r="AG5633">
        <v>2</v>
      </c>
      <c r="AH5633">
        <v>0</v>
      </c>
      <c r="AI5633" t="s">
        <v>1252</v>
      </c>
      <c r="AJ5633">
        <v>28.206990000000001</v>
      </c>
      <c r="AK5633" t="s">
        <v>1253</v>
      </c>
      <c r="AL5633">
        <v>-82.387590000000003</v>
      </c>
      <c r="AM5633">
        <v>100</v>
      </c>
      <c r="AN5633">
        <v>900</v>
      </c>
      <c r="AO5633" t="s">
        <v>118</v>
      </c>
      <c r="AP5633">
        <v>70</v>
      </c>
      <c r="AQ5633">
        <v>-85</v>
      </c>
      <c r="AR5633">
        <v>-832</v>
      </c>
      <c r="AZ5633">
        <v>1200</v>
      </c>
      <c r="BA5633">
        <v>1</v>
      </c>
      <c r="BB5633" t="str">
        <f t="shared" si="2604"/>
        <v xml:space="preserve">N711JA  </v>
      </c>
      <c r="BC5633">
        <v>1</v>
      </c>
      <c r="BE5633">
        <v>0</v>
      </c>
      <c r="BF5633">
        <v>0</v>
      </c>
      <c r="BG5633">
        <v>0</v>
      </c>
      <c r="BH5633">
        <v>950</v>
      </c>
      <c r="BI5633">
        <v>1</v>
      </c>
      <c r="BJ5633">
        <v>1</v>
      </c>
      <c r="BK5633">
        <v>0</v>
      </c>
      <c r="BL5633">
        <v>0</v>
      </c>
      <c r="BO5633">
        <v>0</v>
      </c>
      <c r="BP5633">
        <v>0</v>
      </c>
      <c r="BW5633" t="str">
        <f t="shared" si="2623"/>
        <v>14:51:44.561</v>
      </c>
      <c r="CJ5633">
        <v>0</v>
      </c>
      <c r="CK5633">
        <v>2</v>
      </c>
      <c r="CL5633">
        <v>0</v>
      </c>
      <c r="CM5633">
        <v>2</v>
      </c>
      <c r="CN5633">
        <v>0</v>
      </c>
      <c r="CO5633">
        <v>7</v>
      </c>
      <c r="CP5633" t="s">
        <v>119</v>
      </c>
      <c r="CQ5633">
        <v>343</v>
      </c>
      <c r="CR5633">
        <v>1</v>
      </c>
      <c r="CW5633">
        <v>11179695</v>
      </c>
      <c r="CY5633">
        <v>1</v>
      </c>
      <c r="CZ5633">
        <v>0</v>
      </c>
      <c r="DA5633">
        <v>1</v>
      </c>
      <c r="DB5633">
        <v>0</v>
      </c>
      <c r="DC5633">
        <v>0</v>
      </c>
      <c r="DD5633">
        <v>1</v>
      </c>
      <c r="DE5633">
        <v>0</v>
      </c>
      <c r="DF5633">
        <v>0</v>
      </c>
      <c r="DG5633">
        <v>0</v>
      </c>
      <c r="DH5633">
        <v>0</v>
      </c>
      <c r="DI5633">
        <v>0</v>
      </c>
    </row>
    <row r="5634" spans="1:113" x14ac:dyDescent="0.3">
      <c r="A5634" t="str">
        <f t="shared" si="2621"/>
        <v>05/12/2020 14:51:26.715</v>
      </c>
      <c r="C5634" t="str">
        <f t="shared" si="2603"/>
        <v>FFDFD3C0</v>
      </c>
      <c r="D5634" t="s">
        <v>138</v>
      </c>
      <c r="E5634">
        <v>2</v>
      </c>
      <c r="H5634">
        <v>8</v>
      </c>
      <c r="I5634" t="s">
        <v>139</v>
      </c>
      <c r="J5634" t="s">
        <v>136</v>
      </c>
      <c r="K5634">
        <v>0</v>
      </c>
      <c r="L5634">
        <v>3</v>
      </c>
      <c r="M5634">
        <v>0</v>
      </c>
      <c r="N5634">
        <v>2</v>
      </c>
      <c r="O5634">
        <v>1</v>
      </c>
      <c r="P5634">
        <v>0</v>
      </c>
      <c r="Q5634">
        <v>0</v>
      </c>
      <c r="S5634" t="str">
        <f t="shared" si="2622"/>
        <v>14:51:44.555</v>
      </c>
      <c r="T5634" t="str">
        <f t="shared" si="2622"/>
        <v>14:51:44.555</v>
      </c>
      <c r="U5634" t="str">
        <f t="shared" ref="U5634:U5697" si="2624">"A9808D"</f>
        <v>A9808D</v>
      </c>
      <c r="V5634">
        <v>0</v>
      </c>
      <c r="W5634">
        <v>0</v>
      </c>
      <c r="X5634">
        <v>1</v>
      </c>
      <c r="Z5634">
        <v>0</v>
      </c>
      <c r="AA5634">
        <v>9</v>
      </c>
      <c r="AB5634">
        <v>3</v>
      </c>
      <c r="AC5634">
        <v>0</v>
      </c>
      <c r="AD5634">
        <v>10</v>
      </c>
      <c r="AE5634">
        <v>0</v>
      </c>
      <c r="AF5634">
        <v>3</v>
      </c>
      <c r="AG5634">
        <v>2</v>
      </c>
      <c r="AH5634">
        <v>0</v>
      </c>
      <c r="AI5634" t="s">
        <v>1252</v>
      </c>
      <c r="AJ5634">
        <v>28.206990000000001</v>
      </c>
      <c r="AK5634" t="s">
        <v>1253</v>
      </c>
      <c r="AL5634">
        <v>-82.387590000000003</v>
      </c>
      <c r="AM5634">
        <v>100</v>
      </c>
      <c r="AN5634">
        <v>900</v>
      </c>
      <c r="AO5634" t="s">
        <v>118</v>
      </c>
      <c r="AP5634">
        <v>70</v>
      </c>
      <c r="AQ5634">
        <v>-85</v>
      </c>
      <c r="AR5634">
        <v>-832</v>
      </c>
      <c r="AZ5634">
        <v>1200</v>
      </c>
      <c r="BA5634">
        <v>1</v>
      </c>
      <c r="BB5634" t="str">
        <f t="shared" si="2604"/>
        <v xml:space="preserve">N711JA  </v>
      </c>
      <c r="BC5634">
        <v>1</v>
      </c>
      <c r="BE5634">
        <v>0</v>
      </c>
      <c r="BF5634">
        <v>0</v>
      </c>
      <c r="BG5634">
        <v>0</v>
      </c>
      <c r="BH5634">
        <v>950</v>
      </c>
      <c r="BI5634">
        <v>1</v>
      </c>
      <c r="BJ5634">
        <v>1</v>
      </c>
      <c r="BK5634">
        <v>0</v>
      </c>
      <c r="BL5634">
        <v>0</v>
      </c>
      <c r="BO5634">
        <v>0</v>
      </c>
      <c r="BP5634">
        <v>0</v>
      </c>
      <c r="BW5634" t="str">
        <f t="shared" si="2623"/>
        <v>14:51:44.561</v>
      </c>
      <c r="CJ5634">
        <v>0</v>
      </c>
      <c r="CK5634">
        <v>2</v>
      </c>
      <c r="CL5634">
        <v>0</v>
      </c>
      <c r="CM5634">
        <v>2</v>
      </c>
      <c r="CN5634">
        <v>0</v>
      </c>
      <c r="CO5634">
        <v>7</v>
      </c>
      <c r="CP5634" t="s">
        <v>119</v>
      </c>
      <c r="CQ5634">
        <v>343</v>
      </c>
      <c r="CR5634">
        <v>1</v>
      </c>
      <c r="CW5634">
        <v>11179695</v>
      </c>
      <c r="CY5634">
        <v>1</v>
      </c>
      <c r="CZ5634">
        <v>0</v>
      </c>
      <c r="DA5634">
        <v>1</v>
      </c>
      <c r="DB5634">
        <v>0</v>
      </c>
      <c r="DC5634">
        <v>0</v>
      </c>
      <c r="DD5634">
        <v>1</v>
      </c>
      <c r="DE5634">
        <v>0</v>
      </c>
      <c r="DF5634">
        <v>0</v>
      </c>
      <c r="DG5634">
        <v>0</v>
      </c>
      <c r="DH5634">
        <v>0</v>
      </c>
      <c r="DI5634">
        <v>0</v>
      </c>
    </row>
    <row r="5635" spans="1:113" x14ac:dyDescent="0.3">
      <c r="A5635" t="str">
        <f t="shared" si="2621"/>
        <v>05/12/2020 14:51:26.715</v>
      </c>
      <c r="C5635" t="str">
        <f t="shared" si="2603"/>
        <v>FFDFD3C0</v>
      </c>
      <c r="D5635" t="s">
        <v>138</v>
      </c>
      <c r="E5635">
        <v>3</v>
      </c>
      <c r="H5635">
        <v>9</v>
      </c>
      <c r="I5635" t="s">
        <v>140</v>
      </c>
      <c r="J5635" t="s">
        <v>136</v>
      </c>
      <c r="K5635">
        <v>0</v>
      </c>
      <c r="L5635">
        <v>3</v>
      </c>
      <c r="M5635">
        <v>0</v>
      </c>
      <c r="N5635">
        <v>2</v>
      </c>
      <c r="O5635">
        <v>1</v>
      </c>
      <c r="P5635">
        <v>0</v>
      </c>
      <c r="Q5635">
        <v>0</v>
      </c>
      <c r="S5635" t="str">
        <f t="shared" si="2622"/>
        <v>14:51:44.555</v>
      </c>
      <c r="T5635" t="str">
        <f t="shared" si="2622"/>
        <v>14:51:44.555</v>
      </c>
      <c r="U5635" t="str">
        <f t="shared" si="2624"/>
        <v>A9808D</v>
      </c>
      <c r="V5635">
        <v>0</v>
      </c>
      <c r="W5635">
        <v>0</v>
      </c>
      <c r="X5635">
        <v>1</v>
      </c>
      <c r="Z5635">
        <v>0</v>
      </c>
      <c r="AA5635">
        <v>9</v>
      </c>
      <c r="AB5635">
        <v>3</v>
      </c>
      <c r="AC5635">
        <v>0</v>
      </c>
      <c r="AD5635">
        <v>10</v>
      </c>
      <c r="AE5635">
        <v>0</v>
      </c>
      <c r="AF5635">
        <v>3</v>
      </c>
      <c r="AG5635">
        <v>2</v>
      </c>
      <c r="AH5635">
        <v>0</v>
      </c>
      <c r="AI5635" t="s">
        <v>1252</v>
      </c>
      <c r="AJ5635">
        <v>28.206990000000001</v>
      </c>
      <c r="AK5635" t="s">
        <v>1253</v>
      </c>
      <c r="AL5635">
        <v>-82.387590000000003</v>
      </c>
      <c r="AM5635">
        <v>100</v>
      </c>
      <c r="AN5635">
        <v>900</v>
      </c>
      <c r="AO5635" t="s">
        <v>118</v>
      </c>
      <c r="AP5635">
        <v>70</v>
      </c>
      <c r="AQ5635">
        <v>-85</v>
      </c>
      <c r="AR5635">
        <v>-832</v>
      </c>
      <c r="AZ5635">
        <v>1200</v>
      </c>
      <c r="BA5635">
        <v>1</v>
      </c>
      <c r="BB5635" t="str">
        <f t="shared" si="2604"/>
        <v xml:space="preserve">N711JA  </v>
      </c>
      <c r="BC5635">
        <v>1</v>
      </c>
      <c r="BE5635">
        <v>0</v>
      </c>
      <c r="BF5635">
        <v>0</v>
      </c>
      <c r="BG5635">
        <v>0</v>
      </c>
      <c r="BH5635">
        <v>950</v>
      </c>
      <c r="BI5635">
        <v>1</v>
      </c>
      <c r="BJ5635">
        <v>1</v>
      </c>
      <c r="BK5635">
        <v>0</v>
      </c>
      <c r="BL5635">
        <v>0</v>
      </c>
      <c r="BO5635">
        <v>0</v>
      </c>
      <c r="BP5635">
        <v>0</v>
      </c>
      <c r="BW5635" t="str">
        <f t="shared" si="2623"/>
        <v>14:51:44.561</v>
      </c>
      <c r="CJ5635">
        <v>0</v>
      </c>
      <c r="CK5635">
        <v>2</v>
      </c>
      <c r="CL5635">
        <v>0</v>
      </c>
      <c r="CM5635">
        <v>2</v>
      </c>
      <c r="CN5635">
        <v>0</v>
      </c>
      <c r="CO5635">
        <v>7</v>
      </c>
      <c r="CP5635" t="s">
        <v>119</v>
      </c>
      <c r="CQ5635">
        <v>343</v>
      </c>
      <c r="CR5635">
        <v>1</v>
      </c>
      <c r="CW5635">
        <v>11179695</v>
      </c>
      <c r="CY5635">
        <v>1</v>
      </c>
      <c r="CZ5635">
        <v>0</v>
      </c>
      <c r="DA5635">
        <v>1</v>
      </c>
      <c r="DB5635">
        <v>0</v>
      </c>
      <c r="DC5635">
        <v>0</v>
      </c>
      <c r="DD5635">
        <v>1</v>
      </c>
      <c r="DE5635">
        <v>0</v>
      </c>
      <c r="DF5635">
        <v>0</v>
      </c>
      <c r="DG5635">
        <v>0</v>
      </c>
      <c r="DH5635">
        <v>0</v>
      </c>
      <c r="DI5635">
        <v>0</v>
      </c>
    </row>
    <row r="5636" spans="1:113" x14ac:dyDescent="0.3">
      <c r="A5636" t="str">
        <f t="shared" ref="A5636:A5643" si="2625">"05/12/2020 14:51:27.671"</f>
        <v>05/12/2020 14:51:27.671</v>
      </c>
      <c r="C5636" t="str">
        <f t="shared" si="2603"/>
        <v>FFDFD3C0</v>
      </c>
      <c r="D5636" t="s">
        <v>126</v>
      </c>
      <c r="E5636">
        <v>7</v>
      </c>
      <c r="F5636">
        <v>1007</v>
      </c>
      <c r="G5636" t="s">
        <v>127</v>
      </c>
      <c r="J5636" t="s">
        <v>128</v>
      </c>
      <c r="K5636">
        <v>0</v>
      </c>
      <c r="L5636">
        <v>3</v>
      </c>
      <c r="M5636">
        <v>0</v>
      </c>
      <c r="N5636">
        <v>2</v>
      </c>
      <c r="O5636">
        <v>1</v>
      </c>
      <c r="P5636">
        <v>0</v>
      </c>
      <c r="Q5636">
        <v>0</v>
      </c>
      <c r="S5636" t="str">
        <f t="shared" ref="S5636:T5643" si="2626">"14:51:45.492"</f>
        <v>14:51:45.492</v>
      </c>
      <c r="T5636" t="str">
        <f t="shared" si="2626"/>
        <v>14:51:45.492</v>
      </c>
      <c r="U5636" t="str">
        <f t="shared" si="2624"/>
        <v>A9808D</v>
      </c>
      <c r="V5636">
        <v>0</v>
      </c>
      <c r="W5636">
        <v>0</v>
      </c>
      <c r="X5636">
        <v>1</v>
      </c>
      <c r="Z5636">
        <v>0</v>
      </c>
      <c r="AA5636">
        <v>9</v>
      </c>
      <c r="AB5636">
        <v>3</v>
      </c>
      <c r="AC5636">
        <v>0</v>
      </c>
      <c r="AD5636">
        <v>10</v>
      </c>
      <c r="AE5636">
        <v>0</v>
      </c>
      <c r="AF5636">
        <v>3</v>
      </c>
      <c r="AG5636">
        <v>2</v>
      </c>
      <c r="AH5636">
        <v>0</v>
      </c>
      <c r="AI5636" t="s">
        <v>1254</v>
      </c>
      <c r="AJ5636">
        <v>28.206603999999999</v>
      </c>
      <c r="AK5636" t="s">
        <v>1255</v>
      </c>
      <c r="AL5636">
        <v>-82.387225999999998</v>
      </c>
      <c r="AM5636">
        <v>100</v>
      </c>
      <c r="AN5636">
        <v>900</v>
      </c>
      <c r="AO5636" t="s">
        <v>118</v>
      </c>
      <c r="AP5636">
        <v>70</v>
      </c>
      <c r="AQ5636">
        <v>-85</v>
      </c>
      <c r="AR5636">
        <v>-704</v>
      </c>
      <c r="AZ5636">
        <v>1200</v>
      </c>
      <c r="BA5636">
        <v>1</v>
      </c>
      <c r="BB5636" t="str">
        <f t="shared" si="2604"/>
        <v xml:space="preserve">N711JA  </v>
      </c>
      <c r="BC5636">
        <v>1</v>
      </c>
      <c r="BE5636">
        <v>0</v>
      </c>
      <c r="BF5636">
        <v>0</v>
      </c>
      <c r="BG5636">
        <v>0</v>
      </c>
      <c r="BH5636">
        <v>950</v>
      </c>
      <c r="BI5636">
        <v>1</v>
      </c>
      <c r="BJ5636">
        <v>1</v>
      </c>
      <c r="BK5636">
        <v>0</v>
      </c>
      <c r="BL5636">
        <v>0</v>
      </c>
      <c r="BO5636">
        <v>0</v>
      </c>
      <c r="BP5636">
        <v>0</v>
      </c>
      <c r="BW5636" t="str">
        <f t="shared" ref="BW5636:BW5643" si="2627">"14:51:45.493"</f>
        <v>14:51:45.493</v>
      </c>
      <c r="CJ5636">
        <v>0</v>
      </c>
      <c r="CK5636">
        <v>2</v>
      </c>
      <c r="CL5636">
        <v>0</v>
      </c>
      <c r="CM5636">
        <v>2</v>
      </c>
      <c r="CN5636">
        <v>0</v>
      </c>
      <c r="CO5636">
        <v>7</v>
      </c>
      <c r="CP5636" t="s">
        <v>119</v>
      </c>
      <c r="CQ5636">
        <v>343</v>
      </c>
      <c r="CR5636">
        <v>1</v>
      </c>
      <c r="CW5636">
        <v>11180677</v>
      </c>
      <c r="CY5636">
        <v>1</v>
      </c>
      <c r="CZ5636">
        <v>0</v>
      </c>
      <c r="DA5636">
        <v>0</v>
      </c>
      <c r="DB5636">
        <v>0</v>
      </c>
      <c r="DC5636">
        <v>0</v>
      </c>
      <c r="DD5636">
        <v>1</v>
      </c>
      <c r="DE5636">
        <v>0</v>
      </c>
      <c r="DF5636">
        <v>0</v>
      </c>
      <c r="DG5636">
        <v>0</v>
      </c>
      <c r="DH5636">
        <v>0</v>
      </c>
      <c r="DI5636">
        <v>0</v>
      </c>
    </row>
    <row r="5637" spans="1:113" x14ac:dyDescent="0.3">
      <c r="A5637" t="str">
        <f t="shared" si="2625"/>
        <v>05/12/2020 14:51:27.671</v>
      </c>
      <c r="C5637" t="str">
        <f t="shared" si="2603"/>
        <v>FFDFD3C0</v>
      </c>
      <c r="D5637" t="s">
        <v>131</v>
      </c>
      <c r="E5637">
        <v>10</v>
      </c>
      <c r="F5637">
        <v>2010</v>
      </c>
      <c r="G5637" t="s">
        <v>132</v>
      </c>
      <c r="J5637" t="s">
        <v>133</v>
      </c>
      <c r="K5637">
        <v>0</v>
      </c>
      <c r="L5637">
        <v>3</v>
      </c>
      <c r="M5637">
        <v>0</v>
      </c>
      <c r="N5637">
        <v>2</v>
      </c>
      <c r="O5637">
        <v>1</v>
      </c>
      <c r="P5637">
        <v>0</v>
      </c>
      <c r="Q5637">
        <v>0</v>
      </c>
      <c r="S5637" t="str">
        <f t="shared" si="2626"/>
        <v>14:51:45.492</v>
      </c>
      <c r="T5637" t="str">
        <f t="shared" si="2626"/>
        <v>14:51:45.492</v>
      </c>
      <c r="U5637" t="str">
        <f t="shared" si="2624"/>
        <v>A9808D</v>
      </c>
      <c r="V5637">
        <v>0</v>
      </c>
      <c r="W5637">
        <v>0</v>
      </c>
      <c r="X5637">
        <v>1</v>
      </c>
      <c r="Z5637">
        <v>0</v>
      </c>
      <c r="AA5637">
        <v>9</v>
      </c>
      <c r="AB5637">
        <v>3</v>
      </c>
      <c r="AC5637">
        <v>0</v>
      </c>
      <c r="AD5637">
        <v>10</v>
      </c>
      <c r="AE5637">
        <v>0</v>
      </c>
      <c r="AF5637">
        <v>3</v>
      </c>
      <c r="AG5637">
        <v>2</v>
      </c>
      <c r="AH5637">
        <v>0</v>
      </c>
      <c r="AI5637" t="s">
        <v>1254</v>
      </c>
      <c r="AJ5637">
        <v>28.206603999999999</v>
      </c>
      <c r="AK5637" t="s">
        <v>1255</v>
      </c>
      <c r="AL5637">
        <v>-82.387225999999998</v>
      </c>
      <c r="AM5637">
        <v>100</v>
      </c>
      <c r="AN5637">
        <v>900</v>
      </c>
      <c r="AO5637" t="s">
        <v>118</v>
      </c>
      <c r="AP5637">
        <v>70</v>
      </c>
      <c r="AQ5637">
        <v>-85</v>
      </c>
      <c r="AR5637">
        <v>-704</v>
      </c>
      <c r="AZ5637">
        <v>1200</v>
      </c>
      <c r="BA5637">
        <v>1</v>
      </c>
      <c r="BB5637" t="str">
        <f t="shared" si="2604"/>
        <v xml:space="preserve">N711JA  </v>
      </c>
      <c r="BC5637">
        <v>1</v>
      </c>
      <c r="BE5637">
        <v>0</v>
      </c>
      <c r="BF5637">
        <v>0</v>
      </c>
      <c r="BG5637">
        <v>0</v>
      </c>
      <c r="BH5637">
        <v>950</v>
      </c>
      <c r="BI5637">
        <v>1</v>
      </c>
      <c r="BJ5637">
        <v>1</v>
      </c>
      <c r="BK5637">
        <v>0</v>
      </c>
      <c r="BL5637">
        <v>0</v>
      </c>
      <c r="BO5637">
        <v>0</v>
      </c>
      <c r="BP5637">
        <v>0</v>
      </c>
      <c r="BW5637" t="str">
        <f t="shared" si="2627"/>
        <v>14:51:45.493</v>
      </c>
      <c r="CJ5637">
        <v>0</v>
      </c>
      <c r="CK5637">
        <v>2</v>
      </c>
      <c r="CL5637">
        <v>0</v>
      </c>
      <c r="CM5637">
        <v>2</v>
      </c>
      <c r="CN5637">
        <v>0</v>
      </c>
      <c r="CO5637">
        <v>7</v>
      </c>
      <c r="CP5637" t="s">
        <v>119</v>
      </c>
      <c r="CQ5637">
        <v>343</v>
      </c>
      <c r="CR5637">
        <v>1</v>
      </c>
      <c r="CW5637">
        <v>11180677</v>
      </c>
      <c r="CY5637">
        <v>1</v>
      </c>
      <c r="CZ5637">
        <v>0</v>
      </c>
      <c r="DA5637">
        <v>1</v>
      </c>
      <c r="DB5637">
        <v>0</v>
      </c>
      <c r="DC5637">
        <v>0</v>
      </c>
      <c r="DD5637">
        <v>1</v>
      </c>
      <c r="DE5637">
        <v>0</v>
      </c>
      <c r="DF5637">
        <v>0</v>
      </c>
      <c r="DG5637">
        <v>0</v>
      </c>
      <c r="DH5637">
        <v>0</v>
      </c>
      <c r="DI5637">
        <v>0</v>
      </c>
    </row>
    <row r="5638" spans="1:113" x14ac:dyDescent="0.3">
      <c r="A5638" t="str">
        <f t="shared" si="2625"/>
        <v>05/12/2020 14:51:27.671</v>
      </c>
      <c r="C5638" t="str">
        <f t="shared" si="2603"/>
        <v>FFDFD3C0</v>
      </c>
      <c r="D5638" t="s">
        <v>131</v>
      </c>
      <c r="E5638">
        <v>12</v>
      </c>
      <c r="F5638">
        <v>2012</v>
      </c>
      <c r="G5638" t="s">
        <v>137</v>
      </c>
      <c r="J5638" t="s">
        <v>133</v>
      </c>
      <c r="K5638">
        <v>0</v>
      </c>
      <c r="L5638">
        <v>3</v>
      </c>
      <c r="M5638">
        <v>0</v>
      </c>
      <c r="N5638">
        <v>2</v>
      </c>
      <c r="O5638">
        <v>1</v>
      </c>
      <c r="P5638">
        <v>0</v>
      </c>
      <c r="Q5638">
        <v>0</v>
      </c>
      <c r="S5638" t="str">
        <f t="shared" si="2626"/>
        <v>14:51:45.492</v>
      </c>
      <c r="T5638" t="str">
        <f t="shared" si="2626"/>
        <v>14:51:45.492</v>
      </c>
      <c r="U5638" t="str">
        <f t="shared" si="2624"/>
        <v>A9808D</v>
      </c>
      <c r="V5638">
        <v>0</v>
      </c>
      <c r="W5638">
        <v>0</v>
      </c>
      <c r="X5638">
        <v>1</v>
      </c>
      <c r="Z5638">
        <v>0</v>
      </c>
      <c r="AA5638">
        <v>9</v>
      </c>
      <c r="AB5638">
        <v>3</v>
      </c>
      <c r="AC5638">
        <v>0</v>
      </c>
      <c r="AD5638">
        <v>10</v>
      </c>
      <c r="AE5638">
        <v>0</v>
      </c>
      <c r="AF5638">
        <v>3</v>
      </c>
      <c r="AG5638">
        <v>2</v>
      </c>
      <c r="AH5638">
        <v>0</v>
      </c>
      <c r="AI5638" t="s">
        <v>1254</v>
      </c>
      <c r="AJ5638">
        <v>28.206603999999999</v>
      </c>
      <c r="AK5638" t="s">
        <v>1255</v>
      </c>
      <c r="AL5638">
        <v>-82.387225999999998</v>
      </c>
      <c r="AM5638">
        <v>100</v>
      </c>
      <c r="AN5638">
        <v>900</v>
      </c>
      <c r="AO5638" t="s">
        <v>118</v>
      </c>
      <c r="AP5638">
        <v>70</v>
      </c>
      <c r="AQ5638">
        <v>-85</v>
      </c>
      <c r="AR5638">
        <v>-704</v>
      </c>
      <c r="AZ5638">
        <v>1200</v>
      </c>
      <c r="BA5638">
        <v>1</v>
      </c>
      <c r="BB5638" t="str">
        <f t="shared" si="2604"/>
        <v xml:space="preserve">N711JA  </v>
      </c>
      <c r="BC5638">
        <v>1</v>
      </c>
      <c r="BE5638">
        <v>0</v>
      </c>
      <c r="BF5638">
        <v>0</v>
      </c>
      <c r="BG5638">
        <v>0</v>
      </c>
      <c r="BH5638">
        <v>950</v>
      </c>
      <c r="BI5638">
        <v>1</v>
      </c>
      <c r="BJ5638">
        <v>1</v>
      </c>
      <c r="BK5638">
        <v>0</v>
      </c>
      <c r="BL5638">
        <v>0</v>
      </c>
      <c r="BO5638">
        <v>0</v>
      </c>
      <c r="BP5638">
        <v>0</v>
      </c>
      <c r="BW5638" t="str">
        <f t="shared" si="2627"/>
        <v>14:51:45.493</v>
      </c>
      <c r="CJ5638">
        <v>0</v>
      </c>
      <c r="CK5638">
        <v>2</v>
      </c>
      <c r="CL5638">
        <v>0</v>
      </c>
      <c r="CM5638">
        <v>2</v>
      </c>
      <c r="CN5638">
        <v>0</v>
      </c>
      <c r="CO5638">
        <v>7</v>
      </c>
      <c r="CP5638" t="s">
        <v>119</v>
      </c>
      <c r="CQ5638">
        <v>343</v>
      </c>
      <c r="CR5638">
        <v>1</v>
      </c>
      <c r="CW5638">
        <v>11180677</v>
      </c>
      <c r="CY5638">
        <v>1</v>
      </c>
      <c r="CZ5638">
        <v>0</v>
      </c>
      <c r="DA5638">
        <v>1</v>
      </c>
      <c r="DB5638">
        <v>0</v>
      </c>
      <c r="DC5638">
        <v>0</v>
      </c>
      <c r="DD5638">
        <v>1</v>
      </c>
      <c r="DE5638">
        <v>0</v>
      </c>
      <c r="DF5638">
        <v>0</v>
      </c>
      <c r="DG5638">
        <v>0</v>
      </c>
      <c r="DH5638">
        <v>0</v>
      </c>
      <c r="DI5638">
        <v>0</v>
      </c>
    </row>
    <row r="5639" spans="1:113" x14ac:dyDescent="0.3">
      <c r="A5639" t="str">
        <f t="shared" si="2625"/>
        <v>05/12/2020 14:51:27.671</v>
      </c>
      <c r="C5639" t="str">
        <f t="shared" si="2603"/>
        <v>FFDFD3C0</v>
      </c>
      <c r="D5639" t="s">
        <v>126</v>
      </c>
      <c r="E5639">
        <v>6</v>
      </c>
      <c r="F5639">
        <v>1006</v>
      </c>
      <c r="G5639" t="s">
        <v>114</v>
      </c>
      <c r="J5639" t="s">
        <v>128</v>
      </c>
      <c r="K5639">
        <v>0</v>
      </c>
      <c r="L5639">
        <v>3</v>
      </c>
      <c r="M5639">
        <v>0</v>
      </c>
      <c r="N5639">
        <v>2</v>
      </c>
      <c r="O5639">
        <v>1</v>
      </c>
      <c r="P5639">
        <v>0</v>
      </c>
      <c r="Q5639">
        <v>0</v>
      </c>
      <c r="S5639" t="str">
        <f t="shared" si="2626"/>
        <v>14:51:45.492</v>
      </c>
      <c r="T5639" t="str">
        <f t="shared" si="2626"/>
        <v>14:51:45.492</v>
      </c>
      <c r="U5639" t="str">
        <f t="shared" si="2624"/>
        <v>A9808D</v>
      </c>
      <c r="V5639">
        <v>0</v>
      </c>
      <c r="W5639">
        <v>0</v>
      </c>
      <c r="X5639">
        <v>1</v>
      </c>
      <c r="Z5639">
        <v>0</v>
      </c>
      <c r="AA5639">
        <v>9</v>
      </c>
      <c r="AB5639">
        <v>3</v>
      </c>
      <c r="AC5639">
        <v>0</v>
      </c>
      <c r="AD5639">
        <v>10</v>
      </c>
      <c r="AE5639">
        <v>0</v>
      </c>
      <c r="AF5639">
        <v>3</v>
      </c>
      <c r="AG5639">
        <v>2</v>
      </c>
      <c r="AH5639">
        <v>0</v>
      </c>
      <c r="AI5639" t="s">
        <v>1254</v>
      </c>
      <c r="AJ5639">
        <v>28.206603999999999</v>
      </c>
      <c r="AK5639" t="s">
        <v>1255</v>
      </c>
      <c r="AL5639">
        <v>-82.387225999999998</v>
      </c>
      <c r="AM5639">
        <v>100</v>
      </c>
      <c r="AN5639">
        <v>900</v>
      </c>
      <c r="AO5639" t="s">
        <v>118</v>
      </c>
      <c r="AP5639">
        <v>70</v>
      </c>
      <c r="AQ5639">
        <v>-85</v>
      </c>
      <c r="AR5639">
        <v>-704</v>
      </c>
      <c r="AZ5639">
        <v>1200</v>
      </c>
      <c r="BA5639">
        <v>1</v>
      </c>
      <c r="BB5639" t="str">
        <f t="shared" si="2604"/>
        <v xml:space="preserve">N711JA  </v>
      </c>
      <c r="BC5639">
        <v>1</v>
      </c>
      <c r="BE5639">
        <v>0</v>
      </c>
      <c r="BF5639">
        <v>0</v>
      </c>
      <c r="BG5639">
        <v>0</v>
      </c>
      <c r="BH5639">
        <v>950</v>
      </c>
      <c r="BI5639">
        <v>1</v>
      </c>
      <c r="BJ5639">
        <v>1</v>
      </c>
      <c r="BK5639">
        <v>0</v>
      </c>
      <c r="BL5639">
        <v>0</v>
      </c>
      <c r="BO5639">
        <v>0</v>
      </c>
      <c r="BP5639">
        <v>0</v>
      </c>
      <c r="BW5639" t="str">
        <f t="shared" si="2627"/>
        <v>14:51:45.493</v>
      </c>
      <c r="CJ5639">
        <v>0</v>
      </c>
      <c r="CK5639">
        <v>2</v>
      </c>
      <c r="CL5639">
        <v>0</v>
      </c>
      <c r="CM5639">
        <v>2</v>
      </c>
      <c r="CN5639">
        <v>0</v>
      </c>
      <c r="CO5639">
        <v>7</v>
      </c>
      <c r="CP5639" t="s">
        <v>119</v>
      </c>
      <c r="CQ5639">
        <v>343</v>
      </c>
      <c r="CR5639">
        <v>1</v>
      </c>
      <c r="CW5639">
        <v>11180677</v>
      </c>
      <c r="CY5639">
        <v>1</v>
      </c>
      <c r="CZ5639">
        <v>0</v>
      </c>
      <c r="DA5639">
        <v>1</v>
      </c>
      <c r="DB5639">
        <v>0</v>
      </c>
      <c r="DC5639">
        <v>0</v>
      </c>
      <c r="DD5639">
        <v>1</v>
      </c>
      <c r="DE5639">
        <v>0</v>
      </c>
      <c r="DF5639">
        <v>0</v>
      </c>
      <c r="DG5639">
        <v>0</v>
      </c>
      <c r="DH5639">
        <v>0</v>
      </c>
      <c r="DI5639">
        <v>0</v>
      </c>
    </row>
    <row r="5640" spans="1:113" x14ac:dyDescent="0.3">
      <c r="A5640" t="str">
        <f t="shared" si="2625"/>
        <v>05/12/2020 14:51:27.671</v>
      </c>
      <c r="C5640" t="str">
        <f t="shared" si="2603"/>
        <v>FFDFD3C0</v>
      </c>
      <c r="D5640" t="s">
        <v>134</v>
      </c>
      <c r="E5640">
        <v>12</v>
      </c>
      <c r="H5640">
        <v>64</v>
      </c>
      <c r="I5640" t="s">
        <v>135</v>
      </c>
      <c r="J5640" t="s">
        <v>136</v>
      </c>
      <c r="K5640">
        <v>0</v>
      </c>
      <c r="L5640">
        <v>3</v>
      </c>
      <c r="M5640">
        <v>0</v>
      </c>
      <c r="N5640">
        <v>2</v>
      </c>
      <c r="O5640">
        <v>1</v>
      </c>
      <c r="P5640">
        <v>0</v>
      </c>
      <c r="Q5640">
        <v>0</v>
      </c>
      <c r="S5640" t="str">
        <f t="shared" si="2626"/>
        <v>14:51:45.492</v>
      </c>
      <c r="T5640" t="str">
        <f t="shared" si="2626"/>
        <v>14:51:45.492</v>
      </c>
      <c r="U5640" t="str">
        <f t="shared" si="2624"/>
        <v>A9808D</v>
      </c>
      <c r="V5640">
        <v>0</v>
      </c>
      <c r="W5640">
        <v>0</v>
      </c>
      <c r="X5640">
        <v>1</v>
      </c>
      <c r="Z5640">
        <v>0</v>
      </c>
      <c r="AA5640">
        <v>9</v>
      </c>
      <c r="AB5640">
        <v>3</v>
      </c>
      <c r="AC5640">
        <v>0</v>
      </c>
      <c r="AD5640">
        <v>10</v>
      </c>
      <c r="AE5640">
        <v>0</v>
      </c>
      <c r="AF5640">
        <v>3</v>
      </c>
      <c r="AG5640">
        <v>2</v>
      </c>
      <c r="AH5640">
        <v>0</v>
      </c>
      <c r="AI5640" t="s">
        <v>1254</v>
      </c>
      <c r="AJ5640">
        <v>28.206603999999999</v>
      </c>
      <c r="AK5640" t="s">
        <v>1255</v>
      </c>
      <c r="AL5640">
        <v>-82.387225999999998</v>
      </c>
      <c r="AM5640">
        <v>100</v>
      </c>
      <c r="AN5640">
        <v>900</v>
      </c>
      <c r="AO5640" t="s">
        <v>118</v>
      </c>
      <c r="AP5640">
        <v>70</v>
      </c>
      <c r="AQ5640">
        <v>-85</v>
      </c>
      <c r="AR5640">
        <v>-704</v>
      </c>
      <c r="AZ5640">
        <v>1200</v>
      </c>
      <c r="BA5640">
        <v>1</v>
      </c>
      <c r="BB5640" t="str">
        <f t="shared" si="2604"/>
        <v xml:space="preserve">N711JA  </v>
      </c>
      <c r="BC5640">
        <v>1</v>
      </c>
      <c r="BE5640">
        <v>0</v>
      </c>
      <c r="BF5640">
        <v>0</v>
      </c>
      <c r="BG5640">
        <v>0</v>
      </c>
      <c r="BH5640">
        <v>950</v>
      </c>
      <c r="BI5640">
        <v>1</v>
      </c>
      <c r="BJ5640">
        <v>1</v>
      </c>
      <c r="BK5640">
        <v>0</v>
      </c>
      <c r="BL5640">
        <v>0</v>
      </c>
      <c r="BO5640">
        <v>0</v>
      </c>
      <c r="BP5640">
        <v>0</v>
      </c>
      <c r="BW5640" t="str">
        <f t="shared" si="2627"/>
        <v>14:51:45.493</v>
      </c>
      <c r="CJ5640">
        <v>0</v>
      </c>
      <c r="CK5640">
        <v>2</v>
      </c>
      <c r="CL5640">
        <v>0</v>
      </c>
      <c r="CM5640">
        <v>2</v>
      </c>
      <c r="CN5640">
        <v>0</v>
      </c>
      <c r="CO5640">
        <v>7</v>
      </c>
      <c r="CP5640" t="s">
        <v>119</v>
      </c>
      <c r="CQ5640">
        <v>343</v>
      </c>
      <c r="CR5640">
        <v>1</v>
      </c>
      <c r="CW5640">
        <v>11180677</v>
      </c>
      <c r="CY5640">
        <v>1</v>
      </c>
      <c r="CZ5640">
        <v>0</v>
      </c>
      <c r="DA5640">
        <v>1</v>
      </c>
      <c r="DB5640">
        <v>0</v>
      </c>
      <c r="DC5640">
        <v>0</v>
      </c>
      <c r="DD5640">
        <v>1</v>
      </c>
      <c r="DE5640">
        <v>0</v>
      </c>
      <c r="DF5640">
        <v>0</v>
      </c>
      <c r="DG5640">
        <v>0</v>
      </c>
      <c r="DH5640">
        <v>0</v>
      </c>
      <c r="DI5640">
        <v>0</v>
      </c>
    </row>
    <row r="5641" spans="1:113" x14ac:dyDescent="0.3">
      <c r="A5641" t="str">
        <f t="shared" si="2625"/>
        <v>05/12/2020 14:51:27.671</v>
      </c>
      <c r="C5641" t="str">
        <f t="shared" si="2603"/>
        <v>FFDFD3C0</v>
      </c>
      <c r="D5641" t="s">
        <v>113</v>
      </c>
      <c r="E5641">
        <v>3</v>
      </c>
      <c r="H5641">
        <v>164</v>
      </c>
      <c r="I5641" t="s">
        <v>114</v>
      </c>
      <c r="J5641" t="s">
        <v>115</v>
      </c>
      <c r="K5641">
        <v>0</v>
      </c>
      <c r="L5641">
        <v>3</v>
      </c>
      <c r="M5641">
        <v>0</v>
      </c>
      <c r="N5641">
        <v>2</v>
      </c>
      <c r="O5641">
        <v>1</v>
      </c>
      <c r="P5641">
        <v>0</v>
      </c>
      <c r="Q5641">
        <v>0</v>
      </c>
      <c r="S5641" t="str">
        <f t="shared" si="2626"/>
        <v>14:51:45.492</v>
      </c>
      <c r="T5641" t="str">
        <f t="shared" si="2626"/>
        <v>14:51:45.492</v>
      </c>
      <c r="U5641" t="str">
        <f t="shared" si="2624"/>
        <v>A9808D</v>
      </c>
      <c r="V5641">
        <v>0</v>
      </c>
      <c r="W5641">
        <v>0</v>
      </c>
      <c r="X5641">
        <v>1</v>
      </c>
      <c r="Z5641">
        <v>0</v>
      </c>
      <c r="AA5641">
        <v>9</v>
      </c>
      <c r="AB5641">
        <v>3</v>
      </c>
      <c r="AC5641">
        <v>0</v>
      </c>
      <c r="AD5641">
        <v>10</v>
      </c>
      <c r="AE5641">
        <v>0</v>
      </c>
      <c r="AF5641">
        <v>3</v>
      </c>
      <c r="AG5641">
        <v>2</v>
      </c>
      <c r="AH5641">
        <v>0</v>
      </c>
      <c r="AI5641" t="s">
        <v>1254</v>
      </c>
      <c r="AJ5641">
        <v>28.206603999999999</v>
      </c>
      <c r="AK5641" t="s">
        <v>1255</v>
      </c>
      <c r="AL5641">
        <v>-82.387225999999998</v>
      </c>
      <c r="AM5641">
        <v>100</v>
      </c>
      <c r="AN5641">
        <v>900</v>
      </c>
      <c r="AO5641" t="s">
        <v>118</v>
      </c>
      <c r="AP5641">
        <v>70</v>
      </c>
      <c r="AQ5641">
        <v>-85</v>
      </c>
      <c r="AR5641">
        <v>-704</v>
      </c>
      <c r="AZ5641">
        <v>1200</v>
      </c>
      <c r="BA5641">
        <v>1</v>
      </c>
      <c r="BB5641" t="str">
        <f t="shared" si="2604"/>
        <v xml:space="preserve">N711JA  </v>
      </c>
      <c r="BC5641">
        <v>1</v>
      </c>
      <c r="BE5641">
        <v>0</v>
      </c>
      <c r="BF5641">
        <v>0</v>
      </c>
      <c r="BG5641">
        <v>0</v>
      </c>
      <c r="BH5641">
        <v>950</v>
      </c>
      <c r="BI5641">
        <v>1</v>
      </c>
      <c r="BJ5641">
        <v>1</v>
      </c>
      <c r="BK5641">
        <v>0</v>
      </c>
      <c r="BL5641">
        <v>0</v>
      </c>
      <c r="BO5641">
        <v>0</v>
      </c>
      <c r="BP5641">
        <v>0</v>
      </c>
      <c r="BW5641" t="str">
        <f t="shared" si="2627"/>
        <v>14:51:45.493</v>
      </c>
      <c r="CJ5641">
        <v>0</v>
      </c>
      <c r="CK5641">
        <v>2</v>
      </c>
      <c r="CL5641">
        <v>0</v>
      </c>
      <c r="CM5641">
        <v>2</v>
      </c>
      <c r="CN5641">
        <v>0</v>
      </c>
      <c r="CO5641">
        <v>7</v>
      </c>
      <c r="CP5641" t="s">
        <v>119</v>
      </c>
      <c r="CQ5641">
        <v>343</v>
      </c>
      <c r="CR5641">
        <v>1</v>
      </c>
      <c r="CW5641">
        <v>11180677</v>
      </c>
      <c r="CY5641">
        <v>1</v>
      </c>
      <c r="CZ5641">
        <v>0</v>
      </c>
      <c r="DA5641">
        <v>1</v>
      </c>
      <c r="DB5641">
        <v>0</v>
      </c>
      <c r="DC5641">
        <v>0</v>
      </c>
      <c r="DD5641">
        <v>1</v>
      </c>
      <c r="DE5641">
        <v>0</v>
      </c>
      <c r="DF5641">
        <v>0</v>
      </c>
      <c r="DG5641">
        <v>0</v>
      </c>
      <c r="DH5641">
        <v>0</v>
      </c>
      <c r="DI5641">
        <v>0</v>
      </c>
    </row>
    <row r="5642" spans="1:113" x14ac:dyDescent="0.3">
      <c r="A5642" t="str">
        <f t="shared" si="2625"/>
        <v>05/12/2020 14:51:27.671</v>
      </c>
      <c r="C5642" t="str">
        <f t="shared" si="2603"/>
        <v>FFDFD3C0</v>
      </c>
      <c r="D5642" t="s">
        <v>138</v>
      </c>
      <c r="E5642">
        <v>2</v>
      </c>
      <c r="H5642">
        <v>8</v>
      </c>
      <c r="I5642" t="s">
        <v>139</v>
      </c>
      <c r="J5642" t="s">
        <v>136</v>
      </c>
      <c r="K5642">
        <v>0</v>
      </c>
      <c r="L5642">
        <v>3</v>
      </c>
      <c r="M5642">
        <v>0</v>
      </c>
      <c r="N5642">
        <v>2</v>
      </c>
      <c r="O5642">
        <v>1</v>
      </c>
      <c r="P5642">
        <v>0</v>
      </c>
      <c r="Q5642">
        <v>0</v>
      </c>
      <c r="S5642" t="str">
        <f t="shared" si="2626"/>
        <v>14:51:45.492</v>
      </c>
      <c r="T5642" t="str">
        <f t="shared" si="2626"/>
        <v>14:51:45.492</v>
      </c>
      <c r="U5642" t="str">
        <f t="shared" si="2624"/>
        <v>A9808D</v>
      </c>
      <c r="V5642">
        <v>0</v>
      </c>
      <c r="W5642">
        <v>0</v>
      </c>
      <c r="X5642">
        <v>1</v>
      </c>
      <c r="Z5642">
        <v>0</v>
      </c>
      <c r="AA5642">
        <v>9</v>
      </c>
      <c r="AB5642">
        <v>3</v>
      </c>
      <c r="AC5642">
        <v>0</v>
      </c>
      <c r="AD5642">
        <v>10</v>
      </c>
      <c r="AE5642">
        <v>0</v>
      </c>
      <c r="AF5642">
        <v>3</v>
      </c>
      <c r="AG5642">
        <v>2</v>
      </c>
      <c r="AH5642">
        <v>0</v>
      </c>
      <c r="AI5642" t="s">
        <v>1254</v>
      </c>
      <c r="AJ5642">
        <v>28.206603999999999</v>
      </c>
      <c r="AK5642" t="s">
        <v>1255</v>
      </c>
      <c r="AL5642">
        <v>-82.387225999999998</v>
      </c>
      <c r="AM5642">
        <v>100</v>
      </c>
      <c r="AN5642">
        <v>900</v>
      </c>
      <c r="AO5642" t="s">
        <v>118</v>
      </c>
      <c r="AP5642">
        <v>70</v>
      </c>
      <c r="AQ5642">
        <v>-85</v>
      </c>
      <c r="AR5642">
        <v>-704</v>
      </c>
      <c r="AZ5642">
        <v>1200</v>
      </c>
      <c r="BA5642">
        <v>1</v>
      </c>
      <c r="BB5642" t="str">
        <f t="shared" si="2604"/>
        <v xml:space="preserve">N711JA  </v>
      </c>
      <c r="BC5642">
        <v>1</v>
      </c>
      <c r="BE5642">
        <v>0</v>
      </c>
      <c r="BF5642">
        <v>0</v>
      </c>
      <c r="BG5642">
        <v>0</v>
      </c>
      <c r="BH5642">
        <v>950</v>
      </c>
      <c r="BI5642">
        <v>1</v>
      </c>
      <c r="BJ5642">
        <v>1</v>
      </c>
      <c r="BK5642">
        <v>0</v>
      </c>
      <c r="BL5642">
        <v>0</v>
      </c>
      <c r="BO5642">
        <v>0</v>
      </c>
      <c r="BP5642">
        <v>0</v>
      </c>
      <c r="BW5642" t="str">
        <f t="shared" si="2627"/>
        <v>14:51:45.493</v>
      </c>
      <c r="CJ5642">
        <v>0</v>
      </c>
      <c r="CK5642">
        <v>2</v>
      </c>
      <c r="CL5642">
        <v>0</v>
      </c>
      <c r="CM5642">
        <v>2</v>
      </c>
      <c r="CN5642">
        <v>0</v>
      </c>
      <c r="CO5642">
        <v>7</v>
      </c>
      <c r="CP5642" t="s">
        <v>119</v>
      </c>
      <c r="CQ5642">
        <v>343</v>
      </c>
      <c r="CR5642">
        <v>1</v>
      </c>
      <c r="CW5642">
        <v>11180677</v>
      </c>
      <c r="CY5642">
        <v>1</v>
      </c>
      <c r="CZ5642">
        <v>0</v>
      </c>
      <c r="DA5642">
        <v>1</v>
      </c>
      <c r="DB5642">
        <v>0</v>
      </c>
      <c r="DC5642">
        <v>0</v>
      </c>
      <c r="DD5642">
        <v>1</v>
      </c>
      <c r="DE5642">
        <v>0</v>
      </c>
      <c r="DF5642">
        <v>0</v>
      </c>
      <c r="DG5642">
        <v>0</v>
      </c>
      <c r="DH5642">
        <v>0</v>
      </c>
      <c r="DI5642">
        <v>0</v>
      </c>
    </row>
    <row r="5643" spans="1:113" x14ac:dyDescent="0.3">
      <c r="A5643" t="str">
        <f t="shared" si="2625"/>
        <v>05/12/2020 14:51:27.671</v>
      </c>
      <c r="C5643" t="str">
        <f t="shared" si="2603"/>
        <v>FFDFD3C0</v>
      </c>
      <c r="D5643" t="s">
        <v>138</v>
      </c>
      <c r="E5643">
        <v>3</v>
      </c>
      <c r="H5643">
        <v>9</v>
      </c>
      <c r="I5643" t="s">
        <v>140</v>
      </c>
      <c r="J5643" t="s">
        <v>136</v>
      </c>
      <c r="K5643">
        <v>0</v>
      </c>
      <c r="L5643">
        <v>3</v>
      </c>
      <c r="M5643">
        <v>0</v>
      </c>
      <c r="N5643">
        <v>2</v>
      </c>
      <c r="O5643">
        <v>1</v>
      </c>
      <c r="P5643">
        <v>0</v>
      </c>
      <c r="Q5643">
        <v>0</v>
      </c>
      <c r="S5643" t="str">
        <f t="shared" si="2626"/>
        <v>14:51:45.492</v>
      </c>
      <c r="T5643" t="str">
        <f t="shared" si="2626"/>
        <v>14:51:45.492</v>
      </c>
      <c r="U5643" t="str">
        <f t="shared" si="2624"/>
        <v>A9808D</v>
      </c>
      <c r="V5643">
        <v>0</v>
      </c>
      <c r="W5643">
        <v>0</v>
      </c>
      <c r="X5643">
        <v>1</v>
      </c>
      <c r="Z5643">
        <v>0</v>
      </c>
      <c r="AA5643">
        <v>9</v>
      </c>
      <c r="AB5643">
        <v>3</v>
      </c>
      <c r="AC5643">
        <v>0</v>
      </c>
      <c r="AD5643">
        <v>10</v>
      </c>
      <c r="AE5643">
        <v>0</v>
      </c>
      <c r="AF5643">
        <v>3</v>
      </c>
      <c r="AG5643">
        <v>2</v>
      </c>
      <c r="AH5643">
        <v>0</v>
      </c>
      <c r="AI5643" t="s">
        <v>1254</v>
      </c>
      <c r="AJ5643">
        <v>28.206603999999999</v>
      </c>
      <c r="AK5643" t="s">
        <v>1255</v>
      </c>
      <c r="AL5643">
        <v>-82.387225999999998</v>
      </c>
      <c r="AM5643">
        <v>100</v>
      </c>
      <c r="AN5643">
        <v>900</v>
      </c>
      <c r="AO5643" t="s">
        <v>118</v>
      </c>
      <c r="AP5643">
        <v>70</v>
      </c>
      <c r="AQ5643">
        <v>-85</v>
      </c>
      <c r="AR5643">
        <v>-704</v>
      </c>
      <c r="AZ5643">
        <v>1200</v>
      </c>
      <c r="BA5643">
        <v>1</v>
      </c>
      <c r="BB5643" t="str">
        <f t="shared" si="2604"/>
        <v xml:space="preserve">N711JA  </v>
      </c>
      <c r="BC5643">
        <v>1</v>
      </c>
      <c r="BE5643">
        <v>0</v>
      </c>
      <c r="BF5643">
        <v>0</v>
      </c>
      <c r="BG5643">
        <v>0</v>
      </c>
      <c r="BH5643">
        <v>950</v>
      </c>
      <c r="BI5643">
        <v>1</v>
      </c>
      <c r="BJ5643">
        <v>1</v>
      </c>
      <c r="BK5643">
        <v>0</v>
      </c>
      <c r="BL5643">
        <v>0</v>
      </c>
      <c r="BO5643">
        <v>0</v>
      </c>
      <c r="BP5643">
        <v>0</v>
      </c>
      <c r="BW5643" t="str">
        <f t="shared" si="2627"/>
        <v>14:51:45.493</v>
      </c>
      <c r="CJ5643">
        <v>0</v>
      </c>
      <c r="CK5643">
        <v>2</v>
      </c>
      <c r="CL5643">
        <v>0</v>
      </c>
      <c r="CM5643">
        <v>2</v>
      </c>
      <c r="CN5643">
        <v>0</v>
      </c>
      <c r="CO5643">
        <v>7</v>
      </c>
      <c r="CP5643" t="s">
        <v>119</v>
      </c>
      <c r="CQ5643">
        <v>343</v>
      </c>
      <c r="CR5643">
        <v>1</v>
      </c>
      <c r="CW5643">
        <v>11180677</v>
      </c>
      <c r="CY5643">
        <v>1</v>
      </c>
      <c r="CZ5643">
        <v>0</v>
      </c>
      <c r="DA5643">
        <v>1</v>
      </c>
      <c r="DB5643">
        <v>0</v>
      </c>
      <c r="DC5643">
        <v>0</v>
      </c>
      <c r="DD5643">
        <v>1</v>
      </c>
      <c r="DE5643">
        <v>0</v>
      </c>
      <c r="DF5643">
        <v>0</v>
      </c>
      <c r="DG5643">
        <v>0</v>
      </c>
      <c r="DH5643">
        <v>0</v>
      </c>
      <c r="DI5643">
        <v>0</v>
      </c>
    </row>
    <row r="5644" spans="1:113" x14ac:dyDescent="0.3">
      <c r="A5644" t="str">
        <f t="shared" ref="A5644:A5651" si="2628">"05/12/2020 14:51:28.715"</f>
        <v>05/12/2020 14:51:28.715</v>
      </c>
      <c r="C5644" t="str">
        <f t="shared" si="2603"/>
        <v>FFDFD3C0</v>
      </c>
      <c r="D5644" t="s">
        <v>134</v>
      </c>
      <c r="E5644">
        <v>12</v>
      </c>
      <c r="H5644">
        <v>64</v>
      </c>
      <c r="I5644" t="s">
        <v>135</v>
      </c>
      <c r="J5644" t="s">
        <v>136</v>
      </c>
      <c r="K5644">
        <v>0</v>
      </c>
      <c r="L5644">
        <v>3</v>
      </c>
      <c r="M5644">
        <v>0</v>
      </c>
      <c r="N5644">
        <v>2</v>
      </c>
      <c r="O5644">
        <v>1</v>
      </c>
      <c r="P5644">
        <v>0</v>
      </c>
      <c r="Q5644">
        <v>0</v>
      </c>
      <c r="S5644" t="str">
        <f t="shared" ref="S5644:S5651" si="2629">"14:51:46.547"</f>
        <v>14:51:46.547</v>
      </c>
      <c r="T5644" t="str">
        <f t="shared" ref="T5644:T5651" si="2630">"14:51:46.347"</f>
        <v>14:51:46.347</v>
      </c>
      <c r="U5644" t="str">
        <f t="shared" si="2624"/>
        <v>A9808D</v>
      </c>
      <c r="V5644">
        <v>0</v>
      </c>
      <c r="W5644">
        <v>0</v>
      </c>
      <c r="X5644">
        <v>1</v>
      </c>
      <c r="Z5644">
        <v>0</v>
      </c>
      <c r="AA5644">
        <v>9</v>
      </c>
      <c r="AB5644">
        <v>3</v>
      </c>
      <c r="AC5644">
        <v>0</v>
      </c>
      <c r="AD5644">
        <v>10</v>
      </c>
      <c r="AE5644">
        <v>0</v>
      </c>
      <c r="AF5644">
        <v>3</v>
      </c>
      <c r="AG5644">
        <v>2</v>
      </c>
      <c r="AH5644">
        <v>0</v>
      </c>
      <c r="AI5644" t="s">
        <v>1256</v>
      </c>
      <c r="AJ5644">
        <v>28.206216999999999</v>
      </c>
      <c r="AK5644" t="s">
        <v>1257</v>
      </c>
      <c r="AL5644">
        <v>-82.386838999999995</v>
      </c>
      <c r="AM5644">
        <v>100</v>
      </c>
      <c r="AN5644">
        <v>900</v>
      </c>
      <c r="AO5644" t="s">
        <v>118</v>
      </c>
      <c r="AP5644">
        <v>71</v>
      </c>
      <c r="AQ5644">
        <v>-84</v>
      </c>
      <c r="AR5644">
        <v>-768</v>
      </c>
      <c r="AZ5644">
        <v>1200</v>
      </c>
      <c r="BA5644">
        <v>1</v>
      </c>
      <c r="BB5644" t="str">
        <f t="shared" si="2604"/>
        <v xml:space="preserve">N711JA  </v>
      </c>
      <c r="BC5644">
        <v>1</v>
      </c>
      <c r="BE5644">
        <v>0</v>
      </c>
      <c r="BF5644">
        <v>0</v>
      </c>
      <c r="BG5644">
        <v>0</v>
      </c>
      <c r="BH5644">
        <v>925</v>
      </c>
      <c r="BI5644">
        <v>1</v>
      </c>
      <c r="BJ5644">
        <v>1</v>
      </c>
      <c r="BK5644">
        <v>0</v>
      </c>
      <c r="BL5644">
        <v>0</v>
      </c>
      <c r="BO5644">
        <v>0</v>
      </c>
      <c r="BP5644">
        <v>0</v>
      </c>
      <c r="BW5644" t="str">
        <f t="shared" ref="BW5644:BW5651" si="2631">"14:51:46.551"</f>
        <v>14:51:46.551</v>
      </c>
      <c r="CJ5644">
        <v>0</v>
      </c>
      <c r="CK5644">
        <v>2</v>
      </c>
      <c r="CL5644">
        <v>0</v>
      </c>
      <c r="CM5644">
        <v>2</v>
      </c>
      <c r="CN5644">
        <v>0</v>
      </c>
      <c r="CO5644">
        <v>7</v>
      </c>
      <c r="CP5644" t="s">
        <v>119</v>
      </c>
      <c r="CQ5644">
        <v>343</v>
      </c>
      <c r="CR5644">
        <v>2</v>
      </c>
      <c r="CW5644">
        <v>13427853</v>
      </c>
      <c r="CY5644">
        <v>1</v>
      </c>
      <c r="CZ5644">
        <v>0</v>
      </c>
      <c r="DA5644">
        <v>0</v>
      </c>
      <c r="DB5644">
        <v>0</v>
      </c>
      <c r="DC5644">
        <v>0</v>
      </c>
      <c r="DD5644">
        <v>1</v>
      </c>
      <c r="DE5644">
        <v>0</v>
      </c>
      <c r="DF5644">
        <v>0</v>
      </c>
      <c r="DG5644">
        <v>0</v>
      </c>
      <c r="DH5644">
        <v>0</v>
      </c>
      <c r="DI5644">
        <v>0</v>
      </c>
    </row>
    <row r="5645" spans="1:113" x14ac:dyDescent="0.3">
      <c r="A5645" t="str">
        <f t="shared" si="2628"/>
        <v>05/12/2020 14:51:28.715</v>
      </c>
      <c r="C5645" t="str">
        <f t="shared" si="2603"/>
        <v>FFDFD3C0</v>
      </c>
      <c r="D5645" t="s">
        <v>138</v>
      </c>
      <c r="E5645">
        <v>2</v>
      </c>
      <c r="H5645">
        <v>8</v>
      </c>
      <c r="I5645" t="s">
        <v>139</v>
      </c>
      <c r="J5645" t="s">
        <v>136</v>
      </c>
      <c r="K5645">
        <v>0</v>
      </c>
      <c r="L5645">
        <v>3</v>
      </c>
      <c r="M5645">
        <v>0</v>
      </c>
      <c r="N5645">
        <v>2</v>
      </c>
      <c r="O5645">
        <v>1</v>
      </c>
      <c r="P5645">
        <v>0</v>
      </c>
      <c r="Q5645">
        <v>0</v>
      </c>
      <c r="S5645" t="str">
        <f t="shared" si="2629"/>
        <v>14:51:46.547</v>
      </c>
      <c r="T5645" t="str">
        <f t="shared" si="2630"/>
        <v>14:51:46.347</v>
      </c>
      <c r="U5645" t="str">
        <f t="shared" si="2624"/>
        <v>A9808D</v>
      </c>
      <c r="V5645">
        <v>0</v>
      </c>
      <c r="W5645">
        <v>0</v>
      </c>
      <c r="X5645">
        <v>1</v>
      </c>
      <c r="Z5645">
        <v>0</v>
      </c>
      <c r="AA5645">
        <v>9</v>
      </c>
      <c r="AB5645">
        <v>3</v>
      </c>
      <c r="AC5645">
        <v>0</v>
      </c>
      <c r="AD5645">
        <v>10</v>
      </c>
      <c r="AE5645">
        <v>0</v>
      </c>
      <c r="AF5645">
        <v>3</v>
      </c>
      <c r="AG5645">
        <v>2</v>
      </c>
      <c r="AH5645">
        <v>0</v>
      </c>
      <c r="AI5645" t="s">
        <v>1256</v>
      </c>
      <c r="AJ5645">
        <v>28.206216999999999</v>
      </c>
      <c r="AK5645" t="s">
        <v>1257</v>
      </c>
      <c r="AL5645">
        <v>-82.386838999999995</v>
      </c>
      <c r="AM5645">
        <v>100</v>
      </c>
      <c r="AN5645">
        <v>900</v>
      </c>
      <c r="AO5645" t="s">
        <v>118</v>
      </c>
      <c r="AP5645">
        <v>71</v>
      </c>
      <c r="AQ5645">
        <v>-84</v>
      </c>
      <c r="AR5645">
        <v>-768</v>
      </c>
      <c r="AZ5645">
        <v>1200</v>
      </c>
      <c r="BA5645">
        <v>1</v>
      </c>
      <c r="BB5645" t="str">
        <f t="shared" si="2604"/>
        <v xml:space="preserve">N711JA  </v>
      </c>
      <c r="BC5645">
        <v>1</v>
      </c>
      <c r="BE5645">
        <v>0</v>
      </c>
      <c r="BF5645">
        <v>0</v>
      </c>
      <c r="BG5645">
        <v>0</v>
      </c>
      <c r="BH5645">
        <v>925</v>
      </c>
      <c r="BI5645">
        <v>1</v>
      </c>
      <c r="BJ5645">
        <v>1</v>
      </c>
      <c r="BK5645">
        <v>0</v>
      </c>
      <c r="BL5645">
        <v>0</v>
      </c>
      <c r="BO5645">
        <v>0</v>
      </c>
      <c r="BP5645">
        <v>0</v>
      </c>
      <c r="BW5645" t="str">
        <f t="shared" si="2631"/>
        <v>14:51:46.551</v>
      </c>
      <c r="CJ5645">
        <v>0</v>
      </c>
      <c r="CK5645">
        <v>2</v>
      </c>
      <c r="CL5645">
        <v>0</v>
      </c>
      <c r="CM5645">
        <v>2</v>
      </c>
      <c r="CN5645">
        <v>0</v>
      </c>
      <c r="CO5645">
        <v>7</v>
      </c>
      <c r="CP5645" t="s">
        <v>119</v>
      </c>
      <c r="CQ5645">
        <v>343</v>
      </c>
      <c r="CR5645">
        <v>2</v>
      </c>
      <c r="CW5645">
        <v>13427853</v>
      </c>
      <c r="CY5645">
        <v>1</v>
      </c>
      <c r="CZ5645">
        <v>0</v>
      </c>
      <c r="DA5645">
        <v>1</v>
      </c>
      <c r="DB5645">
        <v>0</v>
      </c>
      <c r="DC5645">
        <v>0</v>
      </c>
      <c r="DD5645">
        <v>1</v>
      </c>
      <c r="DE5645">
        <v>0</v>
      </c>
      <c r="DF5645">
        <v>0</v>
      </c>
      <c r="DG5645">
        <v>0</v>
      </c>
      <c r="DH5645">
        <v>0</v>
      </c>
      <c r="DI5645">
        <v>0</v>
      </c>
    </row>
    <row r="5646" spans="1:113" x14ac:dyDescent="0.3">
      <c r="A5646" t="str">
        <f t="shared" si="2628"/>
        <v>05/12/2020 14:51:28.715</v>
      </c>
      <c r="C5646" t="str">
        <f t="shared" si="2603"/>
        <v>FFDFD3C0</v>
      </c>
      <c r="D5646" t="s">
        <v>113</v>
      </c>
      <c r="E5646">
        <v>3</v>
      </c>
      <c r="H5646">
        <v>164</v>
      </c>
      <c r="I5646" t="s">
        <v>114</v>
      </c>
      <c r="J5646" t="s">
        <v>115</v>
      </c>
      <c r="K5646">
        <v>0</v>
      </c>
      <c r="L5646">
        <v>3</v>
      </c>
      <c r="M5646">
        <v>0</v>
      </c>
      <c r="N5646">
        <v>2</v>
      </c>
      <c r="O5646">
        <v>1</v>
      </c>
      <c r="P5646">
        <v>0</v>
      </c>
      <c r="Q5646">
        <v>0</v>
      </c>
      <c r="S5646" t="str">
        <f t="shared" si="2629"/>
        <v>14:51:46.547</v>
      </c>
      <c r="T5646" t="str">
        <f t="shared" si="2630"/>
        <v>14:51:46.347</v>
      </c>
      <c r="U5646" t="str">
        <f t="shared" si="2624"/>
        <v>A9808D</v>
      </c>
      <c r="V5646">
        <v>0</v>
      </c>
      <c r="W5646">
        <v>0</v>
      </c>
      <c r="X5646">
        <v>1</v>
      </c>
      <c r="Z5646">
        <v>0</v>
      </c>
      <c r="AA5646">
        <v>9</v>
      </c>
      <c r="AB5646">
        <v>3</v>
      </c>
      <c r="AC5646">
        <v>0</v>
      </c>
      <c r="AD5646">
        <v>10</v>
      </c>
      <c r="AE5646">
        <v>0</v>
      </c>
      <c r="AF5646">
        <v>3</v>
      </c>
      <c r="AG5646">
        <v>2</v>
      </c>
      <c r="AH5646">
        <v>0</v>
      </c>
      <c r="AI5646" t="s">
        <v>1256</v>
      </c>
      <c r="AJ5646">
        <v>28.206216999999999</v>
      </c>
      <c r="AK5646" t="s">
        <v>1257</v>
      </c>
      <c r="AL5646">
        <v>-82.386838999999995</v>
      </c>
      <c r="AM5646">
        <v>100</v>
      </c>
      <c r="AN5646">
        <v>900</v>
      </c>
      <c r="AO5646" t="s">
        <v>118</v>
      </c>
      <c r="AP5646">
        <v>71</v>
      </c>
      <c r="AQ5646">
        <v>-84</v>
      </c>
      <c r="AR5646">
        <v>-768</v>
      </c>
      <c r="AZ5646">
        <v>1200</v>
      </c>
      <c r="BA5646">
        <v>1</v>
      </c>
      <c r="BB5646" t="str">
        <f t="shared" si="2604"/>
        <v xml:space="preserve">N711JA  </v>
      </c>
      <c r="BC5646">
        <v>1</v>
      </c>
      <c r="BE5646">
        <v>0</v>
      </c>
      <c r="BF5646">
        <v>0</v>
      </c>
      <c r="BG5646">
        <v>0</v>
      </c>
      <c r="BH5646">
        <v>925</v>
      </c>
      <c r="BI5646">
        <v>1</v>
      </c>
      <c r="BJ5646">
        <v>1</v>
      </c>
      <c r="BK5646">
        <v>0</v>
      </c>
      <c r="BL5646">
        <v>0</v>
      </c>
      <c r="BO5646">
        <v>0</v>
      </c>
      <c r="BP5646">
        <v>0</v>
      </c>
      <c r="BW5646" t="str">
        <f t="shared" si="2631"/>
        <v>14:51:46.551</v>
      </c>
      <c r="CJ5646">
        <v>0</v>
      </c>
      <c r="CK5646">
        <v>2</v>
      </c>
      <c r="CL5646">
        <v>0</v>
      </c>
      <c r="CM5646">
        <v>2</v>
      </c>
      <c r="CN5646">
        <v>0</v>
      </c>
      <c r="CO5646">
        <v>7</v>
      </c>
      <c r="CP5646" t="s">
        <v>119</v>
      </c>
      <c r="CQ5646">
        <v>343</v>
      </c>
      <c r="CR5646">
        <v>2</v>
      </c>
      <c r="CW5646">
        <v>13427853</v>
      </c>
      <c r="CY5646">
        <v>1</v>
      </c>
      <c r="CZ5646">
        <v>0</v>
      </c>
      <c r="DA5646">
        <v>1</v>
      </c>
      <c r="DB5646">
        <v>0</v>
      </c>
      <c r="DC5646">
        <v>0</v>
      </c>
      <c r="DD5646">
        <v>1</v>
      </c>
      <c r="DE5646">
        <v>0</v>
      </c>
      <c r="DF5646">
        <v>0</v>
      </c>
      <c r="DG5646">
        <v>0</v>
      </c>
      <c r="DH5646">
        <v>0</v>
      </c>
      <c r="DI5646">
        <v>0</v>
      </c>
    </row>
    <row r="5647" spans="1:113" x14ac:dyDescent="0.3">
      <c r="A5647" t="str">
        <f t="shared" si="2628"/>
        <v>05/12/2020 14:51:28.715</v>
      </c>
      <c r="C5647" t="str">
        <f t="shared" si="2603"/>
        <v>FFDFD3C0</v>
      </c>
      <c r="D5647" t="s">
        <v>138</v>
      </c>
      <c r="E5647">
        <v>3</v>
      </c>
      <c r="H5647">
        <v>9</v>
      </c>
      <c r="I5647" t="s">
        <v>140</v>
      </c>
      <c r="J5647" t="s">
        <v>136</v>
      </c>
      <c r="K5647">
        <v>0</v>
      </c>
      <c r="L5647">
        <v>3</v>
      </c>
      <c r="M5647">
        <v>0</v>
      </c>
      <c r="N5647">
        <v>2</v>
      </c>
      <c r="O5647">
        <v>1</v>
      </c>
      <c r="P5647">
        <v>0</v>
      </c>
      <c r="Q5647">
        <v>0</v>
      </c>
      <c r="S5647" t="str">
        <f t="shared" si="2629"/>
        <v>14:51:46.547</v>
      </c>
      <c r="T5647" t="str">
        <f t="shared" si="2630"/>
        <v>14:51:46.347</v>
      </c>
      <c r="U5647" t="str">
        <f t="shared" si="2624"/>
        <v>A9808D</v>
      </c>
      <c r="V5647">
        <v>0</v>
      </c>
      <c r="W5647">
        <v>0</v>
      </c>
      <c r="X5647">
        <v>1</v>
      </c>
      <c r="Z5647">
        <v>0</v>
      </c>
      <c r="AA5647">
        <v>9</v>
      </c>
      <c r="AB5647">
        <v>3</v>
      </c>
      <c r="AC5647">
        <v>0</v>
      </c>
      <c r="AD5647">
        <v>10</v>
      </c>
      <c r="AE5647">
        <v>0</v>
      </c>
      <c r="AF5647">
        <v>3</v>
      </c>
      <c r="AG5647">
        <v>2</v>
      </c>
      <c r="AH5647">
        <v>0</v>
      </c>
      <c r="AI5647" t="s">
        <v>1256</v>
      </c>
      <c r="AJ5647">
        <v>28.206216999999999</v>
      </c>
      <c r="AK5647" t="s">
        <v>1257</v>
      </c>
      <c r="AL5647">
        <v>-82.386838999999995</v>
      </c>
      <c r="AM5647">
        <v>100</v>
      </c>
      <c r="AN5647">
        <v>900</v>
      </c>
      <c r="AO5647" t="s">
        <v>118</v>
      </c>
      <c r="AP5647">
        <v>71</v>
      </c>
      <c r="AQ5647">
        <v>-84</v>
      </c>
      <c r="AR5647">
        <v>-768</v>
      </c>
      <c r="AZ5647">
        <v>1200</v>
      </c>
      <c r="BA5647">
        <v>1</v>
      </c>
      <c r="BB5647" t="str">
        <f t="shared" si="2604"/>
        <v xml:space="preserve">N711JA  </v>
      </c>
      <c r="BC5647">
        <v>1</v>
      </c>
      <c r="BE5647">
        <v>0</v>
      </c>
      <c r="BF5647">
        <v>0</v>
      </c>
      <c r="BG5647">
        <v>0</v>
      </c>
      <c r="BH5647">
        <v>925</v>
      </c>
      <c r="BI5647">
        <v>1</v>
      </c>
      <c r="BJ5647">
        <v>1</v>
      </c>
      <c r="BK5647">
        <v>0</v>
      </c>
      <c r="BL5647">
        <v>0</v>
      </c>
      <c r="BO5647">
        <v>0</v>
      </c>
      <c r="BP5647">
        <v>0</v>
      </c>
      <c r="BW5647" t="str">
        <f t="shared" si="2631"/>
        <v>14:51:46.551</v>
      </c>
      <c r="CJ5647">
        <v>0</v>
      </c>
      <c r="CK5647">
        <v>2</v>
      </c>
      <c r="CL5647">
        <v>0</v>
      </c>
      <c r="CM5647">
        <v>2</v>
      </c>
      <c r="CN5647">
        <v>0</v>
      </c>
      <c r="CO5647">
        <v>7</v>
      </c>
      <c r="CP5647" t="s">
        <v>119</v>
      </c>
      <c r="CQ5647">
        <v>343</v>
      </c>
      <c r="CR5647">
        <v>2</v>
      </c>
      <c r="CW5647">
        <v>13427853</v>
      </c>
      <c r="CY5647">
        <v>1</v>
      </c>
      <c r="CZ5647">
        <v>0</v>
      </c>
      <c r="DA5647">
        <v>1</v>
      </c>
      <c r="DB5647">
        <v>0</v>
      </c>
      <c r="DC5647">
        <v>0</v>
      </c>
      <c r="DD5647">
        <v>1</v>
      </c>
      <c r="DE5647">
        <v>0</v>
      </c>
      <c r="DF5647">
        <v>0</v>
      </c>
      <c r="DG5647">
        <v>0</v>
      </c>
      <c r="DH5647">
        <v>0</v>
      </c>
      <c r="DI5647">
        <v>0</v>
      </c>
    </row>
    <row r="5648" spans="1:113" x14ac:dyDescent="0.3">
      <c r="A5648" t="str">
        <f t="shared" si="2628"/>
        <v>05/12/2020 14:51:28.715</v>
      </c>
      <c r="C5648" t="str">
        <f t="shared" si="2603"/>
        <v>FFDFD3C0</v>
      </c>
      <c r="D5648" t="s">
        <v>126</v>
      </c>
      <c r="E5648">
        <v>7</v>
      </c>
      <c r="F5648">
        <v>1007</v>
      </c>
      <c r="G5648" t="s">
        <v>127</v>
      </c>
      <c r="J5648" t="s">
        <v>128</v>
      </c>
      <c r="K5648">
        <v>0</v>
      </c>
      <c r="L5648">
        <v>3</v>
      </c>
      <c r="M5648">
        <v>0</v>
      </c>
      <c r="N5648">
        <v>2</v>
      </c>
      <c r="O5648">
        <v>1</v>
      </c>
      <c r="P5648">
        <v>0</v>
      </c>
      <c r="Q5648">
        <v>0</v>
      </c>
      <c r="S5648" t="str">
        <f t="shared" si="2629"/>
        <v>14:51:46.547</v>
      </c>
      <c r="T5648" t="str">
        <f t="shared" si="2630"/>
        <v>14:51:46.347</v>
      </c>
      <c r="U5648" t="str">
        <f t="shared" si="2624"/>
        <v>A9808D</v>
      </c>
      <c r="V5648">
        <v>0</v>
      </c>
      <c r="W5648">
        <v>0</v>
      </c>
      <c r="X5648">
        <v>1</v>
      </c>
      <c r="Z5648">
        <v>0</v>
      </c>
      <c r="AA5648">
        <v>9</v>
      </c>
      <c r="AB5648">
        <v>3</v>
      </c>
      <c r="AC5648">
        <v>0</v>
      </c>
      <c r="AD5648">
        <v>10</v>
      </c>
      <c r="AE5648">
        <v>0</v>
      </c>
      <c r="AF5648">
        <v>3</v>
      </c>
      <c r="AG5648">
        <v>2</v>
      </c>
      <c r="AH5648">
        <v>0</v>
      </c>
      <c r="AI5648" t="s">
        <v>1256</v>
      </c>
      <c r="AJ5648">
        <v>28.206216999999999</v>
      </c>
      <c r="AK5648" t="s">
        <v>1257</v>
      </c>
      <c r="AL5648">
        <v>-82.386838999999995</v>
      </c>
      <c r="AM5648">
        <v>100</v>
      </c>
      <c r="AN5648">
        <v>900</v>
      </c>
      <c r="AO5648" t="s">
        <v>118</v>
      </c>
      <c r="AP5648">
        <v>71</v>
      </c>
      <c r="AQ5648">
        <v>-84</v>
      </c>
      <c r="AR5648">
        <v>-768</v>
      </c>
      <c r="AZ5648">
        <v>1200</v>
      </c>
      <c r="BA5648">
        <v>1</v>
      </c>
      <c r="BB5648" t="str">
        <f t="shared" si="2604"/>
        <v xml:space="preserve">N711JA  </v>
      </c>
      <c r="BC5648">
        <v>1</v>
      </c>
      <c r="BE5648">
        <v>0</v>
      </c>
      <c r="BF5648">
        <v>0</v>
      </c>
      <c r="BG5648">
        <v>0</v>
      </c>
      <c r="BH5648">
        <v>925</v>
      </c>
      <c r="BI5648">
        <v>1</v>
      </c>
      <c r="BJ5648">
        <v>1</v>
      </c>
      <c r="BK5648">
        <v>0</v>
      </c>
      <c r="BL5648">
        <v>0</v>
      </c>
      <c r="BO5648">
        <v>0</v>
      </c>
      <c r="BP5648">
        <v>0</v>
      </c>
      <c r="BW5648" t="str">
        <f t="shared" si="2631"/>
        <v>14:51:46.551</v>
      </c>
      <c r="CJ5648">
        <v>0</v>
      </c>
      <c r="CK5648">
        <v>2</v>
      </c>
      <c r="CL5648">
        <v>0</v>
      </c>
      <c r="CM5648">
        <v>2</v>
      </c>
      <c r="CN5648">
        <v>0</v>
      </c>
      <c r="CO5648">
        <v>7</v>
      </c>
      <c r="CP5648" t="s">
        <v>119</v>
      </c>
      <c r="CQ5648">
        <v>343</v>
      </c>
      <c r="CR5648">
        <v>2</v>
      </c>
      <c r="CW5648">
        <v>13427853</v>
      </c>
      <c r="CY5648">
        <v>1</v>
      </c>
      <c r="CZ5648">
        <v>0</v>
      </c>
      <c r="DA5648">
        <v>1</v>
      </c>
      <c r="DB5648">
        <v>0</v>
      </c>
      <c r="DC5648">
        <v>0</v>
      </c>
      <c r="DD5648">
        <v>1</v>
      </c>
      <c r="DE5648">
        <v>0</v>
      </c>
      <c r="DF5648">
        <v>0</v>
      </c>
      <c r="DG5648">
        <v>0</v>
      </c>
      <c r="DH5648">
        <v>0</v>
      </c>
      <c r="DI5648">
        <v>0</v>
      </c>
    </row>
    <row r="5649" spans="1:113" x14ac:dyDescent="0.3">
      <c r="A5649" t="str">
        <f t="shared" si="2628"/>
        <v>05/12/2020 14:51:28.715</v>
      </c>
      <c r="C5649" t="str">
        <f t="shared" si="2603"/>
        <v>FFDFD3C0</v>
      </c>
      <c r="D5649" t="s">
        <v>131</v>
      </c>
      <c r="E5649">
        <v>12</v>
      </c>
      <c r="F5649">
        <v>2012</v>
      </c>
      <c r="G5649" t="s">
        <v>137</v>
      </c>
      <c r="J5649" t="s">
        <v>133</v>
      </c>
      <c r="K5649">
        <v>0</v>
      </c>
      <c r="L5649">
        <v>3</v>
      </c>
      <c r="M5649">
        <v>0</v>
      </c>
      <c r="N5649">
        <v>2</v>
      </c>
      <c r="O5649">
        <v>1</v>
      </c>
      <c r="P5649">
        <v>0</v>
      </c>
      <c r="Q5649">
        <v>0</v>
      </c>
      <c r="S5649" t="str">
        <f t="shared" si="2629"/>
        <v>14:51:46.547</v>
      </c>
      <c r="T5649" t="str">
        <f t="shared" si="2630"/>
        <v>14:51:46.347</v>
      </c>
      <c r="U5649" t="str">
        <f t="shared" si="2624"/>
        <v>A9808D</v>
      </c>
      <c r="V5649">
        <v>0</v>
      </c>
      <c r="W5649">
        <v>0</v>
      </c>
      <c r="X5649">
        <v>1</v>
      </c>
      <c r="Z5649">
        <v>0</v>
      </c>
      <c r="AA5649">
        <v>9</v>
      </c>
      <c r="AB5649">
        <v>3</v>
      </c>
      <c r="AC5649">
        <v>0</v>
      </c>
      <c r="AD5649">
        <v>10</v>
      </c>
      <c r="AE5649">
        <v>0</v>
      </c>
      <c r="AF5649">
        <v>3</v>
      </c>
      <c r="AG5649">
        <v>2</v>
      </c>
      <c r="AH5649">
        <v>0</v>
      </c>
      <c r="AI5649" t="s">
        <v>1256</v>
      </c>
      <c r="AJ5649">
        <v>28.206216999999999</v>
      </c>
      <c r="AK5649" t="s">
        <v>1257</v>
      </c>
      <c r="AL5649">
        <v>-82.386838999999995</v>
      </c>
      <c r="AM5649">
        <v>100</v>
      </c>
      <c r="AN5649">
        <v>900</v>
      </c>
      <c r="AO5649" t="s">
        <v>118</v>
      </c>
      <c r="AP5649">
        <v>71</v>
      </c>
      <c r="AQ5649">
        <v>-84</v>
      </c>
      <c r="AR5649">
        <v>-768</v>
      </c>
      <c r="AZ5649">
        <v>1200</v>
      </c>
      <c r="BA5649">
        <v>1</v>
      </c>
      <c r="BB5649" t="str">
        <f t="shared" si="2604"/>
        <v xml:space="preserve">N711JA  </v>
      </c>
      <c r="BC5649">
        <v>1</v>
      </c>
      <c r="BE5649">
        <v>0</v>
      </c>
      <c r="BF5649">
        <v>0</v>
      </c>
      <c r="BG5649">
        <v>0</v>
      </c>
      <c r="BH5649">
        <v>925</v>
      </c>
      <c r="BI5649">
        <v>1</v>
      </c>
      <c r="BJ5649">
        <v>1</v>
      </c>
      <c r="BK5649">
        <v>0</v>
      </c>
      <c r="BL5649">
        <v>0</v>
      </c>
      <c r="BO5649">
        <v>0</v>
      </c>
      <c r="BP5649">
        <v>0</v>
      </c>
      <c r="BW5649" t="str">
        <f t="shared" si="2631"/>
        <v>14:51:46.551</v>
      </c>
      <c r="CJ5649">
        <v>0</v>
      </c>
      <c r="CK5649">
        <v>2</v>
      </c>
      <c r="CL5649">
        <v>0</v>
      </c>
      <c r="CM5649">
        <v>2</v>
      </c>
      <c r="CN5649">
        <v>0</v>
      </c>
      <c r="CO5649">
        <v>7</v>
      </c>
      <c r="CP5649" t="s">
        <v>119</v>
      </c>
      <c r="CQ5649">
        <v>343</v>
      </c>
      <c r="CR5649">
        <v>2</v>
      </c>
      <c r="CW5649">
        <v>13427853</v>
      </c>
      <c r="CY5649">
        <v>1</v>
      </c>
      <c r="CZ5649">
        <v>0</v>
      </c>
      <c r="DA5649">
        <v>1</v>
      </c>
      <c r="DB5649">
        <v>0</v>
      </c>
      <c r="DC5649">
        <v>0</v>
      </c>
      <c r="DD5649">
        <v>1</v>
      </c>
      <c r="DE5649">
        <v>0</v>
      </c>
      <c r="DF5649">
        <v>0</v>
      </c>
      <c r="DG5649">
        <v>0</v>
      </c>
      <c r="DH5649">
        <v>0</v>
      </c>
      <c r="DI5649">
        <v>0</v>
      </c>
    </row>
    <row r="5650" spans="1:113" x14ac:dyDescent="0.3">
      <c r="A5650" t="str">
        <f t="shared" si="2628"/>
        <v>05/12/2020 14:51:28.715</v>
      </c>
      <c r="C5650" t="str">
        <f t="shared" si="2603"/>
        <v>FFDFD3C0</v>
      </c>
      <c r="D5650" t="s">
        <v>131</v>
      </c>
      <c r="E5650">
        <v>10</v>
      </c>
      <c r="F5650">
        <v>2010</v>
      </c>
      <c r="G5650" t="s">
        <v>132</v>
      </c>
      <c r="J5650" t="s">
        <v>133</v>
      </c>
      <c r="K5650">
        <v>0</v>
      </c>
      <c r="L5650">
        <v>3</v>
      </c>
      <c r="M5650">
        <v>0</v>
      </c>
      <c r="N5650">
        <v>2</v>
      </c>
      <c r="O5650">
        <v>1</v>
      </c>
      <c r="P5650">
        <v>0</v>
      </c>
      <c r="Q5650">
        <v>0</v>
      </c>
      <c r="S5650" t="str">
        <f t="shared" si="2629"/>
        <v>14:51:46.547</v>
      </c>
      <c r="T5650" t="str">
        <f t="shared" si="2630"/>
        <v>14:51:46.347</v>
      </c>
      <c r="U5650" t="str">
        <f t="shared" si="2624"/>
        <v>A9808D</v>
      </c>
      <c r="V5650">
        <v>0</v>
      </c>
      <c r="W5650">
        <v>0</v>
      </c>
      <c r="X5650">
        <v>1</v>
      </c>
      <c r="Z5650">
        <v>0</v>
      </c>
      <c r="AA5650">
        <v>9</v>
      </c>
      <c r="AB5650">
        <v>3</v>
      </c>
      <c r="AC5650">
        <v>0</v>
      </c>
      <c r="AD5650">
        <v>10</v>
      </c>
      <c r="AE5650">
        <v>0</v>
      </c>
      <c r="AF5650">
        <v>3</v>
      </c>
      <c r="AG5650">
        <v>2</v>
      </c>
      <c r="AH5650">
        <v>0</v>
      </c>
      <c r="AI5650" t="s">
        <v>1256</v>
      </c>
      <c r="AJ5650">
        <v>28.206216999999999</v>
      </c>
      <c r="AK5650" t="s">
        <v>1257</v>
      </c>
      <c r="AL5650">
        <v>-82.386838999999995</v>
      </c>
      <c r="AM5650">
        <v>100</v>
      </c>
      <c r="AN5650">
        <v>900</v>
      </c>
      <c r="AO5650" t="s">
        <v>118</v>
      </c>
      <c r="AP5650">
        <v>71</v>
      </c>
      <c r="AQ5650">
        <v>-84</v>
      </c>
      <c r="AR5650">
        <v>-768</v>
      </c>
      <c r="AZ5650">
        <v>1200</v>
      </c>
      <c r="BA5650">
        <v>1</v>
      </c>
      <c r="BB5650" t="str">
        <f t="shared" si="2604"/>
        <v xml:space="preserve">N711JA  </v>
      </c>
      <c r="BC5650">
        <v>1</v>
      </c>
      <c r="BE5650">
        <v>0</v>
      </c>
      <c r="BF5650">
        <v>0</v>
      </c>
      <c r="BG5650">
        <v>0</v>
      </c>
      <c r="BH5650">
        <v>925</v>
      </c>
      <c r="BI5650">
        <v>1</v>
      </c>
      <c r="BJ5650">
        <v>1</v>
      </c>
      <c r="BK5650">
        <v>0</v>
      </c>
      <c r="BL5650">
        <v>0</v>
      </c>
      <c r="BO5650">
        <v>0</v>
      </c>
      <c r="BP5650">
        <v>0</v>
      </c>
      <c r="BW5650" t="str">
        <f t="shared" si="2631"/>
        <v>14:51:46.551</v>
      </c>
      <c r="CJ5650">
        <v>0</v>
      </c>
      <c r="CK5650">
        <v>2</v>
      </c>
      <c r="CL5650">
        <v>0</v>
      </c>
      <c r="CM5650">
        <v>2</v>
      </c>
      <c r="CN5650">
        <v>0</v>
      </c>
      <c r="CO5650">
        <v>7</v>
      </c>
      <c r="CP5650" t="s">
        <v>119</v>
      </c>
      <c r="CQ5650">
        <v>343</v>
      </c>
      <c r="CR5650">
        <v>2</v>
      </c>
      <c r="CW5650">
        <v>13427853</v>
      </c>
      <c r="CY5650">
        <v>1</v>
      </c>
      <c r="CZ5650">
        <v>0</v>
      </c>
      <c r="DA5650">
        <v>1</v>
      </c>
      <c r="DB5650">
        <v>0</v>
      </c>
      <c r="DC5650">
        <v>0</v>
      </c>
      <c r="DD5650">
        <v>1</v>
      </c>
      <c r="DE5650">
        <v>0</v>
      </c>
      <c r="DF5650">
        <v>0</v>
      </c>
      <c r="DG5650">
        <v>0</v>
      </c>
      <c r="DH5650">
        <v>0</v>
      </c>
      <c r="DI5650">
        <v>0</v>
      </c>
    </row>
    <row r="5651" spans="1:113" x14ac:dyDescent="0.3">
      <c r="A5651" t="str">
        <f t="shared" si="2628"/>
        <v>05/12/2020 14:51:28.715</v>
      </c>
      <c r="C5651" t="str">
        <f t="shared" si="2603"/>
        <v>FFDFD3C0</v>
      </c>
      <c r="D5651" t="s">
        <v>126</v>
      </c>
      <c r="E5651">
        <v>6</v>
      </c>
      <c r="F5651">
        <v>1006</v>
      </c>
      <c r="G5651" t="s">
        <v>114</v>
      </c>
      <c r="J5651" t="s">
        <v>128</v>
      </c>
      <c r="K5651">
        <v>0</v>
      </c>
      <c r="L5651">
        <v>3</v>
      </c>
      <c r="M5651">
        <v>0</v>
      </c>
      <c r="N5651">
        <v>2</v>
      </c>
      <c r="O5651">
        <v>1</v>
      </c>
      <c r="P5651">
        <v>0</v>
      </c>
      <c r="Q5651">
        <v>0</v>
      </c>
      <c r="S5651" t="str">
        <f t="shared" si="2629"/>
        <v>14:51:46.547</v>
      </c>
      <c r="T5651" t="str">
        <f t="shared" si="2630"/>
        <v>14:51:46.347</v>
      </c>
      <c r="U5651" t="str">
        <f t="shared" si="2624"/>
        <v>A9808D</v>
      </c>
      <c r="V5651">
        <v>0</v>
      </c>
      <c r="W5651">
        <v>0</v>
      </c>
      <c r="X5651">
        <v>1</v>
      </c>
      <c r="Z5651">
        <v>0</v>
      </c>
      <c r="AA5651">
        <v>9</v>
      </c>
      <c r="AB5651">
        <v>3</v>
      </c>
      <c r="AC5651">
        <v>0</v>
      </c>
      <c r="AD5651">
        <v>10</v>
      </c>
      <c r="AE5651">
        <v>0</v>
      </c>
      <c r="AF5651">
        <v>3</v>
      </c>
      <c r="AG5651">
        <v>2</v>
      </c>
      <c r="AH5651">
        <v>0</v>
      </c>
      <c r="AI5651" t="s">
        <v>1256</v>
      </c>
      <c r="AJ5651">
        <v>28.206216999999999</v>
      </c>
      <c r="AK5651" t="s">
        <v>1257</v>
      </c>
      <c r="AL5651">
        <v>-82.386838999999995</v>
      </c>
      <c r="AM5651">
        <v>100</v>
      </c>
      <c r="AN5651">
        <v>900</v>
      </c>
      <c r="AO5651" t="s">
        <v>118</v>
      </c>
      <c r="AP5651">
        <v>71</v>
      </c>
      <c r="AQ5651">
        <v>-84</v>
      </c>
      <c r="AR5651">
        <v>-768</v>
      </c>
      <c r="AZ5651">
        <v>1200</v>
      </c>
      <c r="BA5651">
        <v>1</v>
      </c>
      <c r="BB5651" t="str">
        <f t="shared" si="2604"/>
        <v xml:space="preserve">N711JA  </v>
      </c>
      <c r="BC5651">
        <v>1</v>
      </c>
      <c r="BE5651">
        <v>0</v>
      </c>
      <c r="BF5651">
        <v>0</v>
      </c>
      <c r="BG5651">
        <v>0</v>
      </c>
      <c r="BH5651">
        <v>925</v>
      </c>
      <c r="BI5651">
        <v>1</v>
      </c>
      <c r="BJ5651">
        <v>1</v>
      </c>
      <c r="BK5651">
        <v>0</v>
      </c>
      <c r="BL5651">
        <v>0</v>
      </c>
      <c r="BO5651">
        <v>0</v>
      </c>
      <c r="BP5651">
        <v>0</v>
      </c>
      <c r="BW5651" t="str">
        <f t="shared" si="2631"/>
        <v>14:51:46.551</v>
      </c>
      <c r="CJ5651">
        <v>0</v>
      </c>
      <c r="CK5651">
        <v>2</v>
      </c>
      <c r="CL5651">
        <v>0</v>
      </c>
      <c r="CM5651">
        <v>2</v>
      </c>
      <c r="CN5651">
        <v>0</v>
      </c>
      <c r="CO5651">
        <v>7</v>
      </c>
      <c r="CP5651" t="s">
        <v>119</v>
      </c>
      <c r="CQ5651">
        <v>343</v>
      </c>
      <c r="CR5651">
        <v>2</v>
      </c>
      <c r="CW5651">
        <v>13427853</v>
      </c>
      <c r="CY5651">
        <v>1</v>
      </c>
      <c r="CZ5651">
        <v>0</v>
      </c>
      <c r="DA5651">
        <v>1</v>
      </c>
      <c r="DB5651">
        <v>0</v>
      </c>
      <c r="DC5651">
        <v>0</v>
      </c>
      <c r="DD5651">
        <v>1</v>
      </c>
      <c r="DE5651">
        <v>0</v>
      </c>
      <c r="DF5651">
        <v>0</v>
      </c>
      <c r="DG5651">
        <v>0</v>
      </c>
      <c r="DH5651">
        <v>0</v>
      </c>
      <c r="DI5651">
        <v>0</v>
      </c>
    </row>
    <row r="5652" spans="1:113" x14ac:dyDescent="0.3">
      <c r="A5652" t="str">
        <f t="shared" ref="A5652:A5659" si="2632">"05/12/2020 14:51:29.880"</f>
        <v>05/12/2020 14:51:29.880</v>
      </c>
      <c r="C5652" t="str">
        <f t="shared" si="2603"/>
        <v>FFDFD3C0</v>
      </c>
      <c r="D5652" t="s">
        <v>134</v>
      </c>
      <c r="E5652">
        <v>12</v>
      </c>
      <c r="H5652">
        <v>64</v>
      </c>
      <c r="I5652" t="s">
        <v>135</v>
      </c>
      <c r="J5652" t="s">
        <v>136</v>
      </c>
      <c r="K5652">
        <v>0</v>
      </c>
      <c r="L5652">
        <v>3</v>
      </c>
      <c r="M5652">
        <v>0</v>
      </c>
      <c r="N5652">
        <v>2</v>
      </c>
      <c r="O5652">
        <v>1</v>
      </c>
      <c r="P5652">
        <v>0</v>
      </c>
      <c r="Q5652">
        <v>0</v>
      </c>
      <c r="S5652" t="str">
        <f t="shared" ref="S5652:S5659" si="2633">"14:51:47.711"</f>
        <v>14:51:47.711</v>
      </c>
      <c r="T5652" t="str">
        <f t="shared" ref="T5652:T5659" si="2634">"14:51:47.211"</f>
        <v>14:51:47.211</v>
      </c>
      <c r="U5652" t="str">
        <f t="shared" si="2624"/>
        <v>A9808D</v>
      </c>
      <c r="V5652">
        <v>0</v>
      </c>
      <c r="W5652">
        <v>0</v>
      </c>
      <c r="X5652">
        <v>1</v>
      </c>
      <c r="Z5652">
        <v>0</v>
      </c>
      <c r="AA5652">
        <v>9</v>
      </c>
      <c r="AB5652">
        <v>3</v>
      </c>
      <c r="AC5652">
        <v>0</v>
      </c>
      <c r="AD5652">
        <v>10</v>
      </c>
      <c r="AE5652">
        <v>0</v>
      </c>
      <c r="AF5652">
        <v>3</v>
      </c>
      <c r="AG5652">
        <v>2</v>
      </c>
      <c r="AH5652">
        <v>0</v>
      </c>
      <c r="AI5652" t="s">
        <v>1258</v>
      </c>
      <c r="AJ5652">
        <v>28.205767000000002</v>
      </c>
      <c r="AK5652" t="s">
        <v>1259</v>
      </c>
      <c r="AL5652">
        <v>-82.386409999999998</v>
      </c>
      <c r="AM5652">
        <v>100</v>
      </c>
      <c r="AN5652">
        <v>900</v>
      </c>
      <c r="AO5652" t="s">
        <v>118</v>
      </c>
      <c r="AP5652">
        <v>72</v>
      </c>
      <c r="AQ5652">
        <v>-82</v>
      </c>
      <c r="AR5652">
        <v>-832</v>
      </c>
      <c r="AZ5652">
        <v>1200</v>
      </c>
      <c r="BA5652">
        <v>1</v>
      </c>
      <c r="BB5652" t="str">
        <f t="shared" si="2604"/>
        <v xml:space="preserve">N711JA  </v>
      </c>
      <c r="BC5652">
        <v>1</v>
      </c>
      <c r="BE5652">
        <v>0</v>
      </c>
      <c r="BF5652">
        <v>0</v>
      </c>
      <c r="BG5652">
        <v>0</v>
      </c>
      <c r="BH5652">
        <v>925</v>
      </c>
      <c r="BI5652">
        <v>1</v>
      </c>
      <c r="BJ5652">
        <v>1</v>
      </c>
      <c r="BK5652">
        <v>0</v>
      </c>
      <c r="BL5652">
        <v>0</v>
      </c>
      <c r="BO5652">
        <v>0</v>
      </c>
      <c r="BP5652">
        <v>0</v>
      </c>
      <c r="BW5652" t="str">
        <f t="shared" ref="BW5652:BW5659" si="2635">"14:51:47.712"</f>
        <v>14:51:47.712</v>
      </c>
      <c r="CJ5652">
        <v>0</v>
      </c>
      <c r="CK5652">
        <v>2</v>
      </c>
      <c r="CL5652">
        <v>0</v>
      </c>
      <c r="CM5652">
        <v>2</v>
      </c>
      <c r="CN5652">
        <v>0</v>
      </c>
      <c r="CO5652">
        <v>7</v>
      </c>
      <c r="CP5652" t="s">
        <v>119</v>
      </c>
      <c r="CQ5652">
        <v>343</v>
      </c>
      <c r="CR5652">
        <v>2</v>
      </c>
      <c r="CW5652">
        <v>13428729</v>
      </c>
      <c r="CY5652">
        <v>1</v>
      </c>
      <c r="CZ5652">
        <v>0</v>
      </c>
      <c r="DA5652">
        <v>0</v>
      </c>
      <c r="DB5652">
        <v>0</v>
      </c>
      <c r="DC5652">
        <v>0</v>
      </c>
      <c r="DD5652">
        <v>1</v>
      </c>
      <c r="DE5652">
        <v>0</v>
      </c>
      <c r="DF5652">
        <v>0</v>
      </c>
      <c r="DG5652">
        <v>0</v>
      </c>
      <c r="DH5652">
        <v>0</v>
      </c>
      <c r="DI5652">
        <v>0</v>
      </c>
    </row>
    <row r="5653" spans="1:113" x14ac:dyDescent="0.3">
      <c r="A5653" t="str">
        <f t="shared" si="2632"/>
        <v>05/12/2020 14:51:29.880</v>
      </c>
      <c r="C5653" t="str">
        <f t="shared" si="2603"/>
        <v>FFDFD3C0</v>
      </c>
      <c r="D5653" t="s">
        <v>126</v>
      </c>
      <c r="E5653">
        <v>7</v>
      </c>
      <c r="F5653">
        <v>1007</v>
      </c>
      <c r="G5653" t="s">
        <v>127</v>
      </c>
      <c r="J5653" t="s">
        <v>128</v>
      </c>
      <c r="K5653">
        <v>0</v>
      </c>
      <c r="L5653">
        <v>3</v>
      </c>
      <c r="M5653">
        <v>0</v>
      </c>
      <c r="N5653">
        <v>2</v>
      </c>
      <c r="O5653">
        <v>1</v>
      </c>
      <c r="P5653">
        <v>0</v>
      </c>
      <c r="Q5653">
        <v>0</v>
      </c>
      <c r="S5653" t="str">
        <f t="shared" si="2633"/>
        <v>14:51:47.711</v>
      </c>
      <c r="T5653" t="str">
        <f t="shared" si="2634"/>
        <v>14:51:47.211</v>
      </c>
      <c r="U5653" t="str">
        <f t="shared" si="2624"/>
        <v>A9808D</v>
      </c>
      <c r="V5653">
        <v>0</v>
      </c>
      <c r="W5653">
        <v>0</v>
      </c>
      <c r="X5653">
        <v>1</v>
      </c>
      <c r="Z5653">
        <v>0</v>
      </c>
      <c r="AA5653">
        <v>9</v>
      </c>
      <c r="AB5653">
        <v>3</v>
      </c>
      <c r="AC5653">
        <v>0</v>
      </c>
      <c r="AD5653">
        <v>10</v>
      </c>
      <c r="AE5653">
        <v>0</v>
      </c>
      <c r="AF5653">
        <v>3</v>
      </c>
      <c r="AG5653">
        <v>2</v>
      </c>
      <c r="AH5653">
        <v>0</v>
      </c>
      <c r="AI5653" t="s">
        <v>1258</v>
      </c>
      <c r="AJ5653">
        <v>28.205767000000002</v>
      </c>
      <c r="AK5653" t="s">
        <v>1259</v>
      </c>
      <c r="AL5653">
        <v>-82.386409999999998</v>
      </c>
      <c r="AM5653">
        <v>100</v>
      </c>
      <c r="AN5653">
        <v>900</v>
      </c>
      <c r="AO5653" t="s">
        <v>118</v>
      </c>
      <c r="AP5653">
        <v>72</v>
      </c>
      <c r="AQ5653">
        <v>-82</v>
      </c>
      <c r="AR5653">
        <v>-832</v>
      </c>
      <c r="AZ5653">
        <v>1200</v>
      </c>
      <c r="BA5653">
        <v>1</v>
      </c>
      <c r="BB5653" t="str">
        <f t="shared" si="2604"/>
        <v xml:space="preserve">N711JA  </v>
      </c>
      <c r="BC5653">
        <v>1</v>
      </c>
      <c r="BE5653">
        <v>0</v>
      </c>
      <c r="BF5653">
        <v>0</v>
      </c>
      <c r="BG5653">
        <v>0</v>
      </c>
      <c r="BH5653">
        <v>925</v>
      </c>
      <c r="BI5653">
        <v>1</v>
      </c>
      <c r="BJ5653">
        <v>1</v>
      </c>
      <c r="BK5653">
        <v>0</v>
      </c>
      <c r="BL5653">
        <v>0</v>
      </c>
      <c r="BO5653">
        <v>0</v>
      </c>
      <c r="BP5653">
        <v>0</v>
      </c>
      <c r="BW5653" t="str">
        <f t="shared" si="2635"/>
        <v>14:51:47.712</v>
      </c>
      <c r="CJ5653">
        <v>0</v>
      </c>
      <c r="CK5653">
        <v>2</v>
      </c>
      <c r="CL5653">
        <v>0</v>
      </c>
      <c r="CM5653">
        <v>2</v>
      </c>
      <c r="CN5653">
        <v>0</v>
      </c>
      <c r="CO5653">
        <v>7</v>
      </c>
      <c r="CP5653" t="s">
        <v>119</v>
      </c>
      <c r="CQ5653">
        <v>343</v>
      </c>
      <c r="CR5653">
        <v>2</v>
      </c>
      <c r="CW5653">
        <v>13428729</v>
      </c>
      <c r="CY5653">
        <v>1</v>
      </c>
      <c r="CZ5653">
        <v>0</v>
      </c>
      <c r="DA5653">
        <v>1</v>
      </c>
      <c r="DB5653">
        <v>0</v>
      </c>
      <c r="DC5653">
        <v>0</v>
      </c>
      <c r="DD5653">
        <v>1</v>
      </c>
      <c r="DE5653">
        <v>0</v>
      </c>
      <c r="DF5653">
        <v>0</v>
      </c>
      <c r="DG5653">
        <v>0</v>
      </c>
      <c r="DH5653">
        <v>0</v>
      </c>
      <c r="DI5653">
        <v>0</v>
      </c>
    </row>
    <row r="5654" spans="1:113" x14ac:dyDescent="0.3">
      <c r="A5654" t="str">
        <f t="shared" si="2632"/>
        <v>05/12/2020 14:51:29.880</v>
      </c>
      <c r="C5654" t="str">
        <f t="shared" ref="C5654:C5717" si="2636">"FFDFD3C0"</f>
        <v>FFDFD3C0</v>
      </c>
      <c r="D5654" t="s">
        <v>113</v>
      </c>
      <c r="E5654">
        <v>3</v>
      </c>
      <c r="H5654">
        <v>164</v>
      </c>
      <c r="I5654" t="s">
        <v>114</v>
      </c>
      <c r="J5654" t="s">
        <v>115</v>
      </c>
      <c r="K5654">
        <v>0</v>
      </c>
      <c r="L5654">
        <v>3</v>
      </c>
      <c r="M5654">
        <v>0</v>
      </c>
      <c r="N5654">
        <v>2</v>
      </c>
      <c r="O5654">
        <v>1</v>
      </c>
      <c r="P5654">
        <v>0</v>
      </c>
      <c r="Q5654">
        <v>0</v>
      </c>
      <c r="S5654" t="str">
        <f t="shared" si="2633"/>
        <v>14:51:47.711</v>
      </c>
      <c r="T5654" t="str">
        <f t="shared" si="2634"/>
        <v>14:51:47.211</v>
      </c>
      <c r="U5654" t="str">
        <f t="shared" si="2624"/>
        <v>A9808D</v>
      </c>
      <c r="V5654">
        <v>0</v>
      </c>
      <c r="W5654">
        <v>0</v>
      </c>
      <c r="X5654">
        <v>1</v>
      </c>
      <c r="Z5654">
        <v>0</v>
      </c>
      <c r="AA5654">
        <v>9</v>
      </c>
      <c r="AB5654">
        <v>3</v>
      </c>
      <c r="AC5654">
        <v>0</v>
      </c>
      <c r="AD5654">
        <v>10</v>
      </c>
      <c r="AE5654">
        <v>0</v>
      </c>
      <c r="AF5654">
        <v>3</v>
      </c>
      <c r="AG5654">
        <v>2</v>
      </c>
      <c r="AH5654">
        <v>0</v>
      </c>
      <c r="AI5654" t="s">
        <v>1258</v>
      </c>
      <c r="AJ5654">
        <v>28.205767000000002</v>
      </c>
      <c r="AK5654" t="s">
        <v>1259</v>
      </c>
      <c r="AL5654">
        <v>-82.386409999999998</v>
      </c>
      <c r="AM5654">
        <v>100</v>
      </c>
      <c r="AN5654">
        <v>900</v>
      </c>
      <c r="AO5654" t="s">
        <v>118</v>
      </c>
      <c r="AP5654">
        <v>72</v>
      </c>
      <c r="AQ5654">
        <v>-82</v>
      </c>
      <c r="AR5654">
        <v>-832</v>
      </c>
      <c r="AZ5654">
        <v>1200</v>
      </c>
      <c r="BA5654">
        <v>1</v>
      </c>
      <c r="BB5654" t="str">
        <f t="shared" ref="BB5654:BB5717" si="2637">"N711JA  "</f>
        <v xml:space="preserve">N711JA  </v>
      </c>
      <c r="BC5654">
        <v>1</v>
      </c>
      <c r="BE5654">
        <v>0</v>
      </c>
      <c r="BF5654">
        <v>0</v>
      </c>
      <c r="BG5654">
        <v>0</v>
      </c>
      <c r="BH5654">
        <v>925</v>
      </c>
      <c r="BI5654">
        <v>1</v>
      </c>
      <c r="BJ5654">
        <v>1</v>
      </c>
      <c r="BK5654">
        <v>0</v>
      </c>
      <c r="BL5654">
        <v>0</v>
      </c>
      <c r="BO5654">
        <v>0</v>
      </c>
      <c r="BP5654">
        <v>0</v>
      </c>
      <c r="BW5654" t="str">
        <f t="shared" si="2635"/>
        <v>14:51:47.712</v>
      </c>
      <c r="CJ5654">
        <v>0</v>
      </c>
      <c r="CK5654">
        <v>2</v>
      </c>
      <c r="CL5654">
        <v>0</v>
      </c>
      <c r="CM5654">
        <v>2</v>
      </c>
      <c r="CN5654">
        <v>0</v>
      </c>
      <c r="CO5654">
        <v>7</v>
      </c>
      <c r="CP5654" t="s">
        <v>119</v>
      </c>
      <c r="CQ5654">
        <v>343</v>
      </c>
      <c r="CR5654">
        <v>2</v>
      </c>
      <c r="CW5654">
        <v>13428729</v>
      </c>
      <c r="CY5654">
        <v>1</v>
      </c>
      <c r="CZ5654">
        <v>0</v>
      </c>
      <c r="DA5654">
        <v>1</v>
      </c>
      <c r="DB5654">
        <v>0</v>
      </c>
      <c r="DC5654">
        <v>0</v>
      </c>
      <c r="DD5654">
        <v>1</v>
      </c>
      <c r="DE5654">
        <v>0</v>
      </c>
      <c r="DF5654">
        <v>0</v>
      </c>
      <c r="DG5654">
        <v>0</v>
      </c>
      <c r="DH5654">
        <v>0</v>
      </c>
      <c r="DI5654">
        <v>0</v>
      </c>
    </row>
    <row r="5655" spans="1:113" x14ac:dyDescent="0.3">
      <c r="A5655" t="str">
        <f t="shared" si="2632"/>
        <v>05/12/2020 14:51:29.880</v>
      </c>
      <c r="C5655" t="str">
        <f t="shared" si="2636"/>
        <v>FFDFD3C0</v>
      </c>
      <c r="D5655" t="s">
        <v>138</v>
      </c>
      <c r="E5655">
        <v>2</v>
      </c>
      <c r="H5655">
        <v>8</v>
      </c>
      <c r="I5655" t="s">
        <v>139</v>
      </c>
      <c r="J5655" t="s">
        <v>136</v>
      </c>
      <c r="K5655">
        <v>0</v>
      </c>
      <c r="L5655">
        <v>3</v>
      </c>
      <c r="M5655">
        <v>0</v>
      </c>
      <c r="N5655">
        <v>2</v>
      </c>
      <c r="O5655">
        <v>1</v>
      </c>
      <c r="P5655">
        <v>0</v>
      </c>
      <c r="Q5655">
        <v>0</v>
      </c>
      <c r="S5655" t="str">
        <f t="shared" si="2633"/>
        <v>14:51:47.711</v>
      </c>
      <c r="T5655" t="str">
        <f t="shared" si="2634"/>
        <v>14:51:47.211</v>
      </c>
      <c r="U5655" t="str">
        <f t="shared" si="2624"/>
        <v>A9808D</v>
      </c>
      <c r="V5655">
        <v>0</v>
      </c>
      <c r="W5655">
        <v>0</v>
      </c>
      <c r="X5655">
        <v>1</v>
      </c>
      <c r="Z5655">
        <v>0</v>
      </c>
      <c r="AA5655">
        <v>9</v>
      </c>
      <c r="AB5655">
        <v>3</v>
      </c>
      <c r="AC5655">
        <v>0</v>
      </c>
      <c r="AD5655">
        <v>10</v>
      </c>
      <c r="AE5655">
        <v>0</v>
      </c>
      <c r="AF5655">
        <v>3</v>
      </c>
      <c r="AG5655">
        <v>2</v>
      </c>
      <c r="AH5655">
        <v>0</v>
      </c>
      <c r="AI5655" t="s">
        <v>1258</v>
      </c>
      <c r="AJ5655">
        <v>28.205767000000002</v>
      </c>
      <c r="AK5655" t="s">
        <v>1259</v>
      </c>
      <c r="AL5655">
        <v>-82.386409999999998</v>
      </c>
      <c r="AM5655">
        <v>100</v>
      </c>
      <c r="AN5655">
        <v>900</v>
      </c>
      <c r="AO5655" t="s">
        <v>118</v>
      </c>
      <c r="AP5655">
        <v>72</v>
      </c>
      <c r="AQ5655">
        <v>-82</v>
      </c>
      <c r="AR5655">
        <v>-832</v>
      </c>
      <c r="AZ5655">
        <v>1200</v>
      </c>
      <c r="BA5655">
        <v>1</v>
      </c>
      <c r="BB5655" t="str">
        <f t="shared" si="2637"/>
        <v xml:space="preserve">N711JA  </v>
      </c>
      <c r="BC5655">
        <v>1</v>
      </c>
      <c r="BE5655">
        <v>0</v>
      </c>
      <c r="BF5655">
        <v>0</v>
      </c>
      <c r="BG5655">
        <v>0</v>
      </c>
      <c r="BH5655">
        <v>925</v>
      </c>
      <c r="BI5655">
        <v>1</v>
      </c>
      <c r="BJ5655">
        <v>1</v>
      </c>
      <c r="BK5655">
        <v>0</v>
      </c>
      <c r="BL5655">
        <v>0</v>
      </c>
      <c r="BO5655">
        <v>0</v>
      </c>
      <c r="BP5655">
        <v>0</v>
      </c>
      <c r="BW5655" t="str">
        <f t="shared" si="2635"/>
        <v>14:51:47.712</v>
      </c>
      <c r="CJ5655">
        <v>0</v>
      </c>
      <c r="CK5655">
        <v>2</v>
      </c>
      <c r="CL5655">
        <v>0</v>
      </c>
      <c r="CM5655">
        <v>2</v>
      </c>
      <c r="CN5655">
        <v>0</v>
      </c>
      <c r="CO5655">
        <v>7</v>
      </c>
      <c r="CP5655" t="s">
        <v>119</v>
      </c>
      <c r="CQ5655">
        <v>343</v>
      </c>
      <c r="CR5655">
        <v>2</v>
      </c>
      <c r="CW5655">
        <v>13428729</v>
      </c>
      <c r="CY5655">
        <v>1</v>
      </c>
      <c r="CZ5655">
        <v>0</v>
      </c>
      <c r="DA5655">
        <v>1</v>
      </c>
      <c r="DB5655">
        <v>0</v>
      </c>
      <c r="DC5655">
        <v>0</v>
      </c>
      <c r="DD5655">
        <v>1</v>
      </c>
      <c r="DE5655">
        <v>0</v>
      </c>
      <c r="DF5655">
        <v>0</v>
      </c>
      <c r="DG5655">
        <v>0</v>
      </c>
      <c r="DH5655">
        <v>0</v>
      </c>
      <c r="DI5655">
        <v>0</v>
      </c>
    </row>
    <row r="5656" spans="1:113" x14ac:dyDescent="0.3">
      <c r="A5656" t="str">
        <f t="shared" si="2632"/>
        <v>05/12/2020 14:51:29.880</v>
      </c>
      <c r="C5656" t="str">
        <f t="shared" si="2636"/>
        <v>FFDFD3C0</v>
      </c>
      <c r="D5656" t="s">
        <v>138</v>
      </c>
      <c r="E5656">
        <v>3</v>
      </c>
      <c r="H5656">
        <v>9</v>
      </c>
      <c r="I5656" t="s">
        <v>140</v>
      </c>
      <c r="J5656" t="s">
        <v>136</v>
      </c>
      <c r="K5656">
        <v>0</v>
      </c>
      <c r="L5656">
        <v>3</v>
      </c>
      <c r="M5656">
        <v>0</v>
      </c>
      <c r="N5656">
        <v>2</v>
      </c>
      <c r="O5656">
        <v>1</v>
      </c>
      <c r="P5656">
        <v>0</v>
      </c>
      <c r="Q5656">
        <v>0</v>
      </c>
      <c r="S5656" t="str">
        <f t="shared" si="2633"/>
        <v>14:51:47.711</v>
      </c>
      <c r="T5656" t="str">
        <f t="shared" si="2634"/>
        <v>14:51:47.211</v>
      </c>
      <c r="U5656" t="str">
        <f t="shared" si="2624"/>
        <v>A9808D</v>
      </c>
      <c r="V5656">
        <v>0</v>
      </c>
      <c r="W5656">
        <v>0</v>
      </c>
      <c r="X5656">
        <v>1</v>
      </c>
      <c r="Z5656">
        <v>0</v>
      </c>
      <c r="AA5656">
        <v>9</v>
      </c>
      <c r="AB5656">
        <v>3</v>
      </c>
      <c r="AC5656">
        <v>0</v>
      </c>
      <c r="AD5656">
        <v>10</v>
      </c>
      <c r="AE5656">
        <v>0</v>
      </c>
      <c r="AF5656">
        <v>3</v>
      </c>
      <c r="AG5656">
        <v>2</v>
      </c>
      <c r="AH5656">
        <v>0</v>
      </c>
      <c r="AI5656" t="s">
        <v>1258</v>
      </c>
      <c r="AJ5656">
        <v>28.205767000000002</v>
      </c>
      <c r="AK5656" t="s">
        <v>1259</v>
      </c>
      <c r="AL5656">
        <v>-82.386409999999998</v>
      </c>
      <c r="AM5656">
        <v>100</v>
      </c>
      <c r="AN5656">
        <v>900</v>
      </c>
      <c r="AO5656" t="s">
        <v>118</v>
      </c>
      <c r="AP5656">
        <v>72</v>
      </c>
      <c r="AQ5656">
        <v>-82</v>
      </c>
      <c r="AR5656">
        <v>-832</v>
      </c>
      <c r="AZ5656">
        <v>1200</v>
      </c>
      <c r="BA5656">
        <v>1</v>
      </c>
      <c r="BB5656" t="str">
        <f t="shared" si="2637"/>
        <v xml:space="preserve">N711JA  </v>
      </c>
      <c r="BC5656">
        <v>1</v>
      </c>
      <c r="BE5656">
        <v>0</v>
      </c>
      <c r="BF5656">
        <v>0</v>
      </c>
      <c r="BG5656">
        <v>0</v>
      </c>
      <c r="BH5656">
        <v>925</v>
      </c>
      <c r="BI5656">
        <v>1</v>
      </c>
      <c r="BJ5656">
        <v>1</v>
      </c>
      <c r="BK5656">
        <v>0</v>
      </c>
      <c r="BL5656">
        <v>0</v>
      </c>
      <c r="BO5656">
        <v>0</v>
      </c>
      <c r="BP5656">
        <v>0</v>
      </c>
      <c r="BW5656" t="str">
        <f t="shared" si="2635"/>
        <v>14:51:47.712</v>
      </c>
      <c r="CJ5656">
        <v>0</v>
      </c>
      <c r="CK5656">
        <v>2</v>
      </c>
      <c r="CL5656">
        <v>0</v>
      </c>
      <c r="CM5656">
        <v>2</v>
      </c>
      <c r="CN5656">
        <v>0</v>
      </c>
      <c r="CO5656">
        <v>7</v>
      </c>
      <c r="CP5656" t="s">
        <v>119</v>
      </c>
      <c r="CQ5656">
        <v>343</v>
      </c>
      <c r="CR5656">
        <v>2</v>
      </c>
      <c r="CW5656">
        <v>13428729</v>
      </c>
      <c r="CY5656">
        <v>1</v>
      </c>
      <c r="CZ5656">
        <v>0</v>
      </c>
      <c r="DA5656">
        <v>1</v>
      </c>
      <c r="DB5656">
        <v>0</v>
      </c>
      <c r="DC5656">
        <v>0</v>
      </c>
      <c r="DD5656">
        <v>1</v>
      </c>
      <c r="DE5656">
        <v>0</v>
      </c>
      <c r="DF5656">
        <v>0</v>
      </c>
      <c r="DG5656">
        <v>0</v>
      </c>
      <c r="DH5656">
        <v>0</v>
      </c>
      <c r="DI5656">
        <v>0</v>
      </c>
    </row>
    <row r="5657" spans="1:113" x14ac:dyDescent="0.3">
      <c r="A5657" t="str">
        <f t="shared" si="2632"/>
        <v>05/12/2020 14:51:29.880</v>
      </c>
      <c r="C5657" t="str">
        <f t="shared" si="2636"/>
        <v>FFDFD3C0</v>
      </c>
      <c r="D5657" t="s">
        <v>131</v>
      </c>
      <c r="E5657">
        <v>10</v>
      </c>
      <c r="F5657">
        <v>2010</v>
      </c>
      <c r="G5657" t="s">
        <v>132</v>
      </c>
      <c r="J5657" t="s">
        <v>133</v>
      </c>
      <c r="K5657">
        <v>0</v>
      </c>
      <c r="L5657">
        <v>3</v>
      </c>
      <c r="M5657">
        <v>0</v>
      </c>
      <c r="N5657">
        <v>2</v>
      </c>
      <c r="O5657">
        <v>1</v>
      </c>
      <c r="P5657">
        <v>0</v>
      </c>
      <c r="Q5657">
        <v>0</v>
      </c>
      <c r="S5657" t="str">
        <f t="shared" si="2633"/>
        <v>14:51:47.711</v>
      </c>
      <c r="T5657" t="str">
        <f t="shared" si="2634"/>
        <v>14:51:47.211</v>
      </c>
      <c r="U5657" t="str">
        <f t="shared" si="2624"/>
        <v>A9808D</v>
      </c>
      <c r="V5657">
        <v>0</v>
      </c>
      <c r="W5657">
        <v>0</v>
      </c>
      <c r="X5657">
        <v>1</v>
      </c>
      <c r="Z5657">
        <v>0</v>
      </c>
      <c r="AA5657">
        <v>9</v>
      </c>
      <c r="AB5657">
        <v>3</v>
      </c>
      <c r="AC5657">
        <v>0</v>
      </c>
      <c r="AD5657">
        <v>10</v>
      </c>
      <c r="AE5657">
        <v>0</v>
      </c>
      <c r="AF5657">
        <v>3</v>
      </c>
      <c r="AG5657">
        <v>2</v>
      </c>
      <c r="AH5657">
        <v>0</v>
      </c>
      <c r="AI5657" t="s">
        <v>1258</v>
      </c>
      <c r="AJ5657">
        <v>28.205767000000002</v>
      </c>
      <c r="AK5657" t="s">
        <v>1259</v>
      </c>
      <c r="AL5657">
        <v>-82.386409999999998</v>
      </c>
      <c r="AM5657">
        <v>100</v>
      </c>
      <c r="AN5657">
        <v>900</v>
      </c>
      <c r="AO5657" t="s">
        <v>118</v>
      </c>
      <c r="AP5657">
        <v>72</v>
      </c>
      <c r="AQ5657">
        <v>-82</v>
      </c>
      <c r="AR5657">
        <v>-832</v>
      </c>
      <c r="AZ5657">
        <v>1200</v>
      </c>
      <c r="BA5657">
        <v>1</v>
      </c>
      <c r="BB5657" t="str">
        <f t="shared" si="2637"/>
        <v xml:space="preserve">N711JA  </v>
      </c>
      <c r="BC5657">
        <v>1</v>
      </c>
      <c r="BE5657">
        <v>0</v>
      </c>
      <c r="BF5657">
        <v>0</v>
      </c>
      <c r="BG5657">
        <v>0</v>
      </c>
      <c r="BH5657">
        <v>925</v>
      </c>
      <c r="BI5657">
        <v>1</v>
      </c>
      <c r="BJ5657">
        <v>1</v>
      </c>
      <c r="BK5657">
        <v>0</v>
      </c>
      <c r="BL5657">
        <v>0</v>
      </c>
      <c r="BO5657">
        <v>0</v>
      </c>
      <c r="BP5657">
        <v>0</v>
      </c>
      <c r="BW5657" t="str">
        <f t="shared" si="2635"/>
        <v>14:51:47.712</v>
      </c>
      <c r="CJ5657">
        <v>0</v>
      </c>
      <c r="CK5657">
        <v>2</v>
      </c>
      <c r="CL5657">
        <v>0</v>
      </c>
      <c r="CM5657">
        <v>2</v>
      </c>
      <c r="CN5657">
        <v>0</v>
      </c>
      <c r="CO5657">
        <v>7</v>
      </c>
      <c r="CP5657" t="s">
        <v>119</v>
      </c>
      <c r="CQ5657">
        <v>343</v>
      </c>
      <c r="CR5657">
        <v>2</v>
      </c>
      <c r="CW5657">
        <v>13428729</v>
      </c>
      <c r="CY5657">
        <v>1</v>
      </c>
      <c r="CZ5657">
        <v>0</v>
      </c>
      <c r="DA5657">
        <v>1</v>
      </c>
      <c r="DB5657">
        <v>0</v>
      </c>
      <c r="DC5657">
        <v>0</v>
      </c>
      <c r="DD5657">
        <v>1</v>
      </c>
      <c r="DE5657">
        <v>0</v>
      </c>
      <c r="DF5657">
        <v>0</v>
      </c>
      <c r="DG5657">
        <v>0</v>
      </c>
      <c r="DH5657">
        <v>0</v>
      </c>
      <c r="DI5657">
        <v>0</v>
      </c>
    </row>
    <row r="5658" spans="1:113" x14ac:dyDescent="0.3">
      <c r="A5658" t="str">
        <f t="shared" si="2632"/>
        <v>05/12/2020 14:51:29.880</v>
      </c>
      <c r="C5658" t="str">
        <f t="shared" si="2636"/>
        <v>FFDFD3C0</v>
      </c>
      <c r="D5658" t="s">
        <v>131</v>
      </c>
      <c r="E5658">
        <v>12</v>
      </c>
      <c r="F5658">
        <v>2012</v>
      </c>
      <c r="G5658" t="s">
        <v>137</v>
      </c>
      <c r="J5658" t="s">
        <v>133</v>
      </c>
      <c r="K5658">
        <v>0</v>
      </c>
      <c r="L5658">
        <v>3</v>
      </c>
      <c r="M5658">
        <v>0</v>
      </c>
      <c r="N5658">
        <v>2</v>
      </c>
      <c r="O5658">
        <v>1</v>
      </c>
      <c r="P5658">
        <v>0</v>
      </c>
      <c r="Q5658">
        <v>0</v>
      </c>
      <c r="S5658" t="str">
        <f t="shared" si="2633"/>
        <v>14:51:47.711</v>
      </c>
      <c r="T5658" t="str">
        <f t="shared" si="2634"/>
        <v>14:51:47.211</v>
      </c>
      <c r="U5658" t="str">
        <f t="shared" si="2624"/>
        <v>A9808D</v>
      </c>
      <c r="V5658">
        <v>0</v>
      </c>
      <c r="W5658">
        <v>0</v>
      </c>
      <c r="X5658">
        <v>1</v>
      </c>
      <c r="Z5658">
        <v>0</v>
      </c>
      <c r="AA5658">
        <v>9</v>
      </c>
      <c r="AB5658">
        <v>3</v>
      </c>
      <c r="AC5658">
        <v>0</v>
      </c>
      <c r="AD5658">
        <v>10</v>
      </c>
      <c r="AE5658">
        <v>0</v>
      </c>
      <c r="AF5658">
        <v>3</v>
      </c>
      <c r="AG5658">
        <v>2</v>
      </c>
      <c r="AH5658">
        <v>0</v>
      </c>
      <c r="AI5658" t="s">
        <v>1258</v>
      </c>
      <c r="AJ5658">
        <v>28.205767000000002</v>
      </c>
      <c r="AK5658" t="s">
        <v>1259</v>
      </c>
      <c r="AL5658">
        <v>-82.386409999999998</v>
      </c>
      <c r="AM5658">
        <v>100</v>
      </c>
      <c r="AN5658">
        <v>900</v>
      </c>
      <c r="AO5658" t="s">
        <v>118</v>
      </c>
      <c r="AP5658">
        <v>72</v>
      </c>
      <c r="AQ5658">
        <v>-82</v>
      </c>
      <c r="AR5658">
        <v>-832</v>
      </c>
      <c r="AZ5658">
        <v>1200</v>
      </c>
      <c r="BA5658">
        <v>1</v>
      </c>
      <c r="BB5658" t="str">
        <f t="shared" si="2637"/>
        <v xml:space="preserve">N711JA  </v>
      </c>
      <c r="BC5658">
        <v>1</v>
      </c>
      <c r="BE5658">
        <v>0</v>
      </c>
      <c r="BF5658">
        <v>0</v>
      </c>
      <c r="BG5658">
        <v>0</v>
      </c>
      <c r="BH5658">
        <v>925</v>
      </c>
      <c r="BI5658">
        <v>1</v>
      </c>
      <c r="BJ5658">
        <v>1</v>
      </c>
      <c r="BK5658">
        <v>0</v>
      </c>
      <c r="BL5658">
        <v>0</v>
      </c>
      <c r="BO5658">
        <v>0</v>
      </c>
      <c r="BP5658">
        <v>0</v>
      </c>
      <c r="BW5658" t="str">
        <f t="shared" si="2635"/>
        <v>14:51:47.712</v>
      </c>
      <c r="CJ5658">
        <v>0</v>
      </c>
      <c r="CK5658">
        <v>2</v>
      </c>
      <c r="CL5658">
        <v>0</v>
      </c>
      <c r="CM5658">
        <v>2</v>
      </c>
      <c r="CN5658">
        <v>0</v>
      </c>
      <c r="CO5658">
        <v>7</v>
      </c>
      <c r="CP5658" t="s">
        <v>119</v>
      </c>
      <c r="CQ5658">
        <v>343</v>
      </c>
      <c r="CR5658">
        <v>2</v>
      </c>
      <c r="CW5658">
        <v>13428729</v>
      </c>
      <c r="CY5658">
        <v>1</v>
      </c>
      <c r="CZ5658">
        <v>0</v>
      </c>
      <c r="DA5658">
        <v>1</v>
      </c>
      <c r="DB5658">
        <v>0</v>
      </c>
      <c r="DC5658">
        <v>0</v>
      </c>
      <c r="DD5658">
        <v>1</v>
      </c>
      <c r="DE5658">
        <v>0</v>
      </c>
      <c r="DF5658">
        <v>0</v>
      </c>
      <c r="DG5658">
        <v>0</v>
      </c>
      <c r="DH5658">
        <v>0</v>
      </c>
      <c r="DI5658">
        <v>0</v>
      </c>
    </row>
    <row r="5659" spans="1:113" x14ac:dyDescent="0.3">
      <c r="A5659" t="str">
        <f t="shared" si="2632"/>
        <v>05/12/2020 14:51:29.880</v>
      </c>
      <c r="C5659" t="str">
        <f t="shared" si="2636"/>
        <v>FFDFD3C0</v>
      </c>
      <c r="D5659" t="s">
        <v>126</v>
      </c>
      <c r="E5659">
        <v>6</v>
      </c>
      <c r="F5659">
        <v>1006</v>
      </c>
      <c r="G5659" t="s">
        <v>114</v>
      </c>
      <c r="J5659" t="s">
        <v>128</v>
      </c>
      <c r="K5659">
        <v>0</v>
      </c>
      <c r="L5659">
        <v>3</v>
      </c>
      <c r="M5659">
        <v>0</v>
      </c>
      <c r="N5659">
        <v>2</v>
      </c>
      <c r="O5659">
        <v>1</v>
      </c>
      <c r="P5659">
        <v>0</v>
      </c>
      <c r="Q5659">
        <v>0</v>
      </c>
      <c r="S5659" t="str">
        <f t="shared" si="2633"/>
        <v>14:51:47.711</v>
      </c>
      <c r="T5659" t="str">
        <f t="shared" si="2634"/>
        <v>14:51:47.211</v>
      </c>
      <c r="U5659" t="str">
        <f t="shared" si="2624"/>
        <v>A9808D</v>
      </c>
      <c r="V5659">
        <v>0</v>
      </c>
      <c r="W5659">
        <v>0</v>
      </c>
      <c r="X5659">
        <v>1</v>
      </c>
      <c r="Z5659">
        <v>0</v>
      </c>
      <c r="AA5659">
        <v>9</v>
      </c>
      <c r="AB5659">
        <v>3</v>
      </c>
      <c r="AC5659">
        <v>0</v>
      </c>
      <c r="AD5659">
        <v>10</v>
      </c>
      <c r="AE5659">
        <v>0</v>
      </c>
      <c r="AF5659">
        <v>3</v>
      </c>
      <c r="AG5659">
        <v>2</v>
      </c>
      <c r="AH5659">
        <v>0</v>
      </c>
      <c r="AI5659" t="s">
        <v>1258</v>
      </c>
      <c r="AJ5659">
        <v>28.205767000000002</v>
      </c>
      <c r="AK5659" t="s">
        <v>1259</v>
      </c>
      <c r="AL5659">
        <v>-82.386409999999998</v>
      </c>
      <c r="AM5659">
        <v>100</v>
      </c>
      <c r="AN5659">
        <v>900</v>
      </c>
      <c r="AO5659" t="s">
        <v>118</v>
      </c>
      <c r="AP5659">
        <v>72</v>
      </c>
      <c r="AQ5659">
        <v>-82</v>
      </c>
      <c r="AR5659">
        <v>-832</v>
      </c>
      <c r="AZ5659">
        <v>1200</v>
      </c>
      <c r="BA5659">
        <v>1</v>
      </c>
      <c r="BB5659" t="str">
        <f t="shared" si="2637"/>
        <v xml:space="preserve">N711JA  </v>
      </c>
      <c r="BC5659">
        <v>1</v>
      </c>
      <c r="BE5659">
        <v>0</v>
      </c>
      <c r="BF5659">
        <v>0</v>
      </c>
      <c r="BG5659">
        <v>0</v>
      </c>
      <c r="BH5659">
        <v>925</v>
      </c>
      <c r="BI5659">
        <v>1</v>
      </c>
      <c r="BJ5659">
        <v>1</v>
      </c>
      <c r="BK5659">
        <v>0</v>
      </c>
      <c r="BL5659">
        <v>0</v>
      </c>
      <c r="BO5659">
        <v>0</v>
      </c>
      <c r="BP5659">
        <v>0</v>
      </c>
      <c r="BW5659" t="str">
        <f t="shared" si="2635"/>
        <v>14:51:47.712</v>
      </c>
      <c r="CJ5659">
        <v>0</v>
      </c>
      <c r="CK5659">
        <v>2</v>
      </c>
      <c r="CL5659">
        <v>0</v>
      </c>
      <c r="CM5659">
        <v>2</v>
      </c>
      <c r="CN5659">
        <v>0</v>
      </c>
      <c r="CO5659">
        <v>7</v>
      </c>
      <c r="CP5659" t="s">
        <v>119</v>
      </c>
      <c r="CQ5659">
        <v>343</v>
      </c>
      <c r="CR5659">
        <v>2</v>
      </c>
      <c r="CW5659">
        <v>13428729</v>
      </c>
      <c r="CY5659">
        <v>1</v>
      </c>
      <c r="CZ5659">
        <v>0</v>
      </c>
      <c r="DA5659">
        <v>1</v>
      </c>
      <c r="DB5659">
        <v>0</v>
      </c>
      <c r="DC5659">
        <v>0</v>
      </c>
      <c r="DD5659">
        <v>1</v>
      </c>
      <c r="DE5659">
        <v>0</v>
      </c>
      <c r="DF5659">
        <v>0</v>
      </c>
      <c r="DG5659">
        <v>0</v>
      </c>
      <c r="DH5659">
        <v>0</v>
      </c>
      <c r="DI5659">
        <v>0</v>
      </c>
    </row>
    <row r="5660" spans="1:113" x14ac:dyDescent="0.3">
      <c r="A5660" t="str">
        <f t="shared" ref="A5660:A5667" si="2638">"05/12/2020 14:51:30.891"</f>
        <v>05/12/2020 14:51:30.891</v>
      </c>
      <c r="C5660" t="str">
        <f t="shared" si="2636"/>
        <v>FFDFD3C0</v>
      </c>
      <c r="D5660" t="s">
        <v>134</v>
      </c>
      <c r="E5660">
        <v>12</v>
      </c>
      <c r="H5660">
        <v>64</v>
      </c>
      <c r="I5660" t="s">
        <v>135</v>
      </c>
      <c r="J5660" t="s">
        <v>136</v>
      </c>
      <c r="K5660">
        <v>0</v>
      </c>
      <c r="L5660">
        <v>3</v>
      </c>
      <c r="M5660">
        <v>0</v>
      </c>
      <c r="N5660">
        <v>2</v>
      </c>
      <c r="O5660">
        <v>1</v>
      </c>
      <c r="P5660">
        <v>0</v>
      </c>
      <c r="Q5660">
        <v>0</v>
      </c>
      <c r="S5660" t="str">
        <f t="shared" ref="S5660:T5667" si="2639">"14:51:48.711"</f>
        <v>14:51:48.711</v>
      </c>
      <c r="T5660" t="str">
        <f t="shared" si="2639"/>
        <v>14:51:48.711</v>
      </c>
      <c r="U5660" t="str">
        <f t="shared" si="2624"/>
        <v>A9808D</v>
      </c>
      <c r="V5660">
        <v>0</v>
      </c>
      <c r="W5660">
        <v>0</v>
      </c>
      <c r="X5660">
        <v>1</v>
      </c>
      <c r="Z5660">
        <v>0</v>
      </c>
      <c r="AA5660">
        <v>9</v>
      </c>
      <c r="AB5660">
        <v>3</v>
      </c>
      <c r="AC5660">
        <v>0</v>
      </c>
      <c r="AD5660">
        <v>10</v>
      </c>
      <c r="AE5660">
        <v>0</v>
      </c>
      <c r="AF5660">
        <v>3</v>
      </c>
      <c r="AG5660">
        <v>2</v>
      </c>
      <c r="AH5660">
        <v>0</v>
      </c>
      <c r="AI5660" t="s">
        <v>1260</v>
      </c>
      <c r="AJ5660">
        <v>28.205445000000001</v>
      </c>
      <c r="AK5660" t="s">
        <v>1261</v>
      </c>
      <c r="AL5660">
        <v>-82.385981000000001</v>
      </c>
      <c r="AM5660">
        <v>100</v>
      </c>
      <c r="AN5660">
        <v>800</v>
      </c>
      <c r="AO5660" t="s">
        <v>118</v>
      </c>
      <c r="AP5660">
        <v>75</v>
      </c>
      <c r="AQ5660">
        <v>-77</v>
      </c>
      <c r="AR5660">
        <v>-896</v>
      </c>
      <c r="AZ5660">
        <v>1200</v>
      </c>
      <c r="BA5660">
        <v>1</v>
      </c>
      <c r="BB5660" t="str">
        <f t="shared" si="2637"/>
        <v xml:space="preserve">N711JA  </v>
      </c>
      <c r="BC5660">
        <v>1</v>
      </c>
      <c r="BE5660">
        <v>0</v>
      </c>
      <c r="BF5660">
        <v>0</v>
      </c>
      <c r="BG5660">
        <v>0</v>
      </c>
      <c r="BH5660">
        <v>1000</v>
      </c>
      <c r="BI5660">
        <v>1</v>
      </c>
      <c r="BJ5660">
        <v>1</v>
      </c>
      <c r="BK5660">
        <v>0</v>
      </c>
      <c r="BL5660">
        <v>0</v>
      </c>
      <c r="BO5660">
        <v>0</v>
      </c>
      <c r="BP5660">
        <v>0</v>
      </c>
      <c r="BW5660" t="str">
        <f t="shared" ref="BW5660:BW5667" si="2640">"14:51:48.714"</f>
        <v>14:51:48.714</v>
      </c>
      <c r="CJ5660">
        <v>0</v>
      </c>
      <c r="CK5660">
        <v>2</v>
      </c>
      <c r="CL5660">
        <v>0</v>
      </c>
      <c r="CM5660">
        <v>2</v>
      </c>
      <c r="CN5660">
        <v>0</v>
      </c>
      <c r="CO5660">
        <v>6</v>
      </c>
      <c r="CP5660" t="s">
        <v>119</v>
      </c>
      <c r="CQ5660">
        <v>358</v>
      </c>
      <c r="CR5660">
        <v>0</v>
      </c>
      <c r="CW5660">
        <v>5303226</v>
      </c>
      <c r="CY5660">
        <v>1</v>
      </c>
      <c r="CZ5660">
        <v>0</v>
      </c>
      <c r="DA5660">
        <v>0</v>
      </c>
      <c r="DB5660">
        <v>0</v>
      </c>
      <c r="DC5660">
        <v>0</v>
      </c>
      <c r="DD5660">
        <v>1</v>
      </c>
      <c r="DE5660">
        <v>0</v>
      </c>
      <c r="DF5660">
        <v>0</v>
      </c>
      <c r="DG5660">
        <v>0</v>
      </c>
      <c r="DH5660">
        <v>0</v>
      </c>
      <c r="DI5660">
        <v>0</v>
      </c>
    </row>
    <row r="5661" spans="1:113" x14ac:dyDescent="0.3">
      <c r="A5661" t="str">
        <f t="shared" si="2638"/>
        <v>05/12/2020 14:51:30.891</v>
      </c>
      <c r="C5661" t="str">
        <f t="shared" si="2636"/>
        <v>FFDFD3C0</v>
      </c>
      <c r="D5661" t="s">
        <v>126</v>
      </c>
      <c r="E5661">
        <v>7</v>
      </c>
      <c r="F5661">
        <v>1007</v>
      </c>
      <c r="G5661" t="s">
        <v>127</v>
      </c>
      <c r="J5661" t="s">
        <v>128</v>
      </c>
      <c r="K5661">
        <v>0</v>
      </c>
      <c r="L5661">
        <v>3</v>
      </c>
      <c r="M5661">
        <v>0</v>
      </c>
      <c r="N5661">
        <v>2</v>
      </c>
      <c r="O5661">
        <v>1</v>
      </c>
      <c r="P5661">
        <v>0</v>
      </c>
      <c r="Q5661">
        <v>0</v>
      </c>
      <c r="S5661" t="str">
        <f t="shared" si="2639"/>
        <v>14:51:48.711</v>
      </c>
      <c r="T5661" t="str">
        <f t="shared" si="2639"/>
        <v>14:51:48.711</v>
      </c>
      <c r="U5661" t="str">
        <f t="shared" si="2624"/>
        <v>A9808D</v>
      </c>
      <c r="V5661">
        <v>0</v>
      </c>
      <c r="W5661">
        <v>0</v>
      </c>
      <c r="X5661">
        <v>1</v>
      </c>
      <c r="Z5661">
        <v>0</v>
      </c>
      <c r="AA5661">
        <v>9</v>
      </c>
      <c r="AB5661">
        <v>3</v>
      </c>
      <c r="AC5661">
        <v>0</v>
      </c>
      <c r="AD5661">
        <v>10</v>
      </c>
      <c r="AE5661">
        <v>0</v>
      </c>
      <c r="AF5661">
        <v>3</v>
      </c>
      <c r="AG5661">
        <v>2</v>
      </c>
      <c r="AH5661">
        <v>0</v>
      </c>
      <c r="AI5661" t="s">
        <v>1260</v>
      </c>
      <c r="AJ5661">
        <v>28.205445000000001</v>
      </c>
      <c r="AK5661" t="s">
        <v>1261</v>
      </c>
      <c r="AL5661">
        <v>-82.385981000000001</v>
      </c>
      <c r="AM5661">
        <v>100</v>
      </c>
      <c r="AN5661">
        <v>800</v>
      </c>
      <c r="AO5661" t="s">
        <v>118</v>
      </c>
      <c r="AP5661">
        <v>75</v>
      </c>
      <c r="AQ5661">
        <v>-77</v>
      </c>
      <c r="AR5661">
        <v>-896</v>
      </c>
      <c r="AZ5661">
        <v>1200</v>
      </c>
      <c r="BA5661">
        <v>1</v>
      </c>
      <c r="BB5661" t="str">
        <f t="shared" si="2637"/>
        <v xml:space="preserve">N711JA  </v>
      </c>
      <c r="BC5661">
        <v>1</v>
      </c>
      <c r="BE5661">
        <v>0</v>
      </c>
      <c r="BF5661">
        <v>0</v>
      </c>
      <c r="BG5661">
        <v>0</v>
      </c>
      <c r="BH5661">
        <v>1000</v>
      </c>
      <c r="BI5661">
        <v>1</v>
      </c>
      <c r="BJ5661">
        <v>1</v>
      </c>
      <c r="BK5661">
        <v>0</v>
      </c>
      <c r="BL5661">
        <v>0</v>
      </c>
      <c r="BO5661">
        <v>0</v>
      </c>
      <c r="BP5661">
        <v>0</v>
      </c>
      <c r="BW5661" t="str">
        <f t="shared" si="2640"/>
        <v>14:51:48.714</v>
      </c>
      <c r="CJ5661">
        <v>0</v>
      </c>
      <c r="CK5661">
        <v>2</v>
      </c>
      <c r="CL5661">
        <v>0</v>
      </c>
      <c r="CM5661">
        <v>2</v>
      </c>
      <c r="CN5661">
        <v>0</v>
      </c>
      <c r="CO5661">
        <v>6</v>
      </c>
      <c r="CP5661" t="s">
        <v>119</v>
      </c>
      <c r="CQ5661">
        <v>358</v>
      </c>
      <c r="CR5661">
        <v>0</v>
      </c>
      <c r="CW5661">
        <v>5303226</v>
      </c>
      <c r="CY5661">
        <v>1</v>
      </c>
      <c r="CZ5661">
        <v>0</v>
      </c>
      <c r="DA5661">
        <v>1</v>
      </c>
      <c r="DB5661">
        <v>0</v>
      </c>
      <c r="DC5661">
        <v>0</v>
      </c>
      <c r="DD5661">
        <v>1</v>
      </c>
      <c r="DE5661">
        <v>0</v>
      </c>
      <c r="DF5661">
        <v>0</v>
      </c>
      <c r="DG5661">
        <v>0</v>
      </c>
      <c r="DH5661">
        <v>0</v>
      </c>
      <c r="DI5661">
        <v>0</v>
      </c>
    </row>
    <row r="5662" spans="1:113" x14ac:dyDescent="0.3">
      <c r="A5662" t="str">
        <f t="shared" si="2638"/>
        <v>05/12/2020 14:51:30.891</v>
      </c>
      <c r="C5662" t="str">
        <f t="shared" si="2636"/>
        <v>FFDFD3C0</v>
      </c>
      <c r="D5662" t="s">
        <v>131</v>
      </c>
      <c r="E5662">
        <v>10</v>
      </c>
      <c r="F5662">
        <v>2010</v>
      </c>
      <c r="G5662" t="s">
        <v>132</v>
      </c>
      <c r="J5662" t="s">
        <v>133</v>
      </c>
      <c r="K5662">
        <v>0</v>
      </c>
      <c r="L5662">
        <v>3</v>
      </c>
      <c r="M5662">
        <v>0</v>
      </c>
      <c r="N5662">
        <v>2</v>
      </c>
      <c r="O5662">
        <v>1</v>
      </c>
      <c r="P5662">
        <v>0</v>
      </c>
      <c r="Q5662">
        <v>0</v>
      </c>
      <c r="S5662" t="str">
        <f t="shared" si="2639"/>
        <v>14:51:48.711</v>
      </c>
      <c r="T5662" t="str">
        <f t="shared" si="2639"/>
        <v>14:51:48.711</v>
      </c>
      <c r="U5662" t="str">
        <f t="shared" si="2624"/>
        <v>A9808D</v>
      </c>
      <c r="V5662">
        <v>0</v>
      </c>
      <c r="W5662">
        <v>0</v>
      </c>
      <c r="X5662">
        <v>1</v>
      </c>
      <c r="Z5662">
        <v>0</v>
      </c>
      <c r="AA5662">
        <v>9</v>
      </c>
      <c r="AB5662">
        <v>3</v>
      </c>
      <c r="AC5662">
        <v>0</v>
      </c>
      <c r="AD5662">
        <v>10</v>
      </c>
      <c r="AE5662">
        <v>0</v>
      </c>
      <c r="AF5662">
        <v>3</v>
      </c>
      <c r="AG5662">
        <v>2</v>
      </c>
      <c r="AH5662">
        <v>0</v>
      </c>
      <c r="AI5662" t="s">
        <v>1260</v>
      </c>
      <c r="AJ5662">
        <v>28.205445000000001</v>
      </c>
      <c r="AK5662" t="s">
        <v>1261</v>
      </c>
      <c r="AL5662">
        <v>-82.385981000000001</v>
      </c>
      <c r="AM5662">
        <v>100</v>
      </c>
      <c r="AN5662">
        <v>800</v>
      </c>
      <c r="AO5662" t="s">
        <v>118</v>
      </c>
      <c r="AP5662">
        <v>75</v>
      </c>
      <c r="AQ5662">
        <v>-77</v>
      </c>
      <c r="AR5662">
        <v>-896</v>
      </c>
      <c r="AZ5662">
        <v>1200</v>
      </c>
      <c r="BA5662">
        <v>1</v>
      </c>
      <c r="BB5662" t="str">
        <f t="shared" si="2637"/>
        <v xml:space="preserve">N711JA  </v>
      </c>
      <c r="BC5662">
        <v>1</v>
      </c>
      <c r="BE5662">
        <v>0</v>
      </c>
      <c r="BF5662">
        <v>0</v>
      </c>
      <c r="BG5662">
        <v>0</v>
      </c>
      <c r="BH5662">
        <v>1000</v>
      </c>
      <c r="BI5662">
        <v>1</v>
      </c>
      <c r="BJ5662">
        <v>1</v>
      </c>
      <c r="BK5662">
        <v>0</v>
      </c>
      <c r="BL5662">
        <v>0</v>
      </c>
      <c r="BO5662">
        <v>0</v>
      </c>
      <c r="BP5662">
        <v>0</v>
      </c>
      <c r="BW5662" t="str">
        <f t="shared" si="2640"/>
        <v>14:51:48.714</v>
      </c>
      <c r="CJ5662">
        <v>0</v>
      </c>
      <c r="CK5662">
        <v>2</v>
      </c>
      <c r="CL5662">
        <v>0</v>
      </c>
      <c r="CM5662">
        <v>2</v>
      </c>
      <c r="CN5662">
        <v>0</v>
      </c>
      <c r="CO5662">
        <v>6</v>
      </c>
      <c r="CP5662" t="s">
        <v>119</v>
      </c>
      <c r="CQ5662">
        <v>358</v>
      </c>
      <c r="CR5662">
        <v>0</v>
      </c>
      <c r="CW5662">
        <v>5303226</v>
      </c>
      <c r="CY5662">
        <v>1</v>
      </c>
      <c r="CZ5662">
        <v>0</v>
      </c>
      <c r="DA5662">
        <v>1</v>
      </c>
      <c r="DB5662">
        <v>0</v>
      </c>
      <c r="DC5662">
        <v>0</v>
      </c>
      <c r="DD5662">
        <v>1</v>
      </c>
      <c r="DE5662">
        <v>0</v>
      </c>
      <c r="DF5662">
        <v>0</v>
      </c>
      <c r="DG5662">
        <v>0</v>
      </c>
      <c r="DH5662">
        <v>0</v>
      </c>
      <c r="DI5662">
        <v>0</v>
      </c>
    </row>
    <row r="5663" spans="1:113" x14ac:dyDescent="0.3">
      <c r="A5663" t="str">
        <f t="shared" si="2638"/>
        <v>05/12/2020 14:51:30.891</v>
      </c>
      <c r="C5663" t="str">
        <f t="shared" si="2636"/>
        <v>FFDFD3C0</v>
      </c>
      <c r="D5663" t="s">
        <v>131</v>
      </c>
      <c r="E5663">
        <v>12</v>
      </c>
      <c r="F5663">
        <v>2012</v>
      </c>
      <c r="G5663" t="s">
        <v>137</v>
      </c>
      <c r="J5663" t="s">
        <v>133</v>
      </c>
      <c r="K5663">
        <v>0</v>
      </c>
      <c r="L5663">
        <v>3</v>
      </c>
      <c r="M5663">
        <v>0</v>
      </c>
      <c r="N5663">
        <v>2</v>
      </c>
      <c r="O5663">
        <v>1</v>
      </c>
      <c r="P5663">
        <v>0</v>
      </c>
      <c r="Q5663">
        <v>0</v>
      </c>
      <c r="S5663" t="str">
        <f t="shared" si="2639"/>
        <v>14:51:48.711</v>
      </c>
      <c r="T5663" t="str">
        <f t="shared" si="2639"/>
        <v>14:51:48.711</v>
      </c>
      <c r="U5663" t="str">
        <f t="shared" si="2624"/>
        <v>A9808D</v>
      </c>
      <c r="V5663">
        <v>0</v>
      </c>
      <c r="W5663">
        <v>0</v>
      </c>
      <c r="X5663">
        <v>1</v>
      </c>
      <c r="Z5663">
        <v>0</v>
      </c>
      <c r="AA5663">
        <v>9</v>
      </c>
      <c r="AB5663">
        <v>3</v>
      </c>
      <c r="AC5663">
        <v>0</v>
      </c>
      <c r="AD5663">
        <v>10</v>
      </c>
      <c r="AE5663">
        <v>0</v>
      </c>
      <c r="AF5663">
        <v>3</v>
      </c>
      <c r="AG5663">
        <v>2</v>
      </c>
      <c r="AH5663">
        <v>0</v>
      </c>
      <c r="AI5663" t="s">
        <v>1260</v>
      </c>
      <c r="AJ5663">
        <v>28.205445000000001</v>
      </c>
      <c r="AK5663" t="s">
        <v>1261</v>
      </c>
      <c r="AL5663">
        <v>-82.385981000000001</v>
      </c>
      <c r="AM5663">
        <v>100</v>
      </c>
      <c r="AN5663">
        <v>800</v>
      </c>
      <c r="AO5663" t="s">
        <v>118</v>
      </c>
      <c r="AP5663">
        <v>75</v>
      </c>
      <c r="AQ5663">
        <v>-77</v>
      </c>
      <c r="AR5663">
        <v>-896</v>
      </c>
      <c r="AZ5663">
        <v>1200</v>
      </c>
      <c r="BA5663">
        <v>1</v>
      </c>
      <c r="BB5663" t="str">
        <f t="shared" si="2637"/>
        <v xml:space="preserve">N711JA  </v>
      </c>
      <c r="BC5663">
        <v>1</v>
      </c>
      <c r="BE5663">
        <v>0</v>
      </c>
      <c r="BF5663">
        <v>0</v>
      </c>
      <c r="BG5663">
        <v>0</v>
      </c>
      <c r="BH5663">
        <v>900</v>
      </c>
      <c r="BI5663">
        <v>1</v>
      </c>
      <c r="BJ5663">
        <v>1</v>
      </c>
      <c r="BK5663">
        <v>0</v>
      </c>
      <c r="BL5663">
        <v>0</v>
      </c>
      <c r="BO5663">
        <v>0</v>
      </c>
      <c r="BP5663">
        <v>0</v>
      </c>
      <c r="BW5663" t="str">
        <f t="shared" si="2640"/>
        <v>14:51:48.714</v>
      </c>
      <c r="CJ5663">
        <v>0</v>
      </c>
      <c r="CK5663">
        <v>2</v>
      </c>
      <c r="CL5663">
        <v>0</v>
      </c>
      <c r="CM5663">
        <v>2</v>
      </c>
      <c r="CN5663">
        <v>0</v>
      </c>
      <c r="CO5663">
        <v>5</v>
      </c>
      <c r="CP5663" t="s">
        <v>119</v>
      </c>
      <c r="CQ5663">
        <v>8</v>
      </c>
      <c r="CR5663">
        <v>3</v>
      </c>
      <c r="CW5663">
        <v>9307193</v>
      </c>
      <c r="CY5663">
        <v>1</v>
      </c>
      <c r="CZ5663">
        <v>0</v>
      </c>
      <c r="DA5663">
        <v>1</v>
      </c>
      <c r="DB5663">
        <v>0</v>
      </c>
      <c r="DC5663">
        <v>0</v>
      </c>
      <c r="DD5663">
        <v>1</v>
      </c>
      <c r="DE5663">
        <v>0</v>
      </c>
      <c r="DF5663">
        <v>0</v>
      </c>
      <c r="DG5663">
        <v>0</v>
      </c>
      <c r="DH5663">
        <v>0</v>
      </c>
      <c r="DI5663">
        <v>0</v>
      </c>
    </row>
    <row r="5664" spans="1:113" x14ac:dyDescent="0.3">
      <c r="A5664" t="str">
        <f t="shared" si="2638"/>
        <v>05/12/2020 14:51:30.891</v>
      </c>
      <c r="C5664" t="str">
        <f t="shared" si="2636"/>
        <v>FFDFD3C0</v>
      </c>
      <c r="D5664" t="s">
        <v>138</v>
      </c>
      <c r="E5664">
        <v>2</v>
      </c>
      <c r="H5664">
        <v>8</v>
      </c>
      <c r="I5664" t="s">
        <v>139</v>
      </c>
      <c r="J5664" t="s">
        <v>136</v>
      </c>
      <c r="K5664">
        <v>0</v>
      </c>
      <c r="L5664">
        <v>3</v>
      </c>
      <c r="M5664">
        <v>0</v>
      </c>
      <c r="N5664">
        <v>2</v>
      </c>
      <c r="O5664">
        <v>1</v>
      </c>
      <c r="P5664">
        <v>0</v>
      </c>
      <c r="Q5664">
        <v>0</v>
      </c>
      <c r="S5664" t="str">
        <f t="shared" si="2639"/>
        <v>14:51:48.711</v>
      </c>
      <c r="T5664" t="str">
        <f t="shared" si="2639"/>
        <v>14:51:48.711</v>
      </c>
      <c r="U5664" t="str">
        <f t="shared" si="2624"/>
        <v>A9808D</v>
      </c>
      <c r="V5664">
        <v>0</v>
      </c>
      <c r="W5664">
        <v>0</v>
      </c>
      <c r="X5664">
        <v>1</v>
      </c>
      <c r="Z5664">
        <v>0</v>
      </c>
      <c r="AA5664">
        <v>9</v>
      </c>
      <c r="AB5664">
        <v>3</v>
      </c>
      <c r="AC5664">
        <v>0</v>
      </c>
      <c r="AD5664">
        <v>10</v>
      </c>
      <c r="AE5664">
        <v>0</v>
      </c>
      <c r="AF5664">
        <v>3</v>
      </c>
      <c r="AG5664">
        <v>2</v>
      </c>
      <c r="AH5664">
        <v>0</v>
      </c>
      <c r="AI5664" t="s">
        <v>1260</v>
      </c>
      <c r="AJ5664">
        <v>28.205445000000001</v>
      </c>
      <c r="AK5664" t="s">
        <v>1261</v>
      </c>
      <c r="AL5664">
        <v>-82.385981000000001</v>
      </c>
      <c r="AM5664">
        <v>100</v>
      </c>
      <c r="AN5664">
        <v>800</v>
      </c>
      <c r="AO5664" t="s">
        <v>118</v>
      </c>
      <c r="AP5664">
        <v>75</v>
      </c>
      <c r="AQ5664">
        <v>-77</v>
      </c>
      <c r="AR5664">
        <v>-896</v>
      </c>
      <c r="AZ5664">
        <v>1200</v>
      </c>
      <c r="BA5664">
        <v>1</v>
      </c>
      <c r="BB5664" t="str">
        <f t="shared" si="2637"/>
        <v xml:space="preserve">N711JA  </v>
      </c>
      <c r="BC5664">
        <v>1</v>
      </c>
      <c r="BE5664">
        <v>0</v>
      </c>
      <c r="BF5664">
        <v>0</v>
      </c>
      <c r="BG5664">
        <v>0</v>
      </c>
      <c r="BH5664">
        <v>900</v>
      </c>
      <c r="BI5664">
        <v>1</v>
      </c>
      <c r="BJ5664">
        <v>1</v>
      </c>
      <c r="BK5664">
        <v>0</v>
      </c>
      <c r="BL5664">
        <v>0</v>
      </c>
      <c r="BO5664">
        <v>0</v>
      </c>
      <c r="BP5664">
        <v>0</v>
      </c>
      <c r="BW5664" t="str">
        <f t="shared" si="2640"/>
        <v>14:51:48.714</v>
      </c>
      <c r="CJ5664">
        <v>0</v>
      </c>
      <c r="CK5664">
        <v>2</v>
      </c>
      <c r="CL5664">
        <v>0</v>
      </c>
      <c r="CM5664">
        <v>2</v>
      </c>
      <c r="CN5664">
        <v>0</v>
      </c>
      <c r="CO5664">
        <v>5</v>
      </c>
      <c r="CP5664" t="s">
        <v>119</v>
      </c>
      <c r="CQ5664">
        <v>8</v>
      </c>
      <c r="CR5664">
        <v>3</v>
      </c>
      <c r="CW5664">
        <v>9307193</v>
      </c>
      <c r="CY5664">
        <v>1</v>
      </c>
      <c r="CZ5664">
        <v>0</v>
      </c>
      <c r="DA5664">
        <v>1</v>
      </c>
      <c r="DB5664">
        <v>0</v>
      </c>
      <c r="DC5664">
        <v>0</v>
      </c>
      <c r="DD5664">
        <v>1</v>
      </c>
      <c r="DE5664">
        <v>0</v>
      </c>
      <c r="DF5664">
        <v>0</v>
      </c>
      <c r="DG5664">
        <v>0</v>
      </c>
      <c r="DH5664">
        <v>0</v>
      </c>
      <c r="DI5664">
        <v>0</v>
      </c>
    </row>
    <row r="5665" spans="1:113" x14ac:dyDescent="0.3">
      <c r="A5665" t="str">
        <f t="shared" si="2638"/>
        <v>05/12/2020 14:51:30.891</v>
      </c>
      <c r="C5665" t="str">
        <f t="shared" si="2636"/>
        <v>FFDFD3C0</v>
      </c>
      <c r="D5665" t="s">
        <v>138</v>
      </c>
      <c r="E5665">
        <v>3</v>
      </c>
      <c r="H5665">
        <v>9</v>
      </c>
      <c r="I5665" t="s">
        <v>140</v>
      </c>
      <c r="J5665" t="s">
        <v>136</v>
      </c>
      <c r="K5665">
        <v>0</v>
      </c>
      <c r="L5665">
        <v>3</v>
      </c>
      <c r="M5665">
        <v>0</v>
      </c>
      <c r="N5665">
        <v>2</v>
      </c>
      <c r="O5665">
        <v>1</v>
      </c>
      <c r="P5665">
        <v>0</v>
      </c>
      <c r="Q5665">
        <v>0</v>
      </c>
      <c r="S5665" t="str">
        <f t="shared" si="2639"/>
        <v>14:51:48.711</v>
      </c>
      <c r="T5665" t="str">
        <f t="shared" si="2639"/>
        <v>14:51:48.711</v>
      </c>
      <c r="U5665" t="str">
        <f t="shared" si="2624"/>
        <v>A9808D</v>
      </c>
      <c r="V5665">
        <v>0</v>
      </c>
      <c r="W5665">
        <v>0</v>
      </c>
      <c r="X5665">
        <v>1</v>
      </c>
      <c r="Z5665">
        <v>0</v>
      </c>
      <c r="AA5665">
        <v>9</v>
      </c>
      <c r="AB5665">
        <v>3</v>
      </c>
      <c r="AC5665">
        <v>0</v>
      </c>
      <c r="AD5665">
        <v>10</v>
      </c>
      <c r="AE5665">
        <v>0</v>
      </c>
      <c r="AF5665">
        <v>3</v>
      </c>
      <c r="AG5665">
        <v>2</v>
      </c>
      <c r="AH5665">
        <v>0</v>
      </c>
      <c r="AI5665" t="s">
        <v>1260</v>
      </c>
      <c r="AJ5665">
        <v>28.205445000000001</v>
      </c>
      <c r="AK5665" t="s">
        <v>1261</v>
      </c>
      <c r="AL5665">
        <v>-82.385981000000001</v>
      </c>
      <c r="AM5665">
        <v>100</v>
      </c>
      <c r="AN5665">
        <v>800</v>
      </c>
      <c r="AO5665" t="s">
        <v>118</v>
      </c>
      <c r="AP5665">
        <v>75</v>
      </c>
      <c r="AQ5665">
        <v>-77</v>
      </c>
      <c r="AR5665">
        <v>-896</v>
      </c>
      <c r="AZ5665">
        <v>1200</v>
      </c>
      <c r="BA5665">
        <v>1</v>
      </c>
      <c r="BB5665" t="str">
        <f t="shared" si="2637"/>
        <v xml:space="preserve">N711JA  </v>
      </c>
      <c r="BC5665">
        <v>1</v>
      </c>
      <c r="BE5665">
        <v>0</v>
      </c>
      <c r="BF5665">
        <v>0</v>
      </c>
      <c r="BG5665">
        <v>0</v>
      </c>
      <c r="BH5665">
        <v>1000</v>
      </c>
      <c r="BI5665">
        <v>1</v>
      </c>
      <c r="BJ5665">
        <v>1</v>
      </c>
      <c r="BK5665">
        <v>0</v>
      </c>
      <c r="BL5665">
        <v>0</v>
      </c>
      <c r="BO5665">
        <v>0</v>
      </c>
      <c r="BP5665">
        <v>0</v>
      </c>
      <c r="BW5665" t="str">
        <f t="shared" si="2640"/>
        <v>14:51:48.714</v>
      </c>
      <c r="CJ5665">
        <v>0</v>
      </c>
      <c r="CK5665">
        <v>2</v>
      </c>
      <c r="CL5665">
        <v>0</v>
      </c>
      <c r="CM5665">
        <v>2</v>
      </c>
      <c r="CN5665">
        <v>0</v>
      </c>
      <c r="CO5665">
        <v>6</v>
      </c>
      <c r="CP5665" t="s">
        <v>119</v>
      </c>
      <c r="CQ5665">
        <v>358</v>
      </c>
      <c r="CR5665">
        <v>0</v>
      </c>
      <c r="CW5665">
        <v>5303226</v>
      </c>
      <c r="CY5665">
        <v>1</v>
      </c>
      <c r="CZ5665">
        <v>0</v>
      </c>
      <c r="DA5665">
        <v>1</v>
      </c>
      <c r="DB5665">
        <v>0</v>
      </c>
      <c r="DC5665">
        <v>0</v>
      </c>
      <c r="DD5665">
        <v>1</v>
      </c>
      <c r="DE5665">
        <v>0</v>
      </c>
      <c r="DF5665">
        <v>0</v>
      </c>
      <c r="DG5665">
        <v>0</v>
      </c>
      <c r="DH5665">
        <v>0</v>
      </c>
      <c r="DI5665">
        <v>0</v>
      </c>
    </row>
    <row r="5666" spans="1:113" x14ac:dyDescent="0.3">
      <c r="A5666" t="str">
        <f t="shared" si="2638"/>
        <v>05/12/2020 14:51:30.891</v>
      </c>
      <c r="C5666" t="str">
        <f t="shared" si="2636"/>
        <v>FFDFD3C0</v>
      </c>
      <c r="D5666" t="s">
        <v>113</v>
      </c>
      <c r="E5666">
        <v>3</v>
      </c>
      <c r="H5666">
        <v>164</v>
      </c>
      <c r="I5666" t="s">
        <v>114</v>
      </c>
      <c r="J5666" t="s">
        <v>115</v>
      </c>
      <c r="K5666">
        <v>0</v>
      </c>
      <c r="L5666">
        <v>3</v>
      </c>
      <c r="M5666">
        <v>0</v>
      </c>
      <c r="N5666">
        <v>2</v>
      </c>
      <c r="O5666">
        <v>1</v>
      </c>
      <c r="P5666">
        <v>0</v>
      </c>
      <c r="Q5666">
        <v>0</v>
      </c>
      <c r="S5666" t="str">
        <f t="shared" si="2639"/>
        <v>14:51:48.711</v>
      </c>
      <c r="T5666" t="str">
        <f t="shared" si="2639"/>
        <v>14:51:48.711</v>
      </c>
      <c r="U5666" t="str">
        <f t="shared" si="2624"/>
        <v>A9808D</v>
      </c>
      <c r="V5666">
        <v>0</v>
      </c>
      <c r="W5666">
        <v>0</v>
      </c>
      <c r="X5666">
        <v>1</v>
      </c>
      <c r="Z5666">
        <v>0</v>
      </c>
      <c r="AA5666">
        <v>9</v>
      </c>
      <c r="AB5666">
        <v>3</v>
      </c>
      <c r="AC5666">
        <v>0</v>
      </c>
      <c r="AD5666">
        <v>10</v>
      </c>
      <c r="AE5666">
        <v>0</v>
      </c>
      <c r="AF5666">
        <v>3</v>
      </c>
      <c r="AG5666">
        <v>2</v>
      </c>
      <c r="AH5666">
        <v>0</v>
      </c>
      <c r="AI5666" t="s">
        <v>1260</v>
      </c>
      <c r="AJ5666">
        <v>28.205445000000001</v>
      </c>
      <c r="AK5666" t="s">
        <v>1261</v>
      </c>
      <c r="AL5666">
        <v>-82.385981000000001</v>
      </c>
      <c r="AM5666">
        <v>100</v>
      </c>
      <c r="AN5666">
        <v>800</v>
      </c>
      <c r="AO5666" t="s">
        <v>118</v>
      </c>
      <c r="AP5666">
        <v>75</v>
      </c>
      <c r="AQ5666">
        <v>-77</v>
      </c>
      <c r="AR5666">
        <v>-896</v>
      </c>
      <c r="AZ5666">
        <v>1200</v>
      </c>
      <c r="BA5666">
        <v>1</v>
      </c>
      <c r="BB5666" t="str">
        <f t="shared" si="2637"/>
        <v xml:space="preserve">N711JA  </v>
      </c>
      <c r="BC5666">
        <v>1</v>
      </c>
      <c r="BE5666">
        <v>0</v>
      </c>
      <c r="BF5666">
        <v>0</v>
      </c>
      <c r="BG5666">
        <v>0</v>
      </c>
      <c r="BH5666">
        <v>900</v>
      </c>
      <c r="BI5666">
        <v>1</v>
      </c>
      <c r="BJ5666">
        <v>1</v>
      </c>
      <c r="BK5666">
        <v>0</v>
      </c>
      <c r="BL5666">
        <v>0</v>
      </c>
      <c r="BO5666">
        <v>0</v>
      </c>
      <c r="BP5666">
        <v>0</v>
      </c>
      <c r="BW5666" t="str">
        <f t="shared" si="2640"/>
        <v>14:51:48.714</v>
      </c>
      <c r="CJ5666">
        <v>0</v>
      </c>
      <c r="CK5666">
        <v>2</v>
      </c>
      <c r="CL5666">
        <v>0</v>
      </c>
      <c r="CM5666">
        <v>2</v>
      </c>
      <c r="CN5666">
        <v>0</v>
      </c>
      <c r="CO5666">
        <v>5</v>
      </c>
      <c r="CP5666" t="s">
        <v>119</v>
      </c>
      <c r="CQ5666">
        <v>8</v>
      </c>
      <c r="CR5666">
        <v>3</v>
      </c>
      <c r="CW5666">
        <v>9307193</v>
      </c>
      <c r="CY5666">
        <v>1</v>
      </c>
      <c r="CZ5666">
        <v>0</v>
      </c>
      <c r="DA5666">
        <v>1</v>
      </c>
      <c r="DB5666">
        <v>0</v>
      </c>
      <c r="DC5666">
        <v>0</v>
      </c>
      <c r="DD5666">
        <v>1</v>
      </c>
      <c r="DE5666">
        <v>0</v>
      </c>
      <c r="DF5666">
        <v>0</v>
      </c>
      <c r="DG5666">
        <v>0</v>
      </c>
      <c r="DH5666">
        <v>0</v>
      </c>
      <c r="DI5666">
        <v>0</v>
      </c>
    </row>
    <row r="5667" spans="1:113" x14ac:dyDescent="0.3">
      <c r="A5667" t="str">
        <f t="shared" si="2638"/>
        <v>05/12/2020 14:51:30.891</v>
      </c>
      <c r="C5667" t="str">
        <f t="shared" si="2636"/>
        <v>FFDFD3C0</v>
      </c>
      <c r="D5667" t="s">
        <v>126</v>
      </c>
      <c r="E5667">
        <v>6</v>
      </c>
      <c r="F5667">
        <v>1006</v>
      </c>
      <c r="G5667" t="s">
        <v>114</v>
      </c>
      <c r="J5667" t="s">
        <v>128</v>
      </c>
      <c r="K5667">
        <v>0</v>
      </c>
      <c r="L5667">
        <v>3</v>
      </c>
      <c r="M5667">
        <v>0</v>
      </c>
      <c r="N5667">
        <v>2</v>
      </c>
      <c r="O5667">
        <v>1</v>
      </c>
      <c r="P5667">
        <v>0</v>
      </c>
      <c r="Q5667">
        <v>0</v>
      </c>
      <c r="S5667" t="str">
        <f t="shared" si="2639"/>
        <v>14:51:48.711</v>
      </c>
      <c r="T5667" t="str">
        <f t="shared" si="2639"/>
        <v>14:51:48.711</v>
      </c>
      <c r="U5667" t="str">
        <f t="shared" si="2624"/>
        <v>A9808D</v>
      </c>
      <c r="V5667">
        <v>0</v>
      </c>
      <c r="W5667">
        <v>0</v>
      </c>
      <c r="X5667">
        <v>1</v>
      </c>
      <c r="Z5667">
        <v>0</v>
      </c>
      <c r="AA5667">
        <v>9</v>
      </c>
      <c r="AB5667">
        <v>3</v>
      </c>
      <c r="AC5667">
        <v>0</v>
      </c>
      <c r="AD5667">
        <v>10</v>
      </c>
      <c r="AE5667">
        <v>0</v>
      </c>
      <c r="AF5667">
        <v>3</v>
      </c>
      <c r="AG5667">
        <v>2</v>
      </c>
      <c r="AH5667">
        <v>0</v>
      </c>
      <c r="AI5667" t="s">
        <v>1260</v>
      </c>
      <c r="AJ5667">
        <v>28.205445000000001</v>
      </c>
      <c r="AK5667" t="s">
        <v>1261</v>
      </c>
      <c r="AL5667">
        <v>-82.385981000000001</v>
      </c>
      <c r="AM5667">
        <v>100</v>
      </c>
      <c r="AN5667">
        <v>800</v>
      </c>
      <c r="AO5667" t="s">
        <v>118</v>
      </c>
      <c r="AP5667">
        <v>75</v>
      </c>
      <c r="AQ5667">
        <v>-77</v>
      </c>
      <c r="AR5667">
        <v>-896</v>
      </c>
      <c r="AZ5667">
        <v>1200</v>
      </c>
      <c r="BA5667">
        <v>1</v>
      </c>
      <c r="BB5667" t="str">
        <f t="shared" si="2637"/>
        <v xml:space="preserve">N711JA  </v>
      </c>
      <c r="BC5667">
        <v>1</v>
      </c>
      <c r="BE5667">
        <v>0</v>
      </c>
      <c r="BF5667">
        <v>0</v>
      </c>
      <c r="BG5667">
        <v>0</v>
      </c>
      <c r="BH5667">
        <v>1000</v>
      </c>
      <c r="BI5667">
        <v>1</v>
      </c>
      <c r="BJ5667">
        <v>1</v>
      </c>
      <c r="BK5667">
        <v>0</v>
      </c>
      <c r="BL5667">
        <v>0</v>
      </c>
      <c r="BO5667">
        <v>0</v>
      </c>
      <c r="BP5667">
        <v>0</v>
      </c>
      <c r="BW5667" t="str">
        <f t="shared" si="2640"/>
        <v>14:51:48.714</v>
      </c>
      <c r="CJ5667">
        <v>0</v>
      </c>
      <c r="CK5667">
        <v>2</v>
      </c>
      <c r="CL5667">
        <v>0</v>
      </c>
      <c r="CM5667">
        <v>2</v>
      </c>
      <c r="CN5667">
        <v>0</v>
      </c>
      <c r="CO5667">
        <v>6</v>
      </c>
      <c r="CP5667" t="s">
        <v>119</v>
      </c>
      <c r="CQ5667">
        <v>358</v>
      </c>
      <c r="CR5667">
        <v>0</v>
      </c>
      <c r="CW5667">
        <v>5303226</v>
      </c>
      <c r="CY5667">
        <v>1</v>
      </c>
      <c r="CZ5667">
        <v>0</v>
      </c>
      <c r="DA5667">
        <v>1</v>
      </c>
      <c r="DB5667">
        <v>0</v>
      </c>
      <c r="DC5667">
        <v>0</v>
      </c>
      <c r="DD5667">
        <v>1</v>
      </c>
      <c r="DE5667">
        <v>0</v>
      </c>
      <c r="DF5667">
        <v>0</v>
      </c>
      <c r="DG5667">
        <v>0</v>
      </c>
      <c r="DH5667">
        <v>0</v>
      </c>
      <c r="DI5667">
        <v>0</v>
      </c>
    </row>
    <row r="5668" spans="1:113" x14ac:dyDescent="0.3">
      <c r="A5668" t="str">
        <f t="shared" ref="A5668:A5675" si="2641">"05/12/2020 14:51:31.954"</f>
        <v>05/12/2020 14:51:31.954</v>
      </c>
      <c r="C5668" t="str">
        <f t="shared" si="2636"/>
        <v>FFDFD3C0</v>
      </c>
      <c r="D5668" t="s">
        <v>131</v>
      </c>
      <c r="E5668">
        <v>10</v>
      </c>
      <c r="F5668">
        <v>2010</v>
      </c>
      <c r="G5668" t="s">
        <v>132</v>
      </c>
      <c r="J5668" t="s">
        <v>133</v>
      </c>
      <c r="K5668">
        <v>0</v>
      </c>
      <c r="L5668">
        <v>3</v>
      </c>
      <c r="M5668">
        <v>0</v>
      </c>
      <c r="N5668">
        <v>2</v>
      </c>
      <c r="O5668">
        <v>1</v>
      </c>
      <c r="P5668">
        <v>0</v>
      </c>
      <c r="Q5668">
        <v>0</v>
      </c>
      <c r="S5668" t="str">
        <f t="shared" ref="S5668:S5675" si="2642">"14:51:49.797"</f>
        <v>14:51:49.797</v>
      </c>
      <c r="T5668" t="str">
        <f t="shared" ref="T5668:T5675" si="2643">"14:51:49.597"</f>
        <v>14:51:49.597</v>
      </c>
      <c r="U5668" t="str">
        <f t="shared" si="2624"/>
        <v>A9808D</v>
      </c>
      <c r="V5668">
        <v>0</v>
      </c>
      <c r="W5668">
        <v>0</v>
      </c>
      <c r="X5668">
        <v>1</v>
      </c>
      <c r="Z5668">
        <v>0</v>
      </c>
      <c r="AA5668">
        <v>9</v>
      </c>
      <c r="AB5668">
        <v>3</v>
      </c>
      <c r="AC5668">
        <v>0</v>
      </c>
      <c r="AD5668">
        <v>10</v>
      </c>
      <c r="AE5668">
        <v>0</v>
      </c>
      <c r="AF5668">
        <v>3</v>
      </c>
      <c r="AG5668">
        <v>2</v>
      </c>
      <c r="AH5668">
        <v>0</v>
      </c>
      <c r="AI5668" t="s">
        <v>1262</v>
      </c>
      <c r="AJ5668">
        <v>28.205058999999999</v>
      </c>
      <c r="AK5668" t="s">
        <v>1263</v>
      </c>
      <c r="AL5668">
        <v>-82.385530000000003</v>
      </c>
      <c r="AM5668">
        <v>100</v>
      </c>
      <c r="AN5668">
        <v>800</v>
      </c>
      <c r="AO5668" t="s">
        <v>118</v>
      </c>
      <c r="AP5668">
        <v>80</v>
      </c>
      <c r="AQ5668">
        <v>-72</v>
      </c>
      <c r="AR5668">
        <v>-896</v>
      </c>
      <c r="AZ5668">
        <v>1200</v>
      </c>
      <c r="BA5668">
        <v>1</v>
      </c>
      <c r="BB5668" t="str">
        <f t="shared" si="2637"/>
        <v xml:space="preserve">N711JA  </v>
      </c>
      <c r="BC5668">
        <v>1</v>
      </c>
      <c r="BE5668">
        <v>0</v>
      </c>
      <c r="BF5668">
        <v>0</v>
      </c>
      <c r="BG5668">
        <v>0</v>
      </c>
      <c r="BH5668">
        <v>875</v>
      </c>
      <c r="BI5668">
        <v>1</v>
      </c>
      <c r="BJ5668">
        <v>1</v>
      </c>
      <c r="BK5668">
        <v>0</v>
      </c>
      <c r="BL5668">
        <v>0</v>
      </c>
      <c r="BO5668">
        <v>0</v>
      </c>
      <c r="BP5668">
        <v>0</v>
      </c>
      <c r="BW5668" t="str">
        <f t="shared" ref="BW5668:BW5675" si="2644">"14:51:49.798"</f>
        <v>14:51:49.798</v>
      </c>
      <c r="CJ5668">
        <v>0</v>
      </c>
      <c r="CK5668">
        <v>2</v>
      </c>
      <c r="CL5668">
        <v>0</v>
      </c>
      <c r="CM5668">
        <v>2</v>
      </c>
      <c r="CN5668">
        <v>0</v>
      </c>
      <c r="CO5668">
        <v>7</v>
      </c>
      <c r="CP5668" t="s">
        <v>119</v>
      </c>
      <c r="CQ5668">
        <v>343</v>
      </c>
      <c r="CR5668">
        <v>1</v>
      </c>
      <c r="CW5668">
        <v>11185115</v>
      </c>
      <c r="CY5668">
        <v>1</v>
      </c>
      <c r="CZ5668">
        <v>0</v>
      </c>
      <c r="DA5668">
        <v>0</v>
      </c>
      <c r="DB5668">
        <v>0</v>
      </c>
      <c r="DC5668">
        <v>0</v>
      </c>
      <c r="DD5668">
        <v>1</v>
      </c>
      <c r="DE5668">
        <v>0</v>
      </c>
      <c r="DF5668">
        <v>0</v>
      </c>
      <c r="DG5668">
        <v>0</v>
      </c>
      <c r="DH5668">
        <v>0</v>
      </c>
      <c r="DI5668">
        <v>0</v>
      </c>
    </row>
    <row r="5669" spans="1:113" x14ac:dyDescent="0.3">
      <c r="A5669" t="str">
        <f t="shared" si="2641"/>
        <v>05/12/2020 14:51:31.954</v>
      </c>
      <c r="C5669" t="str">
        <f t="shared" si="2636"/>
        <v>FFDFD3C0</v>
      </c>
      <c r="D5669" t="s">
        <v>131</v>
      </c>
      <c r="E5669">
        <v>12</v>
      </c>
      <c r="F5669">
        <v>2012</v>
      </c>
      <c r="G5669" t="s">
        <v>137</v>
      </c>
      <c r="J5669" t="s">
        <v>133</v>
      </c>
      <c r="K5669">
        <v>0</v>
      </c>
      <c r="L5669">
        <v>3</v>
      </c>
      <c r="M5669">
        <v>0</v>
      </c>
      <c r="N5669">
        <v>2</v>
      </c>
      <c r="O5669">
        <v>1</v>
      </c>
      <c r="P5669">
        <v>0</v>
      </c>
      <c r="Q5669">
        <v>0</v>
      </c>
      <c r="S5669" t="str">
        <f t="shared" si="2642"/>
        <v>14:51:49.797</v>
      </c>
      <c r="T5669" t="str">
        <f t="shared" si="2643"/>
        <v>14:51:49.597</v>
      </c>
      <c r="U5669" t="str">
        <f t="shared" si="2624"/>
        <v>A9808D</v>
      </c>
      <c r="V5669">
        <v>0</v>
      </c>
      <c r="W5669">
        <v>0</v>
      </c>
      <c r="X5669">
        <v>1</v>
      </c>
      <c r="Z5669">
        <v>0</v>
      </c>
      <c r="AA5669">
        <v>9</v>
      </c>
      <c r="AB5669">
        <v>3</v>
      </c>
      <c r="AC5669">
        <v>0</v>
      </c>
      <c r="AD5669">
        <v>10</v>
      </c>
      <c r="AE5669">
        <v>0</v>
      </c>
      <c r="AF5669">
        <v>3</v>
      </c>
      <c r="AG5669">
        <v>2</v>
      </c>
      <c r="AH5669">
        <v>0</v>
      </c>
      <c r="AI5669" t="s">
        <v>1262</v>
      </c>
      <c r="AJ5669">
        <v>28.205058999999999</v>
      </c>
      <c r="AK5669" t="s">
        <v>1263</v>
      </c>
      <c r="AL5669">
        <v>-82.385530000000003</v>
      </c>
      <c r="AM5669">
        <v>100</v>
      </c>
      <c r="AN5669">
        <v>800</v>
      </c>
      <c r="AO5669" t="s">
        <v>118</v>
      </c>
      <c r="AP5669">
        <v>80</v>
      </c>
      <c r="AQ5669">
        <v>-72</v>
      </c>
      <c r="AR5669">
        <v>-896</v>
      </c>
      <c r="AZ5669">
        <v>1200</v>
      </c>
      <c r="BA5669">
        <v>1</v>
      </c>
      <c r="BB5669" t="str">
        <f t="shared" si="2637"/>
        <v xml:space="preserve">N711JA  </v>
      </c>
      <c r="BC5669">
        <v>1</v>
      </c>
      <c r="BE5669">
        <v>0</v>
      </c>
      <c r="BF5669">
        <v>0</v>
      </c>
      <c r="BG5669">
        <v>0</v>
      </c>
      <c r="BH5669">
        <v>875</v>
      </c>
      <c r="BI5669">
        <v>1</v>
      </c>
      <c r="BJ5669">
        <v>1</v>
      </c>
      <c r="BK5669">
        <v>0</v>
      </c>
      <c r="BL5669">
        <v>0</v>
      </c>
      <c r="BO5669">
        <v>0</v>
      </c>
      <c r="BP5669">
        <v>0</v>
      </c>
      <c r="BW5669" t="str">
        <f t="shared" si="2644"/>
        <v>14:51:49.798</v>
      </c>
      <c r="CJ5669">
        <v>0</v>
      </c>
      <c r="CK5669">
        <v>2</v>
      </c>
      <c r="CL5669">
        <v>0</v>
      </c>
      <c r="CM5669">
        <v>2</v>
      </c>
      <c r="CN5669">
        <v>0</v>
      </c>
      <c r="CO5669">
        <v>7</v>
      </c>
      <c r="CP5669" t="s">
        <v>119</v>
      </c>
      <c r="CQ5669">
        <v>343</v>
      </c>
      <c r="CR5669">
        <v>1</v>
      </c>
      <c r="CW5669">
        <v>11185115</v>
      </c>
      <c r="CY5669">
        <v>1</v>
      </c>
      <c r="CZ5669">
        <v>0</v>
      </c>
      <c r="DA5669">
        <v>1</v>
      </c>
      <c r="DB5669">
        <v>0</v>
      </c>
      <c r="DC5669">
        <v>0</v>
      </c>
      <c r="DD5669">
        <v>1</v>
      </c>
      <c r="DE5669">
        <v>0</v>
      </c>
      <c r="DF5669">
        <v>0</v>
      </c>
      <c r="DG5669">
        <v>0</v>
      </c>
      <c r="DH5669">
        <v>0</v>
      </c>
      <c r="DI5669">
        <v>0</v>
      </c>
    </row>
    <row r="5670" spans="1:113" x14ac:dyDescent="0.3">
      <c r="A5670" t="str">
        <f t="shared" si="2641"/>
        <v>05/12/2020 14:51:31.954</v>
      </c>
      <c r="C5670" t="str">
        <f t="shared" si="2636"/>
        <v>FFDFD3C0</v>
      </c>
      <c r="D5670" t="s">
        <v>138</v>
      </c>
      <c r="E5670">
        <v>2</v>
      </c>
      <c r="H5670">
        <v>8</v>
      </c>
      <c r="I5670" t="s">
        <v>139</v>
      </c>
      <c r="J5670" t="s">
        <v>136</v>
      </c>
      <c r="K5670">
        <v>0</v>
      </c>
      <c r="L5670">
        <v>3</v>
      </c>
      <c r="M5670">
        <v>0</v>
      </c>
      <c r="N5670">
        <v>2</v>
      </c>
      <c r="O5670">
        <v>1</v>
      </c>
      <c r="P5670">
        <v>0</v>
      </c>
      <c r="Q5670">
        <v>0</v>
      </c>
      <c r="S5670" t="str">
        <f t="shared" si="2642"/>
        <v>14:51:49.797</v>
      </c>
      <c r="T5670" t="str">
        <f t="shared" si="2643"/>
        <v>14:51:49.597</v>
      </c>
      <c r="U5670" t="str">
        <f t="shared" si="2624"/>
        <v>A9808D</v>
      </c>
      <c r="V5670">
        <v>0</v>
      </c>
      <c r="W5670">
        <v>0</v>
      </c>
      <c r="X5670">
        <v>1</v>
      </c>
      <c r="Z5670">
        <v>0</v>
      </c>
      <c r="AA5670">
        <v>9</v>
      </c>
      <c r="AB5670">
        <v>3</v>
      </c>
      <c r="AC5670">
        <v>0</v>
      </c>
      <c r="AD5670">
        <v>10</v>
      </c>
      <c r="AE5670">
        <v>0</v>
      </c>
      <c r="AF5670">
        <v>3</v>
      </c>
      <c r="AG5670">
        <v>2</v>
      </c>
      <c r="AH5670">
        <v>0</v>
      </c>
      <c r="AI5670" t="s">
        <v>1262</v>
      </c>
      <c r="AJ5670">
        <v>28.205058999999999</v>
      </c>
      <c r="AK5670" t="s">
        <v>1263</v>
      </c>
      <c r="AL5670">
        <v>-82.385530000000003</v>
      </c>
      <c r="AM5670">
        <v>100</v>
      </c>
      <c r="AN5670">
        <v>800</v>
      </c>
      <c r="AO5670" t="s">
        <v>118</v>
      </c>
      <c r="AP5670">
        <v>80</v>
      </c>
      <c r="AQ5670">
        <v>-72</v>
      </c>
      <c r="AR5670">
        <v>-896</v>
      </c>
      <c r="AZ5670">
        <v>1200</v>
      </c>
      <c r="BA5670">
        <v>1</v>
      </c>
      <c r="BB5670" t="str">
        <f t="shared" si="2637"/>
        <v xml:space="preserve">N711JA  </v>
      </c>
      <c r="BC5670">
        <v>1</v>
      </c>
      <c r="BE5670">
        <v>0</v>
      </c>
      <c r="BF5670">
        <v>0</v>
      </c>
      <c r="BG5670">
        <v>0</v>
      </c>
      <c r="BH5670">
        <v>875</v>
      </c>
      <c r="BI5670">
        <v>1</v>
      </c>
      <c r="BJ5670">
        <v>1</v>
      </c>
      <c r="BK5670">
        <v>0</v>
      </c>
      <c r="BL5670">
        <v>0</v>
      </c>
      <c r="BO5670">
        <v>0</v>
      </c>
      <c r="BP5670">
        <v>0</v>
      </c>
      <c r="BW5670" t="str">
        <f t="shared" si="2644"/>
        <v>14:51:49.798</v>
      </c>
      <c r="CJ5670">
        <v>0</v>
      </c>
      <c r="CK5670">
        <v>2</v>
      </c>
      <c r="CL5670">
        <v>0</v>
      </c>
      <c r="CM5670">
        <v>2</v>
      </c>
      <c r="CN5670">
        <v>0</v>
      </c>
      <c r="CO5670">
        <v>7</v>
      </c>
      <c r="CP5670" t="s">
        <v>119</v>
      </c>
      <c r="CQ5670">
        <v>343</v>
      </c>
      <c r="CR5670">
        <v>1</v>
      </c>
      <c r="CW5670">
        <v>11185115</v>
      </c>
      <c r="CY5670">
        <v>1</v>
      </c>
      <c r="CZ5670">
        <v>0</v>
      </c>
      <c r="DA5670">
        <v>1</v>
      </c>
      <c r="DB5670">
        <v>0</v>
      </c>
      <c r="DC5670">
        <v>0</v>
      </c>
      <c r="DD5670">
        <v>1</v>
      </c>
      <c r="DE5670">
        <v>0</v>
      </c>
      <c r="DF5670">
        <v>0</v>
      </c>
      <c r="DG5670">
        <v>0</v>
      </c>
      <c r="DH5670">
        <v>0</v>
      </c>
      <c r="DI5670">
        <v>0</v>
      </c>
    </row>
    <row r="5671" spans="1:113" x14ac:dyDescent="0.3">
      <c r="A5671" t="str">
        <f t="shared" si="2641"/>
        <v>05/12/2020 14:51:31.954</v>
      </c>
      <c r="C5671" t="str">
        <f t="shared" si="2636"/>
        <v>FFDFD3C0</v>
      </c>
      <c r="D5671" t="s">
        <v>138</v>
      </c>
      <c r="E5671">
        <v>3</v>
      </c>
      <c r="H5671">
        <v>9</v>
      </c>
      <c r="I5671" t="s">
        <v>140</v>
      </c>
      <c r="J5671" t="s">
        <v>136</v>
      </c>
      <c r="K5671">
        <v>0</v>
      </c>
      <c r="L5671">
        <v>3</v>
      </c>
      <c r="M5671">
        <v>0</v>
      </c>
      <c r="N5671">
        <v>2</v>
      </c>
      <c r="O5671">
        <v>1</v>
      </c>
      <c r="P5671">
        <v>0</v>
      </c>
      <c r="Q5671">
        <v>0</v>
      </c>
      <c r="S5671" t="str">
        <f t="shared" si="2642"/>
        <v>14:51:49.797</v>
      </c>
      <c r="T5671" t="str">
        <f t="shared" si="2643"/>
        <v>14:51:49.597</v>
      </c>
      <c r="U5671" t="str">
        <f t="shared" si="2624"/>
        <v>A9808D</v>
      </c>
      <c r="V5671">
        <v>0</v>
      </c>
      <c r="W5671">
        <v>0</v>
      </c>
      <c r="X5671">
        <v>1</v>
      </c>
      <c r="Z5671">
        <v>0</v>
      </c>
      <c r="AA5671">
        <v>9</v>
      </c>
      <c r="AB5671">
        <v>3</v>
      </c>
      <c r="AC5671">
        <v>0</v>
      </c>
      <c r="AD5671">
        <v>10</v>
      </c>
      <c r="AE5671">
        <v>0</v>
      </c>
      <c r="AF5671">
        <v>3</v>
      </c>
      <c r="AG5671">
        <v>2</v>
      </c>
      <c r="AH5671">
        <v>0</v>
      </c>
      <c r="AI5671" t="s">
        <v>1262</v>
      </c>
      <c r="AJ5671">
        <v>28.205058999999999</v>
      </c>
      <c r="AK5671" t="s">
        <v>1263</v>
      </c>
      <c r="AL5671">
        <v>-82.385530000000003</v>
      </c>
      <c r="AM5671">
        <v>100</v>
      </c>
      <c r="AN5671">
        <v>800</v>
      </c>
      <c r="AO5671" t="s">
        <v>118</v>
      </c>
      <c r="AP5671">
        <v>80</v>
      </c>
      <c r="AQ5671">
        <v>-72</v>
      </c>
      <c r="AR5671">
        <v>-896</v>
      </c>
      <c r="AZ5671">
        <v>1200</v>
      </c>
      <c r="BA5671">
        <v>1</v>
      </c>
      <c r="BB5671" t="str">
        <f t="shared" si="2637"/>
        <v xml:space="preserve">N711JA  </v>
      </c>
      <c r="BC5671">
        <v>1</v>
      </c>
      <c r="BE5671">
        <v>0</v>
      </c>
      <c r="BF5671">
        <v>0</v>
      </c>
      <c r="BG5671">
        <v>0</v>
      </c>
      <c r="BH5671">
        <v>875</v>
      </c>
      <c r="BI5671">
        <v>1</v>
      </c>
      <c r="BJ5671">
        <v>1</v>
      </c>
      <c r="BK5671">
        <v>0</v>
      </c>
      <c r="BL5671">
        <v>0</v>
      </c>
      <c r="BO5671">
        <v>0</v>
      </c>
      <c r="BP5671">
        <v>0</v>
      </c>
      <c r="BW5671" t="str">
        <f t="shared" si="2644"/>
        <v>14:51:49.798</v>
      </c>
      <c r="CJ5671">
        <v>0</v>
      </c>
      <c r="CK5671">
        <v>2</v>
      </c>
      <c r="CL5671">
        <v>0</v>
      </c>
      <c r="CM5671">
        <v>2</v>
      </c>
      <c r="CN5671">
        <v>0</v>
      </c>
      <c r="CO5671">
        <v>7</v>
      </c>
      <c r="CP5671" t="s">
        <v>119</v>
      </c>
      <c r="CQ5671">
        <v>343</v>
      </c>
      <c r="CR5671">
        <v>1</v>
      </c>
      <c r="CW5671">
        <v>11185115</v>
      </c>
      <c r="CY5671">
        <v>1</v>
      </c>
      <c r="CZ5671">
        <v>0</v>
      </c>
      <c r="DA5671">
        <v>1</v>
      </c>
      <c r="DB5671">
        <v>0</v>
      </c>
      <c r="DC5671">
        <v>0</v>
      </c>
      <c r="DD5671">
        <v>1</v>
      </c>
      <c r="DE5671">
        <v>0</v>
      </c>
      <c r="DF5671">
        <v>0</v>
      </c>
      <c r="DG5671">
        <v>0</v>
      </c>
      <c r="DH5671">
        <v>0</v>
      </c>
      <c r="DI5671">
        <v>0</v>
      </c>
    </row>
    <row r="5672" spans="1:113" x14ac:dyDescent="0.3">
      <c r="A5672" t="str">
        <f t="shared" si="2641"/>
        <v>05/12/2020 14:51:31.954</v>
      </c>
      <c r="C5672" t="str">
        <f t="shared" si="2636"/>
        <v>FFDFD3C0</v>
      </c>
      <c r="D5672" t="s">
        <v>113</v>
      </c>
      <c r="E5672">
        <v>3</v>
      </c>
      <c r="H5672">
        <v>164</v>
      </c>
      <c r="I5672" t="s">
        <v>114</v>
      </c>
      <c r="J5672" t="s">
        <v>115</v>
      </c>
      <c r="K5672">
        <v>0</v>
      </c>
      <c r="L5672">
        <v>3</v>
      </c>
      <c r="M5672">
        <v>0</v>
      </c>
      <c r="N5672">
        <v>2</v>
      </c>
      <c r="O5672">
        <v>1</v>
      </c>
      <c r="P5672">
        <v>0</v>
      </c>
      <c r="Q5672">
        <v>0</v>
      </c>
      <c r="S5672" t="str">
        <f t="shared" si="2642"/>
        <v>14:51:49.797</v>
      </c>
      <c r="T5672" t="str">
        <f t="shared" si="2643"/>
        <v>14:51:49.597</v>
      </c>
      <c r="U5672" t="str">
        <f t="shared" si="2624"/>
        <v>A9808D</v>
      </c>
      <c r="V5672">
        <v>0</v>
      </c>
      <c r="W5672">
        <v>0</v>
      </c>
      <c r="X5672">
        <v>1</v>
      </c>
      <c r="Z5672">
        <v>0</v>
      </c>
      <c r="AA5672">
        <v>9</v>
      </c>
      <c r="AB5672">
        <v>3</v>
      </c>
      <c r="AC5672">
        <v>0</v>
      </c>
      <c r="AD5672">
        <v>10</v>
      </c>
      <c r="AE5672">
        <v>0</v>
      </c>
      <c r="AF5672">
        <v>3</v>
      </c>
      <c r="AG5672">
        <v>2</v>
      </c>
      <c r="AH5672">
        <v>0</v>
      </c>
      <c r="AI5672" t="s">
        <v>1262</v>
      </c>
      <c r="AJ5672">
        <v>28.205058999999999</v>
      </c>
      <c r="AK5672" t="s">
        <v>1263</v>
      </c>
      <c r="AL5672">
        <v>-82.385530000000003</v>
      </c>
      <c r="AM5672">
        <v>100</v>
      </c>
      <c r="AN5672">
        <v>800</v>
      </c>
      <c r="AO5672" t="s">
        <v>118</v>
      </c>
      <c r="AP5672">
        <v>80</v>
      </c>
      <c r="AQ5672">
        <v>-72</v>
      </c>
      <c r="AR5672">
        <v>-896</v>
      </c>
      <c r="AZ5672">
        <v>1200</v>
      </c>
      <c r="BA5672">
        <v>1</v>
      </c>
      <c r="BB5672" t="str">
        <f t="shared" si="2637"/>
        <v xml:space="preserve">N711JA  </v>
      </c>
      <c r="BC5672">
        <v>1</v>
      </c>
      <c r="BE5672">
        <v>0</v>
      </c>
      <c r="BF5672">
        <v>0</v>
      </c>
      <c r="BG5672">
        <v>0</v>
      </c>
      <c r="BH5672">
        <v>875</v>
      </c>
      <c r="BI5672">
        <v>1</v>
      </c>
      <c r="BJ5672">
        <v>1</v>
      </c>
      <c r="BK5672">
        <v>0</v>
      </c>
      <c r="BL5672">
        <v>0</v>
      </c>
      <c r="BO5672">
        <v>0</v>
      </c>
      <c r="BP5672">
        <v>0</v>
      </c>
      <c r="BW5672" t="str">
        <f t="shared" si="2644"/>
        <v>14:51:49.798</v>
      </c>
      <c r="CJ5672">
        <v>0</v>
      </c>
      <c r="CK5672">
        <v>2</v>
      </c>
      <c r="CL5672">
        <v>0</v>
      </c>
      <c r="CM5672">
        <v>2</v>
      </c>
      <c r="CN5672">
        <v>0</v>
      </c>
      <c r="CO5672">
        <v>7</v>
      </c>
      <c r="CP5672" t="s">
        <v>119</v>
      </c>
      <c r="CQ5672">
        <v>343</v>
      </c>
      <c r="CR5672">
        <v>1</v>
      </c>
      <c r="CW5672">
        <v>11185115</v>
      </c>
      <c r="CY5672">
        <v>1</v>
      </c>
      <c r="CZ5672">
        <v>0</v>
      </c>
      <c r="DA5672">
        <v>1</v>
      </c>
      <c r="DB5672">
        <v>0</v>
      </c>
      <c r="DC5672">
        <v>0</v>
      </c>
      <c r="DD5672">
        <v>1</v>
      </c>
      <c r="DE5672">
        <v>0</v>
      </c>
      <c r="DF5672">
        <v>0</v>
      </c>
      <c r="DG5672">
        <v>0</v>
      </c>
      <c r="DH5672">
        <v>0</v>
      </c>
      <c r="DI5672">
        <v>0</v>
      </c>
    </row>
    <row r="5673" spans="1:113" x14ac:dyDescent="0.3">
      <c r="A5673" t="str">
        <f t="shared" si="2641"/>
        <v>05/12/2020 14:51:31.954</v>
      </c>
      <c r="C5673" t="str">
        <f t="shared" si="2636"/>
        <v>FFDFD3C0</v>
      </c>
      <c r="D5673" t="s">
        <v>126</v>
      </c>
      <c r="E5673">
        <v>6</v>
      </c>
      <c r="F5673">
        <v>1006</v>
      </c>
      <c r="G5673" t="s">
        <v>114</v>
      </c>
      <c r="J5673" t="s">
        <v>128</v>
      </c>
      <c r="K5673">
        <v>0</v>
      </c>
      <c r="L5673">
        <v>3</v>
      </c>
      <c r="M5673">
        <v>0</v>
      </c>
      <c r="N5673">
        <v>2</v>
      </c>
      <c r="O5673">
        <v>1</v>
      </c>
      <c r="P5673">
        <v>0</v>
      </c>
      <c r="Q5673">
        <v>0</v>
      </c>
      <c r="S5673" t="str">
        <f t="shared" si="2642"/>
        <v>14:51:49.797</v>
      </c>
      <c r="T5673" t="str">
        <f t="shared" si="2643"/>
        <v>14:51:49.597</v>
      </c>
      <c r="U5673" t="str">
        <f t="shared" si="2624"/>
        <v>A9808D</v>
      </c>
      <c r="V5673">
        <v>0</v>
      </c>
      <c r="W5673">
        <v>0</v>
      </c>
      <c r="X5673">
        <v>1</v>
      </c>
      <c r="Z5673">
        <v>0</v>
      </c>
      <c r="AA5673">
        <v>9</v>
      </c>
      <c r="AB5673">
        <v>3</v>
      </c>
      <c r="AC5673">
        <v>0</v>
      </c>
      <c r="AD5673">
        <v>10</v>
      </c>
      <c r="AE5673">
        <v>0</v>
      </c>
      <c r="AF5673">
        <v>3</v>
      </c>
      <c r="AG5673">
        <v>2</v>
      </c>
      <c r="AH5673">
        <v>0</v>
      </c>
      <c r="AI5673" t="s">
        <v>1262</v>
      </c>
      <c r="AJ5673">
        <v>28.205058999999999</v>
      </c>
      <c r="AK5673" t="s">
        <v>1263</v>
      </c>
      <c r="AL5673">
        <v>-82.385530000000003</v>
      </c>
      <c r="AM5673">
        <v>100</v>
      </c>
      <c r="AN5673">
        <v>800</v>
      </c>
      <c r="AO5673" t="s">
        <v>118</v>
      </c>
      <c r="AP5673">
        <v>80</v>
      </c>
      <c r="AQ5673">
        <v>-72</v>
      </c>
      <c r="AR5673">
        <v>-896</v>
      </c>
      <c r="AZ5673">
        <v>1200</v>
      </c>
      <c r="BA5673">
        <v>1</v>
      </c>
      <c r="BB5673" t="str">
        <f t="shared" si="2637"/>
        <v xml:space="preserve">N711JA  </v>
      </c>
      <c r="BC5673">
        <v>1</v>
      </c>
      <c r="BE5673">
        <v>0</v>
      </c>
      <c r="BF5673">
        <v>0</v>
      </c>
      <c r="BG5673">
        <v>0</v>
      </c>
      <c r="BH5673">
        <v>875</v>
      </c>
      <c r="BI5673">
        <v>1</v>
      </c>
      <c r="BJ5673">
        <v>1</v>
      </c>
      <c r="BK5673">
        <v>0</v>
      </c>
      <c r="BL5673">
        <v>0</v>
      </c>
      <c r="BO5673">
        <v>0</v>
      </c>
      <c r="BP5673">
        <v>0</v>
      </c>
      <c r="BW5673" t="str">
        <f t="shared" si="2644"/>
        <v>14:51:49.798</v>
      </c>
      <c r="CJ5673">
        <v>0</v>
      </c>
      <c r="CK5673">
        <v>2</v>
      </c>
      <c r="CL5673">
        <v>0</v>
      </c>
      <c r="CM5673">
        <v>2</v>
      </c>
      <c r="CN5673">
        <v>0</v>
      </c>
      <c r="CO5673">
        <v>7</v>
      </c>
      <c r="CP5673" t="s">
        <v>119</v>
      </c>
      <c r="CQ5673">
        <v>343</v>
      </c>
      <c r="CR5673">
        <v>1</v>
      </c>
      <c r="CW5673">
        <v>11185115</v>
      </c>
      <c r="CY5673">
        <v>1</v>
      </c>
      <c r="CZ5673">
        <v>0</v>
      </c>
      <c r="DA5673">
        <v>1</v>
      </c>
      <c r="DB5673">
        <v>0</v>
      </c>
      <c r="DC5673">
        <v>0</v>
      </c>
      <c r="DD5673">
        <v>1</v>
      </c>
      <c r="DE5673">
        <v>0</v>
      </c>
      <c r="DF5673">
        <v>0</v>
      </c>
      <c r="DG5673">
        <v>0</v>
      </c>
      <c r="DH5673">
        <v>0</v>
      </c>
      <c r="DI5673">
        <v>0</v>
      </c>
    </row>
    <row r="5674" spans="1:113" x14ac:dyDescent="0.3">
      <c r="A5674" t="str">
        <f t="shared" si="2641"/>
        <v>05/12/2020 14:51:31.954</v>
      </c>
      <c r="C5674" t="str">
        <f t="shared" si="2636"/>
        <v>FFDFD3C0</v>
      </c>
      <c r="D5674" t="s">
        <v>126</v>
      </c>
      <c r="E5674">
        <v>7</v>
      </c>
      <c r="F5674">
        <v>1007</v>
      </c>
      <c r="G5674" t="s">
        <v>127</v>
      </c>
      <c r="J5674" t="s">
        <v>128</v>
      </c>
      <c r="K5674">
        <v>0</v>
      </c>
      <c r="L5674">
        <v>3</v>
      </c>
      <c r="M5674">
        <v>0</v>
      </c>
      <c r="N5674">
        <v>2</v>
      </c>
      <c r="O5674">
        <v>1</v>
      </c>
      <c r="P5674">
        <v>0</v>
      </c>
      <c r="Q5674">
        <v>0</v>
      </c>
      <c r="S5674" t="str">
        <f t="shared" si="2642"/>
        <v>14:51:49.797</v>
      </c>
      <c r="T5674" t="str">
        <f t="shared" si="2643"/>
        <v>14:51:49.597</v>
      </c>
      <c r="U5674" t="str">
        <f t="shared" si="2624"/>
        <v>A9808D</v>
      </c>
      <c r="V5674">
        <v>0</v>
      </c>
      <c r="W5674">
        <v>0</v>
      </c>
      <c r="X5674">
        <v>1</v>
      </c>
      <c r="Z5674">
        <v>0</v>
      </c>
      <c r="AA5674">
        <v>9</v>
      </c>
      <c r="AB5674">
        <v>3</v>
      </c>
      <c r="AC5674">
        <v>0</v>
      </c>
      <c r="AD5674">
        <v>10</v>
      </c>
      <c r="AE5674">
        <v>0</v>
      </c>
      <c r="AF5674">
        <v>3</v>
      </c>
      <c r="AG5674">
        <v>2</v>
      </c>
      <c r="AH5674">
        <v>0</v>
      </c>
      <c r="AI5674" t="s">
        <v>1262</v>
      </c>
      <c r="AJ5674">
        <v>28.205058999999999</v>
      </c>
      <c r="AK5674" t="s">
        <v>1263</v>
      </c>
      <c r="AL5674">
        <v>-82.385530000000003</v>
      </c>
      <c r="AM5674">
        <v>100</v>
      </c>
      <c r="AN5674">
        <v>800</v>
      </c>
      <c r="AO5674" t="s">
        <v>118</v>
      </c>
      <c r="AP5674">
        <v>80</v>
      </c>
      <c r="AQ5674">
        <v>-72</v>
      </c>
      <c r="AR5674">
        <v>-896</v>
      </c>
      <c r="AZ5674">
        <v>1200</v>
      </c>
      <c r="BA5674">
        <v>1</v>
      </c>
      <c r="BB5674" t="str">
        <f t="shared" si="2637"/>
        <v xml:space="preserve">N711JA  </v>
      </c>
      <c r="BC5674">
        <v>1</v>
      </c>
      <c r="BE5674">
        <v>0</v>
      </c>
      <c r="BF5674">
        <v>0</v>
      </c>
      <c r="BG5674">
        <v>0</v>
      </c>
      <c r="BH5674">
        <v>875</v>
      </c>
      <c r="BI5674">
        <v>1</v>
      </c>
      <c r="BJ5674">
        <v>1</v>
      </c>
      <c r="BK5674">
        <v>0</v>
      </c>
      <c r="BL5674">
        <v>0</v>
      </c>
      <c r="BO5674">
        <v>0</v>
      </c>
      <c r="BP5674">
        <v>0</v>
      </c>
      <c r="BW5674" t="str">
        <f t="shared" si="2644"/>
        <v>14:51:49.798</v>
      </c>
      <c r="CJ5674">
        <v>0</v>
      </c>
      <c r="CK5674">
        <v>2</v>
      </c>
      <c r="CL5674">
        <v>0</v>
      </c>
      <c r="CM5674">
        <v>2</v>
      </c>
      <c r="CN5674">
        <v>0</v>
      </c>
      <c r="CO5674">
        <v>7</v>
      </c>
      <c r="CP5674" t="s">
        <v>119</v>
      </c>
      <c r="CQ5674">
        <v>343</v>
      </c>
      <c r="CR5674">
        <v>1</v>
      </c>
      <c r="CW5674">
        <v>11185115</v>
      </c>
      <c r="CY5674">
        <v>1</v>
      </c>
      <c r="CZ5674">
        <v>0</v>
      </c>
      <c r="DA5674">
        <v>1</v>
      </c>
      <c r="DB5674">
        <v>0</v>
      </c>
      <c r="DC5674">
        <v>0</v>
      </c>
      <c r="DD5674">
        <v>1</v>
      </c>
      <c r="DE5674">
        <v>0</v>
      </c>
      <c r="DF5674">
        <v>0</v>
      </c>
      <c r="DG5674">
        <v>0</v>
      </c>
      <c r="DH5674">
        <v>0</v>
      </c>
      <c r="DI5674">
        <v>0</v>
      </c>
    </row>
    <row r="5675" spans="1:113" x14ac:dyDescent="0.3">
      <c r="A5675" t="str">
        <f t="shared" si="2641"/>
        <v>05/12/2020 14:51:31.954</v>
      </c>
      <c r="C5675" t="str">
        <f t="shared" si="2636"/>
        <v>FFDFD3C0</v>
      </c>
      <c r="D5675" t="s">
        <v>134</v>
      </c>
      <c r="E5675">
        <v>12</v>
      </c>
      <c r="H5675">
        <v>64</v>
      </c>
      <c r="I5675" t="s">
        <v>135</v>
      </c>
      <c r="J5675" t="s">
        <v>136</v>
      </c>
      <c r="K5675">
        <v>0</v>
      </c>
      <c r="L5675">
        <v>3</v>
      </c>
      <c r="M5675">
        <v>0</v>
      </c>
      <c r="N5675">
        <v>2</v>
      </c>
      <c r="O5675">
        <v>1</v>
      </c>
      <c r="P5675">
        <v>0</v>
      </c>
      <c r="Q5675">
        <v>0</v>
      </c>
      <c r="S5675" t="str">
        <f t="shared" si="2642"/>
        <v>14:51:49.797</v>
      </c>
      <c r="T5675" t="str">
        <f t="shared" si="2643"/>
        <v>14:51:49.597</v>
      </c>
      <c r="U5675" t="str">
        <f t="shared" si="2624"/>
        <v>A9808D</v>
      </c>
      <c r="V5675">
        <v>0</v>
      </c>
      <c r="W5675">
        <v>0</v>
      </c>
      <c r="X5675">
        <v>1</v>
      </c>
      <c r="Z5675">
        <v>0</v>
      </c>
      <c r="AA5675">
        <v>9</v>
      </c>
      <c r="AB5675">
        <v>3</v>
      </c>
      <c r="AC5675">
        <v>0</v>
      </c>
      <c r="AD5675">
        <v>10</v>
      </c>
      <c r="AE5675">
        <v>0</v>
      </c>
      <c r="AF5675">
        <v>3</v>
      </c>
      <c r="AG5675">
        <v>2</v>
      </c>
      <c r="AH5675">
        <v>0</v>
      </c>
      <c r="AI5675" t="s">
        <v>1262</v>
      </c>
      <c r="AJ5675">
        <v>28.205058999999999</v>
      </c>
      <c r="AK5675" t="s">
        <v>1263</v>
      </c>
      <c r="AL5675">
        <v>-82.385530000000003</v>
      </c>
      <c r="AM5675">
        <v>100</v>
      </c>
      <c r="AN5675">
        <v>800</v>
      </c>
      <c r="AO5675" t="s">
        <v>118</v>
      </c>
      <c r="AP5675">
        <v>80</v>
      </c>
      <c r="AQ5675">
        <v>-72</v>
      </c>
      <c r="AR5675">
        <v>-896</v>
      </c>
      <c r="AZ5675">
        <v>1200</v>
      </c>
      <c r="BA5675">
        <v>1</v>
      </c>
      <c r="BB5675" t="str">
        <f t="shared" si="2637"/>
        <v xml:space="preserve">N711JA  </v>
      </c>
      <c r="BC5675">
        <v>1</v>
      </c>
      <c r="BE5675">
        <v>0</v>
      </c>
      <c r="BF5675">
        <v>0</v>
      </c>
      <c r="BG5675">
        <v>0</v>
      </c>
      <c r="BH5675">
        <v>875</v>
      </c>
      <c r="BI5675">
        <v>1</v>
      </c>
      <c r="BJ5675">
        <v>1</v>
      </c>
      <c r="BK5675">
        <v>0</v>
      </c>
      <c r="BL5675">
        <v>0</v>
      </c>
      <c r="BO5675">
        <v>0</v>
      </c>
      <c r="BP5675">
        <v>0</v>
      </c>
      <c r="BW5675" t="str">
        <f t="shared" si="2644"/>
        <v>14:51:49.798</v>
      </c>
      <c r="CJ5675">
        <v>0</v>
      </c>
      <c r="CK5675">
        <v>2</v>
      </c>
      <c r="CL5675">
        <v>0</v>
      </c>
      <c r="CM5675">
        <v>2</v>
      </c>
      <c r="CN5675">
        <v>0</v>
      </c>
      <c r="CO5675">
        <v>7</v>
      </c>
      <c r="CP5675" t="s">
        <v>119</v>
      </c>
      <c r="CQ5675">
        <v>343</v>
      </c>
      <c r="CR5675">
        <v>1</v>
      </c>
      <c r="CW5675">
        <v>11185115</v>
      </c>
      <c r="CY5675">
        <v>1</v>
      </c>
      <c r="CZ5675">
        <v>0</v>
      </c>
      <c r="DA5675">
        <v>1</v>
      </c>
      <c r="DB5675">
        <v>0</v>
      </c>
      <c r="DC5675">
        <v>0</v>
      </c>
      <c r="DD5675">
        <v>1</v>
      </c>
      <c r="DE5675">
        <v>0</v>
      </c>
      <c r="DF5675">
        <v>0</v>
      </c>
      <c r="DG5675">
        <v>0</v>
      </c>
      <c r="DH5675">
        <v>0</v>
      </c>
      <c r="DI5675">
        <v>0</v>
      </c>
    </row>
    <row r="5676" spans="1:113" x14ac:dyDescent="0.3">
      <c r="A5676" t="str">
        <f t="shared" ref="A5676:A5683" si="2645">"05/12/2020 14:51:32.957"</f>
        <v>05/12/2020 14:51:32.957</v>
      </c>
      <c r="C5676" t="str">
        <f t="shared" si="2636"/>
        <v>FFDFD3C0</v>
      </c>
      <c r="D5676" t="s">
        <v>126</v>
      </c>
      <c r="E5676">
        <v>7</v>
      </c>
      <c r="F5676">
        <v>1007</v>
      </c>
      <c r="G5676" t="s">
        <v>127</v>
      </c>
      <c r="J5676" t="s">
        <v>128</v>
      </c>
      <c r="K5676">
        <v>0</v>
      </c>
      <c r="L5676">
        <v>3</v>
      </c>
      <c r="M5676">
        <v>0</v>
      </c>
      <c r="N5676">
        <v>2</v>
      </c>
      <c r="O5676">
        <v>1</v>
      </c>
      <c r="P5676">
        <v>0</v>
      </c>
      <c r="Q5676">
        <v>0</v>
      </c>
      <c r="S5676" t="str">
        <f t="shared" ref="S5676:S5683" si="2646">"14:51:50.789"</f>
        <v>14:51:50.789</v>
      </c>
      <c r="T5676" t="str">
        <f t="shared" ref="T5676:T5683" si="2647">"14:51:50.689"</f>
        <v>14:51:50.689</v>
      </c>
      <c r="U5676" t="str">
        <f t="shared" si="2624"/>
        <v>A9808D</v>
      </c>
      <c r="V5676">
        <v>0</v>
      </c>
      <c r="W5676">
        <v>0</v>
      </c>
      <c r="X5676">
        <v>1</v>
      </c>
      <c r="Z5676">
        <v>0</v>
      </c>
      <c r="AA5676">
        <v>9</v>
      </c>
      <c r="AB5676">
        <v>3</v>
      </c>
      <c r="AC5676">
        <v>0</v>
      </c>
      <c r="AD5676">
        <v>10</v>
      </c>
      <c r="AE5676">
        <v>0</v>
      </c>
      <c r="AF5676">
        <v>3</v>
      </c>
      <c r="AG5676">
        <v>2</v>
      </c>
      <c r="AH5676">
        <v>0</v>
      </c>
      <c r="AI5676" t="s">
        <v>1264</v>
      </c>
      <c r="AJ5676">
        <v>28.204737000000002</v>
      </c>
      <c r="AK5676" t="s">
        <v>1265</v>
      </c>
      <c r="AL5676">
        <v>-82.385101000000006</v>
      </c>
      <c r="AM5676">
        <v>100</v>
      </c>
      <c r="AN5676">
        <v>800</v>
      </c>
      <c r="AO5676" t="s">
        <v>118</v>
      </c>
      <c r="AP5676">
        <v>84</v>
      </c>
      <c r="AQ5676">
        <v>-66</v>
      </c>
      <c r="AR5676">
        <v>-960</v>
      </c>
      <c r="AZ5676">
        <v>1200</v>
      </c>
      <c r="BA5676">
        <v>1</v>
      </c>
      <c r="BB5676" t="str">
        <f t="shared" si="2637"/>
        <v xml:space="preserve">N711JA  </v>
      </c>
      <c r="BC5676">
        <v>1</v>
      </c>
      <c r="BE5676">
        <v>0</v>
      </c>
      <c r="BF5676">
        <v>0</v>
      </c>
      <c r="BG5676">
        <v>0</v>
      </c>
      <c r="BH5676">
        <v>875</v>
      </c>
      <c r="BI5676">
        <v>1</v>
      </c>
      <c r="BJ5676">
        <v>1</v>
      </c>
      <c r="BK5676">
        <v>0</v>
      </c>
      <c r="BL5676">
        <v>0</v>
      </c>
      <c r="BO5676">
        <v>0</v>
      </c>
      <c r="BP5676">
        <v>0</v>
      </c>
      <c r="BW5676" t="str">
        <f t="shared" ref="BW5676:BW5683" si="2648">"14:51:50.792"</f>
        <v>14:51:50.792</v>
      </c>
      <c r="CJ5676">
        <v>0</v>
      </c>
      <c r="CK5676">
        <v>2</v>
      </c>
      <c r="CL5676">
        <v>0</v>
      </c>
      <c r="CM5676">
        <v>2</v>
      </c>
      <c r="CN5676">
        <v>0</v>
      </c>
      <c r="CO5676">
        <v>6</v>
      </c>
      <c r="CP5676" t="s">
        <v>119</v>
      </c>
      <c r="CQ5676">
        <v>358</v>
      </c>
      <c r="CR5676">
        <v>0</v>
      </c>
      <c r="CW5676">
        <v>5305715</v>
      </c>
      <c r="CY5676">
        <v>1</v>
      </c>
      <c r="CZ5676">
        <v>0</v>
      </c>
      <c r="DA5676">
        <v>0</v>
      </c>
      <c r="DB5676">
        <v>0</v>
      </c>
      <c r="DC5676">
        <v>0</v>
      </c>
      <c r="DD5676">
        <v>1</v>
      </c>
      <c r="DE5676">
        <v>0</v>
      </c>
      <c r="DF5676">
        <v>0</v>
      </c>
      <c r="DG5676">
        <v>0</v>
      </c>
      <c r="DH5676">
        <v>0</v>
      </c>
      <c r="DI5676">
        <v>0</v>
      </c>
    </row>
    <row r="5677" spans="1:113" x14ac:dyDescent="0.3">
      <c r="A5677" t="str">
        <f t="shared" si="2645"/>
        <v>05/12/2020 14:51:32.957</v>
      </c>
      <c r="C5677" t="str">
        <f t="shared" si="2636"/>
        <v>FFDFD3C0</v>
      </c>
      <c r="D5677" t="s">
        <v>131</v>
      </c>
      <c r="E5677">
        <v>10</v>
      </c>
      <c r="F5677">
        <v>2010</v>
      </c>
      <c r="G5677" t="s">
        <v>132</v>
      </c>
      <c r="J5677" t="s">
        <v>133</v>
      </c>
      <c r="K5677">
        <v>0</v>
      </c>
      <c r="L5677">
        <v>3</v>
      </c>
      <c r="M5677">
        <v>0</v>
      </c>
      <c r="N5677">
        <v>2</v>
      </c>
      <c r="O5677">
        <v>1</v>
      </c>
      <c r="P5677">
        <v>0</v>
      </c>
      <c r="Q5677">
        <v>0</v>
      </c>
      <c r="S5677" t="str">
        <f t="shared" si="2646"/>
        <v>14:51:50.789</v>
      </c>
      <c r="T5677" t="str">
        <f t="shared" si="2647"/>
        <v>14:51:50.689</v>
      </c>
      <c r="U5677" t="str">
        <f t="shared" si="2624"/>
        <v>A9808D</v>
      </c>
      <c r="V5677">
        <v>0</v>
      </c>
      <c r="W5677">
        <v>0</v>
      </c>
      <c r="X5677">
        <v>1</v>
      </c>
      <c r="Z5677">
        <v>0</v>
      </c>
      <c r="AA5677">
        <v>9</v>
      </c>
      <c r="AB5677">
        <v>3</v>
      </c>
      <c r="AC5677">
        <v>0</v>
      </c>
      <c r="AD5677">
        <v>10</v>
      </c>
      <c r="AE5677">
        <v>0</v>
      </c>
      <c r="AF5677">
        <v>3</v>
      </c>
      <c r="AG5677">
        <v>2</v>
      </c>
      <c r="AH5677">
        <v>0</v>
      </c>
      <c r="AI5677" t="s">
        <v>1264</v>
      </c>
      <c r="AJ5677">
        <v>28.204737000000002</v>
      </c>
      <c r="AK5677" t="s">
        <v>1265</v>
      </c>
      <c r="AL5677">
        <v>-82.385101000000006</v>
      </c>
      <c r="AM5677">
        <v>100</v>
      </c>
      <c r="AN5677">
        <v>800</v>
      </c>
      <c r="AO5677" t="s">
        <v>118</v>
      </c>
      <c r="AP5677">
        <v>84</v>
      </c>
      <c r="AQ5677">
        <v>-66</v>
      </c>
      <c r="AR5677">
        <v>-960</v>
      </c>
      <c r="AZ5677">
        <v>1200</v>
      </c>
      <c r="BA5677">
        <v>1</v>
      </c>
      <c r="BB5677" t="str">
        <f t="shared" si="2637"/>
        <v xml:space="preserve">N711JA  </v>
      </c>
      <c r="BC5677">
        <v>1</v>
      </c>
      <c r="BE5677">
        <v>0</v>
      </c>
      <c r="BF5677">
        <v>0</v>
      </c>
      <c r="BG5677">
        <v>0</v>
      </c>
      <c r="BH5677">
        <v>875</v>
      </c>
      <c r="BI5677">
        <v>1</v>
      </c>
      <c r="BJ5677">
        <v>1</v>
      </c>
      <c r="BK5677">
        <v>0</v>
      </c>
      <c r="BL5677">
        <v>0</v>
      </c>
      <c r="BO5677">
        <v>0</v>
      </c>
      <c r="BP5677">
        <v>0</v>
      </c>
      <c r="BW5677" t="str">
        <f t="shared" si="2648"/>
        <v>14:51:50.792</v>
      </c>
      <c r="CJ5677">
        <v>0</v>
      </c>
      <c r="CK5677">
        <v>2</v>
      </c>
      <c r="CL5677">
        <v>0</v>
      </c>
      <c r="CM5677">
        <v>2</v>
      </c>
      <c r="CN5677">
        <v>0</v>
      </c>
      <c r="CO5677">
        <v>6</v>
      </c>
      <c r="CP5677" t="s">
        <v>119</v>
      </c>
      <c r="CQ5677">
        <v>358</v>
      </c>
      <c r="CR5677">
        <v>0</v>
      </c>
      <c r="CW5677">
        <v>5305715</v>
      </c>
      <c r="CY5677">
        <v>1</v>
      </c>
      <c r="CZ5677">
        <v>0</v>
      </c>
      <c r="DA5677">
        <v>1</v>
      </c>
      <c r="DB5677">
        <v>0</v>
      </c>
      <c r="DC5677">
        <v>0</v>
      </c>
      <c r="DD5677">
        <v>1</v>
      </c>
      <c r="DE5677">
        <v>0</v>
      </c>
      <c r="DF5677">
        <v>0</v>
      </c>
      <c r="DG5677">
        <v>0</v>
      </c>
      <c r="DH5677">
        <v>0</v>
      </c>
      <c r="DI5677">
        <v>0</v>
      </c>
    </row>
    <row r="5678" spans="1:113" x14ac:dyDescent="0.3">
      <c r="A5678" t="str">
        <f t="shared" si="2645"/>
        <v>05/12/2020 14:51:32.957</v>
      </c>
      <c r="C5678" t="str">
        <f t="shared" si="2636"/>
        <v>FFDFD3C0</v>
      </c>
      <c r="D5678" t="s">
        <v>131</v>
      </c>
      <c r="E5678">
        <v>12</v>
      </c>
      <c r="F5678">
        <v>2012</v>
      </c>
      <c r="G5678" t="s">
        <v>137</v>
      </c>
      <c r="J5678" t="s">
        <v>133</v>
      </c>
      <c r="K5678">
        <v>0</v>
      </c>
      <c r="L5678">
        <v>3</v>
      </c>
      <c r="M5678">
        <v>0</v>
      </c>
      <c r="N5678">
        <v>2</v>
      </c>
      <c r="O5678">
        <v>1</v>
      </c>
      <c r="P5678">
        <v>0</v>
      </c>
      <c r="Q5678">
        <v>0</v>
      </c>
      <c r="S5678" t="str">
        <f t="shared" si="2646"/>
        <v>14:51:50.789</v>
      </c>
      <c r="T5678" t="str">
        <f t="shared" si="2647"/>
        <v>14:51:50.689</v>
      </c>
      <c r="U5678" t="str">
        <f t="shared" si="2624"/>
        <v>A9808D</v>
      </c>
      <c r="V5678">
        <v>0</v>
      </c>
      <c r="W5678">
        <v>0</v>
      </c>
      <c r="X5678">
        <v>1</v>
      </c>
      <c r="Z5678">
        <v>0</v>
      </c>
      <c r="AA5678">
        <v>9</v>
      </c>
      <c r="AB5678">
        <v>3</v>
      </c>
      <c r="AC5678">
        <v>0</v>
      </c>
      <c r="AD5678">
        <v>10</v>
      </c>
      <c r="AE5678">
        <v>0</v>
      </c>
      <c r="AF5678">
        <v>3</v>
      </c>
      <c r="AG5678">
        <v>2</v>
      </c>
      <c r="AH5678">
        <v>0</v>
      </c>
      <c r="AI5678" t="s">
        <v>1264</v>
      </c>
      <c r="AJ5678">
        <v>28.204737000000002</v>
      </c>
      <c r="AK5678" t="s">
        <v>1265</v>
      </c>
      <c r="AL5678">
        <v>-82.385101000000006</v>
      </c>
      <c r="AM5678">
        <v>100</v>
      </c>
      <c r="AN5678">
        <v>800</v>
      </c>
      <c r="AO5678" t="s">
        <v>118</v>
      </c>
      <c r="AP5678">
        <v>84</v>
      </c>
      <c r="AQ5678">
        <v>-66</v>
      </c>
      <c r="AR5678">
        <v>-960</v>
      </c>
      <c r="AZ5678">
        <v>1200</v>
      </c>
      <c r="BA5678">
        <v>1</v>
      </c>
      <c r="BB5678" t="str">
        <f t="shared" si="2637"/>
        <v xml:space="preserve">N711JA  </v>
      </c>
      <c r="BC5678">
        <v>1</v>
      </c>
      <c r="BE5678">
        <v>0</v>
      </c>
      <c r="BF5678">
        <v>0</v>
      </c>
      <c r="BG5678">
        <v>0</v>
      </c>
      <c r="BH5678">
        <v>875</v>
      </c>
      <c r="BI5678">
        <v>1</v>
      </c>
      <c r="BJ5678">
        <v>1</v>
      </c>
      <c r="BK5678">
        <v>0</v>
      </c>
      <c r="BL5678">
        <v>0</v>
      </c>
      <c r="BO5678">
        <v>0</v>
      </c>
      <c r="BP5678">
        <v>0</v>
      </c>
      <c r="BW5678" t="str">
        <f t="shared" si="2648"/>
        <v>14:51:50.792</v>
      </c>
      <c r="CJ5678">
        <v>0</v>
      </c>
      <c r="CK5678">
        <v>2</v>
      </c>
      <c r="CL5678">
        <v>0</v>
      </c>
      <c r="CM5678">
        <v>2</v>
      </c>
      <c r="CN5678">
        <v>0</v>
      </c>
      <c r="CO5678">
        <v>5</v>
      </c>
      <c r="CP5678" t="s">
        <v>119</v>
      </c>
      <c r="CQ5678">
        <v>8</v>
      </c>
      <c r="CR5678">
        <v>3</v>
      </c>
      <c r="CW5678">
        <v>9309306</v>
      </c>
      <c r="CY5678">
        <v>1</v>
      </c>
      <c r="CZ5678">
        <v>0</v>
      </c>
      <c r="DA5678">
        <v>1</v>
      </c>
      <c r="DB5678">
        <v>0</v>
      </c>
      <c r="DC5678">
        <v>0</v>
      </c>
      <c r="DD5678">
        <v>1</v>
      </c>
      <c r="DE5678">
        <v>0</v>
      </c>
      <c r="DF5678">
        <v>0</v>
      </c>
      <c r="DG5678">
        <v>0</v>
      </c>
      <c r="DH5678">
        <v>0</v>
      </c>
      <c r="DI5678">
        <v>0</v>
      </c>
    </row>
    <row r="5679" spans="1:113" x14ac:dyDescent="0.3">
      <c r="A5679" t="str">
        <f t="shared" si="2645"/>
        <v>05/12/2020 14:51:32.957</v>
      </c>
      <c r="C5679" t="str">
        <f t="shared" si="2636"/>
        <v>FFDFD3C0</v>
      </c>
      <c r="D5679" t="s">
        <v>134</v>
      </c>
      <c r="E5679">
        <v>12</v>
      </c>
      <c r="H5679">
        <v>64</v>
      </c>
      <c r="I5679" t="s">
        <v>135</v>
      </c>
      <c r="J5679" t="s">
        <v>136</v>
      </c>
      <c r="K5679">
        <v>0</v>
      </c>
      <c r="L5679">
        <v>3</v>
      </c>
      <c r="M5679">
        <v>0</v>
      </c>
      <c r="N5679">
        <v>2</v>
      </c>
      <c r="O5679">
        <v>1</v>
      </c>
      <c r="P5679">
        <v>0</v>
      </c>
      <c r="Q5679">
        <v>0</v>
      </c>
      <c r="S5679" t="str">
        <f t="shared" si="2646"/>
        <v>14:51:50.789</v>
      </c>
      <c r="T5679" t="str">
        <f t="shared" si="2647"/>
        <v>14:51:50.689</v>
      </c>
      <c r="U5679" t="str">
        <f t="shared" si="2624"/>
        <v>A9808D</v>
      </c>
      <c r="V5679">
        <v>0</v>
      </c>
      <c r="W5679">
        <v>0</v>
      </c>
      <c r="X5679">
        <v>1</v>
      </c>
      <c r="Z5679">
        <v>0</v>
      </c>
      <c r="AA5679">
        <v>9</v>
      </c>
      <c r="AB5679">
        <v>3</v>
      </c>
      <c r="AC5679">
        <v>0</v>
      </c>
      <c r="AD5679">
        <v>10</v>
      </c>
      <c r="AE5679">
        <v>0</v>
      </c>
      <c r="AF5679">
        <v>3</v>
      </c>
      <c r="AG5679">
        <v>2</v>
      </c>
      <c r="AH5679">
        <v>0</v>
      </c>
      <c r="AI5679" t="s">
        <v>1264</v>
      </c>
      <c r="AJ5679">
        <v>28.204737000000002</v>
      </c>
      <c r="AK5679" t="s">
        <v>1265</v>
      </c>
      <c r="AL5679">
        <v>-82.385101000000006</v>
      </c>
      <c r="AM5679">
        <v>100</v>
      </c>
      <c r="AN5679">
        <v>800</v>
      </c>
      <c r="AO5679" t="s">
        <v>118</v>
      </c>
      <c r="AP5679">
        <v>84</v>
      </c>
      <c r="AQ5679">
        <v>-66</v>
      </c>
      <c r="AR5679">
        <v>-960</v>
      </c>
      <c r="AZ5679">
        <v>1200</v>
      </c>
      <c r="BA5679">
        <v>1</v>
      </c>
      <c r="BB5679" t="str">
        <f t="shared" si="2637"/>
        <v xml:space="preserve">N711JA  </v>
      </c>
      <c r="BC5679">
        <v>1</v>
      </c>
      <c r="BE5679">
        <v>0</v>
      </c>
      <c r="BF5679">
        <v>0</v>
      </c>
      <c r="BG5679">
        <v>0</v>
      </c>
      <c r="BH5679">
        <v>875</v>
      </c>
      <c r="BI5679">
        <v>1</v>
      </c>
      <c r="BJ5679">
        <v>1</v>
      </c>
      <c r="BK5679">
        <v>0</v>
      </c>
      <c r="BL5679">
        <v>0</v>
      </c>
      <c r="BO5679">
        <v>0</v>
      </c>
      <c r="BP5679">
        <v>0</v>
      </c>
      <c r="BW5679" t="str">
        <f t="shared" si="2648"/>
        <v>14:51:50.792</v>
      </c>
      <c r="CJ5679">
        <v>0</v>
      </c>
      <c r="CK5679">
        <v>2</v>
      </c>
      <c r="CL5679">
        <v>0</v>
      </c>
      <c r="CM5679">
        <v>2</v>
      </c>
      <c r="CN5679">
        <v>0</v>
      </c>
      <c r="CO5679">
        <v>6</v>
      </c>
      <c r="CP5679" t="s">
        <v>119</v>
      </c>
      <c r="CQ5679">
        <v>358</v>
      </c>
      <c r="CR5679">
        <v>0</v>
      </c>
      <c r="CW5679">
        <v>5305715</v>
      </c>
      <c r="CY5679">
        <v>1</v>
      </c>
      <c r="CZ5679">
        <v>0</v>
      </c>
      <c r="DA5679">
        <v>1</v>
      </c>
      <c r="DB5679">
        <v>0</v>
      </c>
      <c r="DC5679">
        <v>0</v>
      </c>
      <c r="DD5679">
        <v>1</v>
      </c>
      <c r="DE5679">
        <v>0</v>
      </c>
      <c r="DF5679">
        <v>0</v>
      </c>
      <c r="DG5679">
        <v>0</v>
      </c>
      <c r="DH5679">
        <v>0</v>
      </c>
      <c r="DI5679">
        <v>0</v>
      </c>
    </row>
    <row r="5680" spans="1:113" x14ac:dyDescent="0.3">
      <c r="A5680" t="str">
        <f t="shared" si="2645"/>
        <v>05/12/2020 14:51:32.957</v>
      </c>
      <c r="C5680" t="str">
        <f t="shared" si="2636"/>
        <v>FFDFD3C0</v>
      </c>
      <c r="D5680" t="s">
        <v>126</v>
      </c>
      <c r="E5680">
        <v>6</v>
      </c>
      <c r="F5680">
        <v>1006</v>
      </c>
      <c r="G5680" t="s">
        <v>114</v>
      </c>
      <c r="J5680" t="s">
        <v>128</v>
      </c>
      <c r="K5680">
        <v>0</v>
      </c>
      <c r="L5680">
        <v>3</v>
      </c>
      <c r="M5680">
        <v>0</v>
      </c>
      <c r="N5680">
        <v>2</v>
      </c>
      <c r="O5680">
        <v>1</v>
      </c>
      <c r="P5680">
        <v>0</v>
      </c>
      <c r="Q5680">
        <v>0</v>
      </c>
      <c r="S5680" t="str">
        <f t="shared" si="2646"/>
        <v>14:51:50.789</v>
      </c>
      <c r="T5680" t="str">
        <f t="shared" si="2647"/>
        <v>14:51:50.689</v>
      </c>
      <c r="U5680" t="str">
        <f t="shared" si="2624"/>
        <v>A9808D</v>
      </c>
      <c r="V5680">
        <v>0</v>
      </c>
      <c r="W5680">
        <v>0</v>
      </c>
      <c r="X5680">
        <v>1</v>
      </c>
      <c r="Z5680">
        <v>0</v>
      </c>
      <c r="AA5680">
        <v>9</v>
      </c>
      <c r="AB5680">
        <v>3</v>
      </c>
      <c r="AC5680">
        <v>0</v>
      </c>
      <c r="AD5680">
        <v>10</v>
      </c>
      <c r="AE5680">
        <v>0</v>
      </c>
      <c r="AF5680">
        <v>3</v>
      </c>
      <c r="AG5680">
        <v>2</v>
      </c>
      <c r="AH5680">
        <v>0</v>
      </c>
      <c r="AI5680" t="s">
        <v>1264</v>
      </c>
      <c r="AJ5680">
        <v>28.204737000000002</v>
      </c>
      <c r="AK5680" t="s">
        <v>1265</v>
      </c>
      <c r="AL5680">
        <v>-82.385101000000006</v>
      </c>
      <c r="AM5680">
        <v>100</v>
      </c>
      <c r="AN5680">
        <v>800</v>
      </c>
      <c r="AO5680" t="s">
        <v>118</v>
      </c>
      <c r="AP5680">
        <v>84</v>
      </c>
      <c r="AQ5680">
        <v>-66</v>
      </c>
      <c r="AR5680">
        <v>-960</v>
      </c>
      <c r="AZ5680">
        <v>1200</v>
      </c>
      <c r="BA5680">
        <v>1</v>
      </c>
      <c r="BB5680" t="str">
        <f t="shared" si="2637"/>
        <v xml:space="preserve">N711JA  </v>
      </c>
      <c r="BC5680">
        <v>1</v>
      </c>
      <c r="BE5680">
        <v>0</v>
      </c>
      <c r="BF5680">
        <v>0</v>
      </c>
      <c r="BG5680">
        <v>0</v>
      </c>
      <c r="BH5680">
        <v>875</v>
      </c>
      <c r="BI5680">
        <v>1</v>
      </c>
      <c r="BJ5680">
        <v>1</v>
      </c>
      <c r="BK5680">
        <v>0</v>
      </c>
      <c r="BL5680">
        <v>0</v>
      </c>
      <c r="BO5680">
        <v>0</v>
      </c>
      <c r="BP5680">
        <v>0</v>
      </c>
      <c r="BW5680" t="str">
        <f t="shared" si="2648"/>
        <v>14:51:50.792</v>
      </c>
      <c r="CJ5680">
        <v>0</v>
      </c>
      <c r="CK5680">
        <v>2</v>
      </c>
      <c r="CL5680">
        <v>0</v>
      </c>
      <c r="CM5680">
        <v>2</v>
      </c>
      <c r="CN5680">
        <v>0</v>
      </c>
      <c r="CO5680">
        <v>6</v>
      </c>
      <c r="CP5680" t="s">
        <v>119</v>
      </c>
      <c r="CQ5680">
        <v>358</v>
      </c>
      <c r="CR5680">
        <v>0</v>
      </c>
      <c r="CW5680">
        <v>5305715</v>
      </c>
      <c r="CY5680">
        <v>1</v>
      </c>
      <c r="CZ5680">
        <v>0</v>
      </c>
      <c r="DA5680">
        <v>1</v>
      </c>
      <c r="DB5680">
        <v>0</v>
      </c>
      <c r="DC5680">
        <v>0</v>
      </c>
      <c r="DD5680">
        <v>1</v>
      </c>
      <c r="DE5680">
        <v>0</v>
      </c>
      <c r="DF5680">
        <v>0</v>
      </c>
      <c r="DG5680">
        <v>0</v>
      </c>
      <c r="DH5680">
        <v>0</v>
      </c>
      <c r="DI5680">
        <v>0</v>
      </c>
    </row>
    <row r="5681" spans="1:113" x14ac:dyDescent="0.3">
      <c r="A5681" t="str">
        <f t="shared" si="2645"/>
        <v>05/12/2020 14:51:32.957</v>
      </c>
      <c r="C5681" t="str">
        <f t="shared" si="2636"/>
        <v>FFDFD3C0</v>
      </c>
      <c r="D5681" t="s">
        <v>138</v>
      </c>
      <c r="E5681">
        <v>2</v>
      </c>
      <c r="H5681">
        <v>8</v>
      </c>
      <c r="I5681" t="s">
        <v>139</v>
      </c>
      <c r="J5681" t="s">
        <v>136</v>
      </c>
      <c r="K5681">
        <v>0</v>
      </c>
      <c r="L5681">
        <v>3</v>
      </c>
      <c r="M5681">
        <v>0</v>
      </c>
      <c r="N5681">
        <v>2</v>
      </c>
      <c r="O5681">
        <v>1</v>
      </c>
      <c r="P5681">
        <v>0</v>
      </c>
      <c r="Q5681">
        <v>0</v>
      </c>
      <c r="S5681" t="str">
        <f t="shared" si="2646"/>
        <v>14:51:50.789</v>
      </c>
      <c r="T5681" t="str">
        <f t="shared" si="2647"/>
        <v>14:51:50.689</v>
      </c>
      <c r="U5681" t="str">
        <f t="shared" si="2624"/>
        <v>A9808D</v>
      </c>
      <c r="V5681">
        <v>0</v>
      </c>
      <c r="W5681">
        <v>0</v>
      </c>
      <c r="X5681">
        <v>1</v>
      </c>
      <c r="Z5681">
        <v>0</v>
      </c>
      <c r="AA5681">
        <v>9</v>
      </c>
      <c r="AB5681">
        <v>3</v>
      </c>
      <c r="AC5681">
        <v>0</v>
      </c>
      <c r="AD5681">
        <v>10</v>
      </c>
      <c r="AE5681">
        <v>0</v>
      </c>
      <c r="AF5681">
        <v>3</v>
      </c>
      <c r="AG5681">
        <v>2</v>
      </c>
      <c r="AH5681">
        <v>0</v>
      </c>
      <c r="AI5681" t="s">
        <v>1264</v>
      </c>
      <c r="AJ5681">
        <v>28.204737000000002</v>
      </c>
      <c r="AK5681" t="s">
        <v>1265</v>
      </c>
      <c r="AL5681">
        <v>-82.385101000000006</v>
      </c>
      <c r="AM5681">
        <v>100</v>
      </c>
      <c r="AN5681">
        <v>800</v>
      </c>
      <c r="AO5681" t="s">
        <v>118</v>
      </c>
      <c r="AP5681">
        <v>84</v>
      </c>
      <c r="AQ5681">
        <v>-66</v>
      </c>
      <c r="AR5681">
        <v>-960</v>
      </c>
      <c r="AZ5681">
        <v>1200</v>
      </c>
      <c r="BA5681">
        <v>1</v>
      </c>
      <c r="BB5681" t="str">
        <f t="shared" si="2637"/>
        <v xml:space="preserve">N711JA  </v>
      </c>
      <c r="BC5681">
        <v>1</v>
      </c>
      <c r="BE5681">
        <v>0</v>
      </c>
      <c r="BF5681">
        <v>0</v>
      </c>
      <c r="BG5681">
        <v>0</v>
      </c>
      <c r="BH5681">
        <v>875</v>
      </c>
      <c r="BI5681">
        <v>1</v>
      </c>
      <c r="BJ5681">
        <v>1</v>
      </c>
      <c r="BK5681">
        <v>0</v>
      </c>
      <c r="BL5681">
        <v>0</v>
      </c>
      <c r="BO5681">
        <v>0</v>
      </c>
      <c r="BP5681">
        <v>0</v>
      </c>
      <c r="BW5681" t="str">
        <f t="shared" si="2648"/>
        <v>14:51:50.792</v>
      </c>
      <c r="CJ5681">
        <v>0</v>
      </c>
      <c r="CK5681">
        <v>2</v>
      </c>
      <c r="CL5681">
        <v>0</v>
      </c>
      <c r="CM5681">
        <v>2</v>
      </c>
      <c r="CN5681">
        <v>0</v>
      </c>
      <c r="CO5681">
        <v>5</v>
      </c>
      <c r="CP5681" t="s">
        <v>119</v>
      </c>
      <c r="CQ5681">
        <v>8</v>
      </c>
      <c r="CR5681">
        <v>3</v>
      </c>
      <c r="CW5681">
        <v>9309306</v>
      </c>
      <c r="CY5681">
        <v>1</v>
      </c>
      <c r="CZ5681">
        <v>0</v>
      </c>
      <c r="DA5681">
        <v>1</v>
      </c>
      <c r="DB5681">
        <v>0</v>
      </c>
      <c r="DC5681">
        <v>0</v>
      </c>
      <c r="DD5681">
        <v>1</v>
      </c>
      <c r="DE5681">
        <v>0</v>
      </c>
      <c r="DF5681">
        <v>0</v>
      </c>
      <c r="DG5681">
        <v>0</v>
      </c>
      <c r="DH5681">
        <v>0</v>
      </c>
      <c r="DI5681">
        <v>0</v>
      </c>
    </row>
    <row r="5682" spans="1:113" x14ac:dyDescent="0.3">
      <c r="A5682" t="str">
        <f t="shared" si="2645"/>
        <v>05/12/2020 14:51:32.957</v>
      </c>
      <c r="C5682" t="str">
        <f t="shared" si="2636"/>
        <v>FFDFD3C0</v>
      </c>
      <c r="D5682" t="s">
        <v>138</v>
      </c>
      <c r="E5682">
        <v>3</v>
      </c>
      <c r="H5682">
        <v>9</v>
      </c>
      <c r="I5682" t="s">
        <v>140</v>
      </c>
      <c r="J5682" t="s">
        <v>136</v>
      </c>
      <c r="K5682">
        <v>0</v>
      </c>
      <c r="L5682">
        <v>3</v>
      </c>
      <c r="M5682">
        <v>0</v>
      </c>
      <c r="N5682">
        <v>2</v>
      </c>
      <c r="O5682">
        <v>1</v>
      </c>
      <c r="P5682">
        <v>0</v>
      </c>
      <c r="Q5682">
        <v>0</v>
      </c>
      <c r="S5682" t="str">
        <f t="shared" si="2646"/>
        <v>14:51:50.789</v>
      </c>
      <c r="T5682" t="str">
        <f t="shared" si="2647"/>
        <v>14:51:50.689</v>
      </c>
      <c r="U5682" t="str">
        <f t="shared" si="2624"/>
        <v>A9808D</v>
      </c>
      <c r="V5682">
        <v>0</v>
      </c>
      <c r="W5682">
        <v>0</v>
      </c>
      <c r="X5682">
        <v>1</v>
      </c>
      <c r="Z5682">
        <v>0</v>
      </c>
      <c r="AA5682">
        <v>9</v>
      </c>
      <c r="AB5682">
        <v>3</v>
      </c>
      <c r="AC5682">
        <v>0</v>
      </c>
      <c r="AD5682">
        <v>10</v>
      </c>
      <c r="AE5682">
        <v>0</v>
      </c>
      <c r="AF5682">
        <v>3</v>
      </c>
      <c r="AG5682">
        <v>2</v>
      </c>
      <c r="AH5682">
        <v>0</v>
      </c>
      <c r="AI5682" t="s">
        <v>1264</v>
      </c>
      <c r="AJ5682">
        <v>28.204737000000002</v>
      </c>
      <c r="AK5682" t="s">
        <v>1265</v>
      </c>
      <c r="AL5682">
        <v>-82.385101000000006</v>
      </c>
      <c r="AM5682">
        <v>100</v>
      </c>
      <c r="AN5682">
        <v>800</v>
      </c>
      <c r="AO5682" t="s">
        <v>118</v>
      </c>
      <c r="AP5682">
        <v>84</v>
      </c>
      <c r="AQ5682">
        <v>-66</v>
      </c>
      <c r="AR5682">
        <v>-960</v>
      </c>
      <c r="AZ5682">
        <v>1200</v>
      </c>
      <c r="BA5682">
        <v>1</v>
      </c>
      <c r="BB5682" t="str">
        <f t="shared" si="2637"/>
        <v xml:space="preserve">N711JA  </v>
      </c>
      <c r="BC5682">
        <v>1</v>
      </c>
      <c r="BE5682">
        <v>0</v>
      </c>
      <c r="BF5682">
        <v>0</v>
      </c>
      <c r="BG5682">
        <v>0</v>
      </c>
      <c r="BH5682">
        <v>875</v>
      </c>
      <c r="BI5682">
        <v>1</v>
      </c>
      <c r="BJ5682">
        <v>1</v>
      </c>
      <c r="BK5682">
        <v>0</v>
      </c>
      <c r="BL5682">
        <v>0</v>
      </c>
      <c r="BO5682">
        <v>0</v>
      </c>
      <c r="BP5682">
        <v>0</v>
      </c>
      <c r="BW5682" t="str">
        <f t="shared" si="2648"/>
        <v>14:51:50.792</v>
      </c>
      <c r="CJ5682">
        <v>0</v>
      </c>
      <c r="CK5682">
        <v>2</v>
      </c>
      <c r="CL5682">
        <v>0</v>
      </c>
      <c r="CM5682">
        <v>2</v>
      </c>
      <c r="CN5682">
        <v>0</v>
      </c>
      <c r="CO5682">
        <v>6</v>
      </c>
      <c r="CP5682" t="s">
        <v>119</v>
      </c>
      <c r="CQ5682">
        <v>358</v>
      </c>
      <c r="CR5682">
        <v>0</v>
      </c>
      <c r="CW5682">
        <v>5305715</v>
      </c>
      <c r="CY5682">
        <v>1</v>
      </c>
      <c r="CZ5682">
        <v>0</v>
      </c>
      <c r="DA5682">
        <v>1</v>
      </c>
      <c r="DB5682">
        <v>0</v>
      </c>
      <c r="DC5682">
        <v>0</v>
      </c>
      <c r="DD5682">
        <v>1</v>
      </c>
      <c r="DE5682">
        <v>0</v>
      </c>
      <c r="DF5682">
        <v>0</v>
      </c>
      <c r="DG5682">
        <v>0</v>
      </c>
      <c r="DH5682">
        <v>0</v>
      </c>
      <c r="DI5682">
        <v>0</v>
      </c>
    </row>
    <row r="5683" spans="1:113" x14ac:dyDescent="0.3">
      <c r="A5683" t="str">
        <f t="shared" si="2645"/>
        <v>05/12/2020 14:51:32.957</v>
      </c>
      <c r="C5683" t="str">
        <f t="shared" si="2636"/>
        <v>FFDFD3C0</v>
      </c>
      <c r="D5683" t="s">
        <v>113</v>
      </c>
      <c r="E5683">
        <v>3</v>
      </c>
      <c r="H5683">
        <v>164</v>
      </c>
      <c r="I5683" t="s">
        <v>114</v>
      </c>
      <c r="J5683" t="s">
        <v>115</v>
      </c>
      <c r="K5683">
        <v>0</v>
      </c>
      <c r="L5683">
        <v>3</v>
      </c>
      <c r="M5683">
        <v>0</v>
      </c>
      <c r="N5683">
        <v>2</v>
      </c>
      <c r="O5683">
        <v>1</v>
      </c>
      <c r="P5683">
        <v>0</v>
      </c>
      <c r="Q5683">
        <v>0</v>
      </c>
      <c r="S5683" t="str">
        <f t="shared" si="2646"/>
        <v>14:51:50.789</v>
      </c>
      <c r="T5683" t="str">
        <f t="shared" si="2647"/>
        <v>14:51:50.689</v>
      </c>
      <c r="U5683" t="str">
        <f t="shared" si="2624"/>
        <v>A9808D</v>
      </c>
      <c r="V5683">
        <v>0</v>
      </c>
      <c r="W5683">
        <v>0</v>
      </c>
      <c r="X5683">
        <v>1</v>
      </c>
      <c r="Z5683">
        <v>0</v>
      </c>
      <c r="AA5683">
        <v>9</v>
      </c>
      <c r="AB5683">
        <v>3</v>
      </c>
      <c r="AC5683">
        <v>0</v>
      </c>
      <c r="AD5683">
        <v>10</v>
      </c>
      <c r="AE5683">
        <v>0</v>
      </c>
      <c r="AF5683">
        <v>3</v>
      </c>
      <c r="AG5683">
        <v>2</v>
      </c>
      <c r="AH5683">
        <v>0</v>
      </c>
      <c r="AI5683" t="s">
        <v>1264</v>
      </c>
      <c r="AJ5683">
        <v>28.204737000000002</v>
      </c>
      <c r="AK5683" t="s">
        <v>1265</v>
      </c>
      <c r="AL5683">
        <v>-82.385101000000006</v>
      </c>
      <c r="AM5683">
        <v>100</v>
      </c>
      <c r="AN5683">
        <v>800</v>
      </c>
      <c r="AO5683" t="s">
        <v>118</v>
      </c>
      <c r="AP5683">
        <v>84</v>
      </c>
      <c r="AQ5683">
        <v>-66</v>
      </c>
      <c r="AR5683">
        <v>-960</v>
      </c>
      <c r="AZ5683">
        <v>1200</v>
      </c>
      <c r="BA5683">
        <v>1</v>
      </c>
      <c r="BB5683" t="str">
        <f t="shared" si="2637"/>
        <v xml:space="preserve">N711JA  </v>
      </c>
      <c r="BC5683">
        <v>1</v>
      </c>
      <c r="BE5683">
        <v>0</v>
      </c>
      <c r="BF5683">
        <v>0</v>
      </c>
      <c r="BG5683">
        <v>0</v>
      </c>
      <c r="BH5683">
        <v>875</v>
      </c>
      <c r="BI5683">
        <v>1</v>
      </c>
      <c r="BJ5683">
        <v>1</v>
      </c>
      <c r="BK5683">
        <v>0</v>
      </c>
      <c r="BL5683">
        <v>0</v>
      </c>
      <c r="BO5683">
        <v>0</v>
      </c>
      <c r="BP5683">
        <v>0</v>
      </c>
      <c r="BW5683" t="str">
        <f t="shared" si="2648"/>
        <v>14:51:50.792</v>
      </c>
      <c r="CJ5683">
        <v>0</v>
      </c>
      <c r="CK5683">
        <v>2</v>
      </c>
      <c r="CL5683">
        <v>0</v>
      </c>
      <c r="CM5683">
        <v>2</v>
      </c>
      <c r="CN5683">
        <v>0</v>
      </c>
      <c r="CO5683">
        <v>5</v>
      </c>
      <c r="CP5683" t="s">
        <v>119</v>
      </c>
      <c r="CQ5683">
        <v>8</v>
      </c>
      <c r="CR5683">
        <v>3</v>
      </c>
      <c r="CW5683">
        <v>9309306</v>
      </c>
      <c r="CY5683">
        <v>1</v>
      </c>
      <c r="CZ5683">
        <v>0</v>
      </c>
      <c r="DA5683">
        <v>1</v>
      </c>
      <c r="DB5683">
        <v>0</v>
      </c>
      <c r="DC5683">
        <v>0</v>
      </c>
      <c r="DD5683">
        <v>1</v>
      </c>
      <c r="DE5683">
        <v>0</v>
      </c>
      <c r="DF5683">
        <v>0</v>
      </c>
      <c r="DG5683">
        <v>0</v>
      </c>
      <c r="DH5683">
        <v>0</v>
      </c>
      <c r="DI5683">
        <v>0</v>
      </c>
    </row>
    <row r="5684" spans="1:113" x14ac:dyDescent="0.3">
      <c r="A5684" t="str">
        <f t="shared" ref="A5684:A5691" si="2649">"05/12/2020 14:51:34.519"</f>
        <v>05/12/2020 14:51:34.519</v>
      </c>
      <c r="C5684" t="str">
        <f t="shared" si="2636"/>
        <v>FFDFD3C0</v>
      </c>
      <c r="D5684" t="s">
        <v>131</v>
      </c>
      <c r="E5684">
        <v>10</v>
      </c>
      <c r="F5684">
        <v>2010</v>
      </c>
      <c r="G5684" t="s">
        <v>132</v>
      </c>
      <c r="J5684" t="s">
        <v>133</v>
      </c>
      <c r="K5684">
        <v>0</v>
      </c>
      <c r="L5684">
        <v>3</v>
      </c>
      <c r="M5684">
        <v>0</v>
      </c>
      <c r="N5684">
        <v>2</v>
      </c>
      <c r="O5684">
        <v>1</v>
      </c>
      <c r="P5684">
        <v>0</v>
      </c>
      <c r="Q5684">
        <v>0</v>
      </c>
      <c r="S5684" t="str">
        <f t="shared" ref="S5684:S5691" si="2650">"14:51:52.328"</f>
        <v>14:51:52.328</v>
      </c>
      <c r="T5684" t="str">
        <f t="shared" ref="T5684:T5691" si="2651">"14:51:52.228"</f>
        <v>14:51:52.228</v>
      </c>
      <c r="U5684" t="str">
        <f t="shared" si="2624"/>
        <v>A9808D</v>
      </c>
      <c r="V5684">
        <v>0</v>
      </c>
      <c r="W5684">
        <v>0</v>
      </c>
      <c r="X5684">
        <v>1</v>
      </c>
      <c r="Z5684">
        <v>0</v>
      </c>
      <c r="AA5684">
        <v>9</v>
      </c>
      <c r="AB5684">
        <v>3</v>
      </c>
      <c r="AC5684">
        <v>0</v>
      </c>
      <c r="AD5684">
        <v>10</v>
      </c>
      <c r="AE5684">
        <v>0</v>
      </c>
      <c r="AF5684">
        <v>3</v>
      </c>
      <c r="AG5684">
        <v>2</v>
      </c>
      <c r="AH5684">
        <v>0</v>
      </c>
      <c r="AI5684" t="s">
        <v>1266</v>
      </c>
      <c r="AJ5684">
        <v>28.204329000000001</v>
      </c>
      <c r="AK5684" t="s">
        <v>1267</v>
      </c>
      <c r="AL5684">
        <v>-82.384371999999999</v>
      </c>
      <c r="AM5684">
        <v>100</v>
      </c>
      <c r="AN5684">
        <v>800</v>
      </c>
      <c r="AO5684" t="s">
        <v>118</v>
      </c>
      <c r="AP5684">
        <v>90</v>
      </c>
      <c r="AQ5684">
        <v>-58</v>
      </c>
      <c r="AR5684">
        <v>-896</v>
      </c>
      <c r="AZ5684">
        <v>1200</v>
      </c>
      <c r="BA5684">
        <v>1</v>
      </c>
      <c r="BB5684" t="str">
        <f t="shared" si="2637"/>
        <v xml:space="preserve">N711JA  </v>
      </c>
      <c r="BC5684">
        <v>1</v>
      </c>
      <c r="BE5684">
        <v>0</v>
      </c>
      <c r="BF5684">
        <v>0</v>
      </c>
      <c r="BG5684">
        <v>0</v>
      </c>
      <c r="BH5684">
        <v>850</v>
      </c>
      <c r="BI5684">
        <v>1</v>
      </c>
      <c r="BJ5684">
        <v>1</v>
      </c>
      <c r="BK5684">
        <v>0</v>
      </c>
      <c r="BL5684">
        <v>0</v>
      </c>
      <c r="BO5684">
        <v>0</v>
      </c>
      <c r="BP5684">
        <v>0</v>
      </c>
      <c r="BW5684" t="str">
        <f t="shared" ref="BW5684:BW5691" si="2652">"14:51:52.329"</f>
        <v>14:51:52.329</v>
      </c>
      <c r="CJ5684">
        <v>0</v>
      </c>
      <c r="CK5684">
        <v>2</v>
      </c>
      <c r="CL5684">
        <v>0</v>
      </c>
      <c r="CM5684">
        <v>2</v>
      </c>
      <c r="CN5684">
        <v>0</v>
      </c>
      <c r="CO5684">
        <v>6</v>
      </c>
      <c r="CP5684" t="s">
        <v>119</v>
      </c>
      <c r="CQ5684">
        <v>343</v>
      </c>
      <c r="CR5684">
        <v>2</v>
      </c>
      <c r="CW5684">
        <v>13432163</v>
      </c>
      <c r="CY5684">
        <v>1</v>
      </c>
      <c r="CZ5684">
        <v>0</v>
      </c>
      <c r="DA5684">
        <v>0</v>
      </c>
      <c r="DB5684">
        <v>0</v>
      </c>
      <c r="DC5684">
        <v>0</v>
      </c>
      <c r="DD5684">
        <v>1</v>
      </c>
      <c r="DE5684">
        <v>0</v>
      </c>
      <c r="DF5684">
        <v>0</v>
      </c>
      <c r="DG5684">
        <v>0</v>
      </c>
      <c r="DH5684">
        <v>0</v>
      </c>
      <c r="DI5684">
        <v>0</v>
      </c>
    </row>
    <row r="5685" spans="1:113" x14ac:dyDescent="0.3">
      <c r="A5685" t="str">
        <f t="shared" si="2649"/>
        <v>05/12/2020 14:51:34.519</v>
      </c>
      <c r="C5685" t="str">
        <f t="shared" si="2636"/>
        <v>FFDFD3C0</v>
      </c>
      <c r="D5685" t="s">
        <v>131</v>
      </c>
      <c r="E5685">
        <v>12</v>
      </c>
      <c r="F5685">
        <v>2012</v>
      </c>
      <c r="G5685" t="s">
        <v>137</v>
      </c>
      <c r="J5685" t="s">
        <v>133</v>
      </c>
      <c r="K5685">
        <v>0</v>
      </c>
      <c r="L5685">
        <v>3</v>
      </c>
      <c r="M5685">
        <v>0</v>
      </c>
      <c r="N5685">
        <v>2</v>
      </c>
      <c r="O5685">
        <v>1</v>
      </c>
      <c r="P5685">
        <v>0</v>
      </c>
      <c r="Q5685">
        <v>0</v>
      </c>
      <c r="S5685" t="str">
        <f t="shared" si="2650"/>
        <v>14:51:52.328</v>
      </c>
      <c r="T5685" t="str">
        <f t="shared" si="2651"/>
        <v>14:51:52.228</v>
      </c>
      <c r="U5685" t="str">
        <f t="shared" si="2624"/>
        <v>A9808D</v>
      </c>
      <c r="V5685">
        <v>0</v>
      </c>
      <c r="W5685">
        <v>0</v>
      </c>
      <c r="X5685">
        <v>1</v>
      </c>
      <c r="Z5685">
        <v>0</v>
      </c>
      <c r="AA5685">
        <v>9</v>
      </c>
      <c r="AB5685">
        <v>3</v>
      </c>
      <c r="AC5685">
        <v>0</v>
      </c>
      <c r="AD5685">
        <v>10</v>
      </c>
      <c r="AE5685">
        <v>0</v>
      </c>
      <c r="AF5685">
        <v>3</v>
      </c>
      <c r="AG5685">
        <v>2</v>
      </c>
      <c r="AH5685">
        <v>0</v>
      </c>
      <c r="AI5685" t="s">
        <v>1266</v>
      </c>
      <c r="AJ5685">
        <v>28.204329000000001</v>
      </c>
      <c r="AK5685" t="s">
        <v>1267</v>
      </c>
      <c r="AL5685">
        <v>-82.384371999999999</v>
      </c>
      <c r="AM5685">
        <v>100</v>
      </c>
      <c r="AN5685">
        <v>800</v>
      </c>
      <c r="AO5685" t="s">
        <v>118</v>
      </c>
      <c r="AP5685">
        <v>90</v>
      </c>
      <c r="AQ5685">
        <v>-58</v>
      </c>
      <c r="AR5685">
        <v>-896</v>
      </c>
      <c r="AZ5685">
        <v>1200</v>
      </c>
      <c r="BA5685">
        <v>1</v>
      </c>
      <c r="BB5685" t="str">
        <f t="shared" si="2637"/>
        <v xml:space="preserve">N711JA  </v>
      </c>
      <c r="BC5685">
        <v>1</v>
      </c>
      <c r="BE5685">
        <v>0</v>
      </c>
      <c r="BF5685">
        <v>0</v>
      </c>
      <c r="BG5685">
        <v>0</v>
      </c>
      <c r="BH5685">
        <v>850</v>
      </c>
      <c r="BI5685">
        <v>1</v>
      </c>
      <c r="BJ5685">
        <v>1</v>
      </c>
      <c r="BK5685">
        <v>0</v>
      </c>
      <c r="BL5685">
        <v>0</v>
      </c>
      <c r="BO5685">
        <v>0</v>
      </c>
      <c r="BP5685">
        <v>0</v>
      </c>
      <c r="BW5685" t="str">
        <f t="shared" si="2652"/>
        <v>14:51:52.329</v>
      </c>
      <c r="CJ5685">
        <v>0</v>
      </c>
      <c r="CK5685">
        <v>2</v>
      </c>
      <c r="CL5685">
        <v>0</v>
      </c>
      <c r="CM5685">
        <v>2</v>
      </c>
      <c r="CN5685">
        <v>0</v>
      </c>
      <c r="CO5685">
        <v>6</v>
      </c>
      <c r="CP5685" t="s">
        <v>119</v>
      </c>
      <c r="CQ5685">
        <v>343</v>
      </c>
      <c r="CR5685">
        <v>2</v>
      </c>
      <c r="CW5685">
        <v>13432163</v>
      </c>
      <c r="CY5685">
        <v>1</v>
      </c>
      <c r="CZ5685">
        <v>0</v>
      </c>
      <c r="DA5685">
        <v>1</v>
      </c>
      <c r="DB5685">
        <v>0</v>
      </c>
      <c r="DC5685">
        <v>0</v>
      </c>
      <c r="DD5685">
        <v>1</v>
      </c>
      <c r="DE5685">
        <v>0</v>
      </c>
      <c r="DF5685">
        <v>0</v>
      </c>
      <c r="DG5685">
        <v>0</v>
      </c>
      <c r="DH5685">
        <v>0</v>
      </c>
      <c r="DI5685">
        <v>0</v>
      </c>
    </row>
    <row r="5686" spans="1:113" x14ac:dyDescent="0.3">
      <c r="A5686" t="str">
        <f t="shared" si="2649"/>
        <v>05/12/2020 14:51:34.519</v>
      </c>
      <c r="C5686" t="str">
        <f t="shared" si="2636"/>
        <v>FFDFD3C0</v>
      </c>
      <c r="D5686" t="s">
        <v>126</v>
      </c>
      <c r="E5686">
        <v>6</v>
      </c>
      <c r="F5686">
        <v>1006</v>
      </c>
      <c r="G5686" t="s">
        <v>114</v>
      </c>
      <c r="J5686" t="s">
        <v>128</v>
      </c>
      <c r="K5686">
        <v>0</v>
      </c>
      <c r="L5686">
        <v>3</v>
      </c>
      <c r="M5686">
        <v>0</v>
      </c>
      <c r="N5686">
        <v>2</v>
      </c>
      <c r="O5686">
        <v>1</v>
      </c>
      <c r="P5686">
        <v>0</v>
      </c>
      <c r="Q5686">
        <v>0</v>
      </c>
      <c r="S5686" t="str">
        <f t="shared" si="2650"/>
        <v>14:51:52.328</v>
      </c>
      <c r="T5686" t="str">
        <f t="shared" si="2651"/>
        <v>14:51:52.228</v>
      </c>
      <c r="U5686" t="str">
        <f t="shared" si="2624"/>
        <v>A9808D</v>
      </c>
      <c r="V5686">
        <v>0</v>
      </c>
      <c r="W5686">
        <v>0</v>
      </c>
      <c r="X5686">
        <v>1</v>
      </c>
      <c r="Z5686">
        <v>0</v>
      </c>
      <c r="AA5686">
        <v>9</v>
      </c>
      <c r="AB5686">
        <v>3</v>
      </c>
      <c r="AC5686">
        <v>0</v>
      </c>
      <c r="AD5686">
        <v>10</v>
      </c>
      <c r="AE5686">
        <v>0</v>
      </c>
      <c r="AF5686">
        <v>3</v>
      </c>
      <c r="AG5686">
        <v>2</v>
      </c>
      <c r="AH5686">
        <v>0</v>
      </c>
      <c r="AI5686" t="s">
        <v>1266</v>
      </c>
      <c r="AJ5686">
        <v>28.204329000000001</v>
      </c>
      <c r="AK5686" t="s">
        <v>1267</v>
      </c>
      <c r="AL5686">
        <v>-82.384371999999999</v>
      </c>
      <c r="AM5686">
        <v>100</v>
      </c>
      <c r="AN5686">
        <v>800</v>
      </c>
      <c r="AO5686" t="s">
        <v>118</v>
      </c>
      <c r="AP5686">
        <v>90</v>
      </c>
      <c r="AQ5686">
        <v>-58</v>
      </c>
      <c r="AR5686">
        <v>-896</v>
      </c>
      <c r="AZ5686">
        <v>1200</v>
      </c>
      <c r="BA5686">
        <v>1</v>
      </c>
      <c r="BB5686" t="str">
        <f t="shared" si="2637"/>
        <v xml:space="preserve">N711JA  </v>
      </c>
      <c r="BC5686">
        <v>1</v>
      </c>
      <c r="BE5686">
        <v>0</v>
      </c>
      <c r="BF5686">
        <v>0</v>
      </c>
      <c r="BG5686">
        <v>0</v>
      </c>
      <c r="BH5686">
        <v>850</v>
      </c>
      <c r="BI5686">
        <v>1</v>
      </c>
      <c r="BJ5686">
        <v>1</v>
      </c>
      <c r="BK5686">
        <v>0</v>
      </c>
      <c r="BL5686">
        <v>0</v>
      </c>
      <c r="BO5686">
        <v>0</v>
      </c>
      <c r="BP5686">
        <v>0</v>
      </c>
      <c r="BW5686" t="str">
        <f t="shared" si="2652"/>
        <v>14:51:52.329</v>
      </c>
      <c r="CJ5686">
        <v>0</v>
      </c>
      <c r="CK5686">
        <v>2</v>
      </c>
      <c r="CL5686">
        <v>0</v>
      </c>
      <c r="CM5686">
        <v>2</v>
      </c>
      <c r="CN5686">
        <v>0</v>
      </c>
      <c r="CO5686">
        <v>6</v>
      </c>
      <c r="CP5686" t="s">
        <v>119</v>
      </c>
      <c r="CQ5686">
        <v>343</v>
      </c>
      <c r="CR5686">
        <v>2</v>
      </c>
      <c r="CW5686">
        <v>13432163</v>
      </c>
      <c r="CY5686">
        <v>1</v>
      </c>
      <c r="CZ5686">
        <v>0</v>
      </c>
      <c r="DA5686">
        <v>1</v>
      </c>
      <c r="DB5686">
        <v>0</v>
      </c>
      <c r="DC5686">
        <v>0</v>
      </c>
      <c r="DD5686">
        <v>1</v>
      </c>
      <c r="DE5686">
        <v>0</v>
      </c>
      <c r="DF5686">
        <v>0</v>
      </c>
      <c r="DG5686">
        <v>0</v>
      </c>
      <c r="DH5686">
        <v>0</v>
      </c>
      <c r="DI5686">
        <v>0</v>
      </c>
    </row>
    <row r="5687" spans="1:113" x14ac:dyDescent="0.3">
      <c r="A5687" t="str">
        <f t="shared" si="2649"/>
        <v>05/12/2020 14:51:34.519</v>
      </c>
      <c r="C5687" t="str">
        <f t="shared" si="2636"/>
        <v>FFDFD3C0</v>
      </c>
      <c r="D5687" t="s">
        <v>134</v>
      </c>
      <c r="E5687">
        <v>12</v>
      </c>
      <c r="H5687">
        <v>64</v>
      </c>
      <c r="I5687" t="s">
        <v>135</v>
      </c>
      <c r="J5687" t="s">
        <v>136</v>
      </c>
      <c r="K5687">
        <v>0</v>
      </c>
      <c r="L5687">
        <v>3</v>
      </c>
      <c r="M5687">
        <v>0</v>
      </c>
      <c r="N5687">
        <v>2</v>
      </c>
      <c r="O5687">
        <v>1</v>
      </c>
      <c r="P5687">
        <v>0</v>
      </c>
      <c r="Q5687">
        <v>0</v>
      </c>
      <c r="S5687" t="str">
        <f t="shared" si="2650"/>
        <v>14:51:52.328</v>
      </c>
      <c r="T5687" t="str">
        <f t="shared" si="2651"/>
        <v>14:51:52.228</v>
      </c>
      <c r="U5687" t="str">
        <f t="shared" si="2624"/>
        <v>A9808D</v>
      </c>
      <c r="V5687">
        <v>0</v>
      </c>
      <c r="W5687">
        <v>0</v>
      </c>
      <c r="X5687">
        <v>1</v>
      </c>
      <c r="Z5687">
        <v>0</v>
      </c>
      <c r="AA5687">
        <v>9</v>
      </c>
      <c r="AB5687">
        <v>3</v>
      </c>
      <c r="AC5687">
        <v>0</v>
      </c>
      <c r="AD5687">
        <v>10</v>
      </c>
      <c r="AE5687">
        <v>0</v>
      </c>
      <c r="AF5687">
        <v>3</v>
      </c>
      <c r="AG5687">
        <v>2</v>
      </c>
      <c r="AH5687">
        <v>0</v>
      </c>
      <c r="AI5687" t="s">
        <v>1266</v>
      </c>
      <c r="AJ5687">
        <v>28.204329000000001</v>
      </c>
      <c r="AK5687" t="s">
        <v>1267</v>
      </c>
      <c r="AL5687">
        <v>-82.384371999999999</v>
      </c>
      <c r="AM5687">
        <v>100</v>
      </c>
      <c r="AN5687">
        <v>800</v>
      </c>
      <c r="AO5687" t="s">
        <v>118</v>
      </c>
      <c r="AP5687">
        <v>90</v>
      </c>
      <c r="AQ5687">
        <v>-58</v>
      </c>
      <c r="AR5687">
        <v>-896</v>
      </c>
      <c r="AZ5687">
        <v>1200</v>
      </c>
      <c r="BA5687">
        <v>1</v>
      </c>
      <c r="BB5687" t="str">
        <f t="shared" si="2637"/>
        <v xml:space="preserve">N711JA  </v>
      </c>
      <c r="BC5687">
        <v>1</v>
      </c>
      <c r="BE5687">
        <v>0</v>
      </c>
      <c r="BF5687">
        <v>0</v>
      </c>
      <c r="BG5687">
        <v>0</v>
      </c>
      <c r="BH5687">
        <v>850</v>
      </c>
      <c r="BI5687">
        <v>1</v>
      </c>
      <c r="BJ5687">
        <v>1</v>
      </c>
      <c r="BK5687">
        <v>0</v>
      </c>
      <c r="BL5687">
        <v>0</v>
      </c>
      <c r="BO5687">
        <v>0</v>
      </c>
      <c r="BP5687">
        <v>0</v>
      </c>
      <c r="BW5687" t="str">
        <f t="shared" si="2652"/>
        <v>14:51:52.329</v>
      </c>
      <c r="CJ5687">
        <v>0</v>
      </c>
      <c r="CK5687">
        <v>2</v>
      </c>
      <c r="CL5687">
        <v>0</v>
      </c>
      <c r="CM5687">
        <v>2</v>
      </c>
      <c r="CN5687">
        <v>0</v>
      </c>
      <c r="CO5687">
        <v>6</v>
      </c>
      <c r="CP5687" t="s">
        <v>119</v>
      </c>
      <c r="CQ5687">
        <v>343</v>
      </c>
      <c r="CR5687">
        <v>2</v>
      </c>
      <c r="CW5687">
        <v>13432163</v>
      </c>
      <c r="CY5687">
        <v>1</v>
      </c>
      <c r="CZ5687">
        <v>0</v>
      </c>
      <c r="DA5687">
        <v>1</v>
      </c>
      <c r="DB5687">
        <v>0</v>
      </c>
      <c r="DC5687">
        <v>0</v>
      </c>
      <c r="DD5687">
        <v>1</v>
      </c>
      <c r="DE5687">
        <v>0</v>
      </c>
      <c r="DF5687">
        <v>0</v>
      </c>
      <c r="DG5687">
        <v>0</v>
      </c>
      <c r="DH5687">
        <v>0</v>
      </c>
      <c r="DI5687">
        <v>0</v>
      </c>
    </row>
    <row r="5688" spans="1:113" x14ac:dyDescent="0.3">
      <c r="A5688" t="str">
        <f t="shared" si="2649"/>
        <v>05/12/2020 14:51:34.519</v>
      </c>
      <c r="C5688" t="str">
        <f t="shared" si="2636"/>
        <v>FFDFD3C0</v>
      </c>
      <c r="D5688" t="s">
        <v>126</v>
      </c>
      <c r="E5688">
        <v>7</v>
      </c>
      <c r="F5688">
        <v>1007</v>
      </c>
      <c r="G5688" t="s">
        <v>127</v>
      </c>
      <c r="J5688" t="s">
        <v>128</v>
      </c>
      <c r="K5688">
        <v>0</v>
      </c>
      <c r="L5688">
        <v>3</v>
      </c>
      <c r="M5688">
        <v>0</v>
      </c>
      <c r="N5688">
        <v>2</v>
      </c>
      <c r="O5688">
        <v>1</v>
      </c>
      <c r="P5688">
        <v>0</v>
      </c>
      <c r="Q5688">
        <v>0</v>
      </c>
      <c r="S5688" t="str">
        <f t="shared" si="2650"/>
        <v>14:51:52.328</v>
      </c>
      <c r="T5688" t="str">
        <f t="shared" si="2651"/>
        <v>14:51:52.228</v>
      </c>
      <c r="U5688" t="str">
        <f t="shared" si="2624"/>
        <v>A9808D</v>
      </c>
      <c r="V5688">
        <v>0</v>
      </c>
      <c r="W5688">
        <v>0</v>
      </c>
      <c r="X5688">
        <v>1</v>
      </c>
      <c r="Z5688">
        <v>0</v>
      </c>
      <c r="AA5688">
        <v>9</v>
      </c>
      <c r="AB5688">
        <v>3</v>
      </c>
      <c r="AC5688">
        <v>0</v>
      </c>
      <c r="AD5688">
        <v>10</v>
      </c>
      <c r="AE5688">
        <v>0</v>
      </c>
      <c r="AF5688">
        <v>3</v>
      </c>
      <c r="AG5688">
        <v>2</v>
      </c>
      <c r="AH5688">
        <v>0</v>
      </c>
      <c r="AI5688" t="s">
        <v>1266</v>
      </c>
      <c r="AJ5688">
        <v>28.204329000000001</v>
      </c>
      <c r="AK5688" t="s">
        <v>1267</v>
      </c>
      <c r="AL5688">
        <v>-82.384371999999999</v>
      </c>
      <c r="AM5688">
        <v>100</v>
      </c>
      <c r="AN5688">
        <v>800</v>
      </c>
      <c r="AO5688" t="s">
        <v>118</v>
      </c>
      <c r="AP5688">
        <v>90</v>
      </c>
      <c r="AQ5688">
        <v>-58</v>
      </c>
      <c r="AR5688">
        <v>-896</v>
      </c>
      <c r="AZ5688">
        <v>1200</v>
      </c>
      <c r="BA5688">
        <v>1</v>
      </c>
      <c r="BB5688" t="str">
        <f t="shared" si="2637"/>
        <v xml:space="preserve">N711JA  </v>
      </c>
      <c r="BC5688">
        <v>1</v>
      </c>
      <c r="BE5688">
        <v>0</v>
      </c>
      <c r="BF5688">
        <v>0</v>
      </c>
      <c r="BG5688">
        <v>0</v>
      </c>
      <c r="BH5688">
        <v>850</v>
      </c>
      <c r="BI5688">
        <v>1</v>
      </c>
      <c r="BJ5688">
        <v>1</v>
      </c>
      <c r="BK5688">
        <v>0</v>
      </c>
      <c r="BL5688">
        <v>0</v>
      </c>
      <c r="BO5688">
        <v>0</v>
      </c>
      <c r="BP5688">
        <v>0</v>
      </c>
      <c r="BW5688" t="str">
        <f t="shared" si="2652"/>
        <v>14:51:52.329</v>
      </c>
      <c r="CJ5688">
        <v>0</v>
      </c>
      <c r="CK5688">
        <v>2</v>
      </c>
      <c r="CL5688">
        <v>0</v>
      </c>
      <c r="CM5688">
        <v>2</v>
      </c>
      <c r="CN5688">
        <v>0</v>
      </c>
      <c r="CO5688">
        <v>6</v>
      </c>
      <c r="CP5688" t="s">
        <v>119</v>
      </c>
      <c r="CQ5688">
        <v>343</v>
      </c>
      <c r="CR5688">
        <v>2</v>
      </c>
      <c r="CW5688">
        <v>13432163</v>
      </c>
      <c r="CY5688">
        <v>1</v>
      </c>
      <c r="CZ5688">
        <v>0</v>
      </c>
      <c r="DA5688">
        <v>1</v>
      </c>
      <c r="DB5688">
        <v>0</v>
      </c>
      <c r="DC5688">
        <v>0</v>
      </c>
      <c r="DD5688">
        <v>1</v>
      </c>
      <c r="DE5688">
        <v>0</v>
      </c>
      <c r="DF5688">
        <v>0</v>
      </c>
      <c r="DG5688">
        <v>0</v>
      </c>
      <c r="DH5688">
        <v>0</v>
      </c>
      <c r="DI5688">
        <v>0</v>
      </c>
    </row>
    <row r="5689" spans="1:113" x14ac:dyDescent="0.3">
      <c r="A5689" t="str">
        <f t="shared" si="2649"/>
        <v>05/12/2020 14:51:34.519</v>
      </c>
      <c r="C5689" t="str">
        <f t="shared" si="2636"/>
        <v>FFDFD3C0</v>
      </c>
      <c r="D5689" t="s">
        <v>138</v>
      </c>
      <c r="E5689">
        <v>3</v>
      </c>
      <c r="H5689">
        <v>9</v>
      </c>
      <c r="I5689" t="s">
        <v>140</v>
      </c>
      <c r="J5689" t="s">
        <v>136</v>
      </c>
      <c r="K5689">
        <v>0</v>
      </c>
      <c r="L5689">
        <v>3</v>
      </c>
      <c r="M5689">
        <v>0</v>
      </c>
      <c r="N5689">
        <v>2</v>
      </c>
      <c r="O5689">
        <v>1</v>
      </c>
      <c r="P5689">
        <v>0</v>
      </c>
      <c r="Q5689">
        <v>0</v>
      </c>
      <c r="S5689" t="str">
        <f t="shared" si="2650"/>
        <v>14:51:52.328</v>
      </c>
      <c r="T5689" t="str">
        <f t="shared" si="2651"/>
        <v>14:51:52.228</v>
      </c>
      <c r="U5689" t="str">
        <f t="shared" si="2624"/>
        <v>A9808D</v>
      </c>
      <c r="V5689">
        <v>0</v>
      </c>
      <c r="W5689">
        <v>0</v>
      </c>
      <c r="X5689">
        <v>1</v>
      </c>
      <c r="Z5689">
        <v>0</v>
      </c>
      <c r="AA5689">
        <v>9</v>
      </c>
      <c r="AB5689">
        <v>3</v>
      </c>
      <c r="AC5689">
        <v>0</v>
      </c>
      <c r="AD5689">
        <v>10</v>
      </c>
      <c r="AE5689">
        <v>0</v>
      </c>
      <c r="AF5689">
        <v>3</v>
      </c>
      <c r="AG5689">
        <v>2</v>
      </c>
      <c r="AH5689">
        <v>0</v>
      </c>
      <c r="AI5689" t="s">
        <v>1266</v>
      </c>
      <c r="AJ5689">
        <v>28.204329000000001</v>
      </c>
      <c r="AK5689" t="s">
        <v>1267</v>
      </c>
      <c r="AL5689">
        <v>-82.384371999999999</v>
      </c>
      <c r="AM5689">
        <v>100</v>
      </c>
      <c r="AN5689">
        <v>800</v>
      </c>
      <c r="AO5689" t="s">
        <v>118</v>
      </c>
      <c r="AP5689">
        <v>90</v>
      </c>
      <c r="AQ5689">
        <v>-58</v>
      </c>
      <c r="AR5689">
        <v>-896</v>
      </c>
      <c r="AZ5689">
        <v>1200</v>
      </c>
      <c r="BA5689">
        <v>1</v>
      </c>
      <c r="BB5689" t="str">
        <f t="shared" si="2637"/>
        <v xml:space="preserve">N711JA  </v>
      </c>
      <c r="BC5689">
        <v>1</v>
      </c>
      <c r="BE5689">
        <v>0</v>
      </c>
      <c r="BF5689">
        <v>0</v>
      </c>
      <c r="BG5689">
        <v>0</v>
      </c>
      <c r="BH5689">
        <v>850</v>
      </c>
      <c r="BI5689">
        <v>1</v>
      </c>
      <c r="BJ5689">
        <v>1</v>
      </c>
      <c r="BK5689">
        <v>0</v>
      </c>
      <c r="BL5689">
        <v>0</v>
      </c>
      <c r="BO5689">
        <v>0</v>
      </c>
      <c r="BP5689">
        <v>0</v>
      </c>
      <c r="BW5689" t="str">
        <f t="shared" si="2652"/>
        <v>14:51:52.329</v>
      </c>
      <c r="CJ5689">
        <v>0</v>
      </c>
      <c r="CK5689">
        <v>2</v>
      </c>
      <c r="CL5689">
        <v>0</v>
      </c>
      <c r="CM5689">
        <v>2</v>
      </c>
      <c r="CN5689">
        <v>0</v>
      </c>
      <c r="CO5689">
        <v>6</v>
      </c>
      <c r="CP5689" t="s">
        <v>119</v>
      </c>
      <c r="CQ5689">
        <v>343</v>
      </c>
      <c r="CR5689">
        <v>2</v>
      </c>
      <c r="CW5689">
        <v>13432163</v>
      </c>
      <c r="CY5689">
        <v>1</v>
      </c>
      <c r="CZ5689">
        <v>0</v>
      </c>
      <c r="DA5689">
        <v>1</v>
      </c>
      <c r="DB5689">
        <v>0</v>
      </c>
      <c r="DC5689">
        <v>0</v>
      </c>
      <c r="DD5689">
        <v>1</v>
      </c>
      <c r="DE5689">
        <v>0</v>
      </c>
      <c r="DF5689">
        <v>0</v>
      </c>
      <c r="DG5689">
        <v>0</v>
      </c>
      <c r="DH5689">
        <v>0</v>
      </c>
      <c r="DI5689">
        <v>0</v>
      </c>
    </row>
    <row r="5690" spans="1:113" x14ac:dyDescent="0.3">
      <c r="A5690" t="str">
        <f t="shared" si="2649"/>
        <v>05/12/2020 14:51:34.519</v>
      </c>
      <c r="C5690" t="str">
        <f t="shared" si="2636"/>
        <v>FFDFD3C0</v>
      </c>
      <c r="D5690" t="s">
        <v>138</v>
      </c>
      <c r="E5690">
        <v>2</v>
      </c>
      <c r="H5690">
        <v>8</v>
      </c>
      <c r="I5690" t="s">
        <v>139</v>
      </c>
      <c r="J5690" t="s">
        <v>136</v>
      </c>
      <c r="K5690">
        <v>0</v>
      </c>
      <c r="L5690">
        <v>3</v>
      </c>
      <c r="M5690">
        <v>0</v>
      </c>
      <c r="N5690">
        <v>2</v>
      </c>
      <c r="O5690">
        <v>1</v>
      </c>
      <c r="P5690">
        <v>0</v>
      </c>
      <c r="Q5690">
        <v>0</v>
      </c>
      <c r="S5690" t="str">
        <f t="shared" si="2650"/>
        <v>14:51:52.328</v>
      </c>
      <c r="T5690" t="str">
        <f t="shared" si="2651"/>
        <v>14:51:52.228</v>
      </c>
      <c r="U5690" t="str">
        <f t="shared" si="2624"/>
        <v>A9808D</v>
      </c>
      <c r="V5690">
        <v>0</v>
      </c>
      <c r="W5690">
        <v>0</v>
      </c>
      <c r="X5690">
        <v>1</v>
      </c>
      <c r="Z5690">
        <v>0</v>
      </c>
      <c r="AA5690">
        <v>9</v>
      </c>
      <c r="AB5690">
        <v>3</v>
      </c>
      <c r="AC5690">
        <v>0</v>
      </c>
      <c r="AD5690">
        <v>10</v>
      </c>
      <c r="AE5690">
        <v>0</v>
      </c>
      <c r="AF5690">
        <v>3</v>
      </c>
      <c r="AG5690">
        <v>2</v>
      </c>
      <c r="AH5690">
        <v>0</v>
      </c>
      <c r="AI5690" t="s">
        <v>1266</v>
      </c>
      <c r="AJ5690">
        <v>28.204329000000001</v>
      </c>
      <c r="AK5690" t="s">
        <v>1267</v>
      </c>
      <c r="AL5690">
        <v>-82.384371999999999</v>
      </c>
      <c r="AM5690">
        <v>100</v>
      </c>
      <c r="AN5690">
        <v>800</v>
      </c>
      <c r="AO5690" t="s">
        <v>118</v>
      </c>
      <c r="AP5690">
        <v>90</v>
      </c>
      <c r="AQ5690">
        <v>-58</v>
      </c>
      <c r="AR5690">
        <v>-896</v>
      </c>
      <c r="AZ5690">
        <v>1200</v>
      </c>
      <c r="BA5690">
        <v>1</v>
      </c>
      <c r="BB5690" t="str">
        <f t="shared" si="2637"/>
        <v xml:space="preserve">N711JA  </v>
      </c>
      <c r="BC5690">
        <v>1</v>
      </c>
      <c r="BE5690">
        <v>0</v>
      </c>
      <c r="BF5690">
        <v>0</v>
      </c>
      <c r="BG5690">
        <v>0</v>
      </c>
      <c r="BH5690">
        <v>850</v>
      </c>
      <c r="BI5690">
        <v>1</v>
      </c>
      <c r="BJ5690">
        <v>1</v>
      </c>
      <c r="BK5690">
        <v>0</v>
      </c>
      <c r="BL5690">
        <v>0</v>
      </c>
      <c r="BO5690">
        <v>0</v>
      </c>
      <c r="BP5690">
        <v>0</v>
      </c>
      <c r="BW5690" t="str">
        <f t="shared" si="2652"/>
        <v>14:51:52.329</v>
      </c>
      <c r="CJ5690">
        <v>0</v>
      </c>
      <c r="CK5690">
        <v>2</v>
      </c>
      <c r="CL5690">
        <v>0</v>
      </c>
      <c r="CM5690">
        <v>2</v>
      </c>
      <c r="CN5690">
        <v>0</v>
      </c>
      <c r="CO5690">
        <v>6</v>
      </c>
      <c r="CP5690" t="s">
        <v>119</v>
      </c>
      <c r="CQ5690">
        <v>343</v>
      </c>
      <c r="CR5690">
        <v>2</v>
      </c>
      <c r="CW5690">
        <v>13432163</v>
      </c>
      <c r="CY5690">
        <v>1</v>
      </c>
      <c r="CZ5690">
        <v>0</v>
      </c>
      <c r="DA5690">
        <v>1</v>
      </c>
      <c r="DB5690">
        <v>0</v>
      </c>
      <c r="DC5690">
        <v>0</v>
      </c>
      <c r="DD5690">
        <v>1</v>
      </c>
      <c r="DE5690">
        <v>0</v>
      </c>
      <c r="DF5690">
        <v>0</v>
      </c>
      <c r="DG5690">
        <v>0</v>
      </c>
      <c r="DH5690">
        <v>0</v>
      </c>
      <c r="DI5690">
        <v>0</v>
      </c>
    </row>
    <row r="5691" spans="1:113" x14ac:dyDescent="0.3">
      <c r="A5691" t="str">
        <f t="shared" si="2649"/>
        <v>05/12/2020 14:51:34.519</v>
      </c>
      <c r="C5691" t="str">
        <f t="shared" si="2636"/>
        <v>FFDFD3C0</v>
      </c>
      <c r="D5691" t="s">
        <v>113</v>
      </c>
      <c r="E5691">
        <v>3</v>
      </c>
      <c r="H5691">
        <v>164</v>
      </c>
      <c r="I5691" t="s">
        <v>114</v>
      </c>
      <c r="J5691" t="s">
        <v>115</v>
      </c>
      <c r="K5691">
        <v>0</v>
      </c>
      <c r="L5691">
        <v>3</v>
      </c>
      <c r="M5691">
        <v>0</v>
      </c>
      <c r="N5691">
        <v>2</v>
      </c>
      <c r="O5691">
        <v>1</v>
      </c>
      <c r="P5691">
        <v>0</v>
      </c>
      <c r="Q5691">
        <v>0</v>
      </c>
      <c r="S5691" t="str">
        <f t="shared" si="2650"/>
        <v>14:51:52.328</v>
      </c>
      <c r="T5691" t="str">
        <f t="shared" si="2651"/>
        <v>14:51:52.228</v>
      </c>
      <c r="U5691" t="str">
        <f t="shared" si="2624"/>
        <v>A9808D</v>
      </c>
      <c r="V5691">
        <v>0</v>
      </c>
      <c r="W5691">
        <v>0</v>
      </c>
      <c r="X5691">
        <v>1</v>
      </c>
      <c r="Z5691">
        <v>0</v>
      </c>
      <c r="AA5691">
        <v>9</v>
      </c>
      <c r="AB5691">
        <v>3</v>
      </c>
      <c r="AC5691">
        <v>0</v>
      </c>
      <c r="AD5691">
        <v>10</v>
      </c>
      <c r="AE5691">
        <v>0</v>
      </c>
      <c r="AF5691">
        <v>3</v>
      </c>
      <c r="AG5691">
        <v>2</v>
      </c>
      <c r="AH5691">
        <v>0</v>
      </c>
      <c r="AI5691" t="s">
        <v>1266</v>
      </c>
      <c r="AJ5691">
        <v>28.204329000000001</v>
      </c>
      <c r="AK5691" t="s">
        <v>1267</v>
      </c>
      <c r="AL5691">
        <v>-82.384371999999999</v>
      </c>
      <c r="AM5691">
        <v>100</v>
      </c>
      <c r="AN5691">
        <v>800</v>
      </c>
      <c r="AO5691" t="s">
        <v>118</v>
      </c>
      <c r="AP5691">
        <v>90</v>
      </c>
      <c r="AQ5691">
        <v>-58</v>
      </c>
      <c r="AR5691">
        <v>-896</v>
      </c>
      <c r="AZ5691">
        <v>1200</v>
      </c>
      <c r="BA5691">
        <v>1</v>
      </c>
      <c r="BB5691" t="str">
        <f t="shared" si="2637"/>
        <v xml:space="preserve">N711JA  </v>
      </c>
      <c r="BC5691">
        <v>1</v>
      </c>
      <c r="BE5691">
        <v>0</v>
      </c>
      <c r="BF5691">
        <v>0</v>
      </c>
      <c r="BG5691">
        <v>0</v>
      </c>
      <c r="BH5691">
        <v>850</v>
      </c>
      <c r="BI5691">
        <v>1</v>
      </c>
      <c r="BJ5691">
        <v>1</v>
      </c>
      <c r="BK5691">
        <v>0</v>
      </c>
      <c r="BL5691">
        <v>0</v>
      </c>
      <c r="BO5691">
        <v>0</v>
      </c>
      <c r="BP5691">
        <v>0</v>
      </c>
      <c r="BW5691" t="str">
        <f t="shared" si="2652"/>
        <v>14:51:52.329</v>
      </c>
      <c r="CJ5691">
        <v>0</v>
      </c>
      <c r="CK5691">
        <v>2</v>
      </c>
      <c r="CL5691">
        <v>0</v>
      </c>
      <c r="CM5691">
        <v>2</v>
      </c>
      <c r="CN5691">
        <v>0</v>
      </c>
      <c r="CO5691">
        <v>6</v>
      </c>
      <c r="CP5691" t="s">
        <v>119</v>
      </c>
      <c r="CQ5691">
        <v>343</v>
      </c>
      <c r="CR5691">
        <v>2</v>
      </c>
      <c r="CW5691">
        <v>13432163</v>
      </c>
      <c r="CY5691">
        <v>1</v>
      </c>
      <c r="CZ5691">
        <v>0</v>
      </c>
      <c r="DA5691">
        <v>1</v>
      </c>
      <c r="DB5691">
        <v>0</v>
      </c>
      <c r="DC5691">
        <v>0</v>
      </c>
      <c r="DD5691">
        <v>1</v>
      </c>
      <c r="DE5691">
        <v>0</v>
      </c>
      <c r="DF5691">
        <v>0</v>
      </c>
      <c r="DG5691">
        <v>0</v>
      </c>
      <c r="DH5691">
        <v>0</v>
      </c>
      <c r="DI5691">
        <v>0</v>
      </c>
    </row>
    <row r="5692" spans="1:113" x14ac:dyDescent="0.3">
      <c r="A5692" t="str">
        <f t="shared" ref="A5692:A5699" si="2653">"05/12/2020 14:51:35.371"</f>
        <v>05/12/2020 14:51:35.371</v>
      </c>
      <c r="C5692" t="str">
        <f t="shared" si="2636"/>
        <v>FFDFD3C0</v>
      </c>
      <c r="D5692" t="s">
        <v>126</v>
      </c>
      <c r="E5692">
        <v>7</v>
      </c>
      <c r="F5692">
        <v>1007</v>
      </c>
      <c r="G5692" t="s">
        <v>127</v>
      </c>
      <c r="J5692" t="s">
        <v>128</v>
      </c>
      <c r="K5692">
        <v>0</v>
      </c>
      <c r="L5692">
        <v>3</v>
      </c>
      <c r="M5692">
        <v>0</v>
      </c>
      <c r="N5692">
        <v>2</v>
      </c>
      <c r="O5692">
        <v>1</v>
      </c>
      <c r="P5692">
        <v>0</v>
      </c>
      <c r="Q5692">
        <v>0</v>
      </c>
      <c r="S5692" t="str">
        <f t="shared" ref="S5692:S5699" si="2654">"14:51:53.195"</f>
        <v>14:51:53.195</v>
      </c>
      <c r="T5692" t="str">
        <f t="shared" ref="T5692:T5699" si="2655">"14:51:52.695"</f>
        <v>14:51:52.695</v>
      </c>
      <c r="U5692" t="str">
        <f t="shared" si="2624"/>
        <v>A9808D</v>
      </c>
      <c r="V5692">
        <v>0</v>
      </c>
      <c r="W5692">
        <v>0</v>
      </c>
      <c r="X5692">
        <v>1</v>
      </c>
      <c r="Z5692">
        <v>0</v>
      </c>
      <c r="AA5692">
        <v>9</v>
      </c>
      <c r="AB5692">
        <v>3</v>
      </c>
      <c r="AC5692">
        <v>0</v>
      </c>
      <c r="AD5692">
        <v>10</v>
      </c>
      <c r="AE5692">
        <v>0</v>
      </c>
      <c r="AF5692">
        <v>3</v>
      </c>
      <c r="AG5692">
        <v>2</v>
      </c>
      <c r="AH5692">
        <v>0</v>
      </c>
      <c r="AI5692" t="s">
        <v>1268</v>
      </c>
      <c r="AJ5692">
        <v>28.204156999999999</v>
      </c>
      <c r="AK5692" t="s">
        <v>355</v>
      </c>
      <c r="AL5692">
        <v>-82.383943000000002</v>
      </c>
      <c r="AM5692">
        <v>100</v>
      </c>
      <c r="AN5692">
        <v>800</v>
      </c>
      <c r="AO5692" t="s">
        <v>118</v>
      </c>
      <c r="AP5692">
        <v>92</v>
      </c>
      <c r="AQ5692">
        <v>-54</v>
      </c>
      <c r="AR5692">
        <v>-1088</v>
      </c>
      <c r="AZ5692">
        <v>1200</v>
      </c>
      <c r="BA5692">
        <v>1</v>
      </c>
      <c r="BB5692" t="str">
        <f t="shared" si="2637"/>
        <v xml:space="preserve">N711JA  </v>
      </c>
      <c r="BC5692">
        <v>1</v>
      </c>
      <c r="BE5692">
        <v>0</v>
      </c>
      <c r="BF5692">
        <v>0</v>
      </c>
      <c r="BG5692">
        <v>0</v>
      </c>
      <c r="BH5692">
        <v>825</v>
      </c>
      <c r="BI5692">
        <v>1</v>
      </c>
      <c r="BJ5692">
        <v>1</v>
      </c>
      <c r="BK5692">
        <v>0</v>
      </c>
      <c r="BL5692">
        <v>0</v>
      </c>
      <c r="BO5692">
        <v>0</v>
      </c>
      <c r="BP5692">
        <v>0</v>
      </c>
      <c r="BW5692" t="str">
        <f t="shared" ref="BW5692:BW5699" si="2656">"14:51:53.199"</f>
        <v>14:51:53.199</v>
      </c>
      <c r="CJ5692">
        <v>0</v>
      </c>
      <c r="CK5692">
        <v>2</v>
      </c>
      <c r="CL5692">
        <v>0</v>
      </c>
      <c r="CM5692">
        <v>2</v>
      </c>
      <c r="CN5692">
        <v>0</v>
      </c>
      <c r="CO5692">
        <v>7</v>
      </c>
      <c r="CP5692" t="s">
        <v>119</v>
      </c>
      <c r="CQ5692">
        <v>343</v>
      </c>
      <c r="CR5692">
        <v>1</v>
      </c>
      <c r="CW5692">
        <v>11188690</v>
      </c>
      <c r="CY5692">
        <v>1</v>
      </c>
      <c r="CZ5692">
        <v>0</v>
      </c>
      <c r="DA5692">
        <v>0</v>
      </c>
      <c r="DB5692">
        <v>0</v>
      </c>
      <c r="DC5692">
        <v>0</v>
      </c>
      <c r="DD5692">
        <v>1</v>
      </c>
      <c r="DE5692">
        <v>0</v>
      </c>
      <c r="DF5692">
        <v>0</v>
      </c>
      <c r="DG5692">
        <v>0</v>
      </c>
      <c r="DH5692">
        <v>0</v>
      </c>
      <c r="DI5692">
        <v>0</v>
      </c>
    </row>
    <row r="5693" spans="1:113" x14ac:dyDescent="0.3">
      <c r="A5693" t="str">
        <f t="shared" si="2653"/>
        <v>05/12/2020 14:51:35.371</v>
      </c>
      <c r="C5693" t="str">
        <f t="shared" si="2636"/>
        <v>FFDFD3C0</v>
      </c>
      <c r="D5693" t="s">
        <v>131</v>
      </c>
      <c r="E5693">
        <v>10</v>
      </c>
      <c r="F5693">
        <v>2010</v>
      </c>
      <c r="G5693" t="s">
        <v>132</v>
      </c>
      <c r="J5693" t="s">
        <v>133</v>
      </c>
      <c r="K5693">
        <v>0</v>
      </c>
      <c r="L5693">
        <v>3</v>
      </c>
      <c r="M5693">
        <v>0</v>
      </c>
      <c r="N5693">
        <v>2</v>
      </c>
      <c r="O5693">
        <v>1</v>
      </c>
      <c r="P5693">
        <v>0</v>
      </c>
      <c r="Q5693">
        <v>0</v>
      </c>
      <c r="S5693" t="str">
        <f t="shared" si="2654"/>
        <v>14:51:53.195</v>
      </c>
      <c r="T5693" t="str">
        <f t="shared" si="2655"/>
        <v>14:51:52.695</v>
      </c>
      <c r="U5693" t="str">
        <f t="shared" si="2624"/>
        <v>A9808D</v>
      </c>
      <c r="V5693">
        <v>0</v>
      </c>
      <c r="W5693">
        <v>0</v>
      </c>
      <c r="X5693">
        <v>1</v>
      </c>
      <c r="Z5693">
        <v>0</v>
      </c>
      <c r="AA5693">
        <v>9</v>
      </c>
      <c r="AB5693">
        <v>3</v>
      </c>
      <c r="AC5693">
        <v>0</v>
      </c>
      <c r="AD5693">
        <v>10</v>
      </c>
      <c r="AE5693">
        <v>0</v>
      </c>
      <c r="AF5693">
        <v>3</v>
      </c>
      <c r="AG5693">
        <v>2</v>
      </c>
      <c r="AH5693">
        <v>0</v>
      </c>
      <c r="AI5693" t="s">
        <v>1268</v>
      </c>
      <c r="AJ5693">
        <v>28.204156999999999</v>
      </c>
      <c r="AK5693" t="s">
        <v>355</v>
      </c>
      <c r="AL5693">
        <v>-82.383943000000002</v>
      </c>
      <c r="AM5693">
        <v>100</v>
      </c>
      <c r="AN5693">
        <v>800</v>
      </c>
      <c r="AO5693" t="s">
        <v>118</v>
      </c>
      <c r="AP5693">
        <v>92</v>
      </c>
      <c r="AQ5693">
        <v>-54</v>
      </c>
      <c r="AR5693">
        <v>-1088</v>
      </c>
      <c r="AZ5693">
        <v>1200</v>
      </c>
      <c r="BA5693">
        <v>1</v>
      </c>
      <c r="BB5693" t="str">
        <f t="shared" si="2637"/>
        <v xml:space="preserve">N711JA  </v>
      </c>
      <c r="BC5693">
        <v>1</v>
      </c>
      <c r="BE5693">
        <v>0</v>
      </c>
      <c r="BF5693">
        <v>0</v>
      </c>
      <c r="BG5693">
        <v>0</v>
      </c>
      <c r="BH5693">
        <v>825</v>
      </c>
      <c r="BI5693">
        <v>1</v>
      </c>
      <c r="BJ5693">
        <v>1</v>
      </c>
      <c r="BK5693">
        <v>0</v>
      </c>
      <c r="BL5693">
        <v>0</v>
      </c>
      <c r="BO5693">
        <v>0</v>
      </c>
      <c r="BP5693">
        <v>0</v>
      </c>
      <c r="BW5693" t="str">
        <f t="shared" si="2656"/>
        <v>14:51:53.199</v>
      </c>
      <c r="CJ5693">
        <v>0</v>
      </c>
      <c r="CK5693">
        <v>2</v>
      </c>
      <c r="CL5693">
        <v>0</v>
      </c>
      <c r="CM5693">
        <v>2</v>
      </c>
      <c r="CN5693">
        <v>0</v>
      </c>
      <c r="CO5693">
        <v>7</v>
      </c>
      <c r="CP5693" t="s">
        <v>119</v>
      </c>
      <c r="CQ5693">
        <v>343</v>
      </c>
      <c r="CR5693">
        <v>1</v>
      </c>
      <c r="CW5693">
        <v>11188690</v>
      </c>
      <c r="CY5693">
        <v>1</v>
      </c>
      <c r="CZ5693">
        <v>0</v>
      </c>
      <c r="DA5693">
        <v>1</v>
      </c>
      <c r="DB5693">
        <v>0</v>
      </c>
      <c r="DC5693">
        <v>0</v>
      </c>
      <c r="DD5693">
        <v>1</v>
      </c>
      <c r="DE5693">
        <v>0</v>
      </c>
      <c r="DF5693">
        <v>0</v>
      </c>
      <c r="DG5693">
        <v>0</v>
      </c>
      <c r="DH5693">
        <v>0</v>
      </c>
      <c r="DI5693">
        <v>0</v>
      </c>
    </row>
    <row r="5694" spans="1:113" x14ac:dyDescent="0.3">
      <c r="A5694" t="str">
        <f t="shared" si="2653"/>
        <v>05/12/2020 14:51:35.371</v>
      </c>
      <c r="C5694" t="str">
        <f t="shared" si="2636"/>
        <v>FFDFD3C0</v>
      </c>
      <c r="D5694" t="s">
        <v>131</v>
      </c>
      <c r="E5694">
        <v>12</v>
      </c>
      <c r="F5694">
        <v>2012</v>
      </c>
      <c r="G5694" t="s">
        <v>137</v>
      </c>
      <c r="J5694" t="s">
        <v>133</v>
      </c>
      <c r="K5694">
        <v>0</v>
      </c>
      <c r="L5694">
        <v>3</v>
      </c>
      <c r="M5694">
        <v>0</v>
      </c>
      <c r="N5694">
        <v>2</v>
      </c>
      <c r="O5694">
        <v>1</v>
      </c>
      <c r="P5694">
        <v>0</v>
      </c>
      <c r="Q5694">
        <v>0</v>
      </c>
      <c r="S5694" t="str">
        <f t="shared" si="2654"/>
        <v>14:51:53.195</v>
      </c>
      <c r="T5694" t="str">
        <f t="shared" si="2655"/>
        <v>14:51:52.695</v>
      </c>
      <c r="U5694" t="str">
        <f t="shared" si="2624"/>
        <v>A9808D</v>
      </c>
      <c r="V5694">
        <v>0</v>
      </c>
      <c r="W5694">
        <v>0</v>
      </c>
      <c r="X5694">
        <v>1</v>
      </c>
      <c r="Z5694">
        <v>0</v>
      </c>
      <c r="AA5694">
        <v>9</v>
      </c>
      <c r="AB5694">
        <v>3</v>
      </c>
      <c r="AC5694">
        <v>0</v>
      </c>
      <c r="AD5694">
        <v>10</v>
      </c>
      <c r="AE5694">
        <v>0</v>
      </c>
      <c r="AF5694">
        <v>3</v>
      </c>
      <c r="AG5694">
        <v>2</v>
      </c>
      <c r="AH5694">
        <v>0</v>
      </c>
      <c r="AI5694" t="s">
        <v>1268</v>
      </c>
      <c r="AJ5694">
        <v>28.204156999999999</v>
      </c>
      <c r="AK5694" t="s">
        <v>355</v>
      </c>
      <c r="AL5694">
        <v>-82.383943000000002</v>
      </c>
      <c r="AM5694">
        <v>100</v>
      </c>
      <c r="AN5694">
        <v>800</v>
      </c>
      <c r="AO5694" t="s">
        <v>118</v>
      </c>
      <c r="AP5694">
        <v>92</v>
      </c>
      <c r="AQ5694">
        <v>-54</v>
      </c>
      <c r="AR5694">
        <v>-1088</v>
      </c>
      <c r="AZ5694">
        <v>1200</v>
      </c>
      <c r="BA5694">
        <v>1</v>
      </c>
      <c r="BB5694" t="str">
        <f t="shared" si="2637"/>
        <v xml:space="preserve">N711JA  </v>
      </c>
      <c r="BC5694">
        <v>1</v>
      </c>
      <c r="BE5694">
        <v>0</v>
      </c>
      <c r="BF5694">
        <v>0</v>
      </c>
      <c r="BG5694">
        <v>0</v>
      </c>
      <c r="BH5694">
        <v>825</v>
      </c>
      <c r="BI5694">
        <v>1</v>
      </c>
      <c r="BJ5694">
        <v>1</v>
      </c>
      <c r="BK5694">
        <v>0</v>
      </c>
      <c r="BL5694">
        <v>0</v>
      </c>
      <c r="BO5694">
        <v>0</v>
      </c>
      <c r="BP5694">
        <v>0</v>
      </c>
      <c r="BW5694" t="str">
        <f t="shared" si="2656"/>
        <v>14:51:53.199</v>
      </c>
      <c r="CJ5694">
        <v>0</v>
      </c>
      <c r="CK5694">
        <v>2</v>
      </c>
      <c r="CL5694">
        <v>0</v>
      </c>
      <c r="CM5694">
        <v>2</v>
      </c>
      <c r="CN5694">
        <v>0</v>
      </c>
      <c r="CO5694">
        <v>7</v>
      </c>
      <c r="CP5694" t="s">
        <v>119</v>
      </c>
      <c r="CQ5694">
        <v>343</v>
      </c>
      <c r="CR5694">
        <v>1</v>
      </c>
      <c r="CW5694">
        <v>11188690</v>
      </c>
      <c r="CY5694">
        <v>1</v>
      </c>
      <c r="CZ5694">
        <v>0</v>
      </c>
      <c r="DA5694">
        <v>1</v>
      </c>
      <c r="DB5694">
        <v>0</v>
      </c>
      <c r="DC5694">
        <v>0</v>
      </c>
      <c r="DD5694">
        <v>1</v>
      </c>
      <c r="DE5694">
        <v>0</v>
      </c>
      <c r="DF5694">
        <v>0</v>
      </c>
      <c r="DG5694">
        <v>0</v>
      </c>
      <c r="DH5694">
        <v>0</v>
      </c>
      <c r="DI5694">
        <v>0</v>
      </c>
    </row>
    <row r="5695" spans="1:113" x14ac:dyDescent="0.3">
      <c r="A5695" t="str">
        <f t="shared" si="2653"/>
        <v>05/12/2020 14:51:35.371</v>
      </c>
      <c r="C5695" t="str">
        <f t="shared" si="2636"/>
        <v>FFDFD3C0</v>
      </c>
      <c r="D5695" t="s">
        <v>126</v>
      </c>
      <c r="E5695">
        <v>6</v>
      </c>
      <c r="F5695">
        <v>1006</v>
      </c>
      <c r="G5695" t="s">
        <v>114</v>
      </c>
      <c r="J5695" t="s">
        <v>128</v>
      </c>
      <c r="K5695">
        <v>0</v>
      </c>
      <c r="L5695">
        <v>3</v>
      </c>
      <c r="M5695">
        <v>0</v>
      </c>
      <c r="N5695">
        <v>2</v>
      </c>
      <c r="O5695">
        <v>1</v>
      </c>
      <c r="P5695">
        <v>0</v>
      </c>
      <c r="Q5695">
        <v>0</v>
      </c>
      <c r="S5695" t="str">
        <f t="shared" si="2654"/>
        <v>14:51:53.195</v>
      </c>
      <c r="T5695" t="str">
        <f t="shared" si="2655"/>
        <v>14:51:52.695</v>
      </c>
      <c r="U5695" t="str">
        <f t="shared" si="2624"/>
        <v>A9808D</v>
      </c>
      <c r="V5695">
        <v>0</v>
      </c>
      <c r="W5695">
        <v>0</v>
      </c>
      <c r="X5695">
        <v>1</v>
      </c>
      <c r="Z5695">
        <v>0</v>
      </c>
      <c r="AA5695">
        <v>9</v>
      </c>
      <c r="AB5695">
        <v>3</v>
      </c>
      <c r="AC5695">
        <v>0</v>
      </c>
      <c r="AD5695">
        <v>10</v>
      </c>
      <c r="AE5695">
        <v>0</v>
      </c>
      <c r="AF5695">
        <v>3</v>
      </c>
      <c r="AG5695">
        <v>2</v>
      </c>
      <c r="AH5695">
        <v>0</v>
      </c>
      <c r="AI5695" t="s">
        <v>1268</v>
      </c>
      <c r="AJ5695">
        <v>28.204156999999999</v>
      </c>
      <c r="AK5695" t="s">
        <v>355</v>
      </c>
      <c r="AL5695">
        <v>-82.383943000000002</v>
      </c>
      <c r="AM5695">
        <v>100</v>
      </c>
      <c r="AN5695">
        <v>800</v>
      </c>
      <c r="AO5695" t="s">
        <v>118</v>
      </c>
      <c r="AP5695">
        <v>92</v>
      </c>
      <c r="AQ5695">
        <v>-54</v>
      </c>
      <c r="AR5695">
        <v>-1088</v>
      </c>
      <c r="AZ5695">
        <v>1200</v>
      </c>
      <c r="BA5695">
        <v>1</v>
      </c>
      <c r="BB5695" t="str">
        <f t="shared" si="2637"/>
        <v xml:space="preserve">N711JA  </v>
      </c>
      <c r="BC5695">
        <v>1</v>
      </c>
      <c r="BE5695">
        <v>0</v>
      </c>
      <c r="BF5695">
        <v>0</v>
      </c>
      <c r="BG5695">
        <v>0</v>
      </c>
      <c r="BH5695">
        <v>825</v>
      </c>
      <c r="BI5695">
        <v>1</v>
      </c>
      <c r="BJ5695">
        <v>1</v>
      </c>
      <c r="BK5695">
        <v>0</v>
      </c>
      <c r="BL5695">
        <v>0</v>
      </c>
      <c r="BO5695">
        <v>0</v>
      </c>
      <c r="BP5695">
        <v>0</v>
      </c>
      <c r="BW5695" t="str">
        <f t="shared" si="2656"/>
        <v>14:51:53.199</v>
      </c>
      <c r="CJ5695">
        <v>0</v>
      </c>
      <c r="CK5695">
        <v>2</v>
      </c>
      <c r="CL5695">
        <v>0</v>
      </c>
      <c r="CM5695">
        <v>2</v>
      </c>
      <c r="CN5695">
        <v>0</v>
      </c>
      <c r="CO5695">
        <v>7</v>
      </c>
      <c r="CP5695" t="s">
        <v>119</v>
      </c>
      <c r="CQ5695">
        <v>343</v>
      </c>
      <c r="CR5695">
        <v>1</v>
      </c>
      <c r="CW5695">
        <v>11188690</v>
      </c>
      <c r="CY5695">
        <v>1</v>
      </c>
      <c r="CZ5695">
        <v>0</v>
      </c>
      <c r="DA5695">
        <v>1</v>
      </c>
      <c r="DB5695">
        <v>0</v>
      </c>
      <c r="DC5695">
        <v>0</v>
      </c>
      <c r="DD5695">
        <v>1</v>
      </c>
      <c r="DE5695">
        <v>0</v>
      </c>
      <c r="DF5695">
        <v>0</v>
      </c>
      <c r="DG5695">
        <v>0</v>
      </c>
      <c r="DH5695">
        <v>0</v>
      </c>
      <c r="DI5695">
        <v>0</v>
      </c>
    </row>
    <row r="5696" spans="1:113" x14ac:dyDescent="0.3">
      <c r="A5696" t="str">
        <f t="shared" si="2653"/>
        <v>05/12/2020 14:51:35.371</v>
      </c>
      <c r="C5696" t="str">
        <f t="shared" si="2636"/>
        <v>FFDFD3C0</v>
      </c>
      <c r="D5696" t="s">
        <v>134</v>
      </c>
      <c r="E5696">
        <v>12</v>
      </c>
      <c r="H5696">
        <v>64</v>
      </c>
      <c r="I5696" t="s">
        <v>135</v>
      </c>
      <c r="J5696" t="s">
        <v>136</v>
      </c>
      <c r="K5696">
        <v>0</v>
      </c>
      <c r="L5696">
        <v>3</v>
      </c>
      <c r="M5696">
        <v>0</v>
      </c>
      <c r="N5696">
        <v>2</v>
      </c>
      <c r="O5696">
        <v>1</v>
      </c>
      <c r="P5696">
        <v>0</v>
      </c>
      <c r="Q5696">
        <v>0</v>
      </c>
      <c r="S5696" t="str">
        <f t="shared" si="2654"/>
        <v>14:51:53.195</v>
      </c>
      <c r="T5696" t="str">
        <f t="shared" si="2655"/>
        <v>14:51:52.695</v>
      </c>
      <c r="U5696" t="str">
        <f t="shared" si="2624"/>
        <v>A9808D</v>
      </c>
      <c r="V5696">
        <v>0</v>
      </c>
      <c r="W5696">
        <v>0</v>
      </c>
      <c r="X5696">
        <v>1</v>
      </c>
      <c r="Z5696">
        <v>0</v>
      </c>
      <c r="AA5696">
        <v>9</v>
      </c>
      <c r="AB5696">
        <v>3</v>
      </c>
      <c r="AC5696">
        <v>0</v>
      </c>
      <c r="AD5696">
        <v>10</v>
      </c>
      <c r="AE5696">
        <v>0</v>
      </c>
      <c r="AF5696">
        <v>3</v>
      </c>
      <c r="AG5696">
        <v>2</v>
      </c>
      <c r="AH5696">
        <v>0</v>
      </c>
      <c r="AI5696" t="s">
        <v>1268</v>
      </c>
      <c r="AJ5696">
        <v>28.204156999999999</v>
      </c>
      <c r="AK5696" t="s">
        <v>355</v>
      </c>
      <c r="AL5696">
        <v>-82.383943000000002</v>
      </c>
      <c r="AM5696">
        <v>100</v>
      </c>
      <c r="AN5696">
        <v>800</v>
      </c>
      <c r="AO5696" t="s">
        <v>118</v>
      </c>
      <c r="AP5696">
        <v>92</v>
      </c>
      <c r="AQ5696">
        <v>-54</v>
      </c>
      <c r="AR5696">
        <v>-1088</v>
      </c>
      <c r="AZ5696">
        <v>1200</v>
      </c>
      <c r="BA5696">
        <v>1</v>
      </c>
      <c r="BB5696" t="str">
        <f t="shared" si="2637"/>
        <v xml:space="preserve">N711JA  </v>
      </c>
      <c r="BC5696">
        <v>1</v>
      </c>
      <c r="BE5696">
        <v>0</v>
      </c>
      <c r="BF5696">
        <v>0</v>
      </c>
      <c r="BG5696">
        <v>0</v>
      </c>
      <c r="BH5696">
        <v>825</v>
      </c>
      <c r="BI5696">
        <v>1</v>
      </c>
      <c r="BJ5696">
        <v>1</v>
      </c>
      <c r="BK5696">
        <v>0</v>
      </c>
      <c r="BL5696">
        <v>0</v>
      </c>
      <c r="BO5696">
        <v>0</v>
      </c>
      <c r="BP5696">
        <v>0</v>
      </c>
      <c r="BW5696" t="str">
        <f t="shared" si="2656"/>
        <v>14:51:53.199</v>
      </c>
      <c r="CJ5696">
        <v>0</v>
      </c>
      <c r="CK5696">
        <v>2</v>
      </c>
      <c r="CL5696">
        <v>0</v>
      </c>
      <c r="CM5696">
        <v>2</v>
      </c>
      <c r="CN5696">
        <v>0</v>
      </c>
      <c r="CO5696">
        <v>7</v>
      </c>
      <c r="CP5696" t="s">
        <v>119</v>
      </c>
      <c r="CQ5696">
        <v>343</v>
      </c>
      <c r="CR5696">
        <v>1</v>
      </c>
      <c r="CW5696">
        <v>11188690</v>
      </c>
      <c r="CY5696">
        <v>1</v>
      </c>
      <c r="CZ5696">
        <v>0</v>
      </c>
      <c r="DA5696">
        <v>1</v>
      </c>
      <c r="DB5696">
        <v>0</v>
      </c>
      <c r="DC5696">
        <v>0</v>
      </c>
      <c r="DD5696">
        <v>1</v>
      </c>
      <c r="DE5696">
        <v>0</v>
      </c>
      <c r="DF5696">
        <v>0</v>
      </c>
      <c r="DG5696">
        <v>0</v>
      </c>
      <c r="DH5696">
        <v>0</v>
      </c>
      <c r="DI5696">
        <v>0</v>
      </c>
    </row>
    <row r="5697" spans="1:113" x14ac:dyDescent="0.3">
      <c r="A5697" t="str">
        <f t="shared" si="2653"/>
        <v>05/12/2020 14:51:35.371</v>
      </c>
      <c r="C5697" t="str">
        <f t="shared" si="2636"/>
        <v>FFDFD3C0</v>
      </c>
      <c r="D5697" t="s">
        <v>138</v>
      </c>
      <c r="E5697">
        <v>2</v>
      </c>
      <c r="H5697">
        <v>8</v>
      </c>
      <c r="I5697" t="s">
        <v>139</v>
      </c>
      <c r="J5697" t="s">
        <v>136</v>
      </c>
      <c r="K5697">
        <v>0</v>
      </c>
      <c r="L5697">
        <v>3</v>
      </c>
      <c r="M5697">
        <v>0</v>
      </c>
      <c r="N5697">
        <v>2</v>
      </c>
      <c r="O5697">
        <v>1</v>
      </c>
      <c r="P5697">
        <v>0</v>
      </c>
      <c r="Q5697">
        <v>0</v>
      </c>
      <c r="S5697" t="str">
        <f t="shared" si="2654"/>
        <v>14:51:53.195</v>
      </c>
      <c r="T5697" t="str">
        <f t="shared" si="2655"/>
        <v>14:51:52.695</v>
      </c>
      <c r="U5697" t="str">
        <f t="shared" si="2624"/>
        <v>A9808D</v>
      </c>
      <c r="V5697">
        <v>0</v>
      </c>
      <c r="W5697">
        <v>0</v>
      </c>
      <c r="X5697">
        <v>1</v>
      </c>
      <c r="Z5697">
        <v>0</v>
      </c>
      <c r="AA5697">
        <v>9</v>
      </c>
      <c r="AB5697">
        <v>3</v>
      </c>
      <c r="AC5697">
        <v>0</v>
      </c>
      <c r="AD5697">
        <v>10</v>
      </c>
      <c r="AE5697">
        <v>0</v>
      </c>
      <c r="AF5697">
        <v>3</v>
      </c>
      <c r="AG5697">
        <v>2</v>
      </c>
      <c r="AH5697">
        <v>0</v>
      </c>
      <c r="AI5697" t="s">
        <v>1268</v>
      </c>
      <c r="AJ5697">
        <v>28.204156999999999</v>
      </c>
      <c r="AK5697" t="s">
        <v>355</v>
      </c>
      <c r="AL5697">
        <v>-82.383943000000002</v>
      </c>
      <c r="AM5697">
        <v>100</v>
      </c>
      <c r="AN5697">
        <v>800</v>
      </c>
      <c r="AO5697" t="s">
        <v>118</v>
      </c>
      <c r="AP5697">
        <v>92</v>
      </c>
      <c r="AQ5697">
        <v>-54</v>
      </c>
      <c r="AR5697">
        <v>-1088</v>
      </c>
      <c r="AZ5697">
        <v>1200</v>
      </c>
      <c r="BA5697">
        <v>1</v>
      </c>
      <c r="BB5697" t="str">
        <f t="shared" si="2637"/>
        <v xml:space="preserve">N711JA  </v>
      </c>
      <c r="BC5697">
        <v>1</v>
      </c>
      <c r="BE5697">
        <v>0</v>
      </c>
      <c r="BF5697">
        <v>0</v>
      </c>
      <c r="BG5697">
        <v>0</v>
      </c>
      <c r="BH5697">
        <v>825</v>
      </c>
      <c r="BI5697">
        <v>1</v>
      </c>
      <c r="BJ5697">
        <v>1</v>
      </c>
      <c r="BK5697">
        <v>0</v>
      </c>
      <c r="BL5697">
        <v>0</v>
      </c>
      <c r="BO5697">
        <v>0</v>
      </c>
      <c r="BP5697">
        <v>0</v>
      </c>
      <c r="BW5697" t="str">
        <f t="shared" si="2656"/>
        <v>14:51:53.199</v>
      </c>
      <c r="CJ5697">
        <v>0</v>
      </c>
      <c r="CK5697">
        <v>2</v>
      </c>
      <c r="CL5697">
        <v>0</v>
      </c>
      <c r="CM5697">
        <v>2</v>
      </c>
      <c r="CN5697">
        <v>0</v>
      </c>
      <c r="CO5697">
        <v>7</v>
      </c>
      <c r="CP5697" t="s">
        <v>119</v>
      </c>
      <c r="CQ5697">
        <v>343</v>
      </c>
      <c r="CR5697">
        <v>1</v>
      </c>
      <c r="CW5697">
        <v>11188690</v>
      </c>
      <c r="CY5697">
        <v>1</v>
      </c>
      <c r="CZ5697">
        <v>0</v>
      </c>
      <c r="DA5697">
        <v>1</v>
      </c>
      <c r="DB5697">
        <v>0</v>
      </c>
      <c r="DC5697">
        <v>0</v>
      </c>
      <c r="DD5697">
        <v>1</v>
      </c>
      <c r="DE5697">
        <v>0</v>
      </c>
      <c r="DF5697">
        <v>0</v>
      </c>
      <c r="DG5697">
        <v>0</v>
      </c>
      <c r="DH5697">
        <v>0</v>
      </c>
      <c r="DI5697">
        <v>0</v>
      </c>
    </row>
    <row r="5698" spans="1:113" x14ac:dyDescent="0.3">
      <c r="A5698" t="str">
        <f t="shared" si="2653"/>
        <v>05/12/2020 14:51:35.371</v>
      </c>
      <c r="C5698" t="str">
        <f t="shared" si="2636"/>
        <v>FFDFD3C0</v>
      </c>
      <c r="D5698" t="s">
        <v>113</v>
      </c>
      <c r="E5698">
        <v>3</v>
      </c>
      <c r="H5698">
        <v>164</v>
      </c>
      <c r="I5698" t="s">
        <v>114</v>
      </c>
      <c r="J5698" t="s">
        <v>115</v>
      </c>
      <c r="K5698">
        <v>0</v>
      </c>
      <c r="L5698">
        <v>3</v>
      </c>
      <c r="M5698">
        <v>0</v>
      </c>
      <c r="N5698">
        <v>2</v>
      </c>
      <c r="O5698">
        <v>1</v>
      </c>
      <c r="P5698">
        <v>0</v>
      </c>
      <c r="Q5698">
        <v>0</v>
      </c>
      <c r="S5698" t="str">
        <f t="shared" si="2654"/>
        <v>14:51:53.195</v>
      </c>
      <c r="T5698" t="str">
        <f t="shared" si="2655"/>
        <v>14:51:52.695</v>
      </c>
      <c r="U5698" t="str">
        <f t="shared" ref="U5698:U5761" si="2657">"A9808D"</f>
        <v>A9808D</v>
      </c>
      <c r="V5698">
        <v>0</v>
      </c>
      <c r="W5698">
        <v>0</v>
      </c>
      <c r="X5698">
        <v>1</v>
      </c>
      <c r="Z5698">
        <v>0</v>
      </c>
      <c r="AA5698">
        <v>9</v>
      </c>
      <c r="AB5698">
        <v>3</v>
      </c>
      <c r="AC5698">
        <v>0</v>
      </c>
      <c r="AD5698">
        <v>10</v>
      </c>
      <c r="AE5698">
        <v>0</v>
      </c>
      <c r="AF5698">
        <v>3</v>
      </c>
      <c r="AG5698">
        <v>2</v>
      </c>
      <c r="AH5698">
        <v>0</v>
      </c>
      <c r="AI5698" t="s">
        <v>1268</v>
      </c>
      <c r="AJ5698">
        <v>28.204156999999999</v>
      </c>
      <c r="AK5698" t="s">
        <v>355</v>
      </c>
      <c r="AL5698">
        <v>-82.383943000000002</v>
      </c>
      <c r="AM5698">
        <v>100</v>
      </c>
      <c r="AN5698">
        <v>800</v>
      </c>
      <c r="AO5698" t="s">
        <v>118</v>
      </c>
      <c r="AP5698">
        <v>92</v>
      </c>
      <c r="AQ5698">
        <v>-54</v>
      </c>
      <c r="AR5698">
        <v>-1088</v>
      </c>
      <c r="AZ5698">
        <v>1200</v>
      </c>
      <c r="BA5698">
        <v>1</v>
      </c>
      <c r="BB5698" t="str">
        <f t="shared" si="2637"/>
        <v xml:space="preserve">N711JA  </v>
      </c>
      <c r="BC5698">
        <v>1</v>
      </c>
      <c r="BE5698">
        <v>0</v>
      </c>
      <c r="BF5698">
        <v>0</v>
      </c>
      <c r="BG5698">
        <v>0</v>
      </c>
      <c r="BH5698">
        <v>825</v>
      </c>
      <c r="BI5698">
        <v>1</v>
      </c>
      <c r="BJ5698">
        <v>1</v>
      </c>
      <c r="BK5698">
        <v>0</v>
      </c>
      <c r="BL5698">
        <v>0</v>
      </c>
      <c r="BO5698">
        <v>0</v>
      </c>
      <c r="BP5698">
        <v>0</v>
      </c>
      <c r="BW5698" t="str">
        <f t="shared" si="2656"/>
        <v>14:51:53.199</v>
      </c>
      <c r="CJ5698">
        <v>0</v>
      </c>
      <c r="CK5698">
        <v>2</v>
      </c>
      <c r="CL5698">
        <v>0</v>
      </c>
      <c r="CM5698">
        <v>2</v>
      </c>
      <c r="CN5698">
        <v>0</v>
      </c>
      <c r="CO5698">
        <v>7</v>
      </c>
      <c r="CP5698" t="s">
        <v>119</v>
      </c>
      <c r="CQ5698">
        <v>343</v>
      </c>
      <c r="CR5698">
        <v>1</v>
      </c>
      <c r="CW5698">
        <v>11188690</v>
      </c>
      <c r="CY5698">
        <v>1</v>
      </c>
      <c r="CZ5698">
        <v>0</v>
      </c>
      <c r="DA5698">
        <v>1</v>
      </c>
      <c r="DB5698">
        <v>0</v>
      </c>
      <c r="DC5698">
        <v>0</v>
      </c>
      <c r="DD5698">
        <v>1</v>
      </c>
      <c r="DE5698">
        <v>0</v>
      </c>
      <c r="DF5698">
        <v>0</v>
      </c>
      <c r="DG5698">
        <v>0</v>
      </c>
      <c r="DH5698">
        <v>0</v>
      </c>
      <c r="DI5698">
        <v>0</v>
      </c>
    </row>
    <row r="5699" spans="1:113" x14ac:dyDescent="0.3">
      <c r="A5699" t="str">
        <f t="shared" si="2653"/>
        <v>05/12/2020 14:51:35.371</v>
      </c>
      <c r="C5699" t="str">
        <f t="shared" si="2636"/>
        <v>FFDFD3C0</v>
      </c>
      <c r="D5699" t="s">
        <v>138</v>
      </c>
      <c r="E5699">
        <v>3</v>
      </c>
      <c r="H5699">
        <v>9</v>
      </c>
      <c r="I5699" t="s">
        <v>140</v>
      </c>
      <c r="J5699" t="s">
        <v>136</v>
      </c>
      <c r="K5699">
        <v>0</v>
      </c>
      <c r="L5699">
        <v>3</v>
      </c>
      <c r="M5699">
        <v>0</v>
      </c>
      <c r="N5699">
        <v>2</v>
      </c>
      <c r="O5699">
        <v>1</v>
      </c>
      <c r="P5699">
        <v>0</v>
      </c>
      <c r="Q5699">
        <v>0</v>
      </c>
      <c r="S5699" t="str">
        <f t="shared" si="2654"/>
        <v>14:51:53.195</v>
      </c>
      <c r="T5699" t="str">
        <f t="shared" si="2655"/>
        <v>14:51:52.695</v>
      </c>
      <c r="U5699" t="str">
        <f t="shared" si="2657"/>
        <v>A9808D</v>
      </c>
      <c r="V5699">
        <v>0</v>
      </c>
      <c r="W5699">
        <v>0</v>
      </c>
      <c r="X5699">
        <v>1</v>
      </c>
      <c r="Z5699">
        <v>0</v>
      </c>
      <c r="AA5699">
        <v>9</v>
      </c>
      <c r="AB5699">
        <v>3</v>
      </c>
      <c r="AC5699">
        <v>0</v>
      </c>
      <c r="AD5699">
        <v>10</v>
      </c>
      <c r="AE5699">
        <v>0</v>
      </c>
      <c r="AF5699">
        <v>3</v>
      </c>
      <c r="AG5699">
        <v>2</v>
      </c>
      <c r="AH5699">
        <v>0</v>
      </c>
      <c r="AI5699" t="s">
        <v>1268</v>
      </c>
      <c r="AJ5699">
        <v>28.204156999999999</v>
      </c>
      <c r="AK5699" t="s">
        <v>355</v>
      </c>
      <c r="AL5699">
        <v>-82.383943000000002</v>
      </c>
      <c r="AM5699">
        <v>100</v>
      </c>
      <c r="AN5699">
        <v>800</v>
      </c>
      <c r="AO5699" t="s">
        <v>118</v>
      </c>
      <c r="AP5699">
        <v>92</v>
      </c>
      <c r="AQ5699">
        <v>-54</v>
      </c>
      <c r="AR5699">
        <v>-1088</v>
      </c>
      <c r="AZ5699">
        <v>1200</v>
      </c>
      <c r="BA5699">
        <v>1</v>
      </c>
      <c r="BB5699" t="str">
        <f t="shared" si="2637"/>
        <v xml:space="preserve">N711JA  </v>
      </c>
      <c r="BC5699">
        <v>1</v>
      </c>
      <c r="BE5699">
        <v>0</v>
      </c>
      <c r="BF5699">
        <v>0</v>
      </c>
      <c r="BG5699">
        <v>0</v>
      </c>
      <c r="BH5699">
        <v>825</v>
      </c>
      <c r="BI5699">
        <v>1</v>
      </c>
      <c r="BJ5699">
        <v>1</v>
      </c>
      <c r="BK5699">
        <v>0</v>
      </c>
      <c r="BL5699">
        <v>0</v>
      </c>
      <c r="BO5699">
        <v>0</v>
      </c>
      <c r="BP5699">
        <v>0</v>
      </c>
      <c r="BW5699" t="str">
        <f t="shared" si="2656"/>
        <v>14:51:53.199</v>
      </c>
      <c r="CJ5699">
        <v>0</v>
      </c>
      <c r="CK5699">
        <v>2</v>
      </c>
      <c r="CL5699">
        <v>0</v>
      </c>
      <c r="CM5699">
        <v>2</v>
      </c>
      <c r="CN5699">
        <v>0</v>
      </c>
      <c r="CO5699">
        <v>7</v>
      </c>
      <c r="CP5699" t="s">
        <v>119</v>
      </c>
      <c r="CQ5699">
        <v>343</v>
      </c>
      <c r="CR5699">
        <v>1</v>
      </c>
      <c r="CW5699">
        <v>11188690</v>
      </c>
      <c r="CY5699">
        <v>1</v>
      </c>
      <c r="CZ5699">
        <v>0</v>
      </c>
      <c r="DA5699">
        <v>1</v>
      </c>
      <c r="DB5699">
        <v>0</v>
      </c>
      <c r="DC5699">
        <v>0</v>
      </c>
      <c r="DD5699">
        <v>1</v>
      </c>
      <c r="DE5699">
        <v>0</v>
      </c>
      <c r="DF5699">
        <v>0</v>
      </c>
      <c r="DG5699">
        <v>0</v>
      </c>
      <c r="DH5699">
        <v>0</v>
      </c>
      <c r="DI5699">
        <v>0</v>
      </c>
    </row>
    <row r="5700" spans="1:113" x14ac:dyDescent="0.3">
      <c r="A5700" t="str">
        <f t="shared" ref="A5700:A5707" si="2658">"05/12/2020 14:51:36.349"</f>
        <v>05/12/2020 14:51:36.349</v>
      </c>
      <c r="C5700" t="str">
        <f t="shared" si="2636"/>
        <v>FFDFD3C0</v>
      </c>
      <c r="D5700" t="s">
        <v>126</v>
      </c>
      <c r="E5700">
        <v>6</v>
      </c>
      <c r="F5700">
        <v>1006</v>
      </c>
      <c r="G5700" t="s">
        <v>114</v>
      </c>
      <c r="J5700" t="s">
        <v>128</v>
      </c>
      <c r="K5700">
        <v>0</v>
      </c>
      <c r="L5700">
        <v>3</v>
      </c>
      <c r="M5700">
        <v>0</v>
      </c>
      <c r="N5700">
        <v>2</v>
      </c>
      <c r="O5700">
        <v>1</v>
      </c>
      <c r="P5700">
        <v>0</v>
      </c>
      <c r="Q5700">
        <v>0</v>
      </c>
      <c r="S5700" t="str">
        <f t="shared" ref="S5700:T5707" si="2659">"14:51:54.156"</f>
        <v>14:51:54.156</v>
      </c>
      <c r="T5700" t="str">
        <f t="shared" si="2659"/>
        <v>14:51:54.156</v>
      </c>
      <c r="U5700" t="str">
        <f t="shared" si="2657"/>
        <v>A9808D</v>
      </c>
      <c r="V5700">
        <v>0</v>
      </c>
      <c r="W5700">
        <v>0</v>
      </c>
      <c r="X5700">
        <v>1</v>
      </c>
      <c r="Z5700">
        <v>0</v>
      </c>
      <c r="AA5700">
        <v>9</v>
      </c>
      <c r="AB5700">
        <v>3</v>
      </c>
      <c r="AC5700">
        <v>0</v>
      </c>
      <c r="AD5700">
        <v>10</v>
      </c>
      <c r="AE5700">
        <v>0</v>
      </c>
      <c r="AF5700">
        <v>3</v>
      </c>
      <c r="AG5700">
        <v>2</v>
      </c>
      <c r="AH5700">
        <v>0</v>
      </c>
      <c r="AI5700" t="s">
        <v>1269</v>
      </c>
      <c r="AJ5700">
        <v>28.203921000000001</v>
      </c>
      <c r="AK5700" t="s">
        <v>349</v>
      </c>
      <c r="AL5700">
        <v>-82.383471</v>
      </c>
      <c r="AM5700">
        <v>100</v>
      </c>
      <c r="AN5700">
        <v>800</v>
      </c>
      <c r="AO5700" t="s">
        <v>118</v>
      </c>
      <c r="AP5700">
        <v>96</v>
      </c>
      <c r="AQ5700">
        <v>-47</v>
      </c>
      <c r="AR5700">
        <v>-832</v>
      </c>
      <c r="AZ5700">
        <v>1200</v>
      </c>
      <c r="BA5700">
        <v>1</v>
      </c>
      <c r="BB5700" t="str">
        <f t="shared" si="2637"/>
        <v xml:space="preserve">N711JA  </v>
      </c>
      <c r="BC5700">
        <v>1</v>
      </c>
      <c r="BE5700">
        <v>0</v>
      </c>
      <c r="BF5700">
        <v>0</v>
      </c>
      <c r="BG5700">
        <v>0</v>
      </c>
      <c r="BH5700">
        <v>825</v>
      </c>
      <c r="BI5700">
        <v>1</v>
      </c>
      <c r="BJ5700">
        <v>1</v>
      </c>
      <c r="BK5700">
        <v>0</v>
      </c>
      <c r="BL5700">
        <v>0</v>
      </c>
      <c r="BO5700">
        <v>0</v>
      </c>
      <c r="BP5700">
        <v>0</v>
      </c>
      <c r="BW5700" t="str">
        <f t="shared" ref="BW5700:BW5707" si="2660">"14:51:54.161"</f>
        <v>14:51:54.161</v>
      </c>
      <c r="CJ5700">
        <v>0</v>
      </c>
      <c r="CK5700">
        <v>2</v>
      </c>
      <c r="CL5700">
        <v>0</v>
      </c>
      <c r="CM5700">
        <v>2</v>
      </c>
      <c r="CN5700">
        <v>0</v>
      </c>
      <c r="CO5700">
        <v>6</v>
      </c>
      <c r="CP5700" t="s">
        <v>119</v>
      </c>
      <c r="CQ5700">
        <v>358</v>
      </c>
      <c r="CR5700">
        <v>0</v>
      </c>
      <c r="CW5700">
        <v>5309744</v>
      </c>
      <c r="CY5700">
        <v>0</v>
      </c>
      <c r="CZ5700">
        <v>0</v>
      </c>
      <c r="DA5700">
        <v>0</v>
      </c>
      <c r="DB5700">
        <v>0</v>
      </c>
      <c r="DC5700">
        <v>0</v>
      </c>
      <c r="DD5700">
        <v>1</v>
      </c>
      <c r="DE5700">
        <v>0</v>
      </c>
      <c r="DF5700">
        <v>0</v>
      </c>
      <c r="DG5700">
        <v>0</v>
      </c>
      <c r="DH5700">
        <v>0</v>
      </c>
      <c r="DI5700">
        <v>0</v>
      </c>
    </row>
    <row r="5701" spans="1:113" x14ac:dyDescent="0.3">
      <c r="A5701" t="str">
        <f t="shared" si="2658"/>
        <v>05/12/2020 14:51:36.349</v>
      </c>
      <c r="C5701" t="str">
        <f t="shared" si="2636"/>
        <v>FFDFD3C0</v>
      </c>
      <c r="D5701" t="s">
        <v>134</v>
      </c>
      <c r="E5701">
        <v>12</v>
      </c>
      <c r="H5701">
        <v>64</v>
      </c>
      <c r="I5701" t="s">
        <v>135</v>
      </c>
      <c r="J5701" t="s">
        <v>136</v>
      </c>
      <c r="K5701">
        <v>0</v>
      </c>
      <c r="L5701">
        <v>3</v>
      </c>
      <c r="M5701">
        <v>0</v>
      </c>
      <c r="N5701">
        <v>2</v>
      </c>
      <c r="O5701">
        <v>1</v>
      </c>
      <c r="P5701">
        <v>0</v>
      </c>
      <c r="Q5701">
        <v>0</v>
      </c>
      <c r="S5701" t="str">
        <f t="shared" si="2659"/>
        <v>14:51:54.156</v>
      </c>
      <c r="T5701" t="str">
        <f t="shared" si="2659"/>
        <v>14:51:54.156</v>
      </c>
      <c r="U5701" t="str">
        <f t="shared" si="2657"/>
        <v>A9808D</v>
      </c>
      <c r="V5701">
        <v>0</v>
      </c>
      <c r="W5701">
        <v>0</v>
      </c>
      <c r="X5701">
        <v>1</v>
      </c>
      <c r="Z5701">
        <v>0</v>
      </c>
      <c r="AA5701">
        <v>9</v>
      </c>
      <c r="AB5701">
        <v>3</v>
      </c>
      <c r="AC5701">
        <v>0</v>
      </c>
      <c r="AD5701">
        <v>10</v>
      </c>
      <c r="AE5701">
        <v>0</v>
      </c>
      <c r="AF5701">
        <v>3</v>
      </c>
      <c r="AG5701">
        <v>2</v>
      </c>
      <c r="AH5701">
        <v>0</v>
      </c>
      <c r="AI5701" t="s">
        <v>1269</v>
      </c>
      <c r="AJ5701">
        <v>28.203921000000001</v>
      </c>
      <c r="AK5701" t="s">
        <v>349</v>
      </c>
      <c r="AL5701">
        <v>-82.383471</v>
      </c>
      <c r="AM5701">
        <v>100</v>
      </c>
      <c r="AN5701">
        <v>800</v>
      </c>
      <c r="AO5701" t="s">
        <v>118</v>
      </c>
      <c r="AP5701">
        <v>96</v>
      </c>
      <c r="AQ5701">
        <v>-47</v>
      </c>
      <c r="AR5701">
        <v>-832</v>
      </c>
      <c r="AZ5701">
        <v>1200</v>
      </c>
      <c r="BA5701">
        <v>1</v>
      </c>
      <c r="BB5701" t="str">
        <f t="shared" si="2637"/>
        <v xml:space="preserve">N711JA  </v>
      </c>
      <c r="BC5701">
        <v>1</v>
      </c>
      <c r="BE5701">
        <v>0</v>
      </c>
      <c r="BF5701">
        <v>0</v>
      </c>
      <c r="BG5701">
        <v>0</v>
      </c>
      <c r="BH5701">
        <v>825</v>
      </c>
      <c r="BI5701">
        <v>1</v>
      </c>
      <c r="BJ5701">
        <v>1</v>
      </c>
      <c r="BK5701">
        <v>0</v>
      </c>
      <c r="BL5701">
        <v>0</v>
      </c>
      <c r="BO5701">
        <v>0</v>
      </c>
      <c r="BP5701">
        <v>0</v>
      </c>
      <c r="BW5701" t="str">
        <f t="shared" si="2660"/>
        <v>14:51:54.161</v>
      </c>
      <c r="CJ5701">
        <v>0</v>
      </c>
      <c r="CK5701">
        <v>2</v>
      </c>
      <c r="CL5701">
        <v>0</v>
      </c>
      <c r="CM5701">
        <v>2</v>
      </c>
      <c r="CN5701">
        <v>0</v>
      </c>
      <c r="CO5701">
        <v>6</v>
      </c>
      <c r="CP5701" t="s">
        <v>119</v>
      </c>
      <c r="CQ5701">
        <v>358</v>
      </c>
      <c r="CR5701">
        <v>0</v>
      </c>
      <c r="CW5701">
        <v>5309744</v>
      </c>
      <c r="CY5701">
        <v>0</v>
      </c>
      <c r="CZ5701">
        <v>0</v>
      </c>
      <c r="DA5701">
        <v>1</v>
      </c>
      <c r="DB5701">
        <v>0</v>
      </c>
      <c r="DC5701">
        <v>0</v>
      </c>
      <c r="DD5701">
        <v>1</v>
      </c>
      <c r="DE5701">
        <v>0</v>
      </c>
      <c r="DF5701">
        <v>0</v>
      </c>
      <c r="DG5701">
        <v>0</v>
      </c>
      <c r="DH5701">
        <v>0</v>
      </c>
      <c r="DI5701">
        <v>0</v>
      </c>
    </row>
    <row r="5702" spans="1:113" x14ac:dyDescent="0.3">
      <c r="A5702" t="str">
        <f t="shared" si="2658"/>
        <v>05/12/2020 14:51:36.349</v>
      </c>
      <c r="C5702" t="str">
        <f t="shared" si="2636"/>
        <v>FFDFD3C0</v>
      </c>
      <c r="D5702" t="s">
        <v>113</v>
      </c>
      <c r="E5702">
        <v>3</v>
      </c>
      <c r="H5702">
        <v>164</v>
      </c>
      <c r="I5702" t="s">
        <v>114</v>
      </c>
      <c r="J5702" t="s">
        <v>115</v>
      </c>
      <c r="K5702">
        <v>0</v>
      </c>
      <c r="L5702">
        <v>3</v>
      </c>
      <c r="M5702">
        <v>0</v>
      </c>
      <c r="N5702">
        <v>2</v>
      </c>
      <c r="O5702">
        <v>1</v>
      </c>
      <c r="P5702">
        <v>0</v>
      </c>
      <c r="Q5702">
        <v>0</v>
      </c>
      <c r="S5702" t="str">
        <f t="shared" si="2659"/>
        <v>14:51:54.156</v>
      </c>
      <c r="T5702" t="str">
        <f t="shared" si="2659"/>
        <v>14:51:54.156</v>
      </c>
      <c r="U5702" t="str">
        <f t="shared" si="2657"/>
        <v>A9808D</v>
      </c>
      <c r="V5702">
        <v>0</v>
      </c>
      <c r="W5702">
        <v>0</v>
      </c>
      <c r="X5702">
        <v>1</v>
      </c>
      <c r="Z5702">
        <v>0</v>
      </c>
      <c r="AA5702">
        <v>9</v>
      </c>
      <c r="AB5702">
        <v>3</v>
      </c>
      <c r="AC5702">
        <v>0</v>
      </c>
      <c r="AD5702">
        <v>10</v>
      </c>
      <c r="AE5702">
        <v>0</v>
      </c>
      <c r="AF5702">
        <v>3</v>
      </c>
      <c r="AG5702">
        <v>2</v>
      </c>
      <c r="AH5702">
        <v>0</v>
      </c>
      <c r="AI5702" t="s">
        <v>1269</v>
      </c>
      <c r="AJ5702">
        <v>28.203921000000001</v>
      </c>
      <c r="AK5702" t="s">
        <v>349</v>
      </c>
      <c r="AL5702">
        <v>-82.383471</v>
      </c>
      <c r="AM5702">
        <v>100</v>
      </c>
      <c r="AN5702">
        <v>800</v>
      </c>
      <c r="AO5702" t="s">
        <v>118</v>
      </c>
      <c r="AP5702">
        <v>96</v>
      </c>
      <c r="AQ5702">
        <v>-47</v>
      </c>
      <c r="AR5702">
        <v>-832</v>
      </c>
      <c r="AZ5702">
        <v>1200</v>
      </c>
      <c r="BA5702">
        <v>1</v>
      </c>
      <c r="BB5702" t="str">
        <f t="shared" si="2637"/>
        <v xml:space="preserve">N711JA  </v>
      </c>
      <c r="BC5702">
        <v>1</v>
      </c>
      <c r="BE5702">
        <v>0</v>
      </c>
      <c r="BF5702">
        <v>0</v>
      </c>
      <c r="BG5702">
        <v>0</v>
      </c>
      <c r="BH5702">
        <v>825</v>
      </c>
      <c r="BI5702">
        <v>1</v>
      </c>
      <c r="BJ5702">
        <v>1</v>
      </c>
      <c r="BK5702">
        <v>0</v>
      </c>
      <c r="BL5702">
        <v>0</v>
      </c>
      <c r="BO5702">
        <v>0</v>
      </c>
      <c r="BP5702">
        <v>0</v>
      </c>
      <c r="BW5702" t="str">
        <f t="shared" si="2660"/>
        <v>14:51:54.161</v>
      </c>
      <c r="CJ5702">
        <v>0</v>
      </c>
      <c r="CK5702">
        <v>2</v>
      </c>
      <c r="CL5702">
        <v>0</v>
      </c>
      <c r="CM5702">
        <v>2</v>
      </c>
      <c r="CN5702">
        <v>0</v>
      </c>
      <c r="CO5702">
        <v>6</v>
      </c>
      <c r="CP5702" t="s">
        <v>119</v>
      </c>
      <c r="CQ5702">
        <v>343</v>
      </c>
      <c r="CR5702">
        <v>1</v>
      </c>
      <c r="CW5702">
        <v>11189602</v>
      </c>
      <c r="CY5702">
        <v>0</v>
      </c>
      <c r="CZ5702">
        <v>0</v>
      </c>
      <c r="DA5702">
        <v>1</v>
      </c>
      <c r="DB5702">
        <v>0</v>
      </c>
      <c r="DC5702">
        <v>0</v>
      </c>
      <c r="DD5702">
        <v>1</v>
      </c>
      <c r="DE5702">
        <v>0</v>
      </c>
      <c r="DF5702">
        <v>0</v>
      </c>
      <c r="DG5702">
        <v>0</v>
      </c>
      <c r="DH5702">
        <v>0</v>
      </c>
      <c r="DI5702">
        <v>0</v>
      </c>
    </row>
    <row r="5703" spans="1:113" x14ac:dyDescent="0.3">
      <c r="A5703" t="str">
        <f t="shared" si="2658"/>
        <v>05/12/2020 14:51:36.349</v>
      </c>
      <c r="C5703" t="str">
        <f t="shared" si="2636"/>
        <v>FFDFD3C0</v>
      </c>
      <c r="D5703" t="s">
        <v>138</v>
      </c>
      <c r="E5703">
        <v>2</v>
      </c>
      <c r="H5703">
        <v>8</v>
      </c>
      <c r="I5703" t="s">
        <v>139</v>
      </c>
      <c r="J5703" t="s">
        <v>136</v>
      </c>
      <c r="K5703">
        <v>0</v>
      </c>
      <c r="L5703">
        <v>3</v>
      </c>
      <c r="M5703">
        <v>0</v>
      </c>
      <c r="N5703">
        <v>2</v>
      </c>
      <c r="O5703">
        <v>1</v>
      </c>
      <c r="P5703">
        <v>0</v>
      </c>
      <c r="Q5703">
        <v>0</v>
      </c>
      <c r="S5703" t="str">
        <f t="shared" si="2659"/>
        <v>14:51:54.156</v>
      </c>
      <c r="T5703" t="str">
        <f t="shared" si="2659"/>
        <v>14:51:54.156</v>
      </c>
      <c r="U5703" t="str">
        <f t="shared" si="2657"/>
        <v>A9808D</v>
      </c>
      <c r="V5703">
        <v>0</v>
      </c>
      <c r="W5703">
        <v>0</v>
      </c>
      <c r="X5703">
        <v>1</v>
      </c>
      <c r="Z5703">
        <v>0</v>
      </c>
      <c r="AA5703">
        <v>9</v>
      </c>
      <c r="AB5703">
        <v>3</v>
      </c>
      <c r="AC5703">
        <v>0</v>
      </c>
      <c r="AD5703">
        <v>10</v>
      </c>
      <c r="AE5703">
        <v>0</v>
      </c>
      <c r="AF5703">
        <v>3</v>
      </c>
      <c r="AG5703">
        <v>2</v>
      </c>
      <c r="AH5703">
        <v>0</v>
      </c>
      <c r="AI5703" t="s">
        <v>1269</v>
      </c>
      <c r="AJ5703">
        <v>28.203921000000001</v>
      </c>
      <c r="AK5703" t="s">
        <v>349</v>
      </c>
      <c r="AL5703">
        <v>-82.383471</v>
      </c>
      <c r="AM5703">
        <v>100</v>
      </c>
      <c r="AN5703">
        <v>800</v>
      </c>
      <c r="AO5703" t="s">
        <v>118</v>
      </c>
      <c r="AP5703">
        <v>96</v>
      </c>
      <c r="AQ5703">
        <v>-47</v>
      </c>
      <c r="AR5703">
        <v>-832</v>
      </c>
      <c r="AZ5703">
        <v>1200</v>
      </c>
      <c r="BA5703">
        <v>1</v>
      </c>
      <c r="BB5703" t="str">
        <f t="shared" si="2637"/>
        <v xml:space="preserve">N711JA  </v>
      </c>
      <c r="BC5703">
        <v>1</v>
      </c>
      <c r="BE5703">
        <v>0</v>
      </c>
      <c r="BF5703">
        <v>0</v>
      </c>
      <c r="BG5703">
        <v>0</v>
      </c>
      <c r="BH5703">
        <v>825</v>
      </c>
      <c r="BI5703">
        <v>1</v>
      </c>
      <c r="BJ5703">
        <v>1</v>
      </c>
      <c r="BK5703">
        <v>0</v>
      </c>
      <c r="BL5703">
        <v>0</v>
      </c>
      <c r="BO5703">
        <v>0</v>
      </c>
      <c r="BP5703">
        <v>0</v>
      </c>
      <c r="BW5703" t="str">
        <f t="shared" si="2660"/>
        <v>14:51:54.161</v>
      </c>
      <c r="CJ5703">
        <v>0</v>
      </c>
      <c r="CK5703">
        <v>2</v>
      </c>
      <c r="CL5703">
        <v>0</v>
      </c>
      <c r="CM5703">
        <v>2</v>
      </c>
      <c r="CN5703">
        <v>0</v>
      </c>
      <c r="CO5703">
        <v>6</v>
      </c>
      <c r="CP5703" t="s">
        <v>119</v>
      </c>
      <c r="CQ5703">
        <v>343</v>
      </c>
      <c r="CR5703">
        <v>1</v>
      </c>
      <c r="CW5703">
        <v>11189602</v>
      </c>
      <c r="CY5703">
        <v>0</v>
      </c>
      <c r="CZ5703">
        <v>0</v>
      </c>
      <c r="DA5703">
        <v>1</v>
      </c>
      <c r="DB5703">
        <v>0</v>
      </c>
      <c r="DC5703">
        <v>0</v>
      </c>
      <c r="DD5703">
        <v>1</v>
      </c>
      <c r="DE5703">
        <v>0</v>
      </c>
      <c r="DF5703">
        <v>0</v>
      </c>
      <c r="DG5703">
        <v>0</v>
      </c>
      <c r="DH5703">
        <v>0</v>
      </c>
      <c r="DI5703">
        <v>0</v>
      </c>
    </row>
    <row r="5704" spans="1:113" x14ac:dyDescent="0.3">
      <c r="A5704" t="str">
        <f t="shared" si="2658"/>
        <v>05/12/2020 14:51:36.349</v>
      </c>
      <c r="C5704" t="str">
        <f t="shared" si="2636"/>
        <v>FFDFD3C0</v>
      </c>
      <c r="D5704" t="s">
        <v>138</v>
      </c>
      <c r="E5704">
        <v>3</v>
      </c>
      <c r="H5704">
        <v>9</v>
      </c>
      <c r="I5704" t="s">
        <v>140</v>
      </c>
      <c r="J5704" t="s">
        <v>136</v>
      </c>
      <c r="K5704">
        <v>0</v>
      </c>
      <c r="L5704">
        <v>3</v>
      </c>
      <c r="M5704">
        <v>0</v>
      </c>
      <c r="N5704">
        <v>2</v>
      </c>
      <c r="O5704">
        <v>1</v>
      </c>
      <c r="P5704">
        <v>0</v>
      </c>
      <c r="Q5704">
        <v>0</v>
      </c>
      <c r="S5704" t="str">
        <f t="shared" si="2659"/>
        <v>14:51:54.156</v>
      </c>
      <c r="T5704" t="str">
        <f t="shared" si="2659"/>
        <v>14:51:54.156</v>
      </c>
      <c r="U5704" t="str">
        <f t="shared" si="2657"/>
        <v>A9808D</v>
      </c>
      <c r="V5704">
        <v>0</v>
      </c>
      <c r="W5704">
        <v>0</v>
      </c>
      <c r="X5704">
        <v>1</v>
      </c>
      <c r="Z5704">
        <v>0</v>
      </c>
      <c r="AA5704">
        <v>9</v>
      </c>
      <c r="AB5704">
        <v>3</v>
      </c>
      <c r="AC5704">
        <v>0</v>
      </c>
      <c r="AD5704">
        <v>10</v>
      </c>
      <c r="AE5704">
        <v>0</v>
      </c>
      <c r="AF5704">
        <v>3</v>
      </c>
      <c r="AG5704">
        <v>2</v>
      </c>
      <c r="AH5704">
        <v>0</v>
      </c>
      <c r="AI5704" t="s">
        <v>1269</v>
      </c>
      <c r="AJ5704">
        <v>28.203921000000001</v>
      </c>
      <c r="AK5704" t="s">
        <v>349</v>
      </c>
      <c r="AL5704">
        <v>-82.383471</v>
      </c>
      <c r="AM5704">
        <v>100</v>
      </c>
      <c r="AN5704">
        <v>800</v>
      </c>
      <c r="AO5704" t="s">
        <v>118</v>
      </c>
      <c r="AP5704">
        <v>96</v>
      </c>
      <c r="AQ5704">
        <v>-47</v>
      </c>
      <c r="AR5704">
        <v>-832</v>
      </c>
      <c r="AZ5704">
        <v>1200</v>
      </c>
      <c r="BA5704">
        <v>1</v>
      </c>
      <c r="BB5704" t="str">
        <f t="shared" si="2637"/>
        <v xml:space="preserve">N711JA  </v>
      </c>
      <c r="BC5704">
        <v>1</v>
      </c>
      <c r="BE5704">
        <v>0</v>
      </c>
      <c r="BF5704">
        <v>0</v>
      </c>
      <c r="BG5704">
        <v>0</v>
      </c>
      <c r="BH5704">
        <v>825</v>
      </c>
      <c r="BI5704">
        <v>1</v>
      </c>
      <c r="BJ5704">
        <v>1</v>
      </c>
      <c r="BK5704">
        <v>0</v>
      </c>
      <c r="BL5704">
        <v>0</v>
      </c>
      <c r="BO5704">
        <v>0</v>
      </c>
      <c r="BP5704">
        <v>0</v>
      </c>
      <c r="BW5704" t="str">
        <f t="shared" si="2660"/>
        <v>14:51:54.161</v>
      </c>
      <c r="CJ5704">
        <v>0</v>
      </c>
      <c r="CK5704">
        <v>2</v>
      </c>
      <c r="CL5704">
        <v>0</v>
      </c>
      <c r="CM5704">
        <v>2</v>
      </c>
      <c r="CN5704">
        <v>0</v>
      </c>
      <c r="CO5704">
        <v>6</v>
      </c>
      <c r="CP5704" t="s">
        <v>119</v>
      </c>
      <c r="CQ5704">
        <v>358</v>
      </c>
      <c r="CR5704">
        <v>0</v>
      </c>
      <c r="CW5704">
        <v>5309744</v>
      </c>
      <c r="CY5704">
        <v>0</v>
      </c>
      <c r="CZ5704">
        <v>0</v>
      </c>
      <c r="DA5704">
        <v>1</v>
      </c>
      <c r="DB5704">
        <v>0</v>
      </c>
      <c r="DC5704">
        <v>0</v>
      </c>
      <c r="DD5704">
        <v>1</v>
      </c>
      <c r="DE5704">
        <v>0</v>
      </c>
      <c r="DF5704">
        <v>0</v>
      </c>
      <c r="DG5704">
        <v>0</v>
      </c>
      <c r="DH5704">
        <v>0</v>
      </c>
      <c r="DI5704">
        <v>0</v>
      </c>
    </row>
    <row r="5705" spans="1:113" x14ac:dyDescent="0.3">
      <c r="A5705" t="str">
        <f t="shared" si="2658"/>
        <v>05/12/2020 14:51:36.349</v>
      </c>
      <c r="C5705" t="str">
        <f t="shared" si="2636"/>
        <v>FFDFD3C0</v>
      </c>
      <c r="D5705" t="s">
        <v>126</v>
      </c>
      <c r="E5705">
        <v>7</v>
      </c>
      <c r="F5705">
        <v>1007</v>
      </c>
      <c r="G5705" t="s">
        <v>127</v>
      </c>
      <c r="J5705" t="s">
        <v>128</v>
      </c>
      <c r="K5705">
        <v>0</v>
      </c>
      <c r="L5705">
        <v>3</v>
      </c>
      <c r="M5705">
        <v>0</v>
      </c>
      <c r="N5705">
        <v>2</v>
      </c>
      <c r="O5705">
        <v>1</v>
      </c>
      <c r="P5705">
        <v>0</v>
      </c>
      <c r="Q5705">
        <v>0</v>
      </c>
      <c r="S5705" t="str">
        <f t="shared" si="2659"/>
        <v>14:51:54.156</v>
      </c>
      <c r="T5705" t="str">
        <f t="shared" si="2659"/>
        <v>14:51:54.156</v>
      </c>
      <c r="U5705" t="str">
        <f t="shared" si="2657"/>
        <v>A9808D</v>
      </c>
      <c r="V5705">
        <v>0</v>
      </c>
      <c r="W5705">
        <v>0</v>
      </c>
      <c r="X5705">
        <v>1</v>
      </c>
      <c r="Z5705">
        <v>0</v>
      </c>
      <c r="AA5705">
        <v>9</v>
      </c>
      <c r="AB5705">
        <v>3</v>
      </c>
      <c r="AC5705">
        <v>0</v>
      </c>
      <c r="AD5705">
        <v>10</v>
      </c>
      <c r="AE5705">
        <v>0</v>
      </c>
      <c r="AF5705">
        <v>3</v>
      </c>
      <c r="AG5705">
        <v>2</v>
      </c>
      <c r="AH5705">
        <v>0</v>
      </c>
      <c r="AI5705" t="s">
        <v>1269</v>
      </c>
      <c r="AJ5705">
        <v>28.203921000000001</v>
      </c>
      <c r="AK5705" t="s">
        <v>349</v>
      </c>
      <c r="AL5705">
        <v>-82.383471</v>
      </c>
      <c r="AM5705">
        <v>100</v>
      </c>
      <c r="AN5705">
        <v>800</v>
      </c>
      <c r="AO5705" t="s">
        <v>118</v>
      </c>
      <c r="AP5705">
        <v>96</v>
      </c>
      <c r="AQ5705">
        <v>-47</v>
      </c>
      <c r="AR5705">
        <v>-832</v>
      </c>
      <c r="AZ5705">
        <v>1200</v>
      </c>
      <c r="BA5705">
        <v>1</v>
      </c>
      <c r="BB5705" t="str">
        <f t="shared" si="2637"/>
        <v xml:space="preserve">N711JA  </v>
      </c>
      <c r="BC5705">
        <v>1</v>
      </c>
      <c r="BE5705">
        <v>0</v>
      </c>
      <c r="BF5705">
        <v>0</v>
      </c>
      <c r="BG5705">
        <v>0</v>
      </c>
      <c r="BH5705">
        <v>825</v>
      </c>
      <c r="BI5705">
        <v>1</v>
      </c>
      <c r="BJ5705">
        <v>1</v>
      </c>
      <c r="BK5705">
        <v>0</v>
      </c>
      <c r="BL5705">
        <v>0</v>
      </c>
      <c r="BO5705">
        <v>0</v>
      </c>
      <c r="BP5705">
        <v>0</v>
      </c>
      <c r="BW5705" t="str">
        <f t="shared" si="2660"/>
        <v>14:51:54.161</v>
      </c>
      <c r="CJ5705">
        <v>0</v>
      </c>
      <c r="CK5705">
        <v>2</v>
      </c>
      <c r="CL5705">
        <v>0</v>
      </c>
      <c r="CM5705">
        <v>2</v>
      </c>
      <c r="CN5705">
        <v>0</v>
      </c>
      <c r="CO5705">
        <v>6</v>
      </c>
      <c r="CP5705" t="s">
        <v>119</v>
      </c>
      <c r="CQ5705">
        <v>358</v>
      </c>
      <c r="CR5705">
        <v>0</v>
      </c>
      <c r="CW5705">
        <v>5309744</v>
      </c>
      <c r="CY5705">
        <v>0</v>
      </c>
      <c r="CZ5705">
        <v>0</v>
      </c>
      <c r="DA5705">
        <v>1</v>
      </c>
      <c r="DB5705">
        <v>0</v>
      </c>
      <c r="DC5705">
        <v>0</v>
      </c>
      <c r="DD5705">
        <v>1</v>
      </c>
      <c r="DE5705">
        <v>0</v>
      </c>
      <c r="DF5705">
        <v>0</v>
      </c>
      <c r="DG5705">
        <v>0</v>
      </c>
      <c r="DH5705">
        <v>0</v>
      </c>
      <c r="DI5705">
        <v>0</v>
      </c>
    </row>
    <row r="5706" spans="1:113" x14ac:dyDescent="0.3">
      <c r="A5706" t="str">
        <f t="shared" si="2658"/>
        <v>05/12/2020 14:51:36.349</v>
      </c>
      <c r="C5706" t="str">
        <f t="shared" si="2636"/>
        <v>FFDFD3C0</v>
      </c>
      <c r="D5706" t="s">
        <v>131</v>
      </c>
      <c r="E5706">
        <v>10</v>
      </c>
      <c r="F5706">
        <v>2010</v>
      </c>
      <c r="G5706" t="s">
        <v>132</v>
      </c>
      <c r="J5706" t="s">
        <v>133</v>
      </c>
      <c r="K5706">
        <v>0</v>
      </c>
      <c r="L5706">
        <v>3</v>
      </c>
      <c r="M5706">
        <v>0</v>
      </c>
      <c r="N5706">
        <v>2</v>
      </c>
      <c r="O5706">
        <v>1</v>
      </c>
      <c r="P5706">
        <v>0</v>
      </c>
      <c r="Q5706">
        <v>0</v>
      </c>
      <c r="S5706" t="str">
        <f t="shared" si="2659"/>
        <v>14:51:54.156</v>
      </c>
      <c r="T5706" t="str">
        <f t="shared" si="2659"/>
        <v>14:51:54.156</v>
      </c>
      <c r="U5706" t="str">
        <f t="shared" si="2657"/>
        <v>A9808D</v>
      </c>
      <c r="V5706">
        <v>0</v>
      </c>
      <c r="W5706">
        <v>0</v>
      </c>
      <c r="X5706">
        <v>1</v>
      </c>
      <c r="Z5706">
        <v>0</v>
      </c>
      <c r="AA5706">
        <v>9</v>
      </c>
      <c r="AB5706">
        <v>3</v>
      </c>
      <c r="AC5706">
        <v>0</v>
      </c>
      <c r="AD5706">
        <v>10</v>
      </c>
      <c r="AE5706">
        <v>0</v>
      </c>
      <c r="AF5706">
        <v>3</v>
      </c>
      <c r="AG5706">
        <v>2</v>
      </c>
      <c r="AH5706">
        <v>0</v>
      </c>
      <c r="AI5706" t="s">
        <v>1269</v>
      </c>
      <c r="AJ5706">
        <v>28.203921000000001</v>
      </c>
      <c r="AK5706" t="s">
        <v>349</v>
      </c>
      <c r="AL5706">
        <v>-82.383471</v>
      </c>
      <c r="AM5706">
        <v>100</v>
      </c>
      <c r="AN5706">
        <v>800</v>
      </c>
      <c r="AO5706" t="s">
        <v>118</v>
      </c>
      <c r="AP5706">
        <v>96</v>
      </c>
      <c r="AQ5706">
        <v>-47</v>
      </c>
      <c r="AR5706">
        <v>-832</v>
      </c>
      <c r="AZ5706">
        <v>1200</v>
      </c>
      <c r="BA5706">
        <v>1</v>
      </c>
      <c r="BB5706" t="str">
        <f t="shared" si="2637"/>
        <v xml:space="preserve">N711JA  </v>
      </c>
      <c r="BC5706">
        <v>1</v>
      </c>
      <c r="BE5706">
        <v>0</v>
      </c>
      <c r="BF5706">
        <v>0</v>
      </c>
      <c r="BG5706">
        <v>0</v>
      </c>
      <c r="BH5706">
        <v>825</v>
      </c>
      <c r="BI5706">
        <v>1</v>
      </c>
      <c r="BJ5706">
        <v>1</v>
      </c>
      <c r="BK5706">
        <v>0</v>
      </c>
      <c r="BL5706">
        <v>0</v>
      </c>
      <c r="BO5706">
        <v>0</v>
      </c>
      <c r="BP5706">
        <v>0</v>
      </c>
      <c r="BW5706" t="str">
        <f t="shared" si="2660"/>
        <v>14:51:54.161</v>
      </c>
      <c r="CJ5706">
        <v>0</v>
      </c>
      <c r="CK5706">
        <v>2</v>
      </c>
      <c r="CL5706">
        <v>0</v>
      </c>
      <c r="CM5706">
        <v>2</v>
      </c>
      <c r="CN5706">
        <v>0</v>
      </c>
      <c r="CO5706">
        <v>6</v>
      </c>
      <c r="CP5706" t="s">
        <v>119</v>
      </c>
      <c r="CQ5706">
        <v>358</v>
      </c>
      <c r="CR5706">
        <v>0</v>
      </c>
      <c r="CW5706">
        <v>5309744</v>
      </c>
      <c r="CY5706">
        <v>0</v>
      </c>
      <c r="CZ5706">
        <v>0</v>
      </c>
      <c r="DA5706">
        <v>1</v>
      </c>
      <c r="DB5706">
        <v>0</v>
      </c>
      <c r="DC5706">
        <v>0</v>
      </c>
      <c r="DD5706">
        <v>1</v>
      </c>
      <c r="DE5706">
        <v>0</v>
      </c>
      <c r="DF5706">
        <v>0</v>
      </c>
      <c r="DG5706">
        <v>0</v>
      </c>
      <c r="DH5706">
        <v>0</v>
      </c>
      <c r="DI5706">
        <v>0</v>
      </c>
    </row>
    <row r="5707" spans="1:113" x14ac:dyDescent="0.3">
      <c r="A5707" t="str">
        <f t="shared" si="2658"/>
        <v>05/12/2020 14:51:36.349</v>
      </c>
      <c r="C5707" t="str">
        <f t="shared" si="2636"/>
        <v>FFDFD3C0</v>
      </c>
      <c r="D5707" t="s">
        <v>131</v>
      </c>
      <c r="E5707">
        <v>12</v>
      </c>
      <c r="F5707">
        <v>2012</v>
      </c>
      <c r="G5707" t="s">
        <v>137</v>
      </c>
      <c r="J5707" t="s">
        <v>133</v>
      </c>
      <c r="K5707">
        <v>0</v>
      </c>
      <c r="L5707">
        <v>3</v>
      </c>
      <c r="M5707">
        <v>0</v>
      </c>
      <c r="N5707">
        <v>2</v>
      </c>
      <c r="O5707">
        <v>1</v>
      </c>
      <c r="P5707">
        <v>0</v>
      </c>
      <c r="Q5707">
        <v>0</v>
      </c>
      <c r="S5707" t="str">
        <f t="shared" si="2659"/>
        <v>14:51:54.156</v>
      </c>
      <c r="T5707" t="str">
        <f t="shared" si="2659"/>
        <v>14:51:54.156</v>
      </c>
      <c r="U5707" t="str">
        <f t="shared" si="2657"/>
        <v>A9808D</v>
      </c>
      <c r="V5707">
        <v>0</v>
      </c>
      <c r="W5707">
        <v>0</v>
      </c>
      <c r="X5707">
        <v>1</v>
      </c>
      <c r="Z5707">
        <v>0</v>
      </c>
      <c r="AA5707">
        <v>9</v>
      </c>
      <c r="AB5707">
        <v>3</v>
      </c>
      <c r="AC5707">
        <v>0</v>
      </c>
      <c r="AD5707">
        <v>10</v>
      </c>
      <c r="AE5707">
        <v>0</v>
      </c>
      <c r="AF5707">
        <v>3</v>
      </c>
      <c r="AG5707">
        <v>2</v>
      </c>
      <c r="AH5707">
        <v>0</v>
      </c>
      <c r="AI5707" t="s">
        <v>1269</v>
      </c>
      <c r="AJ5707">
        <v>28.203921000000001</v>
      </c>
      <c r="AK5707" t="s">
        <v>349</v>
      </c>
      <c r="AL5707">
        <v>-82.383471</v>
      </c>
      <c r="AM5707">
        <v>100</v>
      </c>
      <c r="AN5707">
        <v>800</v>
      </c>
      <c r="AO5707" t="s">
        <v>118</v>
      </c>
      <c r="AP5707">
        <v>96</v>
      </c>
      <c r="AQ5707">
        <v>-47</v>
      </c>
      <c r="AR5707">
        <v>-832</v>
      </c>
      <c r="AZ5707">
        <v>1200</v>
      </c>
      <c r="BA5707">
        <v>1</v>
      </c>
      <c r="BB5707" t="str">
        <f t="shared" si="2637"/>
        <v xml:space="preserve">N711JA  </v>
      </c>
      <c r="BC5707">
        <v>1</v>
      </c>
      <c r="BE5707">
        <v>0</v>
      </c>
      <c r="BF5707">
        <v>0</v>
      </c>
      <c r="BG5707">
        <v>0</v>
      </c>
      <c r="BH5707">
        <v>825</v>
      </c>
      <c r="BI5707">
        <v>1</v>
      </c>
      <c r="BJ5707">
        <v>1</v>
      </c>
      <c r="BK5707">
        <v>0</v>
      </c>
      <c r="BL5707">
        <v>0</v>
      </c>
      <c r="BO5707">
        <v>0</v>
      </c>
      <c r="BP5707">
        <v>0</v>
      </c>
      <c r="BW5707" t="str">
        <f t="shared" si="2660"/>
        <v>14:51:54.161</v>
      </c>
      <c r="CJ5707">
        <v>0</v>
      </c>
      <c r="CK5707">
        <v>2</v>
      </c>
      <c r="CL5707">
        <v>0</v>
      </c>
      <c r="CM5707">
        <v>2</v>
      </c>
      <c r="CN5707">
        <v>0</v>
      </c>
      <c r="CO5707">
        <v>6</v>
      </c>
      <c r="CP5707" t="s">
        <v>119</v>
      </c>
      <c r="CQ5707">
        <v>343</v>
      </c>
      <c r="CR5707">
        <v>1</v>
      </c>
      <c r="CW5707">
        <v>11189602</v>
      </c>
      <c r="CY5707">
        <v>0</v>
      </c>
      <c r="CZ5707">
        <v>0</v>
      </c>
      <c r="DA5707">
        <v>1</v>
      </c>
      <c r="DB5707">
        <v>0</v>
      </c>
      <c r="DC5707">
        <v>0</v>
      </c>
      <c r="DD5707">
        <v>1</v>
      </c>
      <c r="DE5707">
        <v>0</v>
      </c>
      <c r="DF5707">
        <v>0</v>
      </c>
      <c r="DG5707">
        <v>0</v>
      </c>
      <c r="DH5707">
        <v>0</v>
      </c>
      <c r="DI5707">
        <v>0</v>
      </c>
    </row>
    <row r="5708" spans="1:113" x14ac:dyDescent="0.3">
      <c r="A5708" t="str">
        <f t="shared" ref="A5708:A5715" si="2661">"05/12/2020 14:51:37.437"</f>
        <v>05/12/2020 14:51:37.437</v>
      </c>
      <c r="C5708" t="str">
        <f t="shared" si="2636"/>
        <v>FFDFD3C0</v>
      </c>
      <c r="D5708" t="s">
        <v>126</v>
      </c>
      <c r="E5708">
        <v>7</v>
      </c>
      <c r="F5708">
        <v>1007</v>
      </c>
      <c r="G5708" t="s">
        <v>127</v>
      </c>
      <c r="J5708" t="s">
        <v>128</v>
      </c>
      <c r="K5708">
        <v>0</v>
      </c>
      <c r="L5708">
        <v>3</v>
      </c>
      <c r="M5708">
        <v>0</v>
      </c>
      <c r="N5708">
        <v>2</v>
      </c>
      <c r="O5708">
        <v>1</v>
      </c>
      <c r="P5708">
        <v>0</v>
      </c>
      <c r="Q5708">
        <v>0</v>
      </c>
      <c r="S5708" t="str">
        <f t="shared" ref="S5708:S5715" si="2662">"14:51:55.273"</f>
        <v>14:51:55.273</v>
      </c>
      <c r="T5708" t="str">
        <f t="shared" ref="T5708:T5715" si="2663">"14:51:55.073"</f>
        <v>14:51:55.073</v>
      </c>
      <c r="U5708" t="str">
        <f t="shared" si="2657"/>
        <v>A9808D</v>
      </c>
      <c r="V5708">
        <v>0</v>
      </c>
      <c r="W5708">
        <v>0</v>
      </c>
      <c r="X5708">
        <v>1</v>
      </c>
      <c r="Z5708">
        <v>0</v>
      </c>
      <c r="AA5708">
        <v>9</v>
      </c>
      <c r="AB5708">
        <v>3</v>
      </c>
      <c r="AC5708">
        <v>0</v>
      </c>
      <c r="AD5708">
        <v>10</v>
      </c>
      <c r="AE5708">
        <v>0</v>
      </c>
      <c r="AF5708">
        <v>3</v>
      </c>
      <c r="AG5708">
        <v>2</v>
      </c>
      <c r="AH5708">
        <v>0</v>
      </c>
      <c r="AI5708" t="s">
        <v>1270</v>
      </c>
      <c r="AJ5708">
        <v>28.203664</v>
      </c>
      <c r="AK5708" t="s">
        <v>344</v>
      </c>
      <c r="AL5708">
        <v>-82.382913000000002</v>
      </c>
      <c r="AM5708">
        <v>100</v>
      </c>
      <c r="AN5708">
        <v>700</v>
      </c>
      <c r="AO5708" t="s">
        <v>118</v>
      </c>
      <c r="AP5708">
        <v>98</v>
      </c>
      <c r="AQ5708">
        <v>-43</v>
      </c>
      <c r="AR5708">
        <v>-640</v>
      </c>
      <c r="AZ5708">
        <v>1200</v>
      </c>
      <c r="BA5708">
        <v>1</v>
      </c>
      <c r="BB5708" t="str">
        <f t="shared" si="2637"/>
        <v xml:space="preserve">N711JA  </v>
      </c>
      <c r="BC5708">
        <v>1</v>
      </c>
      <c r="BE5708">
        <v>0</v>
      </c>
      <c r="BF5708">
        <v>0</v>
      </c>
      <c r="BG5708">
        <v>0</v>
      </c>
      <c r="BH5708">
        <v>700</v>
      </c>
      <c r="BI5708">
        <v>1</v>
      </c>
      <c r="BJ5708">
        <v>1</v>
      </c>
      <c r="BK5708">
        <v>0</v>
      </c>
      <c r="BL5708">
        <v>0</v>
      </c>
      <c r="BO5708">
        <v>0</v>
      </c>
      <c r="BP5708">
        <v>0</v>
      </c>
      <c r="BW5708" t="str">
        <f t="shared" ref="BW5708:BW5715" si="2664">"14:51:55.275"</f>
        <v>14:51:55.275</v>
      </c>
      <c r="CJ5708">
        <v>0</v>
      </c>
      <c r="CK5708">
        <v>2</v>
      </c>
      <c r="CL5708">
        <v>0</v>
      </c>
      <c r="CM5708">
        <v>2</v>
      </c>
      <c r="CN5708">
        <v>0</v>
      </c>
      <c r="CO5708">
        <v>6</v>
      </c>
      <c r="CP5708" t="s">
        <v>119</v>
      </c>
      <c r="CQ5708">
        <v>343</v>
      </c>
      <c r="CR5708">
        <v>2</v>
      </c>
      <c r="CW5708">
        <v>13434327</v>
      </c>
      <c r="CY5708">
        <v>1</v>
      </c>
      <c r="CZ5708">
        <v>0</v>
      </c>
      <c r="DA5708">
        <v>0</v>
      </c>
      <c r="DB5708">
        <v>0</v>
      </c>
      <c r="DC5708">
        <v>0</v>
      </c>
      <c r="DD5708">
        <v>1</v>
      </c>
      <c r="DE5708">
        <v>0</v>
      </c>
      <c r="DF5708">
        <v>0</v>
      </c>
      <c r="DG5708">
        <v>0</v>
      </c>
      <c r="DH5708">
        <v>0</v>
      </c>
      <c r="DI5708">
        <v>0</v>
      </c>
    </row>
    <row r="5709" spans="1:113" x14ac:dyDescent="0.3">
      <c r="A5709" t="str">
        <f t="shared" si="2661"/>
        <v>05/12/2020 14:51:37.437</v>
      </c>
      <c r="C5709" t="str">
        <f t="shared" si="2636"/>
        <v>FFDFD3C0</v>
      </c>
      <c r="D5709" t="s">
        <v>131</v>
      </c>
      <c r="E5709">
        <v>10</v>
      </c>
      <c r="F5709">
        <v>2010</v>
      </c>
      <c r="G5709" t="s">
        <v>132</v>
      </c>
      <c r="J5709" t="s">
        <v>133</v>
      </c>
      <c r="K5709">
        <v>0</v>
      </c>
      <c r="L5709">
        <v>3</v>
      </c>
      <c r="M5709">
        <v>0</v>
      </c>
      <c r="N5709">
        <v>2</v>
      </c>
      <c r="O5709">
        <v>1</v>
      </c>
      <c r="P5709">
        <v>0</v>
      </c>
      <c r="Q5709">
        <v>0</v>
      </c>
      <c r="S5709" t="str">
        <f t="shared" si="2662"/>
        <v>14:51:55.273</v>
      </c>
      <c r="T5709" t="str">
        <f t="shared" si="2663"/>
        <v>14:51:55.073</v>
      </c>
      <c r="U5709" t="str">
        <f t="shared" si="2657"/>
        <v>A9808D</v>
      </c>
      <c r="V5709">
        <v>0</v>
      </c>
      <c r="W5709">
        <v>0</v>
      </c>
      <c r="X5709">
        <v>1</v>
      </c>
      <c r="Z5709">
        <v>0</v>
      </c>
      <c r="AA5709">
        <v>9</v>
      </c>
      <c r="AB5709">
        <v>3</v>
      </c>
      <c r="AC5709">
        <v>0</v>
      </c>
      <c r="AD5709">
        <v>10</v>
      </c>
      <c r="AE5709">
        <v>0</v>
      </c>
      <c r="AF5709">
        <v>3</v>
      </c>
      <c r="AG5709">
        <v>2</v>
      </c>
      <c r="AH5709">
        <v>0</v>
      </c>
      <c r="AI5709" t="s">
        <v>1270</v>
      </c>
      <c r="AJ5709">
        <v>28.203664</v>
      </c>
      <c r="AK5709" t="s">
        <v>344</v>
      </c>
      <c r="AL5709">
        <v>-82.382913000000002</v>
      </c>
      <c r="AM5709">
        <v>100</v>
      </c>
      <c r="AN5709">
        <v>700</v>
      </c>
      <c r="AO5709" t="s">
        <v>118</v>
      </c>
      <c r="AP5709">
        <v>98</v>
      </c>
      <c r="AQ5709">
        <v>-43</v>
      </c>
      <c r="AR5709">
        <v>-640</v>
      </c>
      <c r="AZ5709">
        <v>1200</v>
      </c>
      <c r="BA5709">
        <v>1</v>
      </c>
      <c r="BB5709" t="str">
        <f t="shared" si="2637"/>
        <v xml:space="preserve">N711JA  </v>
      </c>
      <c r="BC5709">
        <v>1</v>
      </c>
      <c r="BE5709">
        <v>0</v>
      </c>
      <c r="BF5709">
        <v>0</v>
      </c>
      <c r="BG5709">
        <v>0</v>
      </c>
      <c r="BH5709">
        <v>700</v>
      </c>
      <c r="BI5709">
        <v>1</v>
      </c>
      <c r="BJ5709">
        <v>1</v>
      </c>
      <c r="BK5709">
        <v>0</v>
      </c>
      <c r="BL5709">
        <v>0</v>
      </c>
      <c r="BO5709">
        <v>0</v>
      </c>
      <c r="BP5709">
        <v>0</v>
      </c>
      <c r="BW5709" t="str">
        <f t="shared" si="2664"/>
        <v>14:51:55.275</v>
      </c>
      <c r="CJ5709">
        <v>0</v>
      </c>
      <c r="CK5709">
        <v>2</v>
      </c>
      <c r="CL5709">
        <v>0</v>
      </c>
      <c r="CM5709">
        <v>2</v>
      </c>
      <c r="CN5709">
        <v>0</v>
      </c>
      <c r="CO5709">
        <v>6</v>
      </c>
      <c r="CP5709" t="s">
        <v>119</v>
      </c>
      <c r="CQ5709">
        <v>343</v>
      </c>
      <c r="CR5709">
        <v>2</v>
      </c>
      <c r="CW5709">
        <v>13434327</v>
      </c>
      <c r="CY5709">
        <v>1</v>
      </c>
      <c r="CZ5709">
        <v>0</v>
      </c>
      <c r="DA5709">
        <v>1</v>
      </c>
      <c r="DB5709">
        <v>0</v>
      </c>
      <c r="DC5709">
        <v>0</v>
      </c>
      <c r="DD5709">
        <v>1</v>
      </c>
      <c r="DE5709">
        <v>0</v>
      </c>
      <c r="DF5709">
        <v>0</v>
      </c>
      <c r="DG5709">
        <v>0</v>
      </c>
      <c r="DH5709">
        <v>0</v>
      </c>
      <c r="DI5709">
        <v>0</v>
      </c>
    </row>
    <row r="5710" spans="1:113" x14ac:dyDescent="0.3">
      <c r="A5710" t="str">
        <f t="shared" si="2661"/>
        <v>05/12/2020 14:51:37.437</v>
      </c>
      <c r="C5710" t="str">
        <f t="shared" si="2636"/>
        <v>FFDFD3C0</v>
      </c>
      <c r="D5710" t="s">
        <v>131</v>
      </c>
      <c r="E5710">
        <v>12</v>
      </c>
      <c r="F5710">
        <v>2012</v>
      </c>
      <c r="G5710" t="s">
        <v>137</v>
      </c>
      <c r="J5710" t="s">
        <v>133</v>
      </c>
      <c r="K5710">
        <v>0</v>
      </c>
      <c r="L5710">
        <v>3</v>
      </c>
      <c r="M5710">
        <v>0</v>
      </c>
      <c r="N5710">
        <v>2</v>
      </c>
      <c r="O5710">
        <v>1</v>
      </c>
      <c r="P5710">
        <v>0</v>
      </c>
      <c r="Q5710">
        <v>0</v>
      </c>
      <c r="S5710" t="str">
        <f t="shared" si="2662"/>
        <v>14:51:55.273</v>
      </c>
      <c r="T5710" t="str">
        <f t="shared" si="2663"/>
        <v>14:51:55.073</v>
      </c>
      <c r="U5710" t="str">
        <f t="shared" si="2657"/>
        <v>A9808D</v>
      </c>
      <c r="V5710">
        <v>0</v>
      </c>
      <c r="W5710">
        <v>0</v>
      </c>
      <c r="X5710">
        <v>1</v>
      </c>
      <c r="Z5710">
        <v>0</v>
      </c>
      <c r="AA5710">
        <v>9</v>
      </c>
      <c r="AB5710">
        <v>3</v>
      </c>
      <c r="AC5710">
        <v>0</v>
      </c>
      <c r="AD5710">
        <v>10</v>
      </c>
      <c r="AE5710">
        <v>0</v>
      </c>
      <c r="AF5710">
        <v>3</v>
      </c>
      <c r="AG5710">
        <v>2</v>
      </c>
      <c r="AH5710">
        <v>0</v>
      </c>
      <c r="AI5710" t="s">
        <v>1270</v>
      </c>
      <c r="AJ5710">
        <v>28.203664</v>
      </c>
      <c r="AK5710" t="s">
        <v>344</v>
      </c>
      <c r="AL5710">
        <v>-82.382913000000002</v>
      </c>
      <c r="AM5710">
        <v>100</v>
      </c>
      <c r="AN5710">
        <v>700</v>
      </c>
      <c r="AO5710" t="s">
        <v>118</v>
      </c>
      <c r="AP5710">
        <v>98</v>
      </c>
      <c r="AQ5710">
        <v>-43</v>
      </c>
      <c r="AR5710">
        <v>-640</v>
      </c>
      <c r="AZ5710">
        <v>1200</v>
      </c>
      <c r="BA5710">
        <v>1</v>
      </c>
      <c r="BB5710" t="str">
        <f t="shared" si="2637"/>
        <v xml:space="preserve">N711JA  </v>
      </c>
      <c r="BC5710">
        <v>1</v>
      </c>
      <c r="BE5710">
        <v>0</v>
      </c>
      <c r="BF5710">
        <v>0</v>
      </c>
      <c r="BG5710">
        <v>0</v>
      </c>
      <c r="BH5710">
        <v>700</v>
      </c>
      <c r="BI5710">
        <v>1</v>
      </c>
      <c r="BJ5710">
        <v>1</v>
      </c>
      <c r="BK5710">
        <v>0</v>
      </c>
      <c r="BL5710">
        <v>0</v>
      </c>
      <c r="BO5710">
        <v>0</v>
      </c>
      <c r="BP5710">
        <v>0</v>
      </c>
      <c r="BW5710" t="str">
        <f t="shared" si="2664"/>
        <v>14:51:55.275</v>
      </c>
      <c r="CJ5710">
        <v>0</v>
      </c>
      <c r="CK5710">
        <v>2</v>
      </c>
      <c r="CL5710">
        <v>0</v>
      </c>
      <c r="CM5710">
        <v>2</v>
      </c>
      <c r="CN5710">
        <v>0</v>
      </c>
      <c r="CO5710">
        <v>6</v>
      </c>
      <c r="CP5710" t="s">
        <v>119</v>
      </c>
      <c r="CQ5710">
        <v>343</v>
      </c>
      <c r="CR5710">
        <v>2</v>
      </c>
      <c r="CW5710">
        <v>13434327</v>
      </c>
      <c r="CY5710">
        <v>1</v>
      </c>
      <c r="CZ5710">
        <v>0</v>
      </c>
      <c r="DA5710">
        <v>1</v>
      </c>
      <c r="DB5710">
        <v>0</v>
      </c>
      <c r="DC5710">
        <v>0</v>
      </c>
      <c r="DD5710">
        <v>1</v>
      </c>
      <c r="DE5710">
        <v>0</v>
      </c>
      <c r="DF5710">
        <v>0</v>
      </c>
      <c r="DG5710">
        <v>0</v>
      </c>
      <c r="DH5710">
        <v>0</v>
      </c>
      <c r="DI5710">
        <v>0</v>
      </c>
    </row>
    <row r="5711" spans="1:113" x14ac:dyDescent="0.3">
      <c r="A5711" t="str">
        <f t="shared" si="2661"/>
        <v>05/12/2020 14:51:37.437</v>
      </c>
      <c r="C5711" t="str">
        <f t="shared" si="2636"/>
        <v>FFDFD3C0</v>
      </c>
      <c r="D5711" t="s">
        <v>126</v>
      </c>
      <c r="E5711">
        <v>6</v>
      </c>
      <c r="F5711">
        <v>1006</v>
      </c>
      <c r="G5711" t="s">
        <v>114</v>
      </c>
      <c r="J5711" t="s">
        <v>128</v>
      </c>
      <c r="K5711">
        <v>0</v>
      </c>
      <c r="L5711">
        <v>3</v>
      </c>
      <c r="M5711">
        <v>0</v>
      </c>
      <c r="N5711">
        <v>2</v>
      </c>
      <c r="O5711">
        <v>1</v>
      </c>
      <c r="P5711">
        <v>0</v>
      </c>
      <c r="Q5711">
        <v>0</v>
      </c>
      <c r="S5711" t="str">
        <f t="shared" si="2662"/>
        <v>14:51:55.273</v>
      </c>
      <c r="T5711" t="str">
        <f t="shared" si="2663"/>
        <v>14:51:55.073</v>
      </c>
      <c r="U5711" t="str">
        <f t="shared" si="2657"/>
        <v>A9808D</v>
      </c>
      <c r="V5711">
        <v>0</v>
      </c>
      <c r="W5711">
        <v>0</v>
      </c>
      <c r="X5711">
        <v>1</v>
      </c>
      <c r="Z5711">
        <v>0</v>
      </c>
      <c r="AA5711">
        <v>9</v>
      </c>
      <c r="AB5711">
        <v>3</v>
      </c>
      <c r="AC5711">
        <v>0</v>
      </c>
      <c r="AD5711">
        <v>10</v>
      </c>
      <c r="AE5711">
        <v>0</v>
      </c>
      <c r="AF5711">
        <v>3</v>
      </c>
      <c r="AG5711">
        <v>2</v>
      </c>
      <c r="AH5711">
        <v>0</v>
      </c>
      <c r="AI5711" t="s">
        <v>1270</v>
      </c>
      <c r="AJ5711">
        <v>28.203664</v>
      </c>
      <c r="AK5711" t="s">
        <v>344</v>
      </c>
      <c r="AL5711">
        <v>-82.382913000000002</v>
      </c>
      <c r="AM5711">
        <v>100</v>
      </c>
      <c r="AN5711">
        <v>700</v>
      </c>
      <c r="AO5711" t="s">
        <v>118</v>
      </c>
      <c r="AP5711">
        <v>98</v>
      </c>
      <c r="AQ5711">
        <v>-43</v>
      </c>
      <c r="AR5711">
        <v>-640</v>
      </c>
      <c r="AZ5711">
        <v>1200</v>
      </c>
      <c r="BA5711">
        <v>1</v>
      </c>
      <c r="BB5711" t="str">
        <f t="shared" si="2637"/>
        <v xml:space="preserve">N711JA  </v>
      </c>
      <c r="BC5711">
        <v>1</v>
      </c>
      <c r="BE5711">
        <v>0</v>
      </c>
      <c r="BF5711">
        <v>0</v>
      </c>
      <c r="BG5711">
        <v>0</v>
      </c>
      <c r="BH5711">
        <v>700</v>
      </c>
      <c r="BI5711">
        <v>1</v>
      </c>
      <c r="BJ5711">
        <v>1</v>
      </c>
      <c r="BK5711">
        <v>0</v>
      </c>
      <c r="BL5711">
        <v>0</v>
      </c>
      <c r="BO5711">
        <v>0</v>
      </c>
      <c r="BP5711">
        <v>0</v>
      </c>
      <c r="BW5711" t="str">
        <f t="shared" si="2664"/>
        <v>14:51:55.275</v>
      </c>
      <c r="CJ5711">
        <v>0</v>
      </c>
      <c r="CK5711">
        <v>2</v>
      </c>
      <c r="CL5711">
        <v>0</v>
      </c>
      <c r="CM5711">
        <v>2</v>
      </c>
      <c r="CN5711">
        <v>0</v>
      </c>
      <c r="CO5711">
        <v>6</v>
      </c>
      <c r="CP5711" t="s">
        <v>119</v>
      </c>
      <c r="CQ5711">
        <v>343</v>
      </c>
      <c r="CR5711">
        <v>2</v>
      </c>
      <c r="CW5711">
        <v>13434327</v>
      </c>
      <c r="CY5711">
        <v>1</v>
      </c>
      <c r="CZ5711">
        <v>0</v>
      </c>
      <c r="DA5711">
        <v>1</v>
      </c>
      <c r="DB5711">
        <v>0</v>
      </c>
      <c r="DC5711">
        <v>0</v>
      </c>
      <c r="DD5711">
        <v>1</v>
      </c>
      <c r="DE5711">
        <v>0</v>
      </c>
      <c r="DF5711">
        <v>0</v>
      </c>
      <c r="DG5711">
        <v>0</v>
      </c>
      <c r="DH5711">
        <v>0</v>
      </c>
      <c r="DI5711">
        <v>0</v>
      </c>
    </row>
    <row r="5712" spans="1:113" x14ac:dyDescent="0.3">
      <c r="A5712" t="str">
        <f t="shared" si="2661"/>
        <v>05/12/2020 14:51:37.437</v>
      </c>
      <c r="C5712" t="str">
        <f t="shared" si="2636"/>
        <v>FFDFD3C0</v>
      </c>
      <c r="D5712" t="s">
        <v>134</v>
      </c>
      <c r="E5712">
        <v>12</v>
      </c>
      <c r="H5712">
        <v>64</v>
      </c>
      <c r="I5712" t="s">
        <v>135</v>
      </c>
      <c r="J5712" t="s">
        <v>136</v>
      </c>
      <c r="K5712">
        <v>0</v>
      </c>
      <c r="L5712">
        <v>3</v>
      </c>
      <c r="M5712">
        <v>0</v>
      </c>
      <c r="N5712">
        <v>2</v>
      </c>
      <c r="O5712">
        <v>1</v>
      </c>
      <c r="P5712">
        <v>0</v>
      </c>
      <c r="Q5712">
        <v>0</v>
      </c>
      <c r="S5712" t="str">
        <f t="shared" si="2662"/>
        <v>14:51:55.273</v>
      </c>
      <c r="T5712" t="str">
        <f t="shared" si="2663"/>
        <v>14:51:55.073</v>
      </c>
      <c r="U5712" t="str">
        <f t="shared" si="2657"/>
        <v>A9808D</v>
      </c>
      <c r="V5712">
        <v>0</v>
      </c>
      <c r="W5712">
        <v>0</v>
      </c>
      <c r="X5712">
        <v>1</v>
      </c>
      <c r="Z5712">
        <v>0</v>
      </c>
      <c r="AA5712">
        <v>9</v>
      </c>
      <c r="AB5712">
        <v>3</v>
      </c>
      <c r="AC5712">
        <v>0</v>
      </c>
      <c r="AD5712">
        <v>10</v>
      </c>
      <c r="AE5712">
        <v>0</v>
      </c>
      <c r="AF5712">
        <v>3</v>
      </c>
      <c r="AG5712">
        <v>2</v>
      </c>
      <c r="AH5712">
        <v>0</v>
      </c>
      <c r="AI5712" t="s">
        <v>1270</v>
      </c>
      <c r="AJ5712">
        <v>28.203664</v>
      </c>
      <c r="AK5712" t="s">
        <v>344</v>
      </c>
      <c r="AL5712">
        <v>-82.382913000000002</v>
      </c>
      <c r="AM5712">
        <v>100</v>
      </c>
      <c r="AN5712">
        <v>700</v>
      </c>
      <c r="AO5712" t="s">
        <v>118</v>
      </c>
      <c r="AP5712">
        <v>98</v>
      </c>
      <c r="AQ5712">
        <v>-43</v>
      </c>
      <c r="AR5712">
        <v>-640</v>
      </c>
      <c r="AZ5712">
        <v>1200</v>
      </c>
      <c r="BA5712">
        <v>1</v>
      </c>
      <c r="BB5712" t="str">
        <f t="shared" si="2637"/>
        <v xml:space="preserve">N711JA  </v>
      </c>
      <c r="BC5712">
        <v>1</v>
      </c>
      <c r="BE5712">
        <v>0</v>
      </c>
      <c r="BF5712">
        <v>0</v>
      </c>
      <c r="BG5712">
        <v>0</v>
      </c>
      <c r="BH5712">
        <v>700</v>
      </c>
      <c r="BI5712">
        <v>1</v>
      </c>
      <c r="BJ5712">
        <v>1</v>
      </c>
      <c r="BK5712">
        <v>0</v>
      </c>
      <c r="BL5712">
        <v>0</v>
      </c>
      <c r="BO5712">
        <v>0</v>
      </c>
      <c r="BP5712">
        <v>0</v>
      </c>
      <c r="BW5712" t="str">
        <f t="shared" si="2664"/>
        <v>14:51:55.275</v>
      </c>
      <c r="CJ5712">
        <v>0</v>
      </c>
      <c r="CK5712">
        <v>2</v>
      </c>
      <c r="CL5712">
        <v>0</v>
      </c>
      <c r="CM5712">
        <v>2</v>
      </c>
      <c r="CN5712">
        <v>0</v>
      </c>
      <c r="CO5712">
        <v>6</v>
      </c>
      <c r="CP5712" t="s">
        <v>119</v>
      </c>
      <c r="CQ5712">
        <v>343</v>
      </c>
      <c r="CR5712">
        <v>2</v>
      </c>
      <c r="CW5712">
        <v>13434327</v>
      </c>
      <c r="CY5712">
        <v>1</v>
      </c>
      <c r="CZ5712">
        <v>0</v>
      </c>
      <c r="DA5712">
        <v>1</v>
      </c>
      <c r="DB5712">
        <v>0</v>
      </c>
      <c r="DC5712">
        <v>0</v>
      </c>
      <c r="DD5712">
        <v>1</v>
      </c>
      <c r="DE5712">
        <v>0</v>
      </c>
      <c r="DF5712">
        <v>0</v>
      </c>
      <c r="DG5712">
        <v>0</v>
      </c>
      <c r="DH5712">
        <v>0</v>
      </c>
      <c r="DI5712">
        <v>0</v>
      </c>
    </row>
    <row r="5713" spans="1:113" x14ac:dyDescent="0.3">
      <c r="A5713" t="str">
        <f t="shared" si="2661"/>
        <v>05/12/2020 14:51:37.437</v>
      </c>
      <c r="C5713" t="str">
        <f t="shared" si="2636"/>
        <v>FFDFD3C0</v>
      </c>
      <c r="D5713" t="s">
        <v>113</v>
      </c>
      <c r="E5713">
        <v>3</v>
      </c>
      <c r="H5713">
        <v>164</v>
      </c>
      <c r="I5713" t="s">
        <v>114</v>
      </c>
      <c r="J5713" t="s">
        <v>115</v>
      </c>
      <c r="K5713">
        <v>0</v>
      </c>
      <c r="L5713">
        <v>3</v>
      </c>
      <c r="M5713">
        <v>0</v>
      </c>
      <c r="N5713">
        <v>2</v>
      </c>
      <c r="O5713">
        <v>1</v>
      </c>
      <c r="P5713">
        <v>0</v>
      </c>
      <c r="Q5713">
        <v>0</v>
      </c>
      <c r="S5713" t="str">
        <f t="shared" si="2662"/>
        <v>14:51:55.273</v>
      </c>
      <c r="T5713" t="str">
        <f t="shared" si="2663"/>
        <v>14:51:55.073</v>
      </c>
      <c r="U5713" t="str">
        <f t="shared" si="2657"/>
        <v>A9808D</v>
      </c>
      <c r="V5713">
        <v>0</v>
      </c>
      <c r="W5713">
        <v>0</v>
      </c>
      <c r="X5713">
        <v>1</v>
      </c>
      <c r="Z5713">
        <v>0</v>
      </c>
      <c r="AA5713">
        <v>9</v>
      </c>
      <c r="AB5713">
        <v>3</v>
      </c>
      <c r="AC5713">
        <v>0</v>
      </c>
      <c r="AD5713">
        <v>10</v>
      </c>
      <c r="AE5713">
        <v>0</v>
      </c>
      <c r="AF5713">
        <v>3</v>
      </c>
      <c r="AG5713">
        <v>2</v>
      </c>
      <c r="AH5713">
        <v>0</v>
      </c>
      <c r="AI5713" t="s">
        <v>1270</v>
      </c>
      <c r="AJ5713">
        <v>28.203664</v>
      </c>
      <c r="AK5713" t="s">
        <v>344</v>
      </c>
      <c r="AL5713">
        <v>-82.382913000000002</v>
      </c>
      <c r="AM5713">
        <v>100</v>
      </c>
      <c r="AN5713">
        <v>700</v>
      </c>
      <c r="AO5713" t="s">
        <v>118</v>
      </c>
      <c r="AP5713">
        <v>98</v>
      </c>
      <c r="AQ5713">
        <v>-43</v>
      </c>
      <c r="AR5713">
        <v>-640</v>
      </c>
      <c r="AZ5713">
        <v>1200</v>
      </c>
      <c r="BA5713">
        <v>1</v>
      </c>
      <c r="BB5713" t="str">
        <f t="shared" si="2637"/>
        <v xml:space="preserve">N711JA  </v>
      </c>
      <c r="BC5713">
        <v>1</v>
      </c>
      <c r="BE5713">
        <v>0</v>
      </c>
      <c r="BF5713">
        <v>0</v>
      </c>
      <c r="BG5713">
        <v>0</v>
      </c>
      <c r="BH5713">
        <v>700</v>
      </c>
      <c r="BI5713">
        <v>1</v>
      </c>
      <c r="BJ5713">
        <v>1</v>
      </c>
      <c r="BK5713">
        <v>0</v>
      </c>
      <c r="BL5713">
        <v>0</v>
      </c>
      <c r="BO5713">
        <v>0</v>
      </c>
      <c r="BP5713">
        <v>0</v>
      </c>
      <c r="BW5713" t="str">
        <f t="shared" si="2664"/>
        <v>14:51:55.275</v>
      </c>
      <c r="CJ5713">
        <v>0</v>
      </c>
      <c r="CK5713">
        <v>2</v>
      </c>
      <c r="CL5713">
        <v>0</v>
      </c>
      <c r="CM5713">
        <v>2</v>
      </c>
      <c r="CN5713">
        <v>0</v>
      </c>
      <c r="CO5713">
        <v>6</v>
      </c>
      <c r="CP5713" t="s">
        <v>119</v>
      </c>
      <c r="CQ5713">
        <v>343</v>
      </c>
      <c r="CR5713">
        <v>2</v>
      </c>
      <c r="CW5713">
        <v>13434327</v>
      </c>
      <c r="CY5713">
        <v>1</v>
      </c>
      <c r="CZ5713">
        <v>0</v>
      </c>
      <c r="DA5713">
        <v>1</v>
      </c>
      <c r="DB5713">
        <v>0</v>
      </c>
      <c r="DC5713">
        <v>0</v>
      </c>
      <c r="DD5713">
        <v>1</v>
      </c>
      <c r="DE5713">
        <v>0</v>
      </c>
      <c r="DF5713">
        <v>0</v>
      </c>
      <c r="DG5713">
        <v>0</v>
      </c>
      <c r="DH5713">
        <v>0</v>
      </c>
      <c r="DI5713">
        <v>0</v>
      </c>
    </row>
    <row r="5714" spans="1:113" x14ac:dyDescent="0.3">
      <c r="A5714" t="str">
        <f t="shared" si="2661"/>
        <v>05/12/2020 14:51:37.437</v>
      </c>
      <c r="C5714" t="str">
        <f t="shared" si="2636"/>
        <v>FFDFD3C0</v>
      </c>
      <c r="D5714" t="s">
        <v>138</v>
      </c>
      <c r="E5714">
        <v>2</v>
      </c>
      <c r="H5714">
        <v>8</v>
      </c>
      <c r="I5714" t="s">
        <v>139</v>
      </c>
      <c r="J5714" t="s">
        <v>136</v>
      </c>
      <c r="K5714">
        <v>0</v>
      </c>
      <c r="L5714">
        <v>3</v>
      </c>
      <c r="M5714">
        <v>0</v>
      </c>
      <c r="N5714">
        <v>2</v>
      </c>
      <c r="O5714">
        <v>1</v>
      </c>
      <c r="P5714">
        <v>0</v>
      </c>
      <c r="Q5714">
        <v>0</v>
      </c>
      <c r="S5714" t="str">
        <f t="shared" si="2662"/>
        <v>14:51:55.273</v>
      </c>
      <c r="T5714" t="str">
        <f t="shared" si="2663"/>
        <v>14:51:55.073</v>
      </c>
      <c r="U5714" t="str">
        <f t="shared" si="2657"/>
        <v>A9808D</v>
      </c>
      <c r="V5714">
        <v>0</v>
      </c>
      <c r="W5714">
        <v>0</v>
      </c>
      <c r="X5714">
        <v>1</v>
      </c>
      <c r="Z5714">
        <v>0</v>
      </c>
      <c r="AA5714">
        <v>9</v>
      </c>
      <c r="AB5714">
        <v>3</v>
      </c>
      <c r="AC5714">
        <v>0</v>
      </c>
      <c r="AD5714">
        <v>10</v>
      </c>
      <c r="AE5714">
        <v>0</v>
      </c>
      <c r="AF5714">
        <v>3</v>
      </c>
      <c r="AG5714">
        <v>2</v>
      </c>
      <c r="AH5714">
        <v>0</v>
      </c>
      <c r="AI5714" t="s">
        <v>1270</v>
      </c>
      <c r="AJ5714">
        <v>28.203664</v>
      </c>
      <c r="AK5714" t="s">
        <v>344</v>
      </c>
      <c r="AL5714">
        <v>-82.382913000000002</v>
      </c>
      <c r="AM5714">
        <v>100</v>
      </c>
      <c r="AN5714">
        <v>700</v>
      </c>
      <c r="AO5714" t="s">
        <v>118</v>
      </c>
      <c r="AP5714">
        <v>98</v>
      </c>
      <c r="AQ5714">
        <v>-43</v>
      </c>
      <c r="AR5714">
        <v>-640</v>
      </c>
      <c r="AZ5714">
        <v>1200</v>
      </c>
      <c r="BA5714">
        <v>1</v>
      </c>
      <c r="BB5714" t="str">
        <f t="shared" si="2637"/>
        <v xml:space="preserve">N711JA  </v>
      </c>
      <c r="BC5714">
        <v>1</v>
      </c>
      <c r="BE5714">
        <v>0</v>
      </c>
      <c r="BF5714">
        <v>0</v>
      </c>
      <c r="BG5714">
        <v>0</v>
      </c>
      <c r="BH5714">
        <v>700</v>
      </c>
      <c r="BI5714">
        <v>1</v>
      </c>
      <c r="BJ5714">
        <v>1</v>
      </c>
      <c r="BK5714">
        <v>0</v>
      </c>
      <c r="BL5714">
        <v>0</v>
      </c>
      <c r="BO5714">
        <v>0</v>
      </c>
      <c r="BP5714">
        <v>0</v>
      </c>
      <c r="BW5714" t="str">
        <f t="shared" si="2664"/>
        <v>14:51:55.275</v>
      </c>
      <c r="CJ5714">
        <v>0</v>
      </c>
      <c r="CK5714">
        <v>2</v>
      </c>
      <c r="CL5714">
        <v>0</v>
      </c>
      <c r="CM5714">
        <v>2</v>
      </c>
      <c r="CN5714">
        <v>0</v>
      </c>
      <c r="CO5714">
        <v>6</v>
      </c>
      <c r="CP5714" t="s">
        <v>119</v>
      </c>
      <c r="CQ5714">
        <v>343</v>
      </c>
      <c r="CR5714">
        <v>2</v>
      </c>
      <c r="CW5714">
        <v>13434327</v>
      </c>
      <c r="CY5714">
        <v>1</v>
      </c>
      <c r="CZ5714">
        <v>0</v>
      </c>
      <c r="DA5714">
        <v>1</v>
      </c>
      <c r="DB5714">
        <v>0</v>
      </c>
      <c r="DC5714">
        <v>0</v>
      </c>
      <c r="DD5714">
        <v>1</v>
      </c>
      <c r="DE5714">
        <v>0</v>
      </c>
      <c r="DF5714">
        <v>0</v>
      </c>
      <c r="DG5714">
        <v>0</v>
      </c>
      <c r="DH5714">
        <v>0</v>
      </c>
      <c r="DI5714">
        <v>0</v>
      </c>
    </row>
    <row r="5715" spans="1:113" x14ac:dyDescent="0.3">
      <c r="A5715" t="str">
        <f t="shared" si="2661"/>
        <v>05/12/2020 14:51:37.437</v>
      </c>
      <c r="C5715" t="str">
        <f t="shared" si="2636"/>
        <v>FFDFD3C0</v>
      </c>
      <c r="D5715" t="s">
        <v>138</v>
      </c>
      <c r="E5715">
        <v>3</v>
      </c>
      <c r="H5715">
        <v>9</v>
      </c>
      <c r="I5715" t="s">
        <v>140</v>
      </c>
      <c r="J5715" t="s">
        <v>136</v>
      </c>
      <c r="K5715">
        <v>0</v>
      </c>
      <c r="L5715">
        <v>3</v>
      </c>
      <c r="M5715">
        <v>0</v>
      </c>
      <c r="N5715">
        <v>2</v>
      </c>
      <c r="O5715">
        <v>1</v>
      </c>
      <c r="P5715">
        <v>0</v>
      </c>
      <c r="Q5715">
        <v>0</v>
      </c>
      <c r="S5715" t="str">
        <f t="shared" si="2662"/>
        <v>14:51:55.273</v>
      </c>
      <c r="T5715" t="str">
        <f t="shared" si="2663"/>
        <v>14:51:55.073</v>
      </c>
      <c r="U5715" t="str">
        <f t="shared" si="2657"/>
        <v>A9808D</v>
      </c>
      <c r="V5715">
        <v>0</v>
      </c>
      <c r="W5715">
        <v>0</v>
      </c>
      <c r="X5715">
        <v>1</v>
      </c>
      <c r="Z5715">
        <v>0</v>
      </c>
      <c r="AA5715">
        <v>9</v>
      </c>
      <c r="AB5715">
        <v>3</v>
      </c>
      <c r="AC5715">
        <v>0</v>
      </c>
      <c r="AD5715">
        <v>10</v>
      </c>
      <c r="AE5715">
        <v>0</v>
      </c>
      <c r="AF5715">
        <v>3</v>
      </c>
      <c r="AG5715">
        <v>2</v>
      </c>
      <c r="AH5715">
        <v>0</v>
      </c>
      <c r="AI5715" t="s">
        <v>1270</v>
      </c>
      <c r="AJ5715">
        <v>28.203664</v>
      </c>
      <c r="AK5715" t="s">
        <v>344</v>
      </c>
      <c r="AL5715">
        <v>-82.382913000000002</v>
      </c>
      <c r="AM5715">
        <v>100</v>
      </c>
      <c r="AN5715">
        <v>700</v>
      </c>
      <c r="AO5715" t="s">
        <v>118</v>
      </c>
      <c r="AP5715">
        <v>98</v>
      </c>
      <c r="AQ5715">
        <v>-43</v>
      </c>
      <c r="AR5715">
        <v>-640</v>
      </c>
      <c r="AZ5715">
        <v>1200</v>
      </c>
      <c r="BA5715">
        <v>1</v>
      </c>
      <c r="BB5715" t="str">
        <f t="shared" si="2637"/>
        <v xml:space="preserve">N711JA  </v>
      </c>
      <c r="BC5715">
        <v>1</v>
      </c>
      <c r="BE5715">
        <v>0</v>
      </c>
      <c r="BF5715">
        <v>0</v>
      </c>
      <c r="BG5715">
        <v>0</v>
      </c>
      <c r="BH5715">
        <v>700</v>
      </c>
      <c r="BI5715">
        <v>1</v>
      </c>
      <c r="BJ5715">
        <v>1</v>
      </c>
      <c r="BK5715">
        <v>0</v>
      </c>
      <c r="BL5715">
        <v>0</v>
      </c>
      <c r="BO5715">
        <v>0</v>
      </c>
      <c r="BP5715">
        <v>0</v>
      </c>
      <c r="BW5715" t="str">
        <f t="shared" si="2664"/>
        <v>14:51:55.275</v>
      </c>
      <c r="CJ5715">
        <v>0</v>
      </c>
      <c r="CK5715">
        <v>2</v>
      </c>
      <c r="CL5715">
        <v>0</v>
      </c>
      <c r="CM5715">
        <v>2</v>
      </c>
      <c r="CN5715">
        <v>0</v>
      </c>
      <c r="CO5715">
        <v>6</v>
      </c>
      <c r="CP5715" t="s">
        <v>119</v>
      </c>
      <c r="CQ5715">
        <v>343</v>
      </c>
      <c r="CR5715">
        <v>2</v>
      </c>
      <c r="CW5715">
        <v>13434327</v>
      </c>
      <c r="CY5715">
        <v>1</v>
      </c>
      <c r="CZ5715">
        <v>0</v>
      </c>
      <c r="DA5715">
        <v>1</v>
      </c>
      <c r="DB5715">
        <v>0</v>
      </c>
      <c r="DC5715">
        <v>0</v>
      </c>
      <c r="DD5715">
        <v>1</v>
      </c>
      <c r="DE5715">
        <v>0</v>
      </c>
      <c r="DF5715">
        <v>0</v>
      </c>
      <c r="DG5715">
        <v>0</v>
      </c>
      <c r="DH5715">
        <v>0</v>
      </c>
      <c r="DI5715">
        <v>0</v>
      </c>
    </row>
    <row r="5716" spans="1:113" x14ac:dyDescent="0.3">
      <c r="A5716" t="str">
        <f t="shared" ref="A5716:A5723" si="2665">"05/12/2020 14:51:38.542"</f>
        <v>05/12/2020 14:51:38.542</v>
      </c>
      <c r="C5716" t="str">
        <f t="shared" si="2636"/>
        <v>FFDFD3C0</v>
      </c>
      <c r="D5716" t="s">
        <v>138</v>
      </c>
      <c r="E5716">
        <v>3</v>
      </c>
      <c r="H5716">
        <v>9</v>
      </c>
      <c r="I5716" t="s">
        <v>140</v>
      </c>
      <c r="J5716" t="s">
        <v>136</v>
      </c>
      <c r="K5716">
        <v>0</v>
      </c>
      <c r="L5716">
        <v>3</v>
      </c>
      <c r="M5716">
        <v>0</v>
      </c>
      <c r="N5716">
        <v>2</v>
      </c>
      <c r="O5716">
        <v>1</v>
      </c>
      <c r="P5716">
        <v>0</v>
      </c>
      <c r="Q5716">
        <v>0</v>
      </c>
      <c r="S5716" t="str">
        <f t="shared" ref="S5716:S5723" si="2666">"14:51:56.344"</f>
        <v>14:51:56.344</v>
      </c>
      <c r="T5716" t="str">
        <f t="shared" ref="T5716:T5723" si="2667">"14:51:56.044"</f>
        <v>14:51:56.044</v>
      </c>
      <c r="U5716" t="str">
        <f t="shared" si="2657"/>
        <v>A9808D</v>
      </c>
      <c r="V5716">
        <v>0</v>
      </c>
      <c r="W5716">
        <v>0</v>
      </c>
      <c r="X5716">
        <v>1</v>
      </c>
      <c r="Z5716">
        <v>0</v>
      </c>
      <c r="AA5716">
        <v>9</v>
      </c>
      <c r="AB5716">
        <v>3</v>
      </c>
      <c r="AC5716">
        <v>0</v>
      </c>
      <c r="AD5716">
        <v>10</v>
      </c>
      <c r="AE5716">
        <v>0</v>
      </c>
      <c r="AF5716">
        <v>3</v>
      </c>
      <c r="AG5716">
        <v>2</v>
      </c>
      <c r="AH5716">
        <v>0</v>
      </c>
      <c r="AI5716" t="s">
        <v>1271</v>
      </c>
      <c r="AJ5716">
        <v>28.203513999999998</v>
      </c>
      <c r="AK5716" t="s">
        <v>1272</v>
      </c>
      <c r="AL5716">
        <v>-82.382311999999999</v>
      </c>
      <c r="AM5716">
        <v>100</v>
      </c>
      <c r="AN5716">
        <v>700</v>
      </c>
      <c r="AO5716" t="s">
        <v>118</v>
      </c>
      <c r="AP5716">
        <v>99</v>
      </c>
      <c r="AQ5716">
        <v>-38</v>
      </c>
      <c r="AR5716">
        <v>-640</v>
      </c>
      <c r="AZ5716">
        <v>1200</v>
      </c>
      <c r="BA5716">
        <v>1</v>
      </c>
      <c r="BB5716" t="str">
        <f t="shared" si="2637"/>
        <v xml:space="preserve">N711JA  </v>
      </c>
      <c r="BC5716">
        <v>1</v>
      </c>
      <c r="BE5716">
        <v>0</v>
      </c>
      <c r="BF5716">
        <v>0</v>
      </c>
      <c r="BG5716">
        <v>0</v>
      </c>
      <c r="BH5716">
        <v>800</v>
      </c>
      <c r="BI5716">
        <v>1</v>
      </c>
      <c r="BJ5716">
        <v>1</v>
      </c>
      <c r="BK5716">
        <v>0</v>
      </c>
      <c r="BL5716">
        <v>0</v>
      </c>
      <c r="BO5716">
        <v>0</v>
      </c>
      <c r="BP5716">
        <v>0</v>
      </c>
      <c r="BW5716" t="str">
        <f t="shared" ref="BW5716:BW5723" si="2668">"14:51:56.344"</f>
        <v>14:51:56.344</v>
      </c>
      <c r="CJ5716">
        <v>0</v>
      </c>
      <c r="CK5716">
        <v>2</v>
      </c>
      <c r="CL5716">
        <v>0</v>
      </c>
      <c r="CM5716">
        <v>2</v>
      </c>
      <c r="CN5716">
        <v>0</v>
      </c>
      <c r="CO5716">
        <v>6</v>
      </c>
      <c r="CP5716" t="s">
        <v>119</v>
      </c>
      <c r="CQ5716">
        <v>358</v>
      </c>
      <c r="CR5716">
        <v>0</v>
      </c>
      <c r="CW5716">
        <v>5312230</v>
      </c>
      <c r="CY5716">
        <v>1</v>
      </c>
      <c r="CZ5716">
        <v>0</v>
      </c>
      <c r="DA5716">
        <v>0</v>
      </c>
      <c r="DB5716">
        <v>0</v>
      </c>
      <c r="DC5716">
        <v>0</v>
      </c>
      <c r="DD5716">
        <v>1</v>
      </c>
      <c r="DE5716">
        <v>0</v>
      </c>
      <c r="DF5716">
        <v>0</v>
      </c>
      <c r="DG5716">
        <v>0</v>
      </c>
      <c r="DH5716">
        <v>0</v>
      </c>
      <c r="DI5716">
        <v>0</v>
      </c>
    </row>
    <row r="5717" spans="1:113" x14ac:dyDescent="0.3">
      <c r="A5717" t="str">
        <f t="shared" si="2665"/>
        <v>05/12/2020 14:51:38.542</v>
      </c>
      <c r="C5717" t="str">
        <f t="shared" si="2636"/>
        <v>FFDFD3C0</v>
      </c>
      <c r="D5717" t="s">
        <v>113</v>
      </c>
      <c r="E5717">
        <v>3</v>
      </c>
      <c r="H5717">
        <v>164</v>
      </c>
      <c r="I5717" t="s">
        <v>114</v>
      </c>
      <c r="J5717" t="s">
        <v>115</v>
      </c>
      <c r="K5717">
        <v>0</v>
      </c>
      <c r="L5717">
        <v>3</v>
      </c>
      <c r="M5717">
        <v>0</v>
      </c>
      <c r="N5717">
        <v>2</v>
      </c>
      <c r="O5717">
        <v>1</v>
      </c>
      <c r="P5717">
        <v>0</v>
      </c>
      <c r="Q5717">
        <v>0</v>
      </c>
      <c r="S5717" t="str">
        <f t="shared" si="2666"/>
        <v>14:51:56.344</v>
      </c>
      <c r="T5717" t="str">
        <f t="shared" si="2667"/>
        <v>14:51:56.044</v>
      </c>
      <c r="U5717" t="str">
        <f t="shared" si="2657"/>
        <v>A9808D</v>
      </c>
      <c r="V5717">
        <v>0</v>
      </c>
      <c r="W5717">
        <v>0</v>
      </c>
      <c r="X5717">
        <v>1</v>
      </c>
      <c r="Z5717">
        <v>0</v>
      </c>
      <c r="AA5717">
        <v>9</v>
      </c>
      <c r="AB5717">
        <v>3</v>
      </c>
      <c r="AC5717">
        <v>0</v>
      </c>
      <c r="AD5717">
        <v>10</v>
      </c>
      <c r="AE5717">
        <v>0</v>
      </c>
      <c r="AF5717">
        <v>3</v>
      </c>
      <c r="AG5717">
        <v>2</v>
      </c>
      <c r="AH5717">
        <v>0</v>
      </c>
      <c r="AI5717" t="s">
        <v>1271</v>
      </c>
      <c r="AJ5717">
        <v>28.203513999999998</v>
      </c>
      <c r="AK5717" t="s">
        <v>1272</v>
      </c>
      <c r="AL5717">
        <v>-82.382311999999999</v>
      </c>
      <c r="AM5717">
        <v>100</v>
      </c>
      <c r="AN5717">
        <v>700</v>
      </c>
      <c r="AO5717" t="s">
        <v>118</v>
      </c>
      <c r="AP5717">
        <v>99</v>
      </c>
      <c r="AQ5717">
        <v>-38</v>
      </c>
      <c r="AR5717">
        <v>-640</v>
      </c>
      <c r="AZ5717">
        <v>1200</v>
      </c>
      <c r="BA5717">
        <v>1</v>
      </c>
      <c r="BB5717" t="str">
        <f t="shared" si="2637"/>
        <v xml:space="preserve">N711JA  </v>
      </c>
      <c r="BC5717">
        <v>1</v>
      </c>
      <c r="BE5717">
        <v>0</v>
      </c>
      <c r="BF5717">
        <v>0</v>
      </c>
      <c r="BG5717">
        <v>0</v>
      </c>
      <c r="BH5717">
        <v>800</v>
      </c>
      <c r="BI5717">
        <v>1</v>
      </c>
      <c r="BJ5717">
        <v>1</v>
      </c>
      <c r="BK5717">
        <v>0</v>
      </c>
      <c r="BL5717">
        <v>0</v>
      </c>
      <c r="BO5717">
        <v>0</v>
      </c>
      <c r="BP5717">
        <v>0</v>
      </c>
      <c r="BW5717" t="str">
        <f t="shared" si="2668"/>
        <v>14:51:56.344</v>
      </c>
      <c r="CJ5717">
        <v>0</v>
      </c>
      <c r="CK5717">
        <v>2</v>
      </c>
      <c r="CL5717">
        <v>0</v>
      </c>
      <c r="CM5717">
        <v>2</v>
      </c>
      <c r="CN5717">
        <v>0</v>
      </c>
      <c r="CO5717">
        <v>5</v>
      </c>
      <c r="CP5717" t="s">
        <v>119</v>
      </c>
      <c r="CQ5717">
        <v>343</v>
      </c>
      <c r="CR5717">
        <v>2</v>
      </c>
      <c r="CW5717">
        <v>13435127</v>
      </c>
      <c r="CY5717">
        <v>1</v>
      </c>
      <c r="CZ5717">
        <v>0</v>
      </c>
      <c r="DA5717">
        <v>1</v>
      </c>
      <c r="DB5717">
        <v>0</v>
      </c>
      <c r="DC5717">
        <v>0</v>
      </c>
      <c r="DD5717">
        <v>1</v>
      </c>
      <c r="DE5717">
        <v>0</v>
      </c>
      <c r="DF5717">
        <v>0</v>
      </c>
      <c r="DG5717">
        <v>0</v>
      </c>
      <c r="DH5717">
        <v>0</v>
      </c>
      <c r="DI5717">
        <v>0</v>
      </c>
    </row>
    <row r="5718" spans="1:113" x14ac:dyDescent="0.3">
      <c r="A5718" t="str">
        <f t="shared" si="2665"/>
        <v>05/12/2020 14:51:38.542</v>
      </c>
      <c r="C5718" t="str">
        <f t="shared" ref="C5718:C5781" si="2669">"FFDFD3C0"</f>
        <v>FFDFD3C0</v>
      </c>
      <c r="D5718" t="s">
        <v>138</v>
      </c>
      <c r="E5718">
        <v>2</v>
      </c>
      <c r="H5718">
        <v>8</v>
      </c>
      <c r="I5718" t="s">
        <v>139</v>
      </c>
      <c r="J5718" t="s">
        <v>136</v>
      </c>
      <c r="K5718">
        <v>0</v>
      </c>
      <c r="L5718">
        <v>3</v>
      </c>
      <c r="M5718">
        <v>0</v>
      </c>
      <c r="N5718">
        <v>2</v>
      </c>
      <c r="O5718">
        <v>1</v>
      </c>
      <c r="P5718">
        <v>0</v>
      </c>
      <c r="Q5718">
        <v>0</v>
      </c>
      <c r="S5718" t="str">
        <f t="shared" si="2666"/>
        <v>14:51:56.344</v>
      </c>
      <c r="T5718" t="str">
        <f t="shared" si="2667"/>
        <v>14:51:56.044</v>
      </c>
      <c r="U5718" t="str">
        <f t="shared" si="2657"/>
        <v>A9808D</v>
      </c>
      <c r="V5718">
        <v>0</v>
      </c>
      <c r="W5718">
        <v>0</v>
      </c>
      <c r="X5718">
        <v>1</v>
      </c>
      <c r="Z5718">
        <v>0</v>
      </c>
      <c r="AA5718">
        <v>9</v>
      </c>
      <c r="AB5718">
        <v>3</v>
      </c>
      <c r="AC5718">
        <v>0</v>
      </c>
      <c r="AD5718">
        <v>10</v>
      </c>
      <c r="AE5718">
        <v>0</v>
      </c>
      <c r="AF5718">
        <v>3</v>
      </c>
      <c r="AG5718">
        <v>2</v>
      </c>
      <c r="AH5718">
        <v>0</v>
      </c>
      <c r="AI5718" t="s">
        <v>1271</v>
      </c>
      <c r="AJ5718">
        <v>28.203513999999998</v>
      </c>
      <c r="AK5718" t="s">
        <v>1272</v>
      </c>
      <c r="AL5718">
        <v>-82.382311999999999</v>
      </c>
      <c r="AM5718">
        <v>100</v>
      </c>
      <c r="AN5718">
        <v>700</v>
      </c>
      <c r="AO5718" t="s">
        <v>118</v>
      </c>
      <c r="AP5718">
        <v>99</v>
      </c>
      <c r="AQ5718">
        <v>-38</v>
      </c>
      <c r="AR5718">
        <v>-640</v>
      </c>
      <c r="AZ5718">
        <v>1200</v>
      </c>
      <c r="BA5718">
        <v>1</v>
      </c>
      <c r="BB5718" t="str">
        <f t="shared" ref="BB5718:BB5781" si="2670">"N711JA  "</f>
        <v xml:space="preserve">N711JA  </v>
      </c>
      <c r="BC5718">
        <v>1</v>
      </c>
      <c r="BE5718">
        <v>0</v>
      </c>
      <c r="BF5718">
        <v>0</v>
      </c>
      <c r="BG5718">
        <v>0</v>
      </c>
      <c r="BH5718">
        <v>800</v>
      </c>
      <c r="BI5718">
        <v>1</v>
      </c>
      <c r="BJ5718">
        <v>1</v>
      </c>
      <c r="BK5718">
        <v>0</v>
      </c>
      <c r="BL5718">
        <v>0</v>
      </c>
      <c r="BO5718">
        <v>0</v>
      </c>
      <c r="BP5718">
        <v>0</v>
      </c>
      <c r="BW5718" t="str">
        <f t="shared" si="2668"/>
        <v>14:51:56.344</v>
      </c>
      <c r="CJ5718">
        <v>0</v>
      </c>
      <c r="CK5718">
        <v>2</v>
      </c>
      <c r="CL5718">
        <v>0</v>
      </c>
      <c r="CM5718">
        <v>2</v>
      </c>
      <c r="CN5718">
        <v>0</v>
      </c>
      <c r="CO5718">
        <v>5</v>
      </c>
      <c r="CP5718" t="s">
        <v>119</v>
      </c>
      <c r="CQ5718">
        <v>343</v>
      </c>
      <c r="CR5718">
        <v>2</v>
      </c>
      <c r="CW5718">
        <v>13435127</v>
      </c>
      <c r="CY5718">
        <v>1</v>
      </c>
      <c r="CZ5718">
        <v>0</v>
      </c>
      <c r="DA5718">
        <v>1</v>
      </c>
      <c r="DB5718">
        <v>0</v>
      </c>
      <c r="DC5718">
        <v>0</v>
      </c>
      <c r="DD5718">
        <v>1</v>
      </c>
      <c r="DE5718">
        <v>0</v>
      </c>
      <c r="DF5718">
        <v>0</v>
      </c>
      <c r="DG5718">
        <v>0</v>
      </c>
      <c r="DH5718">
        <v>0</v>
      </c>
      <c r="DI5718">
        <v>0</v>
      </c>
    </row>
    <row r="5719" spans="1:113" x14ac:dyDescent="0.3">
      <c r="A5719" t="str">
        <f t="shared" si="2665"/>
        <v>05/12/2020 14:51:38.542</v>
      </c>
      <c r="C5719" t="str">
        <f t="shared" si="2669"/>
        <v>FFDFD3C0</v>
      </c>
      <c r="D5719" t="s">
        <v>126</v>
      </c>
      <c r="E5719">
        <v>7</v>
      </c>
      <c r="F5719">
        <v>1007</v>
      </c>
      <c r="G5719" t="s">
        <v>127</v>
      </c>
      <c r="J5719" t="s">
        <v>128</v>
      </c>
      <c r="K5719">
        <v>0</v>
      </c>
      <c r="L5719">
        <v>3</v>
      </c>
      <c r="M5719">
        <v>0</v>
      </c>
      <c r="N5719">
        <v>2</v>
      </c>
      <c r="O5719">
        <v>1</v>
      </c>
      <c r="P5719">
        <v>0</v>
      </c>
      <c r="Q5719">
        <v>0</v>
      </c>
      <c r="S5719" t="str">
        <f t="shared" si="2666"/>
        <v>14:51:56.344</v>
      </c>
      <c r="T5719" t="str">
        <f t="shared" si="2667"/>
        <v>14:51:56.044</v>
      </c>
      <c r="U5719" t="str">
        <f t="shared" si="2657"/>
        <v>A9808D</v>
      </c>
      <c r="V5719">
        <v>0</v>
      </c>
      <c r="W5719">
        <v>0</v>
      </c>
      <c r="X5719">
        <v>1</v>
      </c>
      <c r="Z5719">
        <v>0</v>
      </c>
      <c r="AA5719">
        <v>9</v>
      </c>
      <c r="AB5719">
        <v>3</v>
      </c>
      <c r="AC5719">
        <v>0</v>
      </c>
      <c r="AD5719">
        <v>10</v>
      </c>
      <c r="AE5719">
        <v>0</v>
      </c>
      <c r="AF5719">
        <v>3</v>
      </c>
      <c r="AG5719">
        <v>2</v>
      </c>
      <c r="AH5719">
        <v>0</v>
      </c>
      <c r="AI5719" t="s">
        <v>1271</v>
      </c>
      <c r="AJ5719">
        <v>28.203513999999998</v>
      </c>
      <c r="AK5719" t="s">
        <v>1272</v>
      </c>
      <c r="AL5719">
        <v>-82.382311999999999</v>
      </c>
      <c r="AM5719">
        <v>100</v>
      </c>
      <c r="AN5719">
        <v>700</v>
      </c>
      <c r="AO5719" t="s">
        <v>118</v>
      </c>
      <c r="AP5719">
        <v>99</v>
      </c>
      <c r="AQ5719">
        <v>-38</v>
      </c>
      <c r="AR5719">
        <v>-640</v>
      </c>
      <c r="AZ5719">
        <v>1200</v>
      </c>
      <c r="BA5719">
        <v>1</v>
      </c>
      <c r="BB5719" t="str">
        <f t="shared" si="2670"/>
        <v xml:space="preserve">N711JA  </v>
      </c>
      <c r="BC5719">
        <v>1</v>
      </c>
      <c r="BE5719">
        <v>0</v>
      </c>
      <c r="BF5719">
        <v>0</v>
      </c>
      <c r="BG5719">
        <v>0</v>
      </c>
      <c r="BH5719">
        <v>800</v>
      </c>
      <c r="BI5719">
        <v>1</v>
      </c>
      <c r="BJ5719">
        <v>1</v>
      </c>
      <c r="BK5719">
        <v>0</v>
      </c>
      <c r="BL5719">
        <v>0</v>
      </c>
      <c r="BO5719">
        <v>0</v>
      </c>
      <c r="BP5719">
        <v>0</v>
      </c>
      <c r="BW5719" t="str">
        <f t="shared" si="2668"/>
        <v>14:51:56.344</v>
      </c>
      <c r="CJ5719">
        <v>0</v>
      </c>
      <c r="CK5719">
        <v>2</v>
      </c>
      <c r="CL5719">
        <v>0</v>
      </c>
      <c r="CM5719">
        <v>2</v>
      </c>
      <c r="CN5719">
        <v>0</v>
      </c>
      <c r="CO5719">
        <v>6</v>
      </c>
      <c r="CP5719" t="s">
        <v>119</v>
      </c>
      <c r="CQ5719">
        <v>358</v>
      </c>
      <c r="CR5719">
        <v>0</v>
      </c>
      <c r="CW5719">
        <v>5312230</v>
      </c>
      <c r="CY5719">
        <v>1</v>
      </c>
      <c r="CZ5719">
        <v>0</v>
      </c>
      <c r="DA5719">
        <v>1</v>
      </c>
      <c r="DB5719">
        <v>0</v>
      </c>
      <c r="DC5719">
        <v>0</v>
      </c>
      <c r="DD5719">
        <v>1</v>
      </c>
      <c r="DE5719">
        <v>0</v>
      </c>
      <c r="DF5719">
        <v>0</v>
      </c>
      <c r="DG5719">
        <v>0</v>
      </c>
      <c r="DH5719">
        <v>0</v>
      </c>
      <c r="DI5719">
        <v>0</v>
      </c>
    </row>
    <row r="5720" spans="1:113" x14ac:dyDescent="0.3">
      <c r="A5720" t="str">
        <f t="shared" si="2665"/>
        <v>05/12/2020 14:51:38.542</v>
      </c>
      <c r="C5720" t="str">
        <f t="shared" si="2669"/>
        <v>FFDFD3C0</v>
      </c>
      <c r="D5720" t="s">
        <v>131</v>
      </c>
      <c r="E5720">
        <v>10</v>
      </c>
      <c r="F5720">
        <v>2010</v>
      </c>
      <c r="G5720" t="s">
        <v>132</v>
      </c>
      <c r="J5720" t="s">
        <v>133</v>
      </c>
      <c r="K5720">
        <v>0</v>
      </c>
      <c r="L5720">
        <v>3</v>
      </c>
      <c r="M5720">
        <v>0</v>
      </c>
      <c r="N5720">
        <v>2</v>
      </c>
      <c r="O5720">
        <v>1</v>
      </c>
      <c r="P5720">
        <v>0</v>
      </c>
      <c r="Q5720">
        <v>0</v>
      </c>
      <c r="S5720" t="str">
        <f t="shared" si="2666"/>
        <v>14:51:56.344</v>
      </c>
      <c r="T5720" t="str">
        <f t="shared" si="2667"/>
        <v>14:51:56.044</v>
      </c>
      <c r="U5720" t="str">
        <f t="shared" si="2657"/>
        <v>A9808D</v>
      </c>
      <c r="V5720">
        <v>0</v>
      </c>
      <c r="W5720">
        <v>0</v>
      </c>
      <c r="X5720">
        <v>1</v>
      </c>
      <c r="Z5720">
        <v>0</v>
      </c>
      <c r="AA5720">
        <v>9</v>
      </c>
      <c r="AB5720">
        <v>3</v>
      </c>
      <c r="AC5720">
        <v>0</v>
      </c>
      <c r="AD5720">
        <v>10</v>
      </c>
      <c r="AE5720">
        <v>0</v>
      </c>
      <c r="AF5720">
        <v>3</v>
      </c>
      <c r="AG5720">
        <v>2</v>
      </c>
      <c r="AH5720">
        <v>0</v>
      </c>
      <c r="AI5720" t="s">
        <v>1271</v>
      </c>
      <c r="AJ5720">
        <v>28.203513999999998</v>
      </c>
      <c r="AK5720" t="s">
        <v>1272</v>
      </c>
      <c r="AL5720">
        <v>-82.382311999999999</v>
      </c>
      <c r="AM5720">
        <v>100</v>
      </c>
      <c r="AN5720">
        <v>700</v>
      </c>
      <c r="AO5720" t="s">
        <v>118</v>
      </c>
      <c r="AP5720">
        <v>99</v>
      </c>
      <c r="AQ5720">
        <v>-38</v>
      </c>
      <c r="AR5720">
        <v>-640</v>
      </c>
      <c r="AZ5720">
        <v>1200</v>
      </c>
      <c r="BA5720">
        <v>1</v>
      </c>
      <c r="BB5720" t="str">
        <f t="shared" si="2670"/>
        <v xml:space="preserve">N711JA  </v>
      </c>
      <c r="BC5720">
        <v>1</v>
      </c>
      <c r="BE5720">
        <v>0</v>
      </c>
      <c r="BF5720">
        <v>0</v>
      </c>
      <c r="BG5720">
        <v>0</v>
      </c>
      <c r="BH5720">
        <v>800</v>
      </c>
      <c r="BI5720">
        <v>1</v>
      </c>
      <c r="BJ5720">
        <v>1</v>
      </c>
      <c r="BK5720">
        <v>0</v>
      </c>
      <c r="BL5720">
        <v>0</v>
      </c>
      <c r="BO5720">
        <v>0</v>
      </c>
      <c r="BP5720">
        <v>0</v>
      </c>
      <c r="BW5720" t="str">
        <f t="shared" si="2668"/>
        <v>14:51:56.344</v>
      </c>
      <c r="CJ5720">
        <v>0</v>
      </c>
      <c r="CK5720">
        <v>2</v>
      </c>
      <c r="CL5720">
        <v>0</v>
      </c>
      <c r="CM5720">
        <v>2</v>
      </c>
      <c r="CN5720">
        <v>0</v>
      </c>
      <c r="CO5720">
        <v>6</v>
      </c>
      <c r="CP5720" t="s">
        <v>119</v>
      </c>
      <c r="CQ5720">
        <v>358</v>
      </c>
      <c r="CR5720">
        <v>0</v>
      </c>
      <c r="CW5720">
        <v>5312230</v>
      </c>
      <c r="CY5720">
        <v>1</v>
      </c>
      <c r="CZ5720">
        <v>0</v>
      </c>
      <c r="DA5720">
        <v>1</v>
      </c>
      <c r="DB5720">
        <v>0</v>
      </c>
      <c r="DC5720">
        <v>0</v>
      </c>
      <c r="DD5720">
        <v>1</v>
      </c>
      <c r="DE5720">
        <v>0</v>
      </c>
      <c r="DF5720">
        <v>0</v>
      </c>
      <c r="DG5720">
        <v>0</v>
      </c>
      <c r="DH5720">
        <v>0</v>
      </c>
      <c r="DI5720">
        <v>0</v>
      </c>
    </row>
    <row r="5721" spans="1:113" x14ac:dyDescent="0.3">
      <c r="A5721" t="str">
        <f t="shared" si="2665"/>
        <v>05/12/2020 14:51:38.542</v>
      </c>
      <c r="C5721" t="str">
        <f t="shared" si="2669"/>
        <v>FFDFD3C0</v>
      </c>
      <c r="D5721" t="s">
        <v>131</v>
      </c>
      <c r="E5721">
        <v>12</v>
      </c>
      <c r="F5721">
        <v>2012</v>
      </c>
      <c r="G5721" t="s">
        <v>137</v>
      </c>
      <c r="J5721" t="s">
        <v>133</v>
      </c>
      <c r="K5721">
        <v>0</v>
      </c>
      <c r="L5721">
        <v>3</v>
      </c>
      <c r="M5721">
        <v>0</v>
      </c>
      <c r="N5721">
        <v>2</v>
      </c>
      <c r="O5721">
        <v>1</v>
      </c>
      <c r="P5721">
        <v>0</v>
      </c>
      <c r="Q5721">
        <v>0</v>
      </c>
      <c r="S5721" t="str">
        <f t="shared" si="2666"/>
        <v>14:51:56.344</v>
      </c>
      <c r="T5721" t="str">
        <f t="shared" si="2667"/>
        <v>14:51:56.044</v>
      </c>
      <c r="U5721" t="str">
        <f t="shared" si="2657"/>
        <v>A9808D</v>
      </c>
      <c r="V5721">
        <v>0</v>
      </c>
      <c r="W5721">
        <v>0</v>
      </c>
      <c r="X5721">
        <v>1</v>
      </c>
      <c r="Z5721">
        <v>0</v>
      </c>
      <c r="AA5721">
        <v>9</v>
      </c>
      <c r="AB5721">
        <v>3</v>
      </c>
      <c r="AC5721">
        <v>0</v>
      </c>
      <c r="AD5721">
        <v>10</v>
      </c>
      <c r="AE5721">
        <v>0</v>
      </c>
      <c r="AF5721">
        <v>3</v>
      </c>
      <c r="AG5721">
        <v>2</v>
      </c>
      <c r="AH5721">
        <v>0</v>
      </c>
      <c r="AI5721" t="s">
        <v>1271</v>
      </c>
      <c r="AJ5721">
        <v>28.203513999999998</v>
      </c>
      <c r="AK5721" t="s">
        <v>1272</v>
      </c>
      <c r="AL5721">
        <v>-82.382311999999999</v>
      </c>
      <c r="AM5721">
        <v>100</v>
      </c>
      <c r="AN5721">
        <v>700</v>
      </c>
      <c r="AO5721" t="s">
        <v>118</v>
      </c>
      <c r="AP5721">
        <v>99</v>
      </c>
      <c r="AQ5721">
        <v>-38</v>
      </c>
      <c r="AR5721">
        <v>-640</v>
      </c>
      <c r="AZ5721">
        <v>1200</v>
      </c>
      <c r="BA5721">
        <v>1</v>
      </c>
      <c r="BB5721" t="str">
        <f t="shared" si="2670"/>
        <v xml:space="preserve">N711JA  </v>
      </c>
      <c r="BC5721">
        <v>1</v>
      </c>
      <c r="BE5721">
        <v>0</v>
      </c>
      <c r="BF5721">
        <v>0</v>
      </c>
      <c r="BG5721">
        <v>0</v>
      </c>
      <c r="BH5721">
        <v>800</v>
      </c>
      <c r="BI5721">
        <v>1</v>
      </c>
      <c r="BJ5721">
        <v>1</v>
      </c>
      <c r="BK5721">
        <v>0</v>
      </c>
      <c r="BL5721">
        <v>0</v>
      </c>
      <c r="BO5721">
        <v>0</v>
      </c>
      <c r="BP5721">
        <v>0</v>
      </c>
      <c r="BW5721" t="str">
        <f t="shared" si="2668"/>
        <v>14:51:56.344</v>
      </c>
      <c r="CJ5721">
        <v>0</v>
      </c>
      <c r="CK5721">
        <v>2</v>
      </c>
      <c r="CL5721">
        <v>0</v>
      </c>
      <c r="CM5721">
        <v>2</v>
      </c>
      <c r="CN5721">
        <v>0</v>
      </c>
      <c r="CO5721">
        <v>5</v>
      </c>
      <c r="CP5721" t="s">
        <v>119</v>
      </c>
      <c r="CQ5721">
        <v>343</v>
      </c>
      <c r="CR5721">
        <v>2</v>
      </c>
      <c r="CW5721">
        <v>13435127</v>
      </c>
      <c r="CY5721">
        <v>1</v>
      </c>
      <c r="CZ5721">
        <v>0</v>
      </c>
      <c r="DA5721">
        <v>1</v>
      </c>
      <c r="DB5721">
        <v>0</v>
      </c>
      <c r="DC5721">
        <v>0</v>
      </c>
      <c r="DD5721">
        <v>1</v>
      </c>
      <c r="DE5721">
        <v>0</v>
      </c>
      <c r="DF5721">
        <v>0</v>
      </c>
      <c r="DG5721">
        <v>0</v>
      </c>
      <c r="DH5721">
        <v>0</v>
      </c>
      <c r="DI5721">
        <v>0</v>
      </c>
    </row>
    <row r="5722" spans="1:113" x14ac:dyDescent="0.3">
      <c r="A5722" t="str">
        <f t="shared" si="2665"/>
        <v>05/12/2020 14:51:38.542</v>
      </c>
      <c r="C5722" t="str">
        <f t="shared" si="2669"/>
        <v>FFDFD3C0</v>
      </c>
      <c r="D5722" t="s">
        <v>126</v>
      </c>
      <c r="E5722">
        <v>6</v>
      </c>
      <c r="F5722">
        <v>1006</v>
      </c>
      <c r="G5722" t="s">
        <v>114</v>
      </c>
      <c r="J5722" t="s">
        <v>128</v>
      </c>
      <c r="K5722">
        <v>0</v>
      </c>
      <c r="L5722">
        <v>3</v>
      </c>
      <c r="M5722">
        <v>0</v>
      </c>
      <c r="N5722">
        <v>2</v>
      </c>
      <c r="O5722">
        <v>1</v>
      </c>
      <c r="P5722">
        <v>0</v>
      </c>
      <c r="Q5722">
        <v>0</v>
      </c>
      <c r="S5722" t="str">
        <f t="shared" si="2666"/>
        <v>14:51:56.344</v>
      </c>
      <c r="T5722" t="str">
        <f t="shared" si="2667"/>
        <v>14:51:56.044</v>
      </c>
      <c r="U5722" t="str">
        <f t="shared" si="2657"/>
        <v>A9808D</v>
      </c>
      <c r="V5722">
        <v>0</v>
      </c>
      <c r="W5722">
        <v>0</v>
      </c>
      <c r="X5722">
        <v>1</v>
      </c>
      <c r="Z5722">
        <v>0</v>
      </c>
      <c r="AA5722">
        <v>9</v>
      </c>
      <c r="AB5722">
        <v>3</v>
      </c>
      <c r="AC5722">
        <v>0</v>
      </c>
      <c r="AD5722">
        <v>10</v>
      </c>
      <c r="AE5722">
        <v>0</v>
      </c>
      <c r="AF5722">
        <v>3</v>
      </c>
      <c r="AG5722">
        <v>2</v>
      </c>
      <c r="AH5722">
        <v>0</v>
      </c>
      <c r="AI5722" t="s">
        <v>1271</v>
      </c>
      <c r="AJ5722">
        <v>28.203513999999998</v>
      </c>
      <c r="AK5722" t="s">
        <v>1272</v>
      </c>
      <c r="AL5722">
        <v>-82.382311999999999</v>
      </c>
      <c r="AM5722">
        <v>100</v>
      </c>
      <c r="AN5722">
        <v>700</v>
      </c>
      <c r="AO5722" t="s">
        <v>118</v>
      </c>
      <c r="AP5722">
        <v>99</v>
      </c>
      <c r="AQ5722">
        <v>-38</v>
      </c>
      <c r="AR5722">
        <v>-640</v>
      </c>
      <c r="AZ5722">
        <v>1200</v>
      </c>
      <c r="BA5722">
        <v>1</v>
      </c>
      <c r="BB5722" t="str">
        <f t="shared" si="2670"/>
        <v xml:space="preserve">N711JA  </v>
      </c>
      <c r="BC5722">
        <v>1</v>
      </c>
      <c r="BE5722">
        <v>0</v>
      </c>
      <c r="BF5722">
        <v>0</v>
      </c>
      <c r="BG5722">
        <v>0</v>
      </c>
      <c r="BH5722">
        <v>800</v>
      </c>
      <c r="BI5722">
        <v>1</v>
      </c>
      <c r="BJ5722">
        <v>1</v>
      </c>
      <c r="BK5722">
        <v>0</v>
      </c>
      <c r="BL5722">
        <v>0</v>
      </c>
      <c r="BO5722">
        <v>0</v>
      </c>
      <c r="BP5722">
        <v>0</v>
      </c>
      <c r="BW5722" t="str">
        <f t="shared" si="2668"/>
        <v>14:51:56.344</v>
      </c>
      <c r="CJ5722">
        <v>0</v>
      </c>
      <c r="CK5722">
        <v>2</v>
      </c>
      <c r="CL5722">
        <v>0</v>
      </c>
      <c r="CM5722">
        <v>2</v>
      </c>
      <c r="CN5722">
        <v>0</v>
      </c>
      <c r="CO5722">
        <v>6</v>
      </c>
      <c r="CP5722" t="s">
        <v>119</v>
      </c>
      <c r="CQ5722">
        <v>358</v>
      </c>
      <c r="CR5722">
        <v>0</v>
      </c>
      <c r="CW5722">
        <v>5312230</v>
      </c>
      <c r="CY5722">
        <v>1</v>
      </c>
      <c r="CZ5722">
        <v>0</v>
      </c>
      <c r="DA5722">
        <v>1</v>
      </c>
      <c r="DB5722">
        <v>0</v>
      </c>
      <c r="DC5722">
        <v>0</v>
      </c>
      <c r="DD5722">
        <v>1</v>
      </c>
      <c r="DE5722">
        <v>0</v>
      </c>
      <c r="DF5722">
        <v>0</v>
      </c>
      <c r="DG5722">
        <v>0</v>
      </c>
      <c r="DH5722">
        <v>0</v>
      </c>
      <c r="DI5722">
        <v>0</v>
      </c>
    </row>
    <row r="5723" spans="1:113" x14ac:dyDescent="0.3">
      <c r="A5723" t="str">
        <f t="shared" si="2665"/>
        <v>05/12/2020 14:51:38.542</v>
      </c>
      <c r="C5723" t="str">
        <f t="shared" si="2669"/>
        <v>FFDFD3C0</v>
      </c>
      <c r="D5723" t="s">
        <v>134</v>
      </c>
      <c r="E5723">
        <v>12</v>
      </c>
      <c r="H5723">
        <v>64</v>
      </c>
      <c r="I5723" t="s">
        <v>135</v>
      </c>
      <c r="J5723" t="s">
        <v>136</v>
      </c>
      <c r="K5723">
        <v>0</v>
      </c>
      <c r="L5723">
        <v>3</v>
      </c>
      <c r="M5723">
        <v>0</v>
      </c>
      <c r="N5723">
        <v>2</v>
      </c>
      <c r="O5723">
        <v>1</v>
      </c>
      <c r="P5723">
        <v>0</v>
      </c>
      <c r="Q5723">
        <v>0</v>
      </c>
      <c r="S5723" t="str">
        <f t="shared" si="2666"/>
        <v>14:51:56.344</v>
      </c>
      <c r="T5723" t="str">
        <f t="shared" si="2667"/>
        <v>14:51:56.044</v>
      </c>
      <c r="U5723" t="str">
        <f t="shared" si="2657"/>
        <v>A9808D</v>
      </c>
      <c r="V5723">
        <v>0</v>
      </c>
      <c r="W5723">
        <v>0</v>
      </c>
      <c r="X5723">
        <v>1</v>
      </c>
      <c r="Z5723">
        <v>0</v>
      </c>
      <c r="AA5723">
        <v>9</v>
      </c>
      <c r="AB5723">
        <v>3</v>
      </c>
      <c r="AC5723">
        <v>0</v>
      </c>
      <c r="AD5723">
        <v>10</v>
      </c>
      <c r="AE5723">
        <v>0</v>
      </c>
      <c r="AF5723">
        <v>3</v>
      </c>
      <c r="AG5723">
        <v>2</v>
      </c>
      <c r="AH5723">
        <v>0</v>
      </c>
      <c r="AI5723" t="s">
        <v>1271</v>
      </c>
      <c r="AJ5723">
        <v>28.203513999999998</v>
      </c>
      <c r="AK5723" t="s">
        <v>1272</v>
      </c>
      <c r="AL5723">
        <v>-82.382311999999999</v>
      </c>
      <c r="AM5723">
        <v>100</v>
      </c>
      <c r="AN5723">
        <v>700</v>
      </c>
      <c r="AO5723" t="s">
        <v>118</v>
      </c>
      <c r="AP5723">
        <v>99</v>
      </c>
      <c r="AQ5723">
        <v>-38</v>
      </c>
      <c r="AR5723">
        <v>-640</v>
      </c>
      <c r="AZ5723">
        <v>1200</v>
      </c>
      <c r="BA5723">
        <v>1</v>
      </c>
      <c r="BB5723" t="str">
        <f t="shared" si="2670"/>
        <v xml:space="preserve">N711JA  </v>
      </c>
      <c r="BC5723">
        <v>1</v>
      </c>
      <c r="BE5723">
        <v>0</v>
      </c>
      <c r="BF5723">
        <v>0</v>
      </c>
      <c r="BG5723">
        <v>0</v>
      </c>
      <c r="BH5723">
        <v>800</v>
      </c>
      <c r="BI5723">
        <v>1</v>
      </c>
      <c r="BJ5723">
        <v>1</v>
      </c>
      <c r="BK5723">
        <v>0</v>
      </c>
      <c r="BL5723">
        <v>0</v>
      </c>
      <c r="BO5723">
        <v>0</v>
      </c>
      <c r="BP5723">
        <v>0</v>
      </c>
      <c r="BW5723" t="str">
        <f t="shared" si="2668"/>
        <v>14:51:56.344</v>
      </c>
      <c r="CJ5723">
        <v>0</v>
      </c>
      <c r="CK5723">
        <v>2</v>
      </c>
      <c r="CL5723">
        <v>0</v>
      </c>
      <c r="CM5723">
        <v>2</v>
      </c>
      <c r="CN5723">
        <v>0</v>
      </c>
      <c r="CO5723">
        <v>6</v>
      </c>
      <c r="CP5723" t="s">
        <v>119</v>
      </c>
      <c r="CQ5723">
        <v>358</v>
      </c>
      <c r="CR5723">
        <v>0</v>
      </c>
      <c r="CW5723">
        <v>5312230</v>
      </c>
      <c r="CY5723">
        <v>1</v>
      </c>
      <c r="CZ5723">
        <v>0</v>
      </c>
      <c r="DA5723">
        <v>1</v>
      </c>
      <c r="DB5723">
        <v>0</v>
      </c>
      <c r="DC5723">
        <v>0</v>
      </c>
      <c r="DD5723">
        <v>1</v>
      </c>
      <c r="DE5723">
        <v>0</v>
      </c>
      <c r="DF5723">
        <v>0</v>
      </c>
      <c r="DG5723">
        <v>0</v>
      </c>
      <c r="DH5723">
        <v>0</v>
      </c>
      <c r="DI5723">
        <v>0</v>
      </c>
    </row>
    <row r="5724" spans="1:113" x14ac:dyDescent="0.3">
      <c r="A5724" t="str">
        <f t="shared" ref="A5724:A5731" si="2671">"05/12/2020 14:51:39.567"</f>
        <v>05/12/2020 14:51:39.567</v>
      </c>
      <c r="C5724" t="str">
        <f t="shared" si="2669"/>
        <v>FFDFD3C0</v>
      </c>
      <c r="D5724" t="s">
        <v>126</v>
      </c>
      <c r="E5724">
        <v>6</v>
      </c>
      <c r="F5724">
        <v>1006</v>
      </c>
      <c r="G5724" t="s">
        <v>114</v>
      </c>
      <c r="J5724" t="s">
        <v>128</v>
      </c>
      <c r="K5724">
        <v>0</v>
      </c>
      <c r="L5724">
        <v>3</v>
      </c>
      <c r="M5724">
        <v>0</v>
      </c>
      <c r="N5724">
        <v>2</v>
      </c>
      <c r="O5724">
        <v>1</v>
      </c>
      <c r="P5724">
        <v>0</v>
      </c>
      <c r="Q5724">
        <v>0</v>
      </c>
      <c r="S5724" t="str">
        <f t="shared" ref="S5724:S5731" si="2672">"14:51:57.406"</f>
        <v>14:51:57.406</v>
      </c>
      <c r="T5724" t="str">
        <f t="shared" ref="T5724:T5731" si="2673">"14:51:57.006"</f>
        <v>14:51:57.006</v>
      </c>
      <c r="U5724" t="str">
        <f t="shared" si="2657"/>
        <v>A9808D</v>
      </c>
      <c r="V5724">
        <v>0</v>
      </c>
      <c r="W5724">
        <v>0</v>
      </c>
      <c r="X5724">
        <v>1</v>
      </c>
      <c r="Z5724">
        <v>0</v>
      </c>
      <c r="AA5724">
        <v>9</v>
      </c>
      <c r="AB5724">
        <v>3</v>
      </c>
      <c r="AC5724">
        <v>0</v>
      </c>
      <c r="AD5724">
        <v>10</v>
      </c>
      <c r="AE5724">
        <v>0</v>
      </c>
      <c r="AF5724">
        <v>3</v>
      </c>
      <c r="AG5724">
        <v>2</v>
      </c>
      <c r="AH5724">
        <v>0</v>
      </c>
      <c r="AI5724" t="s">
        <v>1273</v>
      </c>
      <c r="AJ5724">
        <v>28.203363</v>
      </c>
      <c r="AK5724" t="s">
        <v>241</v>
      </c>
      <c r="AL5724">
        <v>-82.381775000000005</v>
      </c>
      <c r="AM5724">
        <v>100</v>
      </c>
      <c r="AN5724">
        <v>700</v>
      </c>
      <c r="AO5724" t="s">
        <v>118</v>
      </c>
      <c r="AP5724">
        <v>101</v>
      </c>
      <c r="AQ5724">
        <v>-32</v>
      </c>
      <c r="AR5724">
        <v>-512</v>
      </c>
      <c r="AZ5724">
        <v>1200</v>
      </c>
      <c r="BA5724">
        <v>1</v>
      </c>
      <c r="BB5724" t="str">
        <f t="shared" si="2670"/>
        <v xml:space="preserve">N711JA  </v>
      </c>
      <c r="BC5724">
        <v>1</v>
      </c>
      <c r="BE5724">
        <v>0</v>
      </c>
      <c r="BF5724">
        <v>0</v>
      </c>
      <c r="BG5724">
        <v>0</v>
      </c>
      <c r="BH5724">
        <v>775</v>
      </c>
      <c r="BI5724">
        <v>1</v>
      </c>
      <c r="BJ5724">
        <v>1</v>
      </c>
      <c r="BK5724">
        <v>0</v>
      </c>
      <c r="BL5724">
        <v>0</v>
      </c>
      <c r="BO5724">
        <v>0</v>
      </c>
      <c r="BP5724">
        <v>0</v>
      </c>
      <c r="BW5724" t="str">
        <f t="shared" ref="BW5724:BW5731" si="2674">"14:51:57.412"</f>
        <v>14:51:57.412</v>
      </c>
      <c r="CJ5724">
        <v>0</v>
      </c>
      <c r="CK5724">
        <v>2</v>
      </c>
      <c r="CL5724">
        <v>0</v>
      </c>
      <c r="CM5724">
        <v>2</v>
      </c>
      <c r="CN5724">
        <v>0</v>
      </c>
      <c r="CO5724">
        <v>6</v>
      </c>
      <c r="CP5724" t="s">
        <v>119</v>
      </c>
      <c r="CQ5724">
        <v>358</v>
      </c>
      <c r="CR5724">
        <v>0</v>
      </c>
      <c r="CW5724">
        <v>5313487</v>
      </c>
      <c r="CY5724">
        <v>1</v>
      </c>
      <c r="CZ5724">
        <v>0</v>
      </c>
      <c r="DA5724">
        <v>0</v>
      </c>
      <c r="DB5724">
        <v>0</v>
      </c>
      <c r="DC5724">
        <v>0</v>
      </c>
      <c r="DD5724">
        <v>1</v>
      </c>
      <c r="DE5724">
        <v>0</v>
      </c>
      <c r="DF5724">
        <v>0</v>
      </c>
      <c r="DG5724">
        <v>0</v>
      </c>
      <c r="DH5724">
        <v>0</v>
      </c>
      <c r="DI5724">
        <v>0</v>
      </c>
    </row>
    <row r="5725" spans="1:113" x14ac:dyDescent="0.3">
      <c r="A5725" t="str">
        <f t="shared" si="2671"/>
        <v>05/12/2020 14:51:39.567</v>
      </c>
      <c r="C5725" t="str">
        <f t="shared" si="2669"/>
        <v>FFDFD3C0</v>
      </c>
      <c r="D5725" t="s">
        <v>134</v>
      </c>
      <c r="E5725">
        <v>12</v>
      </c>
      <c r="H5725">
        <v>64</v>
      </c>
      <c r="I5725" t="s">
        <v>135</v>
      </c>
      <c r="J5725" t="s">
        <v>136</v>
      </c>
      <c r="K5725">
        <v>0</v>
      </c>
      <c r="L5725">
        <v>3</v>
      </c>
      <c r="M5725">
        <v>0</v>
      </c>
      <c r="N5725">
        <v>2</v>
      </c>
      <c r="O5725">
        <v>1</v>
      </c>
      <c r="P5725">
        <v>0</v>
      </c>
      <c r="Q5725">
        <v>0</v>
      </c>
      <c r="S5725" t="str">
        <f t="shared" si="2672"/>
        <v>14:51:57.406</v>
      </c>
      <c r="T5725" t="str">
        <f t="shared" si="2673"/>
        <v>14:51:57.006</v>
      </c>
      <c r="U5725" t="str">
        <f t="shared" si="2657"/>
        <v>A9808D</v>
      </c>
      <c r="V5725">
        <v>0</v>
      </c>
      <c r="W5725">
        <v>0</v>
      </c>
      <c r="X5725">
        <v>1</v>
      </c>
      <c r="Z5725">
        <v>0</v>
      </c>
      <c r="AA5725">
        <v>9</v>
      </c>
      <c r="AB5725">
        <v>3</v>
      </c>
      <c r="AC5725">
        <v>0</v>
      </c>
      <c r="AD5725">
        <v>10</v>
      </c>
      <c r="AE5725">
        <v>0</v>
      </c>
      <c r="AF5725">
        <v>3</v>
      </c>
      <c r="AG5725">
        <v>2</v>
      </c>
      <c r="AH5725">
        <v>0</v>
      </c>
      <c r="AI5725" t="s">
        <v>1273</v>
      </c>
      <c r="AJ5725">
        <v>28.203363</v>
      </c>
      <c r="AK5725" t="s">
        <v>241</v>
      </c>
      <c r="AL5725">
        <v>-82.381775000000005</v>
      </c>
      <c r="AM5725">
        <v>100</v>
      </c>
      <c r="AN5725">
        <v>700</v>
      </c>
      <c r="AO5725" t="s">
        <v>118</v>
      </c>
      <c r="AP5725">
        <v>101</v>
      </c>
      <c r="AQ5725">
        <v>-32</v>
      </c>
      <c r="AR5725">
        <v>-512</v>
      </c>
      <c r="AZ5725">
        <v>1200</v>
      </c>
      <c r="BA5725">
        <v>1</v>
      </c>
      <c r="BB5725" t="str">
        <f t="shared" si="2670"/>
        <v xml:space="preserve">N711JA  </v>
      </c>
      <c r="BC5725">
        <v>1</v>
      </c>
      <c r="BE5725">
        <v>0</v>
      </c>
      <c r="BF5725">
        <v>0</v>
      </c>
      <c r="BG5725">
        <v>0</v>
      </c>
      <c r="BH5725">
        <v>775</v>
      </c>
      <c r="BI5725">
        <v>1</v>
      </c>
      <c r="BJ5725">
        <v>1</v>
      </c>
      <c r="BK5725">
        <v>0</v>
      </c>
      <c r="BL5725">
        <v>0</v>
      </c>
      <c r="BO5725">
        <v>0</v>
      </c>
      <c r="BP5725">
        <v>0</v>
      </c>
      <c r="BW5725" t="str">
        <f t="shared" si="2674"/>
        <v>14:51:57.412</v>
      </c>
      <c r="CJ5725">
        <v>0</v>
      </c>
      <c r="CK5725">
        <v>2</v>
      </c>
      <c r="CL5725">
        <v>0</v>
      </c>
      <c r="CM5725">
        <v>2</v>
      </c>
      <c r="CN5725">
        <v>0</v>
      </c>
      <c r="CO5725">
        <v>6</v>
      </c>
      <c r="CP5725" t="s">
        <v>119</v>
      </c>
      <c r="CQ5725">
        <v>358</v>
      </c>
      <c r="CR5725">
        <v>0</v>
      </c>
      <c r="CW5725">
        <v>5313487</v>
      </c>
      <c r="CY5725">
        <v>1</v>
      </c>
      <c r="CZ5725">
        <v>0</v>
      </c>
      <c r="DA5725">
        <v>1</v>
      </c>
      <c r="DB5725">
        <v>0</v>
      </c>
      <c r="DC5725">
        <v>0</v>
      </c>
      <c r="DD5725">
        <v>1</v>
      </c>
      <c r="DE5725">
        <v>0</v>
      </c>
      <c r="DF5725">
        <v>0</v>
      </c>
      <c r="DG5725">
        <v>0</v>
      </c>
      <c r="DH5725">
        <v>0</v>
      </c>
      <c r="DI5725">
        <v>0</v>
      </c>
    </row>
    <row r="5726" spans="1:113" x14ac:dyDescent="0.3">
      <c r="A5726" t="str">
        <f t="shared" si="2671"/>
        <v>05/12/2020 14:51:39.567</v>
      </c>
      <c r="C5726" t="str">
        <f t="shared" si="2669"/>
        <v>FFDFD3C0</v>
      </c>
      <c r="D5726" t="s">
        <v>113</v>
      </c>
      <c r="E5726">
        <v>3</v>
      </c>
      <c r="H5726">
        <v>164</v>
      </c>
      <c r="I5726" t="s">
        <v>114</v>
      </c>
      <c r="J5726" t="s">
        <v>115</v>
      </c>
      <c r="K5726">
        <v>0</v>
      </c>
      <c r="L5726">
        <v>3</v>
      </c>
      <c r="M5726">
        <v>0</v>
      </c>
      <c r="N5726">
        <v>2</v>
      </c>
      <c r="O5726">
        <v>1</v>
      </c>
      <c r="P5726">
        <v>0</v>
      </c>
      <c r="Q5726">
        <v>0</v>
      </c>
      <c r="S5726" t="str">
        <f t="shared" si="2672"/>
        <v>14:51:57.406</v>
      </c>
      <c r="T5726" t="str">
        <f t="shared" si="2673"/>
        <v>14:51:57.006</v>
      </c>
      <c r="U5726" t="str">
        <f t="shared" si="2657"/>
        <v>A9808D</v>
      </c>
      <c r="V5726">
        <v>0</v>
      </c>
      <c r="W5726">
        <v>0</v>
      </c>
      <c r="X5726">
        <v>1</v>
      </c>
      <c r="Z5726">
        <v>0</v>
      </c>
      <c r="AA5726">
        <v>9</v>
      </c>
      <c r="AB5726">
        <v>3</v>
      </c>
      <c r="AC5726">
        <v>0</v>
      </c>
      <c r="AD5726">
        <v>10</v>
      </c>
      <c r="AE5726">
        <v>0</v>
      </c>
      <c r="AF5726">
        <v>3</v>
      </c>
      <c r="AG5726">
        <v>2</v>
      </c>
      <c r="AH5726">
        <v>0</v>
      </c>
      <c r="AI5726" t="s">
        <v>1273</v>
      </c>
      <c r="AJ5726">
        <v>28.203363</v>
      </c>
      <c r="AK5726" t="s">
        <v>241</v>
      </c>
      <c r="AL5726">
        <v>-82.381775000000005</v>
      </c>
      <c r="AM5726">
        <v>100</v>
      </c>
      <c r="AN5726">
        <v>700</v>
      </c>
      <c r="AO5726" t="s">
        <v>118</v>
      </c>
      <c r="AP5726">
        <v>101</v>
      </c>
      <c r="AQ5726">
        <v>-32</v>
      </c>
      <c r="AR5726">
        <v>-512</v>
      </c>
      <c r="AZ5726">
        <v>1200</v>
      </c>
      <c r="BA5726">
        <v>1</v>
      </c>
      <c r="BB5726" t="str">
        <f t="shared" si="2670"/>
        <v xml:space="preserve">N711JA  </v>
      </c>
      <c r="BC5726">
        <v>1</v>
      </c>
      <c r="BE5726">
        <v>0</v>
      </c>
      <c r="BF5726">
        <v>0</v>
      </c>
      <c r="BG5726">
        <v>0</v>
      </c>
      <c r="BH5726">
        <v>775</v>
      </c>
      <c r="BI5726">
        <v>1</v>
      </c>
      <c r="BJ5726">
        <v>1</v>
      </c>
      <c r="BK5726">
        <v>0</v>
      </c>
      <c r="BL5726">
        <v>0</v>
      </c>
      <c r="BO5726">
        <v>0</v>
      </c>
      <c r="BP5726">
        <v>0</v>
      </c>
      <c r="BW5726" t="str">
        <f t="shared" si="2674"/>
        <v>14:51:57.412</v>
      </c>
      <c r="CJ5726">
        <v>0</v>
      </c>
      <c r="CK5726">
        <v>2</v>
      </c>
      <c r="CL5726">
        <v>0</v>
      </c>
      <c r="CM5726">
        <v>2</v>
      </c>
      <c r="CN5726">
        <v>0</v>
      </c>
      <c r="CO5726">
        <v>3</v>
      </c>
      <c r="CP5726" t="s">
        <v>119</v>
      </c>
      <c r="CQ5726">
        <v>8</v>
      </c>
      <c r="CR5726">
        <v>3</v>
      </c>
      <c r="CW5726">
        <v>9315902</v>
      </c>
      <c r="CY5726">
        <v>1</v>
      </c>
      <c r="CZ5726">
        <v>0</v>
      </c>
      <c r="DA5726">
        <v>1</v>
      </c>
      <c r="DB5726">
        <v>0</v>
      </c>
      <c r="DC5726">
        <v>0</v>
      </c>
      <c r="DD5726">
        <v>1</v>
      </c>
      <c r="DE5726">
        <v>0</v>
      </c>
      <c r="DF5726">
        <v>0</v>
      </c>
      <c r="DG5726">
        <v>0</v>
      </c>
      <c r="DH5726">
        <v>0</v>
      </c>
      <c r="DI5726">
        <v>0</v>
      </c>
    </row>
    <row r="5727" spans="1:113" x14ac:dyDescent="0.3">
      <c r="A5727" t="str">
        <f t="shared" si="2671"/>
        <v>05/12/2020 14:51:39.567</v>
      </c>
      <c r="C5727" t="str">
        <f t="shared" si="2669"/>
        <v>FFDFD3C0</v>
      </c>
      <c r="D5727" t="s">
        <v>126</v>
      </c>
      <c r="E5727">
        <v>7</v>
      </c>
      <c r="F5727">
        <v>1007</v>
      </c>
      <c r="G5727" t="s">
        <v>127</v>
      </c>
      <c r="J5727" t="s">
        <v>128</v>
      </c>
      <c r="K5727">
        <v>0</v>
      </c>
      <c r="L5727">
        <v>3</v>
      </c>
      <c r="M5727">
        <v>0</v>
      </c>
      <c r="N5727">
        <v>2</v>
      </c>
      <c r="O5727">
        <v>1</v>
      </c>
      <c r="P5727">
        <v>0</v>
      </c>
      <c r="Q5727">
        <v>0</v>
      </c>
      <c r="S5727" t="str">
        <f t="shared" si="2672"/>
        <v>14:51:57.406</v>
      </c>
      <c r="T5727" t="str">
        <f t="shared" si="2673"/>
        <v>14:51:57.006</v>
      </c>
      <c r="U5727" t="str">
        <f t="shared" si="2657"/>
        <v>A9808D</v>
      </c>
      <c r="V5727">
        <v>0</v>
      </c>
      <c r="W5727">
        <v>0</v>
      </c>
      <c r="X5727">
        <v>1</v>
      </c>
      <c r="Z5727">
        <v>0</v>
      </c>
      <c r="AA5727">
        <v>9</v>
      </c>
      <c r="AB5727">
        <v>3</v>
      </c>
      <c r="AC5727">
        <v>0</v>
      </c>
      <c r="AD5727">
        <v>10</v>
      </c>
      <c r="AE5727">
        <v>0</v>
      </c>
      <c r="AF5727">
        <v>3</v>
      </c>
      <c r="AG5727">
        <v>2</v>
      </c>
      <c r="AH5727">
        <v>0</v>
      </c>
      <c r="AI5727" t="s">
        <v>1273</v>
      </c>
      <c r="AJ5727">
        <v>28.203363</v>
      </c>
      <c r="AK5727" t="s">
        <v>241</v>
      </c>
      <c r="AL5727">
        <v>-82.381775000000005</v>
      </c>
      <c r="AM5727">
        <v>100</v>
      </c>
      <c r="AN5727">
        <v>700</v>
      </c>
      <c r="AO5727" t="s">
        <v>118</v>
      </c>
      <c r="AP5727">
        <v>101</v>
      </c>
      <c r="AQ5727">
        <v>-32</v>
      </c>
      <c r="AR5727">
        <v>-512</v>
      </c>
      <c r="AZ5727">
        <v>1200</v>
      </c>
      <c r="BA5727">
        <v>1</v>
      </c>
      <c r="BB5727" t="str">
        <f t="shared" si="2670"/>
        <v xml:space="preserve">N711JA  </v>
      </c>
      <c r="BC5727">
        <v>1</v>
      </c>
      <c r="BE5727">
        <v>0</v>
      </c>
      <c r="BF5727">
        <v>0</v>
      </c>
      <c r="BG5727">
        <v>0</v>
      </c>
      <c r="BH5727">
        <v>775</v>
      </c>
      <c r="BI5727">
        <v>1</v>
      </c>
      <c r="BJ5727">
        <v>1</v>
      </c>
      <c r="BK5727">
        <v>0</v>
      </c>
      <c r="BL5727">
        <v>0</v>
      </c>
      <c r="BO5727">
        <v>0</v>
      </c>
      <c r="BP5727">
        <v>0</v>
      </c>
      <c r="BW5727" t="str">
        <f t="shared" si="2674"/>
        <v>14:51:57.412</v>
      </c>
      <c r="CJ5727">
        <v>0</v>
      </c>
      <c r="CK5727">
        <v>2</v>
      </c>
      <c r="CL5727">
        <v>0</v>
      </c>
      <c r="CM5727">
        <v>2</v>
      </c>
      <c r="CN5727">
        <v>0</v>
      </c>
      <c r="CO5727">
        <v>6</v>
      </c>
      <c r="CP5727" t="s">
        <v>119</v>
      </c>
      <c r="CQ5727">
        <v>358</v>
      </c>
      <c r="CR5727">
        <v>0</v>
      </c>
      <c r="CW5727">
        <v>5313487</v>
      </c>
      <c r="CY5727">
        <v>1</v>
      </c>
      <c r="CZ5727">
        <v>0</v>
      </c>
      <c r="DA5727">
        <v>1</v>
      </c>
      <c r="DB5727">
        <v>0</v>
      </c>
      <c r="DC5727">
        <v>0</v>
      </c>
      <c r="DD5727">
        <v>1</v>
      </c>
      <c r="DE5727">
        <v>0</v>
      </c>
      <c r="DF5727">
        <v>0</v>
      </c>
      <c r="DG5727">
        <v>0</v>
      </c>
      <c r="DH5727">
        <v>0</v>
      </c>
      <c r="DI5727">
        <v>0</v>
      </c>
    </row>
    <row r="5728" spans="1:113" x14ac:dyDescent="0.3">
      <c r="A5728" t="str">
        <f t="shared" si="2671"/>
        <v>05/12/2020 14:51:39.567</v>
      </c>
      <c r="C5728" t="str">
        <f t="shared" si="2669"/>
        <v>FFDFD3C0</v>
      </c>
      <c r="D5728" t="s">
        <v>131</v>
      </c>
      <c r="E5728">
        <v>10</v>
      </c>
      <c r="F5728">
        <v>2010</v>
      </c>
      <c r="G5728" t="s">
        <v>132</v>
      </c>
      <c r="J5728" t="s">
        <v>133</v>
      </c>
      <c r="K5728">
        <v>0</v>
      </c>
      <c r="L5728">
        <v>3</v>
      </c>
      <c r="M5728">
        <v>0</v>
      </c>
      <c r="N5728">
        <v>2</v>
      </c>
      <c r="O5728">
        <v>1</v>
      </c>
      <c r="P5728">
        <v>0</v>
      </c>
      <c r="Q5728">
        <v>0</v>
      </c>
      <c r="S5728" t="str">
        <f t="shared" si="2672"/>
        <v>14:51:57.406</v>
      </c>
      <c r="T5728" t="str">
        <f t="shared" si="2673"/>
        <v>14:51:57.006</v>
      </c>
      <c r="U5728" t="str">
        <f t="shared" si="2657"/>
        <v>A9808D</v>
      </c>
      <c r="V5728">
        <v>0</v>
      </c>
      <c r="W5728">
        <v>0</v>
      </c>
      <c r="X5728">
        <v>1</v>
      </c>
      <c r="Z5728">
        <v>0</v>
      </c>
      <c r="AA5728">
        <v>9</v>
      </c>
      <c r="AB5728">
        <v>3</v>
      </c>
      <c r="AC5728">
        <v>0</v>
      </c>
      <c r="AD5728">
        <v>10</v>
      </c>
      <c r="AE5728">
        <v>0</v>
      </c>
      <c r="AF5728">
        <v>3</v>
      </c>
      <c r="AG5728">
        <v>2</v>
      </c>
      <c r="AH5728">
        <v>0</v>
      </c>
      <c r="AI5728" t="s">
        <v>1273</v>
      </c>
      <c r="AJ5728">
        <v>28.203363</v>
      </c>
      <c r="AK5728" t="s">
        <v>241</v>
      </c>
      <c r="AL5728">
        <v>-82.381775000000005</v>
      </c>
      <c r="AM5728">
        <v>100</v>
      </c>
      <c r="AN5728">
        <v>700</v>
      </c>
      <c r="AO5728" t="s">
        <v>118</v>
      </c>
      <c r="AP5728">
        <v>101</v>
      </c>
      <c r="AQ5728">
        <v>-32</v>
      </c>
      <c r="AR5728">
        <v>-512</v>
      </c>
      <c r="AZ5728">
        <v>1200</v>
      </c>
      <c r="BA5728">
        <v>1</v>
      </c>
      <c r="BB5728" t="str">
        <f t="shared" si="2670"/>
        <v xml:space="preserve">N711JA  </v>
      </c>
      <c r="BC5728">
        <v>1</v>
      </c>
      <c r="BE5728">
        <v>0</v>
      </c>
      <c r="BF5728">
        <v>0</v>
      </c>
      <c r="BG5728">
        <v>0</v>
      </c>
      <c r="BH5728">
        <v>775</v>
      </c>
      <c r="BI5728">
        <v>1</v>
      </c>
      <c r="BJ5728">
        <v>1</v>
      </c>
      <c r="BK5728">
        <v>0</v>
      </c>
      <c r="BL5728">
        <v>0</v>
      </c>
      <c r="BO5728">
        <v>0</v>
      </c>
      <c r="BP5728">
        <v>0</v>
      </c>
      <c r="BW5728" t="str">
        <f t="shared" si="2674"/>
        <v>14:51:57.412</v>
      </c>
      <c r="CJ5728">
        <v>0</v>
      </c>
      <c r="CK5728">
        <v>2</v>
      </c>
      <c r="CL5728">
        <v>0</v>
      </c>
      <c r="CM5728">
        <v>2</v>
      </c>
      <c r="CN5728">
        <v>0</v>
      </c>
      <c r="CO5728">
        <v>6</v>
      </c>
      <c r="CP5728" t="s">
        <v>119</v>
      </c>
      <c r="CQ5728">
        <v>358</v>
      </c>
      <c r="CR5728">
        <v>0</v>
      </c>
      <c r="CW5728">
        <v>5313487</v>
      </c>
      <c r="CY5728">
        <v>1</v>
      </c>
      <c r="CZ5728">
        <v>0</v>
      </c>
      <c r="DA5728">
        <v>1</v>
      </c>
      <c r="DB5728">
        <v>0</v>
      </c>
      <c r="DC5728">
        <v>0</v>
      </c>
      <c r="DD5728">
        <v>1</v>
      </c>
      <c r="DE5728">
        <v>0</v>
      </c>
      <c r="DF5728">
        <v>0</v>
      </c>
      <c r="DG5728">
        <v>0</v>
      </c>
      <c r="DH5728">
        <v>0</v>
      </c>
      <c r="DI5728">
        <v>0</v>
      </c>
    </row>
    <row r="5729" spans="1:113" x14ac:dyDescent="0.3">
      <c r="A5729" t="str">
        <f t="shared" si="2671"/>
        <v>05/12/2020 14:51:39.567</v>
      </c>
      <c r="C5729" t="str">
        <f t="shared" si="2669"/>
        <v>FFDFD3C0</v>
      </c>
      <c r="D5729" t="s">
        <v>138</v>
      </c>
      <c r="E5729">
        <v>2</v>
      </c>
      <c r="H5729">
        <v>8</v>
      </c>
      <c r="I5729" t="s">
        <v>139</v>
      </c>
      <c r="J5729" t="s">
        <v>136</v>
      </c>
      <c r="K5729">
        <v>0</v>
      </c>
      <c r="L5729">
        <v>3</v>
      </c>
      <c r="M5729">
        <v>0</v>
      </c>
      <c r="N5729">
        <v>2</v>
      </c>
      <c r="O5729">
        <v>1</v>
      </c>
      <c r="P5729">
        <v>0</v>
      </c>
      <c r="Q5729">
        <v>0</v>
      </c>
      <c r="S5729" t="str">
        <f t="shared" si="2672"/>
        <v>14:51:57.406</v>
      </c>
      <c r="T5729" t="str">
        <f t="shared" si="2673"/>
        <v>14:51:57.006</v>
      </c>
      <c r="U5729" t="str">
        <f t="shared" si="2657"/>
        <v>A9808D</v>
      </c>
      <c r="V5729">
        <v>0</v>
      </c>
      <c r="W5729">
        <v>0</v>
      </c>
      <c r="X5729">
        <v>1</v>
      </c>
      <c r="Z5729">
        <v>0</v>
      </c>
      <c r="AA5729">
        <v>9</v>
      </c>
      <c r="AB5729">
        <v>3</v>
      </c>
      <c r="AC5729">
        <v>0</v>
      </c>
      <c r="AD5729">
        <v>10</v>
      </c>
      <c r="AE5729">
        <v>0</v>
      </c>
      <c r="AF5729">
        <v>3</v>
      </c>
      <c r="AG5729">
        <v>2</v>
      </c>
      <c r="AH5729">
        <v>0</v>
      </c>
      <c r="AI5729" t="s">
        <v>1273</v>
      </c>
      <c r="AJ5729">
        <v>28.203363</v>
      </c>
      <c r="AK5729" t="s">
        <v>241</v>
      </c>
      <c r="AL5729">
        <v>-82.381775000000005</v>
      </c>
      <c r="AM5729">
        <v>100</v>
      </c>
      <c r="AN5729">
        <v>700</v>
      </c>
      <c r="AO5729" t="s">
        <v>118</v>
      </c>
      <c r="AP5729">
        <v>101</v>
      </c>
      <c r="AQ5729">
        <v>-32</v>
      </c>
      <c r="AR5729">
        <v>-512</v>
      </c>
      <c r="AZ5729">
        <v>1200</v>
      </c>
      <c r="BA5729">
        <v>1</v>
      </c>
      <c r="BB5729" t="str">
        <f t="shared" si="2670"/>
        <v xml:space="preserve">N711JA  </v>
      </c>
      <c r="BC5729">
        <v>1</v>
      </c>
      <c r="BE5729">
        <v>0</v>
      </c>
      <c r="BF5729">
        <v>0</v>
      </c>
      <c r="BG5729">
        <v>0</v>
      </c>
      <c r="BH5729">
        <v>775</v>
      </c>
      <c r="BI5729">
        <v>1</v>
      </c>
      <c r="BJ5729">
        <v>1</v>
      </c>
      <c r="BK5729">
        <v>0</v>
      </c>
      <c r="BL5729">
        <v>0</v>
      </c>
      <c r="BO5729">
        <v>0</v>
      </c>
      <c r="BP5729">
        <v>0</v>
      </c>
      <c r="BW5729" t="str">
        <f t="shared" si="2674"/>
        <v>14:51:57.412</v>
      </c>
      <c r="CJ5729">
        <v>0</v>
      </c>
      <c r="CK5729">
        <v>2</v>
      </c>
      <c r="CL5729">
        <v>0</v>
      </c>
      <c r="CM5729">
        <v>2</v>
      </c>
      <c r="CN5729">
        <v>0</v>
      </c>
      <c r="CO5729">
        <v>3</v>
      </c>
      <c r="CP5729" t="s">
        <v>119</v>
      </c>
      <c r="CQ5729">
        <v>8</v>
      </c>
      <c r="CR5729">
        <v>3</v>
      </c>
      <c r="CW5729">
        <v>9315902</v>
      </c>
      <c r="CY5729">
        <v>1</v>
      </c>
      <c r="CZ5729">
        <v>0</v>
      </c>
      <c r="DA5729">
        <v>1</v>
      </c>
      <c r="DB5729">
        <v>0</v>
      </c>
      <c r="DC5729">
        <v>0</v>
      </c>
      <c r="DD5729">
        <v>1</v>
      </c>
      <c r="DE5729">
        <v>0</v>
      </c>
      <c r="DF5729">
        <v>0</v>
      </c>
      <c r="DG5729">
        <v>0</v>
      </c>
      <c r="DH5729">
        <v>0</v>
      </c>
      <c r="DI5729">
        <v>0</v>
      </c>
    </row>
    <row r="5730" spans="1:113" x14ac:dyDescent="0.3">
      <c r="A5730" t="str">
        <f t="shared" si="2671"/>
        <v>05/12/2020 14:51:39.567</v>
      </c>
      <c r="C5730" t="str">
        <f t="shared" si="2669"/>
        <v>FFDFD3C0</v>
      </c>
      <c r="D5730" t="s">
        <v>131</v>
      </c>
      <c r="E5730">
        <v>12</v>
      </c>
      <c r="F5730">
        <v>2012</v>
      </c>
      <c r="G5730" t="s">
        <v>137</v>
      </c>
      <c r="J5730" t="s">
        <v>133</v>
      </c>
      <c r="K5730">
        <v>0</v>
      </c>
      <c r="L5730">
        <v>3</v>
      </c>
      <c r="M5730">
        <v>0</v>
      </c>
      <c r="N5730">
        <v>2</v>
      </c>
      <c r="O5730">
        <v>1</v>
      </c>
      <c r="P5730">
        <v>0</v>
      </c>
      <c r="Q5730">
        <v>0</v>
      </c>
      <c r="S5730" t="str">
        <f t="shared" si="2672"/>
        <v>14:51:57.406</v>
      </c>
      <c r="T5730" t="str">
        <f t="shared" si="2673"/>
        <v>14:51:57.006</v>
      </c>
      <c r="U5730" t="str">
        <f t="shared" si="2657"/>
        <v>A9808D</v>
      </c>
      <c r="V5730">
        <v>0</v>
      </c>
      <c r="W5730">
        <v>0</v>
      </c>
      <c r="X5730">
        <v>1</v>
      </c>
      <c r="Z5730">
        <v>0</v>
      </c>
      <c r="AA5730">
        <v>9</v>
      </c>
      <c r="AB5730">
        <v>3</v>
      </c>
      <c r="AC5730">
        <v>0</v>
      </c>
      <c r="AD5730">
        <v>10</v>
      </c>
      <c r="AE5730">
        <v>0</v>
      </c>
      <c r="AF5730">
        <v>3</v>
      </c>
      <c r="AG5730">
        <v>2</v>
      </c>
      <c r="AH5730">
        <v>0</v>
      </c>
      <c r="AI5730" t="s">
        <v>1273</v>
      </c>
      <c r="AJ5730">
        <v>28.203363</v>
      </c>
      <c r="AK5730" t="s">
        <v>241</v>
      </c>
      <c r="AL5730">
        <v>-82.381775000000005</v>
      </c>
      <c r="AM5730">
        <v>100</v>
      </c>
      <c r="AN5730">
        <v>700</v>
      </c>
      <c r="AO5730" t="s">
        <v>118</v>
      </c>
      <c r="AP5730">
        <v>101</v>
      </c>
      <c r="AQ5730">
        <v>-32</v>
      </c>
      <c r="AR5730">
        <v>-512</v>
      </c>
      <c r="AZ5730">
        <v>1200</v>
      </c>
      <c r="BA5730">
        <v>1</v>
      </c>
      <c r="BB5730" t="str">
        <f t="shared" si="2670"/>
        <v xml:space="preserve">N711JA  </v>
      </c>
      <c r="BC5730">
        <v>1</v>
      </c>
      <c r="BE5730">
        <v>0</v>
      </c>
      <c r="BF5730">
        <v>0</v>
      </c>
      <c r="BG5730">
        <v>0</v>
      </c>
      <c r="BH5730">
        <v>775</v>
      </c>
      <c r="BI5730">
        <v>1</v>
      </c>
      <c r="BJ5730">
        <v>1</v>
      </c>
      <c r="BK5730">
        <v>0</v>
      </c>
      <c r="BL5730">
        <v>0</v>
      </c>
      <c r="BO5730">
        <v>0</v>
      </c>
      <c r="BP5730">
        <v>0</v>
      </c>
      <c r="BW5730" t="str">
        <f t="shared" si="2674"/>
        <v>14:51:57.412</v>
      </c>
      <c r="CJ5730">
        <v>0</v>
      </c>
      <c r="CK5730">
        <v>2</v>
      </c>
      <c r="CL5730">
        <v>0</v>
      </c>
      <c r="CM5730">
        <v>2</v>
      </c>
      <c r="CN5730">
        <v>0</v>
      </c>
      <c r="CO5730">
        <v>3</v>
      </c>
      <c r="CP5730" t="s">
        <v>119</v>
      </c>
      <c r="CQ5730">
        <v>8</v>
      </c>
      <c r="CR5730">
        <v>3</v>
      </c>
      <c r="CW5730">
        <v>9315902</v>
      </c>
      <c r="CY5730">
        <v>1</v>
      </c>
      <c r="CZ5730">
        <v>0</v>
      </c>
      <c r="DA5730">
        <v>1</v>
      </c>
      <c r="DB5730">
        <v>0</v>
      </c>
      <c r="DC5730">
        <v>0</v>
      </c>
      <c r="DD5730">
        <v>1</v>
      </c>
      <c r="DE5730">
        <v>0</v>
      </c>
      <c r="DF5730">
        <v>0</v>
      </c>
      <c r="DG5730">
        <v>0</v>
      </c>
      <c r="DH5730">
        <v>0</v>
      </c>
      <c r="DI5730">
        <v>0</v>
      </c>
    </row>
    <row r="5731" spans="1:113" x14ac:dyDescent="0.3">
      <c r="A5731" t="str">
        <f t="shared" si="2671"/>
        <v>05/12/2020 14:51:39.567</v>
      </c>
      <c r="C5731" t="str">
        <f t="shared" si="2669"/>
        <v>FFDFD3C0</v>
      </c>
      <c r="D5731" t="s">
        <v>138</v>
      </c>
      <c r="E5731">
        <v>3</v>
      </c>
      <c r="H5731">
        <v>9</v>
      </c>
      <c r="I5731" t="s">
        <v>140</v>
      </c>
      <c r="J5731" t="s">
        <v>136</v>
      </c>
      <c r="K5731">
        <v>0</v>
      </c>
      <c r="L5731">
        <v>3</v>
      </c>
      <c r="M5731">
        <v>0</v>
      </c>
      <c r="N5731">
        <v>2</v>
      </c>
      <c r="O5731">
        <v>1</v>
      </c>
      <c r="P5731">
        <v>0</v>
      </c>
      <c r="Q5731">
        <v>0</v>
      </c>
      <c r="S5731" t="str">
        <f t="shared" si="2672"/>
        <v>14:51:57.406</v>
      </c>
      <c r="T5731" t="str">
        <f t="shared" si="2673"/>
        <v>14:51:57.006</v>
      </c>
      <c r="U5731" t="str">
        <f t="shared" si="2657"/>
        <v>A9808D</v>
      </c>
      <c r="V5731">
        <v>0</v>
      </c>
      <c r="W5731">
        <v>0</v>
      </c>
      <c r="X5731">
        <v>1</v>
      </c>
      <c r="Z5731">
        <v>0</v>
      </c>
      <c r="AA5731">
        <v>9</v>
      </c>
      <c r="AB5731">
        <v>3</v>
      </c>
      <c r="AC5731">
        <v>0</v>
      </c>
      <c r="AD5731">
        <v>10</v>
      </c>
      <c r="AE5731">
        <v>0</v>
      </c>
      <c r="AF5731">
        <v>3</v>
      </c>
      <c r="AG5731">
        <v>2</v>
      </c>
      <c r="AH5731">
        <v>0</v>
      </c>
      <c r="AI5731" t="s">
        <v>1273</v>
      </c>
      <c r="AJ5731">
        <v>28.203363</v>
      </c>
      <c r="AK5731" t="s">
        <v>241</v>
      </c>
      <c r="AL5731">
        <v>-82.381775000000005</v>
      </c>
      <c r="AM5731">
        <v>100</v>
      </c>
      <c r="AN5731">
        <v>700</v>
      </c>
      <c r="AO5731" t="s">
        <v>118</v>
      </c>
      <c r="AP5731">
        <v>101</v>
      </c>
      <c r="AQ5731">
        <v>-32</v>
      </c>
      <c r="AR5731">
        <v>-512</v>
      </c>
      <c r="AZ5731">
        <v>1200</v>
      </c>
      <c r="BA5731">
        <v>1</v>
      </c>
      <c r="BB5731" t="str">
        <f t="shared" si="2670"/>
        <v xml:space="preserve">N711JA  </v>
      </c>
      <c r="BC5731">
        <v>1</v>
      </c>
      <c r="BE5731">
        <v>0</v>
      </c>
      <c r="BF5731">
        <v>0</v>
      </c>
      <c r="BG5731">
        <v>0</v>
      </c>
      <c r="BH5731">
        <v>775</v>
      </c>
      <c r="BI5731">
        <v>1</v>
      </c>
      <c r="BJ5731">
        <v>1</v>
      </c>
      <c r="BK5731">
        <v>0</v>
      </c>
      <c r="BL5731">
        <v>0</v>
      </c>
      <c r="BO5731">
        <v>0</v>
      </c>
      <c r="BP5731">
        <v>0</v>
      </c>
      <c r="BW5731" t="str">
        <f t="shared" si="2674"/>
        <v>14:51:57.412</v>
      </c>
      <c r="CJ5731">
        <v>0</v>
      </c>
      <c r="CK5731">
        <v>2</v>
      </c>
      <c r="CL5731">
        <v>0</v>
      </c>
      <c r="CM5731">
        <v>2</v>
      </c>
      <c r="CN5731">
        <v>0</v>
      </c>
      <c r="CO5731">
        <v>6</v>
      </c>
      <c r="CP5731" t="s">
        <v>119</v>
      </c>
      <c r="CQ5731">
        <v>358</v>
      </c>
      <c r="CR5731">
        <v>0</v>
      </c>
      <c r="CW5731">
        <v>5313487</v>
      </c>
      <c r="CY5731">
        <v>1</v>
      </c>
      <c r="CZ5731">
        <v>0</v>
      </c>
      <c r="DA5731">
        <v>1</v>
      </c>
      <c r="DB5731">
        <v>0</v>
      </c>
      <c r="DC5731">
        <v>0</v>
      </c>
      <c r="DD5731">
        <v>1</v>
      </c>
      <c r="DE5731">
        <v>0</v>
      </c>
      <c r="DF5731">
        <v>0</v>
      </c>
      <c r="DG5731">
        <v>0</v>
      </c>
      <c r="DH5731">
        <v>0</v>
      </c>
      <c r="DI5731">
        <v>0</v>
      </c>
    </row>
    <row r="5732" spans="1:113" x14ac:dyDescent="0.3">
      <c r="A5732" t="str">
        <f>"05/12/2020 14:51:40.555"</f>
        <v>05/12/2020 14:51:40.555</v>
      </c>
      <c r="C5732" t="str">
        <f t="shared" si="2669"/>
        <v>FFDFD3C0</v>
      </c>
      <c r="D5732" t="s">
        <v>134</v>
      </c>
      <c r="E5732">
        <v>12</v>
      </c>
      <c r="H5732">
        <v>64</v>
      </c>
      <c r="I5732" t="s">
        <v>135</v>
      </c>
      <c r="J5732" t="s">
        <v>136</v>
      </c>
      <c r="K5732">
        <v>0</v>
      </c>
      <c r="L5732">
        <v>3</v>
      </c>
      <c r="M5732">
        <v>0</v>
      </c>
      <c r="N5732">
        <v>2</v>
      </c>
      <c r="O5732">
        <v>1</v>
      </c>
      <c r="P5732">
        <v>0</v>
      </c>
      <c r="Q5732">
        <v>0</v>
      </c>
      <c r="S5732" t="str">
        <f>"14:51:58.352"</f>
        <v>14:51:58.352</v>
      </c>
      <c r="T5732" t="str">
        <f>"14:51:58.052"</f>
        <v>14:51:58.052</v>
      </c>
      <c r="U5732" t="str">
        <f t="shared" si="2657"/>
        <v>A9808D</v>
      </c>
      <c r="V5732">
        <v>0</v>
      </c>
      <c r="W5732">
        <v>0</v>
      </c>
      <c r="X5732">
        <v>1</v>
      </c>
      <c r="Z5732">
        <v>0</v>
      </c>
      <c r="AA5732">
        <v>9</v>
      </c>
      <c r="AB5732">
        <v>3</v>
      </c>
      <c r="AC5732">
        <v>0</v>
      </c>
      <c r="AD5732">
        <v>10</v>
      </c>
      <c r="AE5732">
        <v>0</v>
      </c>
      <c r="AF5732">
        <v>3</v>
      </c>
      <c r="AG5732">
        <v>2</v>
      </c>
      <c r="AH5732">
        <v>0</v>
      </c>
      <c r="AI5732" t="s">
        <v>1274</v>
      </c>
      <c r="AJ5732">
        <v>28.203234999999999</v>
      </c>
      <c r="AK5732" t="s">
        <v>255</v>
      </c>
      <c r="AL5732">
        <v>-82.381238999999994</v>
      </c>
      <c r="AM5732">
        <v>100</v>
      </c>
      <c r="AN5732">
        <v>700</v>
      </c>
      <c r="AO5732" t="s">
        <v>118</v>
      </c>
      <c r="AP5732">
        <v>102</v>
      </c>
      <c r="AQ5732">
        <v>-26</v>
      </c>
      <c r="AR5732">
        <v>-768</v>
      </c>
      <c r="AZ5732">
        <v>1200</v>
      </c>
      <c r="BA5732">
        <v>1</v>
      </c>
      <c r="BB5732" t="str">
        <f t="shared" si="2670"/>
        <v xml:space="preserve">N711JA  </v>
      </c>
      <c r="BC5732">
        <v>1</v>
      </c>
      <c r="BE5732">
        <v>0</v>
      </c>
      <c r="BF5732">
        <v>0</v>
      </c>
      <c r="BG5732">
        <v>0</v>
      </c>
      <c r="BH5732">
        <v>775</v>
      </c>
      <c r="BI5732">
        <v>1</v>
      </c>
      <c r="BJ5732">
        <v>1</v>
      </c>
      <c r="BK5732">
        <v>0</v>
      </c>
      <c r="BL5732">
        <v>0</v>
      </c>
      <c r="BO5732">
        <v>0</v>
      </c>
      <c r="BP5732">
        <v>0</v>
      </c>
      <c r="BW5732" t="str">
        <f>"14:51:58.356"</f>
        <v>14:51:58.356</v>
      </c>
      <c r="CJ5732">
        <v>0</v>
      </c>
      <c r="CK5732">
        <v>2</v>
      </c>
      <c r="CL5732">
        <v>0</v>
      </c>
      <c r="CM5732">
        <v>2</v>
      </c>
      <c r="CN5732">
        <v>0</v>
      </c>
      <c r="CO5732">
        <v>6</v>
      </c>
      <c r="CP5732" t="s">
        <v>119</v>
      </c>
      <c r="CQ5732">
        <v>358</v>
      </c>
      <c r="CR5732">
        <v>0</v>
      </c>
      <c r="CW5732">
        <v>5314645</v>
      </c>
      <c r="CY5732">
        <v>1</v>
      </c>
      <c r="CZ5732">
        <v>0</v>
      </c>
      <c r="DA5732">
        <v>0</v>
      </c>
      <c r="DB5732">
        <v>0</v>
      </c>
      <c r="DC5732">
        <v>0</v>
      </c>
      <c r="DD5732">
        <v>1</v>
      </c>
      <c r="DE5732">
        <v>0</v>
      </c>
      <c r="DF5732">
        <v>0</v>
      </c>
      <c r="DG5732">
        <v>0</v>
      </c>
      <c r="DH5732">
        <v>0</v>
      </c>
      <c r="DI5732">
        <v>0</v>
      </c>
    </row>
    <row r="5733" spans="1:113" x14ac:dyDescent="0.3">
      <c r="A5733" t="str">
        <f>"05/12/2020 14:51:40.555"</f>
        <v>05/12/2020 14:51:40.555</v>
      </c>
      <c r="C5733" t="str">
        <f t="shared" si="2669"/>
        <v>FFDFD3C0</v>
      </c>
      <c r="D5733" t="s">
        <v>126</v>
      </c>
      <c r="E5733">
        <v>7</v>
      </c>
      <c r="F5733">
        <v>1007</v>
      </c>
      <c r="G5733" t="s">
        <v>127</v>
      </c>
      <c r="J5733" t="s">
        <v>128</v>
      </c>
      <c r="K5733">
        <v>0</v>
      </c>
      <c r="L5733">
        <v>3</v>
      </c>
      <c r="M5733">
        <v>0</v>
      </c>
      <c r="N5733">
        <v>2</v>
      </c>
      <c r="O5733">
        <v>1</v>
      </c>
      <c r="P5733">
        <v>0</v>
      </c>
      <c r="Q5733">
        <v>0</v>
      </c>
      <c r="S5733" t="str">
        <f>"14:51:58.352"</f>
        <v>14:51:58.352</v>
      </c>
      <c r="T5733" t="str">
        <f>"14:51:58.052"</f>
        <v>14:51:58.052</v>
      </c>
      <c r="U5733" t="str">
        <f t="shared" si="2657"/>
        <v>A9808D</v>
      </c>
      <c r="V5733">
        <v>0</v>
      </c>
      <c r="W5733">
        <v>0</v>
      </c>
      <c r="X5733">
        <v>1</v>
      </c>
      <c r="Z5733">
        <v>0</v>
      </c>
      <c r="AA5733">
        <v>9</v>
      </c>
      <c r="AB5733">
        <v>3</v>
      </c>
      <c r="AC5733">
        <v>0</v>
      </c>
      <c r="AD5733">
        <v>10</v>
      </c>
      <c r="AE5733">
        <v>0</v>
      </c>
      <c r="AF5733">
        <v>3</v>
      </c>
      <c r="AG5733">
        <v>2</v>
      </c>
      <c r="AH5733">
        <v>0</v>
      </c>
      <c r="AI5733" t="s">
        <v>1274</v>
      </c>
      <c r="AJ5733">
        <v>28.203234999999999</v>
      </c>
      <c r="AK5733" t="s">
        <v>255</v>
      </c>
      <c r="AL5733">
        <v>-82.381238999999994</v>
      </c>
      <c r="AM5733">
        <v>100</v>
      </c>
      <c r="AN5733">
        <v>700</v>
      </c>
      <c r="AO5733" t="s">
        <v>118</v>
      </c>
      <c r="AP5733">
        <v>102</v>
      </c>
      <c r="AQ5733">
        <v>-26</v>
      </c>
      <c r="AR5733">
        <v>-768</v>
      </c>
      <c r="AZ5733">
        <v>1200</v>
      </c>
      <c r="BA5733">
        <v>1</v>
      </c>
      <c r="BB5733" t="str">
        <f t="shared" si="2670"/>
        <v xml:space="preserve">N711JA  </v>
      </c>
      <c r="BC5733">
        <v>1</v>
      </c>
      <c r="BE5733">
        <v>0</v>
      </c>
      <c r="BF5733">
        <v>0</v>
      </c>
      <c r="BG5733">
        <v>0</v>
      </c>
      <c r="BH5733">
        <v>775</v>
      </c>
      <c r="BI5733">
        <v>1</v>
      </c>
      <c r="BJ5733">
        <v>1</v>
      </c>
      <c r="BK5733">
        <v>0</v>
      </c>
      <c r="BL5733">
        <v>0</v>
      </c>
      <c r="BO5733">
        <v>0</v>
      </c>
      <c r="BP5733">
        <v>0</v>
      </c>
      <c r="BW5733" t="str">
        <f>"14:51:58.356"</f>
        <v>14:51:58.356</v>
      </c>
      <c r="CJ5733">
        <v>0</v>
      </c>
      <c r="CK5733">
        <v>2</v>
      </c>
      <c r="CL5733">
        <v>0</v>
      </c>
      <c r="CM5733">
        <v>2</v>
      </c>
      <c r="CN5733">
        <v>0</v>
      </c>
      <c r="CO5733">
        <v>6</v>
      </c>
      <c r="CP5733" t="s">
        <v>119</v>
      </c>
      <c r="CQ5733">
        <v>358</v>
      </c>
      <c r="CR5733">
        <v>0</v>
      </c>
      <c r="CW5733">
        <v>5314645</v>
      </c>
      <c r="CY5733">
        <v>1</v>
      </c>
      <c r="CZ5733">
        <v>0</v>
      </c>
      <c r="DA5733">
        <v>1</v>
      </c>
      <c r="DB5733">
        <v>0</v>
      </c>
      <c r="DC5733">
        <v>0</v>
      </c>
      <c r="DD5733">
        <v>1</v>
      </c>
      <c r="DE5733">
        <v>0</v>
      </c>
      <c r="DF5733">
        <v>0</v>
      </c>
      <c r="DG5733">
        <v>0</v>
      </c>
      <c r="DH5733">
        <v>0</v>
      </c>
      <c r="DI5733">
        <v>0</v>
      </c>
    </row>
    <row r="5734" spans="1:113" x14ac:dyDescent="0.3">
      <c r="A5734" t="str">
        <f>"05/12/2020 14:51:40.555"</f>
        <v>05/12/2020 14:51:40.555</v>
      </c>
      <c r="C5734" t="str">
        <f t="shared" si="2669"/>
        <v>FFDFD3C0</v>
      </c>
      <c r="D5734" t="s">
        <v>131</v>
      </c>
      <c r="E5734">
        <v>10</v>
      </c>
      <c r="F5734">
        <v>2010</v>
      </c>
      <c r="G5734" t="s">
        <v>132</v>
      </c>
      <c r="J5734" t="s">
        <v>133</v>
      </c>
      <c r="K5734">
        <v>0</v>
      </c>
      <c r="L5734">
        <v>3</v>
      </c>
      <c r="M5734">
        <v>0</v>
      </c>
      <c r="N5734">
        <v>2</v>
      </c>
      <c r="O5734">
        <v>1</v>
      </c>
      <c r="P5734">
        <v>0</v>
      </c>
      <c r="Q5734">
        <v>0</v>
      </c>
      <c r="S5734" t="str">
        <f>"14:51:58.352"</f>
        <v>14:51:58.352</v>
      </c>
      <c r="T5734" t="str">
        <f>"14:51:58.052"</f>
        <v>14:51:58.052</v>
      </c>
      <c r="U5734" t="str">
        <f t="shared" si="2657"/>
        <v>A9808D</v>
      </c>
      <c r="V5734">
        <v>0</v>
      </c>
      <c r="W5734">
        <v>0</v>
      </c>
      <c r="X5734">
        <v>1</v>
      </c>
      <c r="Z5734">
        <v>0</v>
      </c>
      <c r="AA5734">
        <v>9</v>
      </c>
      <c r="AB5734">
        <v>3</v>
      </c>
      <c r="AC5734">
        <v>0</v>
      </c>
      <c r="AD5734">
        <v>10</v>
      </c>
      <c r="AE5734">
        <v>0</v>
      </c>
      <c r="AF5734">
        <v>3</v>
      </c>
      <c r="AG5734">
        <v>2</v>
      </c>
      <c r="AH5734">
        <v>0</v>
      </c>
      <c r="AI5734" t="s">
        <v>1274</v>
      </c>
      <c r="AJ5734">
        <v>28.203234999999999</v>
      </c>
      <c r="AK5734" t="s">
        <v>255</v>
      </c>
      <c r="AL5734">
        <v>-82.381238999999994</v>
      </c>
      <c r="AM5734">
        <v>100</v>
      </c>
      <c r="AN5734">
        <v>700</v>
      </c>
      <c r="AO5734" t="s">
        <v>118</v>
      </c>
      <c r="AP5734">
        <v>102</v>
      </c>
      <c r="AQ5734">
        <v>-26</v>
      </c>
      <c r="AR5734">
        <v>-768</v>
      </c>
      <c r="AZ5734">
        <v>1200</v>
      </c>
      <c r="BA5734">
        <v>1</v>
      </c>
      <c r="BB5734" t="str">
        <f t="shared" si="2670"/>
        <v xml:space="preserve">N711JA  </v>
      </c>
      <c r="BC5734">
        <v>1</v>
      </c>
      <c r="BE5734">
        <v>0</v>
      </c>
      <c r="BF5734">
        <v>0</v>
      </c>
      <c r="BG5734">
        <v>0</v>
      </c>
      <c r="BH5734">
        <v>775</v>
      </c>
      <c r="BI5734">
        <v>1</v>
      </c>
      <c r="BJ5734">
        <v>1</v>
      </c>
      <c r="BK5734">
        <v>0</v>
      </c>
      <c r="BL5734">
        <v>0</v>
      </c>
      <c r="BO5734">
        <v>0</v>
      </c>
      <c r="BP5734">
        <v>0</v>
      </c>
      <c r="BW5734" t="str">
        <f>"14:51:58.356"</f>
        <v>14:51:58.356</v>
      </c>
      <c r="CJ5734">
        <v>0</v>
      </c>
      <c r="CK5734">
        <v>2</v>
      </c>
      <c r="CL5734">
        <v>0</v>
      </c>
      <c r="CM5734">
        <v>2</v>
      </c>
      <c r="CN5734">
        <v>0</v>
      </c>
      <c r="CO5734">
        <v>6</v>
      </c>
      <c r="CP5734" t="s">
        <v>119</v>
      </c>
      <c r="CQ5734">
        <v>358</v>
      </c>
      <c r="CR5734">
        <v>0</v>
      </c>
      <c r="CW5734">
        <v>5314645</v>
      </c>
      <c r="CY5734">
        <v>1</v>
      </c>
      <c r="CZ5734">
        <v>0</v>
      </c>
      <c r="DA5734">
        <v>1</v>
      </c>
      <c r="DB5734">
        <v>0</v>
      </c>
      <c r="DC5734">
        <v>0</v>
      </c>
      <c r="DD5734">
        <v>1</v>
      </c>
      <c r="DE5734">
        <v>0</v>
      </c>
      <c r="DF5734">
        <v>0</v>
      </c>
      <c r="DG5734">
        <v>0</v>
      </c>
      <c r="DH5734">
        <v>0</v>
      </c>
      <c r="DI5734">
        <v>0</v>
      </c>
    </row>
    <row r="5735" spans="1:113" x14ac:dyDescent="0.3">
      <c r="A5735" t="str">
        <f>"05/12/2020 14:51:40.555"</f>
        <v>05/12/2020 14:51:40.555</v>
      </c>
      <c r="C5735" t="str">
        <f t="shared" si="2669"/>
        <v>FFDFD3C0</v>
      </c>
      <c r="D5735" t="s">
        <v>138</v>
      </c>
      <c r="E5735">
        <v>3</v>
      </c>
      <c r="H5735">
        <v>9</v>
      </c>
      <c r="I5735" t="s">
        <v>140</v>
      </c>
      <c r="J5735" t="s">
        <v>136</v>
      </c>
      <c r="K5735">
        <v>0</v>
      </c>
      <c r="L5735">
        <v>3</v>
      </c>
      <c r="M5735">
        <v>0</v>
      </c>
      <c r="N5735">
        <v>2</v>
      </c>
      <c r="O5735">
        <v>1</v>
      </c>
      <c r="P5735">
        <v>0</v>
      </c>
      <c r="Q5735">
        <v>0</v>
      </c>
      <c r="S5735" t="str">
        <f>"14:51:58.352"</f>
        <v>14:51:58.352</v>
      </c>
      <c r="T5735" t="str">
        <f>"14:51:58.052"</f>
        <v>14:51:58.052</v>
      </c>
      <c r="U5735" t="str">
        <f t="shared" si="2657"/>
        <v>A9808D</v>
      </c>
      <c r="V5735">
        <v>0</v>
      </c>
      <c r="W5735">
        <v>0</v>
      </c>
      <c r="X5735">
        <v>1</v>
      </c>
      <c r="Z5735">
        <v>0</v>
      </c>
      <c r="AA5735">
        <v>9</v>
      </c>
      <c r="AB5735">
        <v>3</v>
      </c>
      <c r="AC5735">
        <v>0</v>
      </c>
      <c r="AD5735">
        <v>10</v>
      </c>
      <c r="AE5735">
        <v>0</v>
      </c>
      <c r="AF5735">
        <v>3</v>
      </c>
      <c r="AG5735">
        <v>2</v>
      </c>
      <c r="AH5735">
        <v>0</v>
      </c>
      <c r="AI5735" t="s">
        <v>1274</v>
      </c>
      <c r="AJ5735">
        <v>28.203234999999999</v>
      </c>
      <c r="AK5735" t="s">
        <v>255</v>
      </c>
      <c r="AL5735">
        <v>-82.381238999999994</v>
      </c>
      <c r="AM5735">
        <v>100</v>
      </c>
      <c r="AN5735">
        <v>700</v>
      </c>
      <c r="AO5735" t="s">
        <v>118</v>
      </c>
      <c r="AP5735">
        <v>102</v>
      </c>
      <c r="AQ5735">
        <v>-26</v>
      </c>
      <c r="AR5735">
        <v>-768</v>
      </c>
      <c r="AZ5735">
        <v>1200</v>
      </c>
      <c r="BA5735">
        <v>1</v>
      </c>
      <c r="BB5735" t="str">
        <f t="shared" si="2670"/>
        <v xml:space="preserve">N711JA  </v>
      </c>
      <c r="BC5735">
        <v>1</v>
      </c>
      <c r="BE5735">
        <v>0</v>
      </c>
      <c r="BF5735">
        <v>0</v>
      </c>
      <c r="BG5735">
        <v>0</v>
      </c>
      <c r="BH5735">
        <v>775</v>
      </c>
      <c r="BI5735">
        <v>1</v>
      </c>
      <c r="BJ5735">
        <v>1</v>
      </c>
      <c r="BK5735">
        <v>0</v>
      </c>
      <c r="BL5735">
        <v>0</v>
      </c>
      <c r="BO5735">
        <v>0</v>
      </c>
      <c r="BP5735">
        <v>0</v>
      </c>
      <c r="BW5735" t="str">
        <f>"14:51:58.356"</f>
        <v>14:51:58.356</v>
      </c>
      <c r="CJ5735">
        <v>0</v>
      </c>
      <c r="CK5735">
        <v>2</v>
      </c>
      <c r="CL5735">
        <v>0</v>
      </c>
      <c r="CM5735">
        <v>2</v>
      </c>
      <c r="CN5735">
        <v>0</v>
      </c>
      <c r="CO5735">
        <v>6</v>
      </c>
      <c r="CP5735" t="s">
        <v>119</v>
      </c>
      <c r="CQ5735">
        <v>358</v>
      </c>
      <c r="CR5735">
        <v>0</v>
      </c>
      <c r="CW5735">
        <v>5314645</v>
      </c>
      <c r="CY5735">
        <v>1</v>
      </c>
      <c r="CZ5735">
        <v>0</v>
      </c>
      <c r="DA5735">
        <v>1</v>
      </c>
      <c r="DB5735">
        <v>0</v>
      </c>
      <c r="DC5735">
        <v>0</v>
      </c>
      <c r="DD5735">
        <v>1</v>
      </c>
      <c r="DE5735">
        <v>0</v>
      </c>
      <c r="DF5735">
        <v>0</v>
      </c>
      <c r="DG5735">
        <v>0</v>
      </c>
      <c r="DH5735">
        <v>0</v>
      </c>
      <c r="DI5735">
        <v>0</v>
      </c>
    </row>
    <row r="5736" spans="1:113" x14ac:dyDescent="0.3">
      <c r="A5736" t="str">
        <f>"05/12/2020 14:51:40.555"</f>
        <v>05/12/2020 14:51:40.555</v>
      </c>
      <c r="C5736" t="str">
        <f t="shared" si="2669"/>
        <v>FFDFD3C0</v>
      </c>
      <c r="D5736" t="s">
        <v>126</v>
      </c>
      <c r="E5736">
        <v>6</v>
      </c>
      <c r="F5736">
        <v>1006</v>
      </c>
      <c r="G5736" t="s">
        <v>114</v>
      </c>
      <c r="J5736" t="s">
        <v>128</v>
      </c>
      <c r="K5736">
        <v>0</v>
      </c>
      <c r="L5736">
        <v>3</v>
      </c>
      <c r="M5736">
        <v>0</v>
      </c>
      <c r="N5736">
        <v>2</v>
      </c>
      <c r="O5736">
        <v>1</v>
      </c>
      <c r="P5736">
        <v>0</v>
      </c>
      <c r="Q5736">
        <v>0</v>
      </c>
      <c r="S5736" t="str">
        <f>"14:51:58.352"</f>
        <v>14:51:58.352</v>
      </c>
      <c r="T5736" t="str">
        <f>"14:51:58.052"</f>
        <v>14:51:58.052</v>
      </c>
      <c r="U5736" t="str">
        <f t="shared" si="2657"/>
        <v>A9808D</v>
      </c>
      <c r="V5736">
        <v>0</v>
      </c>
      <c r="W5736">
        <v>0</v>
      </c>
      <c r="X5736">
        <v>1</v>
      </c>
      <c r="Z5736">
        <v>0</v>
      </c>
      <c r="AA5736">
        <v>9</v>
      </c>
      <c r="AB5736">
        <v>3</v>
      </c>
      <c r="AC5736">
        <v>0</v>
      </c>
      <c r="AD5736">
        <v>10</v>
      </c>
      <c r="AE5736">
        <v>0</v>
      </c>
      <c r="AF5736">
        <v>3</v>
      </c>
      <c r="AG5736">
        <v>2</v>
      </c>
      <c r="AH5736">
        <v>0</v>
      </c>
      <c r="AI5736" t="s">
        <v>1274</v>
      </c>
      <c r="AJ5736">
        <v>28.203234999999999</v>
      </c>
      <c r="AK5736" t="s">
        <v>255</v>
      </c>
      <c r="AL5736">
        <v>-82.381238999999994</v>
      </c>
      <c r="AM5736">
        <v>100</v>
      </c>
      <c r="AN5736">
        <v>700</v>
      </c>
      <c r="AO5736" t="s">
        <v>118</v>
      </c>
      <c r="AP5736">
        <v>102</v>
      </c>
      <c r="AQ5736">
        <v>-26</v>
      </c>
      <c r="AR5736">
        <v>-768</v>
      </c>
      <c r="AZ5736">
        <v>1200</v>
      </c>
      <c r="BA5736">
        <v>1</v>
      </c>
      <c r="BB5736" t="str">
        <f t="shared" si="2670"/>
        <v xml:space="preserve">N711JA  </v>
      </c>
      <c r="BC5736">
        <v>1</v>
      </c>
      <c r="BE5736">
        <v>0</v>
      </c>
      <c r="BF5736">
        <v>0</v>
      </c>
      <c r="BG5736">
        <v>0</v>
      </c>
      <c r="BH5736">
        <v>775</v>
      </c>
      <c r="BI5736">
        <v>1</v>
      </c>
      <c r="BJ5736">
        <v>1</v>
      </c>
      <c r="BK5736">
        <v>0</v>
      </c>
      <c r="BL5736">
        <v>0</v>
      </c>
      <c r="BO5736">
        <v>0</v>
      </c>
      <c r="BP5736">
        <v>0</v>
      </c>
      <c r="BW5736" t="str">
        <f>"14:51:58.356"</f>
        <v>14:51:58.356</v>
      </c>
      <c r="CJ5736">
        <v>0</v>
      </c>
      <c r="CK5736">
        <v>2</v>
      </c>
      <c r="CL5736">
        <v>0</v>
      </c>
      <c r="CM5736">
        <v>2</v>
      </c>
      <c r="CN5736">
        <v>0</v>
      </c>
      <c r="CO5736">
        <v>6</v>
      </c>
      <c r="CP5736" t="s">
        <v>119</v>
      </c>
      <c r="CQ5736">
        <v>358</v>
      </c>
      <c r="CR5736">
        <v>0</v>
      </c>
      <c r="CW5736">
        <v>5314645</v>
      </c>
      <c r="CY5736">
        <v>1</v>
      </c>
      <c r="CZ5736">
        <v>0</v>
      </c>
      <c r="DA5736">
        <v>1</v>
      </c>
      <c r="DB5736">
        <v>0</v>
      </c>
      <c r="DC5736">
        <v>0</v>
      </c>
      <c r="DD5736">
        <v>1</v>
      </c>
      <c r="DE5736">
        <v>0</v>
      </c>
      <c r="DF5736">
        <v>0</v>
      </c>
      <c r="DG5736">
        <v>0</v>
      </c>
      <c r="DH5736">
        <v>0</v>
      </c>
      <c r="DI5736">
        <v>0</v>
      </c>
    </row>
    <row r="5737" spans="1:113" x14ac:dyDescent="0.3">
      <c r="A5737" t="str">
        <f t="shared" ref="A5737:A5744" si="2675">"05/12/2020 14:51:41.514"</f>
        <v>05/12/2020 14:51:41.514</v>
      </c>
      <c r="C5737" t="str">
        <f t="shared" si="2669"/>
        <v>FFDFD3C0</v>
      </c>
      <c r="D5737" t="s">
        <v>126</v>
      </c>
      <c r="E5737">
        <v>7</v>
      </c>
      <c r="F5737">
        <v>1007</v>
      </c>
      <c r="G5737" t="s">
        <v>127</v>
      </c>
      <c r="J5737" t="s">
        <v>128</v>
      </c>
      <c r="K5737">
        <v>0</v>
      </c>
      <c r="L5737">
        <v>3</v>
      </c>
      <c r="M5737">
        <v>0</v>
      </c>
      <c r="N5737">
        <v>2</v>
      </c>
      <c r="O5737">
        <v>1</v>
      </c>
      <c r="P5737">
        <v>0</v>
      </c>
      <c r="Q5737">
        <v>0</v>
      </c>
      <c r="S5737" t="str">
        <f t="shared" ref="S5737:S5744" si="2676">"14:51:59.336"</f>
        <v>14:51:59.336</v>
      </c>
      <c r="T5737" t="str">
        <f t="shared" ref="T5737:T5744" si="2677">"14:51:59.036"</f>
        <v>14:51:59.036</v>
      </c>
      <c r="U5737" t="str">
        <f t="shared" si="2657"/>
        <v>A9808D</v>
      </c>
      <c r="V5737">
        <v>0</v>
      </c>
      <c r="W5737">
        <v>0</v>
      </c>
      <c r="X5737">
        <v>1</v>
      </c>
      <c r="Z5737">
        <v>0</v>
      </c>
      <c r="AA5737">
        <v>9</v>
      </c>
      <c r="AB5737">
        <v>3</v>
      </c>
      <c r="AC5737">
        <v>0</v>
      </c>
      <c r="AD5737">
        <v>10</v>
      </c>
      <c r="AE5737">
        <v>0</v>
      </c>
      <c r="AF5737">
        <v>3</v>
      </c>
      <c r="AG5737">
        <v>2</v>
      </c>
      <c r="AH5737">
        <v>0</v>
      </c>
      <c r="AI5737" t="s">
        <v>1275</v>
      </c>
      <c r="AJ5737">
        <v>28.203192000000001</v>
      </c>
      <c r="AK5737" t="s">
        <v>321</v>
      </c>
      <c r="AL5737">
        <v>-82.380724000000001</v>
      </c>
      <c r="AM5737">
        <v>100</v>
      </c>
      <c r="AN5737">
        <v>700</v>
      </c>
      <c r="AO5737" t="s">
        <v>118</v>
      </c>
      <c r="AP5737">
        <v>102</v>
      </c>
      <c r="AQ5737">
        <v>-19</v>
      </c>
      <c r="AR5737">
        <v>-896</v>
      </c>
      <c r="AZ5737">
        <v>1200</v>
      </c>
      <c r="BA5737">
        <v>1</v>
      </c>
      <c r="BB5737" t="str">
        <f t="shared" si="2670"/>
        <v xml:space="preserve">N711JA  </v>
      </c>
      <c r="BC5737">
        <v>1</v>
      </c>
      <c r="BE5737">
        <v>0</v>
      </c>
      <c r="BF5737">
        <v>0</v>
      </c>
      <c r="BG5737">
        <v>0</v>
      </c>
      <c r="BH5737">
        <v>750</v>
      </c>
      <c r="BI5737">
        <v>1</v>
      </c>
      <c r="BJ5737">
        <v>1</v>
      </c>
      <c r="BK5737">
        <v>0</v>
      </c>
      <c r="BL5737">
        <v>0</v>
      </c>
      <c r="BO5737">
        <v>0</v>
      </c>
      <c r="BP5737">
        <v>0</v>
      </c>
      <c r="BW5737" t="str">
        <f t="shared" ref="BW5737:BW5744" si="2678">"14:51:59.340"</f>
        <v>14:51:59.340</v>
      </c>
      <c r="CJ5737">
        <v>0</v>
      </c>
      <c r="CK5737">
        <v>2</v>
      </c>
      <c r="CL5737">
        <v>0</v>
      </c>
      <c r="CM5737">
        <v>2</v>
      </c>
      <c r="CN5737">
        <v>0</v>
      </c>
      <c r="CO5737">
        <v>6</v>
      </c>
      <c r="CP5737" t="s">
        <v>119</v>
      </c>
      <c r="CQ5737">
        <v>358</v>
      </c>
      <c r="CR5737">
        <v>0</v>
      </c>
      <c r="CW5737">
        <v>5315906</v>
      </c>
      <c r="CY5737">
        <v>1</v>
      </c>
      <c r="CZ5737">
        <v>0</v>
      </c>
      <c r="DA5737">
        <v>0</v>
      </c>
      <c r="DB5737">
        <v>0</v>
      </c>
      <c r="DC5737">
        <v>0</v>
      </c>
      <c r="DD5737">
        <v>1</v>
      </c>
      <c r="DE5737">
        <v>0</v>
      </c>
      <c r="DF5737">
        <v>0</v>
      </c>
      <c r="DG5737">
        <v>0</v>
      </c>
      <c r="DH5737">
        <v>0</v>
      </c>
      <c r="DI5737">
        <v>0</v>
      </c>
    </row>
    <row r="5738" spans="1:113" x14ac:dyDescent="0.3">
      <c r="A5738" t="str">
        <f t="shared" si="2675"/>
        <v>05/12/2020 14:51:41.514</v>
      </c>
      <c r="C5738" t="str">
        <f t="shared" si="2669"/>
        <v>FFDFD3C0</v>
      </c>
      <c r="D5738" t="s">
        <v>131</v>
      </c>
      <c r="E5738">
        <v>10</v>
      </c>
      <c r="F5738">
        <v>2010</v>
      </c>
      <c r="G5738" t="s">
        <v>132</v>
      </c>
      <c r="J5738" t="s">
        <v>133</v>
      </c>
      <c r="K5738">
        <v>0</v>
      </c>
      <c r="L5738">
        <v>3</v>
      </c>
      <c r="M5738">
        <v>0</v>
      </c>
      <c r="N5738">
        <v>2</v>
      </c>
      <c r="O5738">
        <v>1</v>
      </c>
      <c r="P5738">
        <v>0</v>
      </c>
      <c r="Q5738">
        <v>0</v>
      </c>
      <c r="S5738" t="str">
        <f t="shared" si="2676"/>
        <v>14:51:59.336</v>
      </c>
      <c r="T5738" t="str">
        <f t="shared" si="2677"/>
        <v>14:51:59.036</v>
      </c>
      <c r="U5738" t="str">
        <f t="shared" si="2657"/>
        <v>A9808D</v>
      </c>
      <c r="V5738">
        <v>0</v>
      </c>
      <c r="W5738">
        <v>0</v>
      </c>
      <c r="X5738">
        <v>1</v>
      </c>
      <c r="Z5738">
        <v>0</v>
      </c>
      <c r="AA5738">
        <v>9</v>
      </c>
      <c r="AB5738">
        <v>3</v>
      </c>
      <c r="AC5738">
        <v>0</v>
      </c>
      <c r="AD5738">
        <v>10</v>
      </c>
      <c r="AE5738">
        <v>0</v>
      </c>
      <c r="AF5738">
        <v>3</v>
      </c>
      <c r="AG5738">
        <v>2</v>
      </c>
      <c r="AH5738">
        <v>0</v>
      </c>
      <c r="AI5738" t="s">
        <v>1275</v>
      </c>
      <c r="AJ5738">
        <v>28.203192000000001</v>
      </c>
      <c r="AK5738" t="s">
        <v>321</v>
      </c>
      <c r="AL5738">
        <v>-82.380724000000001</v>
      </c>
      <c r="AM5738">
        <v>100</v>
      </c>
      <c r="AN5738">
        <v>700</v>
      </c>
      <c r="AO5738" t="s">
        <v>118</v>
      </c>
      <c r="AP5738">
        <v>102</v>
      </c>
      <c r="AQ5738">
        <v>-19</v>
      </c>
      <c r="AR5738">
        <v>-896</v>
      </c>
      <c r="AZ5738">
        <v>1200</v>
      </c>
      <c r="BA5738">
        <v>1</v>
      </c>
      <c r="BB5738" t="str">
        <f t="shared" si="2670"/>
        <v xml:space="preserve">N711JA  </v>
      </c>
      <c r="BC5738">
        <v>1</v>
      </c>
      <c r="BE5738">
        <v>0</v>
      </c>
      <c r="BF5738">
        <v>0</v>
      </c>
      <c r="BG5738">
        <v>0</v>
      </c>
      <c r="BH5738">
        <v>750</v>
      </c>
      <c r="BI5738">
        <v>1</v>
      </c>
      <c r="BJ5738">
        <v>1</v>
      </c>
      <c r="BK5738">
        <v>0</v>
      </c>
      <c r="BL5738">
        <v>0</v>
      </c>
      <c r="BO5738">
        <v>0</v>
      </c>
      <c r="BP5738">
        <v>0</v>
      </c>
      <c r="BW5738" t="str">
        <f t="shared" si="2678"/>
        <v>14:51:59.340</v>
      </c>
      <c r="CJ5738">
        <v>0</v>
      </c>
      <c r="CK5738">
        <v>2</v>
      </c>
      <c r="CL5738">
        <v>0</v>
      </c>
      <c r="CM5738">
        <v>2</v>
      </c>
      <c r="CN5738">
        <v>0</v>
      </c>
      <c r="CO5738">
        <v>6</v>
      </c>
      <c r="CP5738" t="s">
        <v>119</v>
      </c>
      <c r="CQ5738">
        <v>358</v>
      </c>
      <c r="CR5738">
        <v>0</v>
      </c>
      <c r="CW5738">
        <v>5315906</v>
      </c>
      <c r="CY5738">
        <v>1</v>
      </c>
      <c r="CZ5738">
        <v>0</v>
      </c>
      <c r="DA5738">
        <v>1</v>
      </c>
      <c r="DB5738">
        <v>0</v>
      </c>
      <c r="DC5738">
        <v>0</v>
      </c>
      <c r="DD5738">
        <v>1</v>
      </c>
      <c r="DE5738">
        <v>0</v>
      </c>
      <c r="DF5738">
        <v>0</v>
      </c>
      <c r="DG5738">
        <v>0</v>
      </c>
      <c r="DH5738">
        <v>0</v>
      </c>
      <c r="DI5738">
        <v>0</v>
      </c>
    </row>
    <row r="5739" spans="1:113" x14ac:dyDescent="0.3">
      <c r="A5739" t="str">
        <f t="shared" si="2675"/>
        <v>05/12/2020 14:51:41.514</v>
      </c>
      <c r="C5739" t="str">
        <f t="shared" si="2669"/>
        <v>FFDFD3C0</v>
      </c>
      <c r="D5739" t="s">
        <v>131</v>
      </c>
      <c r="E5739">
        <v>12</v>
      </c>
      <c r="F5739">
        <v>2012</v>
      </c>
      <c r="G5739" t="s">
        <v>137</v>
      </c>
      <c r="J5739" t="s">
        <v>133</v>
      </c>
      <c r="K5739">
        <v>0</v>
      </c>
      <c r="L5739">
        <v>3</v>
      </c>
      <c r="M5739">
        <v>0</v>
      </c>
      <c r="N5739">
        <v>2</v>
      </c>
      <c r="O5739">
        <v>1</v>
      </c>
      <c r="P5739">
        <v>0</v>
      </c>
      <c r="Q5739">
        <v>0</v>
      </c>
      <c r="S5739" t="str">
        <f t="shared" si="2676"/>
        <v>14:51:59.336</v>
      </c>
      <c r="T5739" t="str">
        <f t="shared" si="2677"/>
        <v>14:51:59.036</v>
      </c>
      <c r="U5739" t="str">
        <f t="shared" si="2657"/>
        <v>A9808D</v>
      </c>
      <c r="V5739">
        <v>0</v>
      </c>
      <c r="W5739">
        <v>0</v>
      </c>
      <c r="X5739">
        <v>1</v>
      </c>
      <c r="Z5739">
        <v>0</v>
      </c>
      <c r="AA5739">
        <v>9</v>
      </c>
      <c r="AB5739">
        <v>3</v>
      </c>
      <c r="AC5739">
        <v>0</v>
      </c>
      <c r="AD5739">
        <v>10</v>
      </c>
      <c r="AE5739">
        <v>0</v>
      </c>
      <c r="AF5739">
        <v>3</v>
      </c>
      <c r="AG5739">
        <v>2</v>
      </c>
      <c r="AH5739">
        <v>0</v>
      </c>
      <c r="AI5739" t="s">
        <v>1275</v>
      </c>
      <c r="AJ5739">
        <v>28.203192000000001</v>
      </c>
      <c r="AK5739" t="s">
        <v>321</v>
      </c>
      <c r="AL5739">
        <v>-82.380724000000001</v>
      </c>
      <c r="AM5739">
        <v>100</v>
      </c>
      <c r="AN5739">
        <v>700</v>
      </c>
      <c r="AO5739" t="s">
        <v>118</v>
      </c>
      <c r="AP5739">
        <v>102</v>
      </c>
      <c r="AQ5739">
        <v>-19</v>
      </c>
      <c r="AR5739">
        <v>-896</v>
      </c>
      <c r="AZ5739">
        <v>1200</v>
      </c>
      <c r="BA5739">
        <v>1</v>
      </c>
      <c r="BB5739" t="str">
        <f t="shared" si="2670"/>
        <v xml:space="preserve">N711JA  </v>
      </c>
      <c r="BC5739">
        <v>1</v>
      </c>
      <c r="BE5739">
        <v>0</v>
      </c>
      <c r="BF5739">
        <v>0</v>
      </c>
      <c r="BG5739">
        <v>0</v>
      </c>
      <c r="BH5739">
        <v>750</v>
      </c>
      <c r="BI5739">
        <v>1</v>
      </c>
      <c r="BJ5739">
        <v>1</v>
      </c>
      <c r="BK5739">
        <v>0</v>
      </c>
      <c r="BL5739">
        <v>0</v>
      </c>
      <c r="BO5739">
        <v>0</v>
      </c>
      <c r="BP5739">
        <v>0</v>
      </c>
      <c r="BW5739" t="str">
        <f t="shared" si="2678"/>
        <v>14:51:59.340</v>
      </c>
      <c r="CJ5739">
        <v>0</v>
      </c>
      <c r="CK5739">
        <v>2</v>
      </c>
      <c r="CL5739">
        <v>0</v>
      </c>
      <c r="CM5739">
        <v>2</v>
      </c>
      <c r="CN5739">
        <v>0</v>
      </c>
      <c r="CO5739">
        <v>4</v>
      </c>
      <c r="CP5739" t="s">
        <v>119</v>
      </c>
      <c r="CQ5739">
        <v>8</v>
      </c>
      <c r="CR5739">
        <v>3</v>
      </c>
      <c r="CW5739">
        <v>9317978</v>
      </c>
      <c r="CY5739">
        <v>1</v>
      </c>
      <c r="CZ5739">
        <v>0</v>
      </c>
      <c r="DA5739">
        <v>1</v>
      </c>
      <c r="DB5739">
        <v>0</v>
      </c>
      <c r="DC5739">
        <v>0</v>
      </c>
      <c r="DD5739">
        <v>1</v>
      </c>
      <c r="DE5739">
        <v>0</v>
      </c>
      <c r="DF5739">
        <v>0</v>
      </c>
      <c r="DG5739">
        <v>0</v>
      </c>
      <c r="DH5739">
        <v>0</v>
      </c>
      <c r="DI5739">
        <v>0</v>
      </c>
    </row>
    <row r="5740" spans="1:113" x14ac:dyDescent="0.3">
      <c r="A5740" t="str">
        <f t="shared" si="2675"/>
        <v>05/12/2020 14:51:41.514</v>
      </c>
      <c r="C5740" t="str">
        <f t="shared" si="2669"/>
        <v>FFDFD3C0</v>
      </c>
      <c r="D5740" t="s">
        <v>134</v>
      </c>
      <c r="E5740">
        <v>12</v>
      </c>
      <c r="H5740">
        <v>64</v>
      </c>
      <c r="I5740" t="s">
        <v>135</v>
      </c>
      <c r="J5740" t="s">
        <v>136</v>
      </c>
      <c r="K5740">
        <v>0</v>
      </c>
      <c r="L5740">
        <v>3</v>
      </c>
      <c r="M5740">
        <v>0</v>
      </c>
      <c r="N5740">
        <v>2</v>
      </c>
      <c r="O5740">
        <v>1</v>
      </c>
      <c r="P5740">
        <v>0</v>
      </c>
      <c r="Q5740">
        <v>0</v>
      </c>
      <c r="S5740" t="str">
        <f t="shared" si="2676"/>
        <v>14:51:59.336</v>
      </c>
      <c r="T5740" t="str">
        <f t="shared" si="2677"/>
        <v>14:51:59.036</v>
      </c>
      <c r="U5740" t="str">
        <f t="shared" si="2657"/>
        <v>A9808D</v>
      </c>
      <c r="V5740">
        <v>0</v>
      </c>
      <c r="W5740">
        <v>0</v>
      </c>
      <c r="X5740">
        <v>1</v>
      </c>
      <c r="Z5740">
        <v>0</v>
      </c>
      <c r="AA5740">
        <v>9</v>
      </c>
      <c r="AB5740">
        <v>3</v>
      </c>
      <c r="AC5740">
        <v>0</v>
      </c>
      <c r="AD5740">
        <v>10</v>
      </c>
      <c r="AE5740">
        <v>0</v>
      </c>
      <c r="AF5740">
        <v>3</v>
      </c>
      <c r="AG5740">
        <v>2</v>
      </c>
      <c r="AH5740">
        <v>0</v>
      </c>
      <c r="AI5740" t="s">
        <v>1275</v>
      </c>
      <c r="AJ5740">
        <v>28.203192000000001</v>
      </c>
      <c r="AK5740" t="s">
        <v>321</v>
      </c>
      <c r="AL5740">
        <v>-82.380724000000001</v>
      </c>
      <c r="AM5740">
        <v>100</v>
      </c>
      <c r="AN5740">
        <v>700</v>
      </c>
      <c r="AO5740" t="s">
        <v>118</v>
      </c>
      <c r="AP5740">
        <v>102</v>
      </c>
      <c r="AQ5740">
        <v>-19</v>
      </c>
      <c r="AR5740">
        <v>-896</v>
      </c>
      <c r="AZ5740">
        <v>1200</v>
      </c>
      <c r="BA5740">
        <v>1</v>
      </c>
      <c r="BB5740" t="str">
        <f t="shared" si="2670"/>
        <v xml:space="preserve">N711JA  </v>
      </c>
      <c r="BC5740">
        <v>1</v>
      </c>
      <c r="BE5740">
        <v>0</v>
      </c>
      <c r="BF5740">
        <v>0</v>
      </c>
      <c r="BG5740">
        <v>0</v>
      </c>
      <c r="BH5740">
        <v>750</v>
      </c>
      <c r="BI5740">
        <v>1</v>
      </c>
      <c r="BJ5740">
        <v>1</v>
      </c>
      <c r="BK5740">
        <v>0</v>
      </c>
      <c r="BL5740">
        <v>0</v>
      </c>
      <c r="BO5740">
        <v>0</v>
      </c>
      <c r="BP5740">
        <v>0</v>
      </c>
      <c r="BW5740" t="str">
        <f t="shared" si="2678"/>
        <v>14:51:59.340</v>
      </c>
      <c r="CJ5740">
        <v>0</v>
      </c>
      <c r="CK5740">
        <v>2</v>
      </c>
      <c r="CL5740">
        <v>0</v>
      </c>
      <c r="CM5740">
        <v>2</v>
      </c>
      <c r="CN5740">
        <v>0</v>
      </c>
      <c r="CO5740">
        <v>6</v>
      </c>
      <c r="CP5740" t="s">
        <v>119</v>
      </c>
      <c r="CQ5740">
        <v>358</v>
      </c>
      <c r="CR5740">
        <v>0</v>
      </c>
      <c r="CW5740">
        <v>5315906</v>
      </c>
      <c r="CY5740">
        <v>1</v>
      </c>
      <c r="CZ5740">
        <v>0</v>
      </c>
      <c r="DA5740">
        <v>1</v>
      </c>
      <c r="DB5740">
        <v>0</v>
      </c>
      <c r="DC5740">
        <v>0</v>
      </c>
      <c r="DD5740">
        <v>1</v>
      </c>
      <c r="DE5740">
        <v>0</v>
      </c>
      <c r="DF5740">
        <v>0</v>
      </c>
      <c r="DG5740">
        <v>0</v>
      </c>
      <c r="DH5740">
        <v>0</v>
      </c>
      <c r="DI5740">
        <v>0</v>
      </c>
    </row>
    <row r="5741" spans="1:113" x14ac:dyDescent="0.3">
      <c r="A5741" t="str">
        <f t="shared" si="2675"/>
        <v>05/12/2020 14:51:41.514</v>
      </c>
      <c r="C5741" t="str">
        <f t="shared" si="2669"/>
        <v>FFDFD3C0</v>
      </c>
      <c r="D5741" t="s">
        <v>113</v>
      </c>
      <c r="E5741">
        <v>3</v>
      </c>
      <c r="H5741">
        <v>164</v>
      </c>
      <c r="I5741" t="s">
        <v>114</v>
      </c>
      <c r="J5741" t="s">
        <v>115</v>
      </c>
      <c r="K5741">
        <v>0</v>
      </c>
      <c r="L5741">
        <v>3</v>
      </c>
      <c r="M5741">
        <v>0</v>
      </c>
      <c r="N5741">
        <v>2</v>
      </c>
      <c r="O5741">
        <v>1</v>
      </c>
      <c r="P5741">
        <v>0</v>
      </c>
      <c r="Q5741">
        <v>0</v>
      </c>
      <c r="S5741" t="str">
        <f t="shared" si="2676"/>
        <v>14:51:59.336</v>
      </c>
      <c r="T5741" t="str">
        <f t="shared" si="2677"/>
        <v>14:51:59.036</v>
      </c>
      <c r="U5741" t="str">
        <f t="shared" si="2657"/>
        <v>A9808D</v>
      </c>
      <c r="V5741">
        <v>0</v>
      </c>
      <c r="W5741">
        <v>0</v>
      </c>
      <c r="X5741">
        <v>1</v>
      </c>
      <c r="Z5741">
        <v>0</v>
      </c>
      <c r="AA5741">
        <v>9</v>
      </c>
      <c r="AB5741">
        <v>3</v>
      </c>
      <c r="AC5741">
        <v>0</v>
      </c>
      <c r="AD5741">
        <v>10</v>
      </c>
      <c r="AE5741">
        <v>0</v>
      </c>
      <c r="AF5741">
        <v>3</v>
      </c>
      <c r="AG5741">
        <v>2</v>
      </c>
      <c r="AH5741">
        <v>0</v>
      </c>
      <c r="AI5741" t="s">
        <v>1275</v>
      </c>
      <c r="AJ5741">
        <v>28.203192000000001</v>
      </c>
      <c r="AK5741" t="s">
        <v>321</v>
      </c>
      <c r="AL5741">
        <v>-82.380724000000001</v>
      </c>
      <c r="AM5741">
        <v>100</v>
      </c>
      <c r="AN5741">
        <v>700</v>
      </c>
      <c r="AO5741" t="s">
        <v>118</v>
      </c>
      <c r="AP5741">
        <v>102</v>
      </c>
      <c r="AQ5741">
        <v>-19</v>
      </c>
      <c r="AR5741">
        <v>-896</v>
      </c>
      <c r="AZ5741">
        <v>1200</v>
      </c>
      <c r="BA5741">
        <v>1</v>
      </c>
      <c r="BB5741" t="str">
        <f t="shared" si="2670"/>
        <v xml:space="preserve">N711JA  </v>
      </c>
      <c r="BC5741">
        <v>1</v>
      </c>
      <c r="BE5741">
        <v>0</v>
      </c>
      <c r="BF5741">
        <v>0</v>
      </c>
      <c r="BG5741">
        <v>0</v>
      </c>
      <c r="BH5741">
        <v>750</v>
      </c>
      <c r="BI5741">
        <v>1</v>
      </c>
      <c r="BJ5741">
        <v>1</v>
      </c>
      <c r="BK5741">
        <v>0</v>
      </c>
      <c r="BL5741">
        <v>0</v>
      </c>
      <c r="BO5741">
        <v>0</v>
      </c>
      <c r="BP5741">
        <v>0</v>
      </c>
      <c r="BW5741" t="str">
        <f t="shared" si="2678"/>
        <v>14:51:59.340</v>
      </c>
      <c r="CJ5741">
        <v>0</v>
      </c>
      <c r="CK5741">
        <v>2</v>
      </c>
      <c r="CL5741">
        <v>0</v>
      </c>
      <c r="CM5741">
        <v>2</v>
      </c>
      <c r="CN5741">
        <v>0</v>
      </c>
      <c r="CO5741">
        <v>4</v>
      </c>
      <c r="CP5741" t="s">
        <v>119</v>
      </c>
      <c r="CQ5741">
        <v>8</v>
      </c>
      <c r="CR5741">
        <v>3</v>
      </c>
      <c r="CW5741">
        <v>9317978</v>
      </c>
      <c r="CY5741">
        <v>1</v>
      </c>
      <c r="CZ5741">
        <v>0</v>
      </c>
      <c r="DA5741">
        <v>1</v>
      </c>
      <c r="DB5741">
        <v>0</v>
      </c>
      <c r="DC5741">
        <v>0</v>
      </c>
      <c r="DD5741">
        <v>1</v>
      </c>
      <c r="DE5741">
        <v>0</v>
      </c>
      <c r="DF5741">
        <v>0</v>
      </c>
      <c r="DG5741">
        <v>0</v>
      </c>
      <c r="DH5741">
        <v>0</v>
      </c>
      <c r="DI5741">
        <v>0</v>
      </c>
    </row>
    <row r="5742" spans="1:113" x14ac:dyDescent="0.3">
      <c r="A5742" t="str">
        <f t="shared" si="2675"/>
        <v>05/12/2020 14:51:41.514</v>
      </c>
      <c r="C5742" t="str">
        <f t="shared" si="2669"/>
        <v>FFDFD3C0</v>
      </c>
      <c r="D5742" t="s">
        <v>138</v>
      </c>
      <c r="E5742">
        <v>2</v>
      </c>
      <c r="H5742">
        <v>8</v>
      </c>
      <c r="I5742" t="s">
        <v>139</v>
      </c>
      <c r="J5742" t="s">
        <v>136</v>
      </c>
      <c r="K5742">
        <v>0</v>
      </c>
      <c r="L5742">
        <v>3</v>
      </c>
      <c r="M5742">
        <v>0</v>
      </c>
      <c r="N5742">
        <v>2</v>
      </c>
      <c r="O5742">
        <v>1</v>
      </c>
      <c r="P5742">
        <v>0</v>
      </c>
      <c r="Q5742">
        <v>0</v>
      </c>
      <c r="S5742" t="str">
        <f t="shared" si="2676"/>
        <v>14:51:59.336</v>
      </c>
      <c r="T5742" t="str">
        <f t="shared" si="2677"/>
        <v>14:51:59.036</v>
      </c>
      <c r="U5742" t="str">
        <f t="shared" si="2657"/>
        <v>A9808D</v>
      </c>
      <c r="V5742">
        <v>0</v>
      </c>
      <c r="W5742">
        <v>0</v>
      </c>
      <c r="X5742">
        <v>1</v>
      </c>
      <c r="Z5742">
        <v>0</v>
      </c>
      <c r="AA5742">
        <v>9</v>
      </c>
      <c r="AB5742">
        <v>3</v>
      </c>
      <c r="AC5742">
        <v>0</v>
      </c>
      <c r="AD5742">
        <v>10</v>
      </c>
      <c r="AE5742">
        <v>0</v>
      </c>
      <c r="AF5742">
        <v>3</v>
      </c>
      <c r="AG5742">
        <v>2</v>
      </c>
      <c r="AH5742">
        <v>0</v>
      </c>
      <c r="AI5742" t="s">
        <v>1275</v>
      </c>
      <c r="AJ5742">
        <v>28.203192000000001</v>
      </c>
      <c r="AK5742" t="s">
        <v>321</v>
      </c>
      <c r="AL5742">
        <v>-82.380724000000001</v>
      </c>
      <c r="AM5742">
        <v>100</v>
      </c>
      <c r="AN5742">
        <v>700</v>
      </c>
      <c r="AO5742" t="s">
        <v>118</v>
      </c>
      <c r="AP5742">
        <v>102</v>
      </c>
      <c r="AQ5742">
        <v>-19</v>
      </c>
      <c r="AR5742">
        <v>-896</v>
      </c>
      <c r="AZ5742">
        <v>1200</v>
      </c>
      <c r="BA5742">
        <v>1</v>
      </c>
      <c r="BB5742" t="str">
        <f t="shared" si="2670"/>
        <v xml:space="preserve">N711JA  </v>
      </c>
      <c r="BC5742">
        <v>1</v>
      </c>
      <c r="BE5742">
        <v>0</v>
      </c>
      <c r="BF5742">
        <v>0</v>
      </c>
      <c r="BG5742">
        <v>0</v>
      </c>
      <c r="BH5742">
        <v>750</v>
      </c>
      <c r="BI5742">
        <v>1</v>
      </c>
      <c r="BJ5742">
        <v>1</v>
      </c>
      <c r="BK5742">
        <v>0</v>
      </c>
      <c r="BL5742">
        <v>0</v>
      </c>
      <c r="BO5742">
        <v>0</v>
      </c>
      <c r="BP5742">
        <v>0</v>
      </c>
      <c r="BW5742" t="str">
        <f t="shared" si="2678"/>
        <v>14:51:59.340</v>
      </c>
      <c r="CJ5742">
        <v>0</v>
      </c>
      <c r="CK5742">
        <v>2</v>
      </c>
      <c r="CL5742">
        <v>0</v>
      </c>
      <c r="CM5742">
        <v>2</v>
      </c>
      <c r="CN5742">
        <v>0</v>
      </c>
      <c r="CO5742">
        <v>4</v>
      </c>
      <c r="CP5742" t="s">
        <v>119</v>
      </c>
      <c r="CQ5742">
        <v>8</v>
      </c>
      <c r="CR5742">
        <v>3</v>
      </c>
      <c r="CW5742">
        <v>9317978</v>
      </c>
      <c r="CY5742">
        <v>1</v>
      </c>
      <c r="CZ5742">
        <v>0</v>
      </c>
      <c r="DA5742">
        <v>1</v>
      </c>
      <c r="DB5742">
        <v>0</v>
      </c>
      <c r="DC5742">
        <v>0</v>
      </c>
      <c r="DD5742">
        <v>1</v>
      </c>
      <c r="DE5742">
        <v>0</v>
      </c>
      <c r="DF5742">
        <v>0</v>
      </c>
      <c r="DG5742">
        <v>0</v>
      </c>
      <c r="DH5742">
        <v>0</v>
      </c>
      <c r="DI5742">
        <v>0</v>
      </c>
    </row>
    <row r="5743" spans="1:113" x14ac:dyDescent="0.3">
      <c r="A5743" t="str">
        <f t="shared" si="2675"/>
        <v>05/12/2020 14:51:41.514</v>
      </c>
      <c r="C5743" t="str">
        <f t="shared" si="2669"/>
        <v>FFDFD3C0</v>
      </c>
      <c r="D5743" t="s">
        <v>138</v>
      </c>
      <c r="E5743">
        <v>3</v>
      </c>
      <c r="H5743">
        <v>9</v>
      </c>
      <c r="I5743" t="s">
        <v>140</v>
      </c>
      <c r="J5743" t="s">
        <v>136</v>
      </c>
      <c r="K5743">
        <v>0</v>
      </c>
      <c r="L5743">
        <v>3</v>
      </c>
      <c r="M5743">
        <v>0</v>
      </c>
      <c r="N5743">
        <v>2</v>
      </c>
      <c r="O5743">
        <v>1</v>
      </c>
      <c r="P5743">
        <v>0</v>
      </c>
      <c r="Q5743">
        <v>0</v>
      </c>
      <c r="S5743" t="str">
        <f t="shared" si="2676"/>
        <v>14:51:59.336</v>
      </c>
      <c r="T5743" t="str">
        <f t="shared" si="2677"/>
        <v>14:51:59.036</v>
      </c>
      <c r="U5743" t="str">
        <f t="shared" si="2657"/>
        <v>A9808D</v>
      </c>
      <c r="V5743">
        <v>0</v>
      </c>
      <c r="W5743">
        <v>0</v>
      </c>
      <c r="X5743">
        <v>1</v>
      </c>
      <c r="Z5743">
        <v>0</v>
      </c>
      <c r="AA5743">
        <v>9</v>
      </c>
      <c r="AB5743">
        <v>3</v>
      </c>
      <c r="AC5743">
        <v>0</v>
      </c>
      <c r="AD5743">
        <v>10</v>
      </c>
      <c r="AE5743">
        <v>0</v>
      </c>
      <c r="AF5743">
        <v>3</v>
      </c>
      <c r="AG5743">
        <v>2</v>
      </c>
      <c r="AH5743">
        <v>0</v>
      </c>
      <c r="AI5743" t="s">
        <v>1275</v>
      </c>
      <c r="AJ5743">
        <v>28.203192000000001</v>
      </c>
      <c r="AK5743" t="s">
        <v>321</v>
      </c>
      <c r="AL5743">
        <v>-82.380724000000001</v>
      </c>
      <c r="AM5743">
        <v>100</v>
      </c>
      <c r="AN5743">
        <v>700</v>
      </c>
      <c r="AO5743" t="s">
        <v>118</v>
      </c>
      <c r="AP5743">
        <v>102</v>
      </c>
      <c r="AQ5743">
        <v>-19</v>
      </c>
      <c r="AR5743">
        <v>-896</v>
      </c>
      <c r="AZ5743">
        <v>1200</v>
      </c>
      <c r="BA5743">
        <v>1</v>
      </c>
      <c r="BB5743" t="str">
        <f t="shared" si="2670"/>
        <v xml:space="preserve">N711JA  </v>
      </c>
      <c r="BC5743">
        <v>1</v>
      </c>
      <c r="BE5743">
        <v>0</v>
      </c>
      <c r="BF5743">
        <v>0</v>
      </c>
      <c r="BG5743">
        <v>0</v>
      </c>
      <c r="BH5743">
        <v>750</v>
      </c>
      <c r="BI5743">
        <v>1</v>
      </c>
      <c r="BJ5743">
        <v>1</v>
      </c>
      <c r="BK5743">
        <v>0</v>
      </c>
      <c r="BL5743">
        <v>0</v>
      </c>
      <c r="BO5743">
        <v>0</v>
      </c>
      <c r="BP5743">
        <v>0</v>
      </c>
      <c r="BW5743" t="str">
        <f t="shared" si="2678"/>
        <v>14:51:59.340</v>
      </c>
      <c r="CJ5743">
        <v>0</v>
      </c>
      <c r="CK5743">
        <v>2</v>
      </c>
      <c r="CL5743">
        <v>0</v>
      </c>
      <c r="CM5743">
        <v>2</v>
      </c>
      <c r="CN5743">
        <v>0</v>
      </c>
      <c r="CO5743">
        <v>6</v>
      </c>
      <c r="CP5743" t="s">
        <v>119</v>
      </c>
      <c r="CQ5743">
        <v>358</v>
      </c>
      <c r="CR5743">
        <v>0</v>
      </c>
      <c r="CW5743">
        <v>5315906</v>
      </c>
      <c r="CY5743">
        <v>1</v>
      </c>
      <c r="CZ5743">
        <v>0</v>
      </c>
      <c r="DA5743">
        <v>1</v>
      </c>
      <c r="DB5743">
        <v>0</v>
      </c>
      <c r="DC5743">
        <v>0</v>
      </c>
      <c r="DD5743">
        <v>1</v>
      </c>
      <c r="DE5743">
        <v>0</v>
      </c>
      <c r="DF5743">
        <v>0</v>
      </c>
      <c r="DG5743">
        <v>0</v>
      </c>
      <c r="DH5743">
        <v>0</v>
      </c>
      <c r="DI5743">
        <v>0</v>
      </c>
    </row>
    <row r="5744" spans="1:113" x14ac:dyDescent="0.3">
      <c r="A5744" t="str">
        <f t="shared" si="2675"/>
        <v>05/12/2020 14:51:41.514</v>
      </c>
      <c r="C5744" t="str">
        <f t="shared" si="2669"/>
        <v>FFDFD3C0</v>
      </c>
      <c r="D5744" t="s">
        <v>126</v>
      </c>
      <c r="E5744">
        <v>6</v>
      </c>
      <c r="F5744">
        <v>1006</v>
      </c>
      <c r="G5744" t="s">
        <v>114</v>
      </c>
      <c r="J5744" t="s">
        <v>128</v>
      </c>
      <c r="K5744">
        <v>0</v>
      </c>
      <c r="L5744">
        <v>3</v>
      </c>
      <c r="M5744">
        <v>0</v>
      </c>
      <c r="N5744">
        <v>2</v>
      </c>
      <c r="O5744">
        <v>1</v>
      </c>
      <c r="P5744">
        <v>0</v>
      </c>
      <c r="Q5744">
        <v>0</v>
      </c>
      <c r="S5744" t="str">
        <f t="shared" si="2676"/>
        <v>14:51:59.336</v>
      </c>
      <c r="T5744" t="str">
        <f t="shared" si="2677"/>
        <v>14:51:59.036</v>
      </c>
      <c r="U5744" t="str">
        <f t="shared" si="2657"/>
        <v>A9808D</v>
      </c>
      <c r="V5744">
        <v>0</v>
      </c>
      <c r="W5744">
        <v>0</v>
      </c>
      <c r="X5744">
        <v>1</v>
      </c>
      <c r="Z5744">
        <v>0</v>
      </c>
      <c r="AA5744">
        <v>9</v>
      </c>
      <c r="AB5744">
        <v>3</v>
      </c>
      <c r="AC5744">
        <v>0</v>
      </c>
      <c r="AD5744">
        <v>10</v>
      </c>
      <c r="AE5744">
        <v>0</v>
      </c>
      <c r="AF5744">
        <v>3</v>
      </c>
      <c r="AG5744">
        <v>2</v>
      </c>
      <c r="AH5744">
        <v>0</v>
      </c>
      <c r="AI5744" t="s">
        <v>1275</v>
      </c>
      <c r="AJ5744">
        <v>28.203192000000001</v>
      </c>
      <c r="AK5744" t="s">
        <v>321</v>
      </c>
      <c r="AL5744">
        <v>-82.380724000000001</v>
      </c>
      <c r="AM5744">
        <v>100</v>
      </c>
      <c r="AN5744">
        <v>700</v>
      </c>
      <c r="AO5744" t="s">
        <v>118</v>
      </c>
      <c r="AP5744">
        <v>102</v>
      </c>
      <c r="AQ5744">
        <v>-19</v>
      </c>
      <c r="AR5744">
        <v>-896</v>
      </c>
      <c r="AZ5744">
        <v>1200</v>
      </c>
      <c r="BA5744">
        <v>1</v>
      </c>
      <c r="BB5744" t="str">
        <f t="shared" si="2670"/>
        <v xml:space="preserve">N711JA  </v>
      </c>
      <c r="BC5744">
        <v>1</v>
      </c>
      <c r="BE5744">
        <v>0</v>
      </c>
      <c r="BF5744">
        <v>0</v>
      </c>
      <c r="BG5744">
        <v>0</v>
      </c>
      <c r="BH5744">
        <v>750</v>
      </c>
      <c r="BI5744">
        <v>1</v>
      </c>
      <c r="BJ5744">
        <v>1</v>
      </c>
      <c r="BK5744">
        <v>0</v>
      </c>
      <c r="BL5744">
        <v>0</v>
      </c>
      <c r="BO5744">
        <v>0</v>
      </c>
      <c r="BP5744">
        <v>0</v>
      </c>
      <c r="BW5744" t="str">
        <f t="shared" si="2678"/>
        <v>14:51:59.340</v>
      </c>
      <c r="CJ5744">
        <v>0</v>
      </c>
      <c r="CK5744">
        <v>2</v>
      </c>
      <c r="CL5744">
        <v>0</v>
      </c>
      <c r="CM5744">
        <v>2</v>
      </c>
      <c r="CN5744">
        <v>0</v>
      </c>
      <c r="CO5744">
        <v>6</v>
      </c>
      <c r="CP5744" t="s">
        <v>119</v>
      </c>
      <c r="CQ5744">
        <v>358</v>
      </c>
      <c r="CR5744">
        <v>0</v>
      </c>
      <c r="CW5744">
        <v>5315906</v>
      </c>
      <c r="CY5744">
        <v>1</v>
      </c>
      <c r="CZ5744">
        <v>0</v>
      </c>
      <c r="DA5744">
        <v>1</v>
      </c>
      <c r="DB5744">
        <v>0</v>
      </c>
      <c r="DC5744">
        <v>0</v>
      </c>
      <c r="DD5744">
        <v>1</v>
      </c>
      <c r="DE5744">
        <v>0</v>
      </c>
      <c r="DF5744">
        <v>0</v>
      </c>
      <c r="DG5744">
        <v>0</v>
      </c>
      <c r="DH5744">
        <v>0</v>
      </c>
      <c r="DI5744">
        <v>0</v>
      </c>
    </row>
    <row r="5745" spans="1:113" x14ac:dyDescent="0.3">
      <c r="A5745" t="str">
        <f t="shared" ref="A5745:A5752" si="2679">"05/12/2020 14:51:42.419"</f>
        <v>05/12/2020 14:51:42.419</v>
      </c>
      <c r="C5745" t="str">
        <f t="shared" si="2669"/>
        <v>FFDFD3C0</v>
      </c>
      <c r="D5745" t="s">
        <v>126</v>
      </c>
      <c r="E5745">
        <v>7</v>
      </c>
      <c r="F5745">
        <v>1007</v>
      </c>
      <c r="G5745" t="s">
        <v>127</v>
      </c>
      <c r="J5745" t="s">
        <v>128</v>
      </c>
      <c r="K5745">
        <v>0</v>
      </c>
      <c r="L5745">
        <v>3</v>
      </c>
      <c r="M5745">
        <v>0</v>
      </c>
      <c r="N5745">
        <v>2</v>
      </c>
      <c r="O5745">
        <v>1</v>
      </c>
      <c r="P5745">
        <v>0</v>
      </c>
      <c r="Q5745">
        <v>0</v>
      </c>
      <c r="S5745" t="str">
        <f t="shared" ref="S5745:S5752" si="2680">"14:52:00.211"</f>
        <v>14:52:00.211</v>
      </c>
      <c r="T5745" t="str">
        <f t="shared" ref="T5745:T5752" si="2681">"14:52:00.011"</f>
        <v>14:52:00.011</v>
      </c>
      <c r="U5745" t="str">
        <f t="shared" si="2657"/>
        <v>A9808D</v>
      </c>
      <c r="V5745">
        <v>0</v>
      </c>
      <c r="W5745">
        <v>0</v>
      </c>
      <c r="X5745">
        <v>1</v>
      </c>
      <c r="Z5745">
        <v>0</v>
      </c>
      <c r="AA5745">
        <v>9</v>
      </c>
      <c r="AB5745">
        <v>3</v>
      </c>
      <c r="AC5745">
        <v>0</v>
      </c>
      <c r="AD5745">
        <v>10</v>
      </c>
      <c r="AE5745">
        <v>0</v>
      </c>
      <c r="AF5745">
        <v>3</v>
      </c>
      <c r="AG5745">
        <v>2</v>
      </c>
      <c r="AH5745">
        <v>0</v>
      </c>
      <c r="AI5745" t="s">
        <v>1276</v>
      </c>
      <c r="AJ5745">
        <v>28.203149</v>
      </c>
      <c r="AK5745" t="s">
        <v>297</v>
      </c>
      <c r="AL5745">
        <v>-82.380295000000004</v>
      </c>
      <c r="AM5745">
        <v>100</v>
      </c>
      <c r="AN5745">
        <v>700</v>
      </c>
      <c r="AO5745" t="s">
        <v>118</v>
      </c>
      <c r="AP5745">
        <v>102</v>
      </c>
      <c r="AQ5745">
        <v>-13</v>
      </c>
      <c r="AR5745">
        <v>-832</v>
      </c>
      <c r="AZ5745">
        <v>1200</v>
      </c>
      <c r="BA5745">
        <v>1</v>
      </c>
      <c r="BB5745" t="str">
        <f t="shared" si="2670"/>
        <v xml:space="preserve">N711JA  </v>
      </c>
      <c r="BC5745">
        <v>1</v>
      </c>
      <c r="BE5745">
        <v>0</v>
      </c>
      <c r="BF5745">
        <v>0</v>
      </c>
      <c r="BG5745">
        <v>0</v>
      </c>
      <c r="BH5745">
        <v>750</v>
      </c>
      <c r="BI5745">
        <v>1</v>
      </c>
      <c r="BJ5745">
        <v>1</v>
      </c>
      <c r="BK5745">
        <v>0</v>
      </c>
      <c r="BL5745">
        <v>0</v>
      </c>
      <c r="BO5745">
        <v>0</v>
      </c>
      <c r="BP5745">
        <v>0</v>
      </c>
      <c r="BW5745" t="str">
        <f t="shared" ref="BW5745:BW5752" si="2682">"14:52:00.213"</f>
        <v>14:52:00.213</v>
      </c>
      <c r="CJ5745">
        <v>0</v>
      </c>
      <c r="CK5745">
        <v>2</v>
      </c>
      <c r="CL5745">
        <v>0</v>
      </c>
      <c r="CM5745">
        <v>2</v>
      </c>
      <c r="CN5745">
        <v>0</v>
      </c>
      <c r="CO5745">
        <v>5</v>
      </c>
      <c r="CP5745" t="s">
        <v>119</v>
      </c>
      <c r="CQ5745">
        <v>358</v>
      </c>
      <c r="CR5745">
        <v>0</v>
      </c>
      <c r="CW5745">
        <v>5316885</v>
      </c>
      <c r="CY5745">
        <v>1</v>
      </c>
      <c r="CZ5745">
        <v>0</v>
      </c>
      <c r="DA5745">
        <v>0</v>
      </c>
      <c r="DB5745">
        <v>0</v>
      </c>
      <c r="DC5745">
        <v>0</v>
      </c>
      <c r="DD5745">
        <v>1</v>
      </c>
      <c r="DE5745">
        <v>0</v>
      </c>
      <c r="DF5745">
        <v>0</v>
      </c>
      <c r="DG5745">
        <v>0</v>
      </c>
      <c r="DH5745">
        <v>0</v>
      </c>
      <c r="DI5745">
        <v>0</v>
      </c>
    </row>
    <row r="5746" spans="1:113" x14ac:dyDescent="0.3">
      <c r="A5746" t="str">
        <f t="shared" si="2679"/>
        <v>05/12/2020 14:51:42.419</v>
      </c>
      <c r="C5746" t="str">
        <f t="shared" si="2669"/>
        <v>FFDFD3C0</v>
      </c>
      <c r="D5746" t="s">
        <v>131</v>
      </c>
      <c r="E5746">
        <v>10</v>
      </c>
      <c r="F5746">
        <v>2010</v>
      </c>
      <c r="G5746" t="s">
        <v>132</v>
      </c>
      <c r="J5746" t="s">
        <v>133</v>
      </c>
      <c r="K5746">
        <v>0</v>
      </c>
      <c r="L5746">
        <v>3</v>
      </c>
      <c r="M5746">
        <v>0</v>
      </c>
      <c r="N5746">
        <v>2</v>
      </c>
      <c r="O5746">
        <v>1</v>
      </c>
      <c r="P5746">
        <v>0</v>
      </c>
      <c r="Q5746">
        <v>0</v>
      </c>
      <c r="S5746" t="str">
        <f t="shared" si="2680"/>
        <v>14:52:00.211</v>
      </c>
      <c r="T5746" t="str">
        <f t="shared" si="2681"/>
        <v>14:52:00.011</v>
      </c>
      <c r="U5746" t="str">
        <f t="shared" si="2657"/>
        <v>A9808D</v>
      </c>
      <c r="V5746">
        <v>0</v>
      </c>
      <c r="W5746">
        <v>0</v>
      </c>
      <c r="X5746">
        <v>1</v>
      </c>
      <c r="Z5746">
        <v>0</v>
      </c>
      <c r="AA5746">
        <v>9</v>
      </c>
      <c r="AB5746">
        <v>3</v>
      </c>
      <c r="AC5746">
        <v>0</v>
      </c>
      <c r="AD5746">
        <v>10</v>
      </c>
      <c r="AE5746">
        <v>0</v>
      </c>
      <c r="AF5746">
        <v>3</v>
      </c>
      <c r="AG5746">
        <v>2</v>
      </c>
      <c r="AH5746">
        <v>0</v>
      </c>
      <c r="AI5746" t="s">
        <v>1276</v>
      </c>
      <c r="AJ5746">
        <v>28.203149</v>
      </c>
      <c r="AK5746" t="s">
        <v>297</v>
      </c>
      <c r="AL5746">
        <v>-82.380295000000004</v>
      </c>
      <c r="AM5746">
        <v>100</v>
      </c>
      <c r="AN5746">
        <v>700</v>
      </c>
      <c r="AO5746" t="s">
        <v>118</v>
      </c>
      <c r="AP5746">
        <v>102</v>
      </c>
      <c r="AQ5746">
        <v>-13</v>
      </c>
      <c r="AR5746">
        <v>-832</v>
      </c>
      <c r="AZ5746">
        <v>1200</v>
      </c>
      <c r="BA5746">
        <v>1</v>
      </c>
      <c r="BB5746" t="str">
        <f t="shared" si="2670"/>
        <v xml:space="preserve">N711JA  </v>
      </c>
      <c r="BC5746">
        <v>1</v>
      </c>
      <c r="BE5746">
        <v>0</v>
      </c>
      <c r="BF5746">
        <v>0</v>
      </c>
      <c r="BG5746">
        <v>0</v>
      </c>
      <c r="BH5746">
        <v>750</v>
      </c>
      <c r="BI5746">
        <v>1</v>
      </c>
      <c r="BJ5746">
        <v>1</v>
      </c>
      <c r="BK5746">
        <v>0</v>
      </c>
      <c r="BL5746">
        <v>0</v>
      </c>
      <c r="BO5746">
        <v>0</v>
      </c>
      <c r="BP5746">
        <v>0</v>
      </c>
      <c r="BW5746" t="str">
        <f t="shared" si="2682"/>
        <v>14:52:00.213</v>
      </c>
      <c r="CJ5746">
        <v>0</v>
      </c>
      <c r="CK5746">
        <v>2</v>
      </c>
      <c r="CL5746">
        <v>0</v>
      </c>
      <c r="CM5746">
        <v>2</v>
      </c>
      <c r="CN5746">
        <v>0</v>
      </c>
      <c r="CO5746">
        <v>5</v>
      </c>
      <c r="CP5746" t="s">
        <v>119</v>
      </c>
      <c r="CQ5746">
        <v>358</v>
      </c>
      <c r="CR5746">
        <v>0</v>
      </c>
      <c r="CW5746">
        <v>5316885</v>
      </c>
      <c r="CY5746">
        <v>1</v>
      </c>
      <c r="CZ5746">
        <v>0</v>
      </c>
      <c r="DA5746">
        <v>1</v>
      </c>
      <c r="DB5746">
        <v>0</v>
      </c>
      <c r="DC5746">
        <v>0</v>
      </c>
      <c r="DD5746">
        <v>1</v>
      </c>
      <c r="DE5746">
        <v>0</v>
      </c>
      <c r="DF5746">
        <v>0</v>
      </c>
      <c r="DG5746">
        <v>0</v>
      </c>
      <c r="DH5746">
        <v>0</v>
      </c>
      <c r="DI5746">
        <v>0</v>
      </c>
    </row>
    <row r="5747" spans="1:113" x14ac:dyDescent="0.3">
      <c r="A5747" t="str">
        <f t="shared" si="2679"/>
        <v>05/12/2020 14:51:42.419</v>
      </c>
      <c r="C5747" t="str">
        <f t="shared" si="2669"/>
        <v>FFDFD3C0</v>
      </c>
      <c r="D5747" t="s">
        <v>131</v>
      </c>
      <c r="E5747">
        <v>12</v>
      </c>
      <c r="F5747">
        <v>2012</v>
      </c>
      <c r="G5747" t="s">
        <v>137</v>
      </c>
      <c r="J5747" t="s">
        <v>133</v>
      </c>
      <c r="K5747">
        <v>0</v>
      </c>
      <c r="L5747">
        <v>3</v>
      </c>
      <c r="M5747">
        <v>0</v>
      </c>
      <c r="N5747">
        <v>2</v>
      </c>
      <c r="O5747">
        <v>1</v>
      </c>
      <c r="P5747">
        <v>0</v>
      </c>
      <c r="Q5747">
        <v>0</v>
      </c>
      <c r="S5747" t="str">
        <f t="shared" si="2680"/>
        <v>14:52:00.211</v>
      </c>
      <c r="T5747" t="str">
        <f t="shared" si="2681"/>
        <v>14:52:00.011</v>
      </c>
      <c r="U5747" t="str">
        <f t="shared" si="2657"/>
        <v>A9808D</v>
      </c>
      <c r="V5747">
        <v>0</v>
      </c>
      <c r="W5747">
        <v>0</v>
      </c>
      <c r="X5747">
        <v>1</v>
      </c>
      <c r="Z5747">
        <v>0</v>
      </c>
      <c r="AA5747">
        <v>9</v>
      </c>
      <c r="AB5747">
        <v>3</v>
      </c>
      <c r="AC5747">
        <v>0</v>
      </c>
      <c r="AD5747">
        <v>10</v>
      </c>
      <c r="AE5747">
        <v>0</v>
      </c>
      <c r="AF5747">
        <v>3</v>
      </c>
      <c r="AG5747">
        <v>2</v>
      </c>
      <c r="AH5747">
        <v>0</v>
      </c>
      <c r="AI5747" t="s">
        <v>1276</v>
      </c>
      <c r="AJ5747">
        <v>28.203149</v>
      </c>
      <c r="AK5747" t="s">
        <v>297</v>
      </c>
      <c r="AL5747">
        <v>-82.380295000000004</v>
      </c>
      <c r="AM5747">
        <v>100</v>
      </c>
      <c r="AN5747">
        <v>700</v>
      </c>
      <c r="AO5747" t="s">
        <v>118</v>
      </c>
      <c r="AP5747">
        <v>102</v>
      </c>
      <c r="AQ5747">
        <v>-13</v>
      </c>
      <c r="AR5747">
        <v>-832</v>
      </c>
      <c r="AZ5747">
        <v>1200</v>
      </c>
      <c r="BA5747">
        <v>1</v>
      </c>
      <c r="BB5747" t="str">
        <f t="shared" si="2670"/>
        <v xml:space="preserve">N711JA  </v>
      </c>
      <c r="BC5747">
        <v>1</v>
      </c>
      <c r="BE5747">
        <v>0</v>
      </c>
      <c r="BF5747">
        <v>0</v>
      </c>
      <c r="BG5747">
        <v>0</v>
      </c>
      <c r="BH5747">
        <v>750</v>
      </c>
      <c r="BI5747">
        <v>1</v>
      </c>
      <c r="BJ5747">
        <v>1</v>
      </c>
      <c r="BK5747">
        <v>0</v>
      </c>
      <c r="BL5747">
        <v>0</v>
      </c>
      <c r="BO5747">
        <v>0</v>
      </c>
      <c r="BP5747">
        <v>0</v>
      </c>
      <c r="BW5747" t="str">
        <f t="shared" si="2682"/>
        <v>14:52:00.213</v>
      </c>
      <c r="CJ5747">
        <v>0</v>
      </c>
      <c r="CK5747">
        <v>2</v>
      </c>
      <c r="CL5747">
        <v>0</v>
      </c>
      <c r="CM5747">
        <v>2</v>
      </c>
      <c r="CN5747">
        <v>0</v>
      </c>
      <c r="CO5747">
        <v>4</v>
      </c>
      <c r="CP5747" t="s">
        <v>119</v>
      </c>
      <c r="CQ5747">
        <v>8</v>
      </c>
      <c r="CR5747">
        <v>3</v>
      </c>
      <c r="CW5747">
        <v>9318824</v>
      </c>
      <c r="CY5747">
        <v>1</v>
      </c>
      <c r="CZ5747">
        <v>0</v>
      </c>
      <c r="DA5747">
        <v>1</v>
      </c>
      <c r="DB5747">
        <v>0</v>
      </c>
      <c r="DC5747">
        <v>0</v>
      </c>
      <c r="DD5747">
        <v>1</v>
      </c>
      <c r="DE5747">
        <v>0</v>
      </c>
      <c r="DF5747">
        <v>0</v>
      </c>
      <c r="DG5747">
        <v>0</v>
      </c>
      <c r="DH5747">
        <v>0</v>
      </c>
      <c r="DI5747">
        <v>0</v>
      </c>
    </row>
    <row r="5748" spans="1:113" x14ac:dyDescent="0.3">
      <c r="A5748" t="str">
        <f t="shared" si="2679"/>
        <v>05/12/2020 14:51:42.419</v>
      </c>
      <c r="C5748" t="str">
        <f t="shared" si="2669"/>
        <v>FFDFD3C0</v>
      </c>
      <c r="D5748" t="s">
        <v>134</v>
      </c>
      <c r="E5748">
        <v>12</v>
      </c>
      <c r="H5748">
        <v>64</v>
      </c>
      <c r="I5748" t="s">
        <v>135</v>
      </c>
      <c r="J5748" t="s">
        <v>136</v>
      </c>
      <c r="K5748">
        <v>0</v>
      </c>
      <c r="L5748">
        <v>3</v>
      </c>
      <c r="M5748">
        <v>0</v>
      </c>
      <c r="N5748">
        <v>2</v>
      </c>
      <c r="O5748">
        <v>1</v>
      </c>
      <c r="P5748">
        <v>0</v>
      </c>
      <c r="Q5748">
        <v>0</v>
      </c>
      <c r="S5748" t="str">
        <f t="shared" si="2680"/>
        <v>14:52:00.211</v>
      </c>
      <c r="T5748" t="str">
        <f t="shared" si="2681"/>
        <v>14:52:00.011</v>
      </c>
      <c r="U5748" t="str">
        <f t="shared" si="2657"/>
        <v>A9808D</v>
      </c>
      <c r="V5748">
        <v>0</v>
      </c>
      <c r="W5748">
        <v>0</v>
      </c>
      <c r="X5748">
        <v>1</v>
      </c>
      <c r="Z5748">
        <v>0</v>
      </c>
      <c r="AA5748">
        <v>9</v>
      </c>
      <c r="AB5748">
        <v>3</v>
      </c>
      <c r="AC5748">
        <v>0</v>
      </c>
      <c r="AD5748">
        <v>10</v>
      </c>
      <c r="AE5748">
        <v>0</v>
      </c>
      <c r="AF5748">
        <v>3</v>
      </c>
      <c r="AG5748">
        <v>2</v>
      </c>
      <c r="AH5748">
        <v>0</v>
      </c>
      <c r="AI5748" t="s">
        <v>1276</v>
      </c>
      <c r="AJ5748">
        <v>28.203149</v>
      </c>
      <c r="AK5748" t="s">
        <v>297</v>
      </c>
      <c r="AL5748">
        <v>-82.380295000000004</v>
      </c>
      <c r="AM5748">
        <v>100</v>
      </c>
      <c r="AN5748">
        <v>700</v>
      </c>
      <c r="AO5748" t="s">
        <v>118</v>
      </c>
      <c r="AP5748">
        <v>102</v>
      </c>
      <c r="AQ5748">
        <v>-13</v>
      </c>
      <c r="AR5748">
        <v>-832</v>
      </c>
      <c r="AZ5748">
        <v>1200</v>
      </c>
      <c r="BA5748">
        <v>1</v>
      </c>
      <c r="BB5748" t="str">
        <f t="shared" si="2670"/>
        <v xml:space="preserve">N711JA  </v>
      </c>
      <c r="BC5748">
        <v>1</v>
      </c>
      <c r="BE5748">
        <v>0</v>
      </c>
      <c r="BF5748">
        <v>0</v>
      </c>
      <c r="BG5748">
        <v>0</v>
      </c>
      <c r="BH5748">
        <v>750</v>
      </c>
      <c r="BI5748">
        <v>1</v>
      </c>
      <c r="BJ5748">
        <v>1</v>
      </c>
      <c r="BK5748">
        <v>0</v>
      </c>
      <c r="BL5748">
        <v>0</v>
      </c>
      <c r="BO5748">
        <v>0</v>
      </c>
      <c r="BP5748">
        <v>0</v>
      </c>
      <c r="BW5748" t="str">
        <f t="shared" si="2682"/>
        <v>14:52:00.213</v>
      </c>
      <c r="CJ5748">
        <v>0</v>
      </c>
      <c r="CK5748">
        <v>2</v>
      </c>
      <c r="CL5748">
        <v>0</v>
      </c>
      <c r="CM5748">
        <v>2</v>
      </c>
      <c r="CN5748">
        <v>0</v>
      </c>
      <c r="CO5748">
        <v>5</v>
      </c>
      <c r="CP5748" t="s">
        <v>119</v>
      </c>
      <c r="CQ5748">
        <v>358</v>
      </c>
      <c r="CR5748">
        <v>0</v>
      </c>
      <c r="CW5748">
        <v>5316885</v>
      </c>
      <c r="CY5748">
        <v>1</v>
      </c>
      <c r="CZ5748">
        <v>0</v>
      </c>
      <c r="DA5748">
        <v>1</v>
      </c>
      <c r="DB5748">
        <v>0</v>
      </c>
      <c r="DC5748">
        <v>0</v>
      </c>
      <c r="DD5748">
        <v>1</v>
      </c>
      <c r="DE5748">
        <v>0</v>
      </c>
      <c r="DF5748">
        <v>0</v>
      </c>
      <c r="DG5748">
        <v>0</v>
      </c>
      <c r="DH5748">
        <v>0</v>
      </c>
      <c r="DI5748">
        <v>0</v>
      </c>
    </row>
    <row r="5749" spans="1:113" x14ac:dyDescent="0.3">
      <c r="A5749" t="str">
        <f t="shared" si="2679"/>
        <v>05/12/2020 14:51:42.419</v>
      </c>
      <c r="C5749" t="str">
        <f t="shared" si="2669"/>
        <v>FFDFD3C0</v>
      </c>
      <c r="D5749" t="s">
        <v>138</v>
      </c>
      <c r="E5749">
        <v>2</v>
      </c>
      <c r="H5749">
        <v>8</v>
      </c>
      <c r="I5749" t="s">
        <v>139</v>
      </c>
      <c r="J5749" t="s">
        <v>136</v>
      </c>
      <c r="K5749">
        <v>0</v>
      </c>
      <c r="L5749">
        <v>3</v>
      </c>
      <c r="M5749">
        <v>0</v>
      </c>
      <c r="N5749">
        <v>2</v>
      </c>
      <c r="O5749">
        <v>1</v>
      </c>
      <c r="P5749">
        <v>0</v>
      </c>
      <c r="Q5749">
        <v>0</v>
      </c>
      <c r="S5749" t="str">
        <f t="shared" si="2680"/>
        <v>14:52:00.211</v>
      </c>
      <c r="T5749" t="str">
        <f t="shared" si="2681"/>
        <v>14:52:00.011</v>
      </c>
      <c r="U5749" t="str">
        <f t="shared" si="2657"/>
        <v>A9808D</v>
      </c>
      <c r="V5749">
        <v>0</v>
      </c>
      <c r="W5749">
        <v>0</v>
      </c>
      <c r="X5749">
        <v>1</v>
      </c>
      <c r="Z5749">
        <v>0</v>
      </c>
      <c r="AA5749">
        <v>9</v>
      </c>
      <c r="AB5749">
        <v>3</v>
      </c>
      <c r="AC5749">
        <v>0</v>
      </c>
      <c r="AD5749">
        <v>10</v>
      </c>
      <c r="AE5749">
        <v>0</v>
      </c>
      <c r="AF5749">
        <v>3</v>
      </c>
      <c r="AG5749">
        <v>2</v>
      </c>
      <c r="AH5749">
        <v>0</v>
      </c>
      <c r="AI5749" t="s">
        <v>1276</v>
      </c>
      <c r="AJ5749">
        <v>28.203149</v>
      </c>
      <c r="AK5749" t="s">
        <v>297</v>
      </c>
      <c r="AL5749">
        <v>-82.380295000000004</v>
      </c>
      <c r="AM5749">
        <v>100</v>
      </c>
      <c r="AN5749">
        <v>700</v>
      </c>
      <c r="AO5749" t="s">
        <v>118</v>
      </c>
      <c r="AP5749">
        <v>102</v>
      </c>
      <c r="AQ5749">
        <v>-13</v>
      </c>
      <c r="AR5749">
        <v>-832</v>
      </c>
      <c r="AZ5749">
        <v>1200</v>
      </c>
      <c r="BA5749">
        <v>1</v>
      </c>
      <c r="BB5749" t="str">
        <f t="shared" si="2670"/>
        <v xml:space="preserve">N711JA  </v>
      </c>
      <c r="BC5749">
        <v>1</v>
      </c>
      <c r="BE5749">
        <v>0</v>
      </c>
      <c r="BF5749">
        <v>0</v>
      </c>
      <c r="BG5749">
        <v>0</v>
      </c>
      <c r="BH5749">
        <v>750</v>
      </c>
      <c r="BI5749">
        <v>1</v>
      </c>
      <c r="BJ5749">
        <v>1</v>
      </c>
      <c r="BK5749">
        <v>0</v>
      </c>
      <c r="BL5749">
        <v>0</v>
      </c>
      <c r="BO5749">
        <v>0</v>
      </c>
      <c r="BP5749">
        <v>0</v>
      </c>
      <c r="BW5749" t="str">
        <f t="shared" si="2682"/>
        <v>14:52:00.213</v>
      </c>
      <c r="CJ5749">
        <v>0</v>
      </c>
      <c r="CK5749">
        <v>2</v>
      </c>
      <c r="CL5749">
        <v>0</v>
      </c>
      <c r="CM5749">
        <v>2</v>
      </c>
      <c r="CN5749">
        <v>0</v>
      </c>
      <c r="CO5749">
        <v>4</v>
      </c>
      <c r="CP5749" t="s">
        <v>119</v>
      </c>
      <c r="CQ5749">
        <v>8</v>
      </c>
      <c r="CR5749">
        <v>3</v>
      </c>
      <c r="CW5749">
        <v>9318824</v>
      </c>
      <c r="CY5749">
        <v>1</v>
      </c>
      <c r="CZ5749">
        <v>0</v>
      </c>
      <c r="DA5749">
        <v>1</v>
      </c>
      <c r="DB5749">
        <v>0</v>
      </c>
      <c r="DC5749">
        <v>0</v>
      </c>
      <c r="DD5749">
        <v>1</v>
      </c>
      <c r="DE5749">
        <v>0</v>
      </c>
      <c r="DF5749">
        <v>0</v>
      </c>
      <c r="DG5749">
        <v>0</v>
      </c>
      <c r="DH5749">
        <v>0</v>
      </c>
      <c r="DI5749">
        <v>0</v>
      </c>
    </row>
    <row r="5750" spans="1:113" x14ac:dyDescent="0.3">
      <c r="A5750" t="str">
        <f t="shared" si="2679"/>
        <v>05/12/2020 14:51:42.419</v>
      </c>
      <c r="C5750" t="str">
        <f t="shared" si="2669"/>
        <v>FFDFD3C0</v>
      </c>
      <c r="D5750" t="s">
        <v>138</v>
      </c>
      <c r="E5750">
        <v>3</v>
      </c>
      <c r="H5750">
        <v>9</v>
      </c>
      <c r="I5750" t="s">
        <v>140</v>
      </c>
      <c r="J5750" t="s">
        <v>136</v>
      </c>
      <c r="K5750">
        <v>0</v>
      </c>
      <c r="L5750">
        <v>3</v>
      </c>
      <c r="M5750">
        <v>0</v>
      </c>
      <c r="N5750">
        <v>2</v>
      </c>
      <c r="O5750">
        <v>1</v>
      </c>
      <c r="P5750">
        <v>0</v>
      </c>
      <c r="Q5750">
        <v>0</v>
      </c>
      <c r="S5750" t="str">
        <f t="shared" si="2680"/>
        <v>14:52:00.211</v>
      </c>
      <c r="T5750" t="str">
        <f t="shared" si="2681"/>
        <v>14:52:00.011</v>
      </c>
      <c r="U5750" t="str">
        <f t="shared" si="2657"/>
        <v>A9808D</v>
      </c>
      <c r="V5750">
        <v>0</v>
      </c>
      <c r="W5750">
        <v>0</v>
      </c>
      <c r="X5750">
        <v>1</v>
      </c>
      <c r="Z5750">
        <v>0</v>
      </c>
      <c r="AA5750">
        <v>9</v>
      </c>
      <c r="AB5750">
        <v>3</v>
      </c>
      <c r="AC5750">
        <v>0</v>
      </c>
      <c r="AD5750">
        <v>10</v>
      </c>
      <c r="AE5750">
        <v>0</v>
      </c>
      <c r="AF5750">
        <v>3</v>
      </c>
      <c r="AG5750">
        <v>2</v>
      </c>
      <c r="AH5750">
        <v>0</v>
      </c>
      <c r="AI5750" t="s">
        <v>1276</v>
      </c>
      <c r="AJ5750">
        <v>28.203149</v>
      </c>
      <c r="AK5750" t="s">
        <v>297</v>
      </c>
      <c r="AL5750">
        <v>-82.380295000000004</v>
      </c>
      <c r="AM5750">
        <v>100</v>
      </c>
      <c r="AN5750">
        <v>700</v>
      </c>
      <c r="AO5750" t="s">
        <v>118</v>
      </c>
      <c r="AP5750">
        <v>102</v>
      </c>
      <c r="AQ5750">
        <v>-13</v>
      </c>
      <c r="AR5750">
        <v>-832</v>
      </c>
      <c r="AZ5750">
        <v>1200</v>
      </c>
      <c r="BA5750">
        <v>1</v>
      </c>
      <c r="BB5750" t="str">
        <f t="shared" si="2670"/>
        <v xml:space="preserve">N711JA  </v>
      </c>
      <c r="BC5750">
        <v>1</v>
      </c>
      <c r="BE5750">
        <v>0</v>
      </c>
      <c r="BF5750">
        <v>0</v>
      </c>
      <c r="BG5750">
        <v>0</v>
      </c>
      <c r="BH5750">
        <v>750</v>
      </c>
      <c r="BI5750">
        <v>1</v>
      </c>
      <c r="BJ5750">
        <v>1</v>
      </c>
      <c r="BK5750">
        <v>0</v>
      </c>
      <c r="BL5750">
        <v>0</v>
      </c>
      <c r="BO5750">
        <v>0</v>
      </c>
      <c r="BP5750">
        <v>0</v>
      </c>
      <c r="BW5750" t="str">
        <f t="shared" si="2682"/>
        <v>14:52:00.213</v>
      </c>
      <c r="CJ5750">
        <v>0</v>
      </c>
      <c r="CK5750">
        <v>2</v>
      </c>
      <c r="CL5750">
        <v>0</v>
      </c>
      <c r="CM5750">
        <v>2</v>
      </c>
      <c r="CN5750">
        <v>0</v>
      </c>
      <c r="CO5750">
        <v>5</v>
      </c>
      <c r="CP5750" t="s">
        <v>119</v>
      </c>
      <c r="CQ5750">
        <v>358</v>
      </c>
      <c r="CR5750">
        <v>0</v>
      </c>
      <c r="CW5750">
        <v>5316885</v>
      </c>
      <c r="CY5750">
        <v>1</v>
      </c>
      <c r="CZ5750">
        <v>0</v>
      </c>
      <c r="DA5750">
        <v>1</v>
      </c>
      <c r="DB5750">
        <v>0</v>
      </c>
      <c r="DC5750">
        <v>0</v>
      </c>
      <c r="DD5750">
        <v>1</v>
      </c>
      <c r="DE5750">
        <v>0</v>
      </c>
      <c r="DF5750">
        <v>0</v>
      </c>
      <c r="DG5750">
        <v>0</v>
      </c>
      <c r="DH5750">
        <v>0</v>
      </c>
      <c r="DI5750">
        <v>0</v>
      </c>
    </row>
    <row r="5751" spans="1:113" x14ac:dyDescent="0.3">
      <c r="A5751" t="str">
        <f t="shared" si="2679"/>
        <v>05/12/2020 14:51:42.419</v>
      </c>
      <c r="C5751" t="str">
        <f t="shared" si="2669"/>
        <v>FFDFD3C0</v>
      </c>
      <c r="D5751" t="s">
        <v>113</v>
      </c>
      <c r="E5751">
        <v>3</v>
      </c>
      <c r="H5751">
        <v>164</v>
      </c>
      <c r="I5751" t="s">
        <v>114</v>
      </c>
      <c r="J5751" t="s">
        <v>115</v>
      </c>
      <c r="K5751">
        <v>0</v>
      </c>
      <c r="L5751">
        <v>3</v>
      </c>
      <c r="M5751">
        <v>0</v>
      </c>
      <c r="N5751">
        <v>2</v>
      </c>
      <c r="O5751">
        <v>1</v>
      </c>
      <c r="P5751">
        <v>0</v>
      </c>
      <c r="Q5751">
        <v>0</v>
      </c>
      <c r="S5751" t="str">
        <f t="shared" si="2680"/>
        <v>14:52:00.211</v>
      </c>
      <c r="T5751" t="str">
        <f t="shared" si="2681"/>
        <v>14:52:00.011</v>
      </c>
      <c r="U5751" t="str">
        <f t="shared" si="2657"/>
        <v>A9808D</v>
      </c>
      <c r="V5751">
        <v>0</v>
      </c>
      <c r="W5751">
        <v>0</v>
      </c>
      <c r="X5751">
        <v>1</v>
      </c>
      <c r="Z5751">
        <v>0</v>
      </c>
      <c r="AA5751">
        <v>9</v>
      </c>
      <c r="AB5751">
        <v>3</v>
      </c>
      <c r="AC5751">
        <v>0</v>
      </c>
      <c r="AD5751">
        <v>10</v>
      </c>
      <c r="AE5751">
        <v>0</v>
      </c>
      <c r="AF5751">
        <v>3</v>
      </c>
      <c r="AG5751">
        <v>2</v>
      </c>
      <c r="AH5751">
        <v>0</v>
      </c>
      <c r="AI5751" t="s">
        <v>1276</v>
      </c>
      <c r="AJ5751">
        <v>28.203149</v>
      </c>
      <c r="AK5751" t="s">
        <v>297</v>
      </c>
      <c r="AL5751">
        <v>-82.380295000000004</v>
      </c>
      <c r="AM5751">
        <v>100</v>
      </c>
      <c r="AN5751">
        <v>700</v>
      </c>
      <c r="AO5751" t="s">
        <v>118</v>
      </c>
      <c r="AP5751">
        <v>102</v>
      </c>
      <c r="AQ5751">
        <v>-13</v>
      </c>
      <c r="AR5751">
        <v>-832</v>
      </c>
      <c r="AZ5751">
        <v>1200</v>
      </c>
      <c r="BA5751">
        <v>1</v>
      </c>
      <c r="BB5751" t="str">
        <f t="shared" si="2670"/>
        <v xml:space="preserve">N711JA  </v>
      </c>
      <c r="BC5751">
        <v>1</v>
      </c>
      <c r="BE5751">
        <v>0</v>
      </c>
      <c r="BF5751">
        <v>0</v>
      </c>
      <c r="BG5751">
        <v>0</v>
      </c>
      <c r="BH5751">
        <v>750</v>
      </c>
      <c r="BI5751">
        <v>1</v>
      </c>
      <c r="BJ5751">
        <v>1</v>
      </c>
      <c r="BK5751">
        <v>0</v>
      </c>
      <c r="BL5751">
        <v>0</v>
      </c>
      <c r="BO5751">
        <v>0</v>
      </c>
      <c r="BP5751">
        <v>0</v>
      </c>
      <c r="BW5751" t="str">
        <f t="shared" si="2682"/>
        <v>14:52:00.213</v>
      </c>
      <c r="CJ5751">
        <v>0</v>
      </c>
      <c r="CK5751">
        <v>2</v>
      </c>
      <c r="CL5751">
        <v>0</v>
      </c>
      <c r="CM5751">
        <v>2</v>
      </c>
      <c r="CN5751">
        <v>0</v>
      </c>
      <c r="CO5751">
        <v>4</v>
      </c>
      <c r="CP5751" t="s">
        <v>119</v>
      </c>
      <c r="CQ5751">
        <v>8</v>
      </c>
      <c r="CR5751">
        <v>3</v>
      </c>
      <c r="CW5751">
        <v>9318824</v>
      </c>
      <c r="CY5751">
        <v>1</v>
      </c>
      <c r="CZ5751">
        <v>0</v>
      </c>
      <c r="DA5751">
        <v>1</v>
      </c>
      <c r="DB5751">
        <v>0</v>
      </c>
      <c r="DC5751">
        <v>0</v>
      </c>
      <c r="DD5751">
        <v>1</v>
      </c>
      <c r="DE5751">
        <v>0</v>
      </c>
      <c r="DF5751">
        <v>0</v>
      </c>
      <c r="DG5751">
        <v>0</v>
      </c>
      <c r="DH5751">
        <v>0</v>
      </c>
      <c r="DI5751">
        <v>0</v>
      </c>
    </row>
    <row r="5752" spans="1:113" x14ac:dyDescent="0.3">
      <c r="A5752" t="str">
        <f t="shared" si="2679"/>
        <v>05/12/2020 14:51:42.419</v>
      </c>
      <c r="C5752" t="str">
        <f t="shared" si="2669"/>
        <v>FFDFD3C0</v>
      </c>
      <c r="D5752" t="s">
        <v>126</v>
      </c>
      <c r="E5752">
        <v>6</v>
      </c>
      <c r="F5752">
        <v>1006</v>
      </c>
      <c r="G5752" t="s">
        <v>114</v>
      </c>
      <c r="J5752" t="s">
        <v>128</v>
      </c>
      <c r="K5752">
        <v>0</v>
      </c>
      <c r="L5752">
        <v>3</v>
      </c>
      <c r="M5752">
        <v>0</v>
      </c>
      <c r="N5752">
        <v>2</v>
      </c>
      <c r="O5752">
        <v>1</v>
      </c>
      <c r="P5752">
        <v>0</v>
      </c>
      <c r="Q5752">
        <v>0</v>
      </c>
      <c r="S5752" t="str">
        <f t="shared" si="2680"/>
        <v>14:52:00.211</v>
      </c>
      <c r="T5752" t="str">
        <f t="shared" si="2681"/>
        <v>14:52:00.011</v>
      </c>
      <c r="U5752" t="str">
        <f t="shared" si="2657"/>
        <v>A9808D</v>
      </c>
      <c r="V5752">
        <v>0</v>
      </c>
      <c r="W5752">
        <v>0</v>
      </c>
      <c r="X5752">
        <v>1</v>
      </c>
      <c r="Z5752">
        <v>0</v>
      </c>
      <c r="AA5752">
        <v>9</v>
      </c>
      <c r="AB5752">
        <v>3</v>
      </c>
      <c r="AC5752">
        <v>0</v>
      </c>
      <c r="AD5752">
        <v>10</v>
      </c>
      <c r="AE5752">
        <v>0</v>
      </c>
      <c r="AF5752">
        <v>3</v>
      </c>
      <c r="AG5752">
        <v>2</v>
      </c>
      <c r="AH5752">
        <v>0</v>
      </c>
      <c r="AI5752" t="s">
        <v>1276</v>
      </c>
      <c r="AJ5752">
        <v>28.203149</v>
      </c>
      <c r="AK5752" t="s">
        <v>297</v>
      </c>
      <c r="AL5752">
        <v>-82.380295000000004</v>
      </c>
      <c r="AM5752">
        <v>100</v>
      </c>
      <c r="AN5752">
        <v>700</v>
      </c>
      <c r="AO5752" t="s">
        <v>118</v>
      </c>
      <c r="AP5752">
        <v>102</v>
      </c>
      <c r="AQ5752">
        <v>-13</v>
      </c>
      <c r="AR5752">
        <v>-832</v>
      </c>
      <c r="AZ5752">
        <v>1200</v>
      </c>
      <c r="BA5752">
        <v>1</v>
      </c>
      <c r="BB5752" t="str">
        <f t="shared" si="2670"/>
        <v xml:space="preserve">N711JA  </v>
      </c>
      <c r="BC5752">
        <v>1</v>
      </c>
      <c r="BE5752">
        <v>0</v>
      </c>
      <c r="BF5752">
        <v>0</v>
      </c>
      <c r="BG5752">
        <v>0</v>
      </c>
      <c r="BH5752">
        <v>750</v>
      </c>
      <c r="BI5752">
        <v>1</v>
      </c>
      <c r="BJ5752">
        <v>1</v>
      </c>
      <c r="BK5752">
        <v>0</v>
      </c>
      <c r="BL5752">
        <v>0</v>
      </c>
      <c r="BO5752">
        <v>0</v>
      </c>
      <c r="BP5752">
        <v>0</v>
      </c>
      <c r="BW5752" t="str">
        <f t="shared" si="2682"/>
        <v>14:52:00.213</v>
      </c>
      <c r="CJ5752">
        <v>0</v>
      </c>
      <c r="CK5752">
        <v>2</v>
      </c>
      <c r="CL5752">
        <v>0</v>
      </c>
      <c r="CM5752">
        <v>2</v>
      </c>
      <c r="CN5752">
        <v>0</v>
      </c>
      <c r="CO5752">
        <v>5</v>
      </c>
      <c r="CP5752" t="s">
        <v>119</v>
      </c>
      <c r="CQ5752">
        <v>358</v>
      </c>
      <c r="CR5752">
        <v>0</v>
      </c>
      <c r="CW5752">
        <v>5316885</v>
      </c>
      <c r="CY5752">
        <v>1</v>
      </c>
      <c r="CZ5752">
        <v>0</v>
      </c>
      <c r="DA5752">
        <v>1</v>
      </c>
      <c r="DB5752">
        <v>0</v>
      </c>
      <c r="DC5752">
        <v>0</v>
      </c>
      <c r="DD5752">
        <v>1</v>
      </c>
      <c r="DE5752">
        <v>0</v>
      </c>
      <c r="DF5752">
        <v>0</v>
      </c>
      <c r="DG5752">
        <v>0</v>
      </c>
      <c r="DH5752">
        <v>0</v>
      </c>
      <c r="DI5752">
        <v>0</v>
      </c>
    </row>
    <row r="5753" spans="1:113" x14ac:dyDescent="0.3">
      <c r="A5753" t="str">
        <f t="shared" ref="A5753:A5760" si="2683">"05/12/2020 14:51:43.390"</f>
        <v>05/12/2020 14:51:43.390</v>
      </c>
      <c r="C5753" t="str">
        <f t="shared" si="2669"/>
        <v>FFDFD3C0</v>
      </c>
      <c r="D5753" t="s">
        <v>134</v>
      </c>
      <c r="E5753">
        <v>12</v>
      </c>
      <c r="H5753">
        <v>64</v>
      </c>
      <c r="I5753" t="s">
        <v>135</v>
      </c>
      <c r="J5753" t="s">
        <v>136</v>
      </c>
      <c r="K5753">
        <v>0</v>
      </c>
      <c r="L5753">
        <v>3</v>
      </c>
      <c r="M5753">
        <v>0</v>
      </c>
      <c r="N5753">
        <v>2</v>
      </c>
      <c r="O5753">
        <v>1</v>
      </c>
      <c r="P5753">
        <v>0</v>
      </c>
      <c r="Q5753">
        <v>0</v>
      </c>
      <c r="S5753" t="str">
        <f t="shared" ref="S5753:S5760" si="2684">"14:52:01.211"</f>
        <v>14:52:01.211</v>
      </c>
      <c r="T5753" t="str">
        <f t="shared" ref="T5753:T5760" si="2685">"14:52:01.011"</f>
        <v>14:52:01.011</v>
      </c>
      <c r="U5753" t="str">
        <f t="shared" si="2657"/>
        <v>A9808D</v>
      </c>
      <c r="V5753">
        <v>0</v>
      </c>
      <c r="W5753">
        <v>0</v>
      </c>
      <c r="X5753">
        <v>1</v>
      </c>
      <c r="Z5753">
        <v>0</v>
      </c>
      <c r="AA5753">
        <v>9</v>
      </c>
      <c r="AB5753">
        <v>3</v>
      </c>
      <c r="AC5753">
        <v>0</v>
      </c>
      <c r="AD5753">
        <v>10</v>
      </c>
      <c r="AE5753">
        <v>0</v>
      </c>
      <c r="AF5753">
        <v>3</v>
      </c>
      <c r="AG5753">
        <v>2</v>
      </c>
      <c r="AH5753">
        <v>0</v>
      </c>
      <c r="AI5753" t="s">
        <v>1277</v>
      </c>
      <c r="AJ5753">
        <v>28.203084</v>
      </c>
      <c r="AK5753" t="s">
        <v>1278</v>
      </c>
      <c r="AL5753">
        <v>-82.379757999999995</v>
      </c>
      <c r="AM5753">
        <v>100</v>
      </c>
      <c r="AN5753">
        <v>700</v>
      </c>
      <c r="AO5753" t="s">
        <v>118</v>
      </c>
      <c r="AP5753">
        <v>102</v>
      </c>
      <c r="AQ5753">
        <v>-7</v>
      </c>
      <c r="AR5753">
        <v>-768</v>
      </c>
      <c r="AZ5753">
        <v>1200</v>
      </c>
      <c r="BA5753">
        <v>1</v>
      </c>
      <c r="BB5753" t="str">
        <f t="shared" si="2670"/>
        <v xml:space="preserve">N711JA  </v>
      </c>
      <c r="BC5753">
        <v>1</v>
      </c>
      <c r="BE5753">
        <v>0</v>
      </c>
      <c r="BF5753">
        <v>0</v>
      </c>
      <c r="BG5753">
        <v>0</v>
      </c>
      <c r="BH5753">
        <v>725</v>
      </c>
      <c r="BI5753">
        <v>1</v>
      </c>
      <c r="BJ5753">
        <v>1</v>
      </c>
      <c r="BK5753">
        <v>0</v>
      </c>
      <c r="BL5753">
        <v>0</v>
      </c>
      <c r="BO5753">
        <v>0</v>
      </c>
      <c r="BP5753">
        <v>0</v>
      </c>
      <c r="BW5753" t="str">
        <f t="shared" ref="BW5753:BW5760" si="2686">"14:52:01.215"</f>
        <v>14:52:01.215</v>
      </c>
      <c r="CJ5753">
        <v>0</v>
      </c>
      <c r="CK5753">
        <v>2</v>
      </c>
      <c r="CL5753">
        <v>0</v>
      </c>
      <c r="CM5753">
        <v>2</v>
      </c>
      <c r="CN5753">
        <v>0</v>
      </c>
      <c r="CO5753">
        <v>6</v>
      </c>
      <c r="CP5753" t="s">
        <v>119</v>
      </c>
      <c r="CQ5753">
        <v>343</v>
      </c>
      <c r="CR5753">
        <v>2</v>
      </c>
      <c r="CW5753">
        <v>13438823</v>
      </c>
      <c r="CY5753">
        <v>1</v>
      </c>
      <c r="CZ5753">
        <v>0</v>
      </c>
      <c r="DA5753">
        <v>0</v>
      </c>
      <c r="DB5753">
        <v>0</v>
      </c>
      <c r="DC5753">
        <v>0</v>
      </c>
      <c r="DD5753">
        <v>1</v>
      </c>
      <c r="DE5753">
        <v>0</v>
      </c>
      <c r="DF5753">
        <v>0</v>
      </c>
      <c r="DG5753">
        <v>0</v>
      </c>
      <c r="DH5753">
        <v>0</v>
      </c>
      <c r="DI5753">
        <v>0</v>
      </c>
    </row>
    <row r="5754" spans="1:113" x14ac:dyDescent="0.3">
      <c r="A5754" t="str">
        <f t="shared" si="2683"/>
        <v>05/12/2020 14:51:43.390</v>
      </c>
      <c r="C5754" t="str">
        <f t="shared" si="2669"/>
        <v>FFDFD3C0</v>
      </c>
      <c r="D5754" t="s">
        <v>126</v>
      </c>
      <c r="E5754">
        <v>6</v>
      </c>
      <c r="F5754">
        <v>1006</v>
      </c>
      <c r="G5754" t="s">
        <v>114</v>
      </c>
      <c r="J5754" t="s">
        <v>128</v>
      </c>
      <c r="K5754">
        <v>0</v>
      </c>
      <c r="L5754">
        <v>3</v>
      </c>
      <c r="M5754">
        <v>0</v>
      </c>
      <c r="N5754">
        <v>2</v>
      </c>
      <c r="O5754">
        <v>1</v>
      </c>
      <c r="P5754">
        <v>0</v>
      </c>
      <c r="Q5754">
        <v>0</v>
      </c>
      <c r="S5754" t="str">
        <f t="shared" si="2684"/>
        <v>14:52:01.211</v>
      </c>
      <c r="T5754" t="str">
        <f t="shared" si="2685"/>
        <v>14:52:01.011</v>
      </c>
      <c r="U5754" t="str">
        <f t="shared" si="2657"/>
        <v>A9808D</v>
      </c>
      <c r="V5754">
        <v>0</v>
      </c>
      <c r="W5754">
        <v>0</v>
      </c>
      <c r="X5754">
        <v>1</v>
      </c>
      <c r="Z5754">
        <v>0</v>
      </c>
      <c r="AA5754">
        <v>9</v>
      </c>
      <c r="AB5754">
        <v>3</v>
      </c>
      <c r="AC5754">
        <v>0</v>
      </c>
      <c r="AD5754">
        <v>10</v>
      </c>
      <c r="AE5754">
        <v>0</v>
      </c>
      <c r="AF5754">
        <v>3</v>
      </c>
      <c r="AG5754">
        <v>2</v>
      </c>
      <c r="AH5754">
        <v>0</v>
      </c>
      <c r="AI5754" t="s">
        <v>1277</v>
      </c>
      <c r="AJ5754">
        <v>28.203084</v>
      </c>
      <c r="AK5754" t="s">
        <v>1278</v>
      </c>
      <c r="AL5754">
        <v>-82.379757999999995</v>
      </c>
      <c r="AM5754">
        <v>100</v>
      </c>
      <c r="AN5754">
        <v>700</v>
      </c>
      <c r="AO5754" t="s">
        <v>118</v>
      </c>
      <c r="AP5754">
        <v>102</v>
      </c>
      <c r="AQ5754">
        <v>-7</v>
      </c>
      <c r="AR5754">
        <v>-768</v>
      </c>
      <c r="AZ5754">
        <v>1200</v>
      </c>
      <c r="BA5754">
        <v>1</v>
      </c>
      <c r="BB5754" t="str">
        <f t="shared" si="2670"/>
        <v xml:space="preserve">N711JA  </v>
      </c>
      <c r="BC5754">
        <v>1</v>
      </c>
      <c r="BE5754">
        <v>0</v>
      </c>
      <c r="BF5754">
        <v>0</v>
      </c>
      <c r="BG5754">
        <v>0</v>
      </c>
      <c r="BH5754">
        <v>725</v>
      </c>
      <c r="BI5754">
        <v>1</v>
      </c>
      <c r="BJ5754">
        <v>1</v>
      </c>
      <c r="BK5754">
        <v>0</v>
      </c>
      <c r="BL5754">
        <v>0</v>
      </c>
      <c r="BO5754">
        <v>0</v>
      </c>
      <c r="BP5754">
        <v>0</v>
      </c>
      <c r="BW5754" t="str">
        <f t="shared" si="2686"/>
        <v>14:52:01.215</v>
      </c>
      <c r="CJ5754">
        <v>0</v>
      </c>
      <c r="CK5754">
        <v>2</v>
      </c>
      <c r="CL5754">
        <v>0</v>
      </c>
      <c r="CM5754">
        <v>2</v>
      </c>
      <c r="CN5754">
        <v>0</v>
      </c>
      <c r="CO5754">
        <v>6</v>
      </c>
      <c r="CP5754" t="s">
        <v>119</v>
      </c>
      <c r="CQ5754">
        <v>343</v>
      </c>
      <c r="CR5754">
        <v>2</v>
      </c>
      <c r="CW5754">
        <v>13438823</v>
      </c>
      <c r="CY5754">
        <v>1</v>
      </c>
      <c r="CZ5754">
        <v>0</v>
      </c>
      <c r="DA5754">
        <v>1</v>
      </c>
      <c r="DB5754">
        <v>0</v>
      </c>
      <c r="DC5754">
        <v>0</v>
      </c>
      <c r="DD5754">
        <v>1</v>
      </c>
      <c r="DE5754">
        <v>0</v>
      </c>
      <c r="DF5754">
        <v>0</v>
      </c>
      <c r="DG5754">
        <v>0</v>
      </c>
      <c r="DH5754">
        <v>0</v>
      </c>
      <c r="DI5754">
        <v>0</v>
      </c>
    </row>
    <row r="5755" spans="1:113" x14ac:dyDescent="0.3">
      <c r="A5755" t="str">
        <f t="shared" si="2683"/>
        <v>05/12/2020 14:51:43.390</v>
      </c>
      <c r="C5755" t="str">
        <f t="shared" si="2669"/>
        <v>FFDFD3C0</v>
      </c>
      <c r="D5755" t="s">
        <v>138</v>
      </c>
      <c r="E5755">
        <v>2</v>
      </c>
      <c r="H5755">
        <v>8</v>
      </c>
      <c r="I5755" t="s">
        <v>139</v>
      </c>
      <c r="J5755" t="s">
        <v>136</v>
      </c>
      <c r="K5755">
        <v>0</v>
      </c>
      <c r="L5755">
        <v>3</v>
      </c>
      <c r="M5755">
        <v>0</v>
      </c>
      <c r="N5755">
        <v>2</v>
      </c>
      <c r="O5755">
        <v>1</v>
      </c>
      <c r="P5755">
        <v>0</v>
      </c>
      <c r="Q5755">
        <v>0</v>
      </c>
      <c r="S5755" t="str">
        <f t="shared" si="2684"/>
        <v>14:52:01.211</v>
      </c>
      <c r="T5755" t="str">
        <f t="shared" si="2685"/>
        <v>14:52:01.011</v>
      </c>
      <c r="U5755" t="str">
        <f t="shared" si="2657"/>
        <v>A9808D</v>
      </c>
      <c r="V5755">
        <v>0</v>
      </c>
      <c r="W5755">
        <v>0</v>
      </c>
      <c r="X5755">
        <v>1</v>
      </c>
      <c r="Z5755">
        <v>0</v>
      </c>
      <c r="AA5755">
        <v>9</v>
      </c>
      <c r="AB5755">
        <v>3</v>
      </c>
      <c r="AC5755">
        <v>0</v>
      </c>
      <c r="AD5755">
        <v>10</v>
      </c>
      <c r="AE5755">
        <v>0</v>
      </c>
      <c r="AF5755">
        <v>3</v>
      </c>
      <c r="AG5755">
        <v>2</v>
      </c>
      <c r="AH5755">
        <v>0</v>
      </c>
      <c r="AI5755" t="s">
        <v>1277</v>
      </c>
      <c r="AJ5755">
        <v>28.203084</v>
      </c>
      <c r="AK5755" t="s">
        <v>1278</v>
      </c>
      <c r="AL5755">
        <v>-82.379757999999995</v>
      </c>
      <c r="AM5755">
        <v>100</v>
      </c>
      <c r="AN5755">
        <v>700</v>
      </c>
      <c r="AO5755" t="s">
        <v>118</v>
      </c>
      <c r="AP5755">
        <v>102</v>
      </c>
      <c r="AQ5755">
        <v>-7</v>
      </c>
      <c r="AR5755">
        <v>-768</v>
      </c>
      <c r="AZ5755">
        <v>1200</v>
      </c>
      <c r="BA5755">
        <v>1</v>
      </c>
      <c r="BB5755" t="str">
        <f t="shared" si="2670"/>
        <v xml:space="preserve">N711JA  </v>
      </c>
      <c r="BC5755">
        <v>1</v>
      </c>
      <c r="BE5755">
        <v>0</v>
      </c>
      <c r="BF5755">
        <v>0</v>
      </c>
      <c r="BG5755">
        <v>0</v>
      </c>
      <c r="BH5755">
        <v>725</v>
      </c>
      <c r="BI5755">
        <v>1</v>
      </c>
      <c r="BJ5755">
        <v>1</v>
      </c>
      <c r="BK5755">
        <v>0</v>
      </c>
      <c r="BL5755">
        <v>0</v>
      </c>
      <c r="BO5755">
        <v>0</v>
      </c>
      <c r="BP5755">
        <v>0</v>
      </c>
      <c r="BW5755" t="str">
        <f t="shared" si="2686"/>
        <v>14:52:01.215</v>
      </c>
      <c r="CJ5755">
        <v>0</v>
      </c>
      <c r="CK5755">
        <v>2</v>
      </c>
      <c r="CL5755">
        <v>0</v>
      </c>
      <c r="CM5755">
        <v>2</v>
      </c>
      <c r="CN5755">
        <v>0</v>
      </c>
      <c r="CO5755">
        <v>6</v>
      </c>
      <c r="CP5755" t="s">
        <v>119</v>
      </c>
      <c r="CQ5755">
        <v>343</v>
      </c>
      <c r="CR5755">
        <v>2</v>
      </c>
      <c r="CW5755">
        <v>13438823</v>
      </c>
      <c r="CY5755">
        <v>1</v>
      </c>
      <c r="CZ5755">
        <v>0</v>
      </c>
      <c r="DA5755">
        <v>1</v>
      </c>
      <c r="DB5755">
        <v>0</v>
      </c>
      <c r="DC5755">
        <v>0</v>
      </c>
      <c r="DD5755">
        <v>1</v>
      </c>
      <c r="DE5755">
        <v>0</v>
      </c>
      <c r="DF5755">
        <v>0</v>
      </c>
      <c r="DG5755">
        <v>0</v>
      </c>
      <c r="DH5755">
        <v>0</v>
      </c>
      <c r="DI5755">
        <v>0</v>
      </c>
    </row>
    <row r="5756" spans="1:113" x14ac:dyDescent="0.3">
      <c r="A5756" t="str">
        <f t="shared" si="2683"/>
        <v>05/12/2020 14:51:43.390</v>
      </c>
      <c r="C5756" t="str">
        <f t="shared" si="2669"/>
        <v>FFDFD3C0</v>
      </c>
      <c r="D5756" t="s">
        <v>138</v>
      </c>
      <c r="E5756">
        <v>3</v>
      </c>
      <c r="H5756">
        <v>9</v>
      </c>
      <c r="I5756" t="s">
        <v>140</v>
      </c>
      <c r="J5756" t="s">
        <v>136</v>
      </c>
      <c r="K5756">
        <v>0</v>
      </c>
      <c r="L5756">
        <v>3</v>
      </c>
      <c r="M5756">
        <v>0</v>
      </c>
      <c r="N5756">
        <v>2</v>
      </c>
      <c r="O5756">
        <v>1</v>
      </c>
      <c r="P5756">
        <v>0</v>
      </c>
      <c r="Q5756">
        <v>0</v>
      </c>
      <c r="S5756" t="str">
        <f t="shared" si="2684"/>
        <v>14:52:01.211</v>
      </c>
      <c r="T5756" t="str">
        <f t="shared" si="2685"/>
        <v>14:52:01.011</v>
      </c>
      <c r="U5756" t="str">
        <f t="shared" si="2657"/>
        <v>A9808D</v>
      </c>
      <c r="V5756">
        <v>0</v>
      </c>
      <c r="W5756">
        <v>0</v>
      </c>
      <c r="X5756">
        <v>1</v>
      </c>
      <c r="Z5756">
        <v>0</v>
      </c>
      <c r="AA5756">
        <v>9</v>
      </c>
      <c r="AB5756">
        <v>3</v>
      </c>
      <c r="AC5756">
        <v>0</v>
      </c>
      <c r="AD5756">
        <v>10</v>
      </c>
      <c r="AE5756">
        <v>0</v>
      </c>
      <c r="AF5756">
        <v>3</v>
      </c>
      <c r="AG5756">
        <v>2</v>
      </c>
      <c r="AH5756">
        <v>0</v>
      </c>
      <c r="AI5756" t="s">
        <v>1277</v>
      </c>
      <c r="AJ5756">
        <v>28.203084</v>
      </c>
      <c r="AK5756" t="s">
        <v>1278</v>
      </c>
      <c r="AL5756">
        <v>-82.379757999999995</v>
      </c>
      <c r="AM5756">
        <v>100</v>
      </c>
      <c r="AN5756">
        <v>700</v>
      </c>
      <c r="AO5756" t="s">
        <v>118</v>
      </c>
      <c r="AP5756">
        <v>102</v>
      </c>
      <c r="AQ5756">
        <v>-7</v>
      </c>
      <c r="AR5756">
        <v>-768</v>
      </c>
      <c r="AZ5756">
        <v>1200</v>
      </c>
      <c r="BA5756">
        <v>1</v>
      </c>
      <c r="BB5756" t="str">
        <f t="shared" si="2670"/>
        <v xml:space="preserve">N711JA  </v>
      </c>
      <c r="BC5756">
        <v>1</v>
      </c>
      <c r="BE5756">
        <v>0</v>
      </c>
      <c r="BF5756">
        <v>0</v>
      </c>
      <c r="BG5756">
        <v>0</v>
      </c>
      <c r="BH5756">
        <v>725</v>
      </c>
      <c r="BI5756">
        <v>1</v>
      </c>
      <c r="BJ5756">
        <v>1</v>
      </c>
      <c r="BK5756">
        <v>0</v>
      </c>
      <c r="BL5756">
        <v>0</v>
      </c>
      <c r="BO5756">
        <v>0</v>
      </c>
      <c r="BP5756">
        <v>0</v>
      </c>
      <c r="BW5756" t="str">
        <f t="shared" si="2686"/>
        <v>14:52:01.215</v>
      </c>
      <c r="CJ5756">
        <v>0</v>
      </c>
      <c r="CK5756">
        <v>2</v>
      </c>
      <c r="CL5756">
        <v>0</v>
      </c>
      <c r="CM5756">
        <v>2</v>
      </c>
      <c r="CN5756">
        <v>0</v>
      </c>
      <c r="CO5756">
        <v>6</v>
      </c>
      <c r="CP5756" t="s">
        <v>119</v>
      </c>
      <c r="CQ5756">
        <v>343</v>
      </c>
      <c r="CR5756">
        <v>2</v>
      </c>
      <c r="CW5756">
        <v>13438823</v>
      </c>
      <c r="CY5756">
        <v>1</v>
      </c>
      <c r="CZ5756">
        <v>0</v>
      </c>
      <c r="DA5756">
        <v>1</v>
      </c>
      <c r="DB5756">
        <v>0</v>
      </c>
      <c r="DC5756">
        <v>0</v>
      </c>
      <c r="DD5756">
        <v>1</v>
      </c>
      <c r="DE5756">
        <v>0</v>
      </c>
      <c r="DF5756">
        <v>0</v>
      </c>
      <c r="DG5756">
        <v>0</v>
      </c>
      <c r="DH5756">
        <v>0</v>
      </c>
      <c r="DI5756">
        <v>0</v>
      </c>
    </row>
    <row r="5757" spans="1:113" x14ac:dyDescent="0.3">
      <c r="A5757" t="str">
        <f t="shared" si="2683"/>
        <v>05/12/2020 14:51:43.390</v>
      </c>
      <c r="C5757" t="str">
        <f t="shared" si="2669"/>
        <v>FFDFD3C0</v>
      </c>
      <c r="D5757" t="s">
        <v>113</v>
      </c>
      <c r="E5757">
        <v>3</v>
      </c>
      <c r="H5757">
        <v>164</v>
      </c>
      <c r="I5757" t="s">
        <v>114</v>
      </c>
      <c r="J5757" t="s">
        <v>115</v>
      </c>
      <c r="K5757">
        <v>0</v>
      </c>
      <c r="L5757">
        <v>3</v>
      </c>
      <c r="M5757">
        <v>0</v>
      </c>
      <c r="N5757">
        <v>2</v>
      </c>
      <c r="O5757">
        <v>1</v>
      </c>
      <c r="P5757">
        <v>0</v>
      </c>
      <c r="Q5757">
        <v>0</v>
      </c>
      <c r="S5757" t="str">
        <f t="shared" si="2684"/>
        <v>14:52:01.211</v>
      </c>
      <c r="T5757" t="str">
        <f t="shared" si="2685"/>
        <v>14:52:01.011</v>
      </c>
      <c r="U5757" t="str">
        <f t="shared" si="2657"/>
        <v>A9808D</v>
      </c>
      <c r="V5757">
        <v>0</v>
      </c>
      <c r="W5757">
        <v>0</v>
      </c>
      <c r="X5757">
        <v>1</v>
      </c>
      <c r="Z5757">
        <v>0</v>
      </c>
      <c r="AA5757">
        <v>9</v>
      </c>
      <c r="AB5757">
        <v>3</v>
      </c>
      <c r="AC5757">
        <v>0</v>
      </c>
      <c r="AD5757">
        <v>10</v>
      </c>
      <c r="AE5757">
        <v>0</v>
      </c>
      <c r="AF5757">
        <v>3</v>
      </c>
      <c r="AG5757">
        <v>2</v>
      </c>
      <c r="AH5757">
        <v>0</v>
      </c>
      <c r="AI5757" t="s">
        <v>1277</v>
      </c>
      <c r="AJ5757">
        <v>28.203084</v>
      </c>
      <c r="AK5757" t="s">
        <v>1278</v>
      </c>
      <c r="AL5757">
        <v>-82.379757999999995</v>
      </c>
      <c r="AM5757">
        <v>100</v>
      </c>
      <c r="AN5757">
        <v>700</v>
      </c>
      <c r="AO5757" t="s">
        <v>118</v>
      </c>
      <c r="AP5757">
        <v>102</v>
      </c>
      <c r="AQ5757">
        <v>-7</v>
      </c>
      <c r="AR5757">
        <v>-768</v>
      </c>
      <c r="AZ5757">
        <v>1200</v>
      </c>
      <c r="BA5757">
        <v>1</v>
      </c>
      <c r="BB5757" t="str">
        <f t="shared" si="2670"/>
        <v xml:space="preserve">N711JA  </v>
      </c>
      <c r="BC5757">
        <v>1</v>
      </c>
      <c r="BE5757">
        <v>0</v>
      </c>
      <c r="BF5757">
        <v>0</v>
      </c>
      <c r="BG5757">
        <v>0</v>
      </c>
      <c r="BH5757">
        <v>725</v>
      </c>
      <c r="BI5757">
        <v>1</v>
      </c>
      <c r="BJ5757">
        <v>1</v>
      </c>
      <c r="BK5757">
        <v>0</v>
      </c>
      <c r="BL5757">
        <v>0</v>
      </c>
      <c r="BO5757">
        <v>0</v>
      </c>
      <c r="BP5757">
        <v>0</v>
      </c>
      <c r="BW5757" t="str">
        <f t="shared" si="2686"/>
        <v>14:52:01.215</v>
      </c>
      <c r="CJ5757">
        <v>0</v>
      </c>
      <c r="CK5757">
        <v>2</v>
      </c>
      <c r="CL5757">
        <v>0</v>
      </c>
      <c r="CM5757">
        <v>2</v>
      </c>
      <c r="CN5757">
        <v>0</v>
      </c>
      <c r="CO5757">
        <v>6</v>
      </c>
      <c r="CP5757" t="s">
        <v>119</v>
      </c>
      <c r="CQ5757">
        <v>343</v>
      </c>
      <c r="CR5757">
        <v>2</v>
      </c>
      <c r="CW5757">
        <v>13438823</v>
      </c>
      <c r="CY5757">
        <v>1</v>
      </c>
      <c r="CZ5757">
        <v>0</v>
      </c>
      <c r="DA5757">
        <v>1</v>
      </c>
      <c r="DB5757">
        <v>0</v>
      </c>
      <c r="DC5757">
        <v>0</v>
      </c>
      <c r="DD5757">
        <v>1</v>
      </c>
      <c r="DE5757">
        <v>0</v>
      </c>
      <c r="DF5757">
        <v>0</v>
      </c>
      <c r="DG5757">
        <v>0</v>
      </c>
      <c r="DH5757">
        <v>0</v>
      </c>
      <c r="DI5757">
        <v>0</v>
      </c>
    </row>
    <row r="5758" spans="1:113" x14ac:dyDescent="0.3">
      <c r="A5758" t="str">
        <f t="shared" si="2683"/>
        <v>05/12/2020 14:51:43.390</v>
      </c>
      <c r="C5758" t="str">
        <f t="shared" si="2669"/>
        <v>FFDFD3C0</v>
      </c>
      <c r="D5758" t="s">
        <v>126</v>
      </c>
      <c r="E5758">
        <v>7</v>
      </c>
      <c r="F5758">
        <v>1007</v>
      </c>
      <c r="G5758" t="s">
        <v>127</v>
      </c>
      <c r="J5758" t="s">
        <v>128</v>
      </c>
      <c r="K5758">
        <v>0</v>
      </c>
      <c r="L5758">
        <v>3</v>
      </c>
      <c r="M5758">
        <v>0</v>
      </c>
      <c r="N5758">
        <v>2</v>
      </c>
      <c r="O5758">
        <v>1</v>
      </c>
      <c r="P5758">
        <v>0</v>
      </c>
      <c r="Q5758">
        <v>0</v>
      </c>
      <c r="S5758" t="str">
        <f t="shared" si="2684"/>
        <v>14:52:01.211</v>
      </c>
      <c r="T5758" t="str">
        <f t="shared" si="2685"/>
        <v>14:52:01.011</v>
      </c>
      <c r="U5758" t="str">
        <f t="shared" si="2657"/>
        <v>A9808D</v>
      </c>
      <c r="V5758">
        <v>0</v>
      </c>
      <c r="W5758">
        <v>0</v>
      </c>
      <c r="X5758">
        <v>1</v>
      </c>
      <c r="Z5758">
        <v>0</v>
      </c>
      <c r="AA5758">
        <v>9</v>
      </c>
      <c r="AB5758">
        <v>3</v>
      </c>
      <c r="AC5758">
        <v>0</v>
      </c>
      <c r="AD5758">
        <v>10</v>
      </c>
      <c r="AE5758">
        <v>0</v>
      </c>
      <c r="AF5758">
        <v>3</v>
      </c>
      <c r="AG5758">
        <v>2</v>
      </c>
      <c r="AH5758">
        <v>0</v>
      </c>
      <c r="AI5758" t="s">
        <v>1277</v>
      </c>
      <c r="AJ5758">
        <v>28.203084</v>
      </c>
      <c r="AK5758" t="s">
        <v>1278</v>
      </c>
      <c r="AL5758">
        <v>-82.379757999999995</v>
      </c>
      <c r="AM5758">
        <v>100</v>
      </c>
      <c r="AN5758">
        <v>700</v>
      </c>
      <c r="AO5758" t="s">
        <v>118</v>
      </c>
      <c r="AP5758">
        <v>102</v>
      </c>
      <c r="AQ5758">
        <v>-7</v>
      </c>
      <c r="AR5758">
        <v>-768</v>
      </c>
      <c r="AZ5758">
        <v>1200</v>
      </c>
      <c r="BA5758">
        <v>1</v>
      </c>
      <c r="BB5758" t="str">
        <f t="shared" si="2670"/>
        <v xml:space="preserve">N711JA  </v>
      </c>
      <c r="BC5758">
        <v>1</v>
      </c>
      <c r="BE5758">
        <v>0</v>
      </c>
      <c r="BF5758">
        <v>0</v>
      </c>
      <c r="BG5758">
        <v>0</v>
      </c>
      <c r="BH5758">
        <v>725</v>
      </c>
      <c r="BI5758">
        <v>1</v>
      </c>
      <c r="BJ5758">
        <v>1</v>
      </c>
      <c r="BK5758">
        <v>0</v>
      </c>
      <c r="BL5758">
        <v>0</v>
      </c>
      <c r="BO5758">
        <v>0</v>
      </c>
      <c r="BP5758">
        <v>0</v>
      </c>
      <c r="BW5758" t="str">
        <f t="shared" si="2686"/>
        <v>14:52:01.215</v>
      </c>
      <c r="CJ5758">
        <v>0</v>
      </c>
      <c r="CK5758">
        <v>2</v>
      </c>
      <c r="CL5758">
        <v>0</v>
      </c>
      <c r="CM5758">
        <v>2</v>
      </c>
      <c r="CN5758">
        <v>0</v>
      </c>
      <c r="CO5758">
        <v>6</v>
      </c>
      <c r="CP5758" t="s">
        <v>119</v>
      </c>
      <c r="CQ5758">
        <v>343</v>
      </c>
      <c r="CR5758">
        <v>2</v>
      </c>
      <c r="CW5758">
        <v>13438823</v>
      </c>
      <c r="CY5758">
        <v>1</v>
      </c>
      <c r="CZ5758">
        <v>0</v>
      </c>
      <c r="DA5758">
        <v>1</v>
      </c>
      <c r="DB5758">
        <v>0</v>
      </c>
      <c r="DC5758">
        <v>0</v>
      </c>
      <c r="DD5758">
        <v>1</v>
      </c>
      <c r="DE5758">
        <v>0</v>
      </c>
      <c r="DF5758">
        <v>0</v>
      </c>
      <c r="DG5758">
        <v>0</v>
      </c>
      <c r="DH5758">
        <v>0</v>
      </c>
      <c r="DI5758">
        <v>0</v>
      </c>
    </row>
    <row r="5759" spans="1:113" x14ac:dyDescent="0.3">
      <c r="A5759" t="str">
        <f t="shared" si="2683"/>
        <v>05/12/2020 14:51:43.390</v>
      </c>
      <c r="C5759" t="str">
        <f t="shared" si="2669"/>
        <v>FFDFD3C0</v>
      </c>
      <c r="D5759" t="s">
        <v>131</v>
      </c>
      <c r="E5759">
        <v>10</v>
      </c>
      <c r="F5759">
        <v>2010</v>
      </c>
      <c r="G5759" t="s">
        <v>132</v>
      </c>
      <c r="J5759" t="s">
        <v>133</v>
      </c>
      <c r="K5759">
        <v>0</v>
      </c>
      <c r="L5759">
        <v>3</v>
      </c>
      <c r="M5759">
        <v>0</v>
      </c>
      <c r="N5759">
        <v>2</v>
      </c>
      <c r="O5759">
        <v>1</v>
      </c>
      <c r="P5759">
        <v>0</v>
      </c>
      <c r="Q5759">
        <v>0</v>
      </c>
      <c r="S5759" t="str">
        <f t="shared" si="2684"/>
        <v>14:52:01.211</v>
      </c>
      <c r="T5759" t="str">
        <f t="shared" si="2685"/>
        <v>14:52:01.011</v>
      </c>
      <c r="U5759" t="str">
        <f t="shared" si="2657"/>
        <v>A9808D</v>
      </c>
      <c r="V5759">
        <v>0</v>
      </c>
      <c r="W5759">
        <v>0</v>
      </c>
      <c r="X5759">
        <v>1</v>
      </c>
      <c r="Z5759">
        <v>0</v>
      </c>
      <c r="AA5759">
        <v>9</v>
      </c>
      <c r="AB5759">
        <v>3</v>
      </c>
      <c r="AC5759">
        <v>0</v>
      </c>
      <c r="AD5759">
        <v>10</v>
      </c>
      <c r="AE5759">
        <v>0</v>
      </c>
      <c r="AF5759">
        <v>3</v>
      </c>
      <c r="AG5759">
        <v>2</v>
      </c>
      <c r="AH5759">
        <v>0</v>
      </c>
      <c r="AI5759" t="s">
        <v>1277</v>
      </c>
      <c r="AJ5759">
        <v>28.203084</v>
      </c>
      <c r="AK5759" t="s">
        <v>1278</v>
      </c>
      <c r="AL5759">
        <v>-82.379757999999995</v>
      </c>
      <c r="AM5759">
        <v>100</v>
      </c>
      <c r="AN5759">
        <v>700</v>
      </c>
      <c r="AO5759" t="s">
        <v>118</v>
      </c>
      <c r="AP5759">
        <v>102</v>
      </c>
      <c r="AQ5759">
        <v>-7</v>
      </c>
      <c r="AR5759">
        <v>-768</v>
      </c>
      <c r="AZ5759">
        <v>1200</v>
      </c>
      <c r="BA5759">
        <v>1</v>
      </c>
      <c r="BB5759" t="str">
        <f t="shared" si="2670"/>
        <v xml:space="preserve">N711JA  </v>
      </c>
      <c r="BC5759">
        <v>1</v>
      </c>
      <c r="BE5759">
        <v>0</v>
      </c>
      <c r="BF5759">
        <v>0</v>
      </c>
      <c r="BG5759">
        <v>0</v>
      </c>
      <c r="BH5759">
        <v>725</v>
      </c>
      <c r="BI5759">
        <v>1</v>
      </c>
      <c r="BJ5759">
        <v>1</v>
      </c>
      <c r="BK5759">
        <v>0</v>
      </c>
      <c r="BL5759">
        <v>0</v>
      </c>
      <c r="BO5759">
        <v>0</v>
      </c>
      <c r="BP5759">
        <v>0</v>
      </c>
      <c r="BW5759" t="str">
        <f t="shared" si="2686"/>
        <v>14:52:01.215</v>
      </c>
      <c r="CJ5759">
        <v>0</v>
      </c>
      <c r="CK5759">
        <v>2</v>
      </c>
      <c r="CL5759">
        <v>0</v>
      </c>
      <c r="CM5759">
        <v>2</v>
      </c>
      <c r="CN5759">
        <v>0</v>
      </c>
      <c r="CO5759">
        <v>6</v>
      </c>
      <c r="CP5759" t="s">
        <v>119</v>
      </c>
      <c r="CQ5759">
        <v>343</v>
      </c>
      <c r="CR5759">
        <v>2</v>
      </c>
      <c r="CW5759">
        <v>13438823</v>
      </c>
      <c r="CY5759">
        <v>1</v>
      </c>
      <c r="CZ5759">
        <v>0</v>
      </c>
      <c r="DA5759">
        <v>1</v>
      </c>
      <c r="DB5759">
        <v>0</v>
      </c>
      <c r="DC5759">
        <v>0</v>
      </c>
      <c r="DD5759">
        <v>1</v>
      </c>
      <c r="DE5759">
        <v>0</v>
      </c>
      <c r="DF5759">
        <v>0</v>
      </c>
      <c r="DG5759">
        <v>0</v>
      </c>
      <c r="DH5759">
        <v>0</v>
      </c>
      <c r="DI5759">
        <v>0</v>
      </c>
    </row>
    <row r="5760" spans="1:113" x14ac:dyDescent="0.3">
      <c r="A5760" t="str">
        <f t="shared" si="2683"/>
        <v>05/12/2020 14:51:43.390</v>
      </c>
      <c r="C5760" t="str">
        <f t="shared" si="2669"/>
        <v>FFDFD3C0</v>
      </c>
      <c r="D5760" t="s">
        <v>131</v>
      </c>
      <c r="E5760">
        <v>12</v>
      </c>
      <c r="F5760">
        <v>2012</v>
      </c>
      <c r="G5760" t="s">
        <v>137</v>
      </c>
      <c r="J5760" t="s">
        <v>133</v>
      </c>
      <c r="K5760">
        <v>0</v>
      </c>
      <c r="L5760">
        <v>3</v>
      </c>
      <c r="M5760">
        <v>0</v>
      </c>
      <c r="N5760">
        <v>2</v>
      </c>
      <c r="O5760">
        <v>1</v>
      </c>
      <c r="P5760">
        <v>0</v>
      </c>
      <c r="Q5760">
        <v>0</v>
      </c>
      <c r="S5760" t="str">
        <f t="shared" si="2684"/>
        <v>14:52:01.211</v>
      </c>
      <c r="T5760" t="str">
        <f t="shared" si="2685"/>
        <v>14:52:01.011</v>
      </c>
      <c r="U5760" t="str">
        <f t="shared" si="2657"/>
        <v>A9808D</v>
      </c>
      <c r="V5760">
        <v>0</v>
      </c>
      <c r="W5760">
        <v>0</v>
      </c>
      <c r="X5760">
        <v>1</v>
      </c>
      <c r="Z5760">
        <v>0</v>
      </c>
      <c r="AA5760">
        <v>9</v>
      </c>
      <c r="AB5760">
        <v>3</v>
      </c>
      <c r="AC5760">
        <v>0</v>
      </c>
      <c r="AD5760">
        <v>10</v>
      </c>
      <c r="AE5760">
        <v>0</v>
      </c>
      <c r="AF5760">
        <v>3</v>
      </c>
      <c r="AG5760">
        <v>2</v>
      </c>
      <c r="AH5760">
        <v>0</v>
      </c>
      <c r="AI5760" t="s">
        <v>1277</v>
      </c>
      <c r="AJ5760">
        <v>28.203084</v>
      </c>
      <c r="AK5760" t="s">
        <v>1278</v>
      </c>
      <c r="AL5760">
        <v>-82.379757999999995</v>
      </c>
      <c r="AM5760">
        <v>100</v>
      </c>
      <c r="AN5760">
        <v>700</v>
      </c>
      <c r="AO5760" t="s">
        <v>118</v>
      </c>
      <c r="AP5760">
        <v>102</v>
      </c>
      <c r="AQ5760">
        <v>-7</v>
      </c>
      <c r="AR5760">
        <v>-768</v>
      </c>
      <c r="AZ5760">
        <v>1200</v>
      </c>
      <c r="BA5760">
        <v>1</v>
      </c>
      <c r="BB5760" t="str">
        <f t="shared" si="2670"/>
        <v xml:space="preserve">N711JA  </v>
      </c>
      <c r="BC5760">
        <v>1</v>
      </c>
      <c r="BE5760">
        <v>0</v>
      </c>
      <c r="BF5760">
        <v>0</v>
      </c>
      <c r="BG5760">
        <v>0</v>
      </c>
      <c r="BH5760">
        <v>725</v>
      </c>
      <c r="BI5760">
        <v>1</v>
      </c>
      <c r="BJ5760">
        <v>1</v>
      </c>
      <c r="BK5760">
        <v>0</v>
      </c>
      <c r="BL5760">
        <v>0</v>
      </c>
      <c r="BO5760">
        <v>0</v>
      </c>
      <c r="BP5760">
        <v>0</v>
      </c>
      <c r="BW5760" t="str">
        <f t="shared" si="2686"/>
        <v>14:52:01.215</v>
      </c>
      <c r="CJ5760">
        <v>0</v>
      </c>
      <c r="CK5760">
        <v>2</v>
      </c>
      <c r="CL5760">
        <v>0</v>
      </c>
      <c r="CM5760">
        <v>2</v>
      </c>
      <c r="CN5760">
        <v>0</v>
      </c>
      <c r="CO5760">
        <v>6</v>
      </c>
      <c r="CP5760" t="s">
        <v>119</v>
      </c>
      <c r="CQ5760">
        <v>343</v>
      </c>
      <c r="CR5760">
        <v>2</v>
      </c>
      <c r="CW5760">
        <v>13438823</v>
      </c>
      <c r="CY5760">
        <v>1</v>
      </c>
      <c r="CZ5760">
        <v>0</v>
      </c>
      <c r="DA5760">
        <v>1</v>
      </c>
      <c r="DB5760">
        <v>0</v>
      </c>
      <c r="DC5760">
        <v>0</v>
      </c>
      <c r="DD5760">
        <v>1</v>
      </c>
      <c r="DE5760">
        <v>0</v>
      </c>
      <c r="DF5760">
        <v>0</v>
      </c>
      <c r="DG5760">
        <v>0</v>
      </c>
      <c r="DH5760">
        <v>0</v>
      </c>
      <c r="DI5760">
        <v>0</v>
      </c>
    </row>
    <row r="5761" spans="1:113" x14ac:dyDescent="0.3">
      <c r="A5761" t="str">
        <f t="shared" ref="A5761:A5768" si="2687">"05/12/2020 14:51:44.380"</f>
        <v>05/12/2020 14:51:44.380</v>
      </c>
      <c r="C5761" t="str">
        <f t="shared" si="2669"/>
        <v>FFDFD3C0</v>
      </c>
      <c r="D5761" t="s">
        <v>126</v>
      </c>
      <c r="E5761">
        <v>7</v>
      </c>
      <c r="F5761">
        <v>1007</v>
      </c>
      <c r="G5761" t="s">
        <v>127</v>
      </c>
      <c r="J5761" t="s">
        <v>128</v>
      </c>
      <c r="K5761">
        <v>0</v>
      </c>
      <c r="L5761">
        <v>3</v>
      </c>
      <c r="M5761">
        <v>0</v>
      </c>
      <c r="N5761">
        <v>2</v>
      </c>
      <c r="O5761">
        <v>1</v>
      </c>
      <c r="P5761">
        <v>0</v>
      </c>
      <c r="Q5761">
        <v>0</v>
      </c>
      <c r="S5761" t="str">
        <f t="shared" ref="S5761:S5768" si="2688">"14:52:02.188"</f>
        <v>14:52:02.188</v>
      </c>
      <c r="T5761" t="str">
        <f t="shared" ref="T5761:T5768" si="2689">"14:52:01.988"</f>
        <v>14:52:01.988</v>
      </c>
      <c r="U5761" t="str">
        <f t="shared" si="2657"/>
        <v>A9808D</v>
      </c>
      <c r="V5761">
        <v>0</v>
      </c>
      <c r="W5761">
        <v>0</v>
      </c>
      <c r="X5761">
        <v>1</v>
      </c>
      <c r="Z5761">
        <v>0</v>
      </c>
      <c r="AA5761">
        <v>9</v>
      </c>
      <c r="AB5761">
        <v>3</v>
      </c>
      <c r="AC5761">
        <v>0</v>
      </c>
      <c r="AD5761">
        <v>10</v>
      </c>
      <c r="AE5761">
        <v>0</v>
      </c>
      <c r="AF5761">
        <v>3</v>
      </c>
      <c r="AG5761">
        <v>2</v>
      </c>
      <c r="AH5761">
        <v>0</v>
      </c>
      <c r="AI5761" t="s">
        <v>1277</v>
      </c>
      <c r="AJ5761">
        <v>28.203084</v>
      </c>
      <c r="AK5761" t="s">
        <v>1279</v>
      </c>
      <c r="AL5761">
        <v>-82.379243000000002</v>
      </c>
      <c r="AM5761">
        <v>100</v>
      </c>
      <c r="AN5761">
        <v>700</v>
      </c>
      <c r="AO5761" t="s">
        <v>118</v>
      </c>
      <c r="AP5761">
        <v>102</v>
      </c>
      <c r="AQ5761">
        <v>-2</v>
      </c>
      <c r="AR5761">
        <v>-768</v>
      </c>
      <c r="AZ5761">
        <v>1200</v>
      </c>
      <c r="BA5761">
        <v>1</v>
      </c>
      <c r="BB5761" t="str">
        <f t="shared" si="2670"/>
        <v xml:space="preserve">N711JA  </v>
      </c>
      <c r="BC5761">
        <v>1</v>
      </c>
      <c r="BE5761">
        <v>0</v>
      </c>
      <c r="BF5761">
        <v>0</v>
      </c>
      <c r="BG5761">
        <v>0</v>
      </c>
      <c r="BH5761">
        <v>725</v>
      </c>
      <c r="BI5761">
        <v>1</v>
      </c>
      <c r="BJ5761">
        <v>1</v>
      </c>
      <c r="BK5761">
        <v>0</v>
      </c>
      <c r="BL5761">
        <v>0</v>
      </c>
      <c r="BO5761">
        <v>0</v>
      </c>
      <c r="BP5761">
        <v>0</v>
      </c>
      <c r="BW5761" t="str">
        <f t="shared" ref="BW5761:BW5768" si="2690">"14:52:02.189"</f>
        <v>14:52:02.189</v>
      </c>
      <c r="CJ5761">
        <v>0</v>
      </c>
      <c r="CK5761">
        <v>2</v>
      </c>
      <c r="CL5761">
        <v>0</v>
      </c>
      <c r="CM5761">
        <v>2</v>
      </c>
      <c r="CN5761">
        <v>0</v>
      </c>
      <c r="CO5761">
        <v>6</v>
      </c>
      <c r="CP5761" t="s">
        <v>119</v>
      </c>
      <c r="CQ5761">
        <v>343</v>
      </c>
      <c r="CR5761">
        <v>1</v>
      </c>
      <c r="CW5761">
        <v>11197869</v>
      </c>
      <c r="CY5761">
        <v>1</v>
      </c>
      <c r="CZ5761">
        <v>0</v>
      </c>
      <c r="DA5761">
        <v>0</v>
      </c>
      <c r="DB5761">
        <v>0</v>
      </c>
      <c r="DC5761">
        <v>0</v>
      </c>
      <c r="DD5761">
        <v>1</v>
      </c>
      <c r="DE5761">
        <v>0</v>
      </c>
      <c r="DF5761">
        <v>0</v>
      </c>
      <c r="DG5761">
        <v>0</v>
      </c>
      <c r="DH5761">
        <v>0</v>
      </c>
      <c r="DI5761">
        <v>0</v>
      </c>
    </row>
    <row r="5762" spans="1:113" x14ac:dyDescent="0.3">
      <c r="A5762" t="str">
        <f t="shared" si="2687"/>
        <v>05/12/2020 14:51:44.380</v>
      </c>
      <c r="C5762" t="str">
        <f t="shared" si="2669"/>
        <v>FFDFD3C0</v>
      </c>
      <c r="D5762" t="s">
        <v>131</v>
      </c>
      <c r="E5762">
        <v>10</v>
      </c>
      <c r="F5762">
        <v>2010</v>
      </c>
      <c r="G5762" t="s">
        <v>132</v>
      </c>
      <c r="J5762" t="s">
        <v>133</v>
      </c>
      <c r="K5762">
        <v>0</v>
      </c>
      <c r="L5762">
        <v>3</v>
      </c>
      <c r="M5762">
        <v>0</v>
      </c>
      <c r="N5762">
        <v>2</v>
      </c>
      <c r="O5762">
        <v>1</v>
      </c>
      <c r="P5762">
        <v>0</v>
      </c>
      <c r="Q5762">
        <v>0</v>
      </c>
      <c r="S5762" t="str">
        <f t="shared" si="2688"/>
        <v>14:52:02.188</v>
      </c>
      <c r="T5762" t="str">
        <f t="shared" si="2689"/>
        <v>14:52:01.988</v>
      </c>
      <c r="U5762" t="str">
        <f t="shared" ref="U5762:U5825" si="2691">"A9808D"</f>
        <v>A9808D</v>
      </c>
      <c r="V5762">
        <v>0</v>
      </c>
      <c r="W5762">
        <v>0</v>
      </c>
      <c r="X5762">
        <v>1</v>
      </c>
      <c r="Z5762">
        <v>0</v>
      </c>
      <c r="AA5762">
        <v>9</v>
      </c>
      <c r="AB5762">
        <v>3</v>
      </c>
      <c r="AC5762">
        <v>0</v>
      </c>
      <c r="AD5762">
        <v>10</v>
      </c>
      <c r="AE5762">
        <v>0</v>
      </c>
      <c r="AF5762">
        <v>3</v>
      </c>
      <c r="AG5762">
        <v>2</v>
      </c>
      <c r="AH5762">
        <v>0</v>
      </c>
      <c r="AI5762" t="s">
        <v>1277</v>
      </c>
      <c r="AJ5762">
        <v>28.203084</v>
      </c>
      <c r="AK5762" t="s">
        <v>1279</v>
      </c>
      <c r="AL5762">
        <v>-82.379243000000002</v>
      </c>
      <c r="AM5762">
        <v>100</v>
      </c>
      <c r="AN5762">
        <v>700</v>
      </c>
      <c r="AO5762" t="s">
        <v>118</v>
      </c>
      <c r="AP5762">
        <v>102</v>
      </c>
      <c r="AQ5762">
        <v>-2</v>
      </c>
      <c r="AR5762">
        <v>-768</v>
      </c>
      <c r="AZ5762">
        <v>1200</v>
      </c>
      <c r="BA5762">
        <v>1</v>
      </c>
      <c r="BB5762" t="str">
        <f t="shared" si="2670"/>
        <v xml:space="preserve">N711JA  </v>
      </c>
      <c r="BC5762">
        <v>1</v>
      </c>
      <c r="BE5762">
        <v>0</v>
      </c>
      <c r="BF5762">
        <v>0</v>
      </c>
      <c r="BG5762">
        <v>0</v>
      </c>
      <c r="BH5762">
        <v>725</v>
      </c>
      <c r="BI5762">
        <v>1</v>
      </c>
      <c r="BJ5762">
        <v>1</v>
      </c>
      <c r="BK5762">
        <v>0</v>
      </c>
      <c r="BL5762">
        <v>0</v>
      </c>
      <c r="BO5762">
        <v>0</v>
      </c>
      <c r="BP5762">
        <v>0</v>
      </c>
      <c r="BW5762" t="str">
        <f t="shared" si="2690"/>
        <v>14:52:02.189</v>
      </c>
      <c r="CJ5762">
        <v>0</v>
      </c>
      <c r="CK5762">
        <v>2</v>
      </c>
      <c r="CL5762">
        <v>0</v>
      </c>
      <c r="CM5762">
        <v>2</v>
      </c>
      <c r="CN5762">
        <v>0</v>
      </c>
      <c r="CO5762">
        <v>6</v>
      </c>
      <c r="CP5762" t="s">
        <v>119</v>
      </c>
      <c r="CQ5762">
        <v>343</v>
      </c>
      <c r="CR5762">
        <v>1</v>
      </c>
      <c r="CW5762">
        <v>11197869</v>
      </c>
      <c r="CY5762">
        <v>1</v>
      </c>
      <c r="CZ5762">
        <v>0</v>
      </c>
      <c r="DA5762">
        <v>1</v>
      </c>
      <c r="DB5762">
        <v>0</v>
      </c>
      <c r="DC5762">
        <v>0</v>
      </c>
      <c r="DD5762">
        <v>1</v>
      </c>
      <c r="DE5762">
        <v>0</v>
      </c>
      <c r="DF5762">
        <v>0</v>
      </c>
      <c r="DG5762">
        <v>0</v>
      </c>
      <c r="DH5762">
        <v>0</v>
      </c>
      <c r="DI5762">
        <v>0</v>
      </c>
    </row>
    <row r="5763" spans="1:113" x14ac:dyDescent="0.3">
      <c r="A5763" t="str">
        <f t="shared" si="2687"/>
        <v>05/12/2020 14:51:44.380</v>
      </c>
      <c r="C5763" t="str">
        <f t="shared" si="2669"/>
        <v>FFDFD3C0</v>
      </c>
      <c r="D5763" t="s">
        <v>131</v>
      </c>
      <c r="E5763">
        <v>12</v>
      </c>
      <c r="F5763">
        <v>2012</v>
      </c>
      <c r="G5763" t="s">
        <v>137</v>
      </c>
      <c r="J5763" t="s">
        <v>133</v>
      </c>
      <c r="K5763">
        <v>0</v>
      </c>
      <c r="L5763">
        <v>3</v>
      </c>
      <c r="M5763">
        <v>0</v>
      </c>
      <c r="N5763">
        <v>2</v>
      </c>
      <c r="O5763">
        <v>1</v>
      </c>
      <c r="P5763">
        <v>0</v>
      </c>
      <c r="Q5763">
        <v>0</v>
      </c>
      <c r="S5763" t="str">
        <f t="shared" si="2688"/>
        <v>14:52:02.188</v>
      </c>
      <c r="T5763" t="str">
        <f t="shared" si="2689"/>
        <v>14:52:01.988</v>
      </c>
      <c r="U5763" t="str">
        <f t="shared" si="2691"/>
        <v>A9808D</v>
      </c>
      <c r="V5763">
        <v>0</v>
      </c>
      <c r="W5763">
        <v>0</v>
      </c>
      <c r="X5763">
        <v>1</v>
      </c>
      <c r="Z5763">
        <v>0</v>
      </c>
      <c r="AA5763">
        <v>9</v>
      </c>
      <c r="AB5763">
        <v>3</v>
      </c>
      <c r="AC5763">
        <v>0</v>
      </c>
      <c r="AD5763">
        <v>10</v>
      </c>
      <c r="AE5763">
        <v>0</v>
      </c>
      <c r="AF5763">
        <v>3</v>
      </c>
      <c r="AG5763">
        <v>2</v>
      </c>
      <c r="AH5763">
        <v>0</v>
      </c>
      <c r="AI5763" t="s">
        <v>1277</v>
      </c>
      <c r="AJ5763">
        <v>28.203084</v>
      </c>
      <c r="AK5763" t="s">
        <v>1279</v>
      </c>
      <c r="AL5763">
        <v>-82.379243000000002</v>
      </c>
      <c r="AM5763">
        <v>100</v>
      </c>
      <c r="AN5763">
        <v>700</v>
      </c>
      <c r="AO5763" t="s">
        <v>118</v>
      </c>
      <c r="AP5763">
        <v>102</v>
      </c>
      <c r="AQ5763">
        <v>-2</v>
      </c>
      <c r="AR5763">
        <v>-768</v>
      </c>
      <c r="AZ5763">
        <v>1200</v>
      </c>
      <c r="BA5763">
        <v>1</v>
      </c>
      <c r="BB5763" t="str">
        <f t="shared" si="2670"/>
        <v xml:space="preserve">N711JA  </v>
      </c>
      <c r="BC5763">
        <v>1</v>
      </c>
      <c r="BE5763">
        <v>0</v>
      </c>
      <c r="BF5763">
        <v>0</v>
      </c>
      <c r="BG5763">
        <v>0</v>
      </c>
      <c r="BH5763">
        <v>725</v>
      </c>
      <c r="BI5763">
        <v>1</v>
      </c>
      <c r="BJ5763">
        <v>1</v>
      </c>
      <c r="BK5763">
        <v>0</v>
      </c>
      <c r="BL5763">
        <v>0</v>
      </c>
      <c r="BO5763">
        <v>0</v>
      </c>
      <c r="BP5763">
        <v>0</v>
      </c>
      <c r="BW5763" t="str">
        <f t="shared" si="2690"/>
        <v>14:52:02.189</v>
      </c>
      <c r="CJ5763">
        <v>0</v>
      </c>
      <c r="CK5763">
        <v>2</v>
      </c>
      <c r="CL5763">
        <v>0</v>
      </c>
      <c r="CM5763">
        <v>2</v>
      </c>
      <c r="CN5763">
        <v>0</v>
      </c>
      <c r="CO5763">
        <v>6</v>
      </c>
      <c r="CP5763" t="s">
        <v>119</v>
      </c>
      <c r="CQ5763">
        <v>343</v>
      </c>
      <c r="CR5763">
        <v>1</v>
      </c>
      <c r="CW5763">
        <v>11197869</v>
      </c>
      <c r="CY5763">
        <v>1</v>
      </c>
      <c r="CZ5763">
        <v>0</v>
      </c>
      <c r="DA5763">
        <v>1</v>
      </c>
      <c r="DB5763">
        <v>0</v>
      </c>
      <c r="DC5763">
        <v>0</v>
      </c>
      <c r="DD5763">
        <v>1</v>
      </c>
      <c r="DE5763">
        <v>0</v>
      </c>
      <c r="DF5763">
        <v>0</v>
      </c>
      <c r="DG5763">
        <v>0</v>
      </c>
      <c r="DH5763">
        <v>0</v>
      </c>
      <c r="DI5763">
        <v>0</v>
      </c>
    </row>
    <row r="5764" spans="1:113" x14ac:dyDescent="0.3">
      <c r="A5764" t="str">
        <f t="shared" si="2687"/>
        <v>05/12/2020 14:51:44.380</v>
      </c>
      <c r="C5764" t="str">
        <f t="shared" si="2669"/>
        <v>FFDFD3C0</v>
      </c>
      <c r="D5764" t="s">
        <v>126</v>
      </c>
      <c r="E5764">
        <v>6</v>
      </c>
      <c r="F5764">
        <v>1006</v>
      </c>
      <c r="G5764" t="s">
        <v>114</v>
      </c>
      <c r="J5764" t="s">
        <v>128</v>
      </c>
      <c r="K5764">
        <v>0</v>
      </c>
      <c r="L5764">
        <v>3</v>
      </c>
      <c r="M5764">
        <v>0</v>
      </c>
      <c r="N5764">
        <v>2</v>
      </c>
      <c r="O5764">
        <v>1</v>
      </c>
      <c r="P5764">
        <v>0</v>
      </c>
      <c r="Q5764">
        <v>0</v>
      </c>
      <c r="S5764" t="str">
        <f t="shared" si="2688"/>
        <v>14:52:02.188</v>
      </c>
      <c r="T5764" t="str">
        <f t="shared" si="2689"/>
        <v>14:52:01.988</v>
      </c>
      <c r="U5764" t="str">
        <f t="shared" si="2691"/>
        <v>A9808D</v>
      </c>
      <c r="V5764">
        <v>0</v>
      </c>
      <c r="W5764">
        <v>0</v>
      </c>
      <c r="X5764">
        <v>1</v>
      </c>
      <c r="Z5764">
        <v>0</v>
      </c>
      <c r="AA5764">
        <v>9</v>
      </c>
      <c r="AB5764">
        <v>3</v>
      </c>
      <c r="AC5764">
        <v>0</v>
      </c>
      <c r="AD5764">
        <v>10</v>
      </c>
      <c r="AE5764">
        <v>0</v>
      </c>
      <c r="AF5764">
        <v>3</v>
      </c>
      <c r="AG5764">
        <v>2</v>
      </c>
      <c r="AH5764">
        <v>0</v>
      </c>
      <c r="AI5764" t="s">
        <v>1277</v>
      </c>
      <c r="AJ5764">
        <v>28.203084</v>
      </c>
      <c r="AK5764" t="s">
        <v>1279</v>
      </c>
      <c r="AL5764">
        <v>-82.379243000000002</v>
      </c>
      <c r="AM5764">
        <v>100</v>
      </c>
      <c r="AN5764">
        <v>700</v>
      </c>
      <c r="AO5764" t="s">
        <v>118</v>
      </c>
      <c r="AP5764">
        <v>102</v>
      </c>
      <c r="AQ5764">
        <v>-2</v>
      </c>
      <c r="AR5764">
        <v>-768</v>
      </c>
      <c r="AZ5764">
        <v>1200</v>
      </c>
      <c r="BA5764">
        <v>1</v>
      </c>
      <c r="BB5764" t="str">
        <f t="shared" si="2670"/>
        <v xml:space="preserve">N711JA  </v>
      </c>
      <c r="BC5764">
        <v>1</v>
      </c>
      <c r="BE5764">
        <v>0</v>
      </c>
      <c r="BF5764">
        <v>0</v>
      </c>
      <c r="BG5764">
        <v>0</v>
      </c>
      <c r="BH5764">
        <v>725</v>
      </c>
      <c r="BI5764">
        <v>1</v>
      </c>
      <c r="BJ5764">
        <v>1</v>
      </c>
      <c r="BK5764">
        <v>0</v>
      </c>
      <c r="BL5764">
        <v>0</v>
      </c>
      <c r="BO5764">
        <v>0</v>
      </c>
      <c r="BP5764">
        <v>0</v>
      </c>
      <c r="BW5764" t="str">
        <f t="shared" si="2690"/>
        <v>14:52:02.189</v>
      </c>
      <c r="CJ5764">
        <v>0</v>
      </c>
      <c r="CK5764">
        <v>2</v>
      </c>
      <c r="CL5764">
        <v>0</v>
      </c>
      <c r="CM5764">
        <v>2</v>
      </c>
      <c r="CN5764">
        <v>0</v>
      </c>
      <c r="CO5764">
        <v>6</v>
      </c>
      <c r="CP5764" t="s">
        <v>119</v>
      </c>
      <c r="CQ5764">
        <v>343</v>
      </c>
      <c r="CR5764">
        <v>1</v>
      </c>
      <c r="CW5764">
        <v>11197869</v>
      </c>
      <c r="CY5764">
        <v>1</v>
      </c>
      <c r="CZ5764">
        <v>0</v>
      </c>
      <c r="DA5764">
        <v>1</v>
      </c>
      <c r="DB5764">
        <v>0</v>
      </c>
      <c r="DC5764">
        <v>0</v>
      </c>
      <c r="DD5764">
        <v>1</v>
      </c>
      <c r="DE5764">
        <v>0</v>
      </c>
      <c r="DF5764">
        <v>0</v>
      </c>
      <c r="DG5764">
        <v>0</v>
      </c>
      <c r="DH5764">
        <v>0</v>
      </c>
      <c r="DI5764">
        <v>0</v>
      </c>
    </row>
    <row r="5765" spans="1:113" x14ac:dyDescent="0.3">
      <c r="A5765" t="str">
        <f t="shared" si="2687"/>
        <v>05/12/2020 14:51:44.380</v>
      </c>
      <c r="C5765" t="str">
        <f t="shared" si="2669"/>
        <v>FFDFD3C0</v>
      </c>
      <c r="D5765" t="s">
        <v>134</v>
      </c>
      <c r="E5765">
        <v>12</v>
      </c>
      <c r="H5765">
        <v>64</v>
      </c>
      <c r="I5765" t="s">
        <v>135</v>
      </c>
      <c r="J5765" t="s">
        <v>136</v>
      </c>
      <c r="K5765">
        <v>0</v>
      </c>
      <c r="L5765">
        <v>3</v>
      </c>
      <c r="M5765">
        <v>0</v>
      </c>
      <c r="N5765">
        <v>2</v>
      </c>
      <c r="O5765">
        <v>1</v>
      </c>
      <c r="P5765">
        <v>0</v>
      </c>
      <c r="Q5765">
        <v>0</v>
      </c>
      <c r="S5765" t="str">
        <f t="shared" si="2688"/>
        <v>14:52:02.188</v>
      </c>
      <c r="T5765" t="str">
        <f t="shared" si="2689"/>
        <v>14:52:01.988</v>
      </c>
      <c r="U5765" t="str">
        <f t="shared" si="2691"/>
        <v>A9808D</v>
      </c>
      <c r="V5765">
        <v>0</v>
      </c>
      <c r="W5765">
        <v>0</v>
      </c>
      <c r="X5765">
        <v>1</v>
      </c>
      <c r="Z5765">
        <v>0</v>
      </c>
      <c r="AA5765">
        <v>9</v>
      </c>
      <c r="AB5765">
        <v>3</v>
      </c>
      <c r="AC5765">
        <v>0</v>
      </c>
      <c r="AD5765">
        <v>10</v>
      </c>
      <c r="AE5765">
        <v>0</v>
      </c>
      <c r="AF5765">
        <v>3</v>
      </c>
      <c r="AG5765">
        <v>2</v>
      </c>
      <c r="AH5765">
        <v>0</v>
      </c>
      <c r="AI5765" t="s">
        <v>1277</v>
      </c>
      <c r="AJ5765">
        <v>28.203084</v>
      </c>
      <c r="AK5765" t="s">
        <v>1279</v>
      </c>
      <c r="AL5765">
        <v>-82.379243000000002</v>
      </c>
      <c r="AM5765">
        <v>100</v>
      </c>
      <c r="AN5765">
        <v>700</v>
      </c>
      <c r="AO5765" t="s">
        <v>118</v>
      </c>
      <c r="AP5765">
        <v>102</v>
      </c>
      <c r="AQ5765">
        <v>-2</v>
      </c>
      <c r="AR5765">
        <v>-768</v>
      </c>
      <c r="AZ5765">
        <v>1200</v>
      </c>
      <c r="BA5765">
        <v>1</v>
      </c>
      <c r="BB5765" t="str">
        <f t="shared" si="2670"/>
        <v xml:space="preserve">N711JA  </v>
      </c>
      <c r="BC5765">
        <v>1</v>
      </c>
      <c r="BE5765">
        <v>0</v>
      </c>
      <c r="BF5765">
        <v>0</v>
      </c>
      <c r="BG5765">
        <v>0</v>
      </c>
      <c r="BH5765">
        <v>725</v>
      </c>
      <c r="BI5765">
        <v>1</v>
      </c>
      <c r="BJ5765">
        <v>1</v>
      </c>
      <c r="BK5765">
        <v>0</v>
      </c>
      <c r="BL5765">
        <v>0</v>
      </c>
      <c r="BO5765">
        <v>0</v>
      </c>
      <c r="BP5765">
        <v>0</v>
      </c>
      <c r="BW5765" t="str">
        <f t="shared" si="2690"/>
        <v>14:52:02.189</v>
      </c>
      <c r="CJ5765">
        <v>0</v>
      </c>
      <c r="CK5765">
        <v>2</v>
      </c>
      <c r="CL5765">
        <v>0</v>
      </c>
      <c r="CM5765">
        <v>2</v>
      </c>
      <c r="CN5765">
        <v>0</v>
      </c>
      <c r="CO5765">
        <v>6</v>
      </c>
      <c r="CP5765" t="s">
        <v>119</v>
      </c>
      <c r="CQ5765">
        <v>343</v>
      </c>
      <c r="CR5765">
        <v>1</v>
      </c>
      <c r="CW5765">
        <v>11197869</v>
      </c>
      <c r="CY5765">
        <v>1</v>
      </c>
      <c r="CZ5765">
        <v>0</v>
      </c>
      <c r="DA5765">
        <v>1</v>
      </c>
      <c r="DB5765">
        <v>0</v>
      </c>
      <c r="DC5765">
        <v>0</v>
      </c>
      <c r="DD5765">
        <v>1</v>
      </c>
      <c r="DE5765">
        <v>0</v>
      </c>
      <c r="DF5765">
        <v>0</v>
      </c>
      <c r="DG5765">
        <v>0</v>
      </c>
      <c r="DH5765">
        <v>0</v>
      </c>
      <c r="DI5765">
        <v>0</v>
      </c>
    </row>
    <row r="5766" spans="1:113" x14ac:dyDescent="0.3">
      <c r="A5766" t="str">
        <f t="shared" si="2687"/>
        <v>05/12/2020 14:51:44.380</v>
      </c>
      <c r="C5766" t="str">
        <f t="shared" si="2669"/>
        <v>FFDFD3C0</v>
      </c>
      <c r="D5766" t="s">
        <v>113</v>
      </c>
      <c r="E5766">
        <v>3</v>
      </c>
      <c r="H5766">
        <v>164</v>
      </c>
      <c r="I5766" t="s">
        <v>114</v>
      </c>
      <c r="J5766" t="s">
        <v>115</v>
      </c>
      <c r="K5766">
        <v>0</v>
      </c>
      <c r="L5766">
        <v>3</v>
      </c>
      <c r="M5766">
        <v>0</v>
      </c>
      <c r="N5766">
        <v>2</v>
      </c>
      <c r="O5766">
        <v>1</v>
      </c>
      <c r="P5766">
        <v>0</v>
      </c>
      <c r="Q5766">
        <v>0</v>
      </c>
      <c r="S5766" t="str">
        <f t="shared" si="2688"/>
        <v>14:52:02.188</v>
      </c>
      <c r="T5766" t="str">
        <f t="shared" si="2689"/>
        <v>14:52:01.988</v>
      </c>
      <c r="U5766" t="str">
        <f t="shared" si="2691"/>
        <v>A9808D</v>
      </c>
      <c r="V5766">
        <v>0</v>
      </c>
      <c r="W5766">
        <v>0</v>
      </c>
      <c r="X5766">
        <v>1</v>
      </c>
      <c r="Z5766">
        <v>0</v>
      </c>
      <c r="AA5766">
        <v>9</v>
      </c>
      <c r="AB5766">
        <v>3</v>
      </c>
      <c r="AC5766">
        <v>0</v>
      </c>
      <c r="AD5766">
        <v>10</v>
      </c>
      <c r="AE5766">
        <v>0</v>
      </c>
      <c r="AF5766">
        <v>3</v>
      </c>
      <c r="AG5766">
        <v>2</v>
      </c>
      <c r="AH5766">
        <v>0</v>
      </c>
      <c r="AI5766" t="s">
        <v>1277</v>
      </c>
      <c r="AJ5766">
        <v>28.203084</v>
      </c>
      <c r="AK5766" t="s">
        <v>1279</v>
      </c>
      <c r="AL5766">
        <v>-82.379243000000002</v>
      </c>
      <c r="AM5766">
        <v>100</v>
      </c>
      <c r="AN5766">
        <v>700</v>
      </c>
      <c r="AO5766" t="s">
        <v>118</v>
      </c>
      <c r="AP5766">
        <v>102</v>
      </c>
      <c r="AQ5766">
        <v>-2</v>
      </c>
      <c r="AR5766">
        <v>-768</v>
      </c>
      <c r="AZ5766">
        <v>1200</v>
      </c>
      <c r="BA5766">
        <v>1</v>
      </c>
      <c r="BB5766" t="str">
        <f t="shared" si="2670"/>
        <v xml:space="preserve">N711JA  </v>
      </c>
      <c r="BC5766">
        <v>1</v>
      </c>
      <c r="BE5766">
        <v>0</v>
      </c>
      <c r="BF5766">
        <v>0</v>
      </c>
      <c r="BG5766">
        <v>0</v>
      </c>
      <c r="BH5766">
        <v>725</v>
      </c>
      <c r="BI5766">
        <v>1</v>
      </c>
      <c r="BJ5766">
        <v>1</v>
      </c>
      <c r="BK5766">
        <v>0</v>
      </c>
      <c r="BL5766">
        <v>0</v>
      </c>
      <c r="BO5766">
        <v>0</v>
      </c>
      <c r="BP5766">
        <v>0</v>
      </c>
      <c r="BW5766" t="str">
        <f t="shared" si="2690"/>
        <v>14:52:02.189</v>
      </c>
      <c r="CJ5766">
        <v>0</v>
      </c>
      <c r="CK5766">
        <v>2</v>
      </c>
      <c r="CL5766">
        <v>0</v>
      </c>
      <c r="CM5766">
        <v>2</v>
      </c>
      <c r="CN5766">
        <v>0</v>
      </c>
      <c r="CO5766">
        <v>6</v>
      </c>
      <c r="CP5766" t="s">
        <v>119</v>
      </c>
      <c r="CQ5766">
        <v>343</v>
      </c>
      <c r="CR5766">
        <v>1</v>
      </c>
      <c r="CW5766">
        <v>11197869</v>
      </c>
      <c r="CY5766">
        <v>1</v>
      </c>
      <c r="CZ5766">
        <v>0</v>
      </c>
      <c r="DA5766">
        <v>1</v>
      </c>
      <c r="DB5766">
        <v>0</v>
      </c>
      <c r="DC5766">
        <v>0</v>
      </c>
      <c r="DD5766">
        <v>1</v>
      </c>
      <c r="DE5766">
        <v>0</v>
      </c>
      <c r="DF5766">
        <v>0</v>
      </c>
      <c r="DG5766">
        <v>0</v>
      </c>
      <c r="DH5766">
        <v>0</v>
      </c>
      <c r="DI5766">
        <v>0</v>
      </c>
    </row>
    <row r="5767" spans="1:113" x14ac:dyDescent="0.3">
      <c r="A5767" t="str">
        <f t="shared" si="2687"/>
        <v>05/12/2020 14:51:44.380</v>
      </c>
      <c r="C5767" t="str">
        <f t="shared" si="2669"/>
        <v>FFDFD3C0</v>
      </c>
      <c r="D5767" t="s">
        <v>138</v>
      </c>
      <c r="E5767">
        <v>2</v>
      </c>
      <c r="H5767">
        <v>8</v>
      </c>
      <c r="I5767" t="s">
        <v>139</v>
      </c>
      <c r="J5767" t="s">
        <v>136</v>
      </c>
      <c r="K5767">
        <v>0</v>
      </c>
      <c r="L5767">
        <v>3</v>
      </c>
      <c r="M5767">
        <v>0</v>
      </c>
      <c r="N5767">
        <v>2</v>
      </c>
      <c r="O5767">
        <v>1</v>
      </c>
      <c r="P5767">
        <v>0</v>
      </c>
      <c r="Q5767">
        <v>0</v>
      </c>
      <c r="S5767" t="str">
        <f t="shared" si="2688"/>
        <v>14:52:02.188</v>
      </c>
      <c r="T5767" t="str">
        <f t="shared" si="2689"/>
        <v>14:52:01.988</v>
      </c>
      <c r="U5767" t="str">
        <f t="shared" si="2691"/>
        <v>A9808D</v>
      </c>
      <c r="V5767">
        <v>0</v>
      </c>
      <c r="W5767">
        <v>0</v>
      </c>
      <c r="X5767">
        <v>1</v>
      </c>
      <c r="Z5767">
        <v>0</v>
      </c>
      <c r="AA5767">
        <v>9</v>
      </c>
      <c r="AB5767">
        <v>3</v>
      </c>
      <c r="AC5767">
        <v>0</v>
      </c>
      <c r="AD5767">
        <v>10</v>
      </c>
      <c r="AE5767">
        <v>0</v>
      </c>
      <c r="AF5767">
        <v>3</v>
      </c>
      <c r="AG5767">
        <v>2</v>
      </c>
      <c r="AH5767">
        <v>0</v>
      </c>
      <c r="AI5767" t="s">
        <v>1277</v>
      </c>
      <c r="AJ5767">
        <v>28.203084</v>
      </c>
      <c r="AK5767" t="s">
        <v>1279</v>
      </c>
      <c r="AL5767">
        <v>-82.379243000000002</v>
      </c>
      <c r="AM5767">
        <v>100</v>
      </c>
      <c r="AN5767">
        <v>700</v>
      </c>
      <c r="AO5767" t="s">
        <v>118</v>
      </c>
      <c r="AP5767">
        <v>102</v>
      </c>
      <c r="AQ5767">
        <v>-2</v>
      </c>
      <c r="AR5767">
        <v>-768</v>
      </c>
      <c r="AZ5767">
        <v>1200</v>
      </c>
      <c r="BA5767">
        <v>1</v>
      </c>
      <c r="BB5767" t="str">
        <f t="shared" si="2670"/>
        <v xml:space="preserve">N711JA  </v>
      </c>
      <c r="BC5767">
        <v>1</v>
      </c>
      <c r="BE5767">
        <v>0</v>
      </c>
      <c r="BF5767">
        <v>0</v>
      </c>
      <c r="BG5767">
        <v>0</v>
      </c>
      <c r="BH5767">
        <v>725</v>
      </c>
      <c r="BI5767">
        <v>1</v>
      </c>
      <c r="BJ5767">
        <v>1</v>
      </c>
      <c r="BK5767">
        <v>0</v>
      </c>
      <c r="BL5767">
        <v>0</v>
      </c>
      <c r="BO5767">
        <v>0</v>
      </c>
      <c r="BP5767">
        <v>0</v>
      </c>
      <c r="BW5767" t="str">
        <f t="shared" si="2690"/>
        <v>14:52:02.189</v>
      </c>
      <c r="CJ5767">
        <v>0</v>
      </c>
      <c r="CK5767">
        <v>2</v>
      </c>
      <c r="CL5767">
        <v>0</v>
      </c>
      <c r="CM5767">
        <v>2</v>
      </c>
      <c r="CN5767">
        <v>0</v>
      </c>
      <c r="CO5767">
        <v>6</v>
      </c>
      <c r="CP5767" t="s">
        <v>119</v>
      </c>
      <c r="CQ5767">
        <v>343</v>
      </c>
      <c r="CR5767">
        <v>1</v>
      </c>
      <c r="CW5767">
        <v>11197869</v>
      </c>
      <c r="CY5767">
        <v>1</v>
      </c>
      <c r="CZ5767">
        <v>0</v>
      </c>
      <c r="DA5767">
        <v>1</v>
      </c>
      <c r="DB5767">
        <v>0</v>
      </c>
      <c r="DC5767">
        <v>0</v>
      </c>
      <c r="DD5767">
        <v>1</v>
      </c>
      <c r="DE5767">
        <v>0</v>
      </c>
      <c r="DF5767">
        <v>0</v>
      </c>
      <c r="DG5767">
        <v>0</v>
      </c>
      <c r="DH5767">
        <v>0</v>
      </c>
      <c r="DI5767">
        <v>0</v>
      </c>
    </row>
    <row r="5768" spans="1:113" x14ac:dyDescent="0.3">
      <c r="A5768" t="str">
        <f t="shared" si="2687"/>
        <v>05/12/2020 14:51:44.380</v>
      </c>
      <c r="C5768" t="str">
        <f t="shared" si="2669"/>
        <v>FFDFD3C0</v>
      </c>
      <c r="D5768" t="s">
        <v>138</v>
      </c>
      <c r="E5768">
        <v>3</v>
      </c>
      <c r="H5768">
        <v>9</v>
      </c>
      <c r="I5768" t="s">
        <v>140</v>
      </c>
      <c r="J5768" t="s">
        <v>136</v>
      </c>
      <c r="K5768">
        <v>0</v>
      </c>
      <c r="L5768">
        <v>3</v>
      </c>
      <c r="M5768">
        <v>0</v>
      </c>
      <c r="N5768">
        <v>2</v>
      </c>
      <c r="O5768">
        <v>1</v>
      </c>
      <c r="P5768">
        <v>0</v>
      </c>
      <c r="Q5768">
        <v>0</v>
      </c>
      <c r="S5768" t="str">
        <f t="shared" si="2688"/>
        <v>14:52:02.188</v>
      </c>
      <c r="T5768" t="str">
        <f t="shared" si="2689"/>
        <v>14:52:01.988</v>
      </c>
      <c r="U5768" t="str">
        <f t="shared" si="2691"/>
        <v>A9808D</v>
      </c>
      <c r="V5768">
        <v>0</v>
      </c>
      <c r="W5768">
        <v>0</v>
      </c>
      <c r="X5768">
        <v>1</v>
      </c>
      <c r="Z5768">
        <v>0</v>
      </c>
      <c r="AA5768">
        <v>9</v>
      </c>
      <c r="AB5768">
        <v>3</v>
      </c>
      <c r="AC5768">
        <v>0</v>
      </c>
      <c r="AD5768">
        <v>10</v>
      </c>
      <c r="AE5768">
        <v>0</v>
      </c>
      <c r="AF5768">
        <v>3</v>
      </c>
      <c r="AG5768">
        <v>2</v>
      </c>
      <c r="AH5768">
        <v>0</v>
      </c>
      <c r="AI5768" t="s">
        <v>1277</v>
      </c>
      <c r="AJ5768">
        <v>28.203084</v>
      </c>
      <c r="AK5768" t="s">
        <v>1279</v>
      </c>
      <c r="AL5768">
        <v>-82.379243000000002</v>
      </c>
      <c r="AM5768">
        <v>100</v>
      </c>
      <c r="AN5768">
        <v>700</v>
      </c>
      <c r="AO5768" t="s">
        <v>118</v>
      </c>
      <c r="AP5768">
        <v>102</v>
      </c>
      <c r="AQ5768">
        <v>-2</v>
      </c>
      <c r="AR5768">
        <v>-768</v>
      </c>
      <c r="AZ5768">
        <v>1200</v>
      </c>
      <c r="BA5768">
        <v>1</v>
      </c>
      <c r="BB5768" t="str">
        <f t="shared" si="2670"/>
        <v xml:space="preserve">N711JA  </v>
      </c>
      <c r="BC5768">
        <v>1</v>
      </c>
      <c r="BE5768">
        <v>0</v>
      </c>
      <c r="BF5768">
        <v>0</v>
      </c>
      <c r="BG5768">
        <v>0</v>
      </c>
      <c r="BH5768">
        <v>725</v>
      </c>
      <c r="BI5768">
        <v>1</v>
      </c>
      <c r="BJ5768">
        <v>1</v>
      </c>
      <c r="BK5768">
        <v>0</v>
      </c>
      <c r="BL5768">
        <v>0</v>
      </c>
      <c r="BO5768">
        <v>0</v>
      </c>
      <c r="BP5768">
        <v>0</v>
      </c>
      <c r="BW5768" t="str">
        <f t="shared" si="2690"/>
        <v>14:52:02.189</v>
      </c>
      <c r="CJ5768">
        <v>0</v>
      </c>
      <c r="CK5768">
        <v>2</v>
      </c>
      <c r="CL5768">
        <v>0</v>
      </c>
      <c r="CM5768">
        <v>2</v>
      </c>
      <c r="CN5768">
        <v>0</v>
      </c>
      <c r="CO5768">
        <v>6</v>
      </c>
      <c r="CP5768" t="s">
        <v>119</v>
      </c>
      <c r="CQ5768">
        <v>343</v>
      </c>
      <c r="CR5768">
        <v>1</v>
      </c>
      <c r="CW5768">
        <v>11197869</v>
      </c>
      <c r="CY5768">
        <v>1</v>
      </c>
      <c r="CZ5768">
        <v>0</v>
      </c>
      <c r="DA5768">
        <v>1</v>
      </c>
      <c r="DB5768">
        <v>0</v>
      </c>
      <c r="DC5768">
        <v>0</v>
      </c>
      <c r="DD5768">
        <v>1</v>
      </c>
      <c r="DE5768">
        <v>0</v>
      </c>
      <c r="DF5768">
        <v>0</v>
      </c>
      <c r="DG5768">
        <v>0</v>
      </c>
      <c r="DH5768">
        <v>0</v>
      </c>
      <c r="DI5768">
        <v>0</v>
      </c>
    </row>
    <row r="5769" spans="1:113" x14ac:dyDescent="0.3">
      <c r="A5769" t="str">
        <f t="shared" ref="A5769:A5776" si="2692">"05/12/2020 14:51:45.315"</f>
        <v>05/12/2020 14:51:45.315</v>
      </c>
      <c r="C5769" t="str">
        <f t="shared" si="2669"/>
        <v>FFDFD3C0</v>
      </c>
      <c r="D5769" t="s">
        <v>134</v>
      </c>
      <c r="E5769">
        <v>12</v>
      </c>
      <c r="H5769">
        <v>64</v>
      </c>
      <c r="I5769" t="s">
        <v>135</v>
      </c>
      <c r="J5769" t="s">
        <v>136</v>
      </c>
      <c r="K5769">
        <v>0</v>
      </c>
      <c r="L5769">
        <v>3</v>
      </c>
      <c r="M5769">
        <v>0</v>
      </c>
      <c r="N5769">
        <v>2</v>
      </c>
      <c r="O5769">
        <v>1</v>
      </c>
      <c r="P5769">
        <v>0</v>
      </c>
      <c r="Q5769">
        <v>0</v>
      </c>
      <c r="S5769" t="str">
        <f t="shared" ref="S5769:S5776" si="2693">"14:52:03.125"</f>
        <v>14:52:03.125</v>
      </c>
      <c r="T5769" t="str">
        <f t="shared" ref="T5769:T5776" si="2694">"14:52:02.925"</f>
        <v>14:52:02.925</v>
      </c>
      <c r="U5769" t="str">
        <f t="shared" si="2691"/>
        <v>A9808D</v>
      </c>
      <c r="V5769">
        <v>0</v>
      </c>
      <c r="W5769">
        <v>0</v>
      </c>
      <c r="X5769">
        <v>1</v>
      </c>
      <c r="Z5769">
        <v>0</v>
      </c>
      <c r="AA5769">
        <v>9</v>
      </c>
      <c r="AB5769">
        <v>3</v>
      </c>
      <c r="AC5769">
        <v>0</v>
      </c>
      <c r="AD5769">
        <v>10</v>
      </c>
      <c r="AE5769">
        <v>0</v>
      </c>
      <c r="AF5769">
        <v>3</v>
      </c>
      <c r="AG5769">
        <v>2</v>
      </c>
      <c r="AH5769">
        <v>0</v>
      </c>
      <c r="AI5769" t="s">
        <v>1280</v>
      </c>
      <c r="AJ5769">
        <v>28.203105999999998</v>
      </c>
      <c r="AK5769" t="s">
        <v>1281</v>
      </c>
      <c r="AL5769">
        <v>-82.378727999999995</v>
      </c>
      <c r="AM5769">
        <v>100</v>
      </c>
      <c r="AN5769">
        <v>700</v>
      </c>
      <c r="AO5769" t="s">
        <v>118</v>
      </c>
      <c r="AP5769">
        <v>101</v>
      </c>
      <c r="AQ5769">
        <v>1</v>
      </c>
      <c r="AR5769">
        <v>-832</v>
      </c>
      <c r="AZ5769">
        <v>1200</v>
      </c>
      <c r="BA5769">
        <v>1</v>
      </c>
      <c r="BB5769" t="str">
        <f t="shared" si="2670"/>
        <v xml:space="preserve">N711JA  </v>
      </c>
      <c r="BC5769">
        <v>1</v>
      </c>
      <c r="BE5769">
        <v>0</v>
      </c>
      <c r="BF5769">
        <v>0</v>
      </c>
      <c r="BG5769">
        <v>0</v>
      </c>
      <c r="BH5769">
        <v>700</v>
      </c>
      <c r="BI5769">
        <v>1</v>
      </c>
      <c r="BJ5769">
        <v>1</v>
      </c>
      <c r="BK5769">
        <v>0</v>
      </c>
      <c r="BL5769">
        <v>0</v>
      </c>
      <c r="BO5769">
        <v>0</v>
      </c>
      <c r="BP5769">
        <v>0</v>
      </c>
      <c r="BW5769" t="str">
        <f t="shared" ref="BW5769:BW5776" si="2695">"14:52:03.131"</f>
        <v>14:52:03.131</v>
      </c>
      <c r="CJ5769">
        <v>0</v>
      </c>
      <c r="CK5769">
        <v>2</v>
      </c>
      <c r="CL5769">
        <v>0</v>
      </c>
      <c r="CM5769">
        <v>2</v>
      </c>
      <c r="CN5769">
        <v>0</v>
      </c>
      <c r="CO5769">
        <v>5</v>
      </c>
      <c r="CP5769" t="s">
        <v>119</v>
      </c>
      <c r="CQ5769">
        <v>8</v>
      </c>
      <c r="CR5769">
        <v>3</v>
      </c>
      <c r="CW5769">
        <v>9321824</v>
      </c>
      <c r="CY5769">
        <v>1</v>
      </c>
      <c r="CZ5769">
        <v>0</v>
      </c>
      <c r="DA5769">
        <v>0</v>
      </c>
      <c r="DB5769">
        <v>0</v>
      </c>
      <c r="DC5769">
        <v>0</v>
      </c>
      <c r="DD5769">
        <v>1</v>
      </c>
      <c r="DE5769">
        <v>0</v>
      </c>
      <c r="DF5769">
        <v>0</v>
      </c>
      <c r="DG5769">
        <v>0</v>
      </c>
      <c r="DH5769">
        <v>0</v>
      </c>
      <c r="DI5769">
        <v>0</v>
      </c>
    </row>
    <row r="5770" spans="1:113" x14ac:dyDescent="0.3">
      <c r="A5770" t="str">
        <f t="shared" si="2692"/>
        <v>05/12/2020 14:51:45.315</v>
      </c>
      <c r="C5770" t="str">
        <f t="shared" si="2669"/>
        <v>FFDFD3C0</v>
      </c>
      <c r="D5770" t="s">
        <v>113</v>
      </c>
      <c r="E5770">
        <v>3</v>
      </c>
      <c r="H5770">
        <v>164</v>
      </c>
      <c r="I5770" t="s">
        <v>114</v>
      </c>
      <c r="J5770" t="s">
        <v>115</v>
      </c>
      <c r="K5770">
        <v>0</v>
      </c>
      <c r="L5770">
        <v>3</v>
      </c>
      <c r="M5770">
        <v>0</v>
      </c>
      <c r="N5770">
        <v>2</v>
      </c>
      <c r="O5770">
        <v>1</v>
      </c>
      <c r="P5770">
        <v>0</v>
      </c>
      <c r="Q5770">
        <v>0</v>
      </c>
      <c r="S5770" t="str">
        <f t="shared" si="2693"/>
        <v>14:52:03.125</v>
      </c>
      <c r="T5770" t="str">
        <f t="shared" si="2694"/>
        <v>14:52:02.925</v>
      </c>
      <c r="U5770" t="str">
        <f t="shared" si="2691"/>
        <v>A9808D</v>
      </c>
      <c r="V5770">
        <v>0</v>
      </c>
      <c r="W5770">
        <v>0</v>
      </c>
      <c r="X5770">
        <v>1</v>
      </c>
      <c r="Z5770">
        <v>0</v>
      </c>
      <c r="AA5770">
        <v>9</v>
      </c>
      <c r="AB5770">
        <v>3</v>
      </c>
      <c r="AC5770">
        <v>0</v>
      </c>
      <c r="AD5770">
        <v>10</v>
      </c>
      <c r="AE5770">
        <v>0</v>
      </c>
      <c r="AF5770">
        <v>3</v>
      </c>
      <c r="AG5770">
        <v>2</v>
      </c>
      <c r="AH5770">
        <v>0</v>
      </c>
      <c r="AI5770" t="s">
        <v>1280</v>
      </c>
      <c r="AJ5770">
        <v>28.203105999999998</v>
      </c>
      <c r="AK5770" t="s">
        <v>1281</v>
      </c>
      <c r="AL5770">
        <v>-82.378727999999995</v>
      </c>
      <c r="AM5770">
        <v>100</v>
      </c>
      <c r="AN5770">
        <v>700</v>
      </c>
      <c r="AO5770" t="s">
        <v>118</v>
      </c>
      <c r="AP5770">
        <v>101</v>
      </c>
      <c r="AQ5770">
        <v>1</v>
      </c>
      <c r="AR5770">
        <v>-832</v>
      </c>
      <c r="AZ5770">
        <v>1200</v>
      </c>
      <c r="BA5770">
        <v>1</v>
      </c>
      <c r="BB5770" t="str">
        <f t="shared" si="2670"/>
        <v xml:space="preserve">N711JA  </v>
      </c>
      <c r="BC5770">
        <v>1</v>
      </c>
      <c r="BE5770">
        <v>0</v>
      </c>
      <c r="BF5770">
        <v>0</v>
      </c>
      <c r="BG5770">
        <v>0</v>
      </c>
      <c r="BH5770">
        <v>700</v>
      </c>
      <c r="BI5770">
        <v>1</v>
      </c>
      <c r="BJ5770">
        <v>1</v>
      </c>
      <c r="BK5770">
        <v>0</v>
      </c>
      <c r="BL5770">
        <v>0</v>
      </c>
      <c r="BO5770">
        <v>0</v>
      </c>
      <c r="BP5770">
        <v>0</v>
      </c>
      <c r="BW5770" t="str">
        <f t="shared" si="2695"/>
        <v>14:52:03.131</v>
      </c>
      <c r="CJ5770">
        <v>0</v>
      </c>
      <c r="CK5770">
        <v>2</v>
      </c>
      <c r="CL5770">
        <v>0</v>
      </c>
      <c r="CM5770">
        <v>2</v>
      </c>
      <c r="CN5770">
        <v>0</v>
      </c>
      <c r="CO5770">
        <v>5</v>
      </c>
      <c r="CP5770" t="s">
        <v>119</v>
      </c>
      <c r="CQ5770">
        <v>8</v>
      </c>
      <c r="CR5770">
        <v>3</v>
      </c>
      <c r="CW5770">
        <v>9321824</v>
      </c>
      <c r="CY5770">
        <v>1</v>
      </c>
      <c r="CZ5770">
        <v>0</v>
      </c>
      <c r="DA5770">
        <v>1</v>
      </c>
      <c r="DB5770">
        <v>0</v>
      </c>
      <c r="DC5770">
        <v>0</v>
      </c>
      <c r="DD5770">
        <v>1</v>
      </c>
      <c r="DE5770">
        <v>0</v>
      </c>
      <c r="DF5770">
        <v>0</v>
      </c>
      <c r="DG5770">
        <v>0</v>
      </c>
      <c r="DH5770">
        <v>0</v>
      </c>
      <c r="DI5770">
        <v>0</v>
      </c>
    </row>
    <row r="5771" spans="1:113" x14ac:dyDescent="0.3">
      <c r="A5771" t="str">
        <f t="shared" si="2692"/>
        <v>05/12/2020 14:51:45.315</v>
      </c>
      <c r="C5771" t="str">
        <f t="shared" si="2669"/>
        <v>FFDFD3C0</v>
      </c>
      <c r="D5771" t="s">
        <v>138</v>
      </c>
      <c r="E5771">
        <v>2</v>
      </c>
      <c r="H5771">
        <v>8</v>
      </c>
      <c r="I5771" t="s">
        <v>139</v>
      </c>
      <c r="J5771" t="s">
        <v>136</v>
      </c>
      <c r="K5771">
        <v>0</v>
      </c>
      <c r="L5771">
        <v>3</v>
      </c>
      <c r="M5771">
        <v>0</v>
      </c>
      <c r="N5771">
        <v>2</v>
      </c>
      <c r="O5771">
        <v>1</v>
      </c>
      <c r="P5771">
        <v>0</v>
      </c>
      <c r="Q5771">
        <v>0</v>
      </c>
      <c r="S5771" t="str">
        <f t="shared" si="2693"/>
        <v>14:52:03.125</v>
      </c>
      <c r="T5771" t="str">
        <f t="shared" si="2694"/>
        <v>14:52:02.925</v>
      </c>
      <c r="U5771" t="str">
        <f t="shared" si="2691"/>
        <v>A9808D</v>
      </c>
      <c r="V5771">
        <v>0</v>
      </c>
      <c r="W5771">
        <v>0</v>
      </c>
      <c r="X5771">
        <v>1</v>
      </c>
      <c r="Z5771">
        <v>0</v>
      </c>
      <c r="AA5771">
        <v>9</v>
      </c>
      <c r="AB5771">
        <v>3</v>
      </c>
      <c r="AC5771">
        <v>0</v>
      </c>
      <c r="AD5771">
        <v>10</v>
      </c>
      <c r="AE5771">
        <v>0</v>
      </c>
      <c r="AF5771">
        <v>3</v>
      </c>
      <c r="AG5771">
        <v>2</v>
      </c>
      <c r="AH5771">
        <v>0</v>
      </c>
      <c r="AI5771" t="s">
        <v>1280</v>
      </c>
      <c r="AJ5771">
        <v>28.203105999999998</v>
      </c>
      <c r="AK5771" t="s">
        <v>1281</v>
      </c>
      <c r="AL5771">
        <v>-82.378727999999995</v>
      </c>
      <c r="AM5771">
        <v>100</v>
      </c>
      <c r="AN5771">
        <v>700</v>
      </c>
      <c r="AO5771" t="s">
        <v>118</v>
      </c>
      <c r="AP5771">
        <v>101</v>
      </c>
      <c r="AQ5771">
        <v>1</v>
      </c>
      <c r="AR5771">
        <v>-832</v>
      </c>
      <c r="AZ5771">
        <v>1200</v>
      </c>
      <c r="BA5771">
        <v>1</v>
      </c>
      <c r="BB5771" t="str">
        <f t="shared" si="2670"/>
        <v xml:space="preserve">N711JA  </v>
      </c>
      <c r="BC5771">
        <v>1</v>
      </c>
      <c r="BE5771">
        <v>0</v>
      </c>
      <c r="BF5771">
        <v>0</v>
      </c>
      <c r="BG5771">
        <v>0</v>
      </c>
      <c r="BH5771">
        <v>700</v>
      </c>
      <c r="BI5771">
        <v>1</v>
      </c>
      <c r="BJ5771">
        <v>1</v>
      </c>
      <c r="BK5771">
        <v>0</v>
      </c>
      <c r="BL5771">
        <v>0</v>
      </c>
      <c r="BO5771">
        <v>0</v>
      </c>
      <c r="BP5771">
        <v>0</v>
      </c>
      <c r="BW5771" t="str">
        <f t="shared" si="2695"/>
        <v>14:52:03.131</v>
      </c>
      <c r="CJ5771">
        <v>0</v>
      </c>
      <c r="CK5771">
        <v>2</v>
      </c>
      <c r="CL5771">
        <v>0</v>
      </c>
      <c r="CM5771">
        <v>2</v>
      </c>
      <c r="CN5771">
        <v>0</v>
      </c>
      <c r="CO5771">
        <v>5</v>
      </c>
      <c r="CP5771" t="s">
        <v>119</v>
      </c>
      <c r="CQ5771">
        <v>8</v>
      </c>
      <c r="CR5771">
        <v>3</v>
      </c>
      <c r="CW5771">
        <v>9321824</v>
      </c>
      <c r="CY5771">
        <v>1</v>
      </c>
      <c r="CZ5771">
        <v>0</v>
      </c>
      <c r="DA5771">
        <v>1</v>
      </c>
      <c r="DB5771">
        <v>0</v>
      </c>
      <c r="DC5771">
        <v>0</v>
      </c>
      <c r="DD5771">
        <v>1</v>
      </c>
      <c r="DE5771">
        <v>0</v>
      </c>
      <c r="DF5771">
        <v>0</v>
      </c>
      <c r="DG5771">
        <v>0</v>
      </c>
      <c r="DH5771">
        <v>0</v>
      </c>
      <c r="DI5771">
        <v>0</v>
      </c>
    </row>
    <row r="5772" spans="1:113" x14ac:dyDescent="0.3">
      <c r="A5772" t="str">
        <f t="shared" si="2692"/>
        <v>05/12/2020 14:51:45.315</v>
      </c>
      <c r="C5772" t="str">
        <f t="shared" si="2669"/>
        <v>FFDFD3C0</v>
      </c>
      <c r="D5772" t="s">
        <v>138</v>
      </c>
      <c r="E5772">
        <v>3</v>
      </c>
      <c r="H5772">
        <v>9</v>
      </c>
      <c r="I5772" t="s">
        <v>140</v>
      </c>
      <c r="J5772" t="s">
        <v>136</v>
      </c>
      <c r="K5772">
        <v>0</v>
      </c>
      <c r="L5772">
        <v>3</v>
      </c>
      <c r="M5772">
        <v>0</v>
      </c>
      <c r="N5772">
        <v>2</v>
      </c>
      <c r="O5772">
        <v>1</v>
      </c>
      <c r="P5772">
        <v>0</v>
      </c>
      <c r="Q5772">
        <v>0</v>
      </c>
      <c r="S5772" t="str">
        <f t="shared" si="2693"/>
        <v>14:52:03.125</v>
      </c>
      <c r="T5772" t="str">
        <f t="shared" si="2694"/>
        <v>14:52:02.925</v>
      </c>
      <c r="U5772" t="str">
        <f t="shared" si="2691"/>
        <v>A9808D</v>
      </c>
      <c r="V5772">
        <v>0</v>
      </c>
      <c r="W5772">
        <v>0</v>
      </c>
      <c r="X5772">
        <v>1</v>
      </c>
      <c r="Z5772">
        <v>0</v>
      </c>
      <c r="AA5772">
        <v>9</v>
      </c>
      <c r="AB5772">
        <v>3</v>
      </c>
      <c r="AC5772">
        <v>0</v>
      </c>
      <c r="AD5772">
        <v>10</v>
      </c>
      <c r="AE5772">
        <v>0</v>
      </c>
      <c r="AF5772">
        <v>3</v>
      </c>
      <c r="AG5772">
        <v>2</v>
      </c>
      <c r="AH5772">
        <v>0</v>
      </c>
      <c r="AI5772" t="s">
        <v>1280</v>
      </c>
      <c r="AJ5772">
        <v>28.203105999999998</v>
      </c>
      <c r="AK5772" t="s">
        <v>1281</v>
      </c>
      <c r="AL5772">
        <v>-82.378727999999995</v>
      </c>
      <c r="AM5772">
        <v>100</v>
      </c>
      <c r="AN5772">
        <v>700</v>
      </c>
      <c r="AO5772" t="s">
        <v>118</v>
      </c>
      <c r="AP5772">
        <v>101</v>
      </c>
      <c r="AQ5772">
        <v>1</v>
      </c>
      <c r="AR5772">
        <v>-832</v>
      </c>
      <c r="AZ5772">
        <v>1200</v>
      </c>
      <c r="BA5772">
        <v>1</v>
      </c>
      <c r="BB5772" t="str">
        <f t="shared" si="2670"/>
        <v xml:space="preserve">N711JA  </v>
      </c>
      <c r="BC5772">
        <v>1</v>
      </c>
      <c r="BE5772">
        <v>0</v>
      </c>
      <c r="BF5772">
        <v>0</v>
      </c>
      <c r="BG5772">
        <v>0</v>
      </c>
      <c r="BH5772">
        <v>700</v>
      </c>
      <c r="BI5772">
        <v>1</v>
      </c>
      <c r="BJ5772">
        <v>1</v>
      </c>
      <c r="BK5772">
        <v>0</v>
      </c>
      <c r="BL5772">
        <v>0</v>
      </c>
      <c r="BO5772">
        <v>0</v>
      </c>
      <c r="BP5772">
        <v>0</v>
      </c>
      <c r="BW5772" t="str">
        <f t="shared" si="2695"/>
        <v>14:52:03.131</v>
      </c>
      <c r="CJ5772">
        <v>0</v>
      </c>
      <c r="CK5772">
        <v>2</v>
      </c>
      <c r="CL5772">
        <v>0</v>
      </c>
      <c r="CM5772">
        <v>2</v>
      </c>
      <c r="CN5772">
        <v>0</v>
      </c>
      <c r="CO5772">
        <v>5</v>
      </c>
      <c r="CP5772" t="s">
        <v>119</v>
      </c>
      <c r="CQ5772">
        <v>8</v>
      </c>
      <c r="CR5772">
        <v>3</v>
      </c>
      <c r="CW5772">
        <v>9321824</v>
      </c>
      <c r="CY5772">
        <v>1</v>
      </c>
      <c r="CZ5772">
        <v>0</v>
      </c>
      <c r="DA5772">
        <v>1</v>
      </c>
      <c r="DB5772">
        <v>0</v>
      </c>
      <c r="DC5772">
        <v>0</v>
      </c>
      <c r="DD5772">
        <v>1</v>
      </c>
      <c r="DE5772">
        <v>0</v>
      </c>
      <c r="DF5772">
        <v>0</v>
      </c>
      <c r="DG5772">
        <v>0</v>
      </c>
      <c r="DH5772">
        <v>0</v>
      </c>
      <c r="DI5772">
        <v>0</v>
      </c>
    </row>
    <row r="5773" spans="1:113" x14ac:dyDescent="0.3">
      <c r="A5773" t="str">
        <f t="shared" si="2692"/>
        <v>05/12/2020 14:51:45.315</v>
      </c>
      <c r="C5773" t="str">
        <f t="shared" si="2669"/>
        <v>FFDFD3C0</v>
      </c>
      <c r="D5773" t="s">
        <v>126</v>
      </c>
      <c r="E5773">
        <v>7</v>
      </c>
      <c r="F5773">
        <v>1007</v>
      </c>
      <c r="G5773" t="s">
        <v>127</v>
      </c>
      <c r="J5773" t="s">
        <v>128</v>
      </c>
      <c r="K5773">
        <v>0</v>
      </c>
      <c r="L5773">
        <v>3</v>
      </c>
      <c r="M5773">
        <v>0</v>
      </c>
      <c r="N5773">
        <v>2</v>
      </c>
      <c r="O5773">
        <v>1</v>
      </c>
      <c r="P5773">
        <v>0</v>
      </c>
      <c r="Q5773">
        <v>0</v>
      </c>
      <c r="S5773" t="str">
        <f t="shared" si="2693"/>
        <v>14:52:03.125</v>
      </c>
      <c r="T5773" t="str">
        <f t="shared" si="2694"/>
        <v>14:52:02.925</v>
      </c>
      <c r="U5773" t="str">
        <f t="shared" si="2691"/>
        <v>A9808D</v>
      </c>
      <c r="V5773">
        <v>0</v>
      </c>
      <c r="W5773">
        <v>0</v>
      </c>
      <c r="X5773">
        <v>1</v>
      </c>
      <c r="Z5773">
        <v>0</v>
      </c>
      <c r="AA5773">
        <v>9</v>
      </c>
      <c r="AB5773">
        <v>3</v>
      </c>
      <c r="AC5773">
        <v>0</v>
      </c>
      <c r="AD5773">
        <v>10</v>
      </c>
      <c r="AE5773">
        <v>0</v>
      </c>
      <c r="AF5773">
        <v>3</v>
      </c>
      <c r="AG5773">
        <v>2</v>
      </c>
      <c r="AH5773">
        <v>0</v>
      </c>
      <c r="AI5773" t="s">
        <v>1280</v>
      </c>
      <c r="AJ5773">
        <v>28.203105999999998</v>
      </c>
      <c r="AK5773" t="s">
        <v>1281</v>
      </c>
      <c r="AL5773">
        <v>-82.378727999999995</v>
      </c>
      <c r="AM5773">
        <v>100</v>
      </c>
      <c r="AN5773">
        <v>700</v>
      </c>
      <c r="AO5773" t="s">
        <v>118</v>
      </c>
      <c r="AP5773">
        <v>101</v>
      </c>
      <c r="AQ5773">
        <v>1</v>
      </c>
      <c r="AR5773">
        <v>-832</v>
      </c>
      <c r="AZ5773">
        <v>1200</v>
      </c>
      <c r="BA5773">
        <v>1</v>
      </c>
      <c r="BB5773" t="str">
        <f t="shared" si="2670"/>
        <v xml:space="preserve">N711JA  </v>
      </c>
      <c r="BC5773">
        <v>1</v>
      </c>
      <c r="BE5773">
        <v>0</v>
      </c>
      <c r="BF5773">
        <v>0</v>
      </c>
      <c r="BG5773">
        <v>0</v>
      </c>
      <c r="BH5773">
        <v>700</v>
      </c>
      <c r="BI5773">
        <v>1</v>
      </c>
      <c r="BJ5773">
        <v>1</v>
      </c>
      <c r="BK5773">
        <v>0</v>
      </c>
      <c r="BL5773">
        <v>0</v>
      </c>
      <c r="BO5773">
        <v>0</v>
      </c>
      <c r="BP5773">
        <v>0</v>
      </c>
      <c r="BW5773" t="str">
        <f t="shared" si="2695"/>
        <v>14:52:03.131</v>
      </c>
      <c r="CJ5773">
        <v>0</v>
      </c>
      <c r="CK5773">
        <v>2</v>
      </c>
      <c r="CL5773">
        <v>0</v>
      </c>
      <c r="CM5773">
        <v>2</v>
      </c>
      <c r="CN5773">
        <v>0</v>
      </c>
      <c r="CO5773">
        <v>5</v>
      </c>
      <c r="CP5773" t="s">
        <v>119</v>
      </c>
      <c r="CQ5773">
        <v>8</v>
      </c>
      <c r="CR5773">
        <v>3</v>
      </c>
      <c r="CW5773">
        <v>9321824</v>
      </c>
      <c r="CY5773">
        <v>1</v>
      </c>
      <c r="CZ5773">
        <v>0</v>
      </c>
      <c r="DA5773">
        <v>1</v>
      </c>
      <c r="DB5773">
        <v>0</v>
      </c>
      <c r="DC5773">
        <v>0</v>
      </c>
      <c r="DD5773">
        <v>1</v>
      </c>
      <c r="DE5773">
        <v>0</v>
      </c>
      <c r="DF5773">
        <v>0</v>
      </c>
      <c r="DG5773">
        <v>0</v>
      </c>
      <c r="DH5773">
        <v>0</v>
      </c>
      <c r="DI5773">
        <v>0</v>
      </c>
    </row>
    <row r="5774" spans="1:113" x14ac:dyDescent="0.3">
      <c r="A5774" t="str">
        <f t="shared" si="2692"/>
        <v>05/12/2020 14:51:45.315</v>
      </c>
      <c r="C5774" t="str">
        <f t="shared" si="2669"/>
        <v>FFDFD3C0</v>
      </c>
      <c r="D5774" t="s">
        <v>131</v>
      </c>
      <c r="E5774">
        <v>10</v>
      </c>
      <c r="F5774">
        <v>2010</v>
      </c>
      <c r="G5774" t="s">
        <v>132</v>
      </c>
      <c r="J5774" t="s">
        <v>133</v>
      </c>
      <c r="K5774">
        <v>0</v>
      </c>
      <c r="L5774">
        <v>3</v>
      </c>
      <c r="M5774">
        <v>0</v>
      </c>
      <c r="N5774">
        <v>2</v>
      </c>
      <c r="O5774">
        <v>1</v>
      </c>
      <c r="P5774">
        <v>0</v>
      </c>
      <c r="Q5774">
        <v>0</v>
      </c>
      <c r="S5774" t="str">
        <f t="shared" si="2693"/>
        <v>14:52:03.125</v>
      </c>
      <c r="T5774" t="str">
        <f t="shared" si="2694"/>
        <v>14:52:02.925</v>
      </c>
      <c r="U5774" t="str">
        <f t="shared" si="2691"/>
        <v>A9808D</v>
      </c>
      <c r="V5774">
        <v>0</v>
      </c>
      <c r="W5774">
        <v>0</v>
      </c>
      <c r="X5774">
        <v>1</v>
      </c>
      <c r="Z5774">
        <v>0</v>
      </c>
      <c r="AA5774">
        <v>9</v>
      </c>
      <c r="AB5774">
        <v>3</v>
      </c>
      <c r="AC5774">
        <v>0</v>
      </c>
      <c r="AD5774">
        <v>10</v>
      </c>
      <c r="AE5774">
        <v>0</v>
      </c>
      <c r="AF5774">
        <v>3</v>
      </c>
      <c r="AG5774">
        <v>2</v>
      </c>
      <c r="AH5774">
        <v>0</v>
      </c>
      <c r="AI5774" t="s">
        <v>1280</v>
      </c>
      <c r="AJ5774">
        <v>28.203105999999998</v>
      </c>
      <c r="AK5774" t="s">
        <v>1281</v>
      </c>
      <c r="AL5774">
        <v>-82.378727999999995</v>
      </c>
      <c r="AM5774">
        <v>100</v>
      </c>
      <c r="AN5774">
        <v>700</v>
      </c>
      <c r="AO5774" t="s">
        <v>118</v>
      </c>
      <c r="AP5774">
        <v>101</v>
      </c>
      <c r="AQ5774">
        <v>1</v>
      </c>
      <c r="AR5774">
        <v>-832</v>
      </c>
      <c r="AZ5774">
        <v>1200</v>
      </c>
      <c r="BA5774">
        <v>1</v>
      </c>
      <c r="BB5774" t="str">
        <f t="shared" si="2670"/>
        <v xml:space="preserve">N711JA  </v>
      </c>
      <c r="BC5774">
        <v>1</v>
      </c>
      <c r="BE5774">
        <v>0</v>
      </c>
      <c r="BF5774">
        <v>0</v>
      </c>
      <c r="BG5774">
        <v>0</v>
      </c>
      <c r="BH5774">
        <v>700</v>
      </c>
      <c r="BI5774">
        <v>1</v>
      </c>
      <c r="BJ5774">
        <v>1</v>
      </c>
      <c r="BK5774">
        <v>0</v>
      </c>
      <c r="BL5774">
        <v>0</v>
      </c>
      <c r="BO5774">
        <v>0</v>
      </c>
      <c r="BP5774">
        <v>0</v>
      </c>
      <c r="BW5774" t="str">
        <f t="shared" si="2695"/>
        <v>14:52:03.131</v>
      </c>
      <c r="CJ5774">
        <v>0</v>
      </c>
      <c r="CK5774">
        <v>2</v>
      </c>
      <c r="CL5774">
        <v>0</v>
      </c>
      <c r="CM5774">
        <v>2</v>
      </c>
      <c r="CN5774">
        <v>0</v>
      </c>
      <c r="CO5774">
        <v>5</v>
      </c>
      <c r="CP5774" t="s">
        <v>119</v>
      </c>
      <c r="CQ5774">
        <v>8</v>
      </c>
      <c r="CR5774">
        <v>3</v>
      </c>
      <c r="CW5774">
        <v>9321824</v>
      </c>
      <c r="CY5774">
        <v>1</v>
      </c>
      <c r="CZ5774">
        <v>0</v>
      </c>
      <c r="DA5774">
        <v>1</v>
      </c>
      <c r="DB5774">
        <v>0</v>
      </c>
      <c r="DC5774">
        <v>0</v>
      </c>
      <c r="DD5774">
        <v>1</v>
      </c>
      <c r="DE5774">
        <v>0</v>
      </c>
      <c r="DF5774">
        <v>0</v>
      </c>
      <c r="DG5774">
        <v>0</v>
      </c>
      <c r="DH5774">
        <v>0</v>
      </c>
      <c r="DI5774">
        <v>0</v>
      </c>
    </row>
    <row r="5775" spans="1:113" x14ac:dyDescent="0.3">
      <c r="A5775" t="str">
        <f t="shared" si="2692"/>
        <v>05/12/2020 14:51:45.315</v>
      </c>
      <c r="C5775" t="str">
        <f t="shared" si="2669"/>
        <v>FFDFD3C0</v>
      </c>
      <c r="D5775" t="s">
        <v>131</v>
      </c>
      <c r="E5775">
        <v>12</v>
      </c>
      <c r="F5775">
        <v>2012</v>
      </c>
      <c r="G5775" t="s">
        <v>137</v>
      </c>
      <c r="J5775" t="s">
        <v>133</v>
      </c>
      <c r="K5775">
        <v>0</v>
      </c>
      <c r="L5775">
        <v>3</v>
      </c>
      <c r="M5775">
        <v>0</v>
      </c>
      <c r="N5775">
        <v>2</v>
      </c>
      <c r="O5775">
        <v>1</v>
      </c>
      <c r="P5775">
        <v>0</v>
      </c>
      <c r="Q5775">
        <v>0</v>
      </c>
      <c r="S5775" t="str">
        <f t="shared" si="2693"/>
        <v>14:52:03.125</v>
      </c>
      <c r="T5775" t="str">
        <f t="shared" si="2694"/>
        <v>14:52:02.925</v>
      </c>
      <c r="U5775" t="str">
        <f t="shared" si="2691"/>
        <v>A9808D</v>
      </c>
      <c r="V5775">
        <v>0</v>
      </c>
      <c r="W5775">
        <v>0</v>
      </c>
      <c r="X5775">
        <v>1</v>
      </c>
      <c r="Z5775">
        <v>0</v>
      </c>
      <c r="AA5775">
        <v>9</v>
      </c>
      <c r="AB5775">
        <v>3</v>
      </c>
      <c r="AC5775">
        <v>0</v>
      </c>
      <c r="AD5775">
        <v>10</v>
      </c>
      <c r="AE5775">
        <v>0</v>
      </c>
      <c r="AF5775">
        <v>3</v>
      </c>
      <c r="AG5775">
        <v>2</v>
      </c>
      <c r="AH5775">
        <v>0</v>
      </c>
      <c r="AI5775" t="s">
        <v>1280</v>
      </c>
      <c r="AJ5775">
        <v>28.203105999999998</v>
      </c>
      <c r="AK5775" t="s">
        <v>1281</v>
      </c>
      <c r="AL5775">
        <v>-82.378727999999995</v>
      </c>
      <c r="AM5775">
        <v>100</v>
      </c>
      <c r="AN5775">
        <v>700</v>
      </c>
      <c r="AO5775" t="s">
        <v>118</v>
      </c>
      <c r="AP5775">
        <v>101</v>
      </c>
      <c r="AQ5775">
        <v>1</v>
      </c>
      <c r="AR5775">
        <v>-832</v>
      </c>
      <c r="AZ5775">
        <v>1200</v>
      </c>
      <c r="BA5775">
        <v>1</v>
      </c>
      <c r="BB5775" t="str">
        <f t="shared" si="2670"/>
        <v xml:space="preserve">N711JA  </v>
      </c>
      <c r="BC5775">
        <v>1</v>
      </c>
      <c r="BE5775">
        <v>0</v>
      </c>
      <c r="BF5775">
        <v>0</v>
      </c>
      <c r="BG5775">
        <v>0</v>
      </c>
      <c r="BH5775">
        <v>700</v>
      </c>
      <c r="BI5775">
        <v>1</v>
      </c>
      <c r="BJ5775">
        <v>1</v>
      </c>
      <c r="BK5775">
        <v>0</v>
      </c>
      <c r="BL5775">
        <v>0</v>
      </c>
      <c r="BO5775">
        <v>0</v>
      </c>
      <c r="BP5775">
        <v>0</v>
      </c>
      <c r="BW5775" t="str">
        <f t="shared" si="2695"/>
        <v>14:52:03.131</v>
      </c>
      <c r="CJ5775">
        <v>0</v>
      </c>
      <c r="CK5775">
        <v>2</v>
      </c>
      <c r="CL5775">
        <v>0</v>
      </c>
      <c r="CM5775">
        <v>2</v>
      </c>
      <c r="CN5775">
        <v>0</v>
      </c>
      <c r="CO5775">
        <v>5</v>
      </c>
      <c r="CP5775" t="s">
        <v>119</v>
      </c>
      <c r="CQ5775">
        <v>8</v>
      </c>
      <c r="CR5775">
        <v>3</v>
      </c>
      <c r="CW5775">
        <v>9321824</v>
      </c>
      <c r="CY5775">
        <v>1</v>
      </c>
      <c r="CZ5775">
        <v>0</v>
      </c>
      <c r="DA5775">
        <v>1</v>
      </c>
      <c r="DB5775">
        <v>0</v>
      </c>
      <c r="DC5775">
        <v>0</v>
      </c>
      <c r="DD5775">
        <v>1</v>
      </c>
      <c r="DE5775">
        <v>0</v>
      </c>
      <c r="DF5775">
        <v>0</v>
      </c>
      <c r="DG5775">
        <v>0</v>
      </c>
      <c r="DH5775">
        <v>0</v>
      </c>
      <c r="DI5775">
        <v>0</v>
      </c>
    </row>
    <row r="5776" spans="1:113" x14ac:dyDescent="0.3">
      <c r="A5776" t="str">
        <f t="shared" si="2692"/>
        <v>05/12/2020 14:51:45.315</v>
      </c>
      <c r="C5776" t="str">
        <f t="shared" si="2669"/>
        <v>FFDFD3C0</v>
      </c>
      <c r="D5776" t="s">
        <v>126</v>
      </c>
      <c r="E5776">
        <v>6</v>
      </c>
      <c r="F5776">
        <v>1006</v>
      </c>
      <c r="G5776" t="s">
        <v>114</v>
      </c>
      <c r="J5776" t="s">
        <v>128</v>
      </c>
      <c r="K5776">
        <v>0</v>
      </c>
      <c r="L5776">
        <v>3</v>
      </c>
      <c r="M5776">
        <v>0</v>
      </c>
      <c r="N5776">
        <v>2</v>
      </c>
      <c r="O5776">
        <v>1</v>
      </c>
      <c r="P5776">
        <v>0</v>
      </c>
      <c r="Q5776">
        <v>0</v>
      </c>
      <c r="S5776" t="str">
        <f t="shared" si="2693"/>
        <v>14:52:03.125</v>
      </c>
      <c r="T5776" t="str">
        <f t="shared" si="2694"/>
        <v>14:52:02.925</v>
      </c>
      <c r="U5776" t="str">
        <f t="shared" si="2691"/>
        <v>A9808D</v>
      </c>
      <c r="V5776">
        <v>0</v>
      </c>
      <c r="W5776">
        <v>0</v>
      </c>
      <c r="X5776">
        <v>1</v>
      </c>
      <c r="Z5776">
        <v>0</v>
      </c>
      <c r="AA5776">
        <v>9</v>
      </c>
      <c r="AB5776">
        <v>3</v>
      </c>
      <c r="AC5776">
        <v>0</v>
      </c>
      <c r="AD5776">
        <v>10</v>
      </c>
      <c r="AE5776">
        <v>0</v>
      </c>
      <c r="AF5776">
        <v>3</v>
      </c>
      <c r="AG5776">
        <v>2</v>
      </c>
      <c r="AH5776">
        <v>0</v>
      </c>
      <c r="AI5776" t="s">
        <v>1280</v>
      </c>
      <c r="AJ5776">
        <v>28.203105999999998</v>
      </c>
      <c r="AK5776" t="s">
        <v>1281</v>
      </c>
      <c r="AL5776">
        <v>-82.378727999999995</v>
      </c>
      <c r="AM5776">
        <v>100</v>
      </c>
      <c r="AN5776">
        <v>700</v>
      </c>
      <c r="AO5776" t="s">
        <v>118</v>
      </c>
      <c r="AP5776">
        <v>101</v>
      </c>
      <c r="AQ5776">
        <v>1</v>
      </c>
      <c r="AR5776">
        <v>-832</v>
      </c>
      <c r="AZ5776">
        <v>1200</v>
      </c>
      <c r="BA5776">
        <v>1</v>
      </c>
      <c r="BB5776" t="str">
        <f t="shared" si="2670"/>
        <v xml:space="preserve">N711JA  </v>
      </c>
      <c r="BC5776">
        <v>1</v>
      </c>
      <c r="BE5776">
        <v>0</v>
      </c>
      <c r="BF5776">
        <v>0</v>
      </c>
      <c r="BG5776">
        <v>0</v>
      </c>
      <c r="BH5776">
        <v>700</v>
      </c>
      <c r="BI5776">
        <v>1</v>
      </c>
      <c r="BJ5776">
        <v>1</v>
      </c>
      <c r="BK5776">
        <v>0</v>
      </c>
      <c r="BL5776">
        <v>0</v>
      </c>
      <c r="BO5776">
        <v>0</v>
      </c>
      <c r="BP5776">
        <v>0</v>
      </c>
      <c r="BW5776" t="str">
        <f t="shared" si="2695"/>
        <v>14:52:03.131</v>
      </c>
      <c r="CJ5776">
        <v>0</v>
      </c>
      <c r="CK5776">
        <v>2</v>
      </c>
      <c r="CL5776">
        <v>0</v>
      </c>
      <c r="CM5776">
        <v>2</v>
      </c>
      <c r="CN5776">
        <v>0</v>
      </c>
      <c r="CO5776">
        <v>5</v>
      </c>
      <c r="CP5776" t="s">
        <v>119</v>
      </c>
      <c r="CQ5776">
        <v>8</v>
      </c>
      <c r="CR5776">
        <v>3</v>
      </c>
      <c r="CW5776">
        <v>9321824</v>
      </c>
      <c r="CY5776">
        <v>1</v>
      </c>
      <c r="CZ5776">
        <v>0</v>
      </c>
      <c r="DA5776">
        <v>1</v>
      </c>
      <c r="DB5776">
        <v>0</v>
      </c>
      <c r="DC5776">
        <v>0</v>
      </c>
      <c r="DD5776">
        <v>1</v>
      </c>
      <c r="DE5776">
        <v>0</v>
      </c>
      <c r="DF5776">
        <v>0</v>
      </c>
      <c r="DG5776">
        <v>0</v>
      </c>
      <c r="DH5776">
        <v>0</v>
      </c>
      <c r="DI5776">
        <v>0</v>
      </c>
    </row>
    <row r="5777" spans="1:113" x14ac:dyDescent="0.3">
      <c r="A5777" t="str">
        <f t="shared" ref="A5777:A5784" si="2696">"05/12/2020 14:51:46.265"</f>
        <v>05/12/2020 14:51:46.265</v>
      </c>
      <c r="C5777" t="str">
        <f t="shared" si="2669"/>
        <v>FFDFD3C0</v>
      </c>
      <c r="D5777" t="s">
        <v>126</v>
      </c>
      <c r="E5777">
        <v>6</v>
      </c>
      <c r="F5777">
        <v>1006</v>
      </c>
      <c r="G5777" t="s">
        <v>114</v>
      </c>
      <c r="J5777" t="s">
        <v>128</v>
      </c>
      <c r="K5777">
        <v>0</v>
      </c>
      <c r="L5777">
        <v>3</v>
      </c>
      <c r="M5777">
        <v>0</v>
      </c>
      <c r="N5777">
        <v>2</v>
      </c>
      <c r="O5777">
        <v>1</v>
      </c>
      <c r="P5777">
        <v>0</v>
      </c>
      <c r="Q5777">
        <v>0</v>
      </c>
      <c r="S5777" t="str">
        <f t="shared" ref="S5777:S5784" si="2697">"14:52:04.063"</f>
        <v>14:52:04.063</v>
      </c>
      <c r="T5777" t="str">
        <f t="shared" ref="T5777:T5784" si="2698">"14:52:03.963"</f>
        <v>14:52:03.963</v>
      </c>
      <c r="U5777" t="str">
        <f t="shared" si="2691"/>
        <v>A9808D</v>
      </c>
      <c r="V5777">
        <v>0</v>
      </c>
      <c r="W5777">
        <v>0</v>
      </c>
      <c r="X5777">
        <v>1</v>
      </c>
      <c r="Z5777">
        <v>0</v>
      </c>
      <c r="AA5777">
        <v>9</v>
      </c>
      <c r="AB5777">
        <v>3</v>
      </c>
      <c r="AC5777">
        <v>0</v>
      </c>
      <c r="AD5777">
        <v>10</v>
      </c>
      <c r="AE5777">
        <v>0</v>
      </c>
      <c r="AF5777">
        <v>3</v>
      </c>
      <c r="AG5777">
        <v>2</v>
      </c>
      <c r="AH5777">
        <v>0</v>
      </c>
      <c r="AI5777" t="s">
        <v>1280</v>
      </c>
      <c r="AJ5777">
        <v>28.203105999999998</v>
      </c>
      <c r="AK5777" t="s">
        <v>1282</v>
      </c>
      <c r="AL5777">
        <v>-82.378235000000004</v>
      </c>
      <c r="AM5777">
        <v>100</v>
      </c>
      <c r="AN5777">
        <v>600</v>
      </c>
      <c r="AO5777" t="s">
        <v>118</v>
      </c>
      <c r="AP5777">
        <v>100</v>
      </c>
      <c r="AQ5777">
        <v>6</v>
      </c>
      <c r="AR5777">
        <v>-896</v>
      </c>
      <c r="AZ5777">
        <v>1200</v>
      </c>
      <c r="BA5777">
        <v>1</v>
      </c>
      <c r="BB5777" t="str">
        <f t="shared" si="2670"/>
        <v xml:space="preserve">N711JA  </v>
      </c>
      <c r="BC5777">
        <v>1</v>
      </c>
      <c r="BE5777">
        <v>0</v>
      </c>
      <c r="BF5777">
        <v>0</v>
      </c>
      <c r="BG5777">
        <v>0</v>
      </c>
      <c r="BH5777">
        <v>800</v>
      </c>
      <c r="BI5777">
        <v>1</v>
      </c>
      <c r="BJ5777">
        <v>1</v>
      </c>
      <c r="BK5777">
        <v>0</v>
      </c>
      <c r="BL5777">
        <v>0</v>
      </c>
      <c r="BO5777">
        <v>0</v>
      </c>
      <c r="BP5777">
        <v>0</v>
      </c>
      <c r="BW5777" t="str">
        <f t="shared" ref="BW5777:BW5784" si="2699">"14:52:04.066"</f>
        <v>14:52:04.066</v>
      </c>
      <c r="CJ5777">
        <v>0</v>
      </c>
      <c r="CK5777">
        <v>2</v>
      </c>
      <c r="CL5777">
        <v>0</v>
      </c>
      <c r="CM5777">
        <v>2</v>
      </c>
      <c r="CN5777">
        <v>0</v>
      </c>
      <c r="CO5777">
        <v>6</v>
      </c>
      <c r="CP5777" t="s">
        <v>119</v>
      </c>
      <c r="CQ5777">
        <v>343</v>
      </c>
      <c r="CR5777">
        <v>1</v>
      </c>
      <c r="CW5777">
        <v>11199816</v>
      </c>
      <c r="CY5777">
        <v>1</v>
      </c>
      <c r="CZ5777">
        <v>0</v>
      </c>
      <c r="DA5777">
        <v>0</v>
      </c>
      <c r="DB5777">
        <v>0</v>
      </c>
      <c r="DC5777">
        <v>0</v>
      </c>
      <c r="DD5777">
        <v>1</v>
      </c>
      <c r="DE5777">
        <v>0</v>
      </c>
      <c r="DF5777">
        <v>0</v>
      </c>
      <c r="DG5777">
        <v>0</v>
      </c>
      <c r="DH5777">
        <v>0</v>
      </c>
      <c r="DI5777">
        <v>0</v>
      </c>
    </row>
    <row r="5778" spans="1:113" x14ac:dyDescent="0.3">
      <c r="A5778" t="str">
        <f t="shared" si="2696"/>
        <v>05/12/2020 14:51:46.265</v>
      </c>
      <c r="C5778" t="str">
        <f t="shared" si="2669"/>
        <v>FFDFD3C0</v>
      </c>
      <c r="D5778" t="s">
        <v>134</v>
      </c>
      <c r="E5778">
        <v>12</v>
      </c>
      <c r="H5778">
        <v>64</v>
      </c>
      <c r="I5778" t="s">
        <v>135</v>
      </c>
      <c r="J5778" t="s">
        <v>136</v>
      </c>
      <c r="K5778">
        <v>0</v>
      </c>
      <c r="L5778">
        <v>3</v>
      </c>
      <c r="M5778">
        <v>0</v>
      </c>
      <c r="N5778">
        <v>2</v>
      </c>
      <c r="O5778">
        <v>1</v>
      </c>
      <c r="P5778">
        <v>0</v>
      </c>
      <c r="Q5778">
        <v>0</v>
      </c>
      <c r="S5778" t="str">
        <f t="shared" si="2697"/>
        <v>14:52:04.063</v>
      </c>
      <c r="T5778" t="str">
        <f t="shared" si="2698"/>
        <v>14:52:03.963</v>
      </c>
      <c r="U5778" t="str">
        <f t="shared" si="2691"/>
        <v>A9808D</v>
      </c>
      <c r="V5778">
        <v>0</v>
      </c>
      <c r="W5778">
        <v>0</v>
      </c>
      <c r="X5778">
        <v>1</v>
      </c>
      <c r="Z5778">
        <v>0</v>
      </c>
      <c r="AA5778">
        <v>9</v>
      </c>
      <c r="AB5778">
        <v>3</v>
      </c>
      <c r="AC5778">
        <v>0</v>
      </c>
      <c r="AD5778">
        <v>10</v>
      </c>
      <c r="AE5778">
        <v>0</v>
      </c>
      <c r="AF5778">
        <v>3</v>
      </c>
      <c r="AG5778">
        <v>2</v>
      </c>
      <c r="AH5778">
        <v>0</v>
      </c>
      <c r="AI5778" t="s">
        <v>1280</v>
      </c>
      <c r="AJ5778">
        <v>28.203105999999998</v>
      </c>
      <c r="AK5778" t="s">
        <v>1282</v>
      </c>
      <c r="AL5778">
        <v>-82.378235000000004</v>
      </c>
      <c r="AM5778">
        <v>100</v>
      </c>
      <c r="AN5778">
        <v>600</v>
      </c>
      <c r="AO5778" t="s">
        <v>118</v>
      </c>
      <c r="AP5778">
        <v>100</v>
      </c>
      <c r="AQ5778">
        <v>6</v>
      </c>
      <c r="AR5778">
        <v>-896</v>
      </c>
      <c r="AZ5778">
        <v>1200</v>
      </c>
      <c r="BA5778">
        <v>1</v>
      </c>
      <c r="BB5778" t="str">
        <f t="shared" si="2670"/>
        <v xml:space="preserve">N711JA  </v>
      </c>
      <c r="BC5778">
        <v>1</v>
      </c>
      <c r="BE5778">
        <v>0</v>
      </c>
      <c r="BF5778">
        <v>0</v>
      </c>
      <c r="BG5778">
        <v>0</v>
      </c>
      <c r="BH5778">
        <v>800</v>
      </c>
      <c r="BI5778">
        <v>1</v>
      </c>
      <c r="BJ5778">
        <v>1</v>
      </c>
      <c r="BK5778">
        <v>0</v>
      </c>
      <c r="BL5778">
        <v>0</v>
      </c>
      <c r="BO5778">
        <v>0</v>
      </c>
      <c r="BP5778">
        <v>0</v>
      </c>
      <c r="BW5778" t="str">
        <f t="shared" si="2699"/>
        <v>14:52:04.066</v>
      </c>
      <c r="CJ5778">
        <v>0</v>
      </c>
      <c r="CK5778">
        <v>2</v>
      </c>
      <c r="CL5778">
        <v>0</v>
      </c>
      <c r="CM5778">
        <v>2</v>
      </c>
      <c r="CN5778">
        <v>0</v>
      </c>
      <c r="CO5778">
        <v>6</v>
      </c>
      <c r="CP5778" t="s">
        <v>119</v>
      </c>
      <c r="CQ5778">
        <v>343</v>
      </c>
      <c r="CR5778">
        <v>1</v>
      </c>
      <c r="CW5778">
        <v>11199816</v>
      </c>
      <c r="CY5778">
        <v>1</v>
      </c>
      <c r="CZ5778">
        <v>0</v>
      </c>
      <c r="DA5778">
        <v>1</v>
      </c>
      <c r="DB5778">
        <v>0</v>
      </c>
      <c r="DC5778">
        <v>0</v>
      </c>
      <c r="DD5778">
        <v>1</v>
      </c>
      <c r="DE5778">
        <v>0</v>
      </c>
      <c r="DF5778">
        <v>0</v>
      </c>
      <c r="DG5778">
        <v>0</v>
      </c>
      <c r="DH5778">
        <v>0</v>
      </c>
      <c r="DI5778">
        <v>0</v>
      </c>
    </row>
    <row r="5779" spans="1:113" x14ac:dyDescent="0.3">
      <c r="A5779" t="str">
        <f t="shared" si="2696"/>
        <v>05/12/2020 14:51:46.265</v>
      </c>
      <c r="C5779" t="str">
        <f t="shared" si="2669"/>
        <v>FFDFD3C0</v>
      </c>
      <c r="D5779" t="s">
        <v>138</v>
      </c>
      <c r="E5779">
        <v>2</v>
      </c>
      <c r="H5779">
        <v>8</v>
      </c>
      <c r="I5779" t="s">
        <v>139</v>
      </c>
      <c r="J5779" t="s">
        <v>136</v>
      </c>
      <c r="K5779">
        <v>0</v>
      </c>
      <c r="L5779">
        <v>3</v>
      </c>
      <c r="M5779">
        <v>0</v>
      </c>
      <c r="N5779">
        <v>2</v>
      </c>
      <c r="O5779">
        <v>1</v>
      </c>
      <c r="P5779">
        <v>0</v>
      </c>
      <c r="Q5779">
        <v>0</v>
      </c>
      <c r="S5779" t="str">
        <f t="shared" si="2697"/>
        <v>14:52:04.063</v>
      </c>
      <c r="T5779" t="str">
        <f t="shared" si="2698"/>
        <v>14:52:03.963</v>
      </c>
      <c r="U5779" t="str">
        <f t="shared" si="2691"/>
        <v>A9808D</v>
      </c>
      <c r="V5779">
        <v>0</v>
      </c>
      <c r="W5779">
        <v>0</v>
      </c>
      <c r="X5779">
        <v>1</v>
      </c>
      <c r="Z5779">
        <v>0</v>
      </c>
      <c r="AA5779">
        <v>9</v>
      </c>
      <c r="AB5779">
        <v>3</v>
      </c>
      <c r="AC5779">
        <v>0</v>
      </c>
      <c r="AD5779">
        <v>10</v>
      </c>
      <c r="AE5779">
        <v>0</v>
      </c>
      <c r="AF5779">
        <v>3</v>
      </c>
      <c r="AG5779">
        <v>2</v>
      </c>
      <c r="AH5779">
        <v>0</v>
      </c>
      <c r="AI5779" t="s">
        <v>1280</v>
      </c>
      <c r="AJ5779">
        <v>28.203105999999998</v>
      </c>
      <c r="AK5779" t="s">
        <v>1282</v>
      </c>
      <c r="AL5779">
        <v>-82.378235000000004</v>
      </c>
      <c r="AM5779">
        <v>100</v>
      </c>
      <c r="AN5779">
        <v>600</v>
      </c>
      <c r="AO5779" t="s">
        <v>118</v>
      </c>
      <c r="AP5779">
        <v>100</v>
      </c>
      <c r="AQ5779">
        <v>6</v>
      </c>
      <c r="AR5779">
        <v>-896</v>
      </c>
      <c r="AZ5779">
        <v>1200</v>
      </c>
      <c r="BA5779">
        <v>1</v>
      </c>
      <c r="BB5779" t="str">
        <f t="shared" si="2670"/>
        <v xml:space="preserve">N711JA  </v>
      </c>
      <c r="BC5779">
        <v>1</v>
      </c>
      <c r="BE5779">
        <v>0</v>
      </c>
      <c r="BF5779">
        <v>0</v>
      </c>
      <c r="BG5779">
        <v>0</v>
      </c>
      <c r="BH5779">
        <v>800</v>
      </c>
      <c r="BI5779">
        <v>1</v>
      </c>
      <c r="BJ5779">
        <v>1</v>
      </c>
      <c r="BK5779">
        <v>0</v>
      </c>
      <c r="BL5779">
        <v>0</v>
      </c>
      <c r="BO5779">
        <v>0</v>
      </c>
      <c r="BP5779">
        <v>0</v>
      </c>
      <c r="BW5779" t="str">
        <f t="shared" si="2699"/>
        <v>14:52:04.066</v>
      </c>
      <c r="CJ5779">
        <v>0</v>
      </c>
      <c r="CK5779">
        <v>2</v>
      </c>
      <c r="CL5779">
        <v>0</v>
      </c>
      <c r="CM5779">
        <v>2</v>
      </c>
      <c r="CN5779">
        <v>0</v>
      </c>
      <c r="CO5779">
        <v>6</v>
      </c>
      <c r="CP5779" t="s">
        <v>119</v>
      </c>
      <c r="CQ5779">
        <v>343</v>
      </c>
      <c r="CR5779">
        <v>1</v>
      </c>
      <c r="CW5779">
        <v>11199816</v>
      </c>
      <c r="CY5779">
        <v>1</v>
      </c>
      <c r="CZ5779">
        <v>0</v>
      </c>
      <c r="DA5779">
        <v>1</v>
      </c>
      <c r="DB5779">
        <v>0</v>
      </c>
      <c r="DC5779">
        <v>0</v>
      </c>
      <c r="DD5779">
        <v>1</v>
      </c>
      <c r="DE5779">
        <v>0</v>
      </c>
      <c r="DF5779">
        <v>0</v>
      </c>
      <c r="DG5779">
        <v>0</v>
      </c>
      <c r="DH5779">
        <v>0</v>
      </c>
      <c r="DI5779">
        <v>0</v>
      </c>
    </row>
    <row r="5780" spans="1:113" x14ac:dyDescent="0.3">
      <c r="A5780" t="str">
        <f t="shared" si="2696"/>
        <v>05/12/2020 14:51:46.265</v>
      </c>
      <c r="C5780" t="str">
        <f t="shared" si="2669"/>
        <v>FFDFD3C0</v>
      </c>
      <c r="D5780" t="s">
        <v>138</v>
      </c>
      <c r="E5780">
        <v>3</v>
      </c>
      <c r="H5780">
        <v>9</v>
      </c>
      <c r="I5780" t="s">
        <v>140</v>
      </c>
      <c r="J5780" t="s">
        <v>136</v>
      </c>
      <c r="K5780">
        <v>0</v>
      </c>
      <c r="L5780">
        <v>3</v>
      </c>
      <c r="M5780">
        <v>0</v>
      </c>
      <c r="N5780">
        <v>2</v>
      </c>
      <c r="O5780">
        <v>1</v>
      </c>
      <c r="P5780">
        <v>0</v>
      </c>
      <c r="Q5780">
        <v>0</v>
      </c>
      <c r="S5780" t="str">
        <f t="shared" si="2697"/>
        <v>14:52:04.063</v>
      </c>
      <c r="T5780" t="str">
        <f t="shared" si="2698"/>
        <v>14:52:03.963</v>
      </c>
      <c r="U5780" t="str">
        <f t="shared" si="2691"/>
        <v>A9808D</v>
      </c>
      <c r="V5780">
        <v>0</v>
      </c>
      <c r="W5780">
        <v>0</v>
      </c>
      <c r="X5780">
        <v>1</v>
      </c>
      <c r="Z5780">
        <v>0</v>
      </c>
      <c r="AA5780">
        <v>9</v>
      </c>
      <c r="AB5780">
        <v>3</v>
      </c>
      <c r="AC5780">
        <v>0</v>
      </c>
      <c r="AD5780">
        <v>10</v>
      </c>
      <c r="AE5780">
        <v>0</v>
      </c>
      <c r="AF5780">
        <v>3</v>
      </c>
      <c r="AG5780">
        <v>2</v>
      </c>
      <c r="AH5780">
        <v>0</v>
      </c>
      <c r="AI5780" t="s">
        <v>1280</v>
      </c>
      <c r="AJ5780">
        <v>28.203105999999998</v>
      </c>
      <c r="AK5780" t="s">
        <v>1282</v>
      </c>
      <c r="AL5780">
        <v>-82.378235000000004</v>
      </c>
      <c r="AM5780">
        <v>100</v>
      </c>
      <c r="AN5780">
        <v>600</v>
      </c>
      <c r="AO5780" t="s">
        <v>118</v>
      </c>
      <c r="AP5780">
        <v>100</v>
      </c>
      <c r="AQ5780">
        <v>6</v>
      </c>
      <c r="AR5780">
        <v>-896</v>
      </c>
      <c r="AZ5780">
        <v>1200</v>
      </c>
      <c r="BA5780">
        <v>1</v>
      </c>
      <c r="BB5780" t="str">
        <f t="shared" si="2670"/>
        <v xml:space="preserve">N711JA  </v>
      </c>
      <c r="BC5780">
        <v>1</v>
      </c>
      <c r="BE5780">
        <v>0</v>
      </c>
      <c r="BF5780">
        <v>0</v>
      </c>
      <c r="BG5780">
        <v>0</v>
      </c>
      <c r="BH5780">
        <v>800</v>
      </c>
      <c r="BI5780">
        <v>1</v>
      </c>
      <c r="BJ5780">
        <v>1</v>
      </c>
      <c r="BK5780">
        <v>0</v>
      </c>
      <c r="BL5780">
        <v>0</v>
      </c>
      <c r="BO5780">
        <v>0</v>
      </c>
      <c r="BP5780">
        <v>0</v>
      </c>
      <c r="BW5780" t="str">
        <f t="shared" si="2699"/>
        <v>14:52:04.066</v>
      </c>
      <c r="CJ5780">
        <v>0</v>
      </c>
      <c r="CK5780">
        <v>2</v>
      </c>
      <c r="CL5780">
        <v>0</v>
      </c>
      <c r="CM5780">
        <v>2</v>
      </c>
      <c r="CN5780">
        <v>0</v>
      </c>
      <c r="CO5780">
        <v>6</v>
      </c>
      <c r="CP5780" t="s">
        <v>119</v>
      </c>
      <c r="CQ5780">
        <v>343</v>
      </c>
      <c r="CR5780">
        <v>1</v>
      </c>
      <c r="CW5780">
        <v>11199816</v>
      </c>
      <c r="CY5780">
        <v>1</v>
      </c>
      <c r="CZ5780">
        <v>0</v>
      </c>
      <c r="DA5780">
        <v>1</v>
      </c>
      <c r="DB5780">
        <v>0</v>
      </c>
      <c r="DC5780">
        <v>0</v>
      </c>
      <c r="DD5780">
        <v>1</v>
      </c>
      <c r="DE5780">
        <v>0</v>
      </c>
      <c r="DF5780">
        <v>0</v>
      </c>
      <c r="DG5780">
        <v>0</v>
      </c>
      <c r="DH5780">
        <v>0</v>
      </c>
      <c r="DI5780">
        <v>0</v>
      </c>
    </row>
    <row r="5781" spans="1:113" x14ac:dyDescent="0.3">
      <c r="A5781" t="str">
        <f t="shared" si="2696"/>
        <v>05/12/2020 14:51:46.265</v>
      </c>
      <c r="C5781" t="str">
        <f t="shared" si="2669"/>
        <v>FFDFD3C0</v>
      </c>
      <c r="D5781" t="s">
        <v>113</v>
      </c>
      <c r="E5781">
        <v>3</v>
      </c>
      <c r="H5781">
        <v>164</v>
      </c>
      <c r="I5781" t="s">
        <v>114</v>
      </c>
      <c r="J5781" t="s">
        <v>115</v>
      </c>
      <c r="K5781">
        <v>0</v>
      </c>
      <c r="L5781">
        <v>3</v>
      </c>
      <c r="M5781">
        <v>0</v>
      </c>
      <c r="N5781">
        <v>2</v>
      </c>
      <c r="O5781">
        <v>1</v>
      </c>
      <c r="P5781">
        <v>0</v>
      </c>
      <c r="Q5781">
        <v>0</v>
      </c>
      <c r="S5781" t="str">
        <f t="shared" si="2697"/>
        <v>14:52:04.063</v>
      </c>
      <c r="T5781" t="str">
        <f t="shared" si="2698"/>
        <v>14:52:03.963</v>
      </c>
      <c r="U5781" t="str">
        <f t="shared" si="2691"/>
        <v>A9808D</v>
      </c>
      <c r="V5781">
        <v>0</v>
      </c>
      <c r="W5781">
        <v>0</v>
      </c>
      <c r="X5781">
        <v>1</v>
      </c>
      <c r="Z5781">
        <v>0</v>
      </c>
      <c r="AA5781">
        <v>9</v>
      </c>
      <c r="AB5781">
        <v>3</v>
      </c>
      <c r="AC5781">
        <v>0</v>
      </c>
      <c r="AD5781">
        <v>10</v>
      </c>
      <c r="AE5781">
        <v>0</v>
      </c>
      <c r="AF5781">
        <v>3</v>
      </c>
      <c r="AG5781">
        <v>2</v>
      </c>
      <c r="AH5781">
        <v>0</v>
      </c>
      <c r="AI5781" t="s">
        <v>1280</v>
      </c>
      <c r="AJ5781">
        <v>28.203105999999998</v>
      </c>
      <c r="AK5781" t="s">
        <v>1282</v>
      </c>
      <c r="AL5781">
        <v>-82.378235000000004</v>
      </c>
      <c r="AM5781">
        <v>100</v>
      </c>
      <c r="AN5781">
        <v>600</v>
      </c>
      <c r="AO5781" t="s">
        <v>118</v>
      </c>
      <c r="AP5781">
        <v>100</v>
      </c>
      <c r="AQ5781">
        <v>6</v>
      </c>
      <c r="AR5781">
        <v>-896</v>
      </c>
      <c r="AZ5781">
        <v>1200</v>
      </c>
      <c r="BA5781">
        <v>1</v>
      </c>
      <c r="BB5781" t="str">
        <f t="shared" si="2670"/>
        <v xml:space="preserve">N711JA  </v>
      </c>
      <c r="BC5781">
        <v>1</v>
      </c>
      <c r="BE5781">
        <v>0</v>
      </c>
      <c r="BF5781">
        <v>0</v>
      </c>
      <c r="BG5781">
        <v>0</v>
      </c>
      <c r="BH5781">
        <v>800</v>
      </c>
      <c r="BI5781">
        <v>1</v>
      </c>
      <c r="BJ5781">
        <v>1</v>
      </c>
      <c r="BK5781">
        <v>0</v>
      </c>
      <c r="BL5781">
        <v>0</v>
      </c>
      <c r="BO5781">
        <v>0</v>
      </c>
      <c r="BP5781">
        <v>0</v>
      </c>
      <c r="BW5781" t="str">
        <f t="shared" si="2699"/>
        <v>14:52:04.066</v>
      </c>
      <c r="CJ5781">
        <v>0</v>
      </c>
      <c r="CK5781">
        <v>2</v>
      </c>
      <c r="CL5781">
        <v>0</v>
      </c>
      <c r="CM5781">
        <v>2</v>
      </c>
      <c r="CN5781">
        <v>0</v>
      </c>
      <c r="CO5781">
        <v>6</v>
      </c>
      <c r="CP5781" t="s">
        <v>119</v>
      </c>
      <c r="CQ5781">
        <v>343</v>
      </c>
      <c r="CR5781">
        <v>1</v>
      </c>
      <c r="CW5781">
        <v>11199816</v>
      </c>
      <c r="CY5781">
        <v>1</v>
      </c>
      <c r="CZ5781">
        <v>0</v>
      </c>
      <c r="DA5781">
        <v>1</v>
      </c>
      <c r="DB5781">
        <v>0</v>
      </c>
      <c r="DC5781">
        <v>0</v>
      </c>
      <c r="DD5781">
        <v>1</v>
      </c>
      <c r="DE5781">
        <v>0</v>
      </c>
      <c r="DF5781">
        <v>0</v>
      </c>
      <c r="DG5781">
        <v>0</v>
      </c>
      <c r="DH5781">
        <v>0</v>
      </c>
      <c r="DI5781">
        <v>0</v>
      </c>
    </row>
    <row r="5782" spans="1:113" x14ac:dyDescent="0.3">
      <c r="A5782" t="str">
        <f t="shared" si="2696"/>
        <v>05/12/2020 14:51:46.265</v>
      </c>
      <c r="C5782" t="str">
        <f t="shared" ref="C5782:C5845" si="2700">"FFDFD3C0"</f>
        <v>FFDFD3C0</v>
      </c>
      <c r="D5782" t="s">
        <v>131</v>
      </c>
      <c r="E5782">
        <v>10</v>
      </c>
      <c r="F5782">
        <v>2010</v>
      </c>
      <c r="G5782" t="s">
        <v>132</v>
      </c>
      <c r="J5782" t="s">
        <v>133</v>
      </c>
      <c r="K5782">
        <v>0</v>
      </c>
      <c r="L5782">
        <v>3</v>
      </c>
      <c r="M5782">
        <v>0</v>
      </c>
      <c r="N5782">
        <v>2</v>
      </c>
      <c r="O5782">
        <v>1</v>
      </c>
      <c r="P5782">
        <v>0</v>
      </c>
      <c r="Q5782">
        <v>0</v>
      </c>
      <c r="S5782" t="str">
        <f t="shared" si="2697"/>
        <v>14:52:04.063</v>
      </c>
      <c r="T5782" t="str">
        <f t="shared" si="2698"/>
        <v>14:52:03.963</v>
      </c>
      <c r="U5782" t="str">
        <f t="shared" si="2691"/>
        <v>A9808D</v>
      </c>
      <c r="V5782">
        <v>0</v>
      </c>
      <c r="W5782">
        <v>0</v>
      </c>
      <c r="X5782">
        <v>1</v>
      </c>
      <c r="Z5782">
        <v>0</v>
      </c>
      <c r="AA5782">
        <v>9</v>
      </c>
      <c r="AB5782">
        <v>3</v>
      </c>
      <c r="AC5782">
        <v>0</v>
      </c>
      <c r="AD5782">
        <v>10</v>
      </c>
      <c r="AE5782">
        <v>0</v>
      </c>
      <c r="AF5782">
        <v>3</v>
      </c>
      <c r="AG5782">
        <v>2</v>
      </c>
      <c r="AH5782">
        <v>0</v>
      </c>
      <c r="AI5782" t="s">
        <v>1280</v>
      </c>
      <c r="AJ5782">
        <v>28.203105999999998</v>
      </c>
      <c r="AK5782" t="s">
        <v>1282</v>
      </c>
      <c r="AL5782">
        <v>-82.378235000000004</v>
      </c>
      <c r="AM5782">
        <v>100</v>
      </c>
      <c r="AN5782">
        <v>600</v>
      </c>
      <c r="AO5782" t="s">
        <v>118</v>
      </c>
      <c r="AP5782">
        <v>100</v>
      </c>
      <c r="AQ5782">
        <v>6</v>
      </c>
      <c r="AR5782">
        <v>-896</v>
      </c>
      <c r="AZ5782">
        <v>1200</v>
      </c>
      <c r="BA5782">
        <v>1</v>
      </c>
      <c r="BB5782" t="str">
        <f t="shared" ref="BB5782:BB5845" si="2701">"N711JA  "</f>
        <v xml:space="preserve">N711JA  </v>
      </c>
      <c r="BC5782">
        <v>1</v>
      </c>
      <c r="BE5782">
        <v>0</v>
      </c>
      <c r="BF5782">
        <v>0</v>
      </c>
      <c r="BG5782">
        <v>0</v>
      </c>
      <c r="BH5782">
        <v>800</v>
      </c>
      <c r="BI5782">
        <v>1</v>
      </c>
      <c r="BJ5782">
        <v>1</v>
      </c>
      <c r="BK5782">
        <v>0</v>
      </c>
      <c r="BL5782">
        <v>0</v>
      </c>
      <c r="BO5782">
        <v>0</v>
      </c>
      <c r="BP5782">
        <v>0</v>
      </c>
      <c r="BW5782" t="str">
        <f t="shared" si="2699"/>
        <v>14:52:04.066</v>
      </c>
      <c r="CJ5782">
        <v>0</v>
      </c>
      <c r="CK5782">
        <v>2</v>
      </c>
      <c r="CL5782">
        <v>0</v>
      </c>
      <c r="CM5782">
        <v>2</v>
      </c>
      <c r="CN5782">
        <v>0</v>
      </c>
      <c r="CO5782">
        <v>6</v>
      </c>
      <c r="CP5782" t="s">
        <v>119</v>
      </c>
      <c r="CQ5782">
        <v>343</v>
      </c>
      <c r="CR5782">
        <v>1</v>
      </c>
      <c r="CW5782">
        <v>11199816</v>
      </c>
      <c r="CY5782">
        <v>1</v>
      </c>
      <c r="CZ5782">
        <v>0</v>
      </c>
      <c r="DA5782">
        <v>1</v>
      </c>
      <c r="DB5782">
        <v>0</v>
      </c>
      <c r="DC5782">
        <v>0</v>
      </c>
      <c r="DD5782">
        <v>1</v>
      </c>
      <c r="DE5782">
        <v>0</v>
      </c>
      <c r="DF5782">
        <v>0</v>
      </c>
      <c r="DG5782">
        <v>0</v>
      </c>
      <c r="DH5782">
        <v>0</v>
      </c>
      <c r="DI5782">
        <v>0</v>
      </c>
    </row>
    <row r="5783" spans="1:113" x14ac:dyDescent="0.3">
      <c r="A5783" t="str">
        <f t="shared" si="2696"/>
        <v>05/12/2020 14:51:46.265</v>
      </c>
      <c r="C5783" t="str">
        <f t="shared" si="2700"/>
        <v>FFDFD3C0</v>
      </c>
      <c r="D5783" t="s">
        <v>131</v>
      </c>
      <c r="E5783">
        <v>12</v>
      </c>
      <c r="F5783">
        <v>2012</v>
      </c>
      <c r="G5783" t="s">
        <v>137</v>
      </c>
      <c r="J5783" t="s">
        <v>133</v>
      </c>
      <c r="K5783">
        <v>0</v>
      </c>
      <c r="L5783">
        <v>3</v>
      </c>
      <c r="M5783">
        <v>0</v>
      </c>
      <c r="N5783">
        <v>2</v>
      </c>
      <c r="O5783">
        <v>1</v>
      </c>
      <c r="P5783">
        <v>0</v>
      </c>
      <c r="Q5783">
        <v>0</v>
      </c>
      <c r="S5783" t="str">
        <f t="shared" si="2697"/>
        <v>14:52:04.063</v>
      </c>
      <c r="T5783" t="str">
        <f t="shared" si="2698"/>
        <v>14:52:03.963</v>
      </c>
      <c r="U5783" t="str">
        <f t="shared" si="2691"/>
        <v>A9808D</v>
      </c>
      <c r="V5783">
        <v>0</v>
      </c>
      <c r="W5783">
        <v>0</v>
      </c>
      <c r="X5783">
        <v>1</v>
      </c>
      <c r="Z5783">
        <v>0</v>
      </c>
      <c r="AA5783">
        <v>9</v>
      </c>
      <c r="AB5783">
        <v>3</v>
      </c>
      <c r="AC5783">
        <v>0</v>
      </c>
      <c r="AD5783">
        <v>10</v>
      </c>
      <c r="AE5783">
        <v>0</v>
      </c>
      <c r="AF5783">
        <v>3</v>
      </c>
      <c r="AG5783">
        <v>2</v>
      </c>
      <c r="AH5783">
        <v>0</v>
      </c>
      <c r="AI5783" t="s">
        <v>1280</v>
      </c>
      <c r="AJ5783">
        <v>28.203105999999998</v>
      </c>
      <c r="AK5783" t="s">
        <v>1282</v>
      </c>
      <c r="AL5783">
        <v>-82.378235000000004</v>
      </c>
      <c r="AM5783">
        <v>100</v>
      </c>
      <c r="AN5783">
        <v>600</v>
      </c>
      <c r="AO5783" t="s">
        <v>118</v>
      </c>
      <c r="AP5783">
        <v>100</v>
      </c>
      <c r="AQ5783">
        <v>6</v>
      </c>
      <c r="AR5783">
        <v>-896</v>
      </c>
      <c r="AZ5783">
        <v>1200</v>
      </c>
      <c r="BA5783">
        <v>1</v>
      </c>
      <c r="BB5783" t="str">
        <f t="shared" si="2701"/>
        <v xml:space="preserve">N711JA  </v>
      </c>
      <c r="BC5783">
        <v>1</v>
      </c>
      <c r="BE5783">
        <v>0</v>
      </c>
      <c r="BF5783">
        <v>0</v>
      </c>
      <c r="BG5783">
        <v>0</v>
      </c>
      <c r="BH5783">
        <v>800</v>
      </c>
      <c r="BI5783">
        <v>1</v>
      </c>
      <c r="BJ5783">
        <v>1</v>
      </c>
      <c r="BK5783">
        <v>0</v>
      </c>
      <c r="BL5783">
        <v>0</v>
      </c>
      <c r="BO5783">
        <v>0</v>
      </c>
      <c r="BP5783">
        <v>0</v>
      </c>
      <c r="BW5783" t="str">
        <f t="shared" si="2699"/>
        <v>14:52:04.066</v>
      </c>
      <c r="CJ5783">
        <v>0</v>
      </c>
      <c r="CK5783">
        <v>2</v>
      </c>
      <c r="CL5783">
        <v>0</v>
      </c>
      <c r="CM5783">
        <v>2</v>
      </c>
      <c r="CN5783">
        <v>0</v>
      </c>
      <c r="CO5783">
        <v>6</v>
      </c>
      <c r="CP5783" t="s">
        <v>119</v>
      </c>
      <c r="CQ5783">
        <v>343</v>
      </c>
      <c r="CR5783">
        <v>1</v>
      </c>
      <c r="CW5783">
        <v>11199816</v>
      </c>
      <c r="CY5783">
        <v>1</v>
      </c>
      <c r="CZ5783">
        <v>0</v>
      </c>
      <c r="DA5783">
        <v>1</v>
      </c>
      <c r="DB5783">
        <v>0</v>
      </c>
      <c r="DC5783">
        <v>0</v>
      </c>
      <c r="DD5783">
        <v>1</v>
      </c>
      <c r="DE5783">
        <v>0</v>
      </c>
      <c r="DF5783">
        <v>0</v>
      </c>
      <c r="DG5783">
        <v>0</v>
      </c>
      <c r="DH5783">
        <v>0</v>
      </c>
      <c r="DI5783">
        <v>0</v>
      </c>
    </row>
    <row r="5784" spans="1:113" x14ac:dyDescent="0.3">
      <c r="A5784" t="str">
        <f t="shared" si="2696"/>
        <v>05/12/2020 14:51:46.265</v>
      </c>
      <c r="C5784" t="str">
        <f t="shared" si="2700"/>
        <v>FFDFD3C0</v>
      </c>
      <c r="D5784" t="s">
        <v>126</v>
      </c>
      <c r="E5784">
        <v>7</v>
      </c>
      <c r="F5784">
        <v>1007</v>
      </c>
      <c r="G5784" t="s">
        <v>127</v>
      </c>
      <c r="J5784" t="s">
        <v>128</v>
      </c>
      <c r="K5784">
        <v>0</v>
      </c>
      <c r="L5784">
        <v>3</v>
      </c>
      <c r="M5784">
        <v>0</v>
      </c>
      <c r="N5784">
        <v>2</v>
      </c>
      <c r="O5784">
        <v>1</v>
      </c>
      <c r="P5784">
        <v>0</v>
      </c>
      <c r="Q5784">
        <v>0</v>
      </c>
      <c r="S5784" t="str">
        <f t="shared" si="2697"/>
        <v>14:52:04.063</v>
      </c>
      <c r="T5784" t="str">
        <f t="shared" si="2698"/>
        <v>14:52:03.963</v>
      </c>
      <c r="U5784" t="str">
        <f t="shared" si="2691"/>
        <v>A9808D</v>
      </c>
      <c r="V5784">
        <v>0</v>
      </c>
      <c r="W5784">
        <v>0</v>
      </c>
      <c r="X5784">
        <v>1</v>
      </c>
      <c r="Z5784">
        <v>0</v>
      </c>
      <c r="AA5784">
        <v>9</v>
      </c>
      <c r="AB5784">
        <v>3</v>
      </c>
      <c r="AC5784">
        <v>0</v>
      </c>
      <c r="AD5784">
        <v>10</v>
      </c>
      <c r="AE5784">
        <v>0</v>
      </c>
      <c r="AF5784">
        <v>3</v>
      </c>
      <c r="AG5784">
        <v>2</v>
      </c>
      <c r="AH5784">
        <v>0</v>
      </c>
      <c r="AI5784" t="s">
        <v>1280</v>
      </c>
      <c r="AJ5784">
        <v>28.203105999999998</v>
      </c>
      <c r="AK5784" t="s">
        <v>1282</v>
      </c>
      <c r="AL5784">
        <v>-82.378235000000004</v>
      </c>
      <c r="AM5784">
        <v>100</v>
      </c>
      <c r="AN5784">
        <v>600</v>
      </c>
      <c r="AO5784" t="s">
        <v>118</v>
      </c>
      <c r="AP5784">
        <v>100</v>
      </c>
      <c r="AQ5784">
        <v>6</v>
      </c>
      <c r="AR5784">
        <v>-896</v>
      </c>
      <c r="AZ5784">
        <v>1200</v>
      </c>
      <c r="BA5784">
        <v>1</v>
      </c>
      <c r="BB5784" t="str">
        <f t="shared" si="2701"/>
        <v xml:space="preserve">N711JA  </v>
      </c>
      <c r="BC5784">
        <v>1</v>
      </c>
      <c r="BE5784">
        <v>0</v>
      </c>
      <c r="BF5784">
        <v>0</v>
      </c>
      <c r="BG5784">
        <v>0</v>
      </c>
      <c r="BH5784">
        <v>800</v>
      </c>
      <c r="BI5784">
        <v>1</v>
      </c>
      <c r="BJ5784">
        <v>1</v>
      </c>
      <c r="BK5784">
        <v>0</v>
      </c>
      <c r="BL5784">
        <v>0</v>
      </c>
      <c r="BO5784">
        <v>0</v>
      </c>
      <c r="BP5784">
        <v>0</v>
      </c>
      <c r="BW5784" t="str">
        <f t="shared" si="2699"/>
        <v>14:52:04.066</v>
      </c>
      <c r="CJ5784">
        <v>0</v>
      </c>
      <c r="CK5784">
        <v>2</v>
      </c>
      <c r="CL5784">
        <v>0</v>
      </c>
      <c r="CM5784">
        <v>2</v>
      </c>
      <c r="CN5784">
        <v>0</v>
      </c>
      <c r="CO5784">
        <v>6</v>
      </c>
      <c r="CP5784" t="s">
        <v>119</v>
      </c>
      <c r="CQ5784">
        <v>343</v>
      </c>
      <c r="CR5784">
        <v>1</v>
      </c>
      <c r="CW5784">
        <v>11199816</v>
      </c>
      <c r="CY5784">
        <v>1</v>
      </c>
      <c r="CZ5784">
        <v>0</v>
      </c>
      <c r="DA5784">
        <v>1</v>
      </c>
      <c r="DB5784">
        <v>0</v>
      </c>
      <c r="DC5784">
        <v>0</v>
      </c>
      <c r="DD5784">
        <v>1</v>
      </c>
      <c r="DE5784">
        <v>0</v>
      </c>
      <c r="DF5784">
        <v>0</v>
      </c>
      <c r="DG5784">
        <v>0</v>
      </c>
      <c r="DH5784">
        <v>0</v>
      </c>
      <c r="DI5784">
        <v>0</v>
      </c>
    </row>
    <row r="5785" spans="1:113" x14ac:dyDescent="0.3">
      <c r="A5785" t="str">
        <f t="shared" ref="A5785:A5792" si="2702">"05/12/2020 14:51:47.220"</f>
        <v>05/12/2020 14:51:47.220</v>
      </c>
      <c r="C5785" t="str">
        <f t="shared" si="2700"/>
        <v>FFDFD3C0</v>
      </c>
      <c r="D5785" t="s">
        <v>126</v>
      </c>
      <c r="E5785">
        <v>6</v>
      </c>
      <c r="F5785">
        <v>1006</v>
      </c>
      <c r="G5785" t="s">
        <v>114</v>
      </c>
      <c r="J5785" t="s">
        <v>128</v>
      </c>
      <c r="K5785">
        <v>0</v>
      </c>
      <c r="L5785">
        <v>3</v>
      </c>
      <c r="M5785">
        <v>0</v>
      </c>
      <c r="N5785">
        <v>2</v>
      </c>
      <c r="O5785">
        <v>1</v>
      </c>
      <c r="P5785">
        <v>0</v>
      </c>
      <c r="Q5785">
        <v>0</v>
      </c>
      <c r="S5785" t="str">
        <f t="shared" ref="S5785:S5792" si="2703">"14:52:05.055"</f>
        <v>14:52:05.055</v>
      </c>
      <c r="T5785" t="str">
        <f t="shared" ref="T5785:T5792" si="2704">"14:52:04.955"</f>
        <v>14:52:04.955</v>
      </c>
      <c r="U5785" t="str">
        <f t="shared" si="2691"/>
        <v>A9808D</v>
      </c>
      <c r="V5785">
        <v>0</v>
      </c>
      <c r="W5785">
        <v>0</v>
      </c>
      <c r="X5785">
        <v>1</v>
      </c>
      <c r="Z5785">
        <v>0</v>
      </c>
      <c r="AA5785">
        <v>9</v>
      </c>
      <c r="AB5785">
        <v>3</v>
      </c>
      <c r="AC5785">
        <v>0</v>
      </c>
      <c r="AD5785">
        <v>10</v>
      </c>
      <c r="AE5785">
        <v>0</v>
      </c>
      <c r="AF5785">
        <v>3</v>
      </c>
      <c r="AG5785">
        <v>2</v>
      </c>
      <c r="AH5785">
        <v>0</v>
      </c>
      <c r="AI5785" t="s">
        <v>1283</v>
      </c>
      <c r="AJ5785">
        <v>28.20317</v>
      </c>
      <c r="AK5785" t="s">
        <v>1284</v>
      </c>
      <c r="AL5785">
        <v>-82.377697999999995</v>
      </c>
      <c r="AM5785">
        <v>100</v>
      </c>
      <c r="AN5785">
        <v>600</v>
      </c>
      <c r="AO5785" t="s">
        <v>118</v>
      </c>
      <c r="AP5785">
        <v>99</v>
      </c>
      <c r="AQ5785">
        <v>10</v>
      </c>
      <c r="AR5785">
        <v>-832</v>
      </c>
      <c r="AZ5785">
        <v>1200</v>
      </c>
      <c r="BA5785">
        <v>1</v>
      </c>
      <c r="BB5785" t="str">
        <f t="shared" si="2701"/>
        <v xml:space="preserve">N711JA  </v>
      </c>
      <c r="BC5785">
        <v>1</v>
      </c>
      <c r="BE5785">
        <v>0</v>
      </c>
      <c r="BF5785">
        <v>0</v>
      </c>
      <c r="BG5785">
        <v>0</v>
      </c>
      <c r="BH5785">
        <v>675</v>
      </c>
      <c r="BI5785">
        <v>1</v>
      </c>
      <c r="BJ5785">
        <v>1</v>
      </c>
      <c r="BK5785">
        <v>0</v>
      </c>
      <c r="BL5785">
        <v>0</v>
      </c>
      <c r="BO5785">
        <v>0</v>
      </c>
      <c r="BP5785">
        <v>0</v>
      </c>
      <c r="BW5785" t="str">
        <f t="shared" ref="BW5785:BW5792" si="2705">"14:52:05.060"</f>
        <v>14:52:05.060</v>
      </c>
      <c r="CJ5785">
        <v>0</v>
      </c>
      <c r="CK5785">
        <v>2</v>
      </c>
      <c r="CL5785">
        <v>0</v>
      </c>
      <c r="CM5785">
        <v>2</v>
      </c>
      <c r="CN5785">
        <v>0</v>
      </c>
      <c r="CO5785">
        <v>7</v>
      </c>
      <c r="CP5785" t="s">
        <v>119</v>
      </c>
      <c r="CQ5785">
        <v>343</v>
      </c>
      <c r="CR5785">
        <v>1</v>
      </c>
      <c r="CW5785">
        <v>11200832</v>
      </c>
      <c r="CY5785">
        <v>1</v>
      </c>
      <c r="CZ5785">
        <v>0</v>
      </c>
      <c r="DA5785">
        <v>0</v>
      </c>
      <c r="DB5785">
        <v>0</v>
      </c>
      <c r="DC5785">
        <v>0</v>
      </c>
      <c r="DD5785">
        <v>1</v>
      </c>
      <c r="DE5785">
        <v>0</v>
      </c>
      <c r="DF5785">
        <v>0</v>
      </c>
      <c r="DG5785">
        <v>0</v>
      </c>
      <c r="DH5785">
        <v>0</v>
      </c>
      <c r="DI5785">
        <v>0</v>
      </c>
    </row>
    <row r="5786" spans="1:113" x14ac:dyDescent="0.3">
      <c r="A5786" t="str">
        <f t="shared" si="2702"/>
        <v>05/12/2020 14:51:47.220</v>
      </c>
      <c r="C5786" t="str">
        <f t="shared" si="2700"/>
        <v>FFDFD3C0</v>
      </c>
      <c r="D5786" t="s">
        <v>134</v>
      </c>
      <c r="E5786">
        <v>12</v>
      </c>
      <c r="H5786">
        <v>64</v>
      </c>
      <c r="I5786" t="s">
        <v>135</v>
      </c>
      <c r="J5786" t="s">
        <v>136</v>
      </c>
      <c r="K5786">
        <v>0</v>
      </c>
      <c r="L5786">
        <v>3</v>
      </c>
      <c r="M5786">
        <v>0</v>
      </c>
      <c r="N5786">
        <v>2</v>
      </c>
      <c r="O5786">
        <v>1</v>
      </c>
      <c r="P5786">
        <v>0</v>
      </c>
      <c r="Q5786">
        <v>0</v>
      </c>
      <c r="S5786" t="str">
        <f t="shared" si="2703"/>
        <v>14:52:05.055</v>
      </c>
      <c r="T5786" t="str">
        <f t="shared" si="2704"/>
        <v>14:52:04.955</v>
      </c>
      <c r="U5786" t="str">
        <f t="shared" si="2691"/>
        <v>A9808D</v>
      </c>
      <c r="V5786">
        <v>0</v>
      </c>
      <c r="W5786">
        <v>0</v>
      </c>
      <c r="X5786">
        <v>1</v>
      </c>
      <c r="Z5786">
        <v>0</v>
      </c>
      <c r="AA5786">
        <v>9</v>
      </c>
      <c r="AB5786">
        <v>3</v>
      </c>
      <c r="AC5786">
        <v>0</v>
      </c>
      <c r="AD5786">
        <v>10</v>
      </c>
      <c r="AE5786">
        <v>0</v>
      </c>
      <c r="AF5786">
        <v>3</v>
      </c>
      <c r="AG5786">
        <v>2</v>
      </c>
      <c r="AH5786">
        <v>0</v>
      </c>
      <c r="AI5786" t="s">
        <v>1283</v>
      </c>
      <c r="AJ5786">
        <v>28.20317</v>
      </c>
      <c r="AK5786" t="s">
        <v>1284</v>
      </c>
      <c r="AL5786">
        <v>-82.377697999999995</v>
      </c>
      <c r="AM5786">
        <v>100</v>
      </c>
      <c r="AN5786">
        <v>600</v>
      </c>
      <c r="AO5786" t="s">
        <v>118</v>
      </c>
      <c r="AP5786">
        <v>99</v>
      </c>
      <c r="AQ5786">
        <v>10</v>
      </c>
      <c r="AR5786">
        <v>-832</v>
      </c>
      <c r="AZ5786">
        <v>1200</v>
      </c>
      <c r="BA5786">
        <v>1</v>
      </c>
      <c r="BB5786" t="str">
        <f t="shared" si="2701"/>
        <v xml:space="preserve">N711JA  </v>
      </c>
      <c r="BC5786">
        <v>1</v>
      </c>
      <c r="BE5786">
        <v>0</v>
      </c>
      <c r="BF5786">
        <v>0</v>
      </c>
      <c r="BG5786">
        <v>0</v>
      </c>
      <c r="BH5786">
        <v>675</v>
      </c>
      <c r="BI5786">
        <v>1</v>
      </c>
      <c r="BJ5786">
        <v>1</v>
      </c>
      <c r="BK5786">
        <v>0</v>
      </c>
      <c r="BL5786">
        <v>0</v>
      </c>
      <c r="BO5786">
        <v>0</v>
      </c>
      <c r="BP5786">
        <v>0</v>
      </c>
      <c r="BW5786" t="str">
        <f t="shared" si="2705"/>
        <v>14:52:05.060</v>
      </c>
      <c r="CJ5786">
        <v>0</v>
      </c>
      <c r="CK5786">
        <v>2</v>
      </c>
      <c r="CL5786">
        <v>0</v>
      </c>
      <c r="CM5786">
        <v>2</v>
      </c>
      <c r="CN5786">
        <v>0</v>
      </c>
      <c r="CO5786">
        <v>7</v>
      </c>
      <c r="CP5786" t="s">
        <v>119</v>
      </c>
      <c r="CQ5786">
        <v>343</v>
      </c>
      <c r="CR5786">
        <v>1</v>
      </c>
      <c r="CW5786">
        <v>11200832</v>
      </c>
      <c r="CY5786">
        <v>1</v>
      </c>
      <c r="CZ5786">
        <v>0</v>
      </c>
      <c r="DA5786">
        <v>1</v>
      </c>
      <c r="DB5786">
        <v>0</v>
      </c>
      <c r="DC5786">
        <v>0</v>
      </c>
      <c r="DD5786">
        <v>1</v>
      </c>
      <c r="DE5786">
        <v>0</v>
      </c>
      <c r="DF5786">
        <v>0</v>
      </c>
      <c r="DG5786">
        <v>0</v>
      </c>
      <c r="DH5786">
        <v>0</v>
      </c>
      <c r="DI5786">
        <v>0</v>
      </c>
    </row>
    <row r="5787" spans="1:113" x14ac:dyDescent="0.3">
      <c r="A5787" t="str">
        <f t="shared" si="2702"/>
        <v>05/12/2020 14:51:47.220</v>
      </c>
      <c r="C5787" t="str">
        <f t="shared" si="2700"/>
        <v>FFDFD3C0</v>
      </c>
      <c r="D5787" t="s">
        <v>113</v>
      </c>
      <c r="E5787">
        <v>3</v>
      </c>
      <c r="H5787">
        <v>164</v>
      </c>
      <c r="I5787" t="s">
        <v>114</v>
      </c>
      <c r="J5787" t="s">
        <v>115</v>
      </c>
      <c r="K5787">
        <v>0</v>
      </c>
      <c r="L5787">
        <v>3</v>
      </c>
      <c r="M5787">
        <v>0</v>
      </c>
      <c r="N5787">
        <v>2</v>
      </c>
      <c r="O5787">
        <v>1</v>
      </c>
      <c r="P5787">
        <v>0</v>
      </c>
      <c r="Q5787">
        <v>0</v>
      </c>
      <c r="S5787" t="str">
        <f t="shared" si="2703"/>
        <v>14:52:05.055</v>
      </c>
      <c r="T5787" t="str">
        <f t="shared" si="2704"/>
        <v>14:52:04.955</v>
      </c>
      <c r="U5787" t="str">
        <f t="shared" si="2691"/>
        <v>A9808D</v>
      </c>
      <c r="V5787">
        <v>0</v>
      </c>
      <c r="W5787">
        <v>0</v>
      </c>
      <c r="X5787">
        <v>1</v>
      </c>
      <c r="Z5787">
        <v>0</v>
      </c>
      <c r="AA5787">
        <v>9</v>
      </c>
      <c r="AB5787">
        <v>3</v>
      </c>
      <c r="AC5787">
        <v>0</v>
      </c>
      <c r="AD5787">
        <v>10</v>
      </c>
      <c r="AE5787">
        <v>0</v>
      </c>
      <c r="AF5787">
        <v>3</v>
      </c>
      <c r="AG5787">
        <v>2</v>
      </c>
      <c r="AH5787">
        <v>0</v>
      </c>
      <c r="AI5787" t="s">
        <v>1283</v>
      </c>
      <c r="AJ5787">
        <v>28.20317</v>
      </c>
      <c r="AK5787" t="s">
        <v>1284</v>
      </c>
      <c r="AL5787">
        <v>-82.377697999999995</v>
      </c>
      <c r="AM5787">
        <v>100</v>
      </c>
      <c r="AN5787">
        <v>600</v>
      </c>
      <c r="AO5787" t="s">
        <v>118</v>
      </c>
      <c r="AP5787">
        <v>99</v>
      </c>
      <c r="AQ5787">
        <v>10</v>
      </c>
      <c r="AR5787">
        <v>-832</v>
      </c>
      <c r="AZ5787">
        <v>1200</v>
      </c>
      <c r="BA5787">
        <v>1</v>
      </c>
      <c r="BB5787" t="str">
        <f t="shared" si="2701"/>
        <v xml:space="preserve">N711JA  </v>
      </c>
      <c r="BC5787">
        <v>1</v>
      </c>
      <c r="BE5787">
        <v>0</v>
      </c>
      <c r="BF5787">
        <v>0</v>
      </c>
      <c r="BG5787">
        <v>0</v>
      </c>
      <c r="BH5787">
        <v>675</v>
      </c>
      <c r="BI5787">
        <v>1</v>
      </c>
      <c r="BJ5787">
        <v>1</v>
      </c>
      <c r="BK5787">
        <v>0</v>
      </c>
      <c r="BL5787">
        <v>0</v>
      </c>
      <c r="BO5787">
        <v>0</v>
      </c>
      <c r="BP5787">
        <v>0</v>
      </c>
      <c r="BW5787" t="str">
        <f t="shared" si="2705"/>
        <v>14:52:05.060</v>
      </c>
      <c r="CJ5787">
        <v>0</v>
      </c>
      <c r="CK5787">
        <v>2</v>
      </c>
      <c r="CL5787">
        <v>0</v>
      </c>
      <c r="CM5787">
        <v>2</v>
      </c>
      <c r="CN5787">
        <v>0</v>
      </c>
      <c r="CO5787">
        <v>7</v>
      </c>
      <c r="CP5787" t="s">
        <v>119</v>
      </c>
      <c r="CQ5787">
        <v>343</v>
      </c>
      <c r="CR5787">
        <v>1</v>
      </c>
      <c r="CW5787">
        <v>11200832</v>
      </c>
      <c r="CY5787">
        <v>1</v>
      </c>
      <c r="CZ5787">
        <v>0</v>
      </c>
      <c r="DA5787">
        <v>1</v>
      </c>
      <c r="DB5787">
        <v>0</v>
      </c>
      <c r="DC5787">
        <v>0</v>
      </c>
      <c r="DD5787">
        <v>1</v>
      </c>
      <c r="DE5787">
        <v>0</v>
      </c>
      <c r="DF5787">
        <v>0</v>
      </c>
      <c r="DG5787">
        <v>0</v>
      </c>
      <c r="DH5787">
        <v>0</v>
      </c>
      <c r="DI5787">
        <v>0</v>
      </c>
    </row>
    <row r="5788" spans="1:113" x14ac:dyDescent="0.3">
      <c r="A5788" t="str">
        <f t="shared" si="2702"/>
        <v>05/12/2020 14:51:47.220</v>
      </c>
      <c r="C5788" t="str">
        <f t="shared" si="2700"/>
        <v>FFDFD3C0</v>
      </c>
      <c r="D5788" t="s">
        <v>138</v>
      </c>
      <c r="E5788">
        <v>2</v>
      </c>
      <c r="H5788">
        <v>8</v>
      </c>
      <c r="I5788" t="s">
        <v>139</v>
      </c>
      <c r="J5788" t="s">
        <v>136</v>
      </c>
      <c r="K5788">
        <v>0</v>
      </c>
      <c r="L5788">
        <v>3</v>
      </c>
      <c r="M5788">
        <v>0</v>
      </c>
      <c r="N5788">
        <v>2</v>
      </c>
      <c r="O5788">
        <v>1</v>
      </c>
      <c r="P5788">
        <v>0</v>
      </c>
      <c r="Q5788">
        <v>0</v>
      </c>
      <c r="S5788" t="str">
        <f t="shared" si="2703"/>
        <v>14:52:05.055</v>
      </c>
      <c r="T5788" t="str">
        <f t="shared" si="2704"/>
        <v>14:52:04.955</v>
      </c>
      <c r="U5788" t="str">
        <f t="shared" si="2691"/>
        <v>A9808D</v>
      </c>
      <c r="V5788">
        <v>0</v>
      </c>
      <c r="W5788">
        <v>0</v>
      </c>
      <c r="X5788">
        <v>1</v>
      </c>
      <c r="Z5788">
        <v>0</v>
      </c>
      <c r="AA5788">
        <v>9</v>
      </c>
      <c r="AB5788">
        <v>3</v>
      </c>
      <c r="AC5788">
        <v>0</v>
      </c>
      <c r="AD5788">
        <v>10</v>
      </c>
      <c r="AE5788">
        <v>0</v>
      </c>
      <c r="AF5788">
        <v>3</v>
      </c>
      <c r="AG5788">
        <v>2</v>
      </c>
      <c r="AH5788">
        <v>0</v>
      </c>
      <c r="AI5788" t="s">
        <v>1283</v>
      </c>
      <c r="AJ5788">
        <v>28.20317</v>
      </c>
      <c r="AK5788" t="s">
        <v>1284</v>
      </c>
      <c r="AL5788">
        <v>-82.377697999999995</v>
      </c>
      <c r="AM5788">
        <v>100</v>
      </c>
      <c r="AN5788">
        <v>600</v>
      </c>
      <c r="AO5788" t="s">
        <v>118</v>
      </c>
      <c r="AP5788">
        <v>99</v>
      </c>
      <c r="AQ5788">
        <v>10</v>
      </c>
      <c r="AR5788">
        <v>-832</v>
      </c>
      <c r="AZ5788">
        <v>1200</v>
      </c>
      <c r="BA5788">
        <v>1</v>
      </c>
      <c r="BB5788" t="str">
        <f t="shared" si="2701"/>
        <v xml:space="preserve">N711JA  </v>
      </c>
      <c r="BC5788">
        <v>1</v>
      </c>
      <c r="BE5788">
        <v>0</v>
      </c>
      <c r="BF5788">
        <v>0</v>
      </c>
      <c r="BG5788">
        <v>0</v>
      </c>
      <c r="BH5788">
        <v>675</v>
      </c>
      <c r="BI5788">
        <v>1</v>
      </c>
      <c r="BJ5788">
        <v>1</v>
      </c>
      <c r="BK5788">
        <v>0</v>
      </c>
      <c r="BL5788">
        <v>0</v>
      </c>
      <c r="BO5788">
        <v>0</v>
      </c>
      <c r="BP5788">
        <v>0</v>
      </c>
      <c r="BW5788" t="str">
        <f t="shared" si="2705"/>
        <v>14:52:05.060</v>
      </c>
      <c r="CJ5788">
        <v>0</v>
      </c>
      <c r="CK5788">
        <v>2</v>
      </c>
      <c r="CL5788">
        <v>0</v>
      </c>
      <c r="CM5788">
        <v>2</v>
      </c>
      <c r="CN5788">
        <v>0</v>
      </c>
      <c r="CO5788">
        <v>7</v>
      </c>
      <c r="CP5788" t="s">
        <v>119</v>
      </c>
      <c r="CQ5788">
        <v>343</v>
      </c>
      <c r="CR5788">
        <v>1</v>
      </c>
      <c r="CW5788">
        <v>11200832</v>
      </c>
      <c r="CY5788">
        <v>1</v>
      </c>
      <c r="CZ5788">
        <v>0</v>
      </c>
      <c r="DA5788">
        <v>1</v>
      </c>
      <c r="DB5788">
        <v>0</v>
      </c>
      <c r="DC5788">
        <v>0</v>
      </c>
      <c r="DD5788">
        <v>1</v>
      </c>
      <c r="DE5788">
        <v>0</v>
      </c>
      <c r="DF5788">
        <v>0</v>
      </c>
      <c r="DG5788">
        <v>0</v>
      </c>
      <c r="DH5788">
        <v>0</v>
      </c>
      <c r="DI5788">
        <v>0</v>
      </c>
    </row>
    <row r="5789" spans="1:113" x14ac:dyDescent="0.3">
      <c r="A5789" t="str">
        <f t="shared" si="2702"/>
        <v>05/12/2020 14:51:47.220</v>
      </c>
      <c r="C5789" t="str">
        <f t="shared" si="2700"/>
        <v>FFDFD3C0</v>
      </c>
      <c r="D5789" t="s">
        <v>131</v>
      </c>
      <c r="E5789">
        <v>10</v>
      </c>
      <c r="F5789">
        <v>2010</v>
      </c>
      <c r="G5789" t="s">
        <v>132</v>
      </c>
      <c r="J5789" t="s">
        <v>133</v>
      </c>
      <c r="K5789">
        <v>0</v>
      </c>
      <c r="L5789">
        <v>3</v>
      </c>
      <c r="M5789">
        <v>0</v>
      </c>
      <c r="N5789">
        <v>2</v>
      </c>
      <c r="O5789">
        <v>1</v>
      </c>
      <c r="P5789">
        <v>0</v>
      </c>
      <c r="Q5789">
        <v>0</v>
      </c>
      <c r="S5789" t="str">
        <f t="shared" si="2703"/>
        <v>14:52:05.055</v>
      </c>
      <c r="T5789" t="str">
        <f t="shared" si="2704"/>
        <v>14:52:04.955</v>
      </c>
      <c r="U5789" t="str">
        <f t="shared" si="2691"/>
        <v>A9808D</v>
      </c>
      <c r="V5789">
        <v>0</v>
      </c>
      <c r="W5789">
        <v>0</v>
      </c>
      <c r="X5789">
        <v>1</v>
      </c>
      <c r="Z5789">
        <v>0</v>
      </c>
      <c r="AA5789">
        <v>9</v>
      </c>
      <c r="AB5789">
        <v>3</v>
      </c>
      <c r="AC5789">
        <v>0</v>
      </c>
      <c r="AD5789">
        <v>10</v>
      </c>
      <c r="AE5789">
        <v>0</v>
      </c>
      <c r="AF5789">
        <v>3</v>
      </c>
      <c r="AG5789">
        <v>2</v>
      </c>
      <c r="AH5789">
        <v>0</v>
      </c>
      <c r="AI5789" t="s">
        <v>1283</v>
      </c>
      <c r="AJ5789">
        <v>28.20317</v>
      </c>
      <c r="AK5789" t="s">
        <v>1284</v>
      </c>
      <c r="AL5789">
        <v>-82.377697999999995</v>
      </c>
      <c r="AM5789">
        <v>100</v>
      </c>
      <c r="AN5789">
        <v>600</v>
      </c>
      <c r="AO5789" t="s">
        <v>118</v>
      </c>
      <c r="AP5789">
        <v>99</v>
      </c>
      <c r="AQ5789">
        <v>10</v>
      </c>
      <c r="AR5789">
        <v>-832</v>
      </c>
      <c r="AZ5789">
        <v>1200</v>
      </c>
      <c r="BA5789">
        <v>1</v>
      </c>
      <c r="BB5789" t="str">
        <f t="shared" si="2701"/>
        <v xml:space="preserve">N711JA  </v>
      </c>
      <c r="BC5789">
        <v>1</v>
      </c>
      <c r="BE5789">
        <v>0</v>
      </c>
      <c r="BF5789">
        <v>0</v>
      </c>
      <c r="BG5789">
        <v>0</v>
      </c>
      <c r="BH5789">
        <v>675</v>
      </c>
      <c r="BI5789">
        <v>1</v>
      </c>
      <c r="BJ5789">
        <v>1</v>
      </c>
      <c r="BK5789">
        <v>0</v>
      </c>
      <c r="BL5789">
        <v>0</v>
      </c>
      <c r="BO5789">
        <v>0</v>
      </c>
      <c r="BP5789">
        <v>0</v>
      </c>
      <c r="BW5789" t="str">
        <f t="shared" si="2705"/>
        <v>14:52:05.060</v>
      </c>
      <c r="CJ5789">
        <v>0</v>
      </c>
      <c r="CK5789">
        <v>2</v>
      </c>
      <c r="CL5789">
        <v>0</v>
      </c>
      <c r="CM5789">
        <v>2</v>
      </c>
      <c r="CN5789">
        <v>0</v>
      </c>
      <c r="CO5789">
        <v>7</v>
      </c>
      <c r="CP5789" t="s">
        <v>119</v>
      </c>
      <c r="CQ5789">
        <v>343</v>
      </c>
      <c r="CR5789">
        <v>1</v>
      </c>
      <c r="CW5789">
        <v>11200832</v>
      </c>
      <c r="CY5789">
        <v>1</v>
      </c>
      <c r="CZ5789">
        <v>0</v>
      </c>
      <c r="DA5789">
        <v>1</v>
      </c>
      <c r="DB5789">
        <v>0</v>
      </c>
      <c r="DC5789">
        <v>0</v>
      </c>
      <c r="DD5789">
        <v>1</v>
      </c>
      <c r="DE5789">
        <v>0</v>
      </c>
      <c r="DF5789">
        <v>0</v>
      </c>
      <c r="DG5789">
        <v>0</v>
      </c>
      <c r="DH5789">
        <v>0</v>
      </c>
      <c r="DI5789">
        <v>0</v>
      </c>
    </row>
    <row r="5790" spans="1:113" x14ac:dyDescent="0.3">
      <c r="A5790" t="str">
        <f t="shared" si="2702"/>
        <v>05/12/2020 14:51:47.220</v>
      </c>
      <c r="C5790" t="str">
        <f t="shared" si="2700"/>
        <v>FFDFD3C0</v>
      </c>
      <c r="D5790" t="s">
        <v>131</v>
      </c>
      <c r="E5790">
        <v>12</v>
      </c>
      <c r="F5790">
        <v>2012</v>
      </c>
      <c r="G5790" t="s">
        <v>137</v>
      </c>
      <c r="J5790" t="s">
        <v>133</v>
      </c>
      <c r="K5790">
        <v>0</v>
      </c>
      <c r="L5790">
        <v>3</v>
      </c>
      <c r="M5790">
        <v>0</v>
      </c>
      <c r="N5790">
        <v>2</v>
      </c>
      <c r="O5790">
        <v>1</v>
      </c>
      <c r="P5790">
        <v>0</v>
      </c>
      <c r="Q5790">
        <v>0</v>
      </c>
      <c r="S5790" t="str">
        <f t="shared" si="2703"/>
        <v>14:52:05.055</v>
      </c>
      <c r="T5790" t="str">
        <f t="shared" si="2704"/>
        <v>14:52:04.955</v>
      </c>
      <c r="U5790" t="str">
        <f t="shared" si="2691"/>
        <v>A9808D</v>
      </c>
      <c r="V5790">
        <v>0</v>
      </c>
      <c r="W5790">
        <v>0</v>
      </c>
      <c r="X5790">
        <v>1</v>
      </c>
      <c r="Z5790">
        <v>0</v>
      </c>
      <c r="AA5790">
        <v>9</v>
      </c>
      <c r="AB5790">
        <v>3</v>
      </c>
      <c r="AC5790">
        <v>0</v>
      </c>
      <c r="AD5790">
        <v>10</v>
      </c>
      <c r="AE5790">
        <v>0</v>
      </c>
      <c r="AF5790">
        <v>3</v>
      </c>
      <c r="AG5790">
        <v>2</v>
      </c>
      <c r="AH5790">
        <v>0</v>
      </c>
      <c r="AI5790" t="s">
        <v>1283</v>
      </c>
      <c r="AJ5790">
        <v>28.20317</v>
      </c>
      <c r="AK5790" t="s">
        <v>1284</v>
      </c>
      <c r="AL5790">
        <v>-82.377697999999995</v>
      </c>
      <c r="AM5790">
        <v>100</v>
      </c>
      <c r="AN5790">
        <v>600</v>
      </c>
      <c r="AO5790" t="s">
        <v>118</v>
      </c>
      <c r="AP5790">
        <v>99</v>
      </c>
      <c r="AQ5790">
        <v>10</v>
      </c>
      <c r="AR5790">
        <v>-832</v>
      </c>
      <c r="AZ5790">
        <v>1200</v>
      </c>
      <c r="BA5790">
        <v>1</v>
      </c>
      <c r="BB5790" t="str">
        <f t="shared" si="2701"/>
        <v xml:space="preserve">N711JA  </v>
      </c>
      <c r="BC5790">
        <v>1</v>
      </c>
      <c r="BE5790">
        <v>0</v>
      </c>
      <c r="BF5790">
        <v>0</v>
      </c>
      <c r="BG5790">
        <v>0</v>
      </c>
      <c r="BH5790">
        <v>675</v>
      </c>
      <c r="BI5790">
        <v>1</v>
      </c>
      <c r="BJ5790">
        <v>1</v>
      </c>
      <c r="BK5790">
        <v>0</v>
      </c>
      <c r="BL5790">
        <v>0</v>
      </c>
      <c r="BO5790">
        <v>0</v>
      </c>
      <c r="BP5790">
        <v>0</v>
      </c>
      <c r="BW5790" t="str">
        <f t="shared" si="2705"/>
        <v>14:52:05.060</v>
      </c>
      <c r="CJ5790">
        <v>0</v>
      </c>
      <c r="CK5790">
        <v>2</v>
      </c>
      <c r="CL5790">
        <v>0</v>
      </c>
      <c r="CM5790">
        <v>2</v>
      </c>
      <c r="CN5790">
        <v>0</v>
      </c>
      <c r="CO5790">
        <v>7</v>
      </c>
      <c r="CP5790" t="s">
        <v>119</v>
      </c>
      <c r="CQ5790">
        <v>343</v>
      </c>
      <c r="CR5790">
        <v>1</v>
      </c>
      <c r="CW5790">
        <v>11200832</v>
      </c>
      <c r="CY5790">
        <v>1</v>
      </c>
      <c r="CZ5790">
        <v>0</v>
      </c>
      <c r="DA5790">
        <v>1</v>
      </c>
      <c r="DB5790">
        <v>0</v>
      </c>
      <c r="DC5790">
        <v>0</v>
      </c>
      <c r="DD5790">
        <v>1</v>
      </c>
      <c r="DE5790">
        <v>0</v>
      </c>
      <c r="DF5790">
        <v>0</v>
      </c>
      <c r="DG5790">
        <v>0</v>
      </c>
      <c r="DH5790">
        <v>0</v>
      </c>
      <c r="DI5790">
        <v>0</v>
      </c>
    </row>
    <row r="5791" spans="1:113" x14ac:dyDescent="0.3">
      <c r="A5791" t="str">
        <f t="shared" si="2702"/>
        <v>05/12/2020 14:51:47.220</v>
      </c>
      <c r="C5791" t="str">
        <f t="shared" si="2700"/>
        <v>FFDFD3C0</v>
      </c>
      <c r="D5791" t="s">
        <v>126</v>
      </c>
      <c r="E5791">
        <v>7</v>
      </c>
      <c r="F5791">
        <v>1007</v>
      </c>
      <c r="G5791" t="s">
        <v>127</v>
      </c>
      <c r="J5791" t="s">
        <v>128</v>
      </c>
      <c r="K5791">
        <v>0</v>
      </c>
      <c r="L5791">
        <v>3</v>
      </c>
      <c r="M5791">
        <v>0</v>
      </c>
      <c r="N5791">
        <v>2</v>
      </c>
      <c r="O5791">
        <v>1</v>
      </c>
      <c r="P5791">
        <v>0</v>
      </c>
      <c r="Q5791">
        <v>0</v>
      </c>
      <c r="S5791" t="str">
        <f t="shared" si="2703"/>
        <v>14:52:05.055</v>
      </c>
      <c r="T5791" t="str">
        <f t="shared" si="2704"/>
        <v>14:52:04.955</v>
      </c>
      <c r="U5791" t="str">
        <f t="shared" si="2691"/>
        <v>A9808D</v>
      </c>
      <c r="V5791">
        <v>0</v>
      </c>
      <c r="W5791">
        <v>0</v>
      </c>
      <c r="X5791">
        <v>1</v>
      </c>
      <c r="Z5791">
        <v>0</v>
      </c>
      <c r="AA5791">
        <v>9</v>
      </c>
      <c r="AB5791">
        <v>3</v>
      </c>
      <c r="AC5791">
        <v>0</v>
      </c>
      <c r="AD5791">
        <v>10</v>
      </c>
      <c r="AE5791">
        <v>0</v>
      </c>
      <c r="AF5791">
        <v>3</v>
      </c>
      <c r="AG5791">
        <v>2</v>
      </c>
      <c r="AH5791">
        <v>0</v>
      </c>
      <c r="AI5791" t="s">
        <v>1283</v>
      </c>
      <c r="AJ5791">
        <v>28.20317</v>
      </c>
      <c r="AK5791" t="s">
        <v>1284</v>
      </c>
      <c r="AL5791">
        <v>-82.377697999999995</v>
      </c>
      <c r="AM5791">
        <v>100</v>
      </c>
      <c r="AN5791">
        <v>600</v>
      </c>
      <c r="AO5791" t="s">
        <v>118</v>
      </c>
      <c r="AP5791">
        <v>99</v>
      </c>
      <c r="AQ5791">
        <v>10</v>
      </c>
      <c r="AR5791">
        <v>-832</v>
      </c>
      <c r="AZ5791">
        <v>1200</v>
      </c>
      <c r="BA5791">
        <v>1</v>
      </c>
      <c r="BB5791" t="str">
        <f t="shared" si="2701"/>
        <v xml:space="preserve">N711JA  </v>
      </c>
      <c r="BC5791">
        <v>1</v>
      </c>
      <c r="BE5791">
        <v>0</v>
      </c>
      <c r="BF5791">
        <v>0</v>
      </c>
      <c r="BG5791">
        <v>0</v>
      </c>
      <c r="BH5791">
        <v>675</v>
      </c>
      <c r="BI5791">
        <v>1</v>
      </c>
      <c r="BJ5791">
        <v>1</v>
      </c>
      <c r="BK5791">
        <v>0</v>
      </c>
      <c r="BL5791">
        <v>0</v>
      </c>
      <c r="BO5791">
        <v>0</v>
      </c>
      <c r="BP5791">
        <v>0</v>
      </c>
      <c r="BW5791" t="str">
        <f t="shared" si="2705"/>
        <v>14:52:05.060</v>
      </c>
      <c r="CJ5791">
        <v>0</v>
      </c>
      <c r="CK5791">
        <v>2</v>
      </c>
      <c r="CL5791">
        <v>0</v>
      </c>
      <c r="CM5791">
        <v>2</v>
      </c>
      <c r="CN5791">
        <v>0</v>
      </c>
      <c r="CO5791">
        <v>7</v>
      </c>
      <c r="CP5791" t="s">
        <v>119</v>
      </c>
      <c r="CQ5791">
        <v>343</v>
      </c>
      <c r="CR5791">
        <v>1</v>
      </c>
      <c r="CW5791">
        <v>11200832</v>
      </c>
      <c r="CY5791">
        <v>1</v>
      </c>
      <c r="CZ5791">
        <v>0</v>
      </c>
      <c r="DA5791">
        <v>1</v>
      </c>
      <c r="DB5791">
        <v>0</v>
      </c>
      <c r="DC5791">
        <v>0</v>
      </c>
      <c r="DD5791">
        <v>1</v>
      </c>
      <c r="DE5791">
        <v>0</v>
      </c>
      <c r="DF5791">
        <v>0</v>
      </c>
      <c r="DG5791">
        <v>0</v>
      </c>
      <c r="DH5791">
        <v>0</v>
      </c>
      <c r="DI5791">
        <v>0</v>
      </c>
    </row>
    <row r="5792" spans="1:113" x14ac:dyDescent="0.3">
      <c r="A5792" t="str">
        <f t="shared" si="2702"/>
        <v>05/12/2020 14:51:47.220</v>
      </c>
      <c r="C5792" t="str">
        <f t="shared" si="2700"/>
        <v>FFDFD3C0</v>
      </c>
      <c r="D5792" t="s">
        <v>138</v>
      </c>
      <c r="E5792">
        <v>3</v>
      </c>
      <c r="H5792">
        <v>9</v>
      </c>
      <c r="I5792" t="s">
        <v>140</v>
      </c>
      <c r="J5792" t="s">
        <v>136</v>
      </c>
      <c r="K5792">
        <v>0</v>
      </c>
      <c r="L5792">
        <v>3</v>
      </c>
      <c r="M5792">
        <v>0</v>
      </c>
      <c r="N5792">
        <v>2</v>
      </c>
      <c r="O5792">
        <v>1</v>
      </c>
      <c r="P5792">
        <v>0</v>
      </c>
      <c r="Q5792">
        <v>0</v>
      </c>
      <c r="S5792" t="str">
        <f t="shared" si="2703"/>
        <v>14:52:05.055</v>
      </c>
      <c r="T5792" t="str">
        <f t="shared" si="2704"/>
        <v>14:52:04.955</v>
      </c>
      <c r="U5792" t="str">
        <f t="shared" si="2691"/>
        <v>A9808D</v>
      </c>
      <c r="V5792">
        <v>0</v>
      </c>
      <c r="W5792">
        <v>0</v>
      </c>
      <c r="X5792">
        <v>1</v>
      </c>
      <c r="Z5792">
        <v>0</v>
      </c>
      <c r="AA5792">
        <v>9</v>
      </c>
      <c r="AB5792">
        <v>3</v>
      </c>
      <c r="AC5792">
        <v>0</v>
      </c>
      <c r="AD5792">
        <v>10</v>
      </c>
      <c r="AE5792">
        <v>0</v>
      </c>
      <c r="AF5792">
        <v>3</v>
      </c>
      <c r="AG5792">
        <v>2</v>
      </c>
      <c r="AH5792">
        <v>0</v>
      </c>
      <c r="AI5792" t="s">
        <v>1283</v>
      </c>
      <c r="AJ5792">
        <v>28.20317</v>
      </c>
      <c r="AK5792" t="s">
        <v>1284</v>
      </c>
      <c r="AL5792">
        <v>-82.377697999999995</v>
      </c>
      <c r="AM5792">
        <v>100</v>
      </c>
      <c r="AN5792">
        <v>600</v>
      </c>
      <c r="AO5792" t="s">
        <v>118</v>
      </c>
      <c r="AP5792">
        <v>99</v>
      </c>
      <c r="AQ5792">
        <v>10</v>
      </c>
      <c r="AR5792">
        <v>-832</v>
      </c>
      <c r="AZ5792">
        <v>1200</v>
      </c>
      <c r="BA5792">
        <v>1</v>
      </c>
      <c r="BB5792" t="str">
        <f t="shared" si="2701"/>
        <v xml:space="preserve">N711JA  </v>
      </c>
      <c r="BC5792">
        <v>1</v>
      </c>
      <c r="BE5792">
        <v>0</v>
      </c>
      <c r="BF5792">
        <v>0</v>
      </c>
      <c r="BG5792">
        <v>0</v>
      </c>
      <c r="BH5792">
        <v>675</v>
      </c>
      <c r="BI5792">
        <v>1</v>
      </c>
      <c r="BJ5792">
        <v>1</v>
      </c>
      <c r="BK5792">
        <v>0</v>
      </c>
      <c r="BL5792">
        <v>0</v>
      </c>
      <c r="BO5792">
        <v>0</v>
      </c>
      <c r="BP5792">
        <v>0</v>
      </c>
      <c r="BW5792" t="str">
        <f t="shared" si="2705"/>
        <v>14:52:05.060</v>
      </c>
      <c r="CJ5792">
        <v>0</v>
      </c>
      <c r="CK5792">
        <v>2</v>
      </c>
      <c r="CL5792">
        <v>0</v>
      </c>
      <c r="CM5792">
        <v>2</v>
      </c>
      <c r="CN5792">
        <v>0</v>
      </c>
      <c r="CO5792">
        <v>7</v>
      </c>
      <c r="CP5792" t="s">
        <v>119</v>
      </c>
      <c r="CQ5792">
        <v>343</v>
      </c>
      <c r="CR5792">
        <v>1</v>
      </c>
      <c r="CW5792">
        <v>11200832</v>
      </c>
      <c r="CY5792">
        <v>1</v>
      </c>
      <c r="CZ5792">
        <v>0</v>
      </c>
      <c r="DA5792">
        <v>1</v>
      </c>
      <c r="DB5792">
        <v>0</v>
      </c>
      <c r="DC5792">
        <v>0</v>
      </c>
      <c r="DD5792">
        <v>1</v>
      </c>
      <c r="DE5792">
        <v>0</v>
      </c>
      <c r="DF5792">
        <v>0</v>
      </c>
      <c r="DG5792">
        <v>0</v>
      </c>
      <c r="DH5792">
        <v>0</v>
      </c>
      <c r="DI5792">
        <v>0</v>
      </c>
    </row>
    <row r="5793" spans="1:113" x14ac:dyDescent="0.3">
      <c r="A5793" t="str">
        <f t="shared" ref="A5793:A5800" si="2706">"05/12/2020 14:51:48.101"</f>
        <v>05/12/2020 14:51:48.101</v>
      </c>
      <c r="C5793" t="str">
        <f t="shared" si="2700"/>
        <v>FFDFD3C0</v>
      </c>
      <c r="D5793" t="s">
        <v>134</v>
      </c>
      <c r="E5793">
        <v>12</v>
      </c>
      <c r="H5793">
        <v>64</v>
      </c>
      <c r="I5793" t="s">
        <v>135</v>
      </c>
      <c r="J5793" t="s">
        <v>136</v>
      </c>
      <c r="K5793">
        <v>0</v>
      </c>
      <c r="L5793">
        <v>3</v>
      </c>
      <c r="M5793">
        <v>0</v>
      </c>
      <c r="N5793">
        <v>2</v>
      </c>
      <c r="O5793">
        <v>1</v>
      </c>
      <c r="P5793">
        <v>0</v>
      </c>
      <c r="Q5793">
        <v>0</v>
      </c>
      <c r="S5793" t="str">
        <f t="shared" ref="S5793:S5800" si="2707">"14:52:05.922"</f>
        <v>14:52:05.922</v>
      </c>
      <c r="T5793" t="str">
        <f t="shared" ref="T5793:T5800" si="2708">"14:52:05.422"</f>
        <v>14:52:05.422</v>
      </c>
      <c r="U5793" t="str">
        <f t="shared" si="2691"/>
        <v>A9808D</v>
      </c>
      <c r="V5793">
        <v>0</v>
      </c>
      <c r="W5793">
        <v>0</v>
      </c>
      <c r="X5793">
        <v>1</v>
      </c>
      <c r="Z5793">
        <v>0</v>
      </c>
      <c r="AA5793">
        <v>9</v>
      </c>
      <c r="AB5793">
        <v>3</v>
      </c>
      <c r="AC5793">
        <v>0</v>
      </c>
      <c r="AD5793">
        <v>10</v>
      </c>
      <c r="AE5793">
        <v>0</v>
      </c>
      <c r="AF5793">
        <v>3</v>
      </c>
      <c r="AG5793">
        <v>2</v>
      </c>
      <c r="AH5793">
        <v>0</v>
      </c>
      <c r="AI5793" t="s">
        <v>1285</v>
      </c>
      <c r="AJ5793">
        <v>28.203213000000002</v>
      </c>
      <c r="AK5793" t="s">
        <v>1286</v>
      </c>
      <c r="AL5793">
        <v>-82.377268999999998</v>
      </c>
      <c r="AM5793">
        <v>100</v>
      </c>
      <c r="AN5793">
        <v>600</v>
      </c>
      <c r="AO5793" t="s">
        <v>118</v>
      </c>
      <c r="AP5793">
        <v>98</v>
      </c>
      <c r="AQ5793">
        <v>11</v>
      </c>
      <c r="AR5793">
        <v>-960</v>
      </c>
      <c r="AZ5793">
        <v>1200</v>
      </c>
      <c r="BA5793">
        <v>1</v>
      </c>
      <c r="BB5793" t="str">
        <f t="shared" si="2701"/>
        <v xml:space="preserve">N711JA  </v>
      </c>
      <c r="BC5793">
        <v>1</v>
      </c>
      <c r="BE5793">
        <v>0</v>
      </c>
      <c r="BF5793">
        <v>0</v>
      </c>
      <c r="BG5793">
        <v>0</v>
      </c>
      <c r="BH5793">
        <v>675</v>
      </c>
      <c r="BI5793">
        <v>1</v>
      </c>
      <c r="BJ5793">
        <v>1</v>
      </c>
      <c r="BK5793">
        <v>0</v>
      </c>
      <c r="BL5793">
        <v>0</v>
      </c>
      <c r="BO5793">
        <v>0</v>
      </c>
      <c r="BP5793">
        <v>0</v>
      </c>
      <c r="BW5793" t="str">
        <f t="shared" ref="BW5793:BW5800" si="2709">"14:52:05.922"</f>
        <v>14:52:05.922</v>
      </c>
      <c r="CJ5793">
        <v>0</v>
      </c>
      <c r="CK5793">
        <v>2</v>
      </c>
      <c r="CL5793">
        <v>0</v>
      </c>
      <c r="CM5793">
        <v>2</v>
      </c>
      <c r="CN5793">
        <v>0</v>
      </c>
      <c r="CO5793">
        <v>7</v>
      </c>
      <c r="CP5793" t="s">
        <v>119</v>
      </c>
      <c r="CQ5793">
        <v>343</v>
      </c>
      <c r="CR5793">
        <v>2</v>
      </c>
      <c r="CW5793">
        <v>13442385</v>
      </c>
      <c r="CY5793">
        <v>1</v>
      </c>
      <c r="CZ5793">
        <v>0</v>
      </c>
      <c r="DA5793">
        <v>0</v>
      </c>
      <c r="DB5793">
        <v>0</v>
      </c>
      <c r="DC5793">
        <v>0</v>
      </c>
      <c r="DD5793">
        <v>1</v>
      </c>
      <c r="DE5793">
        <v>0</v>
      </c>
      <c r="DF5793">
        <v>0</v>
      </c>
      <c r="DG5793">
        <v>0</v>
      </c>
      <c r="DH5793">
        <v>0</v>
      </c>
      <c r="DI5793">
        <v>0</v>
      </c>
    </row>
    <row r="5794" spans="1:113" x14ac:dyDescent="0.3">
      <c r="A5794" t="str">
        <f t="shared" si="2706"/>
        <v>05/12/2020 14:51:48.101</v>
      </c>
      <c r="C5794" t="str">
        <f t="shared" si="2700"/>
        <v>FFDFD3C0</v>
      </c>
      <c r="D5794" t="s">
        <v>131</v>
      </c>
      <c r="E5794">
        <v>12</v>
      </c>
      <c r="F5794">
        <v>2012</v>
      </c>
      <c r="G5794" t="s">
        <v>137</v>
      </c>
      <c r="J5794" t="s">
        <v>133</v>
      </c>
      <c r="K5794">
        <v>0</v>
      </c>
      <c r="L5794">
        <v>3</v>
      </c>
      <c r="M5794">
        <v>0</v>
      </c>
      <c r="N5794">
        <v>2</v>
      </c>
      <c r="O5794">
        <v>1</v>
      </c>
      <c r="P5794">
        <v>0</v>
      </c>
      <c r="Q5794">
        <v>0</v>
      </c>
      <c r="S5794" t="str">
        <f t="shared" si="2707"/>
        <v>14:52:05.922</v>
      </c>
      <c r="T5794" t="str">
        <f t="shared" si="2708"/>
        <v>14:52:05.422</v>
      </c>
      <c r="U5794" t="str">
        <f t="shared" si="2691"/>
        <v>A9808D</v>
      </c>
      <c r="V5794">
        <v>0</v>
      </c>
      <c r="W5794">
        <v>0</v>
      </c>
      <c r="X5794">
        <v>1</v>
      </c>
      <c r="Z5794">
        <v>0</v>
      </c>
      <c r="AA5794">
        <v>9</v>
      </c>
      <c r="AB5794">
        <v>3</v>
      </c>
      <c r="AC5794">
        <v>0</v>
      </c>
      <c r="AD5794">
        <v>10</v>
      </c>
      <c r="AE5794">
        <v>0</v>
      </c>
      <c r="AF5794">
        <v>3</v>
      </c>
      <c r="AG5794">
        <v>2</v>
      </c>
      <c r="AH5794">
        <v>0</v>
      </c>
      <c r="AI5794" t="s">
        <v>1285</v>
      </c>
      <c r="AJ5794">
        <v>28.203213000000002</v>
      </c>
      <c r="AK5794" t="s">
        <v>1286</v>
      </c>
      <c r="AL5794">
        <v>-82.377268999999998</v>
      </c>
      <c r="AM5794">
        <v>100</v>
      </c>
      <c r="AN5794">
        <v>600</v>
      </c>
      <c r="AO5794" t="s">
        <v>118</v>
      </c>
      <c r="AP5794">
        <v>98</v>
      </c>
      <c r="AQ5794">
        <v>11</v>
      </c>
      <c r="AR5794">
        <v>-960</v>
      </c>
      <c r="AZ5794">
        <v>1200</v>
      </c>
      <c r="BA5794">
        <v>1</v>
      </c>
      <c r="BB5794" t="str">
        <f t="shared" si="2701"/>
        <v xml:space="preserve">N711JA  </v>
      </c>
      <c r="BC5794">
        <v>1</v>
      </c>
      <c r="BE5794">
        <v>0</v>
      </c>
      <c r="BF5794">
        <v>0</v>
      </c>
      <c r="BG5794">
        <v>0</v>
      </c>
      <c r="BH5794">
        <v>675</v>
      </c>
      <c r="BI5794">
        <v>1</v>
      </c>
      <c r="BJ5794">
        <v>1</v>
      </c>
      <c r="BK5794">
        <v>0</v>
      </c>
      <c r="BL5794">
        <v>0</v>
      </c>
      <c r="BO5794">
        <v>0</v>
      </c>
      <c r="BP5794">
        <v>0</v>
      </c>
      <c r="BW5794" t="str">
        <f t="shared" si="2709"/>
        <v>14:52:05.922</v>
      </c>
      <c r="CJ5794">
        <v>0</v>
      </c>
      <c r="CK5794">
        <v>2</v>
      </c>
      <c r="CL5794">
        <v>0</v>
      </c>
      <c r="CM5794">
        <v>2</v>
      </c>
      <c r="CN5794">
        <v>0</v>
      </c>
      <c r="CO5794">
        <v>7</v>
      </c>
      <c r="CP5794" t="s">
        <v>119</v>
      </c>
      <c r="CQ5794">
        <v>343</v>
      </c>
      <c r="CR5794">
        <v>2</v>
      </c>
      <c r="CW5794">
        <v>13442385</v>
      </c>
      <c r="CY5794">
        <v>1</v>
      </c>
      <c r="CZ5794">
        <v>0</v>
      </c>
      <c r="DA5794">
        <v>1</v>
      </c>
      <c r="DB5794">
        <v>0</v>
      </c>
      <c r="DC5794">
        <v>0</v>
      </c>
      <c r="DD5794">
        <v>1</v>
      </c>
      <c r="DE5794">
        <v>0</v>
      </c>
      <c r="DF5794">
        <v>0</v>
      </c>
      <c r="DG5794">
        <v>0</v>
      </c>
      <c r="DH5794">
        <v>0</v>
      </c>
      <c r="DI5794">
        <v>0</v>
      </c>
    </row>
    <row r="5795" spans="1:113" x14ac:dyDescent="0.3">
      <c r="A5795" t="str">
        <f t="shared" si="2706"/>
        <v>05/12/2020 14:51:48.101</v>
      </c>
      <c r="C5795" t="str">
        <f t="shared" si="2700"/>
        <v>FFDFD3C0</v>
      </c>
      <c r="D5795" t="s">
        <v>131</v>
      </c>
      <c r="E5795">
        <v>10</v>
      </c>
      <c r="F5795">
        <v>2010</v>
      </c>
      <c r="G5795" t="s">
        <v>132</v>
      </c>
      <c r="J5795" t="s">
        <v>133</v>
      </c>
      <c r="K5795">
        <v>0</v>
      </c>
      <c r="L5795">
        <v>3</v>
      </c>
      <c r="M5795">
        <v>0</v>
      </c>
      <c r="N5795">
        <v>2</v>
      </c>
      <c r="O5795">
        <v>1</v>
      </c>
      <c r="P5795">
        <v>0</v>
      </c>
      <c r="Q5795">
        <v>0</v>
      </c>
      <c r="S5795" t="str">
        <f t="shared" si="2707"/>
        <v>14:52:05.922</v>
      </c>
      <c r="T5795" t="str">
        <f t="shared" si="2708"/>
        <v>14:52:05.422</v>
      </c>
      <c r="U5795" t="str">
        <f t="shared" si="2691"/>
        <v>A9808D</v>
      </c>
      <c r="V5795">
        <v>0</v>
      </c>
      <c r="W5795">
        <v>0</v>
      </c>
      <c r="X5795">
        <v>1</v>
      </c>
      <c r="Z5795">
        <v>0</v>
      </c>
      <c r="AA5795">
        <v>9</v>
      </c>
      <c r="AB5795">
        <v>3</v>
      </c>
      <c r="AC5795">
        <v>0</v>
      </c>
      <c r="AD5795">
        <v>10</v>
      </c>
      <c r="AE5795">
        <v>0</v>
      </c>
      <c r="AF5795">
        <v>3</v>
      </c>
      <c r="AG5795">
        <v>2</v>
      </c>
      <c r="AH5795">
        <v>0</v>
      </c>
      <c r="AI5795" t="s">
        <v>1285</v>
      </c>
      <c r="AJ5795">
        <v>28.203213000000002</v>
      </c>
      <c r="AK5795" t="s">
        <v>1286</v>
      </c>
      <c r="AL5795">
        <v>-82.377268999999998</v>
      </c>
      <c r="AM5795">
        <v>100</v>
      </c>
      <c r="AN5795">
        <v>600</v>
      </c>
      <c r="AO5795" t="s">
        <v>118</v>
      </c>
      <c r="AP5795">
        <v>98</v>
      </c>
      <c r="AQ5795">
        <v>11</v>
      </c>
      <c r="AR5795">
        <v>-960</v>
      </c>
      <c r="AZ5795">
        <v>1200</v>
      </c>
      <c r="BA5795">
        <v>1</v>
      </c>
      <c r="BB5795" t="str">
        <f t="shared" si="2701"/>
        <v xml:space="preserve">N711JA  </v>
      </c>
      <c r="BC5795">
        <v>1</v>
      </c>
      <c r="BE5795">
        <v>0</v>
      </c>
      <c r="BF5795">
        <v>0</v>
      </c>
      <c r="BG5795">
        <v>0</v>
      </c>
      <c r="BH5795">
        <v>675</v>
      </c>
      <c r="BI5795">
        <v>1</v>
      </c>
      <c r="BJ5795">
        <v>1</v>
      </c>
      <c r="BK5795">
        <v>0</v>
      </c>
      <c r="BL5795">
        <v>0</v>
      </c>
      <c r="BO5795">
        <v>0</v>
      </c>
      <c r="BP5795">
        <v>0</v>
      </c>
      <c r="BW5795" t="str">
        <f t="shared" si="2709"/>
        <v>14:52:05.922</v>
      </c>
      <c r="CJ5795">
        <v>0</v>
      </c>
      <c r="CK5795">
        <v>2</v>
      </c>
      <c r="CL5795">
        <v>0</v>
      </c>
      <c r="CM5795">
        <v>2</v>
      </c>
      <c r="CN5795">
        <v>0</v>
      </c>
      <c r="CO5795">
        <v>7</v>
      </c>
      <c r="CP5795" t="s">
        <v>119</v>
      </c>
      <c r="CQ5795">
        <v>343</v>
      </c>
      <c r="CR5795">
        <v>2</v>
      </c>
      <c r="CW5795">
        <v>13442385</v>
      </c>
      <c r="CY5795">
        <v>1</v>
      </c>
      <c r="CZ5795">
        <v>0</v>
      </c>
      <c r="DA5795">
        <v>1</v>
      </c>
      <c r="DB5795">
        <v>0</v>
      </c>
      <c r="DC5795">
        <v>0</v>
      </c>
      <c r="DD5795">
        <v>1</v>
      </c>
      <c r="DE5795">
        <v>0</v>
      </c>
      <c r="DF5795">
        <v>0</v>
      </c>
      <c r="DG5795">
        <v>0</v>
      </c>
      <c r="DH5795">
        <v>0</v>
      </c>
      <c r="DI5795">
        <v>0</v>
      </c>
    </row>
    <row r="5796" spans="1:113" x14ac:dyDescent="0.3">
      <c r="A5796" t="str">
        <f t="shared" si="2706"/>
        <v>05/12/2020 14:51:48.101</v>
      </c>
      <c r="C5796" t="str">
        <f t="shared" si="2700"/>
        <v>FFDFD3C0</v>
      </c>
      <c r="D5796" t="s">
        <v>126</v>
      </c>
      <c r="E5796">
        <v>7</v>
      </c>
      <c r="F5796">
        <v>1007</v>
      </c>
      <c r="G5796" t="s">
        <v>127</v>
      </c>
      <c r="J5796" t="s">
        <v>128</v>
      </c>
      <c r="K5796">
        <v>0</v>
      </c>
      <c r="L5796">
        <v>3</v>
      </c>
      <c r="M5796">
        <v>0</v>
      </c>
      <c r="N5796">
        <v>2</v>
      </c>
      <c r="O5796">
        <v>1</v>
      </c>
      <c r="P5796">
        <v>0</v>
      </c>
      <c r="Q5796">
        <v>0</v>
      </c>
      <c r="S5796" t="str">
        <f t="shared" si="2707"/>
        <v>14:52:05.922</v>
      </c>
      <c r="T5796" t="str">
        <f t="shared" si="2708"/>
        <v>14:52:05.422</v>
      </c>
      <c r="U5796" t="str">
        <f t="shared" si="2691"/>
        <v>A9808D</v>
      </c>
      <c r="V5796">
        <v>0</v>
      </c>
      <c r="W5796">
        <v>0</v>
      </c>
      <c r="X5796">
        <v>1</v>
      </c>
      <c r="Z5796">
        <v>0</v>
      </c>
      <c r="AA5796">
        <v>9</v>
      </c>
      <c r="AB5796">
        <v>3</v>
      </c>
      <c r="AC5796">
        <v>0</v>
      </c>
      <c r="AD5796">
        <v>10</v>
      </c>
      <c r="AE5796">
        <v>0</v>
      </c>
      <c r="AF5796">
        <v>3</v>
      </c>
      <c r="AG5796">
        <v>2</v>
      </c>
      <c r="AH5796">
        <v>0</v>
      </c>
      <c r="AI5796" t="s">
        <v>1285</v>
      </c>
      <c r="AJ5796">
        <v>28.203213000000002</v>
      </c>
      <c r="AK5796" t="s">
        <v>1286</v>
      </c>
      <c r="AL5796">
        <v>-82.377268999999998</v>
      </c>
      <c r="AM5796">
        <v>100</v>
      </c>
      <c r="AN5796">
        <v>600</v>
      </c>
      <c r="AO5796" t="s">
        <v>118</v>
      </c>
      <c r="AP5796">
        <v>98</v>
      </c>
      <c r="AQ5796">
        <v>11</v>
      </c>
      <c r="AR5796">
        <v>-960</v>
      </c>
      <c r="AZ5796">
        <v>1200</v>
      </c>
      <c r="BA5796">
        <v>1</v>
      </c>
      <c r="BB5796" t="str">
        <f t="shared" si="2701"/>
        <v xml:space="preserve">N711JA  </v>
      </c>
      <c r="BC5796">
        <v>1</v>
      </c>
      <c r="BE5796">
        <v>0</v>
      </c>
      <c r="BF5796">
        <v>0</v>
      </c>
      <c r="BG5796">
        <v>0</v>
      </c>
      <c r="BH5796">
        <v>675</v>
      </c>
      <c r="BI5796">
        <v>1</v>
      </c>
      <c r="BJ5796">
        <v>1</v>
      </c>
      <c r="BK5796">
        <v>0</v>
      </c>
      <c r="BL5796">
        <v>0</v>
      </c>
      <c r="BO5796">
        <v>0</v>
      </c>
      <c r="BP5796">
        <v>0</v>
      </c>
      <c r="BW5796" t="str">
        <f t="shared" si="2709"/>
        <v>14:52:05.922</v>
      </c>
      <c r="CJ5796">
        <v>0</v>
      </c>
      <c r="CK5796">
        <v>2</v>
      </c>
      <c r="CL5796">
        <v>0</v>
      </c>
      <c r="CM5796">
        <v>2</v>
      </c>
      <c r="CN5796">
        <v>0</v>
      </c>
      <c r="CO5796">
        <v>7</v>
      </c>
      <c r="CP5796" t="s">
        <v>119</v>
      </c>
      <c r="CQ5796">
        <v>343</v>
      </c>
      <c r="CR5796">
        <v>2</v>
      </c>
      <c r="CW5796">
        <v>13442385</v>
      </c>
      <c r="CY5796">
        <v>1</v>
      </c>
      <c r="CZ5796">
        <v>0</v>
      </c>
      <c r="DA5796">
        <v>1</v>
      </c>
      <c r="DB5796">
        <v>0</v>
      </c>
      <c r="DC5796">
        <v>0</v>
      </c>
      <c r="DD5796">
        <v>1</v>
      </c>
      <c r="DE5796">
        <v>0</v>
      </c>
      <c r="DF5796">
        <v>0</v>
      </c>
      <c r="DG5796">
        <v>0</v>
      </c>
      <c r="DH5796">
        <v>0</v>
      </c>
      <c r="DI5796">
        <v>0</v>
      </c>
    </row>
    <row r="5797" spans="1:113" x14ac:dyDescent="0.3">
      <c r="A5797" t="str">
        <f t="shared" si="2706"/>
        <v>05/12/2020 14:51:48.101</v>
      </c>
      <c r="C5797" t="str">
        <f t="shared" si="2700"/>
        <v>FFDFD3C0</v>
      </c>
      <c r="D5797" t="s">
        <v>113</v>
      </c>
      <c r="E5797">
        <v>3</v>
      </c>
      <c r="H5797">
        <v>164</v>
      </c>
      <c r="I5797" t="s">
        <v>114</v>
      </c>
      <c r="J5797" t="s">
        <v>115</v>
      </c>
      <c r="K5797">
        <v>0</v>
      </c>
      <c r="L5797">
        <v>3</v>
      </c>
      <c r="M5797">
        <v>0</v>
      </c>
      <c r="N5797">
        <v>2</v>
      </c>
      <c r="O5797">
        <v>1</v>
      </c>
      <c r="P5797">
        <v>0</v>
      </c>
      <c r="Q5797">
        <v>0</v>
      </c>
      <c r="S5797" t="str">
        <f t="shared" si="2707"/>
        <v>14:52:05.922</v>
      </c>
      <c r="T5797" t="str">
        <f t="shared" si="2708"/>
        <v>14:52:05.422</v>
      </c>
      <c r="U5797" t="str">
        <f t="shared" si="2691"/>
        <v>A9808D</v>
      </c>
      <c r="V5797">
        <v>0</v>
      </c>
      <c r="W5797">
        <v>0</v>
      </c>
      <c r="X5797">
        <v>1</v>
      </c>
      <c r="Z5797">
        <v>0</v>
      </c>
      <c r="AA5797">
        <v>9</v>
      </c>
      <c r="AB5797">
        <v>3</v>
      </c>
      <c r="AC5797">
        <v>0</v>
      </c>
      <c r="AD5797">
        <v>10</v>
      </c>
      <c r="AE5797">
        <v>0</v>
      </c>
      <c r="AF5797">
        <v>3</v>
      </c>
      <c r="AG5797">
        <v>2</v>
      </c>
      <c r="AH5797">
        <v>0</v>
      </c>
      <c r="AI5797" t="s">
        <v>1285</v>
      </c>
      <c r="AJ5797">
        <v>28.203213000000002</v>
      </c>
      <c r="AK5797" t="s">
        <v>1286</v>
      </c>
      <c r="AL5797">
        <v>-82.377268999999998</v>
      </c>
      <c r="AM5797">
        <v>100</v>
      </c>
      <c r="AN5797">
        <v>600</v>
      </c>
      <c r="AO5797" t="s">
        <v>118</v>
      </c>
      <c r="AP5797">
        <v>98</v>
      </c>
      <c r="AQ5797">
        <v>11</v>
      </c>
      <c r="AR5797">
        <v>-960</v>
      </c>
      <c r="AZ5797">
        <v>1200</v>
      </c>
      <c r="BA5797">
        <v>1</v>
      </c>
      <c r="BB5797" t="str">
        <f t="shared" si="2701"/>
        <v xml:space="preserve">N711JA  </v>
      </c>
      <c r="BC5797">
        <v>1</v>
      </c>
      <c r="BE5797">
        <v>0</v>
      </c>
      <c r="BF5797">
        <v>0</v>
      </c>
      <c r="BG5797">
        <v>0</v>
      </c>
      <c r="BH5797">
        <v>675</v>
      </c>
      <c r="BI5797">
        <v>1</v>
      </c>
      <c r="BJ5797">
        <v>1</v>
      </c>
      <c r="BK5797">
        <v>0</v>
      </c>
      <c r="BL5797">
        <v>0</v>
      </c>
      <c r="BO5797">
        <v>0</v>
      </c>
      <c r="BP5797">
        <v>0</v>
      </c>
      <c r="BW5797" t="str">
        <f t="shared" si="2709"/>
        <v>14:52:05.922</v>
      </c>
      <c r="CJ5797">
        <v>0</v>
      </c>
      <c r="CK5797">
        <v>2</v>
      </c>
      <c r="CL5797">
        <v>0</v>
      </c>
      <c r="CM5797">
        <v>2</v>
      </c>
      <c r="CN5797">
        <v>0</v>
      </c>
      <c r="CO5797">
        <v>7</v>
      </c>
      <c r="CP5797" t="s">
        <v>119</v>
      </c>
      <c r="CQ5797">
        <v>343</v>
      </c>
      <c r="CR5797">
        <v>2</v>
      </c>
      <c r="CW5797">
        <v>13442385</v>
      </c>
      <c r="CY5797">
        <v>1</v>
      </c>
      <c r="CZ5797">
        <v>0</v>
      </c>
      <c r="DA5797">
        <v>1</v>
      </c>
      <c r="DB5797">
        <v>0</v>
      </c>
      <c r="DC5797">
        <v>0</v>
      </c>
      <c r="DD5797">
        <v>1</v>
      </c>
      <c r="DE5797">
        <v>0</v>
      </c>
      <c r="DF5797">
        <v>0</v>
      </c>
      <c r="DG5797">
        <v>0</v>
      </c>
      <c r="DH5797">
        <v>0</v>
      </c>
      <c r="DI5797">
        <v>0</v>
      </c>
    </row>
    <row r="5798" spans="1:113" x14ac:dyDescent="0.3">
      <c r="A5798" t="str">
        <f t="shared" si="2706"/>
        <v>05/12/2020 14:51:48.101</v>
      </c>
      <c r="C5798" t="str">
        <f t="shared" si="2700"/>
        <v>FFDFD3C0</v>
      </c>
      <c r="D5798" t="s">
        <v>138</v>
      </c>
      <c r="E5798">
        <v>2</v>
      </c>
      <c r="H5798">
        <v>8</v>
      </c>
      <c r="I5798" t="s">
        <v>139</v>
      </c>
      <c r="J5798" t="s">
        <v>136</v>
      </c>
      <c r="K5798">
        <v>0</v>
      </c>
      <c r="L5798">
        <v>3</v>
      </c>
      <c r="M5798">
        <v>0</v>
      </c>
      <c r="N5798">
        <v>2</v>
      </c>
      <c r="O5798">
        <v>1</v>
      </c>
      <c r="P5798">
        <v>0</v>
      </c>
      <c r="Q5798">
        <v>0</v>
      </c>
      <c r="S5798" t="str">
        <f t="shared" si="2707"/>
        <v>14:52:05.922</v>
      </c>
      <c r="T5798" t="str">
        <f t="shared" si="2708"/>
        <v>14:52:05.422</v>
      </c>
      <c r="U5798" t="str">
        <f t="shared" si="2691"/>
        <v>A9808D</v>
      </c>
      <c r="V5798">
        <v>0</v>
      </c>
      <c r="W5798">
        <v>0</v>
      </c>
      <c r="X5798">
        <v>1</v>
      </c>
      <c r="Z5798">
        <v>0</v>
      </c>
      <c r="AA5798">
        <v>9</v>
      </c>
      <c r="AB5798">
        <v>3</v>
      </c>
      <c r="AC5798">
        <v>0</v>
      </c>
      <c r="AD5798">
        <v>10</v>
      </c>
      <c r="AE5798">
        <v>0</v>
      </c>
      <c r="AF5798">
        <v>3</v>
      </c>
      <c r="AG5798">
        <v>2</v>
      </c>
      <c r="AH5798">
        <v>0</v>
      </c>
      <c r="AI5798" t="s">
        <v>1285</v>
      </c>
      <c r="AJ5798">
        <v>28.203213000000002</v>
      </c>
      <c r="AK5798" t="s">
        <v>1286</v>
      </c>
      <c r="AL5798">
        <v>-82.377268999999998</v>
      </c>
      <c r="AM5798">
        <v>100</v>
      </c>
      <c r="AN5798">
        <v>600</v>
      </c>
      <c r="AO5798" t="s">
        <v>118</v>
      </c>
      <c r="AP5798">
        <v>98</v>
      </c>
      <c r="AQ5798">
        <v>11</v>
      </c>
      <c r="AR5798">
        <v>-960</v>
      </c>
      <c r="AZ5798">
        <v>1200</v>
      </c>
      <c r="BA5798">
        <v>1</v>
      </c>
      <c r="BB5798" t="str">
        <f t="shared" si="2701"/>
        <v xml:space="preserve">N711JA  </v>
      </c>
      <c r="BC5798">
        <v>1</v>
      </c>
      <c r="BE5798">
        <v>0</v>
      </c>
      <c r="BF5798">
        <v>0</v>
      </c>
      <c r="BG5798">
        <v>0</v>
      </c>
      <c r="BH5798">
        <v>675</v>
      </c>
      <c r="BI5798">
        <v>1</v>
      </c>
      <c r="BJ5798">
        <v>1</v>
      </c>
      <c r="BK5798">
        <v>0</v>
      </c>
      <c r="BL5798">
        <v>0</v>
      </c>
      <c r="BO5798">
        <v>0</v>
      </c>
      <c r="BP5798">
        <v>0</v>
      </c>
      <c r="BW5798" t="str">
        <f t="shared" si="2709"/>
        <v>14:52:05.922</v>
      </c>
      <c r="CJ5798">
        <v>0</v>
      </c>
      <c r="CK5798">
        <v>2</v>
      </c>
      <c r="CL5798">
        <v>0</v>
      </c>
      <c r="CM5798">
        <v>2</v>
      </c>
      <c r="CN5798">
        <v>0</v>
      </c>
      <c r="CO5798">
        <v>7</v>
      </c>
      <c r="CP5798" t="s">
        <v>119</v>
      </c>
      <c r="CQ5798">
        <v>343</v>
      </c>
      <c r="CR5798">
        <v>2</v>
      </c>
      <c r="CW5798">
        <v>13442385</v>
      </c>
      <c r="CY5798">
        <v>1</v>
      </c>
      <c r="CZ5798">
        <v>0</v>
      </c>
      <c r="DA5798">
        <v>1</v>
      </c>
      <c r="DB5798">
        <v>0</v>
      </c>
      <c r="DC5798">
        <v>0</v>
      </c>
      <c r="DD5798">
        <v>1</v>
      </c>
      <c r="DE5798">
        <v>0</v>
      </c>
      <c r="DF5798">
        <v>0</v>
      </c>
      <c r="DG5798">
        <v>0</v>
      </c>
      <c r="DH5798">
        <v>0</v>
      </c>
      <c r="DI5798">
        <v>0</v>
      </c>
    </row>
    <row r="5799" spans="1:113" x14ac:dyDescent="0.3">
      <c r="A5799" t="str">
        <f t="shared" si="2706"/>
        <v>05/12/2020 14:51:48.101</v>
      </c>
      <c r="C5799" t="str">
        <f t="shared" si="2700"/>
        <v>FFDFD3C0</v>
      </c>
      <c r="D5799" t="s">
        <v>138</v>
      </c>
      <c r="E5799">
        <v>3</v>
      </c>
      <c r="H5799">
        <v>9</v>
      </c>
      <c r="I5799" t="s">
        <v>140</v>
      </c>
      <c r="J5799" t="s">
        <v>136</v>
      </c>
      <c r="K5799">
        <v>0</v>
      </c>
      <c r="L5799">
        <v>3</v>
      </c>
      <c r="M5799">
        <v>0</v>
      </c>
      <c r="N5799">
        <v>2</v>
      </c>
      <c r="O5799">
        <v>1</v>
      </c>
      <c r="P5799">
        <v>0</v>
      </c>
      <c r="Q5799">
        <v>0</v>
      </c>
      <c r="S5799" t="str">
        <f t="shared" si="2707"/>
        <v>14:52:05.922</v>
      </c>
      <c r="T5799" t="str">
        <f t="shared" si="2708"/>
        <v>14:52:05.422</v>
      </c>
      <c r="U5799" t="str">
        <f t="shared" si="2691"/>
        <v>A9808D</v>
      </c>
      <c r="V5799">
        <v>0</v>
      </c>
      <c r="W5799">
        <v>0</v>
      </c>
      <c r="X5799">
        <v>1</v>
      </c>
      <c r="Z5799">
        <v>0</v>
      </c>
      <c r="AA5799">
        <v>9</v>
      </c>
      <c r="AB5799">
        <v>3</v>
      </c>
      <c r="AC5799">
        <v>0</v>
      </c>
      <c r="AD5799">
        <v>10</v>
      </c>
      <c r="AE5799">
        <v>0</v>
      </c>
      <c r="AF5799">
        <v>3</v>
      </c>
      <c r="AG5799">
        <v>2</v>
      </c>
      <c r="AH5799">
        <v>0</v>
      </c>
      <c r="AI5799" t="s">
        <v>1285</v>
      </c>
      <c r="AJ5799">
        <v>28.203213000000002</v>
      </c>
      <c r="AK5799" t="s">
        <v>1286</v>
      </c>
      <c r="AL5799">
        <v>-82.377268999999998</v>
      </c>
      <c r="AM5799">
        <v>100</v>
      </c>
      <c r="AN5799">
        <v>600</v>
      </c>
      <c r="AO5799" t="s">
        <v>118</v>
      </c>
      <c r="AP5799">
        <v>98</v>
      </c>
      <c r="AQ5799">
        <v>11</v>
      </c>
      <c r="AR5799">
        <v>-960</v>
      </c>
      <c r="AZ5799">
        <v>1200</v>
      </c>
      <c r="BA5799">
        <v>1</v>
      </c>
      <c r="BB5799" t="str">
        <f t="shared" si="2701"/>
        <v xml:space="preserve">N711JA  </v>
      </c>
      <c r="BC5799">
        <v>1</v>
      </c>
      <c r="BE5799">
        <v>0</v>
      </c>
      <c r="BF5799">
        <v>0</v>
      </c>
      <c r="BG5799">
        <v>0</v>
      </c>
      <c r="BH5799">
        <v>675</v>
      </c>
      <c r="BI5799">
        <v>1</v>
      </c>
      <c r="BJ5799">
        <v>1</v>
      </c>
      <c r="BK5799">
        <v>0</v>
      </c>
      <c r="BL5799">
        <v>0</v>
      </c>
      <c r="BO5799">
        <v>0</v>
      </c>
      <c r="BP5799">
        <v>0</v>
      </c>
      <c r="BW5799" t="str">
        <f t="shared" si="2709"/>
        <v>14:52:05.922</v>
      </c>
      <c r="CJ5799">
        <v>0</v>
      </c>
      <c r="CK5799">
        <v>2</v>
      </c>
      <c r="CL5799">
        <v>0</v>
      </c>
      <c r="CM5799">
        <v>2</v>
      </c>
      <c r="CN5799">
        <v>0</v>
      </c>
      <c r="CO5799">
        <v>7</v>
      </c>
      <c r="CP5799" t="s">
        <v>119</v>
      </c>
      <c r="CQ5799">
        <v>343</v>
      </c>
      <c r="CR5799">
        <v>2</v>
      </c>
      <c r="CW5799">
        <v>13442385</v>
      </c>
      <c r="CY5799">
        <v>1</v>
      </c>
      <c r="CZ5799">
        <v>0</v>
      </c>
      <c r="DA5799">
        <v>1</v>
      </c>
      <c r="DB5799">
        <v>0</v>
      </c>
      <c r="DC5799">
        <v>0</v>
      </c>
      <c r="DD5799">
        <v>1</v>
      </c>
      <c r="DE5799">
        <v>0</v>
      </c>
      <c r="DF5799">
        <v>0</v>
      </c>
      <c r="DG5799">
        <v>0</v>
      </c>
      <c r="DH5799">
        <v>0</v>
      </c>
      <c r="DI5799">
        <v>0</v>
      </c>
    </row>
    <row r="5800" spans="1:113" x14ac:dyDescent="0.3">
      <c r="A5800" t="str">
        <f t="shared" si="2706"/>
        <v>05/12/2020 14:51:48.101</v>
      </c>
      <c r="C5800" t="str">
        <f t="shared" si="2700"/>
        <v>FFDFD3C0</v>
      </c>
      <c r="D5800" t="s">
        <v>126</v>
      </c>
      <c r="E5800">
        <v>6</v>
      </c>
      <c r="F5800">
        <v>1006</v>
      </c>
      <c r="G5800" t="s">
        <v>114</v>
      </c>
      <c r="J5800" t="s">
        <v>128</v>
      </c>
      <c r="K5800">
        <v>0</v>
      </c>
      <c r="L5800">
        <v>3</v>
      </c>
      <c r="M5800">
        <v>0</v>
      </c>
      <c r="N5800">
        <v>2</v>
      </c>
      <c r="O5800">
        <v>1</v>
      </c>
      <c r="P5800">
        <v>0</v>
      </c>
      <c r="Q5800">
        <v>0</v>
      </c>
      <c r="S5800" t="str">
        <f t="shared" si="2707"/>
        <v>14:52:05.922</v>
      </c>
      <c r="T5800" t="str">
        <f t="shared" si="2708"/>
        <v>14:52:05.422</v>
      </c>
      <c r="U5800" t="str">
        <f t="shared" si="2691"/>
        <v>A9808D</v>
      </c>
      <c r="V5800">
        <v>0</v>
      </c>
      <c r="W5800">
        <v>0</v>
      </c>
      <c r="X5800">
        <v>1</v>
      </c>
      <c r="Z5800">
        <v>0</v>
      </c>
      <c r="AA5800">
        <v>9</v>
      </c>
      <c r="AB5800">
        <v>3</v>
      </c>
      <c r="AC5800">
        <v>0</v>
      </c>
      <c r="AD5800">
        <v>10</v>
      </c>
      <c r="AE5800">
        <v>0</v>
      </c>
      <c r="AF5800">
        <v>3</v>
      </c>
      <c r="AG5800">
        <v>2</v>
      </c>
      <c r="AH5800">
        <v>0</v>
      </c>
      <c r="AI5800" t="s">
        <v>1285</v>
      </c>
      <c r="AJ5800">
        <v>28.203213000000002</v>
      </c>
      <c r="AK5800" t="s">
        <v>1286</v>
      </c>
      <c r="AL5800">
        <v>-82.377268999999998</v>
      </c>
      <c r="AM5800">
        <v>100</v>
      </c>
      <c r="AN5800">
        <v>600</v>
      </c>
      <c r="AO5800" t="s">
        <v>118</v>
      </c>
      <c r="AP5800">
        <v>98</v>
      </c>
      <c r="AQ5800">
        <v>11</v>
      </c>
      <c r="AR5800">
        <v>-960</v>
      </c>
      <c r="AZ5800">
        <v>1200</v>
      </c>
      <c r="BA5800">
        <v>1</v>
      </c>
      <c r="BB5800" t="str">
        <f t="shared" si="2701"/>
        <v xml:space="preserve">N711JA  </v>
      </c>
      <c r="BC5800">
        <v>1</v>
      </c>
      <c r="BE5800">
        <v>0</v>
      </c>
      <c r="BF5800">
        <v>0</v>
      </c>
      <c r="BG5800">
        <v>0</v>
      </c>
      <c r="BH5800">
        <v>675</v>
      </c>
      <c r="BI5800">
        <v>1</v>
      </c>
      <c r="BJ5800">
        <v>1</v>
      </c>
      <c r="BK5800">
        <v>0</v>
      </c>
      <c r="BL5800">
        <v>0</v>
      </c>
      <c r="BO5800">
        <v>0</v>
      </c>
      <c r="BP5800">
        <v>0</v>
      </c>
      <c r="BW5800" t="str">
        <f t="shared" si="2709"/>
        <v>14:52:05.922</v>
      </c>
      <c r="CJ5800">
        <v>0</v>
      </c>
      <c r="CK5800">
        <v>2</v>
      </c>
      <c r="CL5800">
        <v>0</v>
      </c>
      <c r="CM5800">
        <v>2</v>
      </c>
      <c r="CN5800">
        <v>0</v>
      </c>
      <c r="CO5800">
        <v>7</v>
      </c>
      <c r="CP5800" t="s">
        <v>119</v>
      </c>
      <c r="CQ5800">
        <v>343</v>
      </c>
      <c r="CR5800">
        <v>2</v>
      </c>
      <c r="CW5800">
        <v>13442385</v>
      </c>
      <c r="CY5800">
        <v>1</v>
      </c>
      <c r="CZ5800">
        <v>0</v>
      </c>
      <c r="DA5800">
        <v>1</v>
      </c>
      <c r="DB5800">
        <v>0</v>
      </c>
      <c r="DC5800">
        <v>0</v>
      </c>
      <c r="DD5800">
        <v>1</v>
      </c>
      <c r="DE5800">
        <v>0</v>
      </c>
      <c r="DF5800">
        <v>0</v>
      </c>
      <c r="DG5800">
        <v>0</v>
      </c>
      <c r="DH5800">
        <v>0</v>
      </c>
      <c r="DI5800">
        <v>0</v>
      </c>
    </row>
    <row r="5801" spans="1:113" x14ac:dyDescent="0.3">
      <c r="A5801" t="str">
        <f t="shared" ref="A5801:A5808" si="2710">"05/12/2020 14:51:49.159"</f>
        <v>05/12/2020 14:51:49.159</v>
      </c>
      <c r="C5801" t="str">
        <f t="shared" si="2700"/>
        <v>FFDFD3C0</v>
      </c>
      <c r="D5801" t="s">
        <v>126</v>
      </c>
      <c r="E5801">
        <v>7</v>
      </c>
      <c r="F5801">
        <v>1007</v>
      </c>
      <c r="G5801" t="s">
        <v>127</v>
      </c>
      <c r="J5801" t="s">
        <v>128</v>
      </c>
      <c r="K5801">
        <v>0</v>
      </c>
      <c r="L5801">
        <v>3</v>
      </c>
      <c r="M5801">
        <v>0</v>
      </c>
      <c r="N5801">
        <v>2</v>
      </c>
      <c r="O5801">
        <v>1</v>
      </c>
      <c r="P5801">
        <v>0</v>
      </c>
      <c r="Q5801">
        <v>0</v>
      </c>
      <c r="S5801" t="str">
        <f t="shared" ref="S5801:S5808" si="2711">"14:52:06.977"</f>
        <v>14:52:06.977</v>
      </c>
      <c r="T5801" t="str">
        <f t="shared" ref="T5801:T5808" si="2712">"14:52:06.877"</f>
        <v>14:52:06.877</v>
      </c>
      <c r="U5801" t="str">
        <f t="shared" si="2691"/>
        <v>A9808D</v>
      </c>
      <c r="V5801">
        <v>0</v>
      </c>
      <c r="W5801">
        <v>0</v>
      </c>
      <c r="X5801">
        <v>1</v>
      </c>
      <c r="Z5801">
        <v>0</v>
      </c>
      <c r="AA5801">
        <v>9</v>
      </c>
      <c r="AB5801">
        <v>3</v>
      </c>
      <c r="AC5801">
        <v>0</v>
      </c>
      <c r="AD5801">
        <v>10</v>
      </c>
      <c r="AE5801">
        <v>0</v>
      </c>
      <c r="AF5801">
        <v>3</v>
      </c>
      <c r="AG5801">
        <v>2</v>
      </c>
      <c r="AH5801">
        <v>0</v>
      </c>
      <c r="AI5801" t="s">
        <v>1287</v>
      </c>
      <c r="AJ5801">
        <v>28.203278000000001</v>
      </c>
      <c r="AK5801" t="s">
        <v>1288</v>
      </c>
      <c r="AL5801">
        <v>-82.376754000000005</v>
      </c>
      <c r="AM5801">
        <v>100</v>
      </c>
      <c r="AN5801">
        <v>600</v>
      </c>
      <c r="AO5801" t="s">
        <v>118</v>
      </c>
      <c r="AP5801">
        <v>96</v>
      </c>
      <c r="AQ5801">
        <v>16</v>
      </c>
      <c r="AR5801">
        <v>-896</v>
      </c>
      <c r="AZ5801">
        <v>1200</v>
      </c>
      <c r="BA5801">
        <v>1</v>
      </c>
      <c r="BB5801" t="str">
        <f t="shared" si="2701"/>
        <v xml:space="preserve">N711JA  </v>
      </c>
      <c r="BC5801">
        <v>1</v>
      </c>
      <c r="BE5801">
        <v>0</v>
      </c>
      <c r="BF5801">
        <v>0</v>
      </c>
      <c r="BG5801">
        <v>0</v>
      </c>
      <c r="BH5801">
        <v>650</v>
      </c>
      <c r="BI5801">
        <v>1</v>
      </c>
      <c r="BJ5801">
        <v>1</v>
      </c>
      <c r="BK5801">
        <v>0</v>
      </c>
      <c r="BL5801">
        <v>0</v>
      </c>
      <c r="BO5801">
        <v>0</v>
      </c>
      <c r="BP5801">
        <v>0</v>
      </c>
      <c r="BW5801" t="str">
        <f t="shared" ref="BW5801:BW5808" si="2713">"14:52:06.984"</f>
        <v>14:52:06.984</v>
      </c>
      <c r="CJ5801">
        <v>0</v>
      </c>
      <c r="CK5801">
        <v>2</v>
      </c>
      <c r="CL5801">
        <v>0</v>
      </c>
      <c r="CM5801">
        <v>2</v>
      </c>
      <c r="CN5801">
        <v>0</v>
      </c>
      <c r="CO5801">
        <v>7</v>
      </c>
      <c r="CP5801" t="s">
        <v>119</v>
      </c>
      <c r="CQ5801">
        <v>343</v>
      </c>
      <c r="CR5801">
        <v>2</v>
      </c>
      <c r="CW5801">
        <v>13443240</v>
      </c>
      <c r="CY5801">
        <v>1</v>
      </c>
      <c r="CZ5801">
        <v>0</v>
      </c>
      <c r="DA5801">
        <v>0</v>
      </c>
      <c r="DB5801">
        <v>0</v>
      </c>
      <c r="DC5801">
        <v>0</v>
      </c>
      <c r="DD5801">
        <v>1</v>
      </c>
      <c r="DE5801">
        <v>0</v>
      </c>
      <c r="DF5801">
        <v>0</v>
      </c>
      <c r="DG5801">
        <v>0</v>
      </c>
      <c r="DH5801">
        <v>0</v>
      </c>
      <c r="DI5801">
        <v>0</v>
      </c>
    </row>
    <row r="5802" spans="1:113" x14ac:dyDescent="0.3">
      <c r="A5802" t="str">
        <f t="shared" si="2710"/>
        <v>05/12/2020 14:51:49.159</v>
      </c>
      <c r="C5802" t="str">
        <f t="shared" si="2700"/>
        <v>FFDFD3C0</v>
      </c>
      <c r="D5802" t="s">
        <v>131</v>
      </c>
      <c r="E5802">
        <v>12</v>
      </c>
      <c r="F5802">
        <v>2012</v>
      </c>
      <c r="G5802" t="s">
        <v>137</v>
      </c>
      <c r="J5802" t="s">
        <v>133</v>
      </c>
      <c r="K5802">
        <v>0</v>
      </c>
      <c r="L5802">
        <v>3</v>
      </c>
      <c r="M5802">
        <v>0</v>
      </c>
      <c r="N5802">
        <v>2</v>
      </c>
      <c r="O5802">
        <v>1</v>
      </c>
      <c r="P5802">
        <v>0</v>
      </c>
      <c r="Q5802">
        <v>0</v>
      </c>
      <c r="S5802" t="str">
        <f t="shared" si="2711"/>
        <v>14:52:06.977</v>
      </c>
      <c r="T5802" t="str">
        <f t="shared" si="2712"/>
        <v>14:52:06.877</v>
      </c>
      <c r="U5802" t="str">
        <f t="shared" si="2691"/>
        <v>A9808D</v>
      </c>
      <c r="V5802">
        <v>0</v>
      </c>
      <c r="W5802">
        <v>0</v>
      </c>
      <c r="X5802">
        <v>1</v>
      </c>
      <c r="Z5802">
        <v>0</v>
      </c>
      <c r="AA5802">
        <v>9</v>
      </c>
      <c r="AB5802">
        <v>3</v>
      </c>
      <c r="AC5802">
        <v>0</v>
      </c>
      <c r="AD5802">
        <v>10</v>
      </c>
      <c r="AE5802">
        <v>0</v>
      </c>
      <c r="AF5802">
        <v>3</v>
      </c>
      <c r="AG5802">
        <v>2</v>
      </c>
      <c r="AH5802">
        <v>0</v>
      </c>
      <c r="AI5802" t="s">
        <v>1287</v>
      </c>
      <c r="AJ5802">
        <v>28.203278000000001</v>
      </c>
      <c r="AK5802" t="s">
        <v>1288</v>
      </c>
      <c r="AL5802">
        <v>-82.376754000000005</v>
      </c>
      <c r="AM5802">
        <v>100</v>
      </c>
      <c r="AN5802">
        <v>600</v>
      </c>
      <c r="AO5802" t="s">
        <v>118</v>
      </c>
      <c r="AP5802">
        <v>96</v>
      </c>
      <c r="AQ5802">
        <v>16</v>
      </c>
      <c r="AR5802">
        <v>-896</v>
      </c>
      <c r="AZ5802">
        <v>1200</v>
      </c>
      <c r="BA5802">
        <v>1</v>
      </c>
      <c r="BB5802" t="str">
        <f t="shared" si="2701"/>
        <v xml:space="preserve">N711JA  </v>
      </c>
      <c r="BC5802">
        <v>1</v>
      </c>
      <c r="BE5802">
        <v>0</v>
      </c>
      <c r="BF5802">
        <v>0</v>
      </c>
      <c r="BG5802">
        <v>0</v>
      </c>
      <c r="BH5802">
        <v>650</v>
      </c>
      <c r="BI5802">
        <v>1</v>
      </c>
      <c r="BJ5802">
        <v>1</v>
      </c>
      <c r="BK5802">
        <v>0</v>
      </c>
      <c r="BL5802">
        <v>0</v>
      </c>
      <c r="BO5802">
        <v>0</v>
      </c>
      <c r="BP5802">
        <v>0</v>
      </c>
      <c r="BW5802" t="str">
        <f t="shared" si="2713"/>
        <v>14:52:06.984</v>
      </c>
      <c r="CJ5802">
        <v>0</v>
      </c>
      <c r="CK5802">
        <v>2</v>
      </c>
      <c r="CL5802">
        <v>0</v>
      </c>
      <c r="CM5802">
        <v>2</v>
      </c>
      <c r="CN5802">
        <v>0</v>
      </c>
      <c r="CO5802">
        <v>7</v>
      </c>
      <c r="CP5802" t="s">
        <v>119</v>
      </c>
      <c r="CQ5802">
        <v>343</v>
      </c>
      <c r="CR5802">
        <v>2</v>
      </c>
      <c r="CW5802">
        <v>13443240</v>
      </c>
      <c r="CY5802">
        <v>1</v>
      </c>
      <c r="CZ5802">
        <v>0</v>
      </c>
      <c r="DA5802">
        <v>1</v>
      </c>
      <c r="DB5802">
        <v>0</v>
      </c>
      <c r="DC5802">
        <v>0</v>
      </c>
      <c r="DD5802">
        <v>1</v>
      </c>
      <c r="DE5802">
        <v>0</v>
      </c>
      <c r="DF5802">
        <v>0</v>
      </c>
      <c r="DG5802">
        <v>0</v>
      </c>
      <c r="DH5802">
        <v>0</v>
      </c>
      <c r="DI5802">
        <v>0</v>
      </c>
    </row>
    <row r="5803" spans="1:113" x14ac:dyDescent="0.3">
      <c r="A5803" t="str">
        <f t="shared" si="2710"/>
        <v>05/12/2020 14:51:49.159</v>
      </c>
      <c r="C5803" t="str">
        <f t="shared" si="2700"/>
        <v>FFDFD3C0</v>
      </c>
      <c r="D5803" t="s">
        <v>131</v>
      </c>
      <c r="E5803">
        <v>10</v>
      </c>
      <c r="F5803">
        <v>2010</v>
      </c>
      <c r="G5803" t="s">
        <v>132</v>
      </c>
      <c r="J5803" t="s">
        <v>133</v>
      </c>
      <c r="K5803">
        <v>0</v>
      </c>
      <c r="L5803">
        <v>3</v>
      </c>
      <c r="M5803">
        <v>0</v>
      </c>
      <c r="N5803">
        <v>2</v>
      </c>
      <c r="O5803">
        <v>1</v>
      </c>
      <c r="P5803">
        <v>0</v>
      </c>
      <c r="Q5803">
        <v>0</v>
      </c>
      <c r="S5803" t="str">
        <f t="shared" si="2711"/>
        <v>14:52:06.977</v>
      </c>
      <c r="T5803" t="str">
        <f t="shared" si="2712"/>
        <v>14:52:06.877</v>
      </c>
      <c r="U5803" t="str">
        <f t="shared" si="2691"/>
        <v>A9808D</v>
      </c>
      <c r="V5803">
        <v>0</v>
      </c>
      <c r="W5803">
        <v>0</v>
      </c>
      <c r="X5803">
        <v>1</v>
      </c>
      <c r="Z5803">
        <v>0</v>
      </c>
      <c r="AA5803">
        <v>9</v>
      </c>
      <c r="AB5803">
        <v>3</v>
      </c>
      <c r="AC5803">
        <v>0</v>
      </c>
      <c r="AD5803">
        <v>10</v>
      </c>
      <c r="AE5803">
        <v>0</v>
      </c>
      <c r="AF5803">
        <v>3</v>
      </c>
      <c r="AG5803">
        <v>2</v>
      </c>
      <c r="AH5803">
        <v>0</v>
      </c>
      <c r="AI5803" t="s">
        <v>1287</v>
      </c>
      <c r="AJ5803">
        <v>28.203278000000001</v>
      </c>
      <c r="AK5803" t="s">
        <v>1288</v>
      </c>
      <c r="AL5803">
        <v>-82.376754000000005</v>
      </c>
      <c r="AM5803">
        <v>100</v>
      </c>
      <c r="AN5803">
        <v>600</v>
      </c>
      <c r="AO5803" t="s">
        <v>118</v>
      </c>
      <c r="AP5803">
        <v>96</v>
      </c>
      <c r="AQ5803">
        <v>16</v>
      </c>
      <c r="AR5803">
        <v>-896</v>
      </c>
      <c r="AZ5803">
        <v>1200</v>
      </c>
      <c r="BA5803">
        <v>1</v>
      </c>
      <c r="BB5803" t="str">
        <f t="shared" si="2701"/>
        <v xml:space="preserve">N711JA  </v>
      </c>
      <c r="BC5803">
        <v>1</v>
      </c>
      <c r="BE5803">
        <v>0</v>
      </c>
      <c r="BF5803">
        <v>0</v>
      </c>
      <c r="BG5803">
        <v>0</v>
      </c>
      <c r="BH5803">
        <v>650</v>
      </c>
      <c r="BI5803">
        <v>1</v>
      </c>
      <c r="BJ5803">
        <v>1</v>
      </c>
      <c r="BK5803">
        <v>0</v>
      </c>
      <c r="BL5803">
        <v>0</v>
      </c>
      <c r="BO5803">
        <v>0</v>
      </c>
      <c r="BP5803">
        <v>0</v>
      </c>
      <c r="BW5803" t="str">
        <f t="shared" si="2713"/>
        <v>14:52:06.984</v>
      </c>
      <c r="CJ5803">
        <v>0</v>
      </c>
      <c r="CK5803">
        <v>2</v>
      </c>
      <c r="CL5803">
        <v>0</v>
      </c>
      <c r="CM5803">
        <v>2</v>
      </c>
      <c r="CN5803">
        <v>0</v>
      </c>
      <c r="CO5803">
        <v>7</v>
      </c>
      <c r="CP5803" t="s">
        <v>119</v>
      </c>
      <c r="CQ5803">
        <v>343</v>
      </c>
      <c r="CR5803">
        <v>2</v>
      </c>
      <c r="CW5803">
        <v>13443240</v>
      </c>
      <c r="CY5803">
        <v>1</v>
      </c>
      <c r="CZ5803">
        <v>0</v>
      </c>
      <c r="DA5803">
        <v>1</v>
      </c>
      <c r="DB5803">
        <v>0</v>
      </c>
      <c r="DC5803">
        <v>0</v>
      </c>
      <c r="DD5803">
        <v>1</v>
      </c>
      <c r="DE5803">
        <v>0</v>
      </c>
      <c r="DF5803">
        <v>0</v>
      </c>
      <c r="DG5803">
        <v>0</v>
      </c>
      <c r="DH5803">
        <v>0</v>
      </c>
      <c r="DI5803">
        <v>0</v>
      </c>
    </row>
    <row r="5804" spans="1:113" x14ac:dyDescent="0.3">
      <c r="A5804" t="str">
        <f t="shared" si="2710"/>
        <v>05/12/2020 14:51:49.159</v>
      </c>
      <c r="C5804" t="str">
        <f t="shared" si="2700"/>
        <v>FFDFD3C0</v>
      </c>
      <c r="D5804" t="s">
        <v>134</v>
      </c>
      <c r="E5804">
        <v>12</v>
      </c>
      <c r="H5804">
        <v>64</v>
      </c>
      <c r="I5804" t="s">
        <v>135</v>
      </c>
      <c r="J5804" t="s">
        <v>136</v>
      </c>
      <c r="K5804">
        <v>0</v>
      </c>
      <c r="L5804">
        <v>3</v>
      </c>
      <c r="M5804">
        <v>0</v>
      </c>
      <c r="N5804">
        <v>2</v>
      </c>
      <c r="O5804">
        <v>1</v>
      </c>
      <c r="P5804">
        <v>0</v>
      </c>
      <c r="Q5804">
        <v>0</v>
      </c>
      <c r="S5804" t="str">
        <f t="shared" si="2711"/>
        <v>14:52:06.977</v>
      </c>
      <c r="T5804" t="str">
        <f t="shared" si="2712"/>
        <v>14:52:06.877</v>
      </c>
      <c r="U5804" t="str">
        <f t="shared" si="2691"/>
        <v>A9808D</v>
      </c>
      <c r="V5804">
        <v>0</v>
      </c>
      <c r="W5804">
        <v>0</v>
      </c>
      <c r="X5804">
        <v>1</v>
      </c>
      <c r="Z5804">
        <v>0</v>
      </c>
      <c r="AA5804">
        <v>9</v>
      </c>
      <c r="AB5804">
        <v>3</v>
      </c>
      <c r="AC5804">
        <v>0</v>
      </c>
      <c r="AD5804">
        <v>10</v>
      </c>
      <c r="AE5804">
        <v>0</v>
      </c>
      <c r="AF5804">
        <v>3</v>
      </c>
      <c r="AG5804">
        <v>2</v>
      </c>
      <c r="AH5804">
        <v>0</v>
      </c>
      <c r="AI5804" t="s">
        <v>1287</v>
      </c>
      <c r="AJ5804">
        <v>28.203278000000001</v>
      </c>
      <c r="AK5804" t="s">
        <v>1288</v>
      </c>
      <c r="AL5804">
        <v>-82.376754000000005</v>
      </c>
      <c r="AM5804">
        <v>100</v>
      </c>
      <c r="AN5804">
        <v>600</v>
      </c>
      <c r="AO5804" t="s">
        <v>118</v>
      </c>
      <c r="AP5804">
        <v>96</v>
      </c>
      <c r="AQ5804">
        <v>16</v>
      </c>
      <c r="AR5804">
        <v>-896</v>
      </c>
      <c r="AZ5804">
        <v>1200</v>
      </c>
      <c r="BA5804">
        <v>1</v>
      </c>
      <c r="BB5804" t="str">
        <f t="shared" si="2701"/>
        <v xml:space="preserve">N711JA  </v>
      </c>
      <c r="BC5804">
        <v>1</v>
      </c>
      <c r="BE5804">
        <v>0</v>
      </c>
      <c r="BF5804">
        <v>0</v>
      </c>
      <c r="BG5804">
        <v>0</v>
      </c>
      <c r="BH5804">
        <v>650</v>
      </c>
      <c r="BI5804">
        <v>1</v>
      </c>
      <c r="BJ5804">
        <v>1</v>
      </c>
      <c r="BK5804">
        <v>0</v>
      </c>
      <c r="BL5804">
        <v>0</v>
      </c>
      <c r="BO5804">
        <v>0</v>
      </c>
      <c r="BP5804">
        <v>0</v>
      </c>
      <c r="BW5804" t="str">
        <f t="shared" si="2713"/>
        <v>14:52:06.984</v>
      </c>
      <c r="CJ5804">
        <v>0</v>
      </c>
      <c r="CK5804">
        <v>2</v>
      </c>
      <c r="CL5804">
        <v>0</v>
      </c>
      <c r="CM5804">
        <v>2</v>
      </c>
      <c r="CN5804">
        <v>0</v>
      </c>
      <c r="CO5804">
        <v>7</v>
      </c>
      <c r="CP5804" t="s">
        <v>119</v>
      </c>
      <c r="CQ5804">
        <v>343</v>
      </c>
      <c r="CR5804">
        <v>2</v>
      </c>
      <c r="CW5804">
        <v>13443240</v>
      </c>
      <c r="CY5804">
        <v>1</v>
      </c>
      <c r="CZ5804">
        <v>0</v>
      </c>
      <c r="DA5804">
        <v>1</v>
      </c>
      <c r="DB5804">
        <v>0</v>
      </c>
      <c r="DC5804">
        <v>0</v>
      </c>
      <c r="DD5804">
        <v>1</v>
      </c>
      <c r="DE5804">
        <v>0</v>
      </c>
      <c r="DF5804">
        <v>0</v>
      </c>
      <c r="DG5804">
        <v>0</v>
      </c>
      <c r="DH5804">
        <v>0</v>
      </c>
      <c r="DI5804">
        <v>0</v>
      </c>
    </row>
    <row r="5805" spans="1:113" x14ac:dyDescent="0.3">
      <c r="A5805" t="str">
        <f t="shared" si="2710"/>
        <v>05/12/2020 14:51:49.159</v>
      </c>
      <c r="C5805" t="str">
        <f t="shared" si="2700"/>
        <v>FFDFD3C0</v>
      </c>
      <c r="D5805" t="s">
        <v>113</v>
      </c>
      <c r="E5805">
        <v>3</v>
      </c>
      <c r="H5805">
        <v>164</v>
      </c>
      <c r="I5805" t="s">
        <v>114</v>
      </c>
      <c r="J5805" t="s">
        <v>115</v>
      </c>
      <c r="K5805">
        <v>0</v>
      </c>
      <c r="L5805">
        <v>3</v>
      </c>
      <c r="M5805">
        <v>0</v>
      </c>
      <c r="N5805">
        <v>2</v>
      </c>
      <c r="O5805">
        <v>1</v>
      </c>
      <c r="P5805">
        <v>0</v>
      </c>
      <c r="Q5805">
        <v>0</v>
      </c>
      <c r="S5805" t="str">
        <f t="shared" si="2711"/>
        <v>14:52:06.977</v>
      </c>
      <c r="T5805" t="str">
        <f t="shared" si="2712"/>
        <v>14:52:06.877</v>
      </c>
      <c r="U5805" t="str">
        <f t="shared" si="2691"/>
        <v>A9808D</v>
      </c>
      <c r="V5805">
        <v>0</v>
      </c>
      <c r="W5805">
        <v>0</v>
      </c>
      <c r="X5805">
        <v>1</v>
      </c>
      <c r="Z5805">
        <v>0</v>
      </c>
      <c r="AA5805">
        <v>9</v>
      </c>
      <c r="AB5805">
        <v>3</v>
      </c>
      <c r="AC5805">
        <v>0</v>
      </c>
      <c r="AD5805">
        <v>10</v>
      </c>
      <c r="AE5805">
        <v>0</v>
      </c>
      <c r="AF5805">
        <v>3</v>
      </c>
      <c r="AG5805">
        <v>2</v>
      </c>
      <c r="AH5805">
        <v>0</v>
      </c>
      <c r="AI5805" t="s">
        <v>1287</v>
      </c>
      <c r="AJ5805">
        <v>28.203278000000001</v>
      </c>
      <c r="AK5805" t="s">
        <v>1288</v>
      </c>
      <c r="AL5805">
        <v>-82.376754000000005</v>
      </c>
      <c r="AM5805">
        <v>100</v>
      </c>
      <c r="AN5805">
        <v>600</v>
      </c>
      <c r="AO5805" t="s">
        <v>118</v>
      </c>
      <c r="AP5805">
        <v>96</v>
      </c>
      <c r="AQ5805">
        <v>16</v>
      </c>
      <c r="AR5805">
        <v>-896</v>
      </c>
      <c r="AZ5805">
        <v>1200</v>
      </c>
      <c r="BA5805">
        <v>1</v>
      </c>
      <c r="BB5805" t="str">
        <f t="shared" si="2701"/>
        <v xml:space="preserve">N711JA  </v>
      </c>
      <c r="BC5805">
        <v>1</v>
      </c>
      <c r="BE5805">
        <v>0</v>
      </c>
      <c r="BF5805">
        <v>0</v>
      </c>
      <c r="BG5805">
        <v>0</v>
      </c>
      <c r="BH5805">
        <v>650</v>
      </c>
      <c r="BI5805">
        <v>1</v>
      </c>
      <c r="BJ5805">
        <v>1</v>
      </c>
      <c r="BK5805">
        <v>0</v>
      </c>
      <c r="BL5805">
        <v>0</v>
      </c>
      <c r="BO5805">
        <v>0</v>
      </c>
      <c r="BP5805">
        <v>0</v>
      </c>
      <c r="BW5805" t="str">
        <f t="shared" si="2713"/>
        <v>14:52:06.984</v>
      </c>
      <c r="CJ5805">
        <v>0</v>
      </c>
      <c r="CK5805">
        <v>2</v>
      </c>
      <c r="CL5805">
        <v>0</v>
      </c>
      <c r="CM5805">
        <v>2</v>
      </c>
      <c r="CN5805">
        <v>0</v>
      </c>
      <c r="CO5805">
        <v>7</v>
      </c>
      <c r="CP5805" t="s">
        <v>119</v>
      </c>
      <c r="CQ5805">
        <v>343</v>
      </c>
      <c r="CR5805">
        <v>2</v>
      </c>
      <c r="CW5805">
        <v>13443240</v>
      </c>
      <c r="CY5805">
        <v>1</v>
      </c>
      <c r="CZ5805">
        <v>0</v>
      </c>
      <c r="DA5805">
        <v>1</v>
      </c>
      <c r="DB5805">
        <v>0</v>
      </c>
      <c r="DC5805">
        <v>0</v>
      </c>
      <c r="DD5805">
        <v>1</v>
      </c>
      <c r="DE5805">
        <v>0</v>
      </c>
      <c r="DF5805">
        <v>0</v>
      </c>
      <c r="DG5805">
        <v>0</v>
      </c>
      <c r="DH5805">
        <v>0</v>
      </c>
      <c r="DI5805">
        <v>0</v>
      </c>
    </row>
    <row r="5806" spans="1:113" x14ac:dyDescent="0.3">
      <c r="A5806" t="str">
        <f t="shared" si="2710"/>
        <v>05/12/2020 14:51:49.159</v>
      </c>
      <c r="C5806" t="str">
        <f t="shared" si="2700"/>
        <v>FFDFD3C0</v>
      </c>
      <c r="D5806" t="s">
        <v>138</v>
      </c>
      <c r="E5806">
        <v>3</v>
      </c>
      <c r="H5806">
        <v>9</v>
      </c>
      <c r="I5806" t="s">
        <v>140</v>
      </c>
      <c r="J5806" t="s">
        <v>136</v>
      </c>
      <c r="K5806">
        <v>0</v>
      </c>
      <c r="L5806">
        <v>3</v>
      </c>
      <c r="M5806">
        <v>0</v>
      </c>
      <c r="N5806">
        <v>2</v>
      </c>
      <c r="O5806">
        <v>1</v>
      </c>
      <c r="P5806">
        <v>0</v>
      </c>
      <c r="Q5806">
        <v>0</v>
      </c>
      <c r="S5806" t="str">
        <f t="shared" si="2711"/>
        <v>14:52:06.977</v>
      </c>
      <c r="T5806" t="str">
        <f t="shared" si="2712"/>
        <v>14:52:06.877</v>
      </c>
      <c r="U5806" t="str">
        <f t="shared" si="2691"/>
        <v>A9808D</v>
      </c>
      <c r="V5806">
        <v>0</v>
      </c>
      <c r="W5806">
        <v>0</v>
      </c>
      <c r="X5806">
        <v>1</v>
      </c>
      <c r="Z5806">
        <v>0</v>
      </c>
      <c r="AA5806">
        <v>9</v>
      </c>
      <c r="AB5806">
        <v>3</v>
      </c>
      <c r="AC5806">
        <v>0</v>
      </c>
      <c r="AD5806">
        <v>10</v>
      </c>
      <c r="AE5806">
        <v>0</v>
      </c>
      <c r="AF5806">
        <v>3</v>
      </c>
      <c r="AG5806">
        <v>2</v>
      </c>
      <c r="AH5806">
        <v>0</v>
      </c>
      <c r="AI5806" t="s">
        <v>1287</v>
      </c>
      <c r="AJ5806">
        <v>28.203278000000001</v>
      </c>
      <c r="AK5806" t="s">
        <v>1288</v>
      </c>
      <c r="AL5806">
        <v>-82.376754000000005</v>
      </c>
      <c r="AM5806">
        <v>100</v>
      </c>
      <c r="AN5806">
        <v>600</v>
      </c>
      <c r="AO5806" t="s">
        <v>118</v>
      </c>
      <c r="AP5806">
        <v>96</v>
      </c>
      <c r="AQ5806">
        <v>16</v>
      </c>
      <c r="AR5806">
        <v>-896</v>
      </c>
      <c r="AZ5806">
        <v>1200</v>
      </c>
      <c r="BA5806">
        <v>1</v>
      </c>
      <c r="BB5806" t="str">
        <f t="shared" si="2701"/>
        <v xml:space="preserve">N711JA  </v>
      </c>
      <c r="BC5806">
        <v>1</v>
      </c>
      <c r="BE5806">
        <v>0</v>
      </c>
      <c r="BF5806">
        <v>0</v>
      </c>
      <c r="BG5806">
        <v>0</v>
      </c>
      <c r="BH5806">
        <v>650</v>
      </c>
      <c r="BI5806">
        <v>1</v>
      </c>
      <c r="BJ5806">
        <v>1</v>
      </c>
      <c r="BK5806">
        <v>0</v>
      </c>
      <c r="BL5806">
        <v>0</v>
      </c>
      <c r="BO5806">
        <v>0</v>
      </c>
      <c r="BP5806">
        <v>0</v>
      </c>
      <c r="BW5806" t="str">
        <f t="shared" si="2713"/>
        <v>14:52:06.984</v>
      </c>
      <c r="CJ5806">
        <v>0</v>
      </c>
      <c r="CK5806">
        <v>2</v>
      </c>
      <c r="CL5806">
        <v>0</v>
      </c>
      <c r="CM5806">
        <v>2</v>
      </c>
      <c r="CN5806">
        <v>0</v>
      </c>
      <c r="CO5806">
        <v>7</v>
      </c>
      <c r="CP5806" t="s">
        <v>119</v>
      </c>
      <c r="CQ5806">
        <v>343</v>
      </c>
      <c r="CR5806">
        <v>2</v>
      </c>
      <c r="CW5806">
        <v>13443240</v>
      </c>
      <c r="CY5806">
        <v>1</v>
      </c>
      <c r="CZ5806">
        <v>0</v>
      </c>
      <c r="DA5806">
        <v>1</v>
      </c>
      <c r="DB5806">
        <v>0</v>
      </c>
      <c r="DC5806">
        <v>0</v>
      </c>
      <c r="DD5806">
        <v>1</v>
      </c>
      <c r="DE5806">
        <v>0</v>
      </c>
      <c r="DF5806">
        <v>0</v>
      </c>
      <c r="DG5806">
        <v>0</v>
      </c>
      <c r="DH5806">
        <v>0</v>
      </c>
      <c r="DI5806">
        <v>0</v>
      </c>
    </row>
    <row r="5807" spans="1:113" x14ac:dyDescent="0.3">
      <c r="A5807" t="str">
        <f t="shared" si="2710"/>
        <v>05/12/2020 14:51:49.159</v>
      </c>
      <c r="C5807" t="str">
        <f t="shared" si="2700"/>
        <v>FFDFD3C0</v>
      </c>
      <c r="D5807" t="s">
        <v>138</v>
      </c>
      <c r="E5807">
        <v>2</v>
      </c>
      <c r="H5807">
        <v>8</v>
      </c>
      <c r="I5807" t="s">
        <v>139</v>
      </c>
      <c r="J5807" t="s">
        <v>136</v>
      </c>
      <c r="K5807">
        <v>0</v>
      </c>
      <c r="L5807">
        <v>3</v>
      </c>
      <c r="M5807">
        <v>0</v>
      </c>
      <c r="N5807">
        <v>2</v>
      </c>
      <c r="O5807">
        <v>1</v>
      </c>
      <c r="P5807">
        <v>0</v>
      </c>
      <c r="Q5807">
        <v>0</v>
      </c>
      <c r="S5807" t="str">
        <f t="shared" si="2711"/>
        <v>14:52:06.977</v>
      </c>
      <c r="T5807" t="str">
        <f t="shared" si="2712"/>
        <v>14:52:06.877</v>
      </c>
      <c r="U5807" t="str">
        <f t="shared" si="2691"/>
        <v>A9808D</v>
      </c>
      <c r="V5807">
        <v>0</v>
      </c>
      <c r="W5807">
        <v>0</v>
      </c>
      <c r="X5807">
        <v>1</v>
      </c>
      <c r="Z5807">
        <v>0</v>
      </c>
      <c r="AA5807">
        <v>9</v>
      </c>
      <c r="AB5807">
        <v>3</v>
      </c>
      <c r="AC5807">
        <v>0</v>
      </c>
      <c r="AD5807">
        <v>10</v>
      </c>
      <c r="AE5807">
        <v>0</v>
      </c>
      <c r="AF5807">
        <v>3</v>
      </c>
      <c r="AG5807">
        <v>2</v>
      </c>
      <c r="AH5807">
        <v>0</v>
      </c>
      <c r="AI5807" t="s">
        <v>1287</v>
      </c>
      <c r="AJ5807">
        <v>28.203278000000001</v>
      </c>
      <c r="AK5807" t="s">
        <v>1288</v>
      </c>
      <c r="AL5807">
        <v>-82.376754000000005</v>
      </c>
      <c r="AM5807">
        <v>100</v>
      </c>
      <c r="AN5807">
        <v>600</v>
      </c>
      <c r="AO5807" t="s">
        <v>118</v>
      </c>
      <c r="AP5807">
        <v>96</v>
      </c>
      <c r="AQ5807">
        <v>16</v>
      </c>
      <c r="AR5807">
        <v>-896</v>
      </c>
      <c r="AZ5807">
        <v>1200</v>
      </c>
      <c r="BA5807">
        <v>1</v>
      </c>
      <c r="BB5807" t="str">
        <f t="shared" si="2701"/>
        <v xml:space="preserve">N711JA  </v>
      </c>
      <c r="BC5807">
        <v>1</v>
      </c>
      <c r="BE5807">
        <v>0</v>
      </c>
      <c r="BF5807">
        <v>0</v>
      </c>
      <c r="BG5807">
        <v>0</v>
      </c>
      <c r="BH5807">
        <v>650</v>
      </c>
      <c r="BI5807">
        <v>1</v>
      </c>
      <c r="BJ5807">
        <v>1</v>
      </c>
      <c r="BK5807">
        <v>0</v>
      </c>
      <c r="BL5807">
        <v>0</v>
      </c>
      <c r="BO5807">
        <v>0</v>
      </c>
      <c r="BP5807">
        <v>0</v>
      </c>
      <c r="BW5807" t="str">
        <f t="shared" si="2713"/>
        <v>14:52:06.984</v>
      </c>
      <c r="CJ5807">
        <v>0</v>
      </c>
      <c r="CK5807">
        <v>2</v>
      </c>
      <c r="CL5807">
        <v>0</v>
      </c>
      <c r="CM5807">
        <v>2</v>
      </c>
      <c r="CN5807">
        <v>0</v>
      </c>
      <c r="CO5807">
        <v>7</v>
      </c>
      <c r="CP5807" t="s">
        <v>119</v>
      </c>
      <c r="CQ5807">
        <v>343</v>
      </c>
      <c r="CR5807">
        <v>2</v>
      </c>
      <c r="CW5807">
        <v>13443240</v>
      </c>
      <c r="CY5807">
        <v>1</v>
      </c>
      <c r="CZ5807">
        <v>0</v>
      </c>
      <c r="DA5807">
        <v>1</v>
      </c>
      <c r="DB5807">
        <v>0</v>
      </c>
      <c r="DC5807">
        <v>0</v>
      </c>
      <c r="DD5807">
        <v>1</v>
      </c>
      <c r="DE5807">
        <v>0</v>
      </c>
      <c r="DF5807">
        <v>0</v>
      </c>
      <c r="DG5807">
        <v>0</v>
      </c>
      <c r="DH5807">
        <v>0</v>
      </c>
      <c r="DI5807">
        <v>0</v>
      </c>
    </row>
    <row r="5808" spans="1:113" x14ac:dyDescent="0.3">
      <c r="A5808" t="str">
        <f t="shared" si="2710"/>
        <v>05/12/2020 14:51:49.159</v>
      </c>
      <c r="C5808" t="str">
        <f t="shared" si="2700"/>
        <v>FFDFD3C0</v>
      </c>
      <c r="D5808" t="s">
        <v>126</v>
      </c>
      <c r="E5808">
        <v>6</v>
      </c>
      <c r="F5808">
        <v>1006</v>
      </c>
      <c r="G5808" t="s">
        <v>114</v>
      </c>
      <c r="J5808" t="s">
        <v>128</v>
      </c>
      <c r="K5808">
        <v>0</v>
      </c>
      <c r="L5808">
        <v>3</v>
      </c>
      <c r="M5808">
        <v>0</v>
      </c>
      <c r="N5808">
        <v>2</v>
      </c>
      <c r="O5808">
        <v>1</v>
      </c>
      <c r="P5808">
        <v>0</v>
      </c>
      <c r="Q5808">
        <v>0</v>
      </c>
      <c r="S5808" t="str">
        <f t="shared" si="2711"/>
        <v>14:52:06.977</v>
      </c>
      <c r="T5808" t="str">
        <f t="shared" si="2712"/>
        <v>14:52:06.877</v>
      </c>
      <c r="U5808" t="str">
        <f t="shared" si="2691"/>
        <v>A9808D</v>
      </c>
      <c r="V5808">
        <v>0</v>
      </c>
      <c r="W5808">
        <v>0</v>
      </c>
      <c r="X5808">
        <v>1</v>
      </c>
      <c r="Z5808">
        <v>0</v>
      </c>
      <c r="AA5808">
        <v>9</v>
      </c>
      <c r="AB5808">
        <v>3</v>
      </c>
      <c r="AC5808">
        <v>0</v>
      </c>
      <c r="AD5808">
        <v>10</v>
      </c>
      <c r="AE5808">
        <v>0</v>
      </c>
      <c r="AF5808">
        <v>3</v>
      </c>
      <c r="AG5808">
        <v>2</v>
      </c>
      <c r="AH5808">
        <v>0</v>
      </c>
      <c r="AI5808" t="s">
        <v>1287</v>
      </c>
      <c r="AJ5808">
        <v>28.203278000000001</v>
      </c>
      <c r="AK5808" t="s">
        <v>1288</v>
      </c>
      <c r="AL5808">
        <v>-82.376754000000005</v>
      </c>
      <c r="AM5808">
        <v>100</v>
      </c>
      <c r="AN5808">
        <v>600</v>
      </c>
      <c r="AO5808" t="s">
        <v>118</v>
      </c>
      <c r="AP5808">
        <v>96</v>
      </c>
      <c r="AQ5808">
        <v>16</v>
      </c>
      <c r="AR5808">
        <v>-896</v>
      </c>
      <c r="AZ5808">
        <v>1200</v>
      </c>
      <c r="BA5808">
        <v>1</v>
      </c>
      <c r="BB5808" t="str">
        <f t="shared" si="2701"/>
        <v xml:space="preserve">N711JA  </v>
      </c>
      <c r="BC5808">
        <v>1</v>
      </c>
      <c r="BE5808">
        <v>0</v>
      </c>
      <c r="BF5808">
        <v>0</v>
      </c>
      <c r="BG5808">
        <v>0</v>
      </c>
      <c r="BH5808">
        <v>650</v>
      </c>
      <c r="BI5808">
        <v>1</v>
      </c>
      <c r="BJ5808">
        <v>1</v>
      </c>
      <c r="BK5808">
        <v>0</v>
      </c>
      <c r="BL5808">
        <v>0</v>
      </c>
      <c r="BO5808">
        <v>0</v>
      </c>
      <c r="BP5808">
        <v>0</v>
      </c>
      <c r="BW5808" t="str">
        <f t="shared" si="2713"/>
        <v>14:52:06.984</v>
      </c>
      <c r="CJ5808">
        <v>0</v>
      </c>
      <c r="CK5808">
        <v>2</v>
      </c>
      <c r="CL5808">
        <v>0</v>
      </c>
      <c r="CM5808">
        <v>2</v>
      </c>
      <c r="CN5808">
        <v>0</v>
      </c>
      <c r="CO5808">
        <v>7</v>
      </c>
      <c r="CP5808" t="s">
        <v>119</v>
      </c>
      <c r="CQ5808">
        <v>343</v>
      </c>
      <c r="CR5808">
        <v>2</v>
      </c>
      <c r="CW5808">
        <v>13443240</v>
      </c>
      <c r="CY5808">
        <v>1</v>
      </c>
      <c r="CZ5808">
        <v>0</v>
      </c>
      <c r="DA5808">
        <v>1</v>
      </c>
      <c r="DB5808">
        <v>0</v>
      </c>
      <c r="DC5808">
        <v>0</v>
      </c>
      <c r="DD5808">
        <v>1</v>
      </c>
      <c r="DE5808">
        <v>0</v>
      </c>
      <c r="DF5808">
        <v>0</v>
      </c>
      <c r="DG5808">
        <v>0</v>
      </c>
      <c r="DH5808">
        <v>0</v>
      </c>
      <c r="DI5808">
        <v>0</v>
      </c>
    </row>
    <row r="5809" spans="1:113" x14ac:dyDescent="0.3">
      <c r="A5809" t="str">
        <f t="shared" ref="A5809:A5816" si="2714">"05/12/2020 14:51:50.022"</f>
        <v>05/12/2020 14:51:50.022</v>
      </c>
      <c r="C5809" t="str">
        <f t="shared" si="2700"/>
        <v>FFDFD3C0</v>
      </c>
      <c r="D5809" t="s">
        <v>134</v>
      </c>
      <c r="E5809">
        <v>12</v>
      </c>
      <c r="H5809">
        <v>64</v>
      </c>
      <c r="I5809" t="s">
        <v>135</v>
      </c>
      <c r="J5809" t="s">
        <v>136</v>
      </c>
      <c r="K5809">
        <v>0</v>
      </c>
      <c r="L5809">
        <v>3</v>
      </c>
      <c r="M5809">
        <v>0</v>
      </c>
      <c r="N5809">
        <v>2</v>
      </c>
      <c r="O5809">
        <v>1</v>
      </c>
      <c r="P5809">
        <v>0</v>
      </c>
      <c r="Q5809">
        <v>0</v>
      </c>
      <c r="S5809" t="str">
        <f t="shared" ref="S5809:S5816" si="2715">"14:52:07.836"</f>
        <v>14:52:07.836</v>
      </c>
      <c r="T5809" t="str">
        <f t="shared" ref="T5809:T5816" si="2716">"14:52:07.336"</f>
        <v>14:52:07.336</v>
      </c>
      <c r="U5809" t="str">
        <f t="shared" si="2691"/>
        <v>A9808D</v>
      </c>
      <c r="V5809">
        <v>0</v>
      </c>
      <c r="W5809">
        <v>0</v>
      </c>
      <c r="X5809">
        <v>1</v>
      </c>
      <c r="Z5809">
        <v>0</v>
      </c>
      <c r="AA5809">
        <v>9</v>
      </c>
      <c r="AB5809">
        <v>3</v>
      </c>
      <c r="AC5809">
        <v>0</v>
      </c>
      <c r="AD5809">
        <v>10</v>
      </c>
      <c r="AE5809">
        <v>0</v>
      </c>
      <c r="AF5809">
        <v>3</v>
      </c>
      <c r="AG5809">
        <v>2</v>
      </c>
      <c r="AH5809">
        <v>0</v>
      </c>
      <c r="AI5809" t="s">
        <v>1289</v>
      </c>
      <c r="AJ5809">
        <v>28.203385000000001</v>
      </c>
      <c r="AK5809" t="s">
        <v>1290</v>
      </c>
      <c r="AL5809">
        <v>-82.376304000000005</v>
      </c>
      <c r="AM5809">
        <v>100</v>
      </c>
      <c r="AN5809">
        <v>600</v>
      </c>
      <c r="AO5809" t="s">
        <v>118</v>
      </c>
      <c r="AP5809">
        <v>96</v>
      </c>
      <c r="AQ5809">
        <v>18</v>
      </c>
      <c r="AR5809">
        <v>-960</v>
      </c>
      <c r="AZ5809">
        <v>1200</v>
      </c>
      <c r="BA5809">
        <v>1</v>
      </c>
      <c r="BB5809" t="str">
        <f t="shared" si="2701"/>
        <v xml:space="preserve">N711JA  </v>
      </c>
      <c r="BC5809">
        <v>1</v>
      </c>
      <c r="BE5809">
        <v>0</v>
      </c>
      <c r="BF5809">
        <v>0</v>
      </c>
      <c r="BG5809">
        <v>0</v>
      </c>
      <c r="BH5809">
        <v>650</v>
      </c>
      <c r="BI5809">
        <v>1</v>
      </c>
      <c r="BJ5809">
        <v>1</v>
      </c>
      <c r="BK5809">
        <v>0</v>
      </c>
      <c r="BL5809">
        <v>0</v>
      </c>
      <c r="BO5809">
        <v>0</v>
      </c>
      <c r="BP5809">
        <v>0</v>
      </c>
      <c r="BW5809" t="str">
        <f t="shared" ref="BW5809:BW5816" si="2717">"14:52:07.844"</f>
        <v>14:52:07.844</v>
      </c>
      <c r="CJ5809">
        <v>0</v>
      </c>
      <c r="CK5809">
        <v>2</v>
      </c>
      <c r="CL5809">
        <v>0</v>
      </c>
      <c r="CM5809">
        <v>2</v>
      </c>
      <c r="CN5809">
        <v>0</v>
      </c>
      <c r="CO5809">
        <v>7</v>
      </c>
      <c r="CP5809" t="s">
        <v>119</v>
      </c>
      <c r="CQ5809">
        <v>343</v>
      </c>
      <c r="CR5809">
        <v>1</v>
      </c>
      <c r="CW5809">
        <v>11203606</v>
      </c>
      <c r="CY5809">
        <v>1</v>
      </c>
      <c r="CZ5809">
        <v>0</v>
      </c>
      <c r="DA5809">
        <v>0</v>
      </c>
      <c r="DB5809">
        <v>0</v>
      </c>
      <c r="DC5809">
        <v>0</v>
      </c>
      <c r="DD5809">
        <v>1</v>
      </c>
      <c r="DE5809">
        <v>0</v>
      </c>
      <c r="DF5809">
        <v>0</v>
      </c>
      <c r="DG5809">
        <v>0</v>
      </c>
      <c r="DH5809">
        <v>0</v>
      </c>
      <c r="DI5809">
        <v>0</v>
      </c>
    </row>
    <row r="5810" spans="1:113" x14ac:dyDescent="0.3">
      <c r="A5810" t="str">
        <f t="shared" si="2714"/>
        <v>05/12/2020 14:51:50.022</v>
      </c>
      <c r="C5810" t="str">
        <f t="shared" si="2700"/>
        <v>FFDFD3C0</v>
      </c>
      <c r="D5810" t="s">
        <v>138</v>
      </c>
      <c r="E5810">
        <v>2</v>
      </c>
      <c r="H5810">
        <v>8</v>
      </c>
      <c r="I5810" t="s">
        <v>139</v>
      </c>
      <c r="J5810" t="s">
        <v>136</v>
      </c>
      <c r="K5810">
        <v>0</v>
      </c>
      <c r="L5810">
        <v>3</v>
      </c>
      <c r="M5810">
        <v>0</v>
      </c>
      <c r="N5810">
        <v>2</v>
      </c>
      <c r="O5810">
        <v>1</v>
      </c>
      <c r="P5810">
        <v>0</v>
      </c>
      <c r="Q5810">
        <v>0</v>
      </c>
      <c r="S5810" t="str">
        <f t="shared" si="2715"/>
        <v>14:52:07.836</v>
      </c>
      <c r="T5810" t="str">
        <f t="shared" si="2716"/>
        <v>14:52:07.336</v>
      </c>
      <c r="U5810" t="str">
        <f t="shared" si="2691"/>
        <v>A9808D</v>
      </c>
      <c r="V5810">
        <v>0</v>
      </c>
      <c r="W5810">
        <v>0</v>
      </c>
      <c r="X5810">
        <v>1</v>
      </c>
      <c r="Z5810">
        <v>0</v>
      </c>
      <c r="AA5810">
        <v>9</v>
      </c>
      <c r="AB5810">
        <v>3</v>
      </c>
      <c r="AC5810">
        <v>0</v>
      </c>
      <c r="AD5810">
        <v>10</v>
      </c>
      <c r="AE5810">
        <v>0</v>
      </c>
      <c r="AF5810">
        <v>3</v>
      </c>
      <c r="AG5810">
        <v>2</v>
      </c>
      <c r="AH5810">
        <v>0</v>
      </c>
      <c r="AI5810" t="s">
        <v>1289</v>
      </c>
      <c r="AJ5810">
        <v>28.203385000000001</v>
      </c>
      <c r="AK5810" t="s">
        <v>1290</v>
      </c>
      <c r="AL5810">
        <v>-82.376304000000005</v>
      </c>
      <c r="AM5810">
        <v>100</v>
      </c>
      <c r="AN5810">
        <v>600</v>
      </c>
      <c r="AO5810" t="s">
        <v>118</v>
      </c>
      <c r="AP5810">
        <v>96</v>
      </c>
      <c r="AQ5810">
        <v>18</v>
      </c>
      <c r="AR5810">
        <v>-960</v>
      </c>
      <c r="AZ5810">
        <v>1200</v>
      </c>
      <c r="BA5810">
        <v>1</v>
      </c>
      <c r="BB5810" t="str">
        <f t="shared" si="2701"/>
        <v xml:space="preserve">N711JA  </v>
      </c>
      <c r="BC5810">
        <v>1</v>
      </c>
      <c r="BE5810">
        <v>0</v>
      </c>
      <c r="BF5810">
        <v>0</v>
      </c>
      <c r="BG5810">
        <v>0</v>
      </c>
      <c r="BH5810">
        <v>650</v>
      </c>
      <c r="BI5810">
        <v>1</v>
      </c>
      <c r="BJ5810">
        <v>1</v>
      </c>
      <c r="BK5810">
        <v>0</v>
      </c>
      <c r="BL5810">
        <v>0</v>
      </c>
      <c r="BO5810">
        <v>0</v>
      </c>
      <c r="BP5810">
        <v>0</v>
      </c>
      <c r="BW5810" t="str">
        <f t="shared" si="2717"/>
        <v>14:52:07.844</v>
      </c>
      <c r="CJ5810">
        <v>0</v>
      </c>
      <c r="CK5810">
        <v>2</v>
      </c>
      <c r="CL5810">
        <v>0</v>
      </c>
      <c r="CM5810">
        <v>2</v>
      </c>
      <c r="CN5810">
        <v>0</v>
      </c>
      <c r="CO5810">
        <v>7</v>
      </c>
      <c r="CP5810" t="s">
        <v>119</v>
      </c>
      <c r="CQ5810">
        <v>343</v>
      </c>
      <c r="CR5810">
        <v>1</v>
      </c>
      <c r="CW5810">
        <v>11203606</v>
      </c>
      <c r="CY5810">
        <v>1</v>
      </c>
      <c r="CZ5810">
        <v>0</v>
      </c>
      <c r="DA5810">
        <v>1</v>
      </c>
      <c r="DB5810">
        <v>0</v>
      </c>
      <c r="DC5810">
        <v>0</v>
      </c>
      <c r="DD5810">
        <v>1</v>
      </c>
      <c r="DE5810">
        <v>0</v>
      </c>
      <c r="DF5810">
        <v>0</v>
      </c>
      <c r="DG5810">
        <v>0</v>
      </c>
      <c r="DH5810">
        <v>0</v>
      </c>
      <c r="DI5810">
        <v>0</v>
      </c>
    </row>
    <row r="5811" spans="1:113" x14ac:dyDescent="0.3">
      <c r="A5811" t="str">
        <f t="shared" si="2714"/>
        <v>05/12/2020 14:51:50.022</v>
      </c>
      <c r="C5811" t="str">
        <f t="shared" si="2700"/>
        <v>FFDFD3C0</v>
      </c>
      <c r="D5811" t="s">
        <v>138</v>
      </c>
      <c r="E5811">
        <v>3</v>
      </c>
      <c r="H5811">
        <v>9</v>
      </c>
      <c r="I5811" t="s">
        <v>140</v>
      </c>
      <c r="J5811" t="s">
        <v>136</v>
      </c>
      <c r="K5811">
        <v>0</v>
      </c>
      <c r="L5811">
        <v>3</v>
      </c>
      <c r="M5811">
        <v>0</v>
      </c>
      <c r="N5811">
        <v>2</v>
      </c>
      <c r="O5811">
        <v>1</v>
      </c>
      <c r="P5811">
        <v>0</v>
      </c>
      <c r="Q5811">
        <v>0</v>
      </c>
      <c r="S5811" t="str">
        <f t="shared" si="2715"/>
        <v>14:52:07.836</v>
      </c>
      <c r="T5811" t="str">
        <f t="shared" si="2716"/>
        <v>14:52:07.336</v>
      </c>
      <c r="U5811" t="str">
        <f t="shared" si="2691"/>
        <v>A9808D</v>
      </c>
      <c r="V5811">
        <v>0</v>
      </c>
      <c r="W5811">
        <v>0</v>
      </c>
      <c r="X5811">
        <v>1</v>
      </c>
      <c r="Z5811">
        <v>0</v>
      </c>
      <c r="AA5811">
        <v>9</v>
      </c>
      <c r="AB5811">
        <v>3</v>
      </c>
      <c r="AC5811">
        <v>0</v>
      </c>
      <c r="AD5811">
        <v>10</v>
      </c>
      <c r="AE5811">
        <v>0</v>
      </c>
      <c r="AF5811">
        <v>3</v>
      </c>
      <c r="AG5811">
        <v>2</v>
      </c>
      <c r="AH5811">
        <v>0</v>
      </c>
      <c r="AI5811" t="s">
        <v>1289</v>
      </c>
      <c r="AJ5811">
        <v>28.203385000000001</v>
      </c>
      <c r="AK5811" t="s">
        <v>1290</v>
      </c>
      <c r="AL5811">
        <v>-82.376304000000005</v>
      </c>
      <c r="AM5811">
        <v>100</v>
      </c>
      <c r="AN5811">
        <v>600</v>
      </c>
      <c r="AO5811" t="s">
        <v>118</v>
      </c>
      <c r="AP5811">
        <v>96</v>
      </c>
      <c r="AQ5811">
        <v>18</v>
      </c>
      <c r="AR5811">
        <v>-960</v>
      </c>
      <c r="AZ5811">
        <v>1200</v>
      </c>
      <c r="BA5811">
        <v>1</v>
      </c>
      <c r="BB5811" t="str">
        <f t="shared" si="2701"/>
        <v xml:space="preserve">N711JA  </v>
      </c>
      <c r="BC5811">
        <v>1</v>
      </c>
      <c r="BE5811">
        <v>0</v>
      </c>
      <c r="BF5811">
        <v>0</v>
      </c>
      <c r="BG5811">
        <v>0</v>
      </c>
      <c r="BH5811">
        <v>650</v>
      </c>
      <c r="BI5811">
        <v>1</v>
      </c>
      <c r="BJ5811">
        <v>1</v>
      </c>
      <c r="BK5811">
        <v>0</v>
      </c>
      <c r="BL5811">
        <v>0</v>
      </c>
      <c r="BO5811">
        <v>0</v>
      </c>
      <c r="BP5811">
        <v>0</v>
      </c>
      <c r="BW5811" t="str">
        <f t="shared" si="2717"/>
        <v>14:52:07.844</v>
      </c>
      <c r="CJ5811">
        <v>0</v>
      </c>
      <c r="CK5811">
        <v>2</v>
      </c>
      <c r="CL5811">
        <v>0</v>
      </c>
      <c r="CM5811">
        <v>2</v>
      </c>
      <c r="CN5811">
        <v>0</v>
      </c>
      <c r="CO5811">
        <v>7</v>
      </c>
      <c r="CP5811" t="s">
        <v>119</v>
      </c>
      <c r="CQ5811">
        <v>343</v>
      </c>
      <c r="CR5811">
        <v>1</v>
      </c>
      <c r="CW5811">
        <v>11203606</v>
      </c>
      <c r="CY5811">
        <v>1</v>
      </c>
      <c r="CZ5811">
        <v>0</v>
      </c>
      <c r="DA5811">
        <v>1</v>
      </c>
      <c r="DB5811">
        <v>0</v>
      </c>
      <c r="DC5811">
        <v>0</v>
      </c>
      <c r="DD5811">
        <v>1</v>
      </c>
      <c r="DE5811">
        <v>0</v>
      </c>
      <c r="DF5811">
        <v>0</v>
      </c>
      <c r="DG5811">
        <v>0</v>
      </c>
      <c r="DH5811">
        <v>0</v>
      </c>
      <c r="DI5811">
        <v>0</v>
      </c>
    </row>
    <row r="5812" spans="1:113" x14ac:dyDescent="0.3">
      <c r="A5812" t="str">
        <f t="shared" si="2714"/>
        <v>05/12/2020 14:51:50.022</v>
      </c>
      <c r="C5812" t="str">
        <f t="shared" si="2700"/>
        <v>FFDFD3C0</v>
      </c>
      <c r="D5812" t="s">
        <v>113</v>
      </c>
      <c r="E5812">
        <v>3</v>
      </c>
      <c r="H5812">
        <v>164</v>
      </c>
      <c r="I5812" t="s">
        <v>114</v>
      </c>
      <c r="J5812" t="s">
        <v>115</v>
      </c>
      <c r="K5812">
        <v>0</v>
      </c>
      <c r="L5812">
        <v>3</v>
      </c>
      <c r="M5812">
        <v>0</v>
      </c>
      <c r="N5812">
        <v>2</v>
      </c>
      <c r="O5812">
        <v>1</v>
      </c>
      <c r="P5812">
        <v>0</v>
      </c>
      <c r="Q5812">
        <v>0</v>
      </c>
      <c r="S5812" t="str">
        <f t="shared" si="2715"/>
        <v>14:52:07.836</v>
      </c>
      <c r="T5812" t="str">
        <f t="shared" si="2716"/>
        <v>14:52:07.336</v>
      </c>
      <c r="U5812" t="str">
        <f t="shared" si="2691"/>
        <v>A9808D</v>
      </c>
      <c r="V5812">
        <v>0</v>
      </c>
      <c r="W5812">
        <v>0</v>
      </c>
      <c r="X5812">
        <v>1</v>
      </c>
      <c r="Z5812">
        <v>0</v>
      </c>
      <c r="AA5812">
        <v>9</v>
      </c>
      <c r="AB5812">
        <v>3</v>
      </c>
      <c r="AC5812">
        <v>0</v>
      </c>
      <c r="AD5812">
        <v>10</v>
      </c>
      <c r="AE5812">
        <v>0</v>
      </c>
      <c r="AF5812">
        <v>3</v>
      </c>
      <c r="AG5812">
        <v>2</v>
      </c>
      <c r="AH5812">
        <v>0</v>
      </c>
      <c r="AI5812" t="s">
        <v>1289</v>
      </c>
      <c r="AJ5812">
        <v>28.203385000000001</v>
      </c>
      <c r="AK5812" t="s">
        <v>1290</v>
      </c>
      <c r="AL5812">
        <v>-82.376304000000005</v>
      </c>
      <c r="AM5812">
        <v>100</v>
      </c>
      <c r="AN5812">
        <v>600</v>
      </c>
      <c r="AO5812" t="s">
        <v>118</v>
      </c>
      <c r="AP5812">
        <v>96</v>
      </c>
      <c r="AQ5812">
        <v>18</v>
      </c>
      <c r="AR5812">
        <v>-960</v>
      </c>
      <c r="AZ5812">
        <v>1200</v>
      </c>
      <c r="BA5812">
        <v>1</v>
      </c>
      <c r="BB5812" t="str">
        <f t="shared" si="2701"/>
        <v xml:space="preserve">N711JA  </v>
      </c>
      <c r="BC5812">
        <v>1</v>
      </c>
      <c r="BE5812">
        <v>0</v>
      </c>
      <c r="BF5812">
        <v>0</v>
      </c>
      <c r="BG5812">
        <v>0</v>
      </c>
      <c r="BH5812">
        <v>650</v>
      </c>
      <c r="BI5812">
        <v>1</v>
      </c>
      <c r="BJ5812">
        <v>1</v>
      </c>
      <c r="BK5812">
        <v>0</v>
      </c>
      <c r="BL5812">
        <v>0</v>
      </c>
      <c r="BO5812">
        <v>0</v>
      </c>
      <c r="BP5812">
        <v>0</v>
      </c>
      <c r="BW5812" t="str">
        <f t="shared" si="2717"/>
        <v>14:52:07.844</v>
      </c>
      <c r="CJ5812">
        <v>0</v>
      </c>
      <c r="CK5812">
        <v>2</v>
      </c>
      <c r="CL5812">
        <v>0</v>
      </c>
      <c r="CM5812">
        <v>2</v>
      </c>
      <c r="CN5812">
        <v>0</v>
      </c>
      <c r="CO5812">
        <v>7</v>
      </c>
      <c r="CP5812" t="s">
        <v>119</v>
      </c>
      <c r="CQ5812">
        <v>343</v>
      </c>
      <c r="CR5812">
        <v>1</v>
      </c>
      <c r="CW5812">
        <v>11203606</v>
      </c>
      <c r="CY5812">
        <v>1</v>
      </c>
      <c r="CZ5812">
        <v>0</v>
      </c>
      <c r="DA5812">
        <v>1</v>
      </c>
      <c r="DB5812">
        <v>0</v>
      </c>
      <c r="DC5812">
        <v>0</v>
      </c>
      <c r="DD5812">
        <v>1</v>
      </c>
      <c r="DE5812">
        <v>0</v>
      </c>
      <c r="DF5812">
        <v>0</v>
      </c>
      <c r="DG5812">
        <v>0</v>
      </c>
      <c r="DH5812">
        <v>0</v>
      </c>
      <c r="DI5812">
        <v>0</v>
      </c>
    </row>
    <row r="5813" spans="1:113" x14ac:dyDescent="0.3">
      <c r="A5813" t="str">
        <f t="shared" si="2714"/>
        <v>05/12/2020 14:51:50.022</v>
      </c>
      <c r="C5813" t="str">
        <f t="shared" si="2700"/>
        <v>FFDFD3C0</v>
      </c>
      <c r="D5813" t="s">
        <v>126</v>
      </c>
      <c r="E5813">
        <v>6</v>
      </c>
      <c r="F5813">
        <v>1006</v>
      </c>
      <c r="G5813" t="s">
        <v>114</v>
      </c>
      <c r="J5813" t="s">
        <v>128</v>
      </c>
      <c r="K5813">
        <v>0</v>
      </c>
      <c r="L5813">
        <v>3</v>
      </c>
      <c r="M5813">
        <v>0</v>
      </c>
      <c r="N5813">
        <v>2</v>
      </c>
      <c r="O5813">
        <v>1</v>
      </c>
      <c r="P5813">
        <v>0</v>
      </c>
      <c r="Q5813">
        <v>0</v>
      </c>
      <c r="S5813" t="str">
        <f t="shared" si="2715"/>
        <v>14:52:07.836</v>
      </c>
      <c r="T5813" t="str">
        <f t="shared" si="2716"/>
        <v>14:52:07.336</v>
      </c>
      <c r="U5813" t="str">
        <f t="shared" si="2691"/>
        <v>A9808D</v>
      </c>
      <c r="V5813">
        <v>0</v>
      </c>
      <c r="W5813">
        <v>0</v>
      </c>
      <c r="X5813">
        <v>1</v>
      </c>
      <c r="Z5813">
        <v>0</v>
      </c>
      <c r="AA5813">
        <v>9</v>
      </c>
      <c r="AB5813">
        <v>3</v>
      </c>
      <c r="AC5813">
        <v>0</v>
      </c>
      <c r="AD5813">
        <v>10</v>
      </c>
      <c r="AE5813">
        <v>0</v>
      </c>
      <c r="AF5813">
        <v>3</v>
      </c>
      <c r="AG5813">
        <v>2</v>
      </c>
      <c r="AH5813">
        <v>0</v>
      </c>
      <c r="AI5813" t="s">
        <v>1289</v>
      </c>
      <c r="AJ5813">
        <v>28.203385000000001</v>
      </c>
      <c r="AK5813" t="s">
        <v>1290</v>
      </c>
      <c r="AL5813">
        <v>-82.376304000000005</v>
      </c>
      <c r="AM5813">
        <v>100</v>
      </c>
      <c r="AN5813">
        <v>600</v>
      </c>
      <c r="AO5813" t="s">
        <v>118</v>
      </c>
      <c r="AP5813">
        <v>96</v>
      </c>
      <c r="AQ5813">
        <v>18</v>
      </c>
      <c r="AR5813">
        <v>-960</v>
      </c>
      <c r="AZ5813">
        <v>1200</v>
      </c>
      <c r="BA5813">
        <v>1</v>
      </c>
      <c r="BB5813" t="str">
        <f t="shared" si="2701"/>
        <v xml:space="preserve">N711JA  </v>
      </c>
      <c r="BC5813">
        <v>1</v>
      </c>
      <c r="BE5813">
        <v>0</v>
      </c>
      <c r="BF5813">
        <v>0</v>
      </c>
      <c r="BG5813">
        <v>0</v>
      </c>
      <c r="BH5813">
        <v>650</v>
      </c>
      <c r="BI5813">
        <v>1</v>
      </c>
      <c r="BJ5813">
        <v>1</v>
      </c>
      <c r="BK5813">
        <v>0</v>
      </c>
      <c r="BL5813">
        <v>0</v>
      </c>
      <c r="BO5813">
        <v>0</v>
      </c>
      <c r="BP5813">
        <v>0</v>
      </c>
      <c r="BW5813" t="str">
        <f t="shared" si="2717"/>
        <v>14:52:07.844</v>
      </c>
      <c r="CJ5813">
        <v>0</v>
      </c>
      <c r="CK5813">
        <v>2</v>
      </c>
      <c r="CL5813">
        <v>0</v>
      </c>
      <c r="CM5813">
        <v>2</v>
      </c>
      <c r="CN5813">
        <v>0</v>
      </c>
      <c r="CO5813">
        <v>7</v>
      </c>
      <c r="CP5813" t="s">
        <v>119</v>
      </c>
      <c r="CQ5813">
        <v>343</v>
      </c>
      <c r="CR5813">
        <v>1</v>
      </c>
      <c r="CW5813">
        <v>11203606</v>
      </c>
      <c r="CY5813">
        <v>1</v>
      </c>
      <c r="CZ5813">
        <v>0</v>
      </c>
      <c r="DA5813">
        <v>1</v>
      </c>
      <c r="DB5813">
        <v>0</v>
      </c>
      <c r="DC5813">
        <v>0</v>
      </c>
      <c r="DD5813">
        <v>1</v>
      </c>
      <c r="DE5813">
        <v>0</v>
      </c>
      <c r="DF5813">
        <v>0</v>
      </c>
      <c r="DG5813">
        <v>0</v>
      </c>
      <c r="DH5813">
        <v>0</v>
      </c>
      <c r="DI5813">
        <v>0</v>
      </c>
    </row>
    <row r="5814" spans="1:113" x14ac:dyDescent="0.3">
      <c r="A5814" t="str">
        <f t="shared" si="2714"/>
        <v>05/12/2020 14:51:50.022</v>
      </c>
      <c r="C5814" t="str">
        <f t="shared" si="2700"/>
        <v>FFDFD3C0</v>
      </c>
      <c r="D5814" t="s">
        <v>131</v>
      </c>
      <c r="E5814">
        <v>10</v>
      </c>
      <c r="F5814">
        <v>2010</v>
      </c>
      <c r="G5814" t="s">
        <v>132</v>
      </c>
      <c r="J5814" t="s">
        <v>133</v>
      </c>
      <c r="K5814">
        <v>0</v>
      </c>
      <c r="L5814">
        <v>3</v>
      </c>
      <c r="M5814">
        <v>0</v>
      </c>
      <c r="N5814">
        <v>2</v>
      </c>
      <c r="O5814">
        <v>1</v>
      </c>
      <c r="P5814">
        <v>0</v>
      </c>
      <c r="Q5814">
        <v>0</v>
      </c>
      <c r="S5814" t="str">
        <f t="shared" si="2715"/>
        <v>14:52:07.836</v>
      </c>
      <c r="T5814" t="str">
        <f t="shared" si="2716"/>
        <v>14:52:07.336</v>
      </c>
      <c r="U5814" t="str">
        <f t="shared" si="2691"/>
        <v>A9808D</v>
      </c>
      <c r="V5814">
        <v>0</v>
      </c>
      <c r="W5814">
        <v>0</v>
      </c>
      <c r="X5814">
        <v>1</v>
      </c>
      <c r="Z5814">
        <v>0</v>
      </c>
      <c r="AA5814">
        <v>9</v>
      </c>
      <c r="AB5814">
        <v>3</v>
      </c>
      <c r="AC5814">
        <v>0</v>
      </c>
      <c r="AD5814">
        <v>10</v>
      </c>
      <c r="AE5814">
        <v>0</v>
      </c>
      <c r="AF5814">
        <v>3</v>
      </c>
      <c r="AG5814">
        <v>2</v>
      </c>
      <c r="AH5814">
        <v>0</v>
      </c>
      <c r="AI5814" t="s">
        <v>1289</v>
      </c>
      <c r="AJ5814">
        <v>28.203385000000001</v>
      </c>
      <c r="AK5814" t="s">
        <v>1290</v>
      </c>
      <c r="AL5814">
        <v>-82.376304000000005</v>
      </c>
      <c r="AM5814">
        <v>100</v>
      </c>
      <c r="AN5814">
        <v>600</v>
      </c>
      <c r="AO5814" t="s">
        <v>118</v>
      </c>
      <c r="AP5814">
        <v>96</v>
      </c>
      <c r="AQ5814">
        <v>18</v>
      </c>
      <c r="AR5814">
        <v>-960</v>
      </c>
      <c r="AZ5814">
        <v>1200</v>
      </c>
      <c r="BA5814">
        <v>1</v>
      </c>
      <c r="BB5814" t="str">
        <f t="shared" si="2701"/>
        <v xml:space="preserve">N711JA  </v>
      </c>
      <c r="BC5814">
        <v>1</v>
      </c>
      <c r="BE5814">
        <v>0</v>
      </c>
      <c r="BF5814">
        <v>0</v>
      </c>
      <c r="BG5814">
        <v>0</v>
      </c>
      <c r="BH5814">
        <v>650</v>
      </c>
      <c r="BI5814">
        <v>1</v>
      </c>
      <c r="BJ5814">
        <v>1</v>
      </c>
      <c r="BK5814">
        <v>0</v>
      </c>
      <c r="BL5814">
        <v>0</v>
      </c>
      <c r="BO5814">
        <v>0</v>
      </c>
      <c r="BP5814">
        <v>0</v>
      </c>
      <c r="BW5814" t="str">
        <f t="shared" si="2717"/>
        <v>14:52:07.844</v>
      </c>
      <c r="CJ5814">
        <v>0</v>
      </c>
      <c r="CK5814">
        <v>2</v>
      </c>
      <c r="CL5814">
        <v>0</v>
      </c>
      <c r="CM5814">
        <v>2</v>
      </c>
      <c r="CN5814">
        <v>0</v>
      </c>
      <c r="CO5814">
        <v>7</v>
      </c>
      <c r="CP5814" t="s">
        <v>119</v>
      </c>
      <c r="CQ5814">
        <v>343</v>
      </c>
      <c r="CR5814">
        <v>1</v>
      </c>
      <c r="CW5814">
        <v>11203606</v>
      </c>
      <c r="CY5814">
        <v>1</v>
      </c>
      <c r="CZ5814">
        <v>0</v>
      </c>
      <c r="DA5814">
        <v>1</v>
      </c>
      <c r="DB5814">
        <v>0</v>
      </c>
      <c r="DC5814">
        <v>0</v>
      </c>
      <c r="DD5814">
        <v>1</v>
      </c>
      <c r="DE5814">
        <v>0</v>
      </c>
      <c r="DF5814">
        <v>0</v>
      </c>
      <c r="DG5814">
        <v>0</v>
      </c>
      <c r="DH5814">
        <v>0</v>
      </c>
      <c r="DI5814">
        <v>0</v>
      </c>
    </row>
    <row r="5815" spans="1:113" x14ac:dyDescent="0.3">
      <c r="A5815" t="str">
        <f t="shared" si="2714"/>
        <v>05/12/2020 14:51:50.022</v>
      </c>
      <c r="C5815" t="str">
        <f t="shared" si="2700"/>
        <v>FFDFD3C0</v>
      </c>
      <c r="D5815" t="s">
        <v>126</v>
      </c>
      <c r="E5815">
        <v>7</v>
      </c>
      <c r="F5815">
        <v>1007</v>
      </c>
      <c r="G5815" t="s">
        <v>127</v>
      </c>
      <c r="J5815" t="s">
        <v>128</v>
      </c>
      <c r="K5815">
        <v>0</v>
      </c>
      <c r="L5815">
        <v>3</v>
      </c>
      <c r="M5815">
        <v>0</v>
      </c>
      <c r="N5815">
        <v>2</v>
      </c>
      <c r="O5815">
        <v>1</v>
      </c>
      <c r="P5815">
        <v>0</v>
      </c>
      <c r="Q5815">
        <v>0</v>
      </c>
      <c r="S5815" t="str">
        <f t="shared" si="2715"/>
        <v>14:52:07.836</v>
      </c>
      <c r="T5815" t="str">
        <f t="shared" si="2716"/>
        <v>14:52:07.336</v>
      </c>
      <c r="U5815" t="str">
        <f t="shared" si="2691"/>
        <v>A9808D</v>
      </c>
      <c r="V5815">
        <v>0</v>
      </c>
      <c r="W5815">
        <v>0</v>
      </c>
      <c r="X5815">
        <v>1</v>
      </c>
      <c r="Z5815">
        <v>0</v>
      </c>
      <c r="AA5815">
        <v>9</v>
      </c>
      <c r="AB5815">
        <v>3</v>
      </c>
      <c r="AC5815">
        <v>0</v>
      </c>
      <c r="AD5815">
        <v>10</v>
      </c>
      <c r="AE5815">
        <v>0</v>
      </c>
      <c r="AF5815">
        <v>3</v>
      </c>
      <c r="AG5815">
        <v>2</v>
      </c>
      <c r="AH5815">
        <v>0</v>
      </c>
      <c r="AI5815" t="s">
        <v>1289</v>
      </c>
      <c r="AJ5815">
        <v>28.203385000000001</v>
      </c>
      <c r="AK5815" t="s">
        <v>1290</v>
      </c>
      <c r="AL5815">
        <v>-82.376304000000005</v>
      </c>
      <c r="AM5815">
        <v>100</v>
      </c>
      <c r="AN5815">
        <v>600</v>
      </c>
      <c r="AO5815" t="s">
        <v>118</v>
      </c>
      <c r="AP5815">
        <v>96</v>
      </c>
      <c r="AQ5815">
        <v>18</v>
      </c>
      <c r="AR5815">
        <v>-960</v>
      </c>
      <c r="AZ5815">
        <v>1200</v>
      </c>
      <c r="BA5815">
        <v>1</v>
      </c>
      <c r="BB5815" t="str">
        <f t="shared" si="2701"/>
        <v xml:space="preserve">N711JA  </v>
      </c>
      <c r="BC5815">
        <v>1</v>
      </c>
      <c r="BE5815">
        <v>0</v>
      </c>
      <c r="BF5815">
        <v>0</v>
      </c>
      <c r="BG5815">
        <v>0</v>
      </c>
      <c r="BH5815">
        <v>650</v>
      </c>
      <c r="BI5815">
        <v>1</v>
      </c>
      <c r="BJ5815">
        <v>1</v>
      </c>
      <c r="BK5815">
        <v>0</v>
      </c>
      <c r="BL5815">
        <v>0</v>
      </c>
      <c r="BO5815">
        <v>0</v>
      </c>
      <c r="BP5815">
        <v>0</v>
      </c>
      <c r="BW5815" t="str">
        <f t="shared" si="2717"/>
        <v>14:52:07.844</v>
      </c>
      <c r="CJ5815">
        <v>0</v>
      </c>
      <c r="CK5815">
        <v>2</v>
      </c>
      <c r="CL5815">
        <v>0</v>
      </c>
      <c r="CM5815">
        <v>2</v>
      </c>
      <c r="CN5815">
        <v>0</v>
      </c>
      <c r="CO5815">
        <v>7</v>
      </c>
      <c r="CP5815" t="s">
        <v>119</v>
      </c>
      <c r="CQ5815">
        <v>343</v>
      </c>
      <c r="CR5815">
        <v>1</v>
      </c>
      <c r="CW5815">
        <v>11203606</v>
      </c>
      <c r="CY5815">
        <v>1</v>
      </c>
      <c r="CZ5815">
        <v>0</v>
      </c>
      <c r="DA5815">
        <v>1</v>
      </c>
      <c r="DB5815">
        <v>0</v>
      </c>
      <c r="DC5815">
        <v>0</v>
      </c>
      <c r="DD5815">
        <v>1</v>
      </c>
      <c r="DE5815">
        <v>0</v>
      </c>
      <c r="DF5815">
        <v>0</v>
      </c>
      <c r="DG5815">
        <v>0</v>
      </c>
      <c r="DH5815">
        <v>0</v>
      </c>
      <c r="DI5815">
        <v>0</v>
      </c>
    </row>
    <row r="5816" spans="1:113" x14ac:dyDescent="0.3">
      <c r="A5816" t="str">
        <f t="shared" si="2714"/>
        <v>05/12/2020 14:51:50.022</v>
      </c>
      <c r="C5816" t="str">
        <f t="shared" si="2700"/>
        <v>FFDFD3C0</v>
      </c>
      <c r="D5816" t="s">
        <v>131</v>
      </c>
      <c r="E5816">
        <v>12</v>
      </c>
      <c r="F5816">
        <v>2012</v>
      </c>
      <c r="G5816" t="s">
        <v>137</v>
      </c>
      <c r="J5816" t="s">
        <v>133</v>
      </c>
      <c r="K5816">
        <v>0</v>
      </c>
      <c r="L5816">
        <v>3</v>
      </c>
      <c r="M5816">
        <v>0</v>
      </c>
      <c r="N5816">
        <v>2</v>
      </c>
      <c r="O5816">
        <v>1</v>
      </c>
      <c r="P5816">
        <v>0</v>
      </c>
      <c r="Q5816">
        <v>0</v>
      </c>
      <c r="S5816" t="str">
        <f t="shared" si="2715"/>
        <v>14:52:07.836</v>
      </c>
      <c r="T5816" t="str">
        <f t="shared" si="2716"/>
        <v>14:52:07.336</v>
      </c>
      <c r="U5816" t="str">
        <f t="shared" si="2691"/>
        <v>A9808D</v>
      </c>
      <c r="V5816">
        <v>0</v>
      </c>
      <c r="W5816">
        <v>0</v>
      </c>
      <c r="X5816">
        <v>1</v>
      </c>
      <c r="Z5816">
        <v>0</v>
      </c>
      <c r="AA5816">
        <v>9</v>
      </c>
      <c r="AB5816">
        <v>3</v>
      </c>
      <c r="AC5816">
        <v>0</v>
      </c>
      <c r="AD5816">
        <v>10</v>
      </c>
      <c r="AE5816">
        <v>0</v>
      </c>
      <c r="AF5816">
        <v>3</v>
      </c>
      <c r="AG5816">
        <v>2</v>
      </c>
      <c r="AH5816">
        <v>0</v>
      </c>
      <c r="AI5816" t="s">
        <v>1289</v>
      </c>
      <c r="AJ5816">
        <v>28.203385000000001</v>
      </c>
      <c r="AK5816" t="s">
        <v>1290</v>
      </c>
      <c r="AL5816">
        <v>-82.376304000000005</v>
      </c>
      <c r="AM5816">
        <v>100</v>
      </c>
      <c r="AN5816">
        <v>600</v>
      </c>
      <c r="AO5816" t="s">
        <v>118</v>
      </c>
      <c r="AP5816">
        <v>96</v>
      </c>
      <c r="AQ5816">
        <v>18</v>
      </c>
      <c r="AR5816">
        <v>-960</v>
      </c>
      <c r="AZ5816">
        <v>1200</v>
      </c>
      <c r="BA5816">
        <v>1</v>
      </c>
      <c r="BB5816" t="str">
        <f t="shared" si="2701"/>
        <v xml:space="preserve">N711JA  </v>
      </c>
      <c r="BC5816">
        <v>1</v>
      </c>
      <c r="BE5816">
        <v>0</v>
      </c>
      <c r="BF5816">
        <v>0</v>
      </c>
      <c r="BG5816">
        <v>0</v>
      </c>
      <c r="BH5816">
        <v>650</v>
      </c>
      <c r="BI5816">
        <v>1</v>
      </c>
      <c r="BJ5816">
        <v>1</v>
      </c>
      <c r="BK5816">
        <v>0</v>
      </c>
      <c r="BL5816">
        <v>0</v>
      </c>
      <c r="BO5816">
        <v>0</v>
      </c>
      <c r="BP5816">
        <v>0</v>
      </c>
      <c r="BW5816" t="str">
        <f t="shared" si="2717"/>
        <v>14:52:07.844</v>
      </c>
      <c r="CJ5816">
        <v>0</v>
      </c>
      <c r="CK5816">
        <v>2</v>
      </c>
      <c r="CL5816">
        <v>0</v>
      </c>
      <c r="CM5816">
        <v>2</v>
      </c>
      <c r="CN5816">
        <v>0</v>
      </c>
      <c r="CO5816">
        <v>7</v>
      </c>
      <c r="CP5816" t="s">
        <v>119</v>
      </c>
      <c r="CQ5816">
        <v>343</v>
      </c>
      <c r="CR5816">
        <v>1</v>
      </c>
      <c r="CW5816">
        <v>11203606</v>
      </c>
      <c r="CY5816">
        <v>1</v>
      </c>
      <c r="CZ5816">
        <v>0</v>
      </c>
      <c r="DA5816">
        <v>1</v>
      </c>
      <c r="DB5816">
        <v>0</v>
      </c>
      <c r="DC5816">
        <v>0</v>
      </c>
      <c r="DD5816">
        <v>1</v>
      </c>
      <c r="DE5816">
        <v>0</v>
      </c>
      <c r="DF5816">
        <v>0</v>
      </c>
      <c r="DG5816">
        <v>0</v>
      </c>
      <c r="DH5816">
        <v>0</v>
      </c>
      <c r="DI5816">
        <v>0</v>
      </c>
    </row>
    <row r="5817" spans="1:113" x14ac:dyDescent="0.3">
      <c r="A5817" t="str">
        <f t="shared" ref="A5817:A5824" si="2718">"05/12/2020 14:51:51.097"</f>
        <v>05/12/2020 14:51:51.097</v>
      </c>
      <c r="C5817" t="str">
        <f t="shared" si="2700"/>
        <v>FFDFD3C0</v>
      </c>
      <c r="D5817" t="s">
        <v>113</v>
      </c>
      <c r="E5817">
        <v>3</v>
      </c>
      <c r="H5817">
        <v>164</v>
      </c>
      <c r="I5817" t="s">
        <v>114</v>
      </c>
      <c r="J5817" t="s">
        <v>115</v>
      </c>
      <c r="K5817">
        <v>0</v>
      </c>
      <c r="L5817">
        <v>3</v>
      </c>
      <c r="M5817">
        <v>0</v>
      </c>
      <c r="N5817">
        <v>2</v>
      </c>
      <c r="O5817">
        <v>1</v>
      </c>
      <c r="P5817">
        <v>0</v>
      </c>
      <c r="Q5817">
        <v>0</v>
      </c>
      <c r="S5817" t="str">
        <f t="shared" ref="S5817:S5824" si="2719">"14:52:08.914"</f>
        <v>14:52:08.914</v>
      </c>
      <c r="T5817" t="str">
        <f t="shared" ref="T5817:T5824" si="2720">"14:52:08.514"</f>
        <v>14:52:08.514</v>
      </c>
      <c r="U5817" t="str">
        <f t="shared" si="2691"/>
        <v>A9808D</v>
      </c>
      <c r="V5817">
        <v>0</v>
      </c>
      <c r="W5817">
        <v>0</v>
      </c>
      <c r="X5817">
        <v>1</v>
      </c>
      <c r="Z5817">
        <v>0</v>
      </c>
      <c r="AA5817">
        <v>9</v>
      </c>
      <c r="AB5817">
        <v>3</v>
      </c>
      <c r="AC5817">
        <v>0</v>
      </c>
      <c r="AD5817">
        <v>10</v>
      </c>
      <c r="AE5817">
        <v>0</v>
      </c>
      <c r="AF5817">
        <v>3</v>
      </c>
      <c r="AG5817">
        <v>2</v>
      </c>
      <c r="AH5817">
        <v>0</v>
      </c>
      <c r="AI5817" t="s">
        <v>1291</v>
      </c>
      <c r="AJ5817">
        <v>28.203492000000001</v>
      </c>
      <c r="AK5817" t="s">
        <v>1292</v>
      </c>
      <c r="AL5817">
        <v>-82.375766999999996</v>
      </c>
      <c r="AM5817">
        <v>100</v>
      </c>
      <c r="AN5817">
        <v>600</v>
      </c>
      <c r="AO5817" t="s">
        <v>118</v>
      </c>
      <c r="AP5817">
        <v>95</v>
      </c>
      <c r="AQ5817">
        <v>20</v>
      </c>
      <c r="AR5817">
        <v>-1024</v>
      </c>
      <c r="AZ5817">
        <v>1200</v>
      </c>
      <c r="BA5817">
        <v>1</v>
      </c>
      <c r="BB5817" t="str">
        <f t="shared" si="2701"/>
        <v xml:space="preserve">N711JA  </v>
      </c>
      <c r="BC5817">
        <v>1</v>
      </c>
      <c r="BE5817">
        <v>0</v>
      </c>
      <c r="BF5817">
        <v>0</v>
      </c>
      <c r="BG5817">
        <v>0</v>
      </c>
      <c r="BH5817">
        <v>625</v>
      </c>
      <c r="BI5817">
        <v>1</v>
      </c>
      <c r="BJ5817">
        <v>1</v>
      </c>
      <c r="BK5817">
        <v>0</v>
      </c>
      <c r="BL5817">
        <v>0</v>
      </c>
      <c r="BO5817">
        <v>0</v>
      </c>
      <c r="BP5817">
        <v>0</v>
      </c>
      <c r="BW5817" t="str">
        <f t="shared" ref="BW5817:BW5824" si="2721">"14:52:08.921"</f>
        <v>14:52:08.921</v>
      </c>
      <c r="CJ5817">
        <v>0</v>
      </c>
      <c r="CK5817">
        <v>2</v>
      </c>
      <c r="CL5817">
        <v>0</v>
      </c>
      <c r="CM5817">
        <v>2</v>
      </c>
      <c r="CN5817">
        <v>0</v>
      </c>
      <c r="CO5817">
        <v>7</v>
      </c>
      <c r="CP5817" t="s">
        <v>119</v>
      </c>
      <c r="CQ5817">
        <v>343</v>
      </c>
      <c r="CR5817">
        <v>1</v>
      </c>
      <c r="CW5817">
        <v>11204753</v>
      </c>
      <c r="CY5817">
        <v>1</v>
      </c>
      <c r="CZ5817">
        <v>0</v>
      </c>
      <c r="DA5817">
        <v>0</v>
      </c>
      <c r="DB5817">
        <v>0</v>
      </c>
      <c r="DC5817">
        <v>0</v>
      </c>
      <c r="DD5817">
        <v>1</v>
      </c>
      <c r="DE5817">
        <v>0</v>
      </c>
      <c r="DF5817">
        <v>0</v>
      </c>
      <c r="DG5817">
        <v>0</v>
      </c>
      <c r="DH5817">
        <v>0</v>
      </c>
      <c r="DI5817">
        <v>0</v>
      </c>
    </row>
    <row r="5818" spans="1:113" x14ac:dyDescent="0.3">
      <c r="A5818" t="str">
        <f t="shared" si="2718"/>
        <v>05/12/2020 14:51:51.097</v>
      </c>
      <c r="C5818" t="str">
        <f t="shared" si="2700"/>
        <v>FFDFD3C0</v>
      </c>
      <c r="D5818" t="s">
        <v>131</v>
      </c>
      <c r="E5818">
        <v>10</v>
      </c>
      <c r="F5818">
        <v>2010</v>
      </c>
      <c r="G5818" t="s">
        <v>132</v>
      </c>
      <c r="J5818" t="s">
        <v>133</v>
      </c>
      <c r="K5818">
        <v>0</v>
      </c>
      <c r="L5818">
        <v>3</v>
      </c>
      <c r="M5818">
        <v>0</v>
      </c>
      <c r="N5818">
        <v>2</v>
      </c>
      <c r="O5818">
        <v>1</v>
      </c>
      <c r="P5818">
        <v>0</v>
      </c>
      <c r="Q5818">
        <v>0</v>
      </c>
      <c r="S5818" t="str">
        <f t="shared" si="2719"/>
        <v>14:52:08.914</v>
      </c>
      <c r="T5818" t="str">
        <f t="shared" si="2720"/>
        <v>14:52:08.514</v>
      </c>
      <c r="U5818" t="str">
        <f t="shared" si="2691"/>
        <v>A9808D</v>
      </c>
      <c r="V5818">
        <v>0</v>
      </c>
      <c r="W5818">
        <v>0</v>
      </c>
      <c r="X5818">
        <v>1</v>
      </c>
      <c r="Z5818">
        <v>0</v>
      </c>
      <c r="AA5818">
        <v>9</v>
      </c>
      <c r="AB5818">
        <v>3</v>
      </c>
      <c r="AC5818">
        <v>0</v>
      </c>
      <c r="AD5818">
        <v>10</v>
      </c>
      <c r="AE5818">
        <v>0</v>
      </c>
      <c r="AF5818">
        <v>3</v>
      </c>
      <c r="AG5818">
        <v>2</v>
      </c>
      <c r="AH5818">
        <v>0</v>
      </c>
      <c r="AI5818" t="s">
        <v>1291</v>
      </c>
      <c r="AJ5818">
        <v>28.203492000000001</v>
      </c>
      <c r="AK5818" t="s">
        <v>1292</v>
      </c>
      <c r="AL5818">
        <v>-82.375766999999996</v>
      </c>
      <c r="AM5818">
        <v>100</v>
      </c>
      <c r="AN5818">
        <v>600</v>
      </c>
      <c r="AO5818" t="s">
        <v>118</v>
      </c>
      <c r="AP5818">
        <v>95</v>
      </c>
      <c r="AQ5818">
        <v>20</v>
      </c>
      <c r="AR5818">
        <v>-1024</v>
      </c>
      <c r="AZ5818">
        <v>1200</v>
      </c>
      <c r="BA5818">
        <v>1</v>
      </c>
      <c r="BB5818" t="str">
        <f t="shared" si="2701"/>
        <v xml:space="preserve">N711JA  </v>
      </c>
      <c r="BC5818">
        <v>1</v>
      </c>
      <c r="BE5818">
        <v>0</v>
      </c>
      <c r="BF5818">
        <v>0</v>
      </c>
      <c r="BG5818">
        <v>0</v>
      </c>
      <c r="BH5818">
        <v>625</v>
      </c>
      <c r="BI5818">
        <v>1</v>
      </c>
      <c r="BJ5818">
        <v>1</v>
      </c>
      <c r="BK5818">
        <v>0</v>
      </c>
      <c r="BL5818">
        <v>0</v>
      </c>
      <c r="BO5818">
        <v>0</v>
      </c>
      <c r="BP5818">
        <v>0</v>
      </c>
      <c r="BW5818" t="str">
        <f t="shared" si="2721"/>
        <v>14:52:08.921</v>
      </c>
      <c r="CJ5818">
        <v>0</v>
      </c>
      <c r="CK5818">
        <v>2</v>
      </c>
      <c r="CL5818">
        <v>0</v>
      </c>
      <c r="CM5818">
        <v>2</v>
      </c>
      <c r="CN5818">
        <v>0</v>
      </c>
      <c r="CO5818">
        <v>7</v>
      </c>
      <c r="CP5818" t="s">
        <v>119</v>
      </c>
      <c r="CQ5818">
        <v>343</v>
      </c>
      <c r="CR5818">
        <v>1</v>
      </c>
      <c r="CW5818">
        <v>11204753</v>
      </c>
      <c r="CY5818">
        <v>1</v>
      </c>
      <c r="CZ5818">
        <v>0</v>
      </c>
      <c r="DA5818">
        <v>1</v>
      </c>
      <c r="DB5818">
        <v>0</v>
      </c>
      <c r="DC5818">
        <v>0</v>
      </c>
      <c r="DD5818">
        <v>1</v>
      </c>
      <c r="DE5818">
        <v>0</v>
      </c>
      <c r="DF5818">
        <v>0</v>
      </c>
      <c r="DG5818">
        <v>0</v>
      </c>
      <c r="DH5818">
        <v>0</v>
      </c>
      <c r="DI5818">
        <v>0</v>
      </c>
    </row>
    <row r="5819" spans="1:113" x14ac:dyDescent="0.3">
      <c r="A5819" t="str">
        <f t="shared" si="2718"/>
        <v>05/12/2020 14:51:51.097</v>
      </c>
      <c r="C5819" t="str">
        <f t="shared" si="2700"/>
        <v>FFDFD3C0</v>
      </c>
      <c r="D5819" t="s">
        <v>131</v>
      </c>
      <c r="E5819">
        <v>12</v>
      </c>
      <c r="F5819">
        <v>2012</v>
      </c>
      <c r="G5819" t="s">
        <v>137</v>
      </c>
      <c r="J5819" t="s">
        <v>133</v>
      </c>
      <c r="K5819">
        <v>0</v>
      </c>
      <c r="L5819">
        <v>3</v>
      </c>
      <c r="M5819">
        <v>0</v>
      </c>
      <c r="N5819">
        <v>2</v>
      </c>
      <c r="O5819">
        <v>1</v>
      </c>
      <c r="P5819">
        <v>0</v>
      </c>
      <c r="Q5819">
        <v>0</v>
      </c>
      <c r="S5819" t="str">
        <f t="shared" si="2719"/>
        <v>14:52:08.914</v>
      </c>
      <c r="T5819" t="str">
        <f t="shared" si="2720"/>
        <v>14:52:08.514</v>
      </c>
      <c r="U5819" t="str">
        <f t="shared" si="2691"/>
        <v>A9808D</v>
      </c>
      <c r="V5819">
        <v>0</v>
      </c>
      <c r="W5819">
        <v>0</v>
      </c>
      <c r="X5819">
        <v>1</v>
      </c>
      <c r="Z5819">
        <v>0</v>
      </c>
      <c r="AA5819">
        <v>9</v>
      </c>
      <c r="AB5819">
        <v>3</v>
      </c>
      <c r="AC5819">
        <v>0</v>
      </c>
      <c r="AD5819">
        <v>10</v>
      </c>
      <c r="AE5819">
        <v>0</v>
      </c>
      <c r="AF5819">
        <v>3</v>
      </c>
      <c r="AG5819">
        <v>2</v>
      </c>
      <c r="AH5819">
        <v>0</v>
      </c>
      <c r="AI5819" t="s">
        <v>1291</v>
      </c>
      <c r="AJ5819">
        <v>28.203492000000001</v>
      </c>
      <c r="AK5819" t="s">
        <v>1292</v>
      </c>
      <c r="AL5819">
        <v>-82.375766999999996</v>
      </c>
      <c r="AM5819">
        <v>100</v>
      </c>
      <c r="AN5819">
        <v>600</v>
      </c>
      <c r="AO5819" t="s">
        <v>118</v>
      </c>
      <c r="AP5819">
        <v>95</v>
      </c>
      <c r="AQ5819">
        <v>20</v>
      </c>
      <c r="AR5819">
        <v>-1024</v>
      </c>
      <c r="AZ5819">
        <v>1200</v>
      </c>
      <c r="BA5819">
        <v>1</v>
      </c>
      <c r="BB5819" t="str">
        <f t="shared" si="2701"/>
        <v xml:space="preserve">N711JA  </v>
      </c>
      <c r="BC5819">
        <v>1</v>
      </c>
      <c r="BE5819">
        <v>0</v>
      </c>
      <c r="BF5819">
        <v>0</v>
      </c>
      <c r="BG5819">
        <v>0</v>
      </c>
      <c r="BH5819">
        <v>625</v>
      </c>
      <c r="BI5819">
        <v>1</v>
      </c>
      <c r="BJ5819">
        <v>1</v>
      </c>
      <c r="BK5819">
        <v>0</v>
      </c>
      <c r="BL5819">
        <v>0</v>
      </c>
      <c r="BO5819">
        <v>0</v>
      </c>
      <c r="BP5819">
        <v>0</v>
      </c>
      <c r="BW5819" t="str">
        <f t="shared" si="2721"/>
        <v>14:52:08.921</v>
      </c>
      <c r="CJ5819">
        <v>0</v>
      </c>
      <c r="CK5819">
        <v>2</v>
      </c>
      <c r="CL5819">
        <v>0</v>
      </c>
      <c r="CM5819">
        <v>2</v>
      </c>
      <c r="CN5819">
        <v>0</v>
      </c>
      <c r="CO5819">
        <v>7</v>
      </c>
      <c r="CP5819" t="s">
        <v>119</v>
      </c>
      <c r="CQ5819">
        <v>343</v>
      </c>
      <c r="CR5819">
        <v>1</v>
      </c>
      <c r="CW5819">
        <v>11204753</v>
      </c>
      <c r="CY5819">
        <v>1</v>
      </c>
      <c r="CZ5819">
        <v>0</v>
      </c>
      <c r="DA5819">
        <v>1</v>
      </c>
      <c r="DB5819">
        <v>0</v>
      </c>
      <c r="DC5819">
        <v>0</v>
      </c>
      <c r="DD5819">
        <v>1</v>
      </c>
      <c r="DE5819">
        <v>0</v>
      </c>
      <c r="DF5819">
        <v>0</v>
      </c>
      <c r="DG5819">
        <v>0</v>
      </c>
      <c r="DH5819">
        <v>0</v>
      </c>
      <c r="DI5819">
        <v>0</v>
      </c>
    </row>
    <row r="5820" spans="1:113" x14ac:dyDescent="0.3">
      <c r="A5820" t="str">
        <f t="shared" si="2718"/>
        <v>05/12/2020 14:51:51.097</v>
      </c>
      <c r="C5820" t="str">
        <f t="shared" si="2700"/>
        <v>FFDFD3C0</v>
      </c>
      <c r="D5820" t="s">
        <v>126</v>
      </c>
      <c r="E5820">
        <v>7</v>
      </c>
      <c r="F5820">
        <v>1007</v>
      </c>
      <c r="G5820" t="s">
        <v>127</v>
      </c>
      <c r="J5820" t="s">
        <v>128</v>
      </c>
      <c r="K5820">
        <v>0</v>
      </c>
      <c r="L5820">
        <v>3</v>
      </c>
      <c r="M5820">
        <v>0</v>
      </c>
      <c r="N5820">
        <v>2</v>
      </c>
      <c r="O5820">
        <v>1</v>
      </c>
      <c r="P5820">
        <v>0</v>
      </c>
      <c r="Q5820">
        <v>0</v>
      </c>
      <c r="S5820" t="str">
        <f t="shared" si="2719"/>
        <v>14:52:08.914</v>
      </c>
      <c r="T5820" t="str">
        <f t="shared" si="2720"/>
        <v>14:52:08.514</v>
      </c>
      <c r="U5820" t="str">
        <f t="shared" si="2691"/>
        <v>A9808D</v>
      </c>
      <c r="V5820">
        <v>0</v>
      </c>
      <c r="W5820">
        <v>0</v>
      </c>
      <c r="X5820">
        <v>1</v>
      </c>
      <c r="Z5820">
        <v>0</v>
      </c>
      <c r="AA5820">
        <v>9</v>
      </c>
      <c r="AB5820">
        <v>3</v>
      </c>
      <c r="AC5820">
        <v>0</v>
      </c>
      <c r="AD5820">
        <v>10</v>
      </c>
      <c r="AE5820">
        <v>0</v>
      </c>
      <c r="AF5820">
        <v>3</v>
      </c>
      <c r="AG5820">
        <v>2</v>
      </c>
      <c r="AH5820">
        <v>0</v>
      </c>
      <c r="AI5820" t="s">
        <v>1291</v>
      </c>
      <c r="AJ5820">
        <v>28.203492000000001</v>
      </c>
      <c r="AK5820" t="s">
        <v>1292</v>
      </c>
      <c r="AL5820">
        <v>-82.375766999999996</v>
      </c>
      <c r="AM5820">
        <v>100</v>
      </c>
      <c r="AN5820">
        <v>600</v>
      </c>
      <c r="AO5820" t="s">
        <v>118</v>
      </c>
      <c r="AP5820">
        <v>95</v>
      </c>
      <c r="AQ5820">
        <v>20</v>
      </c>
      <c r="AR5820">
        <v>-1024</v>
      </c>
      <c r="AZ5820">
        <v>1200</v>
      </c>
      <c r="BA5820">
        <v>1</v>
      </c>
      <c r="BB5820" t="str">
        <f t="shared" si="2701"/>
        <v xml:space="preserve">N711JA  </v>
      </c>
      <c r="BC5820">
        <v>1</v>
      </c>
      <c r="BE5820">
        <v>0</v>
      </c>
      <c r="BF5820">
        <v>0</v>
      </c>
      <c r="BG5820">
        <v>0</v>
      </c>
      <c r="BH5820">
        <v>625</v>
      </c>
      <c r="BI5820">
        <v>1</v>
      </c>
      <c r="BJ5820">
        <v>1</v>
      </c>
      <c r="BK5820">
        <v>0</v>
      </c>
      <c r="BL5820">
        <v>0</v>
      </c>
      <c r="BO5820">
        <v>0</v>
      </c>
      <c r="BP5820">
        <v>0</v>
      </c>
      <c r="BW5820" t="str">
        <f t="shared" si="2721"/>
        <v>14:52:08.921</v>
      </c>
      <c r="CJ5820">
        <v>0</v>
      </c>
      <c r="CK5820">
        <v>2</v>
      </c>
      <c r="CL5820">
        <v>0</v>
      </c>
      <c r="CM5820">
        <v>2</v>
      </c>
      <c r="CN5820">
        <v>0</v>
      </c>
      <c r="CO5820">
        <v>7</v>
      </c>
      <c r="CP5820" t="s">
        <v>119</v>
      </c>
      <c r="CQ5820">
        <v>343</v>
      </c>
      <c r="CR5820">
        <v>1</v>
      </c>
      <c r="CW5820">
        <v>11204753</v>
      </c>
      <c r="CY5820">
        <v>1</v>
      </c>
      <c r="CZ5820">
        <v>0</v>
      </c>
      <c r="DA5820">
        <v>1</v>
      </c>
      <c r="DB5820">
        <v>0</v>
      </c>
      <c r="DC5820">
        <v>0</v>
      </c>
      <c r="DD5820">
        <v>1</v>
      </c>
      <c r="DE5820">
        <v>0</v>
      </c>
      <c r="DF5820">
        <v>0</v>
      </c>
      <c r="DG5820">
        <v>0</v>
      </c>
      <c r="DH5820">
        <v>0</v>
      </c>
      <c r="DI5820">
        <v>0</v>
      </c>
    </row>
    <row r="5821" spans="1:113" x14ac:dyDescent="0.3">
      <c r="A5821" t="str">
        <f t="shared" si="2718"/>
        <v>05/12/2020 14:51:51.097</v>
      </c>
      <c r="C5821" t="str">
        <f t="shared" si="2700"/>
        <v>FFDFD3C0</v>
      </c>
      <c r="D5821" t="s">
        <v>134</v>
      </c>
      <c r="E5821">
        <v>12</v>
      </c>
      <c r="H5821">
        <v>64</v>
      </c>
      <c r="I5821" t="s">
        <v>135</v>
      </c>
      <c r="J5821" t="s">
        <v>136</v>
      </c>
      <c r="K5821">
        <v>0</v>
      </c>
      <c r="L5821">
        <v>3</v>
      </c>
      <c r="M5821">
        <v>0</v>
      </c>
      <c r="N5821">
        <v>2</v>
      </c>
      <c r="O5821">
        <v>1</v>
      </c>
      <c r="P5821">
        <v>0</v>
      </c>
      <c r="Q5821">
        <v>0</v>
      </c>
      <c r="S5821" t="str">
        <f t="shared" si="2719"/>
        <v>14:52:08.914</v>
      </c>
      <c r="T5821" t="str">
        <f t="shared" si="2720"/>
        <v>14:52:08.514</v>
      </c>
      <c r="U5821" t="str">
        <f t="shared" si="2691"/>
        <v>A9808D</v>
      </c>
      <c r="V5821">
        <v>0</v>
      </c>
      <c r="W5821">
        <v>0</v>
      </c>
      <c r="X5821">
        <v>1</v>
      </c>
      <c r="Z5821">
        <v>0</v>
      </c>
      <c r="AA5821">
        <v>9</v>
      </c>
      <c r="AB5821">
        <v>3</v>
      </c>
      <c r="AC5821">
        <v>0</v>
      </c>
      <c r="AD5821">
        <v>10</v>
      </c>
      <c r="AE5821">
        <v>0</v>
      </c>
      <c r="AF5821">
        <v>3</v>
      </c>
      <c r="AG5821">
        <v>2</v>
      </c>
      <c r="AH5821">
        <v>0</v>
      </c>
      <c r="AI5821" t="s">
        <v>1291</v>
      </c>
      <c r="AJ5821">
        <v>28.203492000000001</v>
      </c>
      <c r="AK5821" t="s">
        <v>1292</v>
      </c>
      <c r="AL5821">
        <v>-82.375766999999996</v>
      </c>
      <c r="AM5821">
        <v>100</v>
      </c>
      <c r="AN5821">
        <v>600</v>
      </c>
      <c r="AO5821" t="s">
        <v>118</v>
      </c>
      <c r="AP5821">
        <v>95</v>
      </c>
      <c r="AQ5821">
        <v>20</v>
      </c>
      <c r="AR5821">
        <v>-1024</v>
      </c>
      <c r="AZ5821">
        <v>1200</v>
      </c>
      <c r="BA5821">
        <v>1</v>
      </c>
      <c r="BB5821" t="str">
        <f t="shared" si="2701"/>
        <v xml:space="preserve">N711JA  </v>
      </c>
      <c r="BC5821">
        <v>1</v>
      </c>
      <c r="BE5821">
        <v>0</v>
      </c>
      <c r="BF5821">
        <v>0</v>
      </c>
      <c r="BG5821">
        <v>0</v>
      </c>
      <c r="BH5821">
        <v>625</v>
      </c>
      <c r="BI5821">
        <v>1</v>
      </c>
      <c r="BJ5821">
        <v>1</v>
      </c>
      <c r="BK5821">
        <v>0</v>
      </c>
      <c r="BL5821">
        <v>0</v>
      </c>
      <c r="BO5821">
        <v>0</v>
      </c>
      <c r="BP5821">
        <v>0</v>
      </c>
      <c r="BW5821" t="str">
        <f t="shared" si="2721"/>
        <v>14:52:08.921</v>
      </c>
      <c r="CJ5821">
        <v>0</v>
      </c>
      <c r="CK5821">
        <v>2</v>
      </c>
      <c r="CL5821">
        <v>0</v>
      </c>
      <c r="CM5821">
        <v>2</v>
      </c>
      <c r="CN5821">
        <v>0</v>
      </c>
      <c r="CO5821">
        <v>7</v>
      </c>
      <c r="CP5821" t="s">
        <v>119</v>
      </c>
      <c r="CQ5821">
        <v>343</v>
      </c>
      <c r="CR5821">
        <v>1</v>
      </c>
      <c r="CW5821">
        <v>11204753</v>
      </c>
      <c r="CY5821">
        <v>1</v>
      </c>
      <c r="CZ5821">
        <v>0</v>
      </c>
      <c r="DA5821">
        <v>1</v>
      </c>
      <c r="DB5821">
        <v>0</v>
      </c>
      <c r="DC5821">
        <v>0</v>
      </c>
      <c r="DD5821">
        <v>1</v>
      </c>
      <c r="DE5821">
        <v>0</v>
      </c>
      <c r="DF5821">
        <v>0</v>
      </c>
      <c r="DG5821">
        <v>0</v>
      </c>
      <c r="DH5821">
        <v>0</v>
      </c>
      <c r="DI5821">
        <v>0</v>
      </c>
    </row>
    <row r="5822" spans="1:113" x14ac:dyDescent="0.3">
      <c r="A5822" t="str">
        <f t="shared" si="2718"/>
        <v>05/12/2020 14:51:51.097</v>
      </c>
      <c r="C5822" t="str">
        <f t="shared" si="2700"/>
        <v>FFDFD3C0</v>
      </c>
      <c r="D5822" t="s">
        <v>126</v>
      </c>
      <c r="E5822">
        <v>6</v>
      </c>
      <c r="F5822">
        <v>1006</v>
      </c>
      <c r="G5822" t="s">
        <v>114</v>
      </c>
      <c r="J5822" t="s">
        <v>128</v>
      </c>
      <c r="K5822">
        <v>0</v>
      </c>
      <c r="L5822">
        <v>3</v>
      </c>
      <c r="M5822">
        <v>0</v>
      </c>
      <c r="N5822">
        <v>2</v>
      </c>
      <c r="O5822">
        <v>1</v>
      </c>
      <c r="P5822">
        <v>0</v>
      </c>
      <c r="Q5822">
        <v>0</v>
      </c>
      <c r="S5822" t="str">
        <f t="shared" si="2719"/>
        <v>14:52:08.914</v>
      </c>
      <c r="T5822" t="str">
        <f t="shared" si="2720"/>
        <v>14:52:08.514</v>
      </c>
      <c r="U5822" t="str">
        <f t="shared" si="2691"/>
        <v>A9808D</v>
      </c>
      <c r="V5822">
        <v>0</v>
      </c>
      <c r="W5822">
        <v>0</v>
      </c>
      <c r="X5822">
        <v>1</v>
      </c>
      <c r="Z5822">
        <v>0</v>
      </c>
      <c r="AA5822">
        <v>9</v>
      </c>
      <c r="AB5822">
        <v>3</v>
      </c>
      <c r="AC5822">
        <v>0</v>
      </c>
      <c r="AD5822">
        <v>10</v>
      </c>
      <c r="AE5822">
        <v>0</v>
      </c>
      <c r="AF5822">
        <v>3</v>
      </c>
      <c r="AG5822">
        <v>2</v>
      </c>
      <c r="AH5822">
        <v>0</v>
      </c>
      <c r="AI5822" t="s">
        <v>1291</v>
      </c>
      <c r="AJ5822">
        <v>28.203492000000001</v>
      </c>
      <c r="AK5822" t="s">
        <v>1292</v>
      </c>
      <c r="AL5822">
        <v>-82.375766999999996</v>
      </c>
      <c r="AM5822">
        <v>100</v>
      </c>
      <c r="AN5822">
        <v>600</v>
      </c>
      <c r="AO5822" t="s">
        <v>118</v>
      </c>
      <c r="AP5822">
        <v>95</v>
      </c>
      <c r="AQ5822">
        <v>20</v>
      </c>
      <c r="AR5822">
        <v>-1024</v>
      </c>
      <c r="AZ5822">
        <v>1200</v>
      </c>
      <c r="BA5822">
        <v>1</v>
      </c>
      <c r="BB5822" t="str">
        <f t="shared" si="2701"/>
        <v xml:space="preserve">N711JA  </v>
      </c>
      <c r="BC5822">
        <v>1</v>
      </c>
      <c r="BE5822">
        <v>0</v>
      </c>
      <c r="BF5822">
        <v>0</v>
      </c>
      <c r="BG5822">
        <v>0</v>
      </c>
      <c r="BH5822">
        <v>625</v>
      </c>
      <c r="BI5822">
        <v>1</v>
      </c>
      <c r="BJ5822">
        <v>1</v>
      </c>
      <c r="BK5822">
        <v>0</v>
      </c>
      <c r="BL5822">
        <v>0</v>
      </c>
      <c r="BO5822">
        <v>0</v>
      </c>
      <c r="BP5822">
        <v>0</v>
      </c>
      <c r="BW5822" t="str">
        <f t="shared" si="2721"/>
        <v>14:52:08.921</v>
      </c>
      <c r="CJ5822">
        <v>0</v>
      </c>
      <c r="CK5822">
        <v>2</v>
      </c>
      <c r="CL5822">
        <v>0</v>
      </c>
      <c r="CM5822">
        <v>2</v>
      </c>
      <c r="CN5822">
        <v>0</v>
      </c>
      <c r="CO5822">
        <v>7</v>
      </c>
      <c r="CP5822" t="s">
        <v>119</v>
      </c>
      <c r="CQ5822">
        <v>343</v>
      </c>
      <c r="CR5822">
        <v>1</v>
      </c>
      <c r="CW5822">
        <v>11204753</v>
      </c>
      <c r="CY5822">
        <v>1</v>
      </c>
      <c r="CZ5822">
        <v>0</v>
      </c>
      <c r="DA5822">
        <v>1</v>
      </c>
      <c r="DB5822">
        <v>0</v>
      </c>
      <c r="DC5822">
        <v>0</v>
      </c>
      <c r="DD5822">
        <v>1</v>
      </c>
      <c r="DE5822">
        <v>0</v>
      </c>
      <c r="DF5822">
        <v>0</v>
      </c>
      <c r="DG5822">
        <v>0</v>
      </c>
      <c r="DH5822">
        <v>0</v>
      </c>
      <c r="DI5822">
        <v>0</v>
      </c>
    </row>
    <row r="5823" spans="1:113" x14ac:dyDescent="0.3">
      <c r="A5823" t="str">
        <f t="shared" si="2718"/>
        <v>05/12/2020 14:51:51.097</v>
      </c>
      <c r="C5823" t="str">
        <f t="shared" si="2700"/>
        <v>FFDFD3C0</v>
      </c>
      <c r="D5823" t="s">
        <v>138</v>
      </c>
      <c r="E5823">
        <v>2</v>
      </c>
      <c r="H5823">
        <v>8</v>
      </c>
      <c r="I5823" t="s">
        <v>139</v>
      </c>
      <c r="J5823" t="s">
        <v>136</v>
      </c>
      <c r="K5823">
        <v>0</v>
      </c>
      <c r="L5823">
        <v>3</v>
      </c>
      <c r="M5823">
        <v>0</v>
      </c>
      <c r="N5823">
        <v>2</v>
      </c>
      <c r="O5823">
        <v>1</v>
      </c>
      <c r="P5823">
        <v>0</v>
      </c>
      <c r="Q5823">
        <v>0</v>
      </c>
      <c r="S5823" t="str">
        <f t="shared" si="2719"/>
        <v>14:52:08.914</v>
      </c>
      <c r="T5823" t="str">
        <f t="shared" si="2720"/>
        <v>14:52:08.514</v>
      </c>
      <c r="U5823" t="str">
        <f t="shared" si="2691"/>
        <v>A9808D</v>
      </c>
      <c r="V5823">
        <v>0</v>
      </c>
      <c r="W5823">
        <v>0</v>
      </c>
      <c r="X5823">
        <v>1</v>
      </c>
      <c r="Z5823">
        <v>0</v>
      </c>
      <c r="AA5823">
        <v>9</v>
      </c>
      <c r="AB5823">
        <v>3</v>
      </c>
      <c r="AC5823">
        <v>0</v>
      </c>
      <c r="AD5823">
        <v>10</v>
      </c>
      <c r="AE5823">
        <v>0</v>
      </c>
      <c r="AF5823">
        <v>3</v>
      </c>
      <c r="AG5823">
        <v>2</v>
      </c>
      <c r="AH5823">
        <v>0</v>
      </c>
      <c r="AI5823" t="s">
        <v>1291</v>
      </c>
      <c r="AJ5823">
        <v>28.203492000000001</v>
      </c>
      <c r="AK5823" t="s">
        <v>1292</v>
      </c>
      <c r="AL5823">
        <v>-82.375766999999996</v>
      </c>
      <c r="AM5823">
        <v>100</v>
      </c>
      <c r="AN5823">
        <v>600</v>
      </c>
      <c r="AO5823" t="s">
        <v>118</v>
      </c>
      <c r="AP5823">
        <v>95</v>
      </c>
      <c r="AQ5823">
        <v>20</v>
      </c>
      <c r="AR5823">
        <v>-1024</v>
      </c>
      <c r="AZ5823">
        <v>1200</v>
      </c>
      <c r="BA5823">
        <v>1</v>
      </c>
      <c r="BB5823" t="str">
        <f t="shared" si="2701"/>
        <v xml:space="preserve">N711JA  </v>
      </c>
      <c r="BC5823">
        <v>1</v>
      </c>
      <c r="BE5823">
        <v>0</v>
      </c>
      <c r="BF5823">
        <v>0</v>
      </c>
      <c r="BG5823">
        <v>0</v>
      </c>
      <c r="BH5823">
        <v>625</v>
      </c>
      <c r="BI5823">
        <v>1</v>
      </c>
      <c r="BJ5823">
        <v>1</v>
      </c>
      <c r="BK5823">
        <v>0</v>
      </c>
      <c r="BL5823">
        <v>0</v>
      </c>
      <c r="BO5823">
        <v>0</v>
      </c>
      <c r="BP5823">
        <v>0</v>
      </c>
      <c r="BW5823" t="str">
        <f t="shared" si="2721"/>
        <v>14:52:08.921</v>
      </c>
      <c r="CJ5823">
        <v>0</v>
      </c>
      <c r="CK5823">
        <v>2</v>
      </c>
      <c r="CL5823">
        <v>0</v>
      </c>
      <c r="CM5823">
        <v>2</v>
      </c>
      <c r="CN5823">
        <v>0</v>
      </c>
      <c r="CO5823">
        <v>7</v>
      </c>
      <c r="CP5823" t="s">
        <v>119</v>
      </c>
      <c r="CQ5823">
        <v>343</v>
      </c>
      <c r="CR5823">
        <v>1</v>
      </c>
      <c r="CW5823">
        <v>11204753</v>
      </c>
      <c r="CY5823">
        <v>1</v>
      </c>
      <c r="CZ5823">
        <v>0</v>
      </c>
      <c r="DA5823">
        <v>1</v>
      </c>
      <c r="DB5823">
        <v>0</v>
      </c>
      <c r="DC5823">
        <v>0</v>
      </c>
      <c r="DD5823">
        <v>1</v>
      </c>
      <c r="DE5823">
        <v>0</v>
      </c>
      <c r="DF5823">
        <v>0</v>
      </c>
      <c r="DG5823">
        <v>0</v>
      </c>
      <c r="DH5823">
        <v>0</v>
      </c>
      <c r="DI5823">
        <v>0</v>
      </c>
    </row>
    <row r="5824" spans="1:113" x14ac:dyDescent="0.3">
      <c r="A5824" t="str">
        <f t="shared" si="2718"/>
        <v>05/12/2020 14:51:51.097</v>
      </c>
      <c r="C5824" t="str">
        <f t="shared" si="2700"/>
        <v>FFDFD3C0</v>
      </c>
      <c r="D5824" t="s">
        <v>138</v>
      </c>
      <c r="E5824">
        <v>3</v>
      </c>
      <c r="H5824">
        <v>9</v>
      </c>
      <c r="I5824" t="s">
        <v>140</v>
      </c>
      <c r="J5824" t="s">
        <v>136</v>
      </c>
      <c r="K5824">
        <v>0</v>
      </c>
      <c r="L5824">
        <v>3</v>
      </c>
      <c r="M5824">
        <v>0</v>
      </c>
      <c r="N5824">
        <v>2</v>
      </c>
      <c r="O5824">
        <v>1</v>
      </c>
      <c r="P5824">
        <v>0</v>
      </c>
      <c r="Q5824">
        <v>0</v>
      </c>
      <c r="S5824" t="str">
        <f t="shared" si="2719"/>
        <v>14:52:08.914</v>
      </c>
      <c r="T5824" t="str">
        <f t="shared" si="2720"/>
        <v>14:52:08.514</v>
      </c>
      <c r="U5824" t="str">
        <f t="shared" si="2691"/>
        <v>A9808D</v>
      </c>
      <c r="V5824">
        <v>0</v>
      </c>
      <c r="W5824">
        <v>0</v>
      </c>
      <c r="X5824">
        <v>1</v>
      </c>
      <c r="Z5824">
        <v>0</v>
      </c>
      <c r="AA5824">
        <v>9</v>
      </c>
      <c r="AB5824">
        <v>3</v>
      </c>
      <c r="AC5824">
        <v>0</v>
      </c>
      <c r="AD5824">
        <v>10</v>
      </c>
      <c r="AE5824">
        <v>0</v>
      </c>
      <c r="AF5824">
        <v>3</v>
      </c>
      <c r="AG5824">
        <v>2</v>
      </c>
      <c r="AH5824">
        <v>0</v>
      </c>
      <c r="AI5824" t="s">
        <v>1291</v>
      </c>
      <c r="AJ5824">
        <v>28.203492000000001</v>
      </c>
      <c r="AK5824" t="s">
        <v>1292</v>
      </c>
      <c r="AL5824">
        <v>-82.375766999999996</v>
      </c>
      <c r="AM5824">
        <v>100</v>
      </c>
      <c r="AN5824">
        <v>600</v>
      </c>
      <c r="AO5824" t="s">
        <v>118</v>
      </c>
      <c r="AP5824">
        <v>95</v>
      </c>
      <c r="AQ5824">
        <v>20</v>
      </c>
      <c r="AR5824">
        <v>-1024</v>
      </c>
      <c r="AZ5824">
        <v>1200</v>
      </c>
      <c r="BA5824">
        <v>1</v>
      </c>
      <c r="BB5824" t="str">
        <f t="shared" si="2701"/>
        <v xml:space="preserve">N711JA  </v>
      </c>
      <c r="BC5824">
        <v>1</v>
      </c>
      <c r="BE5824">
        <v>0</v>
      </c>
      <c r="BF5824">
        <v>0</v>
      </c>
      <c r="BG5824">
        <v>0</v>
      </c>
      <c r="BH5824">
        <v>625</v>
      </c>
      <c r="BI5824">
        <v>1</v>
      </c>
      <c r="BJ5824">
        <v>1</v>
      </c>
      <c r="BK5824">
        <v>0</v>
      </c>
      <c r="BL5824">
        <v>0</v>
      </c>
      <c r="BO5824">
        <v>0</v>
      </c>
      <c r="BP5824">
        <v>0</v>
      </c>
      <c r="BW5824" t="str">
        <f t="shared" si="2721"/>
        <v>14:52:08.921</v>
      </c>
      <c r="CJ5824">
        <v>0</v>
      </c>
      <c r="CK5824">
        <v>2</v>
      </c>
      <c r="CL5824">
        <v>0</v>
      </c>
      <c r="CM5824">
        <v>2</v>
      </c>
      <c r="CN5824">
        <v>0</v>
      </c>
      <c r="CO5824">
        <v>7</v>
      </c>
      <c r="CP5824" t="s">
        <v>119</v>
      </c>
      <c r="CQ5824">
        <v>343</v>
      </c>
      <c r="CR5824">
        <v>1</v>
      </c>
      <c r="CW5824">
        <v>11204753</v>
      </c>
      <c r="CY5824">
        <v>1</v>
      </c>
      <c r="CZ5824">
        <v>0</v>
      </c>
      <c r="DA5824">
        <v>1</v>
      </c>
      <c r="DB5824">
        <v>0</v>
      </c>
      <c r="DC5824">
        <v>0</v>
      </c>
      <c r="DD5824">
        <v>1</v>
      </c>
      <c r="DE5824">
        <v>0</v>
      </c>
      <c r="DF5824">
        <v>0</v>
      </c>
      <c r="DG5824">
        <v>0</v>
      </c>
      <c r="DH5824">
        <v>0</v>
      </c>
      <c r="DI5824">
        <v>0</v>
      </c>
    </row>
    <row r="5825" spans="1:113" x14ac:dyDescent="0.3">
      <c r="A5825" t="str">
        <f t="shared" ref="A5825:A5832" si="2722">"05/12/2020 14:51:52.000"</f>
        <v>05/12/2020 14:51:52.000</v>
      </c>
      <c r="C5825" t="str">
        <f t="shared" si="2700"/>
        <v>FFDFD3C0</v>
      </c>
      <c r="D5825" t="s">
        <v>134</v>
      </c>
      <c r="E5825">
        <v>12</v>
      </c>
      <c r="H5825">
        <v>64</v>
      </c>
      <c r="I5825" t="s">
        <v>135</v>
      </c>
      <c r="J5825" t="s">
        <v>136</v>
      </c>
      <c r="K5825">
        <v>0</v>
      </c>
      <c r="L5825">
        <v>3</v>
      </c>
      <c r="M5825">
        <v>0</v>
      </c>
      <c r="N5825">
        <v>2</v>
      </c>
      <c r="O5825">
        <v>1</v>
      </c>
      <c r="P5825">
        <v>0</v>
      </c>
      <c r="Q5825">
        <v>0</v>
      </c>
      <c r="S5825" t="str">
        <f t="shared" ref="S5825:S5832" si="2723">"14:52:09.828"</f>
        <v>14:52:09.828</v>
      </c>
      <c r="T5825" t="str">
        <f>"14:52:09.528"</f>
        <v>14:52:09.528</v>
      </c>
      <c r="U5825" t="str">
        <f t="shared" si="2691"/>
        <v>A9808D</v>
      </c>
      <c r="V5825">
        <v>0</v>
      </c>
      <c r="W5825">
        <v>0</v>
      </c>
      <c r="X5825">
        <v>1</v>
      </c>
      <c r="Z5825">
        <v>0</v>
      </c>
      <c r="AA5825">
        <v>9</v>
      </c>
      <c r="AB5825">
        <v>3</v>
      </c>
      <c r="AC5825">
        <v>0</v>
      </c>
      <c r="AD5825">
        <v>10</v>
      </c>
      <c r="AE5825">
        <v>0</v>
      </c>
      <c r="AF5825">
        <v>3</v>
      </c>
      <c r="AG5825">
        <v>2</v>
      </c>
      <c r="AH5825">
        <v>0</v>
      </c>
      <c r="AI5825" t="s">
        <v>1293</v>
      </c>
      <c r="AJ5825">
        <v>28.203599000000001</v>
      </c>
      <c r="AK5825" t="s">
        <v>1294</v>
      </c>
      <c r="AL5825">
        <v>-82.375337999999999</v>
      </c>
      <c r="AM5825">
        <v>100</v>
      </c>
      <c r="AN5825">
        <v>600</v>
      </c>
      <c r="AO5825" t="s">
        <v>118</v>
      </c>
      <c r="AP5825">
        <v>93</v>
      </c>
      <c r="AQ5825">
        <v>23</v>
      </c>
      <c r="AR5825">
        <v>-1024</v>
      </c>
      <c r="AZ5825">
        <v>1200</v>
      </c>
      <c r="BA5825">
        <v>1</v>
      </c>
      <c r="BB5825" t="str">
        <f t="shared" si="2701"/>
        <v xml:space="preserve">N711JA  </v>
      </c>
      <c r="BC5825">
        <v>1</v>
      </c>
      <c r="BE5825">
        <v>0</v>
      </c>
      <c r="BF5825">
        <v>0</v>
      </c>
      <c r="BG5825">
        <v>0</v>
      </c>
      <c r="BH5825">
        <v>600</v>
      </c>
      <c r="BI5825">
        <v>1</v>
      </c>
      <c r="BJ5825">
        <v>1</v>
      </c>
      <c r="BK5825">
        <v>0</v>
      </c>
      <c r="BL5825">
        <v>0</v>
      </c>
      <c r="BO5825">
        <v>0</v>
      </c>
      <c r="BP5825">
        <v>0</v>
      </c>
      <c r="BW5825" t="str">
        <f t="shared" ref="BW5825:BW5832" si="2724">"14:52:09.833"</f>
        <v>14:52:09.833</v>
      </c>
      <c r="CJ5825">
        <v>0</v>
      </c>
      <c r="CK5825">
        <v>2</v>
      </c>
      <c r="CL5825">
        <v>0</v>
      </c>
      <c r="CM5825">
        <v>2</v>
      </c>
      <c r="CN5825">
        <v>0</v>
      </c>
      <c r="CO5825">
        <v>6</v>
      </c>
      <c r="CP5825" t="s">
        <v>119</v>
      </c>
      <c r="CQ5825">
        <v>358</v>
      </c>
      <c r="CR5825">
        <v>0</v>
      </c>
      <c r="CW5825">
        <v>5328239</v>
      </c>
      <c r="CY5825">
        <v>1</v>
      </c>
      <c r="CZ5825">
        <v>0</v>
      </c>
      <c r="DA5825">
        <v>0</v>
      </c>
      <c r="DB5825">
        <v>0</v>
      </c>
      <c r="DC5825">
        <v>0</v>
      </c>
      <c r="DD5825">
        <v>1</v>
      </c>
      <c r="DE5825">
        <v>0</v>
      </c>
      <c r="DF5825">
        <v>0</v>
      </c>
      <c r="DG5825">
        <v>0</v>
      </c>
      <c r="DH5825">
        <v>0</v>
      </c>
      <c r="DI5825">
        <v>0</v>
      </c>
    </row>
    <row r="5826" spans="1:113" x14ac:dyDescent="0.3">
      <c r="A5826" t="str">
        <f t="shared" si="2722"/>
        <v>05/12/2020 14:51:52.000</v>
      </c>
      <c r="C5826" t="str">
        <f t="shared" si="2700"/>
        <v>FFDFD3C0</v>
      </c>
      <c r="D5826" t="s">
        <v>138</v>
      </c>
      <c r="E5826">
        <v>3</v>
      </c>
      <c r="H5826">
        <v>9</v>
      </c>
      <c r="I5826" t="s">
        <v>140</v>
      </c>
      <c r="J5826" t="s">
        <v>136</v>
      </c>
      <c r="K5826">
        <v>0</v>
      </c>
      <c r="L5826">
        <v>3</v>
      </c>
      <c r="M5826">
        <v>0</v>
      </c>
      <c r="N5826">
        <v>2</v>
      </c>
      <c r="O5826">
        <v>1</v>
      </c>
      <c r="P5826">
        <v>0</v>
      </c>
      <c r="Q5826">
        <v>0</v>
      </c>
      <c r="S5826" t="str">
        <f t="shared" si="2723"/>
        <v>14:52:09.828</v>
      </c>
      <c r="T5826" t="str">
        <f>"14:52:09.528"</f>
        <v>14:52:09.528</v>
      </c>
      <c r="U5826" t="str">
        <f t="shared" ref="U5826:U5889" si="2725">"A9808D"</f>
        <v>A9808D</v>
      </c>
      <c r="V5826">
        <v>0</v>
      </c>
      <c r="W5826">
        <v>0</v>
      </c>
      <c r="X5826">
        <v>1</v>
      </c>
      <c r="Z5826">
        <v>0</v>
      </c>
      <c r="AA5826">
        <v>9</v>
      </c>
      <c r="AB5826">
        <v>3</v>
      </c>
      <c r="AC5826">
        <v>0</v>
      </c>
      <c r="AD5826">
        <v>10</v>
      </c>
      <c r="AE5826">
        <v>0</v>
      </c>
      <c r="AF5826">
        <v>3</v>
      </c>
      <c r="AG5826">
        <v>2</v>
      </c>
      <c r="AH5826">
        <v>0</v>
      </c>
      <c r="AI5826" t="s">
        <v>1293</v>
      </c>
      <c r="AJ5826">
        <v>28.203599000000001</v>
      </c>
      <c r="AK5826" t="s">
        <v>1294</v>
      </c>
      <c r="AL5826">
        <v>-82.375337999999999</v>
      </c>
      <c r="AM5826">
        <v>100</v>
      </c>
      <c r="AN5826">
        <v>600</v>
      </c>
      <c r="AO5826" t="s">
        <v>118</v>
      </c>
      <c r="AP5826">
        <v>93</v>
      </c>
      <c r="AQ5826">
        <v>23</v>
      </c>
      <c r="AR5826">
        <v>-1024</v>
      </c>
      <c r="AZ5826">
        <v>1200</v>
      </c>
      <c r="BA5826">
        <v>1</v>
      </c>
      <c r="BB5826" t="str">
        <f t="shared" si="2701"/>
        <v xml:space="preserve">N711JA  </v>
      </c>
      <c r="BC5826">
        <v>1</v>
      </c>
      <c r="BE5826">
        <v>0</v>
      </c>
      <c r="BF5826">
        <v>0</v>
      </c>
      <c r="BG5826">
        <v>0</v>
      </c>
      <c r="BH5826">
        <v>600</v>
      </c>
      <c r="BI5826">
        <v>1</v>
      </c>
      <c r="BJ5826">
        <v>1</v>
      </c>
      <c r="BK5826">
        <v>0</v>
      </c>
      <c r="BL5826">
        <v>0</v>
      </c>
      <c r="BO5826">
        <v>0</v>
      </c>
      <c r="BP5826">
        <v>0</v>
      </c>
      <c r="BW5826" t="str">
        <f t="shared" si="2724"/>
        <v>14:52:09.833</v>
      </c>
      <c r="CJ5826">
        <v>0</v>
      </c>
      <c r="CK5826">
        <v>2</v>
      </c>
      <c r="CL5826">
        <v>0</v>
      </c>
      <c r="CM5826">
        <v>2</v>
      </c>
      <c r="CN5826">
        <v>0</v>
      </c>
      <c r="CO5826">
        <v>6</v>
      </c>
      <c r="CP5826" t="s">
        <v>119</v>
      </c>
      <c r="CQ5826">
        <v>358</v>
      </c>
      <c r="CR5826">
        <v>0</v>
      </c>
      <c r="CW5826">
        <v>5328239</v>
      </c>
      <c r="CY5826">
        <v>1</v>
      </c>
      <c r="CZ5826">
        <v>0</v>
      </c>
      <c r="DA5826">
        <v>1</v>
      </c>
      <c r="DB5826">
        <v>0</v>
      </c>
      <c r="DC5826">
        <v>0</v>
      </c>
      <c r="DD5826">
        <v>1</v>
      </c>
      <c r="DE5826">
        <v>0</v>
      </c>
      <c r="DF5826">
        <v>0</v>
      </c>
      <c r="DG5826">
        <v>0</v>
      </c>
      <c r="DH5826">
        <v>0</v>
      </c>
      <c r="DI5826">
        <v>0</v>
      </c>
    </row>
    <row r="5827" spans="1:113" x14ac:dyDescent="0.3">
      <c r="A5827" t="str">
        <f t="shared" si="2722"/>
        <v>05/12/2020 14:51:52.000</v>
      </c>
      <c r="C5827" t="str">
        <f t="shared" si="2700"/>
        <v>FFDFD3C0</v>
      </c>
      <c r="D5827" t="s">
        <v>138</v>
      </c>
      <c r="E5827">
        <v>2</v>
      </c>
      <c r="H5827">
        <v>8</v>
      </c>
      <c r="I5827" t="s">
        <v>139</v>
      </c>
      <c r="J5827" t="s">
        <v>136</v>
      </c>
      <c r="K5827">
        <v>0</v>
      </c>
      <c r="L5827">
        <v>3</v>
      </c>
      <c r="M5827">
        <v>0</v>
      </c>
      <c r="N5827">
        <v>2</v>
      </c>
      <c r="O5827">
        <v>1</v>
      </c>
      <c r="P5827">
        <v>0</v>
      </c>
      <c r="Q5827">
        <v>0</v>
      </c>
      <c r="S5827" t="str">
        <f t="shared" si="2723"/>
        <v>14:52:09.828</v>
      </c>
      <c r="T5827" t="str">
        <f>"14:52:08.928"</f>
        <v>14:52:08.928</v>
      </c>
      <c r="U5827" t="str">
        <f t="shared" si="2725"/>
        <v>A9808D</v>
      </c>
      <c r="V5827">
        <v>0</v>
      </c>
      <c r="W5827">
        <v>0</v>
      </c>
      <c r="X5827">
        <v>1</v>
      </c>
      <c r="Z5827">
        <v>0</v>
      </c>
      <c r="AA5827">
        <v>9</v>
      </c>
      <c r="AB5827">
        <v>3</v>
      </c>
      <c r="AC5827">
        <v>0</v>
      </c>
      <c r="AD5827">
        <v>10</v>
      </c>
      <c r="AE5827">
        <v>0</v>
      </c>
      <c r="AF5827">
        <v>3</v>
      </c>
      <c r="AG5827">
        <v>2</v>
      </c>
      <c r="AH5827">
        <v>0</v>
      </c>
      <c r="AI5827" t="s">
        <v>1293</v>
      </c>
      <c r="AJ5827">
        <v>28.203599000000001</v>
      </c>
      <c r="AK5827" t="s">
        <v>1294</v>
      </c>
      <c r="AL5827">
        <v>-82.375337999999999</v>
      </c>
      <c r="AM5827">
        <v>100</v>
      </c>
      <c r="AN5827">
        <v>600</v>
      </c>
      <c r="AO5827" t="s">
        <v>118</v>
      </c>
      <c r="AP5827">
        <v>94</v>
      </c>
      <c r="AQ5827">
        <v>22</v>
      </c>
      <c r="AR5827">
        <v>-1024</v>
      </c>
      <c r="AZ5827">
        <v>1200</v>
      </c>
      <c r="BA5827">
        <v>1</v>
      </c>
      <c r="BB5827" t="str">
        <f t="shared" si="2701"/>
        <v xml:space="preserve">N711JA  </v>
      </c>
      <c r="BC5827">
        <v>1</v>
      </c>
      <c r="BE5827">
        <v>0</v>
      </c>
      <c r="BF5827">
        <v>0</v>
      </c>
      <c r="BG5827">
        <v>0</v>
      </c>
      <c r="BH5827">
        <v>600</v>
      </c>
      <c r="BI5827">
        <v>1</v>
      </c>
      <c r="BJ5827">
        <v>1</v>
      </c>
      <c r="BK5827">
        <v>0</v>
      </c>
      <c r="BL5827">
        <v>0</v>
      </c>
      <c r="BO5827">
        <v>0</v>
      </c>
      <c r="BP5827">
        <v>0</v>
      </c>
      <c r="BW5827" t="str">
        <f t="shared" si="2724"/>
        <v>14:52:09.833</v>
      </c>
      <c r="CJ5827">
        <v>0</v>
      </c>
      <c r="CK5827">
        <v>2</v>
      </c>
      <c r="CL5827">
        <v>0</v>
      </c>
      <c r="CM5827">
        <v>2</v>
      </c>
      <c r="CN5827">
        <v>0</v>
      </c>
      <c r="CO5827">
        <v>3</v>
      </c>
      <c r="CP5827" t="s">
        <v>119</v>
      </c>
      <c r="CQ5827">
        <v>8</v>
      </c>
      <c r="CR5827">
        <v>3</v>
      </c>
      <c r="CW5827">
        <v>9328611</v>
      </c>
      <c r="CY5827">
        <v>1</v>
      </c>
      <c r="CZ5827">
        <v>0</v>
      </c>
      <c r="DA5827">
        <v>1</v>
      </c>
      <c r="DB5827">
        <v>0</v>
      </c>
      <c r="DC5827">
        <v>0</v>
      </c>
      <c r="DD5827">
        <v>1</v>
      </c>
      <c r="DE5827">
        <v>0</v>
      </c>
      <c r="DF5827">
        <v>0</v>
      </c>
      <c r="DG5827">
        <v>0</v>
      </c>
      <c r="DH5827">
        <v>0</v>
      </c>
      <c r="DI5827">
        <v>0</v>
      </c>
    </row>
    <row r="5828" spans="1:113" x14ac:dyDescent="0.3">
      <c r="A5828" t="str">
        <f t="shared" si="2722"/>
        <v>05/12/2020 14:51:52.000</v>
      </c>
      <c r="C5828" t="str">
        <f t="shared" si="2700"/>
        <v>FFDFD3C0</v>
      </c>
      <c r="D5828" t="s">
        <v>113</v>
      </c>
      <c r="E5828">
        <v>3</v>
      </c>
      <c r="H5828">
        <v>164</v>
      </c>
      <c r="I5828" t="s">
        <v>114</v>
      </c>
      <c r="J5828" t="s">
        <v>115</v>
      </c>
      <c r="K5828">
        <v>0</v>
      </c>
      <c r="L5828">
        <v>3</v>
      </c>
      <c r="M5828">
        <v>0</v>
      </c>
      <c r="N5828">
        <v>2</v>
      </c>
      <c r="O5828">
        <v>1</v>
      </c>
      <c r="P5828">
        <v>0</v>
      </c>
      <c r="Q5828">
        <v>0</v>
      </c>
      <c r="S5828" t="str">
        <f t="shared" si="2723"/>
        <v>14:52:09.828</v>
      </c>
      <c r="T5828" t="str">
        <f>"14:52:08.928"</f>
        <v>14:52:08.928</v>
      </c>
      <c r="U5828" t="str">
        <f t="shared" si="2725"/>
        <v>A9808D</v>
      </c>
      <c r="V5828">
        <v>0</v>
      </c>
      <c r="W5828">
        <v>0</v>
      </c>
      <c r="X5828">
        <v>1</v>
      </c>
      <c r="Z5828">
        <v>0</v>
      </c>
      <c r="AA5828">
        <v>9</v>
      </c>
      <c r="AB5828">
        <v>3</v>
      </c>
      <c r="AC5828">
        <v>0</v>
      </c>
      <c r="AD5828">
        <v>10</v>
      </c>
      <c r="AE5828">
        <v>0</v>
      </c>
      <c r="AF5828">
        <v>3</v>
      </c>
      <c r="AG5828">
        <v>2</v>
      </c>
      <c r="AH5828">
        <v>0</v>
      </c>
      <c r="AI5828" t="s">
        <v>1293</v>
      </c>
      <c r="AJ5828">
        <v>28.203599000000001</v>
      </c>
      <c r="AK5828" t="s">
        <v>1294</v>
      </c>
      <c r="AL5828">
        <v>-82.375337999999999</v>
      </c>
      <c r="AM5828">
        <v>100</v>
      </c>
      <c r="AN5828">
        <v>600</v>
      </c>
      <c r="AO5828" t="s">
        <v>118</v>
      </c>
      <c r="AP5828">
        <v>94</v>
      </c>
      <c r="AQ5828">
        <v>22</v>
      </c>
      <c r="AR5828">
        <v>-1024</v>
      </c>
      <c r="AZ5828">
        <v>1200</v>
      </c>
      <c r="BA5828">
        <v>1</v>
      </c>
      <c r="BB5828" t="str">
        <f t="shared" si="2701"/>
        <v xml:space="preserve">N711JA  </v>
      </c>
      <c r="BC5828">
        <v>1</v>
      </c>
      <c r="BE5828">
        <v>0</v>
      </c>
      <c r="BF5828">
        <v>0</v>
      </c>
      <c r="BG5828">
        <v>0</v>
      </c>
      <c r="BH5828">
        <v>600</v>
      </c>
      <c r="BI5828">
        <v>1</v>
      </c>
      <c r="BJ5828">
        <v>1</v>
      </c>
      <c r="BK5828">
        <v>0</v>
      </c>
      <c r="BL5828">
        <v>0</v>
      </c>
      <c r="BO5828">
        <v>0</v>
      </c>
      <c r="BP5828">
        <v>0</v>
      </c>
      <c r="BW5828" t="str">
        <f t="shared" si="2724"/>
        <v>14:52:09.833</v>
      </c>
      <c r="CJ5828">
        <v>0</v>
      </c>
      <c r="CK5828">
        <v>2</v>
      </c>
      <c r="CL5828">
        <v>0</v>
      </c>
      <c r="CM5828">
        <v>2</v>
      </c>
      <c r="CN5828">
        <v>0</v>
      </c>
      <c r="CO5828">
        <v>3</v>
      </c>
      <c r="CP5828" t="s">
        <v>119</v>
      </c>
      <c r="CQ5828">
        <v>8</v>
      </c>
      <c r="CR5828">
        <v>3</v>
      </c>
      <c r="CW5828">
        <v>9328611</v>
      </c>
      <c r="CY5828">
        <v>1</v>
      </c>
      <c r="CZ5828">
        <v>0</v>
      </c>
      <c r="DA5828">
        <v>1</v>
      </c>
      <c r="DB5828">
        <v>0</v>
      </c>
      <c r="DC5828">
        <v>0</v>
      </c>
      <c r="DD5828">
        <v>1</v>
      </c>
      <c r="DE5828">
        <v>0</v>
      </c>
      <c r="DF5828">
        <v>0</v>
      </c>
      <c r="DG5828">
        <v>0</v>
      </c>
      <c r="DH5828">
        <v>0</v>
      </c>
      <c r="DI5828">
        <v>0</v>
      </c>
    </row>
    <row r="5829" spans="1:113" x14ac:dyDescent="0.3">
      <c r="A5829" t="str">
        <f t="shared" si="2722"/>
        <v>05/12/2020 14:51:52.000</v>
      </c>
      <c r="C5829" t="str">
        <f t="shared" si="2700"/>
        <v>FFDFD3C0</v>
      </c>
      <c r="D5829" t="s">
        <v>126</v>
      </c>
      <c r="E5829">
        <v>7</v>
      </c>
      <c r="F5829">
        <v>1007</v>
      </c>
      <c r="G5829" t="s">
        <v>127</v>
      </c>
      <c r="J5829" t="s">
        <v>128</v>
      </c>
      <c r="K5829">
        <v>0</v>
      </c>
      <c r="L5829">
        <v>3</v>
      </c>
      <c r="M5829">
        <v>0</v>
      </c>
      <c r="N5829">
        <v>2</v>
      </c>
      <c r="O5829">
        <v>1</v>
      </c>
      <c r="P5829">
        <v>0</v>
      </c>
      <c r="Q5829">
        <v>0</v>
      </c>
      <c r="S5829" t="str">
        <f t="shared" si="2723"/>
        <v>14:52:09.828</v>
      </c>
      <c r="T5829" t="str">
        <f>"14:52:09.528"</f>
        <v>14:52:09.528</v>
      </c>
      <c r="U5829" t="str">
        <f t="shared" si="2725"/>
        <v>A9808D</v>
      </c>
      <c r="V5829">
        <v>0</v>
      </c>
      <c r="W5829">
        <v>0</v>
      </c>
      <c r="X5829">
        <v>1</v>
      </c>
      <c r="Z5829">
        <v>0</v>
      </c>
      <c r="AA5829">
        <v>9</v>
      </c>
      <c r="AB5829">
        <v>3</v>
      </c>
      <c r="AC5829">
        <v>0</v>
      </c>
      <c r="AD5829">
        <v>10</v>
      </c>
      <c r="AE5829">
        <v>0</v>
      </c>
      <c r="AF5829">
        <v>3</v>
      </c>
      <c r="AG5829">
        <v>2</v>
      </c>
      <c r="AH5829">
        <v>0</v>
      </c>
      <c r="AI5829" t="s">
        <v>1293</v>
      </c>
      <c r="AJ5829">
        <v>28.203599000000001</v>
      </c>
      <c r="AK5829" t="s">
        <v>1294</v>
      </c>
      <c r="AL5829">
        <v>-82.375337999999999</v>
      </c>
      <c r="AM5829">
        <v>100</v>
      </c>
      <c r="AN5829">
        <v>600</v>
      </c>
      <c r="AO5829" t="s">
        <v>118</v>
      </c>
      <c r="AP5829">
        <v>93</v>
      </c>
      <c r="AQ5829">
        <v>23</v>
      </c>
      <c r="AR5829">
        <v>-1024</v>
      </c>
      <c r="AZ5829">
        <v>1200</v>
      </c>
      <c r="BA5829">
        <v>1</v>
      </c>
      <c r="BB5829" t="str">
        <f t="shared" si="2701"/>
        <v xml:space="preserve">N711JA  </v>
      </c>
      <c r="BC5829">
        <v>1</v>
      </c>
      <c r="BE5829">
        <v>0</v>
      </c>
      <c r="BF5829">
        <v>0</v>
      </c>
      <c r="BG5829">
        <v>0</v>
      </c>
      <c r="BH5829">
        <v>600</v>
      </c>
      <c r="BI5829">
        <v>1</v>
      </c>
      <c r="BJ5829">
        <v>1</v>
      </c>
      <c r="BK5829">
        <v>0</v>
      </c>
      <c r="BL5829">
        <v>0</v>
      </c>
      <c r="BO5829">
        <v>0</v>
      </c>
      <c r="BP5829">
        <v>0</v>
      </c>
      <c r="BW5829" t="str">
        <f t="shared" si="2724"/>
        <v>14:52:09.833</v>
      </c>
      <c r="CJ5829">
        <v>0</v>
      </c>
      <c r="CK5829">
        <v>2</v>
      </c>
      <c r="CL5829">
        <v>0</v>
      </c>
      <c r="CM5829">
        <v>2</v>
      </c>
      <c r="CN5829">
        <v>0</v>
      </c>
      <c r="CO5829">
        <v>6</v>
      </c>
      <c r="CP5829" t="s">
        <v>119</v>
      </c>
      <c r="CQ5829">
        <v>358</v>
      </c>
      <c r="CR5829">
        <v>0</v>
      </c>
      <c r="CW5829">
        <v>5328239</v>
      </c>
      <c r="CY5829">
        <v>1</v>
      </c>
      <c r="CZ5829">
        <v>0</v>
      </c>
      <c r="DA5829">
        <v>1</v>
      </c>
      <c r="DB5829">
        <v>0</v>
      </c>
      <c r="DC5829">
        <v>0</v>
      </c>
      <c r="DD5829">
        <v>1</v>
      </c>
      <c r="DE5829">
        <v>0</v>
      </c>
      <c r="DF5829">
        <v>0</v>
      </c>
      <c r="DG5829">
        <v>0</v>
      </c>
      <c r="DH5829">
        <v>0</v>
      </c>
      <c r="DI5829">
        <v>0</v>
      </c>
    </row>
    <row r="5830" spans="1:113" x14ac:dyDescent="0.3">
      <c r="A5830" t="str">
        <f t="shared" si="2722"/>
        <v>05/12/2020 14:51:52.000</v>
      </c>
      <c r="C5830" t="str">
        <f t="shared" si="2700"/>
        <v>FFDFD3C0</v>
      </c>
      <c r="D5830" t="s">
        <v>131</v>
      </c>
      <c r="E5830">
        <v>10</v>
      </c>
      <c r="F5830">
        <v>2010</v>
      </c>
      <c r="G5830" t="s">
        <v>132</v>
      </c>
      <c r="J5830" t="s">
        <v>133</v>
      </c>
      <c r="K5830">
        <v>0</v>
      </c>
      <c r="L5830">
        <v>3</v>
      </c>
      <c r="M5830">
        <v>0</v>
      </c>
      <c r="N5830">
        <v>2</v>
      </c>
      <c r="O5830">
        <v>1</v>
      </c>
      <c r="P5830">
        <v>0</v>
      </c>
      <c r="Q5830">
        <v>0</v>
      </c>
      <c r="S5830" t="str">
        <f t="shared" si="2723"/>
        <v>14:52:09.828</v>
      </c>
      <c r="T5830" t="str">
        <f>"14:52:09.528"</f>
        <v>14:52:09.528</v>
      </c>
      <c r="U5830" t="str">
        <f t="shared" si="2725"/>
        <v>A9808D</v>
      </c>
      <c r="V5830">
        <v>0</v>
      </c>
      <c r="W5830">
        <v>0</v>
      </c>
      <c r="X5830">
        <v>1</v>
      </c>
      <c r="Z5830">
        <v>0</v>
      </c>
      <c r="AA5830">
        <v>9</v>
      </c>
      <c r="AB5830">
        <v>3</v>
      </c>
      <c r="AC5830">
        <v>0</v>
      </c>
      <c r="AD5830">
        <v>10</v>
      </c>
      <c r="AE5830">
        <v>0</v>
      </c>
      <c r="AF5830">
        <v>3</v>
      </c>
      <c r="AG5830">
        <v>2</v>
      </c>
      <c r="AH5830">
        <v>0</v>
      </c>
      <c r="AI5830" t="s">
        <v>1293</v>
      </c>
      <c r="AJ5830">
        <v>28.203599000000001</v>
      </c>
      <c r="AK5830" t="s">
        <v>1294</v>
      </c>
      <c r="AL5830">
        <v>-82.375337999999999</v>
      </c>
      <c r="AM5830">
        <v>100</v>
      </c>
      <c r="AN5830">
        <v>600</v>
      </c>
      <c r="AO5830" t="s">
        <v>118</v>
      </c>
      <c r="AP5830">
        <v>93</v>
      </c>
      <c r="AQ5830">
        <v>23</v>
      </c>
      <c r="AR5830">
        <v>-1024</v>
      </c>
      <c r="AZ5830">
        <v>1200</v>
      </c>
      <c r="BA5830">
        <v>1</v>
      </c>
      <c r="BB5830" t="str">
        <f t="shared" si="2701"/>
        <v xml:space="preserve">N711JA  </v>
      </c>
      <c r="BC5830">
        <v>1</v>
      </c>
      <c r="BE5830">
        <v>0</v>
      </c>
      <c r="BF5830">
        <v>0</v>
      </c>
      <c r="BG5830">
        <v>0</v>
      </c>
      <c r="BH5830">
        <v>600</v>
      </c>
      <c r="BI5830">
        <v>1</v>
      </c>
      <c r="BJ5830">
        <v>1</v>
      </c>
      <c r="BK5830">
        <v>0</v>
      </c>
      <c r="BL5830">
        <v>0</v>
      </c>
      <c r="BO5830">
        <v>0</v>
      </c>
      <c r="BP5830">
        <v>0</v>
      </c>
      <c r="BW5830" t="str">
        <f t="shared" si="2724"/>
        <v>14:52:09.833</v>
      </c>
      <c r="CJ5830">
        <v>0</v>
      </c>
      <c r="CK5830">
        <v>2</v>
      </c>
      <c r="CL5830">
        <v>0</v>
      </c>
      <c r="CM5830">
        <v>2</v>
      </c>
      <c r="CN5830">
        <v>0</v>
      </c>
      <c r="CO5830">
        <v>6</v>
      </c>
      <c r="CP5830" t="s">
        <v>119</v>
      </c>
      <c r="CQ5830">
        <v>358</v>
      </c>
      <c r="CR5830">
        <v>0</v>
      </c>
      <c r="CW5830">
        <v>5328239</v>
      </c>
      <c r="CY5830">
        <v>1</v>
      </c>
      <c r="CZ5830">
        <v>0</v>
      </c>
      <c r="DA5830">
        <v>1</v>
      </c>
      <c r="DB5830">
        <v>0</v>
      </c>
      <c r="DC5830">
        <v>0</v>
      </c>
      <c r="DD5830">
        <v>1</v>
      </c>
      <c r="DE5830">
        <v>0</v>
      </c>
      <c r="DF5830">
        <v>0</v>
      </c>
      <c r="DG5830">
        <v>0</v>
      </c>
      <c r="DH5830">
        <v>0</v>
      </c>
      <c r="DI5830">
        <v>0</v>
      </c>
    </row>
    <row r="5831" spans="1:113" x14ac:dyDescent="0.3">
      <c r="A5831" t="str">
        <f t="shared" si="2722"/>
        <v>05/12/2020 14:51:52.000</v>
      </c>
      <c r="C5831" t="str">
        <f t="shared" si="2700"/>
        <v>FFDFD3C0</v>
      </c>
      <c r="D5831" t="s">
        <v>131</v>
      </c>
      <c r="E5831">
        <v>12</v>
      </c>
      <c r="F5831">
        <v>2012</v>
      </c>
      <c r="G5831" t="s">
        <v>137</v>
      </c>
      <c r="J5831" t="s">
        <v>133</v>
      </c>
      <c r="K5831">
        <v>0</v>
      </c>
      <c r="L5831">
        <v>3</v>
      </c>
      <c r="M5831">
        <v>0</v>
      </c>
      <c r="N5831">
        <v>2</v>
      </c>
      <c r="O5831">
        <v>1</v>
      </c>
      <c r="P5831">
        <v>0</v>
      </c>
      <c r="Q5831">
        <v>0</v>
      </c>
      <c r="S5831" t="str">
        <f t="shared" si="2723"/>
        <v>14:52:09.828</v>
      </c>
      <c r="T5831" t="str">
        <f>"14:52:08.928"</f>
        <v>14:52:08.928</v>
      </c>
      <c r="U5831" t="str">
        <f t="shared" si="2725"/>
        <v>A9808D</v>
      </c>
      <c r="V5831">
        <v>0</v>
      </c>
      <c r="W5831">
        <v>0</v>
      </c>
      <c r="X5831">
        <v>1</v>
      </c>
      <c r="Z5831">
        <v>0</v>
      </c>
      <c r="AA5831">
        <v>9</v>
      </c>
      <c r="AB5831">
        <v>3</v>
      </c>
      <c r="AC5831">
        <v>0</v>
      </c>
      <c r="AD5831">
        <v>10</v>
      </c>
      <c r="AE5831">
        <v>0</v>
      </c>
      <c r="AF5831">
        <v>3</v>
      </c>
      <c r="AG5831">
        <v>2</v>
      </c>
      <c r="AH5831">
        <v>0</v>
      </c>
      <c r="AI5831" t="s">
        <v>1293</v>
      </c>
      <c r="AJ5831">
        <v>28.203599000000001</v>
      </c>
      <c r="AK5831" t="s">
        <v>1294</v>
      </c>
      <c r="AL5831">
        <v>-82.375337999999999</v>
      </c>
      <c r="AM5831">
        <v>100</v>
      </c>
      <c r="AN5831">
        <v>600</v>
      </c>
      <c r="AO5831" t="s">
        <v>118</v>
      </c>
      <c r="AP5831">
        <v>94</v>
      </c>
      <c r="AQ5831">
        <v>22</v>
      </c>
      <c r="AR5831">
        <v>-1024</v>
      </c>
      <c r="AZ5831">
        <v>1200</v>
      </c>
      <c r="BA5831">
        <v>1</v>
      </c>
      <c r="BB5831" t="str">
        <f t="shared" si="2701"/>
        <v xml:space="preserve">N711JA  </v>
      </c>
      <c r="BC5831">
        <v>1</v>
      </c>
      <c r="BE5831">
        <v>0</v>
      </c>
      <c r="BF5831">
        <v>0</v>
      </c>
      <c r="BG5831">
        <v>0</v>
      </c>
      <c r="BH5831">
        <v>600</v>
      </c>
      <c r="BI5831">
        <v>1</v>
      </c>
      <c r="BJ5831">
        <v>1</v>
      </c>
      <c r="BK5831">
        <v>0</v>
      </c>
      <c r="BL5831">
        <v>0</v>
      </c>
      <c r="BO5831">
        <v>0</v>
      </c>
      <c r="BP5831">
        <v>0</v>
      </c>
      <c r="BW5831" t="str">
        <f t="shared" si="2724"/>
        <v>14:52:09.833</v>
      </c>
      <c r="CJ5831">
        <v>0</v>
      </c>
      <c r="CK5831">
        <v>2</v>
      </c>
      <c r="CL5831">
        <v>0</v>
      </c>
      <c r="CM5831">
        <v>2</v>
      </c>
      <c r="CN5831">
        <v>0</v>
      </c>
      <c r="CO5831">
        <v>3</v>
      </c>
      <c r="CP5831" t="s">
        <v>119</v>
      </c>
      <c r="CQ5831">
        <v>8</v>
      </c>
      <c r="CR5831">
        <v>3</v>
      </c>
      <c r="CW5831">
        <v>9328611</v>
      </c>
      <c r="CY5831">
        <v>1</v>
      </c>
      <c r="CZ5831">
        <v>0</v>
      </c>
      <c r="DA5831">
        <v>1</v>
      </c>
      <c r="DB5831">
        <v>0</v>
      </c>
      <c r="DC5831">
        <v>0</v>
      </c>
      <c r="DD5831">
        <v>1</v>
      </c>
      <c r="DE5831">
        <v>0</v>
      </c>
      <c r="DF5831">
        <v>0</v>
      </c>
      <c r="DG5831">
        <v>0</v>
      </c>
      <c r="DH5831">
        <v>0</v>
      </c>
      <c r="DI5831">
        <v>0</v>
      </c>
    </row>
    <row r="5832" spans="1:113" x14ac:dyDescent="0.3">
      <c r="A5832" t="str">
        <f t="shared" si="2722"/>
        <v>05/12/2020 14:51:52.000</v>
      </c>
      <c r="C5832" t="str">
        <f t="shared" si="2700"/>
        <v>FFDFD3C0</v>
      </c>
      <c r="D5832" t="s">
        <v>126</v>
      </c>
      <c r="E5832">
        <v>6</v>
      </c>
      <c r="F5832">
        <v>1006</v>
      </c>
      <c r="G5832" t="s">
        <v>114</v>
      </c>
      <c r="J5832" t="s">
        <v>128</v>
      </c>
      <c r="K5832">
        <v>0</v>
      </c>
      <c r="L5832">
        <v>3</v>
      </c>
      <c r="M5832">
        <v>0</v>
      </c>
      <c r="N5832">
        <v>2</v>
      </c>
      <c r="O5832">
        <v>1</v>
      </c>
      <c r="P5832">
        <v>0</v>
      </c>
      <c r="Q5832">
        <v>0</v>
      </c>
      <c r="S5832" t="str">
        <f t="shared" si="2723"/>
        <v>14:52:09.828</v>
      </c>
      <c r="T5832" t="str">
        <f>"14:52:09.528"</f>
        <v>14:52:09.528</v>
      </c>
      <c r="U5832" t="str">
        <f t="shared" si="2725"/>
        <v>A9808D</v>
      </c>
      <c r="V5832">
        <v>0</v>
      </c>
      <c r="W5832">
        <v>0</v>
      </c>
      <c r="X5832">
        <v>1</v>
      </c>
      <c r="Z5832">
        <v>0</v>
      </c>
      <c r="AA5832">
        <v>9</v>
      </c>
      <c r="AB5832">
        <v>3</v>
      </c>
      <c r="AC5832">
        <v>0</v>
      </c>
      <c r="AD5832">
        <v>10</v>
      </c>
      <c r="AE5832">
        <v>0</v>
      </c>
      <c r="AF5832">
        <v>3</v>
      </c>
      <c r="AG5832">
        <v>2</v>
      </c>
      <c r="AH5832">
        <v>0</v>
      </c>
      <c r="AI5832" t="s">
        <v>1293</v>
      </c>
      <c r="AJ5832">
        <v>28.203599000000001</v>
      </c>
      <c r="AK5832" t="s">
        <v>1294</v>
      </c>
      <c r="AL5832">
        <v>-82.375337999999999</v>
      </c>
      <c r="AM5832">
        <v>100</v>
      </c>
      <c r="AN5832">
        <v>600</v>
      </c>
      <c r="AO5832" t="s">
        <v>118</v>
      </c>
      <c r="AP5832">
        <v>93</v>
      </c>
      <c r="AQ5832">
        <v>23</v>
      </c>
      <c r="AR5832">
        <v>-1024</v>
      </c>
      <c r="AZ5832">
        <v>1200</v>
      </c>
      <c r="BA5832">
        <v>1</v>
      </c>
      <c r="BB5832" t="str">
        <f t="shared" si="2701"/>
        <v xml:space="preserve">N711JA  </v>
      </c>
      <c r="BC5832">
        <v>1</v>
      </c>
      <c r="BE5832">
        <v>0</v>
      </c>
      <c r="BF5832">
        <v>0</v>
      </c>
      <c r="BG5832">
        <v>0</v>
      </c>
      <c r="BH5832">
        <v>600</v>
      </c>
      <c r="BI5832">
        <v>1</v>
      </c>
      <c r="BJ5832">
        <v>1</v>
      </c>
      <c r="BK5832">
        <v>0</v>
      </c>
      <c r="BL5832">
        <v>0</v>
      </c>
      <c r="BO5832">
        <v>0</v>
      </c>
      <c r="BP5832">
        <v>0</v>
      </c>
      <c r="BW5832" t="str">
        <f t="shared" si="2724"/>
        <v>14:52:09.833</v>
      </c>
      <c r="CJ5832">
        <v>0</v>
      </c>
      <c r="CK5832">
        <v>2</v>
      </c>
      <c r="CL5832">
        <v>0</v>
      </c>
      <c r="CM5832">
        <v>2</v>
      </c>
      <c r="CN5832">
        <v>0</v>
      </c>
      <c r="CO5832">
        <v>6</v>
      </c>
      <c r="CP5832" t="s">
        <v>119</v>
      </c>
      <c r="CQ5832">
        <v>358</v>
      </c>
      <c r="CR5832">
        <v>0</v>
      </c>
      <c r="CW5832">
        <v>5328239</v>
      </c>
      <c r="CY5832">
        <v>1</v>
      </c>
      <c r="CZ5832">
        <v>0</v>
      </c>
      <c r="DA5832">
        <v>1</v>
      </c>
      <c r="DB5832">
        <v>0</v>
      </c>
      <c r="DC5832">
        <v>0</v>
      </c>
      <c r="DD5832">
        <v>1</v>
      </c>
      <c r="DE5832">
        <v>0</v>
      </c>
      <c r="DF5832">
        <v>0</v>
      </c>
      <c r="DG5832">
        <v>0</v>
      </c>
      <c r="DH5832">
        <v>0</v>
      </c>
      <c r="DI5832">
        <v>0</v>
      </c>
    </row>
    <row r="5833" spans="1:113" x14ac:dyDescent="0.3">
      <c r="A5833" t="str">
        <f t="shared" ref="A5833:A5840" si="2726">"05/12/2020 14:51:53.100"</f>
        <v>05/12/2020 14:51:53.100</v>
      </c>
      <c r="C5833" t="str">
        <f t="shared" si="2700"/>
        <v>FFDFD3C0</v>
      </c>
      <c r="D5833" t="s">
        <v>126</v>
      </c>
      <c r="E5833">
        <v>6</v>
      </c>
      <c r="F5833">
        <v>1006</v>
      </c>
      <c r="G5833" t="s">
        <v>114</v>
      </c>
      <c r="J5833" t="s">
        <v>128</v>
      </c>
      <c r="K5833">
        <v>0</v>
      </c>
      <c r="L5833">
        <v>3</v>
      </c>
      <c r="M5833">
        <v>0</v>
      </c>
      <c r="N5833">
        <v>2</v>
      </c>
      <c r="O5833">
        <v>1</v>
      </c>
      <c r="P5833">
        <v>0</v>
      </c>
      <c r="Q5833">
        <v>0</v>
      </c>
      <c r="S5833" t="str">
        <f t="shared" ref="S5833:S5840" si="2727">"14:52:10.906"</f>
        <v>14:52:10.906</v>
      </c>
      <c r="T5833" t="str">
        <f t="shared" ref="T5833:T5840" si="2728">"14:52:10.506"</f>
        <v>14:52:10.506</v>
      </c>
      <c r="U5833" t="str">
        <f t="shared" si="2725"/>
        <v>A9808D</v>
      </c>
      <c r="V5833">
        <v>0</v>
      </c>
      <c r="W5833">
        <v>0</v>
      </c>
      <c r="X5833">
        <v>1</v>
      </c>
      <c r="Z5833">
        <v>0</v>
      </c>
      <c r="AA5833">
        <v>9</v>
      </c>
      <c r="AB5833">
        <v>3</v>
      </c>
      <c r="AC5833">
        <v>0</v>
      </c>
      <c r="AD5833">
        <v>10</v>
      </c>
      <c r="AE5833">
        <v>0</v>
      </c>
      <c r="AF5833">
        <v>3</v>
      </c>
      <c r="AG5833">
        <v>2</v>
      </c>
      <c r="AH5833">
        <v>0</v>
      </c>
      <c r="AI5833" t="s">
        <v>1270</v>
      </c>
      <c r="AJ5833">
        <v>28.203664</v>
      </c>
      <c r="AK5833" t="s">
        <v>1295</v>
      </c>
      <c r="AL5833">
        <v>-82.374844999999993</v>
      </c>
      <c r="AM5833">
        <v>100</v>
      </c>
      <c r="AN5833">
        <v>500</v>
      </c>
      <c r="AO5833" t="s">
        <v>118</v>
      </c>
      <c r="AP5833">
        <v>92</v>
      </c>
      <c r="AQ5833">
        <v>24</v>
      </c>
      <c r="AR5833">
        <v>-1088</v>
      </c>
      <c r="AZ5833">
        <v>1200</v>
      </c>
      <c r="BA5833">
        <v>1</v>
      </c>
      <c r="BB5833" t="str">
        <f t="shared" si="2701"/>
        <v xml:space="preserve">N711JA  </v>
      </c>
      <c r="BC5833">
        <v>1</v>
      </c>
      <c r="BE5833">
        <v>0</v>
      </c>
      <c r="BF5833">
        <v>0</v>
      </c>
      <c r="BG5833">
        <v>0</v>
      </c>
      <c r="BH5833">
        <v>575</v>
      </c>
      <c r="BI5833">
        <v>1</v>
      </c>
      <c r="BJ5833">
        <v>1</v>
      </c>
      <c r="BK5833">
        <v>0</v>
      </c>
      <c r="BL5833">
        <v>0</v>
      </c>
      <c r="BO5833">
        <v>0</v>
      </c>
      <c r="BP5833">
        <v>0</v>
      </c>
      <c r="BW5833" t="str">
        <f t="shared" ref="BW5833:BW5840" si="2729">"14:52:10.907"</f>
        <v>14:52:10.907</v>
      </c>
      <c r="CJ5833">
        <v>0</v>
      </c>
      <c r="CK5833">
        <v>2</v>
      </c>
      <c r="CL5833">
        <v>0</v>
      </c>
      <c r="CM5833">
        <v>2</v>
      </c>
      <c r="CN5833">
        <v>0</v>
      </c>
      <c r="CO5833">
        <v>7</v>
      </c>
      <c r="CP5833" t="s">
        <v>119</v>
      </c>
      <c r="CQ5833">
        <v>343</v>
      </c>
      <c r="CR5833">
        <v>1</v>
      </c>
      <c r="CW5833">
        <v>11206863</v>
      </c>
      <c r="CY5833">
        <v>1</v>
      </c>
      <c r="CZ5833">
        <v>0</v>
      </c>
      <c r="DA5833">
        <v>0</v>
      </c>
      <c r="DB5833">
        <v>0</v>
      </c>
      <c r="DC5833">
        <v>0</v>
      </c>
      <c r="DD5833">
        <v>1</v>
      </c>
      <c r="DE5833">
        <v>0</v>
      </c>
      <c r="DF5833">
        <v>0</v>
      </c>
      <c r="DG5833">
        <v>0</v>
      </c>
      <c r="DH5833">
        <v>0</v>
      </c>
      <c r="DI5833">
        <v>0</v>
      </c>
    </row>
    <row r="5834" spans="1:113" x14ac:dyDescent="0.3">
      <c r="A5834" t="str">
        <f t="shared" si="2726"/>
        <v>05/12/2020 14:51:53.100</v>
      </c>
      <c r="C5834" t="str">
        <f t="shared" si="2700"/>
        <v>FFDFD3C0</v>
      </c>
      <c r="D5834" t="s">
        <v>134</v>
      </c>
      <c r="E5834">
        <v>12</v>
      </c>
      <c r="H5834">
        <v>64</v>
      </c>
      <c r="I5834" t="s">
        <v>135</v>
      </c>
      <c r="J5834" t="s">
        <v>136</v>
      </c>
      <c r="K5834">
        <v>0</v>
      </c>
      <c r="L5834">
        <v>3</v>
      </c>
      <c r="M5834">
        <v>0</v>
      </c>
      <c r="N5834">
        <v>2</v>
      </c>
      <c r="O5834">
        <v>1</v>
      </c>
      <c r="P5834">
        <v>0</v>
      </c>
      <c r="Q5834">
        <v>0</v>
      </c>
      <c r="S5834" t="str">
        <f t="shared" si="2727"/>
        <v>14:52:10.906</v>
      </c>
      <c r="T5834" t="str">
        <f t="shared" si="2728"/>
        <v>14:52:10.506</v>
      </c>
      <c r="U5834" t="str">
        <f t="shared" si="2725"/>
        <v>A9808D</v>
      </c>
      <c r="V5834">
        <v>0</v>
      </c>
      <c r="W5834">
        <v>0</v>
      </c>
      <c r="X5834">
        <v>1</v>
      </c>
      <c r="Z5834">
        <v>0</v>
      </c>
      <c r="AA5834">
        <v>9</v>
      </c>
      <c r="AB5834">
        <v>3</v>
      </c>
      <c r="AC5834">
        <v>0</v>
      </c>
      <c r="AD5834">
        <v>10</v>
      </c>
      <c r="AE5834">
        <v>0</v>
      </c>
      <c r="AF5834">
        <v>3</v>
      </c>
      <c r="AG5834">
        <v>2</v>
      </c>
      <c r="AH5834">
        <v>0</v>
      </c>
      <c r="AI5834" t="s">
        <v>1270</v>
      </c>
      <c r="AJ5834">
        <v>28.203664</v>
      </c>
      <c r="AK5834" t="s">
        <v>1295</v>
      </c>
      <c r="AL5834">
        <v>-82.374844999999993</v>
      </c>
      <c r="AM5834">
        <v>100</v>
      </c>
      <c r="AN5834">
        <v>500</v>
      </c>
      <c r="AO5834" t="s">
        <v>118</v>
      </c>
      <c r="AP5834">
        <v>92</v>
      </c>
      <c r="AQ5834">
        <v>24</v>
      </c>
      <c r="AR5834">
        <v>-1088</v>
      </c>
      <c r="AZ5834">
        <v>1200</v>
      </c>
      <c r="BA5834">
        <v>1</v>
      </c>
      <c r="BB5834" t="str">
        <f t="shared" si="2701"/>
        <v xml:space="preserve">N711JA  </v>
      </c>
      <c r="BC5834">
        <v>1</v>
      </c>
      <c r="BE5834">
        <v>0</v>
      </c>
      <c r="BF5834">
        <v>0</v>
      </c>
      <c r="BG5834">
        <v>0</v>
      </c>
      <c r="BH5834">
        <v>575</v>
      </c>
      <c r="BI5834">
        <v>1</v>
      </c>
      <c r="BJ5834">
        <v>1</v>
      </c>
      <c r="BK5834">
        <v>0</v>
      </c>
      <c r="BL5834">
        <v>0</v>
      </c>
      <c r="BO5834">
        <v>0</v>
      </c>
      <c r="BP5834">
        <v>0</v>
      </c>
      <c r="BW5834" t="str">
        <f t="shared" si="2729"/>
        <v>14:52:10.907</v>
      </c>
      <c r="CJ5834">
        <v>0</v>
      </c>
      <c r="CK5834">
        <v>2</v>
      </c>
      <c r="CL5834">
        <v>0</v>
      </c>
      <c r="CM5834">
        <v>2</v>
      </c>
      <c r="CN5834">
        <v>0</v>
      </c>
      <c r="CO5834">
        <v>7</v>
      </c>
      <c r="CP5834" t="s">
        <v>119</v>
      </c>
      <c r="CQ5834">
        <v>343</v>
      </c>
      <c r="CR5834">
        <v>1</v>
      </c>
      <c r="CW5834">
        <v>11206863</v>
      </c>
      <c r="CY5834">
        <v>1</v>
      </c>
      <c r="CZ5834">
        <v>0</v>
      </c>
      <c r="DA5834">
        <v>1</v>
      </c>
      <c r="DB5834">
        <v>0</v>
      </c>
      <c r="DC5834">
        <v>0</v>
      </c>
      <c r="DD5834">
        <v>1</v>
      </c>
      <c r="DE5834">
        <v>0</v>
      </c>
      <c r="DF5834">
        <v>0</v>
      </c>
      <c r="DG5834">
        <v>0</v>
      </c>
      <c r="DH5834">
        <v>0</v>
      </c>
      <c r="DI5834">
        <v>0</v>
      </c>
    </row>
    <row r="5835" spans="1:113" x14ac:dyDescent="0.3">
      <c r="A5835" t="str">
        <f t="shared" si="2726"/>
        <v>05/12/2020 14:51:53.100</v>
      </c>
      <c r="C5835" t="str">
        <f t="shared" si="2700"/>
        <v>FFDFD3C0</v>
      </c>
      <c r="D5835" t="s">
        <v>138</v>
      </c>
      <c r="E5835">
        <v>2</v>
      </c>
      <c r="H5835">
        <v>8</v>
      </c>
      <c r="I5835" t="s">
        <v>139</v>
      </c>
      <c r="J5835" t="s">
        <v>136</v>
      </c>
      <c r="K5835">
        <v>0</v>
      </c>
      <c r="L5835">
        <v>3</v>
      </c>
      <c r="M5835">
        <v>0</v>
      </c>
      <c r="N5835">
        <v>2</v>
      </c>
      <c r="O5835">
        <v>1</v>
      </c>
      <c r="P5835">
        <v>0</v>
      </c>
      <c r="Q5835">
        <v>0</v>
      </c>
      <c r="S5835" t="str">
        <f t="shared" si="2727"/>
        <v>14:52:10.906</v>
      </c>
      <c r="T5835" t="str">
        <f t="shared" si="2728"/>
        <v>14:52:10.506</v>
      </c>
      <c r="U5835" t="str">
        <f t="shared" si="2725"/>
        <v>A9808D</v>
      </c>
      <c r="V5835">
        <v>0</v>
      </c>
      <c r="W5835">
        <v>0</v>
      </c>
      <c r="X5835">
        <v>1</v>
      </c>
      <c r="Z5835">
        <v>0</v>
      </c>
      <c r="AA5835">
        <v>9</v>
      </c>
      <c r="AB5835">
        <v>3</v>
      </c>
      <c r="AC5835">
        <v>0</v>
      </c>
      <c r="AD5835">
        <v>10</v>
      </c>
      <c r="AE5835">
        <v>0</v>
      </c>
      <c r="AF5835">
        <v>3</v>
      </c>
      <c r="AG5835">
        <v>2</v>
      </c>
      <c r="AH5835">
        <v>0</v>
      </c>
      <c r="AI5835" t="s">
        <v>1270</v>
      </c>
      <c r="AJ5835">
        <v>28.203664</v>
      </c>
      <c r="AK5835" t="s">
        <v>1295</v>
      </c>
      <c r="AL5835">
        <v>-82.374844999999993</v>
      </c>
      <c r="AM5835">
        <v>100</v>
      </c>
      <c r="AN5835">
        <v>500</v>
      </c>
      <c r="AO5835" t="s">
        <v>118</v>
      </c>
      <c r="AP5835">
        <v>92</v>
      </c>
      <c r="AQ5835">
        <v>24</v>
      </c>
      <c r="AR5835">
        <v>-1088</v>
      </c>
      <c r="AZ5835">
        <v>1200</v>
      </c>
      <c r="BA5835">
        <v>1</v>
      </c>
      <c r="BB5835" t="str">
        <f t="shared" si="2701"/>
        <v xml:space="preserve">N711JA  </v>
      </c>
      <c r="BC5835">
        <v>1</v>
      </c>
      <c r="BE5835">
        <v>0</v>
      </c>
      <c r="BF5835">
        <v>0</v>
      </c>
      <c r="BG5835">
        <v>0</v>
      </c>
      <c r="BH5835">
        <v>575</v>
      </c>
      <c r="BI5835">
        <v>1</v>
      </c>
      <c r="BJ5835">
        <v>1</v>
      </c>
      <c r="BK5835">
        <v>0</v>
      </c>
      <c r="BL5835">
        <v>0</v>
      </c>
      <c r="BO5835">
        <v>0</v>
      </c>
      <c r="BP5835">
        <v>0</v>
      </c>
      <c r="BW5835" t="str">
        <f t="shared" si="2729"/>
        <v>14:52:10.907</v>
      </c>
      <c r="CJ5835">
        <v>0</v>
      </c>
      <c r="CK5835">
        <v>2</v>
      </c>
      <c r="CL5835">
        <v>0</v>
      </c>
      <c r="CM5835">
        <v>2</v>
      </c>
      <c r="CN5835">
        <v>0</v>
      </c>
      <c r="CO5835">
        <v>7</v>
      </c>
      <c r="CP5835" t="s">
        <v>119</v>
      </c>
      <c r="CQ5835">
        <v>343</v>
      </c>
      <c r="CR5835">
        <v>1</v>
      </c>
      <c r="CW5835">
        <v>11206863</v>
      </c>
      <c r="CY5835">
        <v>1</v>
      </c>
      <c r="CZ5835">
        <v>0</v>
      </c>
      <c r="DA5835">
        <v>1</v>
      </c>
      <c r="DB5835">
        <v>0</v>
      </c>
      <c r="DC5835">
        <v>0</v>
      </c>
      <c r="DD5835">
        <v>1</v>
      </c>
      <c r="DE5835">
        <v>0</v>
      </c>
      <c r="DF5835">
        <v>0</v>
      </c>
      <c r="DG5835">
        <v>0</v>
      </c>
      <c r="DH5835">
        <v>0</v>
      </c>
      <c r="DI5835">
        <v>0</v>
      </c>
    </row>
    <row r="5836" spans="1:113" x14ac:dyDescent="0.3">
      <c r="A5836" t="str">
        <f t="shared" si="2726"/>
        <v>05/12/2020 14:51:53.100</v>
      </c>
      <c r="C5836" t="str">
        <f t="shared" si="2700"/>
        <v>FFDFD3C0</v>
      </c>
      <c r="D5836" t="s">
        <v>138</v>
      </c>
      <c r="E5836">
        <v>3</v>
      </c>
      <c r="H5836">
        <v>9</v>
      </c>
      <c r="I5836" t="s">
        <v>140</v>
      </c>
      <c r="J5836" t="s">
        <v>136</v>
      </c>
      <c r="K5836">
        <v>0</v>
      </c>
      <c r="L5836">
        <v>3</v>
      </c>
      <c r="M5836">
        <v>0</v>
      </c>
      <c r="N5836">
        <v>2</v>
      </c>
      <c r="O5836">
        <v>1</v>
      </c>
      <c r="P5836">
        <v>0</v>
      </c>
      <c r="Q5836">
        <v>0</v>
      </c>
      <c r="S5836" t="str">
        <f t="shared" si="2727"/>
        <v>14:52:10.906</v>
      </c>
      <c r="T5836" t="str">
        <f t="shared" si="2728"/>
        <v>14:52:10.506</v>
      </c>
      <c r="U5836" t="str">
        <f t="shared" si="2725"/>
        <v>A9808D</v>
      </c>
      <c r="V5836">
        <v>0</v>
      </c>
      <c r="W5836">
        <v>0</v>
      </c>
      <c r="X5836">
        <v>1</v>
      </c>
      <c r="Z5836">
        <v>0</v>
      </c>
      <c r="AA5836">
        <v>9</v>
      </c>
      <c r="AB5836">
        <v>3</v>
      </c>
      <c r="AC5836">
        <v>0</v>
      </c>
      <c r="AD5836">
        <v>10</v>
      </c>
      <c r="AE5836">
        <v>0</v>
      </c>
      <c r="AF5836">
        <v>3</v>
      </c>
      <c r="AG5836">
        <v>2</v>
      </c>
      <c r="AH5836">
        <v>0</v>
      </c>
      <c r="AI5836" t="s">
        <v>1270</v>
      </c>
      <c r="AJ5836">
        <v>28.203664</v>
      </c>
      <c r="AK5836" t="s">
        <v>1295</v>
      </c>
      <c r="AL5836">
        <v>-82.374844999999993</v>
      </c>
      <c r="AM5836">
        <v>100</v>
      </c>
      <c r="AN5836">
        <v>500</v>
      </c>
      <c r="AO5836" t="s">
        <v>118</v>
      </c>
      <c r="AP5836">
        <v>92</v>
      </c>
      <c r="AQ5836">
        <v>24</v>
      </c>
      <c r="AR5836">
        <v>-1088</v>
      </c>
      <c r="AZ5836">
        <v>1200</v>
      </c>
      <c r="BA5836">
        <v>1</v>
      </c>
      <c r="BB5836" t="str">
        <f t="shared" si="2701"/>
        <v xml:space="preserve">N711JA  </v>
      </c>
      <c r="BC5836">
        <v>1</v>
      </c>
      <c r="BE5836">
        <v>0</v>
      </c>
      <c r="BF5836">
        <v>0</v>
      </c>
      <c r="BG5836">
        <v>0</v>
      </c>
      <c r="BH5836">
        <v>575</v>
      </c>
      <c r="BI5836">
        <v>1</v>
      </c>
      <c r="BJ5836">
        <v>1</v>
      </c>
      <c r="BK5836">
        <v>0</v>
      </c>
      <c r="BL5836">
        <v>0</v>
      </c>
      <c r="BO5836">
        <v>0</v>
      </c>
      <c r="BP5836">
        <v>0</v>
      </c>
      <c r="BW5836" t="str">
        <f t="shared" si="2729"/>
        <v>14:52:10.907</v>
      </c>
      <c r="CJ5836">
        <v>0</v>
      </c>
      <c r="CK5836">
        <v>2</v>
      </c>
      <c r="CL5836">
        <v>0</v>
      </c>
      <c r="CM5836">
        <v>2</v>
      </c>
      <c r="CN5836">
        <v>0</v>
      </c>
      <c r="CO5836">
        <v>7</v>
      </c>
      <c r="CP5836" t="s">
        <v>119</v>
      </c>
      <c r="CQ5836">
        <v>343</v>
      </c>
      <c r="CR5836">
        <v>1</v>
      </c>
      <c r="CW5836">
        <v>11206863</v>
      </c>
      <c r="CY5836">
        <v>1</v>
      </c>
      <c r="CZ5836">
        <v>0</v>
      </c>
      <c r="DA5836">
        <v>1</v>
      </c>
      <c r="DB5836">
        <v>0</v>
      </c>
      <c r="DC5836">
        <v>0</v>
      </c>
      <c r="DD5836">
        <v>1</v>
      </c>
      <c r="DE5836">
        <v>0</v>
      </c>
      <c r="DF5836">
        <v>0</v>
      </c>
      <c r="DG5836">
        <v>0</v>
      </c>
      <c r="DH5836">
        <v>0</v>
      </c>
      <c r="DI5836">
        <v>0</v>
      </c>
    </row>
    <row r="5837" spans="1:113" x14ac:dyDescent="0.3">
      <c r="A5837" t="str">
        <f t="shared" si="2726"/>
        <v>05/12/2020 14:51:53.100</v>
      </c>
      <c r="C5837" t="str">
        <f t="shared" si="2700"/>
        <v>FFDFD3C0</v>
      </c>
      <c r="D5837" t="s">
        <v>113</v>
      </c>
      <c r="E5837">
        <v>3</v>
      </c>
      <c r="H5837">
        <v>164</v>
      </c>
      <c r="I5837" t="s">
        <v>114</v>
      </c>
      <c r="J5837" t="s">
        <v>115</v>
      </c>
      <c r="K5837">
        <v>0</v>
      </c>
      <c r="L5837">
        <v>3</v>
      </c>
      <c r="M5837">
        <v>0</v>
      </c>
      <c r="N5837">
        <v>2</v>
      </c>
      <c r="O5837">
        <v>1</v>
      </c>
      <c r="P5837">
        <v>0</v>
      </c>
      <c r="Q5837">
        <v>0</v>
      </c>
      <c r="S5837" t="str">
        <f t="shared" si="2727"/>
        <v>14:52:10.906</v>
      </c>
      <c r="T5837" t="str">
        <f t="shared" si="2728"/>
        <v>14:52:10.506</v>
      </c>
      <c r="U5837" t="str">
        <f t="shared" si="2725"/>
        <v>A9808D</v>
      </c>
      <c r="V5837">
        <v>0</v>
      </c>
      <c r="W5837">
        <v>0</v>
      </c>
      <c r="X5837">
        <v>1</v>
      </c>
      <c r="Z5837">
        <v>0</v>
      </c>
      <c r="AA5837">
        <v>9</v>
      </c>
      <c r="AB5837">
        <v>3</v>
      </c>
      <c r="AC5837">
        <v>0</v>
      </c>
      <c r="AD5837">
        <v>10</v>
      </c>
      <c r="AE5837">
        <v>0</v>
      </c>
      <c r="AF5837">
        <v>3</v>
      </c>
      <c r="AG5837">
        <v>2</v>
      </c>
      <c r="AH5837">
        <v>0</v>
      </c>
      <c r="AI5837" t="s">
        <v>1270</v>
      </c>
      <c r="AJ5837">
        <v>28.203664</v>
      </c>
      <c r="AK5837" t="s">
        <v>1295</v>
      </c>
      <c r="AL5837">
        <v>-82.374844999999993</v>
      </c>
      <c r="AM5837">
        <v>100</v>
      </c>
      <c r="AN5837">
        <v>500</v>
      </c>
      <c r="AO5837" t="s">
        <v>118</v>
      </c>
      <c r="AP5837">
        <v>92</v>
      </c>
      <c r="AQ5837">
        <v>24</v>
      </c>
      <c r="AR5837">
        <v>-1088</v>
      </c>
      <c r="AZ5837">
        <v>1200</v>
      </c>
      <c r="BA5837">
        <v>1</v>
      </c>
      <c r="BB5837" t="str">
        <f t="shared" si="2701"/>
        <v xml:space="preserve">N711JA  </v>
      </c>
      <c r="BC5837">
        <v>1</v>
      </c>
      <c r="BE5837">
        <v>0</v>
      </c>
      <c r="BF5837">
        <v>0</v>
      </c>
      <c r="BG5837">
        <v>0</v>
      </c>
      <c r="BH5837">
        <v>575</v>
      </c>
      <c r="BI5837">
        <v>1</v>
      </c>
      <c r="BJ5837">
        <v>1</v>
      </c>
      <c r="BK5837">
        <v>0</v>
      </c>
      <c r="BL5837">
        <v>0</v>
      </c>
      <c r="BO5837">
        <v>0</v>
      </c>
      <c r="BP5837">
        <v>0</v>
      </c>
      <c r="BW5837" t="str">
        <f t="shared" si="2729"/>
        <v>14:52:10.907</v>
      </c>
      <c r="CJ5837">
        <v>0</v>
      </c>
      <c r="CK5837">
        <v>2</v>
      </c>
      <c r="CL5837">
        <v>0</v>
      </c>
      <c r="CM5837">
        <v>2</v>
      </c>
      <c r="CN5837">
        <v>0</v>
      </c>
      <c r="CO5837">
        <v>7</v>
      </c>
      <c r="CP5837" t="s">
        <v>119</v>
      </c>
      <c r="CQ5837">
        <v>343</v>
      </c>
      <c r="CR5837">
        <v>1</v>
      </c>
      <c r="CW5837">
        <v>11206863</v>
      </c>
      <c r="CY5837">
        <v>1</v>
      </c>
      <c r="CZ5837">
        <v>0</v>
      </c>
      <c r="DA5837">
        <v>1</v>
      </c>
      <c r="DB5837">
        <v>0</v>
      </c>
      <c r="DC5837">
        <v>0</v>
      </c>
      <c r="DD5837">
        <v>1</v>
      </c>
      <c r="DE5837">
        <v>0</v>
      </c>
      <c r="DF5837">
        <v>0</v>
      </c>
      <c r="DG5837">
        <v>0</v>
      </c>
      <c r="DH5837">
        <v>0</v>
      </c>
      <c r="DI5837">
        <v>0</v>
      </c>
    </row>
    <row r="5838" spans="1:113" x14ac:dyDescent="0.3">
      <c r="A5838" t="str">
        <f t="shared" si="2726"/>
        <v>05/12/2020 14:51:53.100</v>
      </c>
      <c r="C5838" t="str">
        <f t="shared" si="2700"/>
        <v>FFDFD3C0</v>
      </c>
      <c r="D5838" t="s">
        <v>131</v>
      </c>
      <c r="E5838">
        <v>10</v>
      </c>
      <c r="F5838">
        <v>2010</v>
      </c>
      <c r="G5838" t="s">
        <v>132</v>
      </c>
      <c r="J5838" t="s">
        <v>133</v>
      </c>
      <c r="K5838">
        <v>0</v>
      </c>
      <c r="L5838">
        <v>3</v>
      </c>
      <c r="M5838">
        <v>0</v>
      </c>
      <c r="N5838">
        <v>2</v>
      </c>
      <c r="O5838">
        <v>1</v>
      </c>
      <c r="P5838">
        <v>0</v>
      </c>
      <c r="Q5838">
        <v>0</v>
      </c>
      <c r="S5838" t="str">
        <f t="shared" si="2727"/>
        <v>14:52:10.906</v>
      </c>
      <c r="T5838" t="str">
        <f t="shared" si="2728"/>
        <v>14:52:10.506</v>
      </c>
      <c r="U5838" t="str">
        <f t="shared" si="2725"/>
        <v>A9808D</v>
      </c>
      <c r="V5838">
        <v>0</v>
      </c>
      <c r="W5838">
        <v>0</v>
      </c>
      <c r="X5838">
        <v>1</v>
      </c>
      <c r="Z5838">
        <v>0</v>
      </c>
      <c r="AA5838">
        <v>9</v>
      </c>
      <c r="AB5838">
        <v>3</v>
      </c>
      <c r="AC5838">
        <v>0</v>
      </c>
      <c r="AD5838">
        <v>10</v>
      </c>
      <c r="AE5838">
        <v>0</v>
      </c>
      <c r="AF5838">
        <v>3</v>
      </c>
      <c r="AG5838">
        <v>2</v>
      </c>
      <c r="AH5838">
        <v>0</v>
      </c>
      <c r="AI5838" t="s">
        <v>1270</v>
      </c>
      <c r="AJ5838">
        <v>28.203664</v>
      </c>
      <c r="AK5838" t="s">
        <v>1295</v>
      </c>
      <c r="AL5838">
        <v>-82.374844999999993</v>
      </c>
      <c r="AM5838">
        <v>100</v>
      </c>
      <c r="AN5838">
        <v>500</v>
      </c>
      <c r="AO5838" t="s">
        <v>118</v>
      </c>
      <c r="AP5838">
        <v>92</v>
      </c>
      <c r="AQ5838">
        <v>24</v>
      </c>
      <c r="AR5838">
        <v>-1088</v>
      </c>
      <c r="AZ5838">
        <v>1200</v>
      </c>
      <c r="BA5838">
        <v>1</v>
      </c>
      <c r="BB5838" t="str">
        <f t="shared" si="2701"/>
        <v xml:space="preserve">N711JA  </v>
      </c>
      <c r="BC5838">
        <v>1</v>
      </c>
      <c r="BE5838">
        <v>0</v>
      </c>
      <c r="BF5838">
        <v>0</v>
      </c>
      <c r="BG5838">
        <v>0</v>
      </c>
      <c r="BH5838">
        <v>575</v>
      </c>
      <c r="BI5838">
        <v>1</v>
      </c>
      <c r="BJ5838">
        <v>1</v>
      </c>
      <c r="BK5838">
        <v>0</v>
      </c>
      <c r="BL5838">
        <v>0</v>
      </c>
      <c r="BO5838">
        <v>0</v>
      </c>
      <c r="BP5838">
        <v>0</v>
      </c>
      <c r="BW5838" t="str">
        <f t="shared" si="2729"/>
        <v>14:52:10.907</v>
      </c>
      <c r="CJ5838">
        <v>0</v>
      </c>
      <c r="CK5838">
        <v>2</v>
      </c>
      <c r="CL5838">
        <v>0</v>
      </c>
      <c r="CM5838">
        <v>2</v>
      </c>
      <c r="CN5838">
        <v>0</v>
      </c>
      <c r="CO5838">
        <v>7</v>
      </c>
      <c r="CP5838" t="s">
        <v>119</v>
      </c>
      <c r="CQ5838">
        <v>343</v>
      </c>
      <c r="CR5838">
        <v>1</v>
      </c>
      <c r="CW5838">
        <v>11206863</v>
      </c>
      <c r="CY5838">
        <v>1</v>
      </c>
      <c r="CZ5838">
        <v>0</v>
      </c>
      <c r="DA5838">
        <v>1</v>
      </c>
      <c r="DB5838">
        <v>0</v>
      </c>
      <c r="DC5838">
        <v>0</v>
      </c>
      <c r="DD5838">
        <v>1</v>
      </c>
      <c r="DE5838">
        <v>0</v>
      </c>
      <c r="DF5838">
        <v>0</v>
      </c>
      <c r="DG5838">
        <v>0</v>
      </c>
      <c r="DH5838">
        <v>0</v>
      </c>
      <c r="DI5838">
        <v>0</v>
      </c>
    </row>
    <row r="5839" spans="1:113" x14ac:dyDescent="0.3">
      <c r="A5839" t="str">
        <f t="shared" si="2726"/>
        <v>05/12/2020 14:51:53.100</v>
      </c>
      <c r="C5839" t="str">
        <f t="shared" si="2700"/>
        <v>FFDFD3C0</v>
      </c>
      <c r="D5839" t="s">
        <v>126</v>
      </c>
      <c r="E5839">
        <v>7</v>
      </c>
      <c r="F5839">
        <v>1007</v>
      </c>
      <c r="G5839" t="s">
        <v>127</v>
      </c>
      <c r="J5839" t="s">
        <v>128</v>
      </c>
      <c r="K5839">
        <v>0</v>
      </c>
      <c r="L5839">
        <v>3</v>
      </c>
      <c r="M5839">
        <v>0</v>
      </c>
      <c r="N5839">
        <v>2</v>
      </c>
      <c r="O5839">
        <v>1</v>
      </c>
      <c r="P5839">
        <v>0</v>
      </c>
      <c r="Q5839">
        <v>0</v>
      </c>
      <c r="S5839" t="str">
        <f t="shared" si="2727"/>
        <v>14:52:10.906</v>
      </c>
      <c r="T5839" t="str">
        <f t="shared" si="2728"/>
        <v>14:52:10.506</v>
      </c>
      <c r="U5839" t="str">
        <f t="shared" si="2725"/>
        <v>A9808D</v>
      </c>
      <c r="V5839">
        <v>0</v>
      </c>
      <c r="W5839">
        <v>0</v>
      </c>
      <c r="X5839">
        <v>1</v>
      </c>
      <c r="Z5839">
        <v>0</v>
      </c>
      <c r="AA5839">
        <v>9</v>
      </c>
      <c r="AB5839">
        <v>3</v>
      </c>
      <c r="AC5839">
        <v>0</v>
      </c>
      <c r="AD5839">
        <v>10</v>
      </c>
      <c r="AE5839">
        <v>0</v>
      </c>
      <c r="AF5839">
        <v>3</v>
      </c>
      <c r="AG5839">
        <v>2</v>
      </c>
      <c r="AH5839">
        <v>0</v>
      </c>
      <c r="AI5839" t="s">
        <v>1270</v>
      </c>
      <c r="AJ5839">
        <v>28.203664</v>
      </c>
      <c r="AK5839" t="s">
        <v>1295</v>
      </c>
      <c r="AL5839">
        <v>-82.374844999999993</v>
      </c>
      <c r="AM5839">
        <v>100</v>
      </c>
      <c r="AN5839">
        <v>500</v>
      </c>
      <c r="AO5839" t="s">
        <v>118</v>
      </c>
      <c r="AP5839">
        <v>92</v>
      </c>
      <c r="AQ5839">
        <v>24</v>
      </c>
      <c r="AR5839">
        <v>-1088</v>
      </c>
      <c r="AZ5839">
        <v>1200</v>
      </c>
      <c r="BA5839">
        <v>1</v>
      </c>
      <c r="BB5839" t="str">
        <f t="shared" si="2701"/>
        <v xml:space="preserve">N711JA  </v>
      </c>
      <c r="BC5839">
        <v>1</v>
      </c>
      <c r="BE5839">
        <v>0</v>
      </c>
      <c r="BF5839">
        <v>0</v>
      </c>
      <c r="BG5839">
        <v>0</v>
      </c>
      <c r="BH5839">
        <v>575</v>
      </c>
      <c r="BI5839">
        <v>1</v>
      </c>
      <c r="BJ5839">
        <v>1</v>
      </c>
      <c r="BK5839">
        <v>0</v>
      </c>
      <c r="BL5839">
        <v>0</v>
      </c>
      <c r="BO5839">
        <v>0</v>
      </c>
      <c r="BP5839">
        <v>0</v>
      </c>
      <c r="BW5839" t="str">
        <f t="shared" si="2729"/>
        <v>14:52:10.907</v>
      </c>
      <c r="CJ5839">
        <v>0</v>
      </c>
      <c r="CK5839">
        <v>2</v>
      </c>
      <c r="CL5839">
        <v>0</v>
      </c>
      <c r="CM5839">
        <v>2</v>
      </c>
      <c r="CN5839">
        <v>0</v>
      </c>
      <c r="CO5839">
        <v>7</v>
      </c>
      <c r="CP5839" t="s">
        <v>119</v>
      </c>
      <c r="CQ5839">
        <v>343</v>
      </c>
      <c r="CR5839">
        <v>1</v>
      </c>
      <c r="CW5839">
        <v>11206863</v>
      </c>
      <c r="CY5839">
        <v>1</v>
      </c>
      <c r="CZ5839">
        <v>0</v>
      </c>
      <c r="DA5839">
        <v>1</v>
      </c>
      <c r="DB5839">
        <v>0</v>
      </c>
      <c r="DC5839">
        <v>0</v>
      </c>
      <c r="DD5839">
        <v>1</v>
      </c>
      <c r="DE5839">
        <v>0</v>
      </c>
      <c r="DF5839">
        <v>0</v>
      </c>
      <c r="DG5839">
        <v>0</v>
      </c>
      <c r="DH5839">
        <v>0</v>
      </c>
      <c r="DI5839">
        <v>0</v>
      </c>
    </row>
    <row r="5840" spans="1:113" x14ac:dyDescent="0.3">
      <c r="A5840" t="str">
        <f t="shared" si="2726"/>
        <v>05/12/2020 14:51:53.100</v>
      </c>
      <c r="C5840" t="str">
        <f t="shared" si="2700"/>
        <v>FFDFD3C0</v>
      </c>
      <c r="D5840" t="s">
        <v>131</v>
      </c>
      <c r="E5840">
        <v>12</v>
      </c>
      <c r="F5840">
        <v>2012</v>
      </c>
      <c r="G5840" t="s">
        <v>137</v>
      </c>
      <c r="J5840" t="s">
        <v>133</v>
      </c>
      <c r="K5840">
        <v>0</v>
      </c>
      <c r="L5840">
        <v>3</v>
      </c>
      <c r="M5840">
        <v>0</v>
      </c>
      <c r="N5840">
        <v>2</v>
      </c>
      <c r="O5840">
        <v>1</v>
      </c>
      <c r="P5840">
        <v>0</v>
      </c>
      <c r="Q5840">
        <v>0</v>
      </c>
      <c r="S5840" t="str">
        <f t="shared" si="2727"/>
        <v>14:52:10.906</v>
      </c>
      <c r="T5840" t="str">
        <f t="shared" si="2728"/>
        <v>14:52:10.506</v>
      </c>
      <c r="U5840" t="str">
        <f t="shared" si="2725"/>
        <v>A9808D</v>
      </c>
      <c r="V5840">
        <v>0</v>
      </c>
      <c r="W5840">
        <v>0</v>
      </c>
      <c r="X5840">
        <v>1</v>
      </c>
      <c r="Z5840">
        <v>0</v>
      </c>
      <c r="AA5840">
        <v>9</v>
      </c>
      <c r="AB5840">
        <v>3</v>
      </c>
      <c r="AC5840">
        <v>0</v>
      </c>
      <c r="AD5840">
        <v>10</v>
      </c>
      <c r="AE5840">
        <v>0</v>
      </c>
      <c r="AF5840">
        <v>3</v>
      </c>
      <c r="AG5840">
        <v>2</v>
      </c>
      <c r="AH5840">
        <v>0</v>
      </c>
      <c r="AI5840" t="s">
        <v>1270</v>
      </c>
      <c r="AJ5840">
        <v>28.203664</v>
      </c>
      <c r="AK5840" t="s">
        <v>1295</v>
      </c>
      <c r="AL5840">
        <v>-82.374844999999993</v>
      </c>
      <c r="AM5840">
        <v>100</v>
      </c>
      <c r="AN5840">
        <v>500</v>
      </c>
      <c r="AO5840" t="s">
        <v>118</v>
      </c>
      <c r="AP5840">
        <v>92</v>
      </c>
      <c r="AQ5840">
        <v>24</v>
      </c>
      <c r="AR5840">
        <v>-1088</v>
      </c>
      <c r="AZ5840">
        <v>1200</v>
      </c>
      <c r="BA5840">
        <v>1</v>
      </c>
      <c r="BB5840" t="str">
        <f t="shared" si="2701"/>
        <v xml:space="preserve">N711JA  </v>
      </c>
      <c r="BC5840">
        <v>1</v>
      </c>
      <c r="BE5840">
        <v>0</v>
      </c>
      <c r="BF5840">
        <v>0</v>
      </c>
      <c r="BG5840">
        <v>0</v>
      </c>
      <c r="BH5840">
        <v>575</v>
      </c>
      <c r="BI5840">
        <v>1</v>
      </c>
      <c r="BJ5840">
        <v>1</v>
      </c>
      <c r="BK5840">
        <v>0</v>
      </c>
      <c r="BL5840">
        <v>0</v>
      </c>
      <c r="BO5840">
        <v>0</v>
      </c>
      <c r="BP5840">
        <v>0</v>
      </c>
      <c r="BW5840" t="str">
        <f t="shared" si="2729"/>
        <v>14:52:10.907</v>
      </c>
      <c r="CJ5840">
        <v>0</v>
      </c>
      <c r="CK5840">
        <v>2</v>
      </c>
      <c r="CL5840">
        <v>0</v>
      </c>
      <c r="CM5840">
        <v>2</v>
      </c>
      <c r="CN5840">
        <v>0</v>
      </c>
      <c r="CO5840">
        <v>7</v>
      </c>
      <c r="CP5840" t="s">
        <v>119</v>
      </c>
      <c r="CQ5840">
        <v>343</v>
      </c>
      <c r="CR5840">
        <v>1</v>
      </c>
      <c r="CW5840">
        <v>11206863</v>
      </c>
      <c r="CY5840">
        <v>1</v>
      </c>
      <c r="CZ5840">
        <v>0</v>
      </c>
      <c r="DA5840">
        <v>1</v>
      </c>
      <c r="DB5840">
        <v>0</v>
      </c>
      <c r="DC5840">
        <v>0</v>
      </c>
      <c r="DD5840">
        <v>1</v>
      </c>
      <c r="DE5840">
        <v>0</v>
      </c>
      <c r="DF5840">
        <v>0</v>
      </c>
      <c r="DG5840">
        <v>0</v>
      </c>
      <c r="DH5840">
        <v>0</v>
      </c>
      <c r="DI5840">
        <v>0</v>
      </c>
    </row>
    <row r="5841" spans="1:113" x14ac:dyDescent="0.3">
      <c r="A5841" t="str">
        <f t="shared" ref="A5841:A5848" si="2730">"05/12/2020 14:51:54.081"</f>
        <v>05/12/2020 14:51:54.081</v>
      </c>
      <c r="C5841" t="str">
        <f t="shared" si="2700"/>
        <v>FFDFD3C0</v>
      </c>
      <c r="D5841" t="s">
        <v>138</v>
      </c>
      <c r="E5841">
        <v>2</v>
      </c>
      <c r="H5841">
        <v>8</v>
      </c>
      <c r="I5841" t="s">
        <v>139</v>
      </c>
      <c r="J5841" t="s">
        <v>136</v>
      </c>
      <c r="K5841">
        <v>0</v>
      </c>
      <c r="L5841">
        <v>3</v>
      </c>
      <c r="M5841">
        <v>0</v>
      </c>
      <c r="N5841">
        <v>2</v>
      </c>
      <c r="O5841">
        <v>1</v>
      </c>
      <c r="P5841">
        <v>0</v>
      </c>
      <c r="Q5841">
        <v>0</v>
      </c>
      <c r="S5841" t="str">
        <f t="shared" ref="S5841:S5848" si="2731">"14:52:11.922"</f>
        <v>14:52:11.922</v>
      </c>
      <c r="T5841" t="str">
        <f t="shared" ref="T5841:T5848" si="2732">"14:52:11.822"</f>
        <v>14:52:11.822</v>
      </c>
      <c r="U5841" t="str">
        <f t="shared" si="2725"/>
        <v>A9808D</v>
      </c>
      <c r="V5841">
        <v>0</v>
      </c>
      <c r="W5841">
        <v>0</v>
      </c>
      <c r="X5841">
        <v>1</v>
      </c>
      <c r="Z5841">
        <v>0</v>
      </c>
      <c r="AA5841">
        <v>9</v>
      </c>
      <c r="AB5841">
        <v>3</v>
      </c>
      <c r="AC5841">
        <v>0</v>
      </c>
      <c r="AD5841">
        <v>10</v>
      </c>
      <c r="AE5841">
        <v>0</v>
      </c>
      <c r="AF5841">
        <v>3</v>
      </c>
      <c r="AG5841">
        <v>2</v>
      </c>
      <c r="AH5841">
        <v>0</v>
      </c>
      <c r="AI5841" t="s">
        <v>1296</v>
      </c>
      <c r="AJ5841">
        <v>28.203814000000001</v>
      </c>
      <c r="AK5841" t="s">
        <v>1297</v>
      </c>
      <c r="AL5841">
        <v>-82.374307999999999</v>
      </c>
      <c r="AM5841">
        <v>100</v>
      </c>
      <c r="AN5841">
        <v>500</v>
      </c>
      <c r="AO5841" t="s">
        <v>118</v>
      </c>
      <c r="AP5841">
        <v>90</v>
      </c>
      <c r="AQ5841">
        <v>27</v>
      </c>
      <c r="AR5841">
        <v>-1088</v>
      </c>
      <c r="AZ5841">
        <v>1200</v>
      </c>
      <c r="BA5841">
        <v>1</v>
      </c>
      <c r="BB5841" t="str">
        <f t="shared" si="2701"/>
        <v xml:space="preserve">N711JA  </v>
      </c>
      <c r="BC5841">
        <v>1</v>
      </c>
      <c r="BE5841">
        <v>0</v>
      </c>
      <c r="BF5841">
        <v>0</v>
      </c>
      <c r="BG5841">
        <v>0</v>
      </c>
      <c r="BH5841">
        <v>575</v>
      </c>
      <c r="BI5841">
        <v>1</v>
      </c>
      <c r="BJ5841">
        <v>1</v>
      </c>
      <c r="BK5841">
        <v>0</v>
      </c>
      <c r="BL5841">
        <v>0</v>
      </c>
      <c r="BO5841">
        <v>0</v>
      </c>
      <c r="BP5841">
        <v>0</v>
      </c>
      <c r="BW5841" t="str">
        <f t="shared" ref="BW5841:BW5848" si="2733">"14:52:11.925"</f>
        <v>14:52:11.925</v>
      </c>
      <c r="CJ5841">
        <v>0</v>
      </c>
      <c r="CK5841">
        <v>2</v>
      </c>
      <c r="CL5841">
        <v>0</v>
      </c>
      <c r="CM5841">
        <v>2</v>
      </c>
      <c r="CN5841">
        <v>0</v>
      </c>
      <c r="CO5841">
        <v>7</v>
      </c>
      <c r="CP5841" t="s">
        <v>119</v>
      </c>
      <c r="CQ5841">
        <v>343</v>
      </c>
      <c r="CR5841">
        <v>2</v>
      </c>
      <c r="CW5841">
        <v>13447018</v>
      </c>
      <c r="CY5841">
        <v>1</v>
      </c>
      <c r="CZ5841">
        <v>0</v>
      </c>
      <c r="DA5841">
        <v>0</v>
      </c>
      <c r="DB5841">
        <v>0</v>
      </c>
      <c r="DC5841">
        <v>0</v>
      </c>
      <c r="DD5841">
        <v>1</v>
      </c>
      <c r="DE5841">
        <v>0</v>
      </c>
      <c r="DF5841">
        <v>0</v>
      </c>
      <c r="DG5841">
        <v>0</v>
      </c>
      <c r="DH5841">
        <v>0</v>
      </c>
      <c r="DI5841">
        <v>0</v>
      </c>
    </row>
    <row r="5842" spans="1:113" x14ac:dyDescent="0.3">
      <c r="A5842" t="str">
        <f t="shared" si="2730"/>
        <v>05/12/2020 14:51:54.081</v>
      </c>
      <c r="C5842" t="str">
        <f t="shared" si="2700"/>
        <v>FFDFD3C0</v>
      </c>
      <c r="D5842" t="s">
        <v>138</v>
      </c>
      <c r="E5842">
        <v>3</v>
      </c>
      <c r="H5842">
        <v>9</v>
      </c>
      <c r="I5842" t="s">
        <v>140</v>
      </c>
      <c r="J5842" t="s">
        <v>136</v>
      </c>
      <c r="K5842">
        <v>0</v>
      </c>
      <c r="L5842">
        <v>3</v>
      </c>
      <c r="M5842">
        <v>0</v>
      </c>
      <c r="N5842">
        <v>2</v>
      </c>
      <c r="O5842">
        <v>1</v>
      </c>
      <c r="P5842">
        <v>0</v>
      </c>
      <c r="Q5842">
        <v>0</v>
      </c>
      <c r="S5842" t="str">
        <f t="shared" si="2731"/>
        <v>14:52:11.922</v>
      </c>
      <c r="T5842" t="str">
        <f t="shared" si="2732"/>
        <v>14:52:11.822</v>
      </c>
      <c r="U5842" t="str">
        <f t="shared" si="2725"/>
        <v>A9808D</v>
      </c>
      <c r="V5842">
        <v>0</v>
      </c>
      <c r="W5842">
        <v>0</v>
      </c>
      <c r="X5842">
        <v>1</v>
      </c>
      <c r="Z5842">
        <v>0</v>
      </c>
      <c r="AA5842">
        <v>9</v>
      </c>
      <c r="AB5842">
        <v>3</v>
      </c>
      <c r="AC5842">
        <v>0</v>
      </c>
      <c r="AD5842">
        <v>10</v>
      </c>
      <c r="AE5842">
        <v>0</v>
      </c>
      <c r="AF5842">
        <v>3</v>
      </c>
      <c r="AG5842">
        <v>2</v>
      </c>
      <c r="AH5842">
        <v>0</v>
      </c>
      <c r="AI5842" t="s">
        <v>1296</v>
      </c>
      <c r="AJ5842">
        <v>28.203814000000001</v>
      </c>
      <c r="AK5842" t="s">
        <v>1297</v>
      </c>
      <c r="AL5842">
        <v>-82.374307999999999</v>
      </c>
      <c r="AM5842">
        <v>100</v>
      </c>
      <c r="AN5842">
        <v>500</v>
      </c>
      <c r="AO5842" t="s">
        <v>118</v>
      </c>
      <c r="AP5842">
        <v>90</v>
      </c>
      <c r="AQ5842">
        <v>27</v>
      </c>
      <c r="AR5842">
        <v>-1088</v>
      </c>
      <c r="AZ5842">
        <v>1200</v>
      </c>
      <c r="BA5842">
        <v>1</v>
      </c>
      <c r="BB5842" t="str">
        <f t="shared" si="2701"/>
        <v xml:space="preserve">N711JA  </v>
      </c>
      <c r="BC5842">
        <v>1</v>
      </c>
      <c r="BE5842">
        <v>0</v>
      </c>
      <c r="BF5842">
        <v>0</v>
      </c>
      <c r="BG5842">
        <v>0</v>
      </c>
      <c r="BH5842">
        <v>575</v>
      </c>
      <c r="BI5842">
        <v>1</v>
      </c>
      <c r="BJ5842">
        <v>1</v>
      </c>
      <c r="BK5842">
        <v>0</v>
      </c>
      <c r="BL5842">
        <v>0</v>
      </c>
      <c r="BO5842">
        <v>0</v>
      </c>
      <c r="BP5842">
        <v>0</v>
      </c>
      <c r="BW5842" t="str">
        <f t="shared" si="2733"/>
        <v>14:52:11.925</v>
      </c>
      <c r="CJ5842">
        <v>0</v>
      </c>
      <c r="CK5842">
        <v>2</v>
      </c>
      <c r="CL5842">
        <v>0</v>
      </c>
      <c r="CM5842">
        <v>2</v>
      </c>
      <c r="CN5842">
        <v>0</v>
      </c>
      <c r="CO5842">
        <v>7</v>
      </c>
      <c r="CP5842" t="s">
        <v>119</v>
      </c>
      <c r="CQ5842">
        <v>343</v>
      </c>
      <c r="CR5842">
        <v>2</v>
      </c>
      <c r="CW5842">
        <v>13447018</v>
      </c>
      <c r="CY5842">
        <v>1</v>
      </c>
      <c r="CZ5842">
        <v>0</v>
      </c>
      <c r="DA5842">
        <v>1</v>
      </c>
      <c r="DB5842">
        <v>0</v>
      </c>
      <c r="DC5842">
        <v>0</v>
      </c>
      <c r="DD5842">
        <v>1</v>
      </c>
      <c r="DE5842">
        <v>0</v>
      </c>
      <c r="DF5842">
        <v>0</v>
      </c>
      <c r="DG5842">
        <v>0</v>
      </c>
      <c r="DH5842">
        <v>0</v>
      </c>
      <c r="DI5842">
        <v>0</v>
      </c>
    </row>
    <row r="5843" spans="1:113" x14ac:dyDescent="0.3">
      <c r="A5843" t="str">
        <f t="shared" si="2730"/>
        <v>05/12/2020 14:51:54.081</v>
      </c>
      <c r="C5843" t="str">
        <f t="shared" si="2700"/>
        <v>FFDFD3C0</v>
      </c>
      <c r="D5843" t="s">
        <v>113</v>
      </c>
      <c r="E5843">
        <v>3</v>
      </c>
      <c r="H5843">
        <v>164</v>
      </c>
      <c r="I5843" t="s">
        <v>114</v>
      </c>
      <c r="J5843" t="s">
        <v>115</v>
      </c>
      <c r="K5843">
        <v>0</v>
      </c>
      <c r="L5843">
        <v>3</v>
      </c>
      <c r="M5843">
        <v>0</v>
      </c>
      <c r="N5843">
        <v>2</v>
      </c>
      <c r="O5843">
        <v>1</v>
      </c>
      <c r="P5843">
        <v>0</v>
      </c>
      <c r="Q5843">
        <v>0</v>
      </c>
      <c r="S5843" t="str">
        <f t="shared" si="2731"/>
        <v>14:52:11.922</v>
      </c>
      <c r="T5843" t="str">
        <f t="shared" si="2732"/>
        <v>14:52:11.822</v>
      </c>
      <c r="U5843" t="str">
        <f t="shared" si="2725"/>
        <v>A9808D</v>
      </c>
      <c r="V5843">
        <v>0</v>
      </c>
      <c r="W5843">
        <v>0</v>
      </c>
      <c r="X5843">
        <v>1</v>
      </c>
      <c r="Z5843">
        <v>0</v>
      </c>
      <c r="AA5843">
        <v>9</v>
      </c>
      <c r="AB5843">
        <v>3</v>
      </c>
      <c r="AC5843">
        <v>0</v>
      </c>
      <c r="AD5843">
        <v>10</v>
      </c>
      <c r="AE5843">
        <v>0</v>
      </c>
      <c r="AF5843">
        <v>3</v>
      </c>
      <c r="AG5843">
        <v>2</v>
      </c>
      <c r="AH5843">
        <v>0</v>
      </c>
      <c r="AI5843" t="s">
        <v>1296</v>
      </c>
      <c r="AJ5843">
        <v>28.203814000000001</v>
      </c>
      <c r="AK5843" t="s">
        <v>1297</v>
      </c>
      <c r="AL5843">
        <v>-82.374307999999999</v>
      </c>
      <c r="AM5843">
        <v>100</v>
      </c>
      <c r="AN5843">
        <v>500</v>
      </c>
      <c r="AO5843" t="s">
        <v>118</v>
      </c>
      <c r="AP5843">
        <v>90</v>
      </c>
      <c r="AQ5843">
        <v>27</v>
      </c>
      <c r="AR5843">
        <v>-1088</v>
      </c>
      <c r="AZ5843">
        <v>1200</v>
      </c>
      <c r="BA5843">
        <v>1</v>
      </c>
      <c r="BB5843" t="str">
        <f t="shared" si="2701"/>
        <v xml:space="preserve">N711JA  </v>
      </c>
      <c r="BC5843">
        <v>1</v>
      </c>
      <c r="BE5843">
        <v>0</v>
      </c>
      <c r="BF5843">
        <v>0</v>
      </c>
      <c r="BG5843">
        <v>0</v>
      </c>
      <c r="BH5843">
        <v>575</v>
      </c>
      <c r="BI5843">
        <v>1</v>
      </c>
      <c r="BJ5843">
        <v>1</v>
      </c>
      <c r="BK5843">
        <v>0</v>
      </c>
      <c r="BL5843">
        <v>0</v>
      </c>
      <c r="BO5843">
        <v>0</v>
      </c>
      <c r="BP5843">
        <v>0</v>
      </c>
      <c r="BW5843" t="str">
        <f t="shared" si="2733"/>
        <v>14:52:11.925</v>
      </c>
      <c r="CJ5843">
        <v>0</v>
      </c>
      <c r="CK5843">
        <v>2</v>
      </c>
      <c r="CL5843">
        <v>0</v>
      </c>
      <c r="CM5843">
        <v>2</v>
      </c>
      <c r="CN5843">
        <v>0</v>
      </c>
      <c r="CO5843">
        <v>7</v>
      </c>
      <c r="CP5843" t="s">
        <v>119</v>
      </c>
      <c r="CQ5843">
        <v>343</v>
      </c>
      <c r="CR5843">
        <v>2</v>
      </c>
      <c r="CW5843">
        <v>13447018</v>
      </c>
      <c r="CY5843">
        <v>1</v>
      </c>
      <c r="CZ5843">
        <v>0</v>
      </c>
      <c r="DA5843">
        <v>1</v>
      </c>
      <c r="DB5843">
        <v>0</v>
      </c>
      <c r="DC5843">
        <v>0</v>
      </c>
      <c r="DD5843">
        <v>1</v>
      </c>
      <c r="DE5843">
        <v>0</v>
      </c>
      <c r="DF5843">
        <v>0</v>
      </c>
      <c r="DG5843">
        <v>0</v>
      </c>
      <c r="DH5843">
        <v>0</v>
      </c>
      <c r="DI5843">
        <v>0</v>
      </c>
    </row>
    <row r="5844" spans="1:113" x14ac:dyDescent="0.3">
      <c r="A5844" t="str">
        <f t="shared" si="2730"/>
        <v>05/12/2020 14:51:54.081</v>
      </c>
      <c r="C5844" t="str">
        <f t="shared" si="2700"/>
        <v>FFDFD3C0</v>
      </c>
      <c r="D5844" t="s">
        <v>131</v>
      </c>
      <c r="E5844">
        <v>10</v>
      </c>
      <c r="F5844">
        <v>2010</v>
      </c>
      <c r="G5844" t="s">
        <v>132</v>
      </c>
      <c r="J5844" t="s">
        <v>133</v>
      </c>
      <c r="K5844">
        <v>0</v>
      </c>
      <c r="L5844">
        <v>3</v>
      </c>
      <c r="M5844">
        <v>0</v>
      </c>
      <c r="N5844">
        <v>2</v>
      </c>
      <c r="O5844">
        <v>1</v>
      </c>
      <c r="P5844">
        <v>0</v>
      </c>
      <c r="Q5844">
        <v>0</v>
      </c>
      <c r="S5844" t="str">
        <f t="shared" si="2731"/>
        <v>14:52:11.922</v>
      </c>
      <c r="T5844" t="str">
        <f t="shared" si="2732"/>
        <v>14:52:11.822</v>
      </c>
      <c r="U5844" t="str">
        <f t="shared" si="2725"/>
        <v>A9808D</v>
      </c>
      <c r="V5844">
        <v>0</v>
      </c>
      <c r="W5844">
        <v>0</v>
      </c>
      <c r="X5844">
        <v>1</v>
      </c>
      <c r="Z5844">
        <v>0</v>
      </c>
      <c r="AA5844">
        <v>9</v>
      </c>
      <c r="AB5844">
        <v>3</v>
      </c>
      <c r="AC5844">
        <v>0</v>
      </c>
      <c r="AD5844">
        <v>10</v>
      </c>
      <c r="AE5844">
        <v>0</v>
      </c>
      <c r="AF5844">
        <v>3</v>
      </c>
      <c r="AG5844">
        <v>2</v>
      </c>
      <c r="AH5844">
        <v>0</v>
      </c>
      <c r="AI5844" t="s">
        <v>1296</v>
      </c>
      <c r="AJ5844">
        <v>28.203814000000001</v>
      </c>
      <c r="AK5844" t="s">
        <v>1297</v>
      </c>
      <c r="AL5844">
        <v>-82.374307999999999</v>
      </c>
      <c r="AM5844">
        <v>100</v>
      </c>
      <c r="AN5844">
        <v>500</v>
      </c>
      <c r="AO5844" t="s">
        <v>118</v>
      </c>
      <c r="AP5844">
        <v>90</v>
      </c>
      <c r="AQ5844">
        <v>27</v>
      </c>
      <c r="AR5844">
        <v>-1088</v>
      </c>
      <c r="AZ5844">
        <v>1200</v>
      </c>
      <c r="BA5844">
        <v>1</v>
      </c>
      <c r="BB5844" t="str">
        <f t="shared" si="2701"/>
        <v xml:space="preserve">N711JA  </v>
      </c>
      <c r="BC5844">
        <v>1</v>
      </c>
      <c r="BE5844">
        <v>0</v>
      </c>
      <c r="BF5844">
        <v>0</v>
      </c>
      <c r="BG5844">
        <v>0</v>
      </c>
      <c r="BH5844">
        <v>575</v>
      </c>
      <c r="BI5844">
        <v>1</v>
      </c>
      <c r="BJ5844">
        <v>1</v>
      </c>
      <c r="BK5844">
        <v>0</v>
      </c>
      <c r="BL5844">
        <v>0</v>
      </c>
      <c r="BO5844">
        <v>0</v>
      </c>
      <c r="BP5844">
        <v>0</v>
      </c>
      <c r="BW5844" t="str">
        <f t="shared" si="2733"/>
        <v>14:52:11.925</v>
      </c>
      <c r="CJ5844">
        <v>0</v>
      </c>
      <c r="CK5844">
        <v>2</v>
      </c>
      <c r="CL5844">
        <v>0</v>
      </c>
      <c r="CM5844">
        <v>2</v>
      </c>
      <c r="CN5844">
        <v>0</v>
      </c>
      <c r="CO5844">
        <v>7</v>
      </c>
      <c r="CP5844" t="s">
        <v>119</v>
      </c>
      <c r="CQ5844">
        <v>343</v>
      </c>
      <c r="CR5844">
        <v>2</v>
      </c>
      <c r="CW5844">
        <v>13447018</v>
      </c>
      <c r="CY5844">
        <v>1</v>
      </c>
      <c r="CZ5844">
        <v>0</v>
      </c>
      <c r="DA5844">
        <v>1</v>
      </c>
      <c r="DB5844">
        <v>0</v>
      </c>
      <c r="DC5844">
        <v>0</v>
      </c>
      <c r="DD5844">
        <v>1</v>
      </c>
      <c r="DE5844">
        <v>0</v>
      </c>
      <c r="DF5844">
        <v>0</v>
      </c>
      <c r="DG5844">
        <v>0</v>
      </c>
      <c r="DH5844">
        <v>0</v>
      </c>
      <c r="DI5844">
        <v>0</v>
      </c>
    </row>
    <row r="5845" spans="1:113" x14ac:dyDescent="0.3">
      <c r="A5845" t="str">
        <f t="shared" si="2730"/>
        <v>05/12/2020 14:51:54.081</v>
      </c>
      <c r="C5845" t="str">
        <f t="shared" si="2700"/>
        <v>FFDFD3C0</v>
      </c>
      <c r="D5845" t="s">
        <v>126</v>
      </c>
      <c r="E5845">
        <v>7</v>
      </c>
      <c r="F5845">
        <v>1007</v>
      </c>
      <c r="G5845" t="s">
        <v>127</v>
      </c>
      <c r="J5845" t="s">
        <v>128</v>
      </c>
      <c r="K5845">
        <v>0</v>
      </c>
      <c r="L5845">
        <v>3</v>
      </c>
      <c r="M5845">
        <v>0</v>
      </c>
      <c r="N5845">
        <v>2</v>
      </c>
      <c r="O5845">
        <v>1</v>
      </c>
      <c r="P5845">
        <v>0</v>
      </c>
      <c r="Q5845">
        <v>0</v>
      </c>
      <c r="S5845" t="str">
        <f t="shared" si="2731"/>
        <v>14:52:11.922</v>
      </c>
      <c r="T5845" t="str">
        <f t="shared" si="2732"/>
        <v>14:52:11.822</v>
      </c>
      <c r="U5845" t="str">
        <f t="shared" si="2725"/>
        <v>A9808D</v>
      </c>
      <c r="V5845">
        <v>0</v>
      </c>
      <c r="W5845">
        <v>0</v>
      </c>
      <c r="X5845">
        <v>1</v>
      </c>
      <c r="Z5845">
        <v>0</v>
      </c>
      <c r="AA5845">
        <v>9</v>
      </c>
      <c r="AB5845">
        <v>3</v>
      </c>
      <c r="AC5845">
        <v>0</v>
      </c>
      <c r="AD5845">
        <v>10</v>
      </c>
      <c r="AE5845">
        <v>0</v>
      </c>
      <c r="AF5845">
        <v>3</v>
      </c>
      <c r="AG5845">
        <v>2</v>
      </c>
      <c r="AH5845">
        <v>0</v>
      </c>
      <c r="AI5845" t="s">
        <v>1296</v>
      </c>
      <c r="AJ5845">
        <v>28.203814000000001</v>
      </c>
      <c r="AK5845" t="s">
        <v>1297</v>
      </c>
      <c r="AL5845">
        <v>-82.374307999999999</v>
      </c>
      <c r="AM5845">
        <v>100</v>
      </c>
      <c r="AN5845">
        <v>500</v>
      </c>
      <c r="AO5845" t="s">
        <v>118</v>
      </c>
      <c r="AP5845">
        <v>90</v>
      </c>
      <c r="AQ5845">
        <v>27</v>
      </c>
      <c r="AR5845">
        <v>-1088</v>
      </c>
      <c r="AZ5845">
        <v>1200</v>
      </c>
      <c r="BA5845">
        <v>1</v>
      </c>
      <c r="BB5845" t="str">
        <f t="shared" si="2701"/>
        <v xml:space="preserve">N711JA  </v>
      </c>
      <c r="BC5845">
        <v>1</v>
      </c>
      <c r="BE5845">
        <v>0</v>
      </c>
      <c r="BF5845">
        <v>0</v>
      </c>
      <c r="BG5845">
        <v>0</v>
      </c>
      <c r="BH5845">
        <v>575</v>
      </c>
      <c r="BI5845">
        <v>1</v>
      </c>
      <c r="BJ5845">
        <v>1</v>
      </c>
      <c r="BK5845">
        <v>0</v>
      </c>
      <c r="BL5845">
        <v>0</v>
      </c>
      <c r="BO5845">
        <v>0</v>
      </c>
      <c r="BP5845">
        <v>0</v>
      </c>
      <c r="BW5845" t="str">
        <f t="shared" si="2733"/>
        <v>14:52:11.925</v>
      </c>
      <c r="CJ5845">
        <v>0</v>
      </c>
      <c r="CK5845">
        <v>2</v>
      </c>
      <c r="CL5845">
        <v>0</v>
      </c>
      <c r="CM5845">
        <v>2</v>
      </c>
      <c r="CN5845">
        <v>0</v>
      </c>
      <c r="CO5845">
        <v>7</v>
      </c>
      <c r="CP5845" t="s">
        <v>119</v>
      </c>
      <c r="CQ5845">
        <v>343</v>
      </c>
      <c r="CR5845">
        <v>2</v>
      </c>
      <c r="CW5845">
        <v>13447018</v>
      </c>
      <c r="CY5845">
        <v>1</v>
      </c>
      <c r="CZ5845">
        <v>0</v>
      </c>
      <c r="DA5845">
        <v>1</v>
      </c>
      <c r="DB5845">
        <v>0</v>
      </c>
      <c r="DC5845">
        <v>0</v>
      </c>
      <c r="DD5845">
        <v>1</v>
      </c>
      <c r="DE5845">
        <v>0</v>
      </c>
      <c r="DF5845">
        <v>0</v>
      </c>
      <c r="DG5845">
        <v>0</v>
      </c>
      <c r="DH5845">
        <v>0</v>
      </c>
      <c r="DI5845">
        <v>0</v>
      </c>
    </row>
    <row r="5846" spans="1:113" x14ac:dyDescent="0.3">
      <c r="A5846" t="str">
        <f t="shared" si="2730"/>
        <v>05/12/2020 14:51:54.081</v>
      </c>
      <c r="C5846" t="str">
        <f t="shared" ref="C5846:C5909" si="2734">"FFDFD3C0"</f>
        <v>FFDFD3C0</v>
      </c>
      <c r="D5846" t="s">
        <v>131</v>
      </c>
      <c r="E5846">
        <v>12</v>
      </c>
      <c r="F5846">
        <v>2012</v>
      </c>
      <c r="G5846" t="s">
        <v>137</v>
      </c>
      <c r="J5846" t="s">
        <v>133</v>
      </c>
      <c r="K5846">
        <v>0</v>
      </c>
      <c r="L5846">
        <v>3</v>
      </c>
      <c r="M5846">
        <v>0</v>
      </c>
      <c r="N5846">
        <v>2</v>
      </c>
      <c r="O5846">
        <v>1</v>
      </c>
      <c r="P5846">
        <v>0</v>
      </c>
      <c r="Q5846">
        <v>0</v>
      </c>
      <c r="S5846" t="str">
        <f t="shared" si="2731"/>
        <v>14:52:11.922</v>
      </c>
      <c r="T5846" t="str">
        <f t="shared" si="2732"/>
        <v>14:52:11.822</v>
      </c>
      <c r="U5846" t="str">
        <f t="shared" si="2725"/>
        <v>A9808D</v>
      </c>
      <c r="V5846">
        <v>0</v>
      </c>
      <c r="W5846">
        <v>0</v>
      </c>
      <c r="X5846">
        <v>1</v>
      </c>
      <c r="Z5846">
        <v>0</v>
      </c>
      <c r="AA5846">
        <v>9</v>
      </c>
      <c r="AB5846">
        <v>3</v>
      </c>
      <c r="AC5846">
        <v>0</v>
      </c>
      <c r="AD5846">
        <v>10</v>
      </c>
      <c r="AE5846">
        <v>0</v>
      </c>
      <c r="AF5846">
        <v>3</v>
      </c>
      <c r="AG5846">
        <v>2</v>
      </c>
      <c r="AH5846">
        <v>0</v>
      </c>
      <c r="AI5846" t="s">
        <v>1296</v>
      </c>
      <c r="AJ5846">
        <v>28.203814000000001</v>
      </c>
      <c r="AK5846" t="s">
        <v>1297</v>
      </c>
      <c r="AL5846">
        <v>-82.374307999999999</v>
      </c>
      <c r="AM5846">
        <v>100</v>
      </c>
      <c r="AN5846">
        <v>500</v>
      </c>
      <c r="AO5846" t="s">
        <v>118</v>
      </c>
      <c r="AP5846">
        <v>90</v>
      </c>
      <c r="AQ5846">
        <v>27</v>
      </c>
      <c r="AR5846">
        <v>-1088</v>
      </c>
      <c r="AZ5846">
        <v>1200</v>
      </c>
      <c r="BA5846">
        <v>1</v>
      </c>
      <c r="BB5846" t="str">
        <f t="shared" ref="BB5846:BB5909" si="2735">"N711JA  "</f>
        <v xml:space="preserve">N711JA  </v>
      </c>
      <c r="BC5846">
        <v>1</v>
      </c>
      <c r="BE5846">
        <v>0</v>
      </c>
      <c r="BF5846">
        <v>0</v>
      </c>
      <c r="BG5846">
        <v>0</v>
      </c>
      <c r="BH5846">
        <v>575</v>
      </c>
      <c r="BI5846">
        <v>1</v>
      </c>
      <c r="BJ5846">
        <v>1</v>
      </c>
      <c r="BK5846">
        <v>0</v>
      </c>
      <c r="BL5846">
        <v>0</v>
      </c>
      <c r="BO5846">
        <v>0</v>
      </c>
      <c r="BP5846">
        <v>0</v>
      </c>
      <c r="BW5846" t="str">
        <f t="shared" si="2733"/>
        <v>14:52:11.925</v>
      </c>
      <c r="CJ5846">
        <v>0</v>
      </c>
      <c r="CK5846">
        <v>2</v>
      </c>
      <c r="CL5846">
        <v>0</v>
      </c>
      <c r="CM5846">
        <v>2</v>
      </c>
      <c r="CN5846">
        <v>0</v>
      </c>
      <c r="CO5846">
        <v>7</v>
      </c>
      <c r="CP5846" t="s">
        <v>119</v>
      </c>
      <c r="CQ5846">
        <v>343</v>
      </c>
      <c r="CR5846">
        <v>2</v>
      </c>
      <c r="CW5846">
        <v>13447018</v>
      </c>
      <c r="CY5846">
        <v>1</v>
      </c>
      <c r="CZ5846">
        <v>0</v>
      </c>
      <c r="DA5846">
        <v>1</v>
      </c>
      <c r="DB5846">
        <v>0</v>
      </c>
      <c r="DC5846">
        <v>0</v>
      </c>
      <c r="DD5846">
        <v>1</v>
      </c>
      <c r="DE5846">
        <v>0</v>
      </c>
      <c r="DF5846">
        <v>0</v>
      </c>
      <c r="DG5846">
        <v>0</v>
      </c>
      <c r="DH5846">
        <v>0</v>
      </c>
      <c r="DI5846">
        <v>0</v>
      </c>
    </row>
    <row r="5847" spans="1:113" x14ac:dyDescent="0.3">
      <c r="A5847" t="str">
        <f t="shared" si="2730"/>
        <v>05/12/2020 14:51:54.081</v>
      </c>
      <c r="C5847" t="str">
        <f t="shared" si="2734"/>
        <v>FFDFD3C0</v>
      </c>
      <c r="D5847" t="s">
        <v>126</v>
      </c>
      <c r="E5847">
        <v>6</v>
      </c>
      <c r="F5847">
        <v>1006</v>
      </c>
      <c r="G5847" t="s">
        <v>114</v>
      </c>
      <c r="J5847" t="s">
        <v>128</v>
      </c>
      <c r="K5847">
        <v>0</v>
      </c>
      <c r="L5847">
        <v>3</v>
      </c>
      <c r="M5847">
        <v>0</v>
      </c>
      <c r="N5847">
        <v>2</v>
      </c>
      <c r="O5847">
        <v>1</v>
      </c>
      <c r="P5847">
        <v>0</v>
      </c>
      <c r="Q5847">
        <v>0</v>
      </c>
      <c r="S5847" t="str">
        <f t="shared" si="2731"/>
        <v>14:52:11.922</v>
      </c>
      <c r="T5847" t="str">
        <f t="shared" si="2732"/>
        <v>14:52:11.822</v>
      </c>
      <c r="U5847" t="str">
        <f t="shared" si="2725"/>
        <v>A9808D</v>
      </c>
      <c r="V5847">
        <v>0</v>
      </c>
      <c r="W5847">
        <v>0</v>
      </c>
      <c r="X5847">
        <v>1</v>
      </c>
      <c r="Z5847">
        <v>0</v>
      </c>
      <c r="AA5847">
        <v>9</v>
      </c>
      <c r="AB5847">
        <v>3</v>
      </c>
      <c r="AC5847">
        <v>0</v>
      </c>
      <c r="AD5847">
        <v>10</v>
      </c>
      <c r="AE5847">
        <v>0</v>
      </c>
      <c r="AF5847">
        <v>3</v>
      </c>
      <c r="AG5847">
        <v>2</v>
      </c>
      <c r="AH5847">
        <v>0</v>
      </c>
      <c r="AI5847" t="s">
        <v>1296</v>
      </c>
      <c r="AJ5847">
        <v>28.203814000000001</v>
      </c>
      <c r="AK5847" t="s">
        <v>1297</v>
      </c>
      <c r="AL5847">
        <v>-82.374307999999999</v>
      </c>
      <c r="AM5847">
        <v>100</v>
      </c>
      <c r="AN5847">
        <v>500</v>
      </c>
      <c r="AO5847" t="s">
        <v>118</v>
      </c>
      <c r="AP5847">
        <v>90</v>
      </c>
      <c r="AQ5847">
        <v>27</v>
      </c>
      <c r="AR5847">
        <v>-1088</v>
      </c>
      <c r="AZ5847">
        <v>1200</v>
      </c>
      <c r="BA5847">
        <v>1</v>
      </c>
      <c r="BB5847" t="str">
        <f t="shared" si="2735"/>
        <v xml:space="preserve">N711JA  </v>
      </c>
      <c r="BC5847">
        <v>1</v>
      </c>
      <c r="BE5847">
        <v>0</v>
      </c>
      <c r="BF5847">
        <v>0</v>
      </c>
      <c r="BG5847">
        <v>0</v>
      </c>
      <c r="BH5847">
        <v>575</v>
      </c>
      <c r="BI5847">
        <v>1</v>
      </c>
      <c r="BJ5847">
        <v>1</v>
      </c>
      <c r="BK5847">
        <v>0</v>
      </c>
      <c r="BL5847">
        <v>0</v>
      </c>
      <c r="BO5847">
        <v>0</v>
      </c>
      <c r="BP5847">
        <v>0</v>
      </c>
      <c r="BW5847" t="str">
        <f t="shared" si="2733"/>
        <v>14:52:11.925</v>
      </c>
      <c r="CJ5847">
        <v>0</v>
      </c>
      <c r="CK5847">
        <v>2</v>
      </c>
      <c r="CL5847">
        <v>0</v>
      </c>
      <c r="CM5847">
        <v>2</v>
      </c>
      <c r="CN5847">
        <v>0</v>
      </c>
      <c r="CO5847">
        <v>7</v>
      </c>
      <c r="CP5847" t="s">
        <v>119</v>
      </c>
      <c r="CQ5847">
        <v>343</v>
      </c>
      <c r="CR5847">
        <v>2</v>
      </c>
      <c r="CW5847">
        <v>13447018</v>
      </c>
      <c r="CY5847">
        <v>1</v>
      </c>
      <c r="CZ5847">
        <v>0</v>
      </c>
      <c r="DA5847">
        <v>1</v>
      </c>
      <c r="DB5847">
        <v>0</v>
      </c>
      <c r="DC5847">
        <v>0</v>
      </c>
      <c r="DD5847">
        <v>1</v>
      </c>
      <c r="DE5847">
        <v>0</v>
      </c>
      <c r="DF5847">
        <v>0</v>
      </c>
      <c r="DG5847">
        <v>0</v>
      </c>
      <c r="DH5847">
        <v>0</v>
      </c>
      <c r="DI5847">
        <v>0</v>
      </c>
    </row>
    <row r="5848" spans="1:113" x14ac:dyDescent="0.3">
      <c r="A5848" t="str">
        <f t="shared" si="2730"/>
        <v>05/12/2020 14:51:54.081</v>
      </c>
      <c r="C5848" t="str">
        <f t="shared" si="2734"/>
        <v>FFDFD3C0</v>
      </c>
      <c r="D5848" t="s">
        <v>134</v>
      </c>
      <c r="E5848">
        <v>12</v>
      </c>
      <c r="H5848">
        <v>64</v>
      </c>
      <c r="I5848" t="s">
        <v>135</v>
      </c>
      <c r="J5848" t="s">
        <v>136</v>
      </c>
      <c r="K5848">
        <v>0</v>
      </c>
      <c r="L5848">
        <v>3</v>
      </c>
      <c r="M5848">
        <v>0</v>
      </c>
      <c r="N5848">
        <v>2</v>
      </c>
      <c r="O5848">
        <v>1</v>
      </c>
      <c r="P5848">
        <v>0</v>
      </c>
      <c r="Q5848">
        <v>0</v>
      </c>
      <c r="S5848" t="str">
        <f t="shared" si="2731"/>
        <v>14:52:11.922</v>
      </c>
      <c r="T5848" t="str">
        <f t="shared" si="2732"/>
        <v>14:52:11.822</v>
      </c>
      <c r="U5848" t="str">
        <f t="shared" si="2725"/>
        <v>A9808D</v>
      </c>
      <c r="V5848">
        <v>0</v>
      </c>
      <c r="W5848">
        <v>0</v>
      </c>
      <c r="X5848">
        <v>1</v>
      </c>
      <c r="Z5848">
        <v>0</v>
      </c>
      <c r="AA5848">
        <v>9</v>
      </c>
      <c r="AB5848">
        <v>3</v>
      </c>
      <c r="AC5848">
        <v>0</v>
      </c>
      <c r="AD5848">
        <v>10</v>
      </c>
      <c r="AE5848">
        <v>0</v>
      </c>
      <c r="AF5848">
        <v>3</v>
      </c>
      <c r="AG5848">
        <v>2</v>
      </c>
      <c r="AH5848">
        <v>0</v>
      </c>
      <c r="AI5848" t="s">
        <v>1296</v>
      </c>
      <c r="AJ5848">
        <v>28.203814000000001</v>
      </c>
      <c r="AK5848" t="s">
        <v>1297</v>
      </c>
      <c r="AL5848">
        <v>-82.374307999999999</v>
      </c>
      <c r="AM5848">
        <v>100</v>
      </c>
      <c r="AN5848">
        <v>500</v>
      </c>
      <c r="AO5848" t="s">
        <v>118</v>
      </c>
      <c r="AP5848">
        <v>90</v>
      </c>
      <c r="AQ5848">
        <v>27</v>
      </c>
      <c r="AR5848">
        <v>-1088</v>
      </c>
      <c r="AZ5848">
        <v>1200</v>
      </c>
      <c r="BA5848">
        <v>1</v>
      </c>
      <c r="BB5848" t="str">
        <f t="shared" si="2735"/>
        <v xml:space="preserve">N711JA  </v>
      </c>
      <c r="BC5848">
        <v>1</v>
      </c>
      <c r="BE5848">
        <v>0</v>
      </c>
      <c r="BF5848">
        <v>0</v>
      </c>
      <c r="BG5848">
        <v>0</v>
      </c>
      <c r="BH5848">
        <v>575</v>
      </c>
      <c r="BI5848">
        <v>1</v>
      </c>
      <c r="BJ5848">
        <v>1</v>
      </c>
      <c r="BK5848">
        <v>0</v>
      </c>
      <c r="BL5848">
        <v>0</v>
      </c>
      <c r="BO5848">
        <v>0</v>
      </c>
      <c r="BP5848">
        <v>0</v>
      </c>
      <c r="BW5848" t="str">
        <f t="shared" si="2733"/>
        <v>14:52:11.925</v>
      </c>
      <c r="CJ5848">
        <v>0</v>
      </c>
      <c r="CK5848">
        <v>2</v>
      </c>
      <c r="CL5848">
        <v>0</v>
      </c>
      <c r="CM5848">
        <v>2</v>
      </c>
      <c r="CN5848">
        <v>0</v>
      </c>
      <c r="CO5848">
        <v>7</v>
      </c>
      <c r="CP5848" t="s">
        <v>119</v>
      </c>
      <c r="CQ5848">
        <v>343</v>
      </c>
      <c r="CR5848">
        <v>2</v>
      </c>
      <c r="CW5848">
        <v>13447018</v>
      </c>
      <c r="CY5848">
        <v>1</v>
      </c>
      <c r="CZ5848">
        <v>0</v>
      </c>
      <c r="DA5848">
        <v>1</v>
      </c>
      <c r="DB5848">
        <v>0</v>
      </c>
      <c r="DC5848">
        <v>0</v>
      </c>
      <c r="DD5848">
        <v>1</v>
      </c>
      <c r="DE5848">
        <v>0</v>
      </c>
      <c r="DF5848">
        <v>0</v>
      </c>
      <c r="DG5848">
        <v>0</v>
      </c>
      <c r="DH5848">
        <v>0</v>
      </c>
      <c r="DI5848">
        <v>0</v>
      </c>
    </row>
    <row r="5849" spans="1:113" x14ac:dyDescent="0.3">
      <c r="A5849" t="str">
        <f t="shared" ref="A5849:A5856" si="2736">"05/12/2020 14:51:55.449"</f>
        <v>05/12/2020 14:51:55.449</v>
      </c>
      <c r="C5849" t="str">
        <f t="shared" si="2734"/>
        <v>FFDFD3C0</v>
      </c>
      <c r="D5849" t="s">
        <v>131</v>
      </c>
      <c r="E5849">
        <v>10</v>
      </c>
      <c r="F5849">
        <v>2010</v>
      </c>
      <c r="G5849" t="s">
        <v>132</v>
      </c>
      <c r="J5849" t="s">
        <v>133</v>
      </c>
      <c r="K5849">
        <v>0</v>
      </c>
      <c r="L5849">
        <v>3</v>
      </c>
      <c r="M5849">
        <v>0</v>
      </c>
      <c r="N5849">
        <v>2</v>
      </c>
      <c r="O5849">
        <v>1</v>
      </c>
      <c r="P5849">
        <v>0</v>
      </c>
      <c r="Q5849">
        <v>0</v>
      </c>
      <c r="S5849" t="str">
        <f t="shared" ref="S5849:S5856" si="2737">"14:52:13.273"</f>
        <v>14:52:13.273</v>
      </c>
      <c r="T5849" t="str">
        <f t="shared" ref="T5849:T5856" si="2738">"14:52:12.773"</f>
        <v>14:52:12.773</v>
      </c>
      <c r="U5849" t="str">
        <f t="shared" si="2725"/>
        <v>A9808D</v>
      </c>
      <c r="V5849">
        <v>0</v>
      </c>
      <c r="W5849">
        <v>0</v>
      </c>
      <c r="X5849">
        <v>1</v>
      </c>
      <c r="Z5849">
        <v>0</v>
      </c>
      <c r="AA5849">
        <v>9</v>
      </c>
      <c r="AB5849">
        <v>3</v>
      </c>
      <c r="AC5849">
        <v>0</v>
      </c>
      <c r="AD5849">
        <v>10</v>
      </c>
      <c r="AE5849">
        <v>0</v>
      </c>
      <c r="AF5849">
        <v>3</v>
      </c>
      <c r="AG5849">
        <v>2</v>
      </c>
      <c r="AH5849">
        <v>0</v>
      </c>
      <c r="AI5849" t="s">
        <v>1298</v>
      </c>
      <c r="AJ5849">
        <v>28.204007000000001</v>
      </c>
      <c r="AK5849" t="s">
        <v>1299</v>
      </c>
      <c r="AL5849">
        <v>-82.373706999999996</v>
      </c>
      <c r="AM5849">
        <v>100</v>
      </c>
      <c r="AN5849">
        <v>500</v>
      </c>
      <c r="AO5849" t="s">
        <v>118</v>
      </c>
      <c r="AP5849">
        <v>89</v>
      </c>
      <c r="AQ5849">
        <v>29</v>
      </c>
      <c r="AR5849">
        <v>-960</v>
      </c>
      <c r="AZ5849">
        <v>1200</v>
      </c>
      <c r="BA5849">
        <v>1</v>
      </c>
      <c r="BB5849" t="str">
        <f t="shared" si="2735"/>
        <v xml:space="preserve">N711JA  </v>
      </c>
      <c r="BC5849">
        <v>1</v>
      </c>
      <c r="BE5849">
        <v>0</v>
      </c>
      <c r="BF5849">
        <v>0</v>
      </c>
      <c r="BG5849">
        <v>0</v>
      </c>
      <c r="BH5849">
        <v>550</v>
      </c>
      <c r="BI5849">
        <v>1</v>
      </c>
      <c r="BJ5849">
        <v>1</v>
      </c>
      <c r="BK5849">
        <v>0</v>
      </c>
      <c r="BL5849">
        <v>0</v>
      </c>
      <c r="BO5849">
        <v>0</v>
      </c>
      <c r="BP5849">
        <v>0</v>
      </c>
      <c r="BW5849" t="str">
        <f t="shared" ref="BW5849:BW5856" si="2739">"14:52:13.276"</f>
        <v>14:52:13.276</v>
      </c>
      <c r="CJ5849">
        <v>0</v>
      </c>
      <c r="CK5849">
        <v>2</v>
      </c>
      <c r="CL5849">
        <v>0</v>
      </c>
      <c r="CM5849">
        <v>2</v>
      </c>
      <c r="CN5849">
        <v>0</v>
      </c>
      <c r="CO5849">
        <v>7</v>
      </c>
      <c r="CP5849" t="s">
        <v>119</v>
      </c>
      <c r="CQ5849">
        <v>343</v>
      </c>
      <c r="CR5849">
        <v>2</v>
      </c>
      <c r="CW5849">
        <v>13448004</v>
      </c>
      <c r="CY5849">
        <v>1</v>
      </c>
      <c r="CZ5849">
        <v>0</v>
      </c>
      <c r="DA5849">
        <v>0</v>
      </c>
      <c r="DB5849">
        <v>0</v>
      </c>
      <c r="DC5849">
        <v>0</v>
      </c>
      <c r="DD5849">
        <v>1</v>
      </c>
      <c r="DE5849">
        <v>0</v>
      </c>
      <c r="DF5849">
        <v>0</v>
      </c>
      <c r="DG5849">
        <v>0</v>
      </c>
      <c r="DH5849">
        <v>0</v>
      </c>
      <c r="DI5849">
        <v>0</v>
      </c>
    </row>
    <row r="5850" spans="1:113" x14ac:dyDescent="0.3">
      <c r="A5850" t="str">
        <f t="shared" si="2736"/>
        <v>05/12/2020 14:51:55.449</v>
      </c>
      <c r="C5850" t="str">
        <f t="shared" si="2734"/>
        <v>FFDFD3C0</v>
      </c>
      <c r="D5850" t="s">
        <v>126</v>
      </c>
      <c r="E5850">
        <v>7</v>
      </c>
      <c r="F5850">
        <v>1007</v>
      </c>
      <c r="G5850" t="s">
        <v>127</v>
      </c>
      <c r="J5850" t="s">
        <v>128</v>
      </c>
      <c r="K5850">
        <v>0</v>
      </c>
      <c r="L5850">
        <v>3</v>
      </c>
      <c r="M5850">
        <v>0</v>
      </c>
      <c r="N5850">
        <v>2</v>
      </c>
      <c r="O5850">
        <v>1</v>
      </c>
      <c r="P5850">
        <v>0</v>
      </c>
      <c r="Q5850">
        <v>0</v>
      </c>
      <c r="S5850" t="str">
        <f t="shared" si="2737"/>
        <v>14:52:13.273</v>
      </c>
      <c r="T5850" t="str">
        <f t="shared" si="2738"/>
        <v>14:52:12.773</v>
      </c>
      <c r="U5850" t="str">
        <f t="shared" si="2725"/>
        <v>A9808D</v>
      </c>
      <c r="V5850">
        <v>0</v>
      </c>
      <c r="W5850">
        <v>0</v>
      </c>
      <c r="X5850">
        <v>1</v>
      </c>
      <c r="Z5850">
        <v>0</v>
      </c>
      <c r="AA5850">
        <v>9</v>
      </c>
      <c r="AB5850">
        <v>3</v>
      </c>
      <c r="AC5850">
        <v>0</v>
      </c>
      <c r="AD5850">
        <v>10</v>
      </c>
      <c r="AE5850">
        <v>0</v>
      </c>
      <c r="AF5850">
        <v>3</v>
      </c>
      <c r="AG5850">
        <v>2</v>
      </c>
      <c r="AH5850">
        <v>0</v>
      </c>
      <c r="AI5850" t="s">
        <v>1298</v>
      </c>
      <c r="AJ5850">
        <v>28.204007000000001</v>
      </c>
      <c r="AK5850" t="s">
        <v>1299</v>
      </c>
      <c r="AL5850">
        <v>-82.373706999999996</v>
      </c>
      <c r="AM5850">
        <v>100</v>
      </c>
      <c r="AN5850">
        <v>500</v>
      </c>
      <c r="AO5850" t="s">
        <v>118</v>
      </c>
      <c r="AP5850">
        <v>89</v>
      </c>
      <c r="AQ5850">
        <v>29</v>
      </c>
      <c r="AR5850">
        <v>-960</v>
      </c>
      <c r="AZ5850">
        <v>1200</v>
      </c>
      <c r="BA5850">
        <v>1</v>
      </c>
      <c r="BB5850" t="str">
        <f t="shared" si="2735"/>
        <v xml:space="preserve">N711JA  </v>
      </c>
      <c r="BC5850">
        <v>1</v>
      </c>
      <c r="BE5850">
        <v>0</v>
      </c>
      <c r="BF5850">
        <v>0</v>
      </c>
      <c r="BG5850">
        <v>0</v>
      </c>
      <c r="BH5850">
        <v>550</v>
      </c>
      <c r="BI5850">
        <v>1</v>
      </c>
      <c r="BJ5850">
        <v>1</v>
      </c>
      <c r="BK5850">
        <v>0</v>
      </c>
      <c r="BL5850">
        <v>0</v>
      </c>
      <c r="BO5850">
        <v>0</v>
      </c>
      <c r="BP5850">
        <v>0</v>
      </c>
      <c r="BW5850" t="str">
        <f t="shared" si="2739"/>
        <v>14:52:13.276</v>
      </c>
      <c r="CJ5850">
        <v>0</v>
      </c>
      <c r="CK5850">
        <v>2</v>
      </c>
      <c r="CL5850">
        <v>0</v>
      </c>
      <c r="CM5850">
        <v>2</v>
      </c>
      <c r="CN5850">
        <v>0</v>
      </c>
      <c r="CO5850">
        <v>7</v>
      </c>
      <c r="CP5850" t="s">
        <v>119</v>
      </c>
      <c r="CQ5850">
        <v>343</v>
      </c>
      <c r="CR5850">
        <v>2</v>
      </c>
      <c r="CW5850">
        <v>13448004</v>
      </c>
      <c r="CY5850">
        <v>1</v>
      </c>
      <c r="CZ5850">
        <v>0</v>
      </c>
      <c r="DA5850">
        <v>1</v>
      </c>
      <c r="DB5850">
        <v>0</v>
      </c>
      <c r="DC5850">
        <v>0</v>
      </c>
      <c r="DD5850">
        <v>1</v>
      </c>
      <c r="DE5850">
        <v>0</v>
      </c>
      <c r="DF5850">
        <v>0</v>
      </c>
      <c r="DG5850">
        <v>0</v>
      </c>
      <c r="DH5850">
        <v>0</v>
      </c>
      <c r="DI5850">
        <v>0</v>
      </c>
    </row>
    <row r="5851" spans="1:113" x14ac:dyDescent="0.3">
      <c r="A5851" t="str">
        <f t="shared" si="2736"/>
        <v>05/12/2020 14:51:55.449</v>
      </c>
      <c r="C5851" t="str">
        <f t="shared" si="2734"/>
        <v>FFDFD3C0</v>
      </c>
      <c r="D5851" t="s">
        <v>131</v>
      </c>
      <c r="E5851">
        <v>12</v>
      </c>
      <c r="F5851">
        <v>2012</v>
      </c>
      <c r="G5851" t="s">
        <v>137</v>
      </c>
      <c r="J5851" t="s">
        <v>133</v>
      </c>
      <c r="K5851">
        <v>0</v>
      </c>
      <c r="L5851">
        <v>3</v>
      </c>
      <c r="M5851">
        <v>0</v>
      </c>
      <c r="N5851">
        <v>2</v>
      </c>
      <c r="O5851">
        <v>1</v>
      </c>
      <c r="P5851">
        <v>0</v>
      </c>
      <c r="Q5851">
        <v>0</v>
      </c>
      <c r="S5851" t="str">
        <f t="shared" si="2737"/>
        <v>14:52:13.273</v>
      </c>
      <c r="T5851" t="str">
        <f t="shared" si="2738"/>
        <v>14:52:12.773</v>
      </c>
      <c r="U5851" t="str">
        <f t="shared" si="2725"/>
        <v>A9808D</v>
      </c>
      <c r="V5851">
        <v>0</v>
      </c>
      <c r="W5851">
        <v>0</v>
      </c>
      <c r="X5851">
        <v>1</v>
      </c>
      <c r="Z5851">
        <v>0</v>
      </c>
      <c r="AA5851">
        <v>9</v>
      </c>
      <c r="AB5851">
        <v>3</v>
      </c>
      <c r="AC5851">
        <v>0</v>
      </c>
      <c r="AD5851">
        <v>10</v>
      </c>
      <c r="AE5851">
        <v>0</v>
      </c>
      <c r="AF5851">
        <v>3</v>
      </c>
      <c r="AG5851">
        <v>2</v>
      </c>
      <c r="AH5851">
        <v>0</v>
      </c>
      <c r="AI5851" t="s">
        <v>1298</v>
      </c>
      <c r="AJ5851">
        <v>28.204007000000001</v>
      </c>
      <c r="AK5851" t="s">
        <v>1299</v>
      </c>
      <c r="AL5851">
        <v>-82.373706999999996</v>
      </c>
      <c r="AM5851">
        <v>100</v>
      </c>
      <c r="AN5851">
        <v>500</v>
      </c>
      <c r="AO5851" t="s">
        <v>118</v>
      </c>
      <c r="AP5851">
        <v>89</v>
      </c>
      <c r="AQ5851">
        <v>29</v>
      </c>
      <c r="AR5851">
        <v>-960</v>
      </c>
      <c r="AZ5851">
        <v>1200</v>
      </c>
      <c r="BA5851">
        <v>1</v>
      </c>
      <c r="BB5851" t="str">
        <f t="shared" si="2735"/>
        <v xml:space="preserve">N711JA  </v>
      </c>
      <c r="BC5851">
        <v>1</v>
      </c>
      <c r="BE5851">
        <v>0</v>
      </c>
      <c r="BF5851">
        <v>0</v>
      </c>
      <c r="BG5851">
        <v>0</v>
      </c>
      <c r="BH5851">
        <v>550</v>
      </c>
      <c r="BI5851">
        <v>1</v>
      </c>
      <c r="BJ5851">
        <v>1</v>
      </c>
      <c r="BK5851">
        <v>0</v>
      </c>
      <c r="BL5851">
        <v>0</v>
      </c>
      <c r="BO5851">
        <v>0</v>
      </c>
      <c r="BP5851">
        <v>0</v>
      </c>
      <c r="BW5851" t="str">
        <f t="shared" si="2739"/>
        <v>14:52:13.276</v>
      </c>
      <c r="CJ5851">
        <v>0</v>
      </c>
      <c r="CK5851">
        <v>2</v>
      </c>
      <c r="CL5851">
        <v>0</v>
      </c>
      <c r="CM5851">
        <v>2</v>
      </c>
      <c r="CN5851">
        <v>0</v>
      </c>
      <c r="CO5851">
        <v>7</v>
      </c>
      <c r="CP5851" t="s">
        <v>119</v>
      </c>
      <c r="CQ5851">
        <v>343</v>
      </c>
      <c r="CR5851">
        <v>2</v>
      </c>
      <c r="CW5851">
        <v>13448004</v>
      </c>
      <c r="CY5851">
        <v>1</v>
      </c>
      <c r="CZ5851">
        <v>0</v>
      </c>
      <c r="DA5851">
        <v>1</v>
      </c>
      <c r="DB5851">
        <v>0</v>
      </c>
      <c r="DC5851">
        <v>0</v>
      </c>
      <c r="DD5851">
        <v>1</v>
      </c>
      <c r="DE5851">
        <v>0</v>
      </c>
      <c r="DF5851">
        <v>0</v>
      </c>
      <c r="DG5851">
        <v>0</v>
      </c>
      <c r="DH5851">
        <v>0</v>
      </c>
      <c r="DI5851">
        <v>0</v>
      </c>
    </row>
    <row r="5852" spans="1:113" x14ac:dyDescent="0.3">
      <c r="A5852" t="str">
        <f t="shared" si="2736"/>
        <v>05/12/2020 14:51:55.449</v>
      </c>
      <c r="C5852" t="str">
        <f t="shared" si="2734"/>
        <v>FFDFD3C0</v>
      </c>
      <c r="D5852" t="s">
        <v>113</v>
      </c>
      <c r="E5852">
        <v>3</v>
      </c>
      <c r="H5852">
        <v>164</v>
      </c>
      <c r="I5852" t="s">
        <v>114</v>
      </c>
      <c r="J5852" t="s">
        <v>115</v>
      </c>
      <c r="K5852">
        <v>0</v>
      </c>
      <c r="L5852">
        <v>3</v>
      </c>
      <c r="M5852">
        <v>0</v>
      </c>
      <c r="N5852">
        <v>2</v>
      </c>
      <c r="O5852">
        <v>1</v>
      </c>
      <c r="P5852">
        <v>0</v>
      </c>
      <c r="Q5852">
        <v>0</v>
      </c>
      <c r="S5852" t="str">
        <f t="shared" si="2737"/>
        <v>14:52:13.273</v>
      </c>
      <c r="T5852" t="str">
        <f t="shared" si="2738"/>
        <v>14:52:12.773</v>
      </c>
      <c r="U5852" t="str">
        <f t="shared" si="2725"/>
        <v>A9808D</v>
      </c>
      <c r="V5852">
        <v>0</v>
      </c>
      <c r="W5852">
        <v>0</v>
      </c>
      <c r="X5852">
        <v>1</v>
      </c>
      <c r="Z5852">
        <v>0</v>
      </c>
      <c r="AA5852">
        <v>9</v>
      </c>
      <c r="AB5852">
        <v>3</v>
      </c>
      <c r="AC5852">
        <v>0</v>
      </c>
      <c r="AD5852">
        <v>10</v>
      </c>
      <c r="AE5852">
        <v>0</v>
      </c>
      <c r="AF5852">
        <v>3</v>
      </c>
      <c r="AG5852">
        <v>2</v>
      </c>
      <c r="AH5852">
        <v>0</v>
      </c>
      <c r="AI5852" t="s">
        <v>1298</v>
      </c>
      <c r="AJ5852">
        <v>28.204007000000001</v>
      </c>
      <c r="AK5852" t="s">
        <v>1299</v>
      </c>
      <c r="AL5852">
        <v>-82.373706999999996</v>
      </c>
      <c r="AM5852">
        <v>100</v>
      </c>
      <c r="AN5852">
        <v>500</v>
      </c>
      <c r="AO5852" t="s">
        <v>118</v>
      </c>
      <c r="AP5852">
        <v>89</v>
      </c>
      <c r="AQ5852">
        <v>29</v>
      </c>
      <c r="AR5852">
        <v>-960</v>
      </c>
      <c r="AZ5852">
        <v>1200</v>
      </c>
      <c r="BA5852">
        <v>1</v>
      </c>
      <c r="BB5852" t="str">
        <f t="shared" si="2735"/>
        <v xml:space="preserve">N711JA  </v>
      </c>
      <c r="BC5852">
        <v>1</v>
      </c>
      <c r="BE5852">
        <v>0</v>
      </c>
      <c r="BF5852">
        <v>0</v>
      </c>
      <c r="BG5852">
        <v>0</v>
      </c>
      <c r="BH5852">
        <v>550</v>
      </c>
      <c r="BI5852">
        <v>1</v>
      </c>
      <c r="BJ5852">
        <v>1</v>
      </c>
      <c r="BK5852">
        <v>0</v>
      </c>
      <c r="BL5852">
        <v>0</v>
      </c>
      <c r="BO5852">
        <v>0</v>
      </c>
      <c r="BP5852">
        <v>0</v>
      </c>
      <c r="BW5852" t="str">
        <f t="shared" si="2739"/>
        <v>14:52:13.276</v>
      </c>
      <c r="CJ5852">
        <v>0</v>
      </c>
      <c r="CK5852">
        <v>2</v>
      </c>
      <c r="CL5852">
        <v>0</v>
      </c>
      <c r="CM5852">
        <v>2</v>
      </c>
      <c r="CN5852">
        <v>0</v>
      </c>
      <c r="CO5852">
        <v>7</v>
      </c>
      <c r="CP5852" t="s">
        <v>119</v>
      </c>
      <c r="CQ5852">
        <v>343</v>
      </c>
      <c r="CR5852">
        <v>2</v>
      </c>
      <c r="CW5852">
        <v>13448004</v>
      </c>
      <c r="CY5852">
        <v>1</v>
      </c>
      <c r="CZ5852">
        <v>0</v>
      </c>
      <c r="DA5852">
        <v>1</v>
      </c>
      <c r="DB5852">
        <v>0</v>
      </c>
      <c r="DC5852">
        <v>0</v>
      </c>
      <c r="DD5852">
        <v>1</v>
      </c>
      <c r="DE5852">
        <v>0</v>
      </c>
      <c r="DF5852">
        <v>0</v>
      </c>
      <c r="DG5852">
        <v>0</v>
      </c>
      <c r="DH5852">
        <v>0</v>
      </c>
      <c r="DI5852">
        <v>0</v>
      </c>
    </row>
    <row r="5853" spans="1:113" x14ac:dyDescent="0.3">
      <c r="A5853" t="str">
        <f t="shared" si="2736"/>
        <v>05/12/2020 14:51:55.449</v>
      </c>
      <c r="C5853" t="str">
        <f t="shared" si="2734"/>
        <v>FFDFD3C0</v>
      </c>
      <c r="D5853" t="s">
        <v>126</v>
      </c>
      <c r="E5853">
        <v>6</v>
      </c>
      <c r="F5853">
        <v>1006</v>
      </c>
      <c r="G5853" t="s">
        <v>114</v>
      </c>
      <c r="J5853" t="s">
        <v>128</v>
      </c>
      <c r="K5853">
        <v>0</v>
      </c>
      <c r="L5853">
        <v>3</v>
      </c>
      <c r="M5853">
        <v>0</v>
      </c>
      <c r="N5853">
        <v>2</v>
      </c>
      <c r="O5853">
        <v>1</v>
      </c>
      <c r="P5853">
        <v>0</v>
      </c>
      <c r="Q5853">
        <v>0</v>
      </c>
      <c r="S5853" t="str">
        <f t="shared" si="2737"/>
        <v>14:52:13.273</v>
      </c>
      <c r="T5853" t="str">
        <f t="shared" si="2738"/>
        <v>14:52:12.773</v>
      </c>
      <c r="U5853" t="str">
        <f t="shared" si="2725"/>
        <v>A9808D</v>
      </c>
      <c r="V5853">
        <v>0</v>
      </c>
      <c r="W5853">
        <v>0</v>
      </c>
      <c r="X5853">
        <v>1</v>
      </c>
      <c r="Z5853">
        <v>0</v>
      </c>
      <c r="AA5853">
        <v>9</v>
      </c>
      <c r="AB5853">
        <v>3</v>
      </c>
      <c r="AC5853">
        <v>0</v>
      </c>
      <c r="AD5853">
        <v>10</v>
      </c>
      <c r="AE5853">
        <v>0</v>
      </c>
      <c r="AF5853">
        <v>3</v>
      </c>
      <c r="AG5853">
        <v>2</v>
      </c>
      <c r="AH5853">
        <v>0</v>
      </c>
      <c r="AI5853" t="s">
        <v>1298</v>
      </c>
      <c r="AJ5853">
        <v>28.204007000000001</v>
      </c>
      <c r="AK5853" t="s">
        <v>1299</v>
      </c>
      <c r="AL5853">
        <v>-82.373706999999996</v>
      </c>
      <c r="AM5853">
        <v>100</v>
      </c>
      <c r="AN5853">
        <v>500</v>
      </c>
      <c r="AO5853" t="s">
        <v>118</v>
      </c>
      <c r="AP5853">
        <v>89</v>
      </c>
      <c r="AQ5853">
        <v>29</v>
      </c>
      <c r="AR5853">
        <v>-960</v>
      </c>
      <c r="AZ5853">
        <v>1200</v>
      </c>
      <c r="BA5853">
        <v>1</v>
      </c>
      <c r="BB5853" t="str">
        <f t="shared" si="2735"/>
        <v xml:space="preserve">N711JA  </v>
      </c>
      <c r="BC5853">
        <v>1</v>
      </c>
      <c r="BE5853">
        <v>0</v>
      </c>
      <c r="BF5853">
        <v>0</v>
      </c>
      <c r="BG5853">
        <v>0</v>
      </c>
      <c r="BH5853">
        <v>550</v>
      </c>
      <c r="BI5853">
        <v>1</v>
      </c>
      <c r="BJ5853">
        <v>1</v>
      </c>
      <c r="BK5853">
        <v>0</v>
      </c>
      <c r="BL5853">
        <v>0</v>
      </c>
      <c r="BO5853">
        <v>0</v>
      </c>
      <c r="BP5853">
        <v>0</v>
      </c>
      <c r="BW5853" t="str">
        <f t="shared" si="2739"/>
        <v>14:52:13.276</v>
      </c>
      <c r="CJ5853">
        <v>0</v>
      </c>
      <c r="CK5853">
        <v>2</v>
      </c>
      <c r="CL5853">
        <v>0</v>
      </c>
      <c r="CM5853">
        <v>2</v>
      </c>
      <c r="CN5853">
        <v>0</v>
      </c>
      <c r="CO5853">
        <v>7</v>
      </c>
      <c r="CP5853" t="s">
        <v>119</v>
      </c>
      <c r="CQ5853">
        <v>343</v>
      </c>
      <c r="CR5853">
        <v>2</v>
      </c>
      <c r="CW5853">
        <v>13448004</v>
      </c>
      <c r="CY5853">
        <v>1</v>
      </c>
      <c r="CZ5853">
        <v>0</v>
      </c>
      <c r="DA5853">
        <v>1</v>
      </c>
      <c r="DB5853">
        <v>0</v>
      </c>
      <c r="DC5853">
        <v>0</v>
      </c>
      <c r="DD5853">
        <v>1</v>
      </c>
      <c r="DE5853">
        <v>0</v>
      </c>
      <c r="DF5853">
        <v>0</v>
      </c>
      <c r="DG5853">
        <v>0</v>
      </c>
      <c r="DH5853">
        <v>0</v>
      </c>
      <c r="DI5853">
        <v>0</v>
      </c>
    </row>
    <row r="5854" spans="1:113" x14ac:dyDescent="0.3">
      <c r="A5854" t="str">
        <f t="shared" si="2736"/>
        <v>05/12/2020 14:51:55.449</v>
      </c>
      <c r="C5854" t="str">
        <f t="shared" si="2734"/>
        <v>FFDFD3C0</v>
      </c>
      <c r="D5854" t="s">
        <v>134</v>
      </c>
      <c r="E5854">
        <v>12</v>
      </c>
      <c r="H5854">
        <v>64</v>
      </c>
      <c r="I5854" t="s">
        <v>135</v>
      </c>
      <c r="J5854" t="s">
        <v>136</v>
      </c>
      <c r="K5854">
        <v>0</v>
      </c>
      <c r="L5854">
        <v>3</v>
      </c>
      <c r="M5854">
        <v>0</v>
      </c>
      <c r="N5854">
        <v>2</v>
      </c>
      <c r="O5854">
        <v>1</v>
      </c>
      <c r="P5854">
        <v>0</v>
      </c>
      <c r="Q5854">
        <v>0</v>
      </c>
      <c r="S5854" t="str">
        <f t="shared" si="2737"/>
        <v>14:52:13.273</v>
      </c>
      <c r="T5854" t="str">
        <f t="shared" si="2738"/>
        <v>14:52:12.773</v>
      </c>
      <c r="U5854" t="str">
        <f t="shared" si="2725"/>
        <v>A9808D</v>
      </c>
      <c r="V5854">
        <v>0</v>
      </c>
      <c r="W5854">
        <v>0</v>
      </c>
      <c r="X5854">
        <v>1</v>
      </c>
      <c r="Z5854">
        <v>0</v>
      </c>
      <c r="AA5854">
        <v>9</v>
      </c>
      <c r="AB5854">
        <v>3</v>
      </c>
      <c r="AC5854">
        <v>0</v>
      </c>
      <c r="AD5854">
        <v>10</v>
      </c>
      <c r="AE5854">
        <v>0</v>
      </c>
      <c r="AF5854">
        <v>3</v>
      </c>
      <c r="AG5854">
        <v>2</v>
      </c>
      <c r="AH5854">
        <v>0</v>
      </c>
      <c r="AI5854" t="s">
        <v>1298</v>
      </c>
      <c r="AJ5854">
        <v>28.204007000000001</v>
      </c>
      <c r="AK5854" t="s">
        <v>1299</v>
      </c>
      <c r="AL5854">
        <v>-82.373706999999996</v>
      </c>
      <c r="AM5854">
        <v>100</v>
      </c>
      <c r="AN5854">
        <v>500</v>
      </c>
      <c r="AO5854" t="s">
        <v>118</v>
      </c>
      <c r="AP5854">
        <v>89</v>
      </c>
      <c r="AQ5854">
        <v>29</v>
      </c>
      <c r="AR5854">
        <v>-960</v>
      </c>
      <c r="AZ5854">
        <v>1200</v>
      </c>
      <c r="BA5854">
        <v>1</v>
      </c>
      <c r="BB5854" t="str">
        <f t="shared" si="2735"/>
        <v xml:space="preserve">N711JA  </v>
      </c>
      <c r="BC5854">
        <v>1</v>
      </c>
      <c r="BE5854">
        <v>0</v>
      </c>
      <c r="BF5854">
        <v>0</v>
      </c>
      <c r="BG5854">
        <v>0</v>
      </c>
      <c r="BH5854">
        <v>550</v>
      </c>
      <c r="BI5854">
        <v>1</v>
      </c>
      <c r="BJ5854">
        <v>1</v>
      </c>
      <c r="BK5854">
        <v>0</v>
      </c>
      <c r="BL5854">
        <v>0</v>
      </c>
      <c r="BO5854">
        <v>0</v>
      </c>
      <c r="BP5854">
        <v>0</v>
      </c>
      <c r="BW5854" t="str">
        <f t="shared" si="2739"/>
        <v>14:52:13.276</v>
      </c>
      <c r="CJ5854">
        <v>0</v>
      </c>
      <c r="CK5854">
        <v>2</v>
      </c>
      <c r="CL5854">
        <v>0</v>
      </c>
      <c r="CM5854">
        <v>2</v>
      </c>
      <c r="CN5854">
        <v>0</v>
      </c>
      <c r="CO5854">
        <v>7</v>
      </c>
      <c r="CP5854" t="s">
        <v>119</v>
      </c>
      <c r="CQ5854">
        <v>343</v>
      </c>
      <c r="CR5854">
        <v>2</v>
      </c>
      <c r="CW5854">
        <v>13448004</v>
      </c>
      <c r="CY5854">
        <v>1</v>
      </c>
      <c r="CZ5854">
        <v>0</v>
      </c>
      <c r="DA5854">
        <v>1</v>
      </c>
      <c r="DB5854">
        <v>0</v>
      </c>
      <c r="DC5854">
        <v>0</v>
      </c>
      <c r="DD5854">
        <v>1</v>
      </c>
      <c r="DE5854">
        <v>0</v>
      </c>
      <c r="DF5854">
        <v>0</v>
      </c>
      <c r="DG5854">
        <v>0</v>
      </c>
      <c r="DH5854">
        <v>0</v>
      </c>
      <c r="DI5854">
        <v>0</v>
      </c>
    </row>
    <row r="5855" spans="1:113" x14ac:dyDescent="0.3">
      <c r="A5855" t="str">
        <f t="shared" si="2736"/>
        <v>05/12/2020 14:51:55.449</v>
      </c>
      <c r="C5855" t="str">
        <f t="shared" si="2734"/>
        <v>FFDFD3C0</v>
      </c>
      <c r="D5855" t="s">
        <v>138</v>
      </c>
      <c r="E5855">
        <v>3</v>
      </c>
      <c r="H5855">
        <v>9</v>
      </c>
      <c r="I5855" t="s">
        <v>140</v>
      </c>
      <c r="J5855" t="s">
        <v>136</v>
      </c>
      <c r="K5855">
        <v>0</v>
      </c>
      <c r="L5855">
        <v>3</v>
      </c>
      <c r="M5855">
        <v>0</v>
      </c>
      <c r="N5855">
        <v>2</v>
      </c>
      <c r="O5855">
        <v>1</v>
      </c>
      <c r="P5855">
        <v>0</v>
      </c>
      <c r="Q5855">
        <v>0</v>
      </c>
      <c r="S5855" t="str">
        <f t="shared" si="2737"/>
        <v>14:52:13.273</v>
      </c>
      <c r="T5855" t="str">
        <f t="shared" si="2738"/>
        <v>14:52:12.773</v>
      </c>
      <c r="U5855" t="str">
        <f t="shared" si="2725"/>
        <v>A9808D</v>
      </c>
      <c r="V5855">
        <v>0</v>
      </c>
      <c r="W5855">
        <v>0</v>
      </c>
      <c r="X5855">
        <v>1</v>
      </c>
      <c r="Z5855">
        <v>0</v>
      </c>
      <c r="AA5855">
        <v>9</v>
      </c>
      <c r="AB5855">
        <v>3</v>
      </c>
      <c r="AC5855">
        <v>0</v>
      </c>
      <c r="AD5855">
        <v>10</v>
      </c>
      <c r="AE5855">
        <v>0</v>
      </c>
      <c r="AF5855">
        <v>3</v>
      </c>
      <c r="AG5855">
        <v>2</v>
      </c>
      <c r="AH5855">
        <v>0</v>
      </c>
      <c r="AI5855" t="s">
        <v>1298</v>
      </c>
      <c r="AJ5855">
        <v>28.204007000000001</v>
      </c>
      <c r="AK5855" t="s">
        <v>1299</v>
      </c>
      <c r="AL5855">
        <v>-82.373706999999996</v>
      </c>
      <c r="AM5855">
        <v>100</v>
      </c>
      <c r="AN5855">
        <v>500</v>
      </c>
      <c r="AO5855" t="s">
        <v>118</v>
      </c>
      <c r="AP5855">
        <v>89</v>
      </c>
      <c r="AQ5855">
        <v>29</v>
      </c>
      <c r="AR5855">
        <v>-960</v>
      </c>
      <c r="AZ5855">
        <v>1200</v>
      </c>
      <c r="BA5855">
        <v>1</v>
      </c>
      <c r="BB5855" t="str">
        <f t="shared" si="2735"/>
        <v xml:space="preserve">N711JA  </v>
      </c>
      <c r="BC5855">
        <v>1</v>
      </c>
      <c r="BE5855">
        <v>0</v>
      </c>
      <c r="BF5855">
        <v>0</v>
      </c>
      <c r="BG5855">
        <v>0</v>
      </c>
      <c r="BH5855">
        <v>550</v>
      </c>
      <c r="BI5855">
        <v>1</v>
      </c>
      <c r="BJ5855">
        <v>1</v>
      </c>
      <c r="BK5855">
        <v>0</v>
      </c>
      <c r="BL5855">
        <v>0</v>
      </c>
      <c r="BO5855">
        <v>0</v>
      </c>
      <c r="BP5855">
        <v>0</v>
      </c>
      <c r="BW5855" t="str">
        <f t="shared" si="2739"/>
        <v>14:52:13.276</v>
      </c>
      <c r="CJ5855">
        <v>0</v>
      </c>
      <c r="CK5855">
        <v>2</v>
      </c>
      <c r="CL5855">
        <v>0</v>
      </c>
      <c r="CM5855">
        <v>2</v>
      </c>
      <c r="CN5855">
        <v>0</v>
      </c>
      <c r="CO5855">
        <v>7</v>
      </c>
      <c r="CP5855" t="s">
        <v>119</v>
      </c>
      <c r="CQ5855">
        <v>343</v>
      </c>
      <c r="CR5855">
        <v>2</v>
      </c>
      <c r="CW5855">
        <v>13448004</v>
      </c>
      <c r="CY5855">
        <v>1</v>
      </c>
      <c r="CZ5855">
        <v>0</v>
      </c>
      <c r="DA5855">
        <v>1</v>
      </c>
      <c r="DB5855">
        <v>0</v>
      </c>
      <c r="DC5855">
        <v>0</v>
      </c>
      <c r="DD5855">
        <v>1</v>
      </c>
      <c r="DE5855">
        <v>0</v>
      </c>
      <c r="DF5855">
        <v>0</v>
      </c>
      <c r="DG5855">
        <v>0</v>
      </c>
      <c r="DH5855">
        <v>0</v>
      </c>
      <c r="DI5855">
        <v>0</v>
      </c>
    </row>
    <row r="5856" spans="1:113" x14ac:dyDescent="0.3">
      <c r="A5856" t="str">
        <f t="shared" si="2736"/>
        <v>05/12/2020 14:51:55.449</v>
      </c>
      <c r="C5856" t="str">
        <f t="shared" si="2734"/>
        <v>FFDFD3C0</v>
      </c>
      <c r="D5856" t="s">
        <v>138</v>
      </c>
      <c r="E5856">
        <v>2</v>
      </c>
      <c r="H5856">
        <v>8</v>
      </c>
      <c r="I5856" t="s">
        <v>139</v>
      </c>
      <c r="J5856" t="s">
        <v>136</v>
      </c>
      <c r="K5856">
        <v>0</v>
      </c>
      <c r="L5856">
        <v>3</v>
      </c>
      <c r="M5856">
        <v>0</v>
      </c>
      <c r="N5856">
        <v>2</v>
      </c>
      <c r="O5856">
        <v>1</v>
      </c>
      <c r="P5856">
        <v>0</v>
      </c>
      <c r="Q5856">
        <v>0</v>
      </c>
      <c r="S5856" t="str">
        <f t="shared" si="2737"/>
        <v>14:52:13.273</v>
      </c>
      <c r="T5856" t="str">
        <f t="shared" si="2738"/>
        <v>14:52:12.773</v>
      </c>
      <c r="U5856" t="str">
        <f t="shared" si="2725"/>
        <v>A9808D</v>
      </c>
      <c r="V5856">
        <v>0</v>
      </c>
      <c r="W5856">
        <v>0</v>
      </c>
      <c r="X5856">
        <v>1</v>
      </c>
      <c r="Z5856">
        <v>0</v>
      </c>
      <c r="AA5856">
        <v>9</v>
      </c>
      <c r="AB5856">
        <v>3</v>
      </c>
      <c r="AC5856">
        <v>0</v>
      </c>
      <c r="AD5856">
        <v>10</v>
      </c>
      <c r="AE5856">
        <v>0</v>
      </c>
      <c r="AF5856">
        <v>3</v>
      </c>
      <c r="AG5856">
        <v>2</v>
      </c>
      <c r="AH5856">
        <v>0</v>
      </c>
      <c r="AI5856" t="s">
        <v>1298</v>
      </c>
      <c r="AJ5856">
        <v>28.204007000000001</v>
      </c>
      <c r="AK5856" t="s">
        <v>1299</v>
      </c>
      <c r="AL5856">
        <v>-82.373706999999996</v>
      </c>
      <c r="AM5856">
        <v>100</v>
      </c>
      <c r="AN5856">
        <v>500</v>
      </c>
      <c r="AO5856" t="s">
        <v>118</v>
      </c>
      <c r="AP5856">
        <v>89</v>
      </c>
      <c r="AQ5856">
        <v>29</v>
      </c>
      <c r="AR5856">
        <v>-960</v>
      </c>
      <c r="AZ5856">
        <v>1200</v>
      </c>
      <c r="BA5856">
        <v>1</v>
      </c>
      <c r="BB5856" t="str">
        <f t="shared" si="2735"/>
        <v xml:space="preserve">N711JA  </v>
      </c>
      <c r="BC5856">
        <v>1</v>
      </c>
      <c r="BE5856">
        <v>0</v>
      </c>
      <c r="BF5856">
        <v>0</v>
      </c>
      <c r="BG5856">
        <v>0</v>
      </c>
      <c r="BH5856">
        <v>550</v>
      </c>
      <c r="BI5856">
        <v>1</v>
      </c>
      <c r="BJ5856">
        <v>1</v>
      </c>
      <c r="BK5856">
        <v>0</v>
      </c>
      <c r="BL5856">
        <v>0</v>
      </c>
      <c r="BO5856">
        <v>0</v>
      </c>
      <c r="BP5856">
        <v>0</v>
      </c>
      <c r="BW5856" t="str">
        <f t="shared" si="2739"/>
        <v>14:52:13.276</v>
      </c>
      <c r="CJ5856">
        <v>0</v>
      </c>
      <c r="CK5856">
        <v>2</v>
      </c>
      <c r="CL5856">
        <v>0</v>
      </c>
      <c r="CM5856">
        <v>2</v>
      </c>
      <c r="CN5856">
        <v>0</v>
      </c>
      <c r="CO5856">
        <v>7</v>
      </c>
      <c r="CP5856" t="s">
        <v>119</v>
      </c>
      <c r="CQ5856">
        <v>343</v>
      </c>
      <c r="CR5856">
        <v>2</v>
      </c>
      <c r="CW5856">
        <v>13448004</v>
      </c>
      <c r="CY5856">
        <v>1</v>
      </c>
      <c r="CZ5856">
        <v>0</v>
      </c>
      <c r="DA5856">
        <v>1</v>
      </c>
      <c r="DB5856">
        <v>0</v>
      </c>
      <c r="DC5856">
        <v>0</v>
      </c>
      <c r="DD5856">
        <v>1</v>
      </c>
      <c r="DE5856">
        <v>0</v>
      </c>
      <c r="DF5856">
        <v>0</v>
      </c>
      <c r="DG5856">
        <v>0</v>
      </c>
      <c r="DH5856">
        <v>0</v>
      </c>
      <c r="DI5856">
        <v>0</v>
      </c>
    </row>
    <row r="5857" spans="1:113" x14ac:dyDescent="0.3">
      <c r="A5857" t="str">
        <f t="shared" ref="A5857:A5864" si="2740">"05/12/2020 14:51:56.816"</f>
        <v>05/12/2020 14:51:56.816</v>
      </c>
      <c r="C5857" t="str">
        <f t="shared" si="2734"/>
        <v>FFDFD3C0</v>
      </c>
      <c r="D5857" t="s">
        <v>138</v>
      </c>
      <c r="E5857">
        <v>3</v>
      </c>
      <c r="H5857">
        <v>9</v>
      </c>
      <c r="I5857" t="s">
        <v>140</v>
      </c>
      <c r="J5857" t="s">
        <v>136</v>
      </c>
      <c r="K5857">
        <v>0</v>
      </c>
      <c r="L5857">
        <v>3</v>
      </c>
      <c r="M5857">
        <v>0</v>
      </c>
      <c r="N5857">
        <v>2</v>
      </c>
      <c r="O5857">
        <v>1</v>
      </c>
      <c r="P5857">
        <v>0</v>
      </c>
      <c r="Q5857">
        <v>0</v>
      </c>
      <c r="S5857" t="str">
        <f t="shared" ref="S5857:S5864" si="2741">"14:52:14.617"</f>
        <v>14:52:14.617</v>
      </c>
      <c r="T5857" t="str">
        <f t="shared" ref="T5857:T5864" si="2742">"14:52:14.417"</f>
        <v>14:52:14.417</v>
      </c>
      <c r="U5857" t="str">
        <f t="shared" si="2725"/>
        <v>A9808D</v>
      </c>
      <c r="V5857">
        <v>0</v>
      </c>
      <c r="W5857">
        <v>0</v>
      </c>
      <c r="X5857">
        <v>1</v>
      </c>
      <c r="Z5857">
        <v>0</v>
      </c>
      <c r="AA5857">
        <v>9</v>
      </c>
      <c r="AB5857">
        <v>3</v>
      </c>
      <c r="AC5857">
        <v>0</v>
      </c>
      <c r="AD5857">
        <v>10</v>
      </c>
      <c r="AE5857">
        <v>0</v>
      </c>
      <c r="AF5857">
        <v>3</v>
      </c>
      <c r="AG5857">
        <v>2</v>
      </c>
      <c r="AH5857">
        <v>0</v>
      </c>
      <c r="AI5857" t="s">
        <v>1300</v>
      </c>
      <c r="AJ5857">
        <v>28.204243000000002</v>
      </c>
      <c r="AK5857" t="s">
        <v>1301</v>
      </c>
      <c r="AL5857">
        <v>-82.373063999999999</v>
      </c>
      <c r="AM5857">
        <v>100</v>
      </c>
      <c r="AN5857">
        <v>500</v>
      </c>
      <c r="AO5857" t="s">
        <v>118</v>
      </c>
      <c r="AP5857">
        <v>87</v>
      </c>
      <c r="AQ5857">
        <v>33</v>
      </c>
      <c r="AR5857">
        <v>-960</v>
      </c>
      <c r="AZ5857">
        <v>1200</v>
      </c>
      <c r="BA5857">
        <v>1</v>
      </c>
      <c r="BB5857" t="str">
        <f t="shared" si="2735"/>
        <v xml:space="preserve">N711JA  </v>
      </c>
      <c r="BC5857">
        <v>1</v>
      </c>
      <c r="BE5857">
        <v>0</v>
      </c>
      <c r="BF5857">
        <v>0</v>
      </c>
      <c r="BG5857">
        <v>0</v>
      </c>
      <c r="BH5857">
        <v>525</v>
      </c>
      <c r="BI5857">
        <v>1</v>
      </c>
      <c r="BJ5857">
        <v>1</v>
      </c>
      <c r="BK5857">
        <v>0</v>
      </c>
      <c r="BL5857">
        <v>0</v>
      </c>
      <c r="BO5857">
        <v>0</v>
      </c>
      <c r="BP5857">
        <v>0</v>
      </c>
      <c r="BW5857" t="str">
        <f t="shared" ref="BW5857:BW5864" si="2743">"14:52:14.620"</f>
        <v>14:52:14.620</v>
      </c>
      <c r="CJ5857">
        <v>0</v>
      </c>
      <c r="CK5857">
        <v>2</v>
      </c>
      <c r="CL5857">
        <v>0</v>
      </c>
      <c r="CM5857">
        <v>2</v>
      </c>
      <c r="CN5857">
        <v>0</v>
      </c>
      <c r="CO5857">
        <v>7</v>
      </c>
      <c r="CP5857" t="s">
        <v>119</v>
      </c>
      <c r="CQ5857">
        <v>343</v>
      </c>
      <c r="CR5857">
        <v>1</v>
      </c>
      <c r="CW5857">
        <v>11210647</v>
      </c>
      <c r="CY5857">
        <v>1</v>
      </c>
      <c r="CZ5857">
        <v>0</v>
      </c>
      <c r="DA5857">
        <v>0</v>
      </c>
      <c r="DB5857">
        <v>0</v>
      </c>
      <c r="DC5857">
        <v>0</v>
      </c>
      <c r="DD5857">
        <v>1</v>
      </c>
      <c r="DE5857">
        <v>0</v>
      </c>
      <c r="DF5857">
        <v>0</v>
      </c>
      <c r="DG5857">
        <v>0</v>
      </c>
      <c r="DH5857">
        <v>0</v>
      </c>
      <c r="DI5857">
        <v>0</v>
      </c>
    </row>
    <row r="5858" spans="1:113" x14ac:dyDescent="0.3">
      <c r="A5858" t="str">
        <f t="shared" si="2740"/>
        <v>05/12/2020 14:51:56.816</v>
      </c>
      <c r="C5858" t="str">
        <f t="shared" si="2734"/>
        <v>FFDFD3C0</v>
      </c>
      <c r="D5858" t="s">
        <v>138</v>
      </c>
      <c r="E5858">
        <v>2</v>
      </c>
      <c r="H5858">
        <v>8</v>
      </c>
      <c r="I5858" t="s">
        <v>139</v>
      </c>
      <c r="J5858" t="s">
        <v>136</v>
      </c>
      <c r="K5858">
        <v>0</v>
      </c>
      <c r="L5858">
        <v>3</v>
      </c>
      <c r="M5858">
        <v>0</v>
      </c>
      <c r="N5858">
        <v>2</v>
      </c>
      <c r="O5858">
        <v>1</v>
      </c>
      <c r="P5858">
        <v>0</v>
      </c>
      <c r="Q5858">
        <v>0</v>
      </c>
      <c r="S5858" t="str">
        <f t="shared" si="2741"/>
        <v>14:52:14.617</v>
      </c>
      <c r="T5858" t="str">
        <f t="shared" si="2742"/>
        <v>14:52:14.417</v>
      </c>
      <c r="U5858" t="str">
        <f t="shared" si="2725"/>
        <v>A9808D</v>
      </c>
      <c r="V5858">
        <v>0</v>
      </c>
      <c r="W5858">
        <v>0</v>
      </c>
      <c r="X5858">
        <v>1</v>
      </c>
      <c r="Z5858">
        <v>0</v>
      </c>
      <c r="AA5858">
        <v>9</v>
      </c>
      <c r="AB5858">
        <v>3</v>
      </c>
      <c r="AC5858">
        <v>0</v>
      </c>
      <c r="AD5858">
        <v>10</v>
      </c>
      <c r="AE5858">
        <v>0</v>
      </c>
      <c r="AF5858">
        <v>3</v>
      </c>
      <c r="AG5858">
        <v>2</v>
      </c>
      <c r="AH5858">
        <v>0</v>
      </c>
      <c r="AI5858" t="s">
        <v>1300</v>
      </c>
      <c r="AJ5858">
        <v>28.204243000000002</v>
      </c>
      <c r="AK5858" t="s">
        <v>1301</v>
      </c>
      <c r="AL5858">
        <v>-82.373063999999999</v>
      </c>
      <c r="AM5858">
        <v>100</v>
      </c>
      <c r="AN5858">
        <v>500</v>
      </c>
      <c r="AO5858" t="s">
        <v>118</v>
      </c>
      <c r="AP5858">
        <v>87</v>
      </c>
      <c r="AQ5858">
        <v>33</v>
      </c>
      <c r="AR5858">
        <v>-960</v>
      </c>
      <c r="AZ5858">
        <v>1200</v>
      </c>
      <c r="BA5858">
        <v>1</v>
      </c>
      <c r="BB5858" t="str">
        <f t="shared" si="2735"/>
        <v xml:space="preserve">N711JA  </v>
      </c>
      <c r="BC5858">
        <v>1</v>
      </c>
      <c r="BE5858">
        <v>0</v>
      </c>
      <c r="BF5858">
        <v>0</v>
      </c>
      <c r="BG5858">
        <v>0</v>
      </c>
      <c r="BH5858">
        <v>525</v>
      </c>
      <c r="BI5858">
        <v>1</v>
      </c>
      <c r="BJ5858">
        <v>1</v>
      </c>
      <c r="BK5858">
        <v>0</v>
      </c>
      <c r="BL5858">
        <v>0</v>
      </c>
      <c r="BO5858">
        <v>0</v>
      </c>
      <c r="BP5858">
        <v>0</v>
      </c>
      <c r="BW5858" t="str">
        <f t="shared" si="2743"/>
        <v>14:52:14.620</v>
      </c>
      <c r="CJ5858">
        <v>0</v>
      </c>
      <c r="CK5858">
        <v>2</v>
      </c>
      <c r="CL5858">
        <v>0</v>
      </c>
      <c r="CM5858">
        <v>2</v>
      </c>
      <c r="CN5858">
        <v>0</v>
      </c>
      <c r="CO5858">
        <v>7</v>
      </c>
      <c r="CP5858" t="s">
        <v>119</v>
      </c>
      <c r="CQ5858">
        <v>343</v>
      </c>
      <c r="CR5858">
        <v>1</v>
      </c>
      <c r="CW5858">
        <v>11210647</v>
      </c>
      <c r="CY5858">
        <v>1</v>
      </c>
      <c r="CZ5858">
        <v>0</v>
      </c>
      <c r="DA5858">
        <v>1</v>
      </c>
      <c r="DB5858">
        <v>0</v>
      </c>
      <c r="DC5858">
        <v>0</v>
      </c>
      <c r="DD5858">
        <v>1</v>
      </c>
      <c r="DE5858">
        <v>0</v>
      </c>
      <c r="DF5858">
        <v>0</v>
      </c>
      <c r="DG5858">
        <v>0</v>
      </c>
      <c r="DH5858">
        <v>0</v>
      </c>
      <c r="DI5858">
        <v>0</v>
      </c>
    </row>
    <row r="5859" spans="1:113" x14ac:dyDescent="0.3">
      <c r="A5859" t="str">
        <f t="shared" si="2740"/>
        <v>05/12/2020 14:51:56.816</v>
      </c>
      <c r="C5859" t="str">
        <f t="shared" si="2734"/>
        <v>FFDFD3C0</v>
      </c>
      <c r="D5859" t="s">
        <v>113</v>
      </c>
      <c r="E5859">
        <v>3</v>
      </c>
      <c r="H5859">
        <v>164</v>
      </c>
      <c r="I5859" t="s">
        <v>114</v>
      </c>
      <c r="J5859" t="s">
        <v>115</v>
      </c>
      <c r="K5859">
        <v>0</v>
      </c>
      <c r="L5859">
        <v>3</v>
      </c>
      <c r="M5859">
        <v>0</v>
      </c>
      <c r="N5859">
        <v>2</v>
      </c>
      <c r="O5859">
        <v>1</v>
      </c>
      <c r="P5859">
        <v>0</v>
      </c>
      <c r="Q5859">
        <v>0</v>
      </c>
      <c r="S5859" t="str">
        <f t="shared" si="2741"/>
        <v>14:52:14.617</v>
      </c>
      <c r="T5859" t="str">
        <f t="shared" si="2742"/>
        <v>14:52:14.417</v>
      </c>
      <c r="U5859" t="str">
        <f t="shared" si="2725"/>
        <v>A9808D</v>
      </c>
      <c r="V5859">
        <v>0</v>
      </c>
      <c r="W5859">
        <v>0</v>
      </c>
      <c r="X5859">
        <v>1</v>
      </c>
      <c r="Z5859">
        <v>0</v>
      </c>
      <c r="AA5859">
        <v>9</v>
      </c>
      <c r="AB5859">
        <v>3</v>
      </c>
      <c r="AC5859">
        <v>0</v>
      </c>
      <c r="AD5859">
        <v>10</v>
      </c>
      <c r="AE5859">
        <v>0</v>
      </c>
      <c r="AF5859">
        <v>3</v>
      </c>
      <c r="AG5859">
        <v>2</v>
      </c>
      <c r="AH5859">
        <v>0</v>
      </c>
      <c r="AI5859" t="s">
        <v>1300</v>
      </c>
      <c r="AJ5859">
        <v>28.204243000000002</v>
      </c>
      <c r="AK5859" t="s">
        <v>1301</v>
      </c>
      <c r="AL5859">
        <v>-82.373063999999999</v>
      </c>
      <c r="AM5859">
        <v>100</v>
      </c>
      <c r="AN5859">
        <v>500</v>
      </c>
      <c r="AO5859" t="s">
        <v>118</v>
      </c>
      <c r="AP5859">
        <v>87</v>
      </c>
      <c r="AQ5859">
        <v>33</v>
      </c>
      <c r="AR5859">
        <v>-960</v>
      </c>
      <c r="AZ5859">
        <v>1200</v>
      </c>
      <c r="BA5859">
        <v>1</v>
      </c>
      <c r="BB5859" t="str">
        <f t="shared" si="2735"/>
        <v xml:space="preserve">N711JA  </v>
      </c>
      <c r="BC5859">
        <v>1</v>
      </c>
      <c r="BE5859">
        <v>0</v>
      </c>
      <c r="BF5859">
        <v>0</v>
      </c>
      <c r="BG5859">
        <v>0</v>
      </c>
      <c r="BH5859">
        <v>525</v>
      </c>
      <c r="BI5859">
        <v>1</v>
      </c>
      <c r="BJ5859">
        <v>1</v>
      </c>
      <c r="BK5859">
        <v>0</v>
      </c>
      <c r="BL5859">
        <v>0</v>
      </c>
      <c r="BO5859">
        <v>0</v>
      </c>
      <c r="BP5859">
        <v>0</v>
      </c>
      <c r="BW5859" t="str">
        <f t="shared" si="2743"/>
        <v>14:52:14.620</v>
      </c>
      <c r="CJ5859">
        <v>0</v>
      </c>
      <c r="CK5859">
        <v>2</v>
      </c>
      <c r="CL5859">
        <v>0</v>
      </c>
      <c r="CM5859">
        <v>2</v>
      </c>
      <c r="CN5859">
        <v>0</v>
      </c>
      <c r="CO5859">
        <v>7</v>
      </c>
      <c r="CP5859" t="s">
        <v>119</v>
      </c>
      <c r="CQ5859">
        <v>343</v>
      </c>
      <c r="CR5859">
        <v>1</v>
      </c>
      <c r="CW5859">
        <v>11210647</v>
      </c>
      <c r="CY5859">
        <v>1</v>
      </c>
      <c r="CZ5859">
        <v>0</v>
      </c>
      <c r="DA5859">
        <v>1</v>
      </c>
      <c r="DB5859">
        <v>0</v>
      </c>
      <c r="DC5859">
        <v>0</v>
      </c>
      <c r="DD5859">
        <v>1</v>
      </c>
      <c r="DE5859">
        <v>0</v>
      </c>
      <c r="DF5859">
        <v>0</v>
      </c>
      <c r="DG5859">
        <v>0</v>
      </c>
      <c r="DH5859">
        <v>0</v>
      </c>
      <c r="DI5859">
        <v>0</v>
      </c>
    </row>
    <row r="5860" spans="1:113" x14ac:dyDescent="0.3">
      <c r="A5860" t="str">
        <f t="shared" si="2740"/>
        <v>05/12/2020 14:51:56.816</v>
      </c>
      <c r="C5860" t="str">
        <f t="shared" si="2734"/>
        <v>FFDFD3C0</v>
      </c>
      <c r="D5860" t="s">
        <v>126</v>
      </c>
      <c r="E5860">
        <v>6</v>
      </c>
      <c r="F5860">
        <v>1006</v>
      </c>
      <c r="G5860" t="s">
        <v>114</v>
      </c>
      <c r="J5860" t="s">
        <v>128</v>
      </c>
      <c r="K5860">
        <v>0</v>
      </c>
      <c r="L5860">
        <v>3</v>
      </c>
      <c r="M5860">
        <v>0</v>
      </c>
      <c r="N5860">
        <v>2</v>
      </c>
      <c r="O5860">
        <v>1</v>
      </c>
      <c r="P5860">
        <v>0</v>
      </c>
      <c r="Q5860">
        <v>0</v>
      </c>
      <c r="S5860" t="str">
        <f t="shared" si="2741"/>
        <v>14:52:14.617</v>
      </c>
      <c r="T5860" t="str">
        <f t="shared" si="2742"/>
        <v>14:52:14.417</v>
      </c>
      <c r="U5860" t="str">
        <f t="shared" si="2725"/>
        <v>A9808D</v>
      </c>
      <c r="V5860">
        <v>0</v>
      </c>
      <c r="W5860">
        <v>0</v>
      </c>
      <c r="X5860">
        <v>1</v>
      </c>
      <c r="Z5860">
        <v>0</v>
      </c>
      <c r="AA5860">
        <v>9</v>
      </c>
      <c r="AB5860">
        <v>3</v>
      </c>
      <c r="AC5860">
        <v>0</v>
      </c>
      <c r="AD5860">
        <v>10</v>
      </c>
      <c r="AE5860">
        <v>0</v>
      </c>
      <c r="AF5860">
        <v>3</v>
      </c>
      <c r="AG5860">
        <v>2</v>
      </c>
      <c r="AH5860">
        <v>0</v>
      </c>
      <c r="AI5860" t="s">
        <v>1300</v>
      </c>
      <c r="AJ5860">
        <v>28.204243000000002</v>
      </c>
      <c r="AK5860" t="s">
        <v>1301</v>
      </c>
      <c r="AL5860">
        <v>-82.373063999999999</v>
      </c>
      <c r="AM5860">
        <v>100</v>
      </c>
      <c r="AN5860">
        <v>500</v>
      </c>
      <c r="AO5860" t="s">
        <v>118</v>
      </c>
      <c r="AP5860">
        <v>87</v>
      </c>
      <c r="AQ5860">
        <v>33</v>
      </c>
      <c r="AR5860">
        <v>-960</v>
      </c>
      <c r="AZ5860">
        <v>1200</v>
      </c>
      <c r="BA5860">
        <v>1</v>
      </c>
      <c r="BB5860" t="str">
        <f t="shared" si="2735"/>
        <v xml:space="preserve">N711JA  </v>
      </c>
      <c r="BC5860">
        <v>1</v>
      </c>
      <c r="BE5860">
        <v>0</v>
      </c>
      <c r="BF5860">
        <v>0</v>
      </c>
      <c r="BG5860">
        <v>0</v>
      </c>
      <c r="BH5860">
        <v>525</v>
      </c>
      <c r="BI5860">
        <v>1</v>
      </c>
      <c r="BJ5860">
        <v>1</v>
      </c>
      <c r="BK5860">
        <v>0</v>
      </c>
      <c r="BL5860">
        <v>0</v>
      </c>
      <c r="BO5860">
        <v>0</v>
      </c>
      <c r="BP5860">
        <v>0</v>
      </c>
      <c r="BW5860" t="str">
        <f t="shared" si="2743"/>
        <v>14:52:14.620</v>
      </c>
      <c r="CJ5860">
        <v>0</v>
      </c>
      <c r="CK5860">
        <v>2</v>
      </c>
      <c r="CL5860">
        <v>0</v>
      </c>
      <c r="CM5860">
        <v>2</v>
      </c>
      <c r="CN5860">
        <v>0</v>
      </c>
      <c r="CO5860">
        <v>7</v>
      </c>
      <c r="CP5860" t="s">
        <v>119</v>
      </c>
      <c r="CQ5860">
        <v>343</v>
      </c>
      <c r="CR5860">
        <v>1</v>
      </c>
      <c r="CW5860">
        <v>11210647</v>
      </c>
      <c r="CY5860">
        <v>1</v>
      </c>
      <c r="CZ5860">
        <v>0</v>
      </c>
      <c r="DA5860">
        <v>1</v>
      </c>
      <c r="DB5860">
        <v>0</v>
      </c>
      <c r="DC5860">
        <v>0</v>
      </c>
      <c r="DD5860">
        <v>1</v>
      </c>
      <c r="DE5860">
        <v>0</v>
      </c>
      <c r="DF5860">
        <v>0</v>
      </c>
      <c r="DG5860">
        <v>0</v>
      </c>
      <c r="DH5860">
        <v>0</v>
      </c>
      <c r="DI5860">
        <v>0</v>
      </c>
    </row>
    <row r="5861" spans="1:113" x14ac:dyDescent="0.3">
      <c r="A5861" t="str">
        <f t="shared" si="2740"/>
        <v>05/12/2020 14:51:56.816</v>
      </c>
      <c r="C5861" t="str">
        <f t="shared" si="2734"/>
        <v>FFDFD3C0</v>
      </c>
      <c r="D5861" t="s">
        <v>134</v>
      </c>
      <c r="E5861">
        <v>12</v>
      </c>
      <c r="H5861">
        <v>64</v>
      </c>
      <c r="I5861" t="s">
        <v>135</v>
      </c>
      <c r="J5861" t="s">
        <v>136</v>
      </c>
      <c r="K5861">
        <v>0</v>
      </c>
      <c r="L5861">
        <v>3</v>
      </c>
      <c r="M5861">
        <v>0</v>
      </c>
      <c r="N5861">
        <v>2</v>
      </c>
      <c r="O5861">
        <v>1</v>
      </c>
      <c r="P5861">
        <v>0</v>
      </c>
      <c r="Q5861">
        <v>0</v>
      </c>
      <c r="S5861" t="str">
        <f t="shared" si="2741"/>
        <v>14:52:14.617</v>
      </c>
      <c r="T5861" t="str">
        <f t="shared" si="2742"/>
        <v>14:52:14.417</v>
      </c>
      <c r="U5861" t="str">
        <f t="shared" si="2725"/>
        <v>A9808D</v>
      </c>
      <c r="V5861">
        <v>0</v>
      </c>
      <c r="W5861">
        <v>0</v>
      </c>
      <c r="X5861">
        <v>1</v>
      </c>
      <c r="Z5861">
        <v>0</v>
      </c>
      <c r="AA5861">
        <v>9</v>
      </c>
      <c r="AB5861">
        <v>3</v>
      </c>
      <c r="AC5861">
        <v>0</v>
      </c>
      <c r="AD5861">
        <v>10</v>
      </c>
      <c r="AE5861">
        <v>0</v>
      </c>
      <c r="AF5861">
        <v>3</v>
      </c>
      <c r="AG5861">
        <v>2</v>
      </c>
      <c r="AH5861">
        <v>0</v>
      </c>
      <c r="AI5861" t="s">
        <v>1300</v>
      </c>
      <c r="AJ5861">
        <v>28.204243000000002</v>
      </c>
      <c r="AK5861" t="s">
        <v>1301</v>
      </c>
      <c r="AL5861">
        <v>-82.373063999999999</v>
      </c>
      <c r="AM5861">
        <v>100</v>
      </c>
      <c r="AN5861">
        <v>500</v>
      </c>
      <c r="AO5861" t="s">
        <v>118</v>
      </c>
      <c r="AP5861">
        <v>87</v>
      </c>
      <c r="AQ5861">
        <v>33</v>
      </c>
      <c r="AR5861">
        <v>-960</v>
      </c>
      <c r="AZ5861">
        <v>1200</v>
      </c>
      <c r="BA5861">
        <v>1</v>
      </c>
      <c r="BB5861" t="str">
        <f t="shared" si="2735"/>
        <v xml:space="preserve">N711JA  </v>
      </c>
      <c r="BC5861">
        <v>1</v>
      </c>
      <c r="BE5861">
        <v>0</v>
      </c>
      <c r="BF5861">
        <v>0</v>
      </c>
      <c r="BG5861">
        <v>0</v>
      </c>
      <c r="BH5861">
        <v>525</v>
      </c>
      <c r="BI5861">
        <v>1</v>
      </c>
      <c r="BJ5861">
        <v>1</v>
      </c>
      <c r="BK5861">
        <v>0</v>
      </c>
      <c r="BL5861">
        <v>0</v>
      </c>
      <c r="BO5861">
        <v>0</v>
      </c>
      <c r="BP5861">
        <v>0</v>
      </c>
      <c r="BW5861" t="str">
        <f t="shared" si="2743"/>
        <v>14:52:14.620</v>
      </c>
      <c r="CJ5861">
        <v>0</v>
      </c>
      <c r="CK5861">
        <v>2</v>
      </c>
      <c r="CL5861">
        <v>0</v>
      </c>
      <c r="CM5861">
        <v>2</v>
      </c>
      <c r="CN5861">
        <v>0</v>
      </c>
      <c r="CO5861">
        <v>7</v>
      </c>
      <c r="CP5861" t="s">
        <v>119</v>
      </c>
      <c r="CQ5861">
        <v>343</v>
      </c>
      <c r="CR5861">
        <v>1</v>
      </c>
      <c r="CW5861">
        <v>11210647</v>
      </c>
      <c r="CY5861">
        <v>1</v>
      </c>
      <c r="CZ5861">
        <v>0</v>
      </c>
      <c r="DA5861">
        <v>1</v>
      </c>
      <c r="DB5861">
        <v>0</v>
      </c>
      <c r="DC5861">
        <v>0</v>
      </c>
      <c r="DD5861">
        <v>1</v>
      </c>
      <c r="DE5861">
        <v>0</v>
      </c>
      <c r="DF5861">
        <v>0</v>
      </c>
      <c r="DG5861">
        <v>0</v>
      </c>
      <c r="DH5861">
        <v>0</v>
      </c>
      <c r="DI5861">
        <v>0</v>
      </c>
    </row>
    <row r="5862" spans="1:113" x14ac:dyDescent="0.3">
      <c r="A5862" t="str">
        <f t="shared" si="2740"/>
        <v>05/12/2020 14:51:56.816</v>
      </c>
      <c r="C5862" t="str">
        <f t="shared" si="2734"/>
        <v>FFDFD3C0</v>
      </c>
      <c r="D5862" t="s">
        <v>131</v>
      </c>
      <c r="E5862">
        <v>10</v>
      </c>
      <c r="F5862">
        <v>2010</v>
      </c>
      <c r="G5862" t="s">
        <v>132</v>
      </c>
      <c r="J5862" t="s">
        <v>133</v>
      </c>
      <c r="K5862">
        <v>0</v>
      </c>
      <c r="L5862">
        <v>3</v>
      </c>
      <c r="M5862">
        <v>0</v>
      </c>
      <c r="N5862">
        <v>2</v>
      </c>
      <c r="O5862">
        <v>1</v>
      </c>
      <c r="P5862">
        <v>0</v>
      </c>
      <c r="Q5862">
        <v>0</v>
      </c>
      <c r="S5862" t="str">
        <f t="shared" si="2741"/>
        <v>14:52:14.617</v>
      </c>
      <c r="T5862" t="str">
        <f t="shared" si="2742"/>
        <v>14:52:14.417</v>
      </c>
      <c r="U5862" t="str">
        <f t="shared" si="2725"/>
        <v>A9808D</v>
      </c>
      <c r="V5862">
        <v>0</v>
      </c>
      <c r="W5862">
        <v>0</v>
      </c>
      <c r="X5862">
        <v>1</v>
      </c>
      <c r="Z5862">
        <v>0</v>
      </c>
      <c r="AA5862">
        <v>9</v>
      </c>
      <c r="AB5862">
        <v>3</v>
      </c>
      <c r="AC5862">
        <v>0</v>
      </c>
      <c r="AD5862">
        <v>10</v>
      </c>
      <c r="AE5862">
        <v>0</v>
      </c>
      <c r="AF5862">
        <v>3</v>
      </c>
      <c r="AG5862">
        <v>2</v>
      </c>
      <c r="AH5862">
        <v>0</v>
      </c>
      <c r="AI5862" t="s">
        <v>1300</v>
      </c>
      <c r="AJ5862">
        <v>28.204243000000002</v>
      </c>
      <c r="AK5862" t="s">
        <v>1301</v>
      </c>
      <c r="AL5862">
        <v>-82.373063999999999</v>
      </c>
      <c r="AM5862">
        <v>100</v>
      </c>
      <c r="AN5862">
        <v>500</v>
      </c>
      <c r="AO5862" t="s">
        <v>118</v>
      </c>
      <c r="AP5862">
        <v>87</v>
      </c>
      <c r="AQ5862">
        <v>33</v>
      </c>
      <c r="AR5862">
        <v>-960</v>
      </c>
      <c r="AZ5862">
        <v>1200</v>
      </c>
      <c r="BA5862">
        <v>1</v>
      </c>
      <c r="BB5862" t="str">
        <f t="shared" si="2735"/>
        <v xml:space="preserve">N711JA  </v>
      </c>
      <c r="BC5862">
        <v>1</v>
      </c>
      <c r="BE5862">
        <v>0</v>
      </c>
      <c r="BF5862">
        <v>0</v>
      </c>
      <c r="BG5862">
        <v>0</v>
      </c>
      <c r="BH5862">
        <v>525</v>
      </c>
      <c r="BI5862">
        <v>1</v>
      </c>
      <c r="BJ5862">
        <v>1</v>
      </c>
      <c r="BK5862">
        <v>0</v>
      </c>
      <c r="BL5862">
        <v>0</v>
      </c>
      <c r="BO5862">
        <v>0</v>
      </c>
      <c r="BP5862">
        <v>0</v>
      </c>
      <c r="BW5862" t="str">
        <f t="shared" si="2743"/>
        <v>14:52:14.620</v>
      </c>
      <c r="CJ5862">
        <v>0</v>
      </c>
      <c r="CK5862">
        <v>2</v>
      </c>
      <c r="CL5862">
        <v>0</v>
      </c>
      <c r="CM5862">
        <v>2</v>
      </c>
      <c r="CN5862">
        <v>0</v>
      </c>
      <c r="CO5862">
        <v>7</v>
      </c>
      <c r="CP5862" t="s">
        <v>119</v>
      </c>
      <c r="CQ5862">
        <v>343</v>
      </c>
      <c r="CR5862">
        <v>1</v>
      </c>
      <c r="CW5862">
        <v>11210647</v>
      </c>
      <c r="CY5862">
        <v>1</v>
      </c>
      <c r="CZ5862">
        <v>0</v>
      </c>
      <c r="DA5862">
        <v>1</v>
      </c>
      <c r="DB5862">
        <v>0</v>
      </c>
      <c r="DC5862">
        <v>0</v>
      </c>
      <c r="DD5862">
        <v>1</v>
      </c>
      <c r="DE5862">
        <v>0</v>
      </c>
      <c r="DF5862">
        <v>0</v>
      </c>
      <c r="DG5862">
        <v>0</v>
      </c>
      <c r="DH5862">
        <v>0</v>
      </c>
      <c r="DI5862">
        <v>0</v>
      </c>
    </row>
    <row r="5863" spans="1:113" x14ac:dyDescent="0.3">
      <c r="A5863" t="str">
        <f t="shared" si="2740"/>
        <v>05/12/2020 14:51:56.816</v>
      </c>
      <c r="C5863" t="str">
        <f t="shared" si="2734"/>
        <v>FFDFD3C0</v>
      </c>
      <c r="D5863" t="s">
        <v>126</v>
      </c>
      <c r="E5863">
        <v>7</v>
      </c>
      <c r="F5863">
        <v>1007</v>
      </c>
      <c r="G5863" t="s">
        <v>127</v>
      </c>
      <c r="J5863" t="s">
        <v>128</v>
      </c>
      <c r="K5863">
        <v>0</v>
      </c>
      <c r="L5863">
        <v>3</v>
      </c>
      <c r="M5863">
        <v>0</v>
      </c>
      <c r="N5863">
        <v>2</v>
      </c>
      <c r="O5863">
        <v>1</v>
      </c>
      <c r="P5863">
        <v>0</v>
      </c>
      <c r="Q5863">
        <v>0</v>
      </c>
      <c r="S5863" t="str">
        <f t="shared" si="2741"/>
        <v>14:52:14.617</v>
      </c>
      <c r="T5863" t="str">
        <f t="shared" si="2742"/>
        <v>14:52:14.417</v>
      </c>
      <c r="U5863" t="str">
        <f t="shared" si="2725"/>
        <v>A9808D</v>
      </c>
      <c r="V5863">
        <v>0</v>
      </c>
      <c r="W5863">
        <v>0</v>
      </c>
      <c r="X5863">
        <v>1</v>
      </c>
      <c r="Z5863">
        <v>0</v>
      </c>
      <c r="AA5863">
        <v>9</v>
      </c>
      <c r="AB5863">
        <v>3</v>
      </c>
      <c r="AC5863">
        <v>0</v>
      </c>
      <c r="AD5863">
        <v>10</v>
      </c>
      <c r="AE5863">
        <v>0</v>
      </c>
      <c r="AF5863">
        <v>3</v>
      </c>
      <c r="AG5863">
        <v>2</v>
      </c>
      <c r="AH5863">
        <v>0</v>
      </c>
      <c r="AI5863" t="s">
        <v>1300</v>
      </c>
      <c r="AJ5863">
        <v>28.204243000000002</v>
      </c>
      <c r="AK5863" t="s">
        <v>1301</v>
      </c>
      <c r="AL5863">
        <v>-82.373063999999999</v>
      </c>
      <c r="AM5863">
        <v>100</v>
      </c>
      <c r="AN5863">
        <v>500</v>
      </c>
      <c r="AO5863" t="s">
        <v>118</v>
      </c>
      <c r="AP5863">
        <v>87</v>
      </c>
      <c r="AQ5863">
        <v>33</v>
      </c>
      <c r="AR5863">
        <v>-960</v>
      </c>
      <c r="AZ5863">
        <v>1200</v>
      </c>
      <c r="BA5863">
        <v>1</v>
      </c>
      <c r="BB5863" t="str">
        <f t="shared" si="2735"/>
        <v xml:space="preserve">N711JA  </v>
      </c>
      <c r="BC5863">
        <v>1</v>
      </c>
      <c r="BE5863">
        <v>0</v>
      </c>
      <c r="BF5863">
        <v>0</v>
      </c>
      <c r="BG5863">
        <v>0</v>
      </c>
      <c r="BH5863">
        <v>525</v>
      </c>
      <c r="BI5863">
        <v>1</v>
      </c>
      <c r="BJ5863">
        <v>1</v>
      </c>
      <c r="BK5863">
        <v>0</v>
      </c>
      <c r="BL5863">
        <v>0</v>
      </c>
      <c r="BO5863">
        <v>0</v>
      </c>
      <c r="BP5863">
        <v>0</v>
      </c>
      <c r="BW5863" t="str">
        <f t="shared" si="2743"/>
        <v>14:52:14.620</v>
      </c>
      <c r="CJ5863">
        <v>0</v>
      </c>
      <c r="CK5863">
        <v>2</v>
      </c>
      <c r="CL5863">
        <v>0</v>
      </c>
      <c r="CM5863">
        <v>2</v>
      </c>
      <c r="CN5863">
        <v>0</v>
      </c>
      <c r="CO5863">
        <v>7</v>
      </c>
      <c r="CP5863" t="s">
        <v>119</v>
      </c>
      <c r="CQ5863">
        <v>343</v>
      </c>
      <c r="CR5863">
        <v>1</v>
      </c>
      <c r="CW5863">
        <v>11210647</v>
      </c>
      <c r="CY5863">
        <v>1</v>
      </c>
      <c r="CZ5863">
        <v>0</v>
      </c>
      <c r="DA5863">
        <v>1</v>
      </c>
      <c r="DB5863">
        <v>0</v>
      </c>
      <c r="DC5863">
        <v>0</v>
      </c>
      <c r="DD5863">
        <v>1</v>
      </c>
      <c r="DE5863">
        <v>0</v>
      </c>
      <c r="DF5863">
        <v>0</v>
      </c>
      <c r="DG5863">
        <v>0</v>
      </c>
      <c r="DH5863">
        <v>0</v>
      </c>
      <c r="DI5863">
        <v>0</v>
      </c>
    </row>
    <row r="5864" spans="1:113" x14ac:dyDescent="0.3">
      <c r="A5864" t="str">
        <f t="shared" si="2740"/>
        <v>05/12/2020 14:51:56.816</v>
      </c>
      <c r="C5864" t="str">
        <f t="shared" si="2734"/>
        <v>FFDFD3C0</v>
      </c>
      <c r="D5864" t="s">
        <v>131</v>
      </c>
      <c r="E5864">
        <v>12</v>
      </c>
      <c r="F5864">
        <v>2012</v>
      </c>
      <c r="G5864" t="s">
        <v>137</v>
      </c>
      <c r="J5864" t="s">
        <v>133</v>
      </c>
      <c r="K5864">
        <v>0</v>
      </c>
      <c r="L5864">
        <v>3</v>
      </c>
      <c r="M5864">
        <v>0</v>
      </c>
      <c r="N5864">
        <v>2</v>
      </c>
      <c r="O5864">
        <v>1</v>
      </c>
      <c r="P5864">
        <v>0</v>
      </c>
      <c r="Q5864">
        <v>0</v>
      </c>
      <c r="S5864" t="str">
        <f t="shared" si="2741"/>
        <v>14:52:14.617</v>
      </c>
      <c r="T5864" t="str">
        <f t="shared" si="2742"/>
        <v>14:52:14.417</v>
      </c>
      <c r="U5864" t="str">
        <f t="shared" si="2725"/>
        <v>A9808D</v>
      </c>
      <c r="V5864">
        <v>0</v>
      </c>
      <c r="W5864">
        <v>0</v>
      </c>
      <c r="X5864">
        <v>1</v>
      </c>
      <c r="Z5864">
        <v>0</v>
      </c>
      <c r="AA5864">
        <v>9</v>
      </c>
      <c r="AB5864">
        <v>3</v>
      </c>
      <c r="AC5864">
        <v>0</v>
      </c>
      <c r="AD5864">
        <v>10</v>
      </c>
      <c r="AE5864">
        <v>0</v>
      </c>
      <c r="AF5864">
        <v>3</v>
      </c>
      <c r="AG5864">
        <v>2</v>
      </c>
      <c r="AH5864">
        <v>0</v>
      </c>
      <c r="AI5864" t="s">
        <v>1300</v>
      </c>
      <c r="AJ5864">
        <v>28.204243000000002</v>
      </c>
      <c r="AK5864" t="s">
        <v>1301</v>
      </c>
      <c r="AL5864">
        <v>-82.373063999999999</v>
      </c>
      <c r="AM5864">
        <v>100</v>
      </c>
      <c r="AN5864">
        <v>500</v>
      </c>
      <c r="AO5864" t="s">
        <v>118</v>
      </c>
      <c r="AP5864">
        <v>87</v>
      </c>
      <c r="AQ5864">
        <v>33</v>
      </c>
      <c r="AR5864">
        <v>-960</v>
      </c>
      <c r="AZ5864">
        <v>1200</v>
      </c>
      <c r="BA5864">
        <v>1</v>
      </c>
      <c r="BB5864" t="str">
        <f t="shared" si="2735"/>
        <v xml:space="preserve">N711JA  </v>
      </c>
      <c r="BC5864">
        <v>1</v>
      </c>
      <c r="BE5864">
        <v>0</v>
      </c>
      <c r="BF5864">
        <v>0</v>
      </c>
      <c r="BG5864">
        <v>0</v>
      </c>
      <c r="BH5864">
        <v>525</v>
      </c>
      <c r="BI5864">
        <v>1</v>
      </c>
      <c r="BJ5864">
        <v>1</v>
      </c>
      <c r="BK5864">
        <v>0</v>
      </c>
      <c r="BL5864">
        <v>0</v>
      </c>
      <c r="BO5864">
        <v>0</v>
      </c>
      <c r="BP5864">
        <v>0</v>
      </c>
      <c r="BW5864" t="str">
        <f t="shared" si="2743"/>
        <v>14:52:14.620</v>
      </c>
      <c r="CJ5864">
        <v>0</v>
      </c>
      <c r="CK5864">
        <v>2</v>
      </c>
      <c r="CL5864">
        <v>0</v>
      </c>
      <c r="CM5864">
        <v>2</v>
      </c>
      <c r="CN5864">
        <v>0</v>
      </c>
      <c r="CO5864">
        <v>7</v>
      </c>
      <c r="CP5864" t="s">
        <v>119</v>
      </c>
      <c r="CQ5864">
        <v>343</v>
      </c>
      <c r="CR5864">
        <v>1</v>
      </c>
      <c r="CW5864">
        <v>11210647</v>
      </c>
      <c r="CY5864">
        <v>1</v>
      </c>
      <c r="CZ5864">
        <v>0</v>
      </c>
      <c r="DA5864">
        <v>1</v>
      </c>
      <c r="DB5864">
        <v>0</v>
      </c>
      <c r="DC5864">
        <v>0</v>
      </c>
      <c r="DD5864">
        <v>1</v>
      </c>
      <c r="DE5864">
        <v>0</v>
      </c>
      <c r="DF5864">
        <v>0</v>
      </c>
      <c r="DG5864">
        <v>0</v>
      </c>
      <c r="DH5864">
        <v>0</v>
      </c>
      <c r="DI5864">
        <v>0</v>
      </c>
    </row>
    <row r="5865" spans="1:113" x14ac:dyDescent="0.3">
      <c r="A5865" t="str">
        <f t="shared" ref="A5865:A5872" si="2744">"05/12/2020 14:51:57.766"</f>
        <v>05/12/2020 14:51:57.766</v>
      </c>
      <c r="C5865" t="str">
        <f t="shared" si="2734"/>
        <v>FFDFD3C0</v>
      </c>
      <c r="D5865" t="s">
        <v>131</v>
      </c>
      <c r="E5865">
        <v>10</v>
      </c>
      <c r="F5865">
        <v>2010</v>
      </c>
      <c r="G5865" t="s">
        <v>132</v>
      </c>
      <c r="J5865" t="s">
        <v>133</v>
      </c>
      <c r="K5865">
        <v>0</v>
      </c>
      <c r="L5865">
        <v>3</v>
      </c>
      <c r="M5865">
        <v>0</v>
      </c>
      <c r="N5865">
        <v>2</v>
      </c>
      <c r="O5865">
        <v>1</v>
      </c>
      <c r="P5865">
        <v>0</v>
      </c>
      <c r="Q5865">
        <v>0</v>
      </c>
      <c r="S5865" t="str">
        <f t="shared" ref="S5865:S5872" si="2745">"14:52:15.586"</f>
        <v>14:52:15.586</v>
      </c>
      <c r="T5865" t="str">
        <f t="shared" ref="T5865:T5872" si="2746">"14:52:15.386"</f>
        <v>14:52:15.386</v>
      </c>
      <c r="U5865" t="str">
        <f t="shared" si="2725"/>
        <v>A9808D</v>
      </c>
      <c r="V5865">
        <v>0</v>
      </c>
      <c r="W5865">
        <v>0</v>
      </c>
      <c r="X5865">
        <v>1</v>
      </c>
      <c r="Z5865">
        <v>0</v>
      </c>
      <c r="AA5865">
        <v>9</v>
      </c>
      <c r="AB5865">
        <v>3</v>
      </c>
      <c r="AC5865">
        <v>0</v>
      </c>
      <c r="AD5865">
        <v>10</v>
      </c>
      <c r="AE5865">
        <v>0</v>
      </c>
      <c r="AF5865">
        <v>3</v>
      </c>
      <c r="AG5865">
        <v>2</v>
      </c>
      <c r="AH5865">
        <v>0</v>
      </c>
      <c r="AI5865" t="s">
        <v>1302</v>
      </c>
      <c r="AJ5865">
        <v>28.204371999999999</v>
      </c>
      <c r="AK5865" t="s">
        <v>1303</v>
      </c>
      <c r="AL5865">
        <v>-82.372698999999997</v>
      </c>
      <c r="AM5865">
        <v>100</v>
      </c>
      <c r="AN5865">
        <v>400</v>
      </c>
      <c r="AO5865" t="s">
        <v>118</v>
      </c>
      <c r="AP5865">
        <v>85</v>
      </c>
      <c r="AQ5865">
        <v>35</v>
      </c>
      <c r="AR5865">
        <v>-1024</v>
      </c>
      <c r="AZ5865">
        <v>1200</v>
      </c>
      <c r="BA5865">
        <v>1</v>
      </c>
      <c r="BB5865" t="str">
        <f t="shared" si="2735"/>
        <v xml:space="preserve">N711JA  </v>
      </c>
      <c r="BC5865">
        <v>1</v>
      </c>
      <c r="BE5865">
        <v>0</v>
      </c>
      <c r="BF5865">
        <v>0</v>
      </c>
      <c r="BG5865">
        <v>0</v>
      </c>
      <c r="BH5865">
        <v>600</v>
      </c>
      <c r="BI5865">
        <v>1</v>
      </c>
      <c r="BJ5865">
        <v>1</v>
      </c>
      <c r="BK5865">
        <v>0</v>
      </c>
      <c r="BL5865">
        <v>0</v>
      </c>
      <c r="BO5865">
        <v>0</v>
      </c>
      <c r="BP5865">
        <v>0</v>
      </c>
      <c r="BW5865" t="str">
        <f t="shared" ref="BW5865:BW5872" si="2747">"14:52:15.592"</f>
        <v>14:52:15.592</v>
      </c>
      <c r="CJ5865">
        <v>0</v>
      </c>
      <c r="CK5865">
        <v>2</v>
      </c>
      <c r="CL5865">
        <v>0</v>
      </c>
      <c r="CM5865">
        <v>2</v>
      </c>
      <c r="CN5865">
        <v>0</v>
      </c>
      <c r="CO5865">
        <v>7</v>
      </c>
      <c r="CP5865" t="s">
        <v>119</v>
      </c>
      <c r="CQ5865">
        <v>343</v>
      </c>
      <c r="CR5865">
        <v>1</v>
      </c>
      <c r="CW5865">
        <v>11211651</v>
      </c>
      <c r="CY5865">
        <v>1</v>
      </c>
      <c r="CZ5865">
        <v>0</v>
      </c>
      <c r="DA5865">
        <v>0</v>
      </c>
      <c r="DB5865">
        <v>0</v>
      </c>
      <c r="DC5865">
        <v>0</v>
      </c>
      <c r="DD5865">
        <v>1</v>
      </c>
      <c r="DE5865">
        <v>0</v>
      </c>
      <c r="DF5865">
        <v>0</v>
      </c>
      <c r="DG5865">
        <v>0</v>
      </c>
      <c r="DH5865">
        <v>0</v>
      </c>
      <c r="DI5865">
        <v>0</v>
      </c>
    </row>
    <row r="5866" spans="1:113" x14ac:dyDescent="0.3">
      <c r="A5866" t="str">
        <f t="shared" si="2744"/>
        <v>05/12/2020 14:51:57.766</v>
      </c>
      <c r="C5866" t="str">
        <f t="shared" si="2734"/>
        <v>FFDFD3C0</v>
      </c>
      <c r="D5866" t="s">
        <v>126</v>
      </c>
      <c r="E5866">
        <v>7</v>
      </c>
      <c r="F5866">
        <v>1007</v>
      </c>
      <c r="G5866" t="s">
        <v>127</v>
      </c>
      <c r="J5866" t="s">
        <v>128</v>
      </c>
      <c r="K5866">
        <v>0</v>
      </c>
      <c r="L5866">
        <v>3</v>
      </c>
      <c r="M5866">
        <v>0</v>
      </c>
      <c r="N5866">
        <v>2</v>
      </c>
      <c r="O5866">
        <v>1</v>
      </c>
      <c r="P5866">
        <v>0</v>
      </c>
      <c r="Q5866">
        <v>0</v>
      </c>
      <c r="S5866" t="str">
        <f t="shared" si="2745"/>
        <v>14:52:15.586</v>
      </c>
      <c r="T5866" t="str">
        <f t="shared" si="2746"/>
        <v>14:52:15.386</v>
      </c>
      <c r="U5866" t="str">
        <f t="shared" si="2725"/>
        <v>A9808D</v>
      </c>
      <c r="V5866">
        <v>0</v>
      </c>
      <c r="W5866">
        <v>0</v>
      </c>
      <c r="X5866">
        <v>1</v>
      </c>
      <c r="Z5866">
        <v>0</v>
      </c>
      <c r="AA5866">
        <v>9</v>
      </c>
      <c r="AB5866">
        <v>3</v>
      </c>
      <c r="AC5866">
        <v>0</v>
      </c>
      <c r="AD5866">
        <v>10</v>
      </c>
      <c r="AE5866">
        <v>0</v>
      </c>
      <c r="AF5866">
        <v>3</v>
      </c>
      <c r="AG5866">
        <v>2</v>
      </c>
      <c r="AH5866">
        <v>0</v>
      </c>
      <c r="AI5866" t="s">
        <v>1302</v>
      </c>
      <c r="AJ5866">
        <v>28.204371999999999</v>
      </c>
      <c r="AK5866" t="s">
        <v>1303</v>
      </c>
      <c r="AL5866">
        <v>-82.372698999999997</v>
      </c>
      <c r="AM5866">
        <v>100</v>
      </c>
      <c r="AN5866">
        <v>400</v>
      </c>
      <c r="AO5866" t="s">
        <v>118</v>
      </c>
      <c r="AP5866">
        <v>85</v>
      </c>
      <c r="AQ5866">
        <v>35</v>
      </c>
      <c r="AR5866">
        <v>-1024</v>
      </c>
      <c r="AZ5866">
        <v>1200</v>
      </c>
      <c r="BA5866">
        <v>1</v>
      </c>
      <c r="BB5866" t="str">
        <f t="shared" si="2735"/>
        <v xml:space="preserve">N711JA  </v>
      </c>
      <c r="BC5866">
        <v>1</v>
      </c>
      <c r="BE5866">
        <v>0</v>
      </c>
      <c r="BF5866">
        <v>0</v>
      </c>
      <c r="BG5866">
        <v>0</v>
      </c>
      <c r="BH5866">
        <v>600</v>
      </c>
      <c r="BI5866">
        <v>1</v>
      </c>
      <c r="BJ5866">
        <v>1</v>
      </c>
      <c r="BK5866">
        <v>0</v>
      </c>
      <c r="BL5866">
        <v>0</v>
      </c>
      <c r="BO5866">
        <v>0</v>
      </c>
      <c r="BP5866">
        <v>0</v>
      </c>
      <c r="BW5866" t="str">
        <f t="shared" si="2747"/>
        <v>14:52:15.592</v>
      </c>
      <c r="CJ5866">
        <v>0</v>
      </c>
      <c r="CK5866">
        <v>2</v>
      </c>
      <c r="CL5866">
        <v>0</v>
      </c>
      <c r="CM5866">
        <v>2</v>
      </c>
      <c r="CN5866">
        <v>0</v>
      </c>
      <c r="CO5866">
        <v>7</v>
      </c>
      <c r="CP5866" t="s">
        <v>119</v>
      </c>
      <c r="CQ5866">
        <v>343</v>
      </c>
      <c r="CR5866">
        <v>1</v>
      </c>
      <c r="CW5866">
        <v>11211651</v>
      </c>
      <c r="CY5866">
        <v>1</v>
      </c>
      <c r="CZ5866">
        <v>0</v>
      </c>
      <c r="DA5866">
        <v>1</v>
      </c>
      <c r="DB5866">
        <v>0</v>
      </c>
      <c r="DC5866">
        <v>0</v>
      </c>
      <c r="DD5866">
        <v>1</v>
      </c>
      <c r="DE5866">
        <v>0</v>
      </c>
      <c r="DF5866">
        <v>0</v>
      </c>
      <c r="DG5866">
        <v>0</v>
      </c>
      <c r="DH5866">
        <v>0</v>
      </c>
      <c r="DI5866">
        <v>0</v>
      </c>
    </row>
    <row r="5867" spans="1:113" x14ac:dyDescent="0.3">
      <c r="A5867" t="str">
        <f t="shared" si="2744"/>
        <v>05/12/2020 14:51:57.766</v>
      </c>
      <c r="C5867" t="str">
        <f t="shared" si="2734"/>
        <v>FFDFD3C0</v>
      </c>
      <c r="D5867" t="s">
        <v>131</v>
      </c>
      <c r="E5867">
        <v>12</v>
      </c>
      <c r="F5867">
        <v>2012</v>
      </c>
      <c r="G5867" t="s">
        <v>137</v>
      </c>
      <c r="J5867" t="s">
        <v>133</v>
      </c>
      <c r="K5867">
        <v>0</v>
      </c>
      <c r="L5867">
        <v>3</v>
      </c>
      <c r="M5867">
        <v>0</v>
      </c>
      <c r="N5867">
        <v>2</v>
      </c>
      <c r="O5867">
        <v>1</v>
      </c>
      <c r="P5867">
        <v>0</v>
      </c>
      <c r="Q5867">
        <v>0</v>
      </c>
      <c r="S5867" t="str">
        <f t="shared" si="2745"/>
        <v>14:52:15.586</v>
      </c>
      <c r="T5867" t="str">
        <f t="shared" si="2746"/>
        <v>14:52:15.386</v>
      </c>
      <c r="U5867" t="str">
        <f t="shared" si="2725"/>
        <v>A9808D</v>
      </c>
      <c r="V5867">
        <v>0</v>
      </c>
      <c r="W5867">
        <v>0</v>
      </c>
      <c r="X5867">
        <v>1</v>
      </c>
      <c r="Z5867">
        <v>0</v>
      </c>
      <c r="AA5867">
        <v>9</v>
      </c>
      <c r="AB5867">
        <v>3</v>
      </c>
      <c r="AC5867">
        <v>0</v>
      </c>
      <c r="AD5867">
        <v>10</v>
      </c>
      <c r="AE5867">
        <v>0</v>
      </c>
      <c r="AF5867">
        <v>3</v>
      </c>
      <c r="AG5867">
        <v>2</v>
      </c>
      <c r="AH5867">
        <v>0</v>
      </c>
      <c r="AI5867" t="s">
        <v>1302</v>
      </c>
      <c r="AJ5867">
        <v>28.204371999999999</v>
      </c>
      <c r="AK5867" t="s">
        <v>1303</v>
      </c>
      <c r="AL5867">
        <v>-82.372698999999997</v>
      </c>
      <c r="AM5867">
        <v>100</v>
      </c>
      <c r="AN5867">
        <v>400</v>
      </c>
      <c r="AO5867" t="s">
        <v>118</v>
      </c>
      <c r="AP5867">
        <v>85</v>
      </c>
      <c r="AQ5867">
        <v>35</v>
      </c>
      <c r="AR5867">
        <v>-1024</v>
      </c>
      <c r="AZ5867">
        <v>1200</v>
      </c>
      <c r="BA5867">
        <v>1</v>
      </c>
      <c r="BB5867" t="str">
        <f t="shared" si="2735"/>
        <v xml:space="preserve">N711JA  </v>
      </c>
      <c r="BC5867">
        <v>1</v>
      </c>
      <c r="BE5867">
        <v>0</v>
      </c>
      <c r="BF5867">
        <v>0</v>
      </c>
      <c r="BG5867">
        <v>0</v>
      </c>
      <c r="BH5867">
        <v>600</v>
      </c>
      <c r="BI5867">
        <v>1</v>
      </c>
      <c r="BJ5867">
        <v>1</v>
      </c>
      <c r="BK5867">
        <v>0</v>
      </c>
      <c r="BL5867">
        <v>0</v>
      </c>
      <c r="BO5867">
        <v>0</v>
      </c>
      <c r="BP5867">
        <v>0</v>
      </c>
      <c r="BW5867" t="str">
        <f t="shared" si="2747"/>
        <v>14:52:15.592</v>
      </c>
      <c r="CJ5867">
        <v>0</v>
      </c>
      <c r="CK5867">
        <v>2</v>
      </c>
      <c r="CL5867">
        <v>0</v>
      </c>
      <c r="CM5867">
        <v>2</v>
      </c>
      <c r="CN5867">
        <v>0</v>
      </c>
      <c r="CO5867">
        <v>7</v>
      </c>
      <c r="CP5867" t="s">
        <v>119</v>
      </c>
      <c r="CQ5867">
        <v>343</v>
      </c>
      <c r="CR5867">
        <v>1</v>
      </c>
      <c r="CW5867">
        <v>11211651</v>
      </c>
      <c r="CY5867">
        <v>1</v>
      </c>
      <c r="CZ5867">
        <v>0</v>
      </c>
      <c r="DA5867">
        <v>1</v>
      </c>
      <c r="DB5867">
        <v>0</v>
      </c>
      <c r="DC5867">
        <v>0</v>
      </c>
      <c r="DD5867">
        <v>1</v>
      </c>
      <c r="DE5867">
        <v>0</v>
      </c>
      <c r="DF5867">
        <v>0</v>
      </c>
      <c r="DG5867">
        <v>0</v>
      </c>
      <c r="DH5867">
        <v>0</v>
      </c>
      <c r="DI5867">
        <v>0</v>
      </c>
    </row>
    <row r="5868" spans="1:113" x14ac:dyDescent="0.3">
      <c r="A5868" t="str">
        <f t="shared" si="2744"/>
        <v>05/12/2020 14:51:57.766</v>
      </c>
      <c r="C5868" t="str">
        <f t="shared" si="2734"/>
        <v>FFDFD3C0</v>
      </c>
      <c r="D5868" t="s">
        <v>134</v>
      </c>
      <c r="E5868">
        <v>12</v>
      </c>
      <c r="H5868">
        <v>64</v>
      </c>
      <c r="I5868" t="s">
        <v>135</v>
      </c>
      <c r="J5868" t="s">
        <v>136</v>
      </c>
      <c r="K5868">
        <v>0</v>
      </c>
      <c r="L5868">
        <v>3</v>
      </c>
      <c r="M5868">
        <v>0</v>
      </c>
      <c r="N5868">
        <v>2</v>
      </c>
      <c r="O5868">
        <v>1</v>
      </c>
      <c r="P5868">
        <v>0</v>
      </c>
      <c r="Q5868">
        <v>0</v>
      </c>
      <c r="S5868" t="str">
        <f t="shared" si="2745"/>
        <v>14:52:15.586</v>
      </c>
      <c r="T5868" t="str">
        <f t="shared" si="2746"/>
        <v>14:52:15.386</v>
      </c>
      <c r="U5868" t="str">
        <f t="shared" si="2725"/>
        <v>A9808D</v>
      </c>
      <c r="V5868">
        <v>0</v>
      </c>
      <c r="W5868">
        <v>0</v>
      </c>
      <c r="X5868">
        <v>1</v>
      </c>
      <c r="Z5868">
        <v>0</v>
      </c>
      <c r="AA5868">
        <v>9</v>
      </c>
      <c r="AB5868">
        <v>3</v>
      </c>
      <c r="AC5868">
        <v>0</v>
      </c>
      <c r="AD5868">
        <v>10</v>
      </c>
      <c r="AE5868">
        <v>0</v>
      </c>
      <c r="AF5868">
        <v>3</v>
      </c>
      <c r="AG5868">
        <v>2</v>
      </c>
      <c r="AH5868">
        <v>0</v>
      </c>
      <c r="AI5868" t="s">
        <v>1302</v>
      </c>
      <c r="AJ5868">
        <v>28.204371999999999</v>
      </c>
      <c r="AK5868" t="s">
        <v>1303</v>
      </c>
      <c r="AL5868">
        <v>-82.372698999999997</v>
      </c>
      <c r="AM5868">
        <v>100</v>
      </c>
      <c r="AN5868">
        <v>400</v>
      </c>
      <c r="AO5868" t="s">
        <v>118</v>
      </c>
      <c r="AP5868">
        <v>85</v>
      </c>
      <c r="AQ5868">
        <v>35</v>
      </c>
      <c r="AR5868">
        <v>-1024</v>
      </c>
      <c r="AZ5868">
        <v>1200</v>
      </c>
      <c r="BA5868">
        <v>1</v>
      </c>
      <c r="BB5868" t="str">
        <f t="shared" si="2735"/>
        <v xml:space="preserve">N711JA  </v>
      </c>
      <c r="BC5868">
        <v>1</v>
      </c>
      <c r="BE5868">
        <v>0</v>
      </c>
      <c r="BF5868">
        <v>0</v>
      </c>
      <c r="BG5868">
        <v>0</v>
      </c>
      <c r="BH5868">
        <v>600</v>
      </c>
      <c r="BI5868">
        <v>1</v>
      </c>
      <c r="BJ5868">
        <v>1</v>
      </c>
      <c r="BK5868">
        <v>0</v>
      </c>
      <c r="BL5868">
        <v>0</v>
      </c>
      <c r="BO5868">
        <v>0</v>
      </c>
      <c r="BP5868">
        <v>0</v>
      </c>
      <c r="BW5868" t="str">
        <f t="shared" si="2747"/>
        <v>14:52:15.592</v>
      </c>
      <c r="CJ5868">
        <v>0</v>
      </c>
      <c r="CK5868">
        <v>2</v>
      </c>
      <c r="CL5868">
        <v>0</v>
      </c>
      <c r="CM5868">
        <v>2</v>
      </c>
      <c r="CN5868">
        <v>0</v>
      </c>
      <c r="CO5868">
        <v>7</v>
      </c>
      <c r="CP5868" t="s">
        <v>119</v>
      </c>
      <c r="CQ5868">
        <v>343</v>
      </c>
      <c r="CR5868">
        <v>1</v>
      </c>
      <c r="CW5868">
        <v>11211651</v>
      </c>
      <c r="CY5868">
        <v>1</v>
      </c>
      <c r="CZ5868">
        <v>0</v>
      </c>
      <c r="DA5868">
        <v>1</v>
      </c>
      <c r="DB5868">
        <v>0</v>
      </c>
      <c r="DC5868">
        <v>0</v>
      </c>
      <c r="DD5868">
        <v>1</v>
      </c>
      <c r="DE5868">
        <v>0</v>
      </c>
      <c r="DF5868">
        <v>0</v>
      </c>
      <c r="DG5868">
        <v>0</v>
      </c>
      <c r="DH5868">
        <v>0</v>
      </c>
      <c r="DI5868">
        <v>0</v>
      </c>
    </row>
    <row r="5869" spans="1:113" x14ac:dyDescent="0.3">
      <c r="A5869" t="str">
        <f t="shared" si="2744"/>
        <v>05/12/2020 14:51:57.766</v>
      </c>
      <c r="C5869" t="str">
        <f t="shared" si="2734"/>
        <v>FFDFD3C0</v>
      </c>
      <c r="D5869" t="s">
        <v>138</v>
      </c>
      <c r="E5869">
        <v>2</v>
      </c>
      <c r="H5869">
        <v>8</v>
      </c>
      <c r="I5869" t="s">
        <v>139</v>
      </c>
      <c r="J5869" t="s">
        <v>136</v>
      </c>
      <c r="K5869">
        <v>0</v>
      </c>
      <c r="L5869">
        <v>3</v>
      </c>
      <c r="M5869">
        <v>0</v>
      </c>
      <c r="N5869">
        <v>2</v>
      </c>
      <c r="O5869">
        <v>1</v>
      </c>
      <c r="P5869">
        <v>0</v>
      </c>
      <c r="Q5869">
        <v>0</v>
      </c>
      <c r="S5869" t="str">
        <f t="shared" si="2745"/>
        <v>14:52:15.586</v>
      </c>
      <c r="T5869" t="str">
        <f t="shared" si="2746"/>
        <v>14:52:15.386</v>
      </c>
      <c r="U5869" t="str">
        <f t="shared" si="2725"/>
        <v>A9808D</v>
      </c>
      <c r="V5869">
        <v>0</v>
      </c>
      <c r="W5869">
        <v>0</v>
      </c>
      <c r="X5869">
        <v>1</v>
      </c>
      <c r="Z5869">
        <v>0</v>
      </c>
      <c r="AA5869">
        <v>9</v>
      </c>
      <c r="AB5869">
        <v>3</v>
      </c>
      <c r="AC5869">
        <v>0</v>
      </c>
      <c r="AD5869">
        <v>10</v>
      </c>
      <c r="AE5869">
        <v>0</v>
      </c>
      <c r="AF5869">
        <v>3</v>
      </c>
      <c r="AG5869">
        <v>2</v>
      </c>
      <c r="AH5869">
        <v>0</v>
      </c>
      <c r="AI5869" t="s">
        <v>1302</v>
      </c>
      <c r="AJ5869">
        <v>28.204371999999999</v>
      </c>
      <c r="AK5869" t="s">
        <v>1303</v>
      </c>
      <c r="AL5869">
        <v>-82.372698999999997</v>
      </c>
      <c r="AM5869">
        <v>100</v>
      </c>
      <c r="AN5869">
        <v>400</v>
      </c>
      <c r="AO5869" t="s">
        <v>118</v>
      </c>
      <c r="AP5869">
        <v>85</v>
      </c>
      <c r="AQ5869">
        <v>35</v>
      </c>
      <c r="AR5869">
        <v>-1024</v>
      </c>
      <c r="AZ5869">
        <v>1200</v>
      </c>
      <c r="BA5869">
        <v>1</v>
      </c>
      <c r="BB5869" t="str">
        <f t="shared" si="2735"/>
        <v xml:space="preserve">N711JA  </v>
      </c>
      <c r="BC5869">
        <v>1</v>
      </c>
      <c r="BE5869">
        <v>0</v>
      </c>
      <c r="BF5869">
        <v>0</v>
      </c>
      <c r="BG5869">
        <v>0</v>
      </c>
      <c r="BH5869">
        <v>600</v>
      </c>
      <c r="BI5869">
        <v>1</v>
      </c>
      <c r="BJ5869">
        <v>1</v>
      </c>
      <c r="BK5869">
        <v>0</v>
      </c>
      <c r="BL5869">
        <v>0</v>
      </c>
      <c r="BO5869">
        <v>0</v>
      </c>
      <c r="BP5869">
        <v>0</v>
      </c>
      <c r="BW5869" t="str">
        <f t="shared" si="2747"/>
        <v>14:52:15.592</v>
      </c>
      <c r="CJ5869">
        <v>0</v>
      </c>
      <c r="CK5869">
        <v>2</v>
      </c>
      <c r="CL5869">
        <v>0</v>
      </c>
      <c r="CM5869">
        <v>2</v>
      </c>
      <c r="CN5869">
        <v>0</v>
      </c>
      <c r="CO5869">
        <v>7</v>
      </c>
      <c r="CP5869" t="s">
        <v>119</v>
      </c>
      <c r="CQ5869">
        <v>343</v>
      </c>
      <c r="CR5869">
        <v>1</v>
      </c>
      <c r="CW5869">
        <v>11211651</v>
      </c>
      <c r="CY5869">
        <v>1</v>
      </c>
      <c r="CZ5869">
        <v>0</v>
      </c>
      <c r="DA5869">
        <v>1</v>
      </c>
      <c r="DB5869">
        <v>0</v>
      </c>
      <c r="DC5869">
        <v>0</v>
      </c>
      <c r="DD5869">
        <v>1</v>
      </c>
      <c r="DE5869">
        <v>0</v>
      </c>
      <c r="DF5869">
        <v>0</v>
      </c>
      <c r="DG5869">
        <v>0</v>
      </c>
      <c r="DH5869">
        <v>0</v>
      </c>
      <c r="DI5869">
        <v>0</v>
      </c>
    </row>
    <row r="5870" spans="1:113" x14ac:dyDescent="0.3">
      <c r="A5870" t="str">
        <f t="shared" si="2744"/>
        <v>05/12/2020 14:51:57.766</v>
      </c>
      <c r="C5870" t="str">
        <f t="shared" si="2734"/>
        <v>FFDFD3C0</v>
      </c>
      <c r="D5870" t="s">
        <v>138</v>
      </c>
      <c r="E5870">
        <v>3</v>
      </c>
      <c r="H5870">
        <v>9</v>
      </c>
      <c r="I5870" t="s">
        <v>140</v>
      </c>
      <c r="J5870" t="s">
        <v>136</v>
      </c>
      <c r="K5870">
        <v>0</v>
      </c>
      <c r="L5870">
        <v>3</v>
      </c>
      <c r="M5870">
        <v>0</v>
      </c>
      <c r="N5870">
        <v>2</v>
      </c>
      <c r="O5870">
        <v>1</v>
      </c>
      <c r="P5870">
        <v>0</v>
      </c>
      <c r="Q5870">
        <v>0</v>
      </c>
      <c r="S5870" t="str">
        <f t="shared" si="2745"/>
        <v>14:52:15.586</v>
      </c>
      <c r="T5870" t="str">
        <f t="shared" si="2746"/>
        <v>14:52:15.386</v>
      </c>
      <c r="U5870" t="str">
        <f t="shared" si="2725"/>
        <v>A9808D</v>
      </c>
      <c r="V5870">
        <v>0</v>
      </c>
      <c r="W5870">
        <v>0</v>
      </c>
      <c r="X5870">
        <v>1</v>
      </c>
      <c r="Z5870">
        <v>0</v>
      </c>
      <c r="AA5870">
        <v>9</v>
      </c>
      <c r="AB5870">
        <v>3</v>
      </c>
      <c r="AC5870">
        <v>0</v>
      </c>
      <c r="AD5870">
        <v>10</v>
      </c>
      <c r="AE5870">
        <v>0</v>
      </c>
      <c r="AF5870">
        <v>3</v>
      </c>
      <c r="AG5870">
        <v>2</v>
      </c>
      <c r="AH5870">
        <v>0</v>
      </c>
      <c r="AI5870" t="s">
        <v>1302</v>
      </c>
      <c r="AJ5870">
        <v>28.204371999999999</v>
      </c>
      <c r="AK5870" t="s">
        <v>1303</v>
      </c>
      <c r="AL5870">
        <v>-82.372698999999997</v>
      </c>
      <c r="AM5870">
        <v>100</v>
      </c>
      <c r="AN5870">
        <v>400</v>
      </c>
      <c r="AO5870" t="s">
        <v>118</v>
      </c>
      <c r="AP5870">
        <v>85</v>
      </c>
      <c r="AQ5870">
        <v>35</v>
      </c>
      <c r="AR5870">
        <v>-1024</v>
      </c>
      <c r="AZ5870">
        <v>1200</v>
      </c>
      <c r="BA5870">
        <v>1</v>
      </c>
      <c r="BB5870" t="str">
        <f t="shared" si="2735"/>
        <v xml:space="preserve">N711JA  </v>
      </c>
      <c r="BC5870">
        <v>1</v>
      </c>
      <c r="BE5870">
        <v>0</v>
      </c>
      <c r="BF5870">
        <v>0</v>
      </c>
      <c r="BG5870">
        <v>0</v>
      </c>
      <c r="BH5870">
        <v>600</v>
      </c>
      <c r="BI5870">
        <v>1</v>
      </c>
      <c r="BJ5870">
        <v>1</v>
      </c>
      <c r="BK5870">
        <v>0</v>
      </c>
      <c r="BL5870">
        <v>0</v>
      </c>
      <c r="BO5870">
        <v>0</v>
      </c>
      <c r="BP5870">
        <v>0</v>
      </c>
      <c r="BW5870" t="str">
        <f t="shared" si="2747"/>
        <v>14:52:15.592</v>
      </c>
      <c r="CJ5870">
        <v>0</v>
      </c>
      <c r="CK5870">
        <v>2</v>
      </c>
      <c r="CL5870">
        <v>0</v>
      </c>
      <c r="CM5870">
        <v>2</v>
      </c>
      <c r="CN5870">
        <v>0</v>
      </c>
      <c r="CO5870">
        <v>7</v>
      </c>
      <c r="CP5870" t="s">
        <v>119</v>
      </c>
      <c r="CQ5870">
        <v>343</v>
      </c>
      <c r="CR5870">
        <v>1</v>
      </c>
      <c r="CW5870">
        <v>11211651</v>
      </c>
      <c r="CY5870">
        <v>1</v>
      </c>
      <c r="CZ5870">
        <v>0</v>
      </c>
      <c r="DA5870">
        <v>1</v>
      </c>
      <c r="DB5870">
        <v>0</v>
      </c>
      <c r="DC5870">
        <v>0</v>
      </c>
      <c r="DD5870">
        <v>1</v>
      </c>
      <c r="DE5870">
        <v>0</v>
      </c>
      <c r="DF5870">
        <v>0</v>
      </c>
      <c r="DG5870">
        <v>0</v>
      </c>
      <c r="DH5870">
        <v>0</v>
      </c>
      <c r="DI5870">
        <v>0</v>
      </c>
    </row>
    <row r="5871" spans="1:113" x14ac:dyDescent="0.3">
      <c r="A5871" t="str">
        <f t="shared" si="2744"/>
        <v>05/12/2020 14:51:57.766</v>
      </c>
      <c r="C5871" t="str">
        <f t="shared" si="2734"/>
        <v>FFDFD3C0</v>
      </c>
      <c r="D5871" t="s">
        <v>113</v>
      </c>
      <c r="E5871">
        <v>3</v>
      </c>
      <c r="H5871">
        <v>164</v>
      </c>
      <c r="I5871" t="s">
        <v>114</v>
      </c>
      <c r="J5871" t="s">
        <v>115</v>
      </c>
      <c r="K5871">
        <v>0</v>
      </c>
      <c r="L5871">
        <v>3</v>
      </c>
      <c r="M5871">
        <v>0</v>
      </c>
      <c r="N5871">
        <v>2</v>
      </c>
      <c r="O5871">
        <v>1</v>
      </c>
      <c r="P5871">
        <v>0</v>
      </c>
      <c r="Q5871">
        <v>0</v>
      </c>
      <c r="S5871" t="str">
        <f t="shared" si="2745"/>
        <v>14:52:15.586</v>
      </c>
      <c r="T5871" t="str">
        <f t="shared" si="2746"/>
        <v>14:52:15.386</v>
      </c>
      <c r="U5871" t="str">
        <f t="shared" si="2725"/>
        <v>A9808D</v>
      </c>
      <c r="V5871">
        <v>0</v>
      </c>
      <c r="W5871">
        <v>0</v>
      </c>
      <c r="X5871">
        <v>1</v>
      </c>
      <c r="Z5871">
        <v>0</v>
      </c>
      <c r="AA5871">
        <v>9</v>
      </c>
      <c r="AB5871">
        <v>3</v>
      </c>
      <c r="AC5871">
        <v>0</v>
      </c>
      <c r="AD5871">
        <v>10</v>
      </c>
      <c r="AE5871">
        <v>0</v>
      </c>
      <c r="AF5871">
        <v>3</v>
      </c>
      <c r="AG5871">
        <v>2</v>
      </c>
      <c r="AH5871">
        <v>0</v>
      </c>
      <c r="AI5871" t="s">
        <v>1302</v>
      </c>
      <c r="AJ5871">
        <v>28.204371999999999</v>
      </c>
      <c r="AK5871" t="s">
        <v>1303</v>
      </c>
      <c r="AL5871">
        <v>-82.372698999999997</v>
      </c>
      <c r="AM5871">
        <v>100</v>
      </c>
      <c r="AN5871">
        <v>400</v>
      </c>
      <c r="AO5871" t="s">
        <v>118</v>
      </c>
      <c r="AP5871">
        <v>85</v>
      </c>
      <c r="AQ5871">
        <v>35</v>
      </c>
      <c r="AR5871">
        <v>-1024</v>
      </c>
      <c r="AZ5871">
        <v>1200</v>
      </c>
      <c r="BA5871">
        <v>1</v>
      </c>
      <c r="BB5871" t="str">
        <f t="shared" si="2735"/>
        <v xml:space="preserve">N711JA  </v>
      </c>
      <c r="BC5871">
        <v>1</v>
      </c>
      <c r="BE5871">
        <v>0</v>
      </c>
      <c r="BF5871">
        <v>0</v>
      </c>
      <c r="BG5871">
        <v>0</v>
      </c>
      <c r="BH5871">
        <v>600</v>
      </c>
      <c r="BI5871">
        <v>1</v>
      </c>
      <c r="BJ5871">
        <v>1</v>
      </c>
      <c r="BK5871">
        <v>0</v>
      </c>
      <c r="BL5871">
        <v>0</v>
      </c>
      <c r="BO5871">
        <v>0</v>
      </c>
      <c r="BP5871">
        <v>0</v>
      </c>
      <c r="BW5871" t="str">
        <f t="shared" si="2747"/>
        <v>14:52:15.592</v>
      </c>
      <c r="CJ5871">
        <v>0</v>
      </c>
      <c r="CK5871">
        <v>2</v>
      </c>
      <c r="CL5871">
        <v>0</v>
      </c>
      <c r="CM5871">
        <v>2</v>
      </c>
      <c r="CN5871">
        <v>0</v>
      </c>
      <c r="CO5871">
        <v>7</v>
      </c>
      <c r="CP5871" t="s">
        <v>119</v>
      </c>
      <c r="CQ5871">
        <v>343</v>
      </c>
      <c r="CR5871">
        <v>1</v>
      </c>
      <c r="CW5871">
        <v>11211651</v>
      </c>
      <c r="CY5871">
        <v>1</v>
      </c>
      <c r="CZ5871">
        <v>0</v>
      </c>
      <c r="DA5871">
        <v>1</v>
      </c>
      <c r="DB5871">
        <v>0</v>
      </c>
      <c r="DC5871">
        <v>0</v>
      </c>
      <c r="DD5871">
        <v>1</v>
      </c>
      <c r="DE5871">
        <v>0</v>
      </c>
      <c r="DF5871">
        <v>0</v>
      </c>
      <c r="DG5871">
        <v>0</v>
      </c>
      <c r="DH5871">
        <v>0</v>
      </c>
      <c r="DI5871">
        <v>0</v>
      </c>
    </row>
    <row r="5872" spans="1:113" x14ac:dyDescent="0.3">
      <c r="A5872" t="str">
        <f t="shared" si="2744"/>
        <v>05/12/2020 14:51:57.766</v>
      </c>
      <c r="C5872" t="str">
        <f t="shared" si="2734"/>
        <v>FFDFD3C0</v>
      </c>
      <c r="D5872" t="s">
        <v>126</v>
      </c>
      <c r="E5872">
        <v>6</v>
      </c>
      <c r="F5872">
        <v>1006</v>
      </c>
      <c r="G5872" t="s">
        <v>114</v>
      </c>
      <c r="J5872" t="s">
        <v>128</v>
      </c>
      <c r="K5872">
        <v>0</v>
      </c>
      <c r="L5872">
        <v>3</v>
      </c>
      <c r="M5872">
        <v>0</v>
      </c>
      <c r="N5872">
        <v>2</v>
      </c>
      <c r="O5872">
        <v>1</v>
      </c>
      <c r="P5872">
        <v>0</v>
      </c>
      <c r="Q5872">
        <v>0</v>
      </c>
      <c r="S5872" t="str">
        <f t="shared" si="2745"/>
        <v>14:52:15.586</v>
      </c>
      <c r="T5872" t="str">
        <f t="shared" si="2746"/>
        <v>14:52:15.386</v>
      </c>
      <c r="U5872" t="str">
        <f t="shared" si="2725"/>
        <v>A9808D</v>
      </c>
      <c r="V5872">
        <v>0</v>
      </c>
      <c r="W5872">
        <v>0</v>
      </c>
      <c r="X5872">
        <v>1</v>
      </c>
      <c r="Z5872">
        <v>0</v>
      </c>
      <c r="AA5872">
        <v>9</v>
      </c>
      <c r="AB5872">
        <v>3</v>
      </c>
      <c r="AC5872">
        <v>0</v>
      </c>
      <c r="AD5872">
        <v>10</v>
      </c>
      <c r="AE5872">
        <v>0</v>
      </c>
      <c r="AF5872">
        <v>3</v>
      </c>
      <c r="AG5872">
        <v>2</v>
      </c>
      <c r="AH5872">
        <v>0</v>
      </c>
      <c r="AI5872" t="s">
        <v>1302</v>
      </c>
      <c r="AJ5872">
        <v>28.204371999999999</v>
      </c>
      <c r="AK5872" t="s">
        <v>1303</v>
      </c>
      <c r="AL5872">
        <v>-82.372698999999997</v>
      </c>
      <c r="AM5872">
        <v>100</v>
      </c>
      <c r="AN5872">
        <v>400</v>
      </c>
      <c r="AO5872" t="s">
        <v>118</v>
      </c>
      <c r="AP5872">
        <v>85</v>
      </c>
      <c r="AQ5872">
        <v>35</v>
      </c>
      <c r="AR5872">
        <v>-1024</v>
      </c>
      <c r="AZ5872">
        <v>1200</v>
      </c>
      <c r="BA5872">
        <v>1</v>
      </c>
      <c r="BB5872" t="str">
        <f t="shared" si="2735"/>
        <v xml:space="preserve">N711JA  </v>
      </c>
      <c r="BC5872">
        <v>1</v>
      </c>
      <c r="BE5872">
        <v>0</v>
      </c>
      <c r="BF5872">
        <v>0</v>
      </c>
      <c r="BG5872">
        <v>0</v>
      </c>
      <c r="BH5872">
        <v>600</v>
      </c>
      <c r="BI5872">
        <v>1</v>
      </c>
      <c r="BJ5872">
        <v>1</v>
      </c>
      <c r="BK5872">
        <v>0</v>
      </c>
      <c r="BL5872">
        <v>0</v>
      </c>
      <c r="BO5872">
        <v>0</v>
      </c>
      <c r="BP5872">
        <v>0</v>
      </c>
      <c r="BW5872" t="str">
        <f t="shared" si="2747"/>
        <v>14:52:15.592</v>
      </c>
      <c r="CJ5872">
        <v>0</v>
      </c>
      <c r="CK5872">
        <v>2</v>
      </c>
      <c r="CL5872">
        <v>0</v>
      </c>
      <c r="CM5872">
        <v>2</v>
      </c>
      <c r="CN5872">
        <v>0</v>
      </c>
      <c r="CO5872">
        <v>7</v>
      </c>
      <c r="CP5872" t="s">
        <v>119</v>
      </c>
      <c r="CQ5872">
        <v>343</v>
      </c>
      <c r="CR5872">
        <v>1</v>
      </c>
      <c r="CW5872">
        <v>11211651</v>
      </c>
      <c r="CY5872">
        <v>1</v>
      </c>
      <c r="CZ5872">
        <v>0</v>
      </c>
      <c r="DA5872">
        <v>1</v>
      </c>
      <c r="DB5872">
        <v>0</v>
      </c>
      <c r="DC5872">
        <v>0</v>
      </c>
      <c r="DD5872">
        <v>1</v>
      </c>
      <c r="DE5872">
        <v>0</v>
      </c>
      <c r="DF5872">
        <v>0</v>
      </c>
      <c r="DG5872">
        <v>0</v>
      </c>
      <c r="DH5872">
        <v>0</v>
      </c>
      <c r="DI5872">
        <v>0</v>
      </c>
    </row>
    <row r="5873" spans="1:113" x14ac:dyDescent="0.3">
      <c r="A5873" t="str">
        <f t="shared" ref="A5873:A5880" si="2748">"05/12/2020 14:51:58.678"</f>
        <v>05/12/2020 14:51:58.678</v>
      </c>
      <c r="C5873" t="str">
        <f t="shared" si="2734"/>
        <v>FFDFD3C0</v>
      </c>
      <c r="D5873" t="s">
        <v>134</v>
      </c>
      <c r="E5873">
        <v>12</v>
      </c>
      <c r="H5873">
        <v>64</v>
      </c>
      <c r="I5873" t="s">
        <v>135</v>
      </c>
      <c r="J5873" t="s">
        <v>136</v>
      </c>
      <c r="K5873">
        <v>0</v>
      </c>
      <c r="L5873">
        <v>3</v>
      </c>
      <c r="M5873">
        <v>0</v>
      </c>
      <c r="N5873">
        <v>2</v>
      </c>
      <c r="O5873">
        <v>1</v>
      </c>
      <c r="P5873">
        <v>0</v>
      </c>
      <c r="Q5873">
        <v>0</v>
      </c>
      <c r="S5873" t="str">
        <f t="shared" ref="S5873:S5880" si="2749">"14:52:16.523"</f>
        <v>14:52:16.523</v>
      </c>
      <c r="T5873" t="str">
        <f t="shared" ref="T5873:T5880" si="2750">"14:52:16.323"</f>
        <v>14:52:16.323</v>
      </c>
      <c r="U5873" t="str">
        <f t="shared" si="2725"/>
        <v>A9808D</v>
      </c>
      <c r="V5873">
        <v>0</v>
      </c>
      <c r="W5873">
        <v>0</v>
      </c>
      <c r="X5873">
        <v>1</v>
      </c>
      <c r="Z5873">
        <v>0</v>
      </c>
      <c r="AA5873">
        <v>9</v>
      </c>
      <c r="AB5873">
        <v>3</v>
      </c>
      <c r="AC5873">
        <v>0</v>
      </c>
      <c r="AD5873">
        <v>10</v>
      </c>
      <c r="AE5873">
        <v>0</v>
      </c>
      <c r="AF5873">
        <v>3</v>
      </c>
      <c r="AG5873">
        <v>2</v>
      </c>
      <c r="AH5873">
        <v>0</v>
      </c>
      <c r="AI5873" t="s">
        <v>1304</v>
      </c>
      <c r="AJ5873">
        <v>28.204564999999999</v>
      </c>
      <c r="AK5873" t="s">
        <v>1305</v>
      </c>
      <c r="AL5873">
        <v>-82.372204999999994</v>
      </c>
      <c r="AM5873">
        <v>100</v>
      </c>
      <c r="AN5873">
        <v>400</v>
      </c>
      <c r="AO5873" t="s">
        <v>118</v>
      </c>
      <c r="AP5873">
        <v>83</v>
      </c>
      <c r="AQ5873">
        <v>37</v>
      </c>
      <c r="AR5873">
        <v>-960</v>
      </c>
      <c r="AZ5873">
        <v>1200</v>
      </c>
      <c r="BA5873">
        <v>1</v>
      </c>
      <c r="BB5873" t="str">
        <f t="shared" si="2735"/>
        <v xml:space="preserve">N711JA  </v>
      </c>
      <c r="BC5873">
        <v>1</v>
      </c>
      <c r="BE5873">
        <v>0</v>
      </c>
      <c r="BF5873">
        <v>0</v>
      </c>
      <c r="BG5873">
        <v>0</v>
      </c>
      <c r="BH5873">
        <v>475</v>
      </c>
      <c r="BI5873">
        <v>1</v>
      </c>
      <c r="BJ5873">
        <v>1</v>
      </c>
      <c r="BK5873">
        <v>0</v>
      </c>
      <c r="BL5873">
        <v>0</v>
      </c>
      <c r="BO5873">
        <v>0</v>
      </c>
      <c r="BP5873">
        <v>0</v>
      </c>
      <c r="BW5873" t="str">
        <f t="shared" ref="BW5873:BW5880" si="2751">"14:52:16.529"</f>
        <v>14:52:16.529</v>
      </c>
      <c r="CJ5873">
        <v>0</v>
      </c>
      <c r="CK5873">
        <v>2</v>
      </c>
      <c r="CL5873">
        <v>0</v>
      </c>
      <c r="CM5873">
        <v>2</v>
      </c>
      <c r="CN5873">
        <v>0</v>
      </c>
      <c r="CO5873">
        <v>7</v>
      </c>
      <c r="CP5873" t="s">
        <v>119</v>
      </c>
      <c r="CQ5873">
        <v>343</v>
      </c>
      <c r="CR5873">
        <v>1</v>
      </c>
      <c r="CW5873">
        <v>11212514</v>
      </c>
      <c r="CY5873">
        <v>1</v>
      </c>
      <c r="CZ5873">
        <v>0</v>
      </c>
      <c r="DA5873">
        <v>0</v>
      </c>
      <c r="DB5873">
        <v>0</v>
      </c>
      <c r="DC5873">
        <v>0</v>
      </c>
      <c r="DD5873">
        <v>1</v>
      </c>
      <c r="DE5873">
        <v>0</v>
      </c>
      <c r="DF5873">
        <v>0</v>
      </c>
      <c r="DG5873">
        <v>0</v>
      </c>
      <c r="DH5873">
        <v>0</v>
      </c>
      <c r="DI5873">
        <v>0</v>
      </c>
    </row>
    <row r="5874" spans="1:113" x14ac:dyDescent="0.3">
      <c r="A5874" t="str">
        <f t="shared" si="2748"/>
        <v>05/12/2020 14:51:58.678</v>
      </c>
      <c r="C5874" t="str">
        <f t="shared" si="2734"/>
        <v>FFDFD3C0</v>
      </c>
      <c r="D5874" t="s">
        <v>126</v>
      </c>
      <c r="E5874">
        <v>6</v>
      </c>
      <c r="F5874">
        <v>1006</v>
      </c>
      <c r="G5874" t="s">
        <v>114</v>
      </c>
      <c r="J5874" t="s">
        <v>128</v>
      </c>
      <c r="K5874">
        <v>0</v>
      </c>
      <c r="L5874">
        <v>3</v>
      </c>
      <c r="M5874">
        <v>0</v>
      </c>
      <c r="N5874">
        <v>2</v>
      </c>
      <c r="O5874">
        <v>1</v>
      </c>
      <c r="P5874">
        <v>0</v>
      </c>
      <c r="Q5874">
        <v>0</v>
      </c>
      <c r="S5874" t="str">
        <f t="shared" si="2749"/>
        <v>14:52:16.523</v>
      </c>
      <c r="T5874" t="str">
        <f t="shared" si="2750"/>
        <v>14:52:16.323</v>
      </c>
      <c r="U5874" t="str">
        <f t="shared" si="2725"/>
        <v>A9808D</v>
      </c>
      <c r="V5874">
        <v>0</v>
      </c>
      <c r="W5874">
        <v>0</v>
      </c>
      <c r="X5874">
        <v>1</v>
      </c>
      <c r="Z5874">
        <v>0</v>
      </c>
      <c r="AA5874">
        <v>9</v>
      </c>
      <c r="AB5874">
        <v>3</v>
      </c>
      <c r="AC5874">
        <v>0</v>
      </c>
      <c r="AD5874">
        <v>10</v>
      </c>
      <c r="AE5874">
        <v>0</v>
      </c>
      <c r="AF5874">
        <v>3</v>
      </c>
      <c r="AG5874">
        <v>2</v>
      </c>
      <c r="AH5874">
        <v>0</v>
      </c>
      <c r="AI5874" t="s">
        <v>1304</v>
      </c>
      <c r="AJ5874">
        <v>28.204564999999999</v>
      </c>
      <c r="AK5874" t="s">
        <v>1305</v>
      </c>
      <c r="AL5874">
        <v>-82.372204999999994</v>
      </c>
      <c r="AM5874">
        <v>100</v>
      </c>
      <c r="AN5874">
        <v>400</v>
      </c>
      <c r="AO5874" t="s">
        <v>118</v>
      </c>
      <c r="AP5874">
        <v>83</v>
      </c>
      <c r="AQ5874">
        <v>37</v>
      </c>
      <c r="AR5874">
        <v>-960</v>
      </c>
      <c r="AZ5874">
        <v>1200</v>
      </c>
      <c r="BA5874">
        <v>1</v>
      </c>
      <c r="BB5874" t="str">
        <f t="shared" si="2735"/>
        <v xml:space="preserve">N711JA  </v>
      </c>
      <c r="BC5874">
        <v>1</v>
      </c>
      <c r="BE5874">
        <v>0</v>
      </c>
      <c r="BF5874">
        <v>0</v>
      </c>
      <c r="BG5874">
        <v>0</v>
      </c>
      <c r="BH5874">
        <v>475</v>
      </c>
      <c r="BI5874">
        <v>1</v>
      </c>
      <c r="BJ5874">
        <v>1</v>
      </c>
      <c r="BK5874">
        <v>0</v>
      </c>
      <c r="BL5874">
        <v>0</v>
      </c>
      <c r="BO5874">
        <v>0</v>
      </c>
      <c r="BP5874">
        <v>0</v>
      </c>
      <c r="BW5874" t="str">
        <f t="shared" si="2751"/>
        <v>14:52:16.529</v>
      </c>
      <c r="CJ5874">
        <v>0</v>
      </c>
      <c r="CK5874">
        <v>2</v>
      </c>
      <c r="CL5874">
        <v>0</v>
      </c>
      <c r="CM5874">
        <v>2</v>
      </c>
      <c r="CN5874">
        <v>0</v>
      </c>
      <c r="CO5874">
        <v>7</v>
      </c>
      <c r="CP5874" t="s">
        <v>119</v>
      </c>
      <c r="CQ5874">
        <v>343</v>
      </c>
      <c r="CR5874">
        <v>1</v>
      </c>
      <c r="CW5874">
        <v>11212514</v>
      </c>
      <c r="CY5874">
        <v>1</v>
      </c>
      <c r="CZ5874">
        <v>0</v>
      </c>
      <c r="DA5874">
        <v>1</v>
      </c>
      <c r="DB5874">
        <v>0</v>
      </c>
      <c r="DC5874">
        <v>0</v>
      </c>
      <c r="DD5874">
        <v>1</v>
      </c>
      <c r="DE5874">
        <v>0</v>
      </c>
      <c r="DF5874">
        <v>0</v>
      </c>
      <c r="DG5874">
        <v>0</v>
      </c>
      <c r="DH5874">
        <v>0</v>
      </c>
      <c r="DI5874">
        <v>0</v>
      </c>
    </row>
    <row r="5875" spans="1:113" x14ac:dyDescent="0.3">
      <c r="A5875" t="str">
        <f t="shared" si="2748"/>
        <v>05/12/2020 14:51:58.678</v>
      </c>
      <c r="C5875" t="str">
        <f t="shared" si="2734"/>
        <v>FFDFD3C0</v>
      </c>
      <c r="D5875" t="s">
        <v>138</v>
      </c>
      <c r="E5875">
        <v>3</v>
      </c>
      <c r="H5875">
        <v>9</v>
      </c>
      <c r="I5875" t="s">
        <v>140</v>
      </c>
      <c r="J5875" t="s">
        <v>136</v>
      </c>
      <c r="K5875">
        <v>0</v>
      </c>
      <c r="L5875">
        <v>3</v>
      </c>
      <c r="M5875">
        <v>0</v>
      </c>
      <c r="N5875">
        <v>2</v>
      </c>
      <c r="O5875">
        <v>1</v>
      </c>
      <c r="P5875">
        <v>0</v>
      </c>
      <c r="Q5875">
        <v>0</v>
      </c>
      <c r="S5875" t="str">
        <f t="shared" si="2749"/>
        <v>14:52:16.523</v>
      </c>
      <c r="T5875" t="str">
        <f t="shared" si="2750"/>
        <v>14:52:16.323</v>
      </c>
      <c r="U5875" t="str">
        <f t="shared" si="2725"/>
        <v>A9808D</v>
      </c>
      <c r="V5875">
        <v>0</v>
      </c>
      <c r="W5875">
        <v>0</v>
      </c>
      <c r="X5875">
        <v>1</v>
      </c>
      <c r="Z5875">
        <v>0</v>
      </c>
      <c r="AA5875">
        <v>9</v>
      </c>
      <c r="AB5875">
        <v>3</v>
      </c>
      <c r="AC5875">
        <v>0</v>
      </c>
      <c r="AD5875">
        <v>10</v>
      </c>
      <c r="AE5875">
        <v>0</v>
      </c>
      <c r="AF5875">
        <v>3</v>
      </c>
      <c r="AG5875">
        <v>2</v>
      </c>
      <c r="AH5875">
        <v>0</v>
      </c>
      <c r="AI5875" t="s">
        <v>1304</v>
      </c>
      <c r="AJ5875">
        <v>28.204564999999999</v>
      </c>
      <c r="AK5875" t="s">
        <v>1305</v>
      </c>
      <c r="AL5875">
        <v>-82.372204999999994</v>
      </c>
      <c r="AM5875">
        <v>100</v>
      </c>
      <c r="AN5875">
        <v>400</v>
      </c>
      <c r="AO5875" t="s">
        <v>118</v>
      </c>
      <c r="AP5875">
        <v>83</v>
      </c>
      <c r="AQ5875">
        <v>37</v>
      </c>
      <c r="AR5875">
        <v>-960</v>
      </c>
      <c r="AZ5875">
        <v>1200</v>
      </c>
      <c r="BA5875">
        <v>1</v>
      </c>
      <c r="BB5875" t="str">
        <f t="shared" si="2735"/>
        <v xml:space="preserve">N711JA  </v>
      </c>
      <c r="BC5875">
        <v>1</v>
      </c>
      <c r="BE5875">
        <v>0</v>
      </c>
      <c r="BF5875">
        <v>0</v>
      </c>
      <c r="BG5875">
        <v>0</v>
      </c>
      <c r="BH5875">
        <v>475</v>
      </c>
      <c r="BI5875">
        <v>1</v>
      </c>
      <c r="BJ5875">
        <v>1</v>
      </c>
      <c r="BK5875">
        <v>0</v>
      </c>
      <c r="BL5875">
        <v>0</v>
      </c>
      <c r="BO5875">
        <v>0</v>
      </c>
      <c r="BP5875">
        <v>0</v>
      </c>
      <c r="BW5875" t="str">
        <f t="shared" si="2751"/>
        <v>14:52:16.529</v>
      </c>
      <c r="CJ5875">
        <v>0</v>
      </c>
      <c r="CK5875">
        <v>2</v>
      </c>
      <c r="CL5875">
        <v>0</v>
      </c>
      <c r="CM5875">
        <v>2</v>
      </c>
      <c r="CN5875">
        <v>0</v>
      </c>
      <c r="CO5875">
        <v>7</v>
      </c>
      <c r="CP5875" t="s">
        <v>119</v>
      </c>
      <c r="CQ5875">
        <v>343</v>
      </c>
      <c r="CR5875">
        <v>1</v>
      </c>
      <c r="CW5875">
        <v>11212514</v>
      </c>
      <c r="CY5875">
        <v>1</v>
      </c>
      <c r="CZ5875">
        <v>0</v>
      </c>
      <c r="DA5875">
        <v>1</v>
      </c>
      <c r="DB5875">
        <v>0</v>
      </c>
      <c r="DC5875">
        <v>0</v>
      </c>
      <c r="DD5875">
        <v>1</v>
      </c>
      <c r="DE5875">
        <v>0</v>
      </c>
      <c r="DF5875">
        <v>0</v>
      </c>
      <c r="DG5875">
        <v>0</v>
      </c>
      <c r="DH5875">
        <v>0</v>
      </c>
      <c r="DI5875">
        <v>0</v>
      </c>
    </row>
    <row r="5876" spans="1:113" x14ac:dyDescent="0.3">
      <c r="A5876" t="str">
        <f t="shared" si="2748"/>
        <v>05/12/2020 14:51:58.678</v>
      </c>
      <c r="C5876" t="str">
        <f t="shared" si="2734"/>
        <v>FFDFD3C0</v>
      </c>
      <c r="D5876" t="s">
        <v>138</v>
      </c>
      <c r="E5876">
        <v>2</v>
      </c>
      <c r="H5876">
        <v>8</v>
      </c>
      <c r="I5876" t="s">
        <v>139</v>
      </c>
      <c r="J5876" t="s">
        <v>136</v>
      </c>
      <c r="K5876">
        <v>0</v>
      </c>
      <c r="L5876">
        <v>3</v>
      </c>
      <c r="M5876">
        <v>0</v>
      </c>
      <c r="N5876">
        <v>2</v>
      </c>
      <c r="O5876">
        <v>1</v>
      </c>
      <c r="P5876">
        <v>0</v>
      </c>
      <c r="Q5876">
        <v>0</v>
      </c>
      <c r="S5876" t="str">
        <f t="shared" si="2749"/>
        <v>14:52:16.523</v>
      </c>
      <c r="T5876" t="str">
        <f t="shared" si="2750"/>
        <v>14:52:16.323</v>
      </c>
      <c r="U5876" t="str">
        <f t="shared" si="2725"/>
        <v>A9808D</v>
      </c>
      <c r="V5876">
        <v>0</v>
      </c>
      <c r="W5876">
        <v>0</v>
      </c>
      <c r="X5876">
        <v>1</v>
      </c>
      <c r="Z5876">
        <v>0</v>
      </c>
      <c r="AA5876">
        <v>9</v>
      </c>
      <c r="AB5876">
        <v>3</v>
      </c>
      <c r="AC5876">
        <v>0</v>
      </c>
      <c r="AD5876">
        <v>10</v>
      </c>
      <c r="AE5876">
        <v>0</v>
      </c>
      <c r="AF5876">
        <v>3</v>
      </c>
      <c r="AG5876">
        <v>2</v>
      </c>
      <c r="AH5876">
        <v>0</v>
      </c>
      <c r="AI5876" t="s">
        <v>1304</v>
      </c>
      <c r="AJ5876">
        <v>28.204564999999999</v>
      </c>
      <c r="AK5876" t="s">
        <v>1305</v>
      </c>
      <c r="AL5876">
        <v>-82.372204999999994</v>
      </c>
      <c r="AM5876">
        <v>100</v>
      </c>
      <c r="AN5876">
        <v>400</v>
      </c>
      <c r="AO5876" t="s">
        <v>118</v>
      </c>
      <c r="AP5876">
        <v>83</v>
      </c>
      <c r="AQ5876">
        <v>37</v>
      </c>
      <c r="AR5876">
        <v>-960</v>
      </c>
      <c r="AZ5876">
        <v>1200</v>
      </c>
      <c r="BA5876">
        <v>1</v>
      </c>
      <c r="BB5876" t="str">
        <f t="shared" si="2735"/>
        <v xml:space="preserve">N711JA  </v>
      </c>
      <c r="BC5876">
        <v>1</v>
      </c>
      <c r="BE5876">
        <v>0</v>
      </c>
      <c r="BF5876">
        <v>0</v>
      </c>
      <c r="BG5876">
        <v>0</v>
      </c>
      <c r="BH5876">
        <v>475</v>
      </c>
      <c r="BI5876">
        <v>1</v>
      </c>
      <c r="BJ5876">
        <v>1</v>
      </c>
      <c r="BK5876">
        <v>0</v>
      </c>
      <c r="BL5876">
        <v>0</v>
      </c>
      <c r="BO5876">
        <v>0</v>
      </c>
      <c r="BP5876">
        <v>0</v>
      </c>
      <c r="BW5876" t="str">
        <f t="shared" si="2751"/>
        <v>14:52:16.529</v>
      </c>
      <c r="CJ5876">
        <v>0</v>
      </c>
      <c r="CK5876">
        <v>2</v>
      </c>
      <c r="CL5876">
        <v>0</v>
      </c>
      <c r="CM5876">
        <v>2</v>
      </c>
      <c r="CN5876">
        <v>0</v>
      </c>
      <c r="CO5876">
        <v>7</v>
      </c>
      <c r="CP5876" t="s">
        <v>119</v>
      </c>
      <c r="CQ5876">
        <v>343</v>
      </c>
      <c r="CR5876">
        <v>1</v>
      </c>
      <c r="CW5876">
        <v>11212514</v>
      </c>
      <c r="CY5876">
        <v>1</v>
      </c>
      <c r="CZ5876">
        <v>0</v>
      </c>
      <c r="DA5876">
        <v>1</v>
      </c>
      <c r="DB5876">
        <v>0</v>
      </c>
      <c r="DC5876">
        <v>0</v>
      </c>
      <c r="DD5876">
        <v>1</v>
      </c>
      <c r="DE5876">
        <v>0</v>
      </c>
      <c r="DF5876">
        <v>0</v>
      </c>
      <c r="DG5876">
        <v>0</v>
      </c>
      <c r="DH5876">
        <v>0</v>
      </c>
      <c r="DI5876">
        <v>0</v>
      </c>
    </row>
    <row r="5877" spans="1:113" x14ac:dyDescent="0.3">
      <c r="A5877" t="str">
        <f t="shared" si="2748"/>
        <v>05/12/2020 14:51:58.678</v>
      </c>
      <c r="C5877" t="str">
        <f t="shared" si="2734"/>
        <v>FFDFD3C0</v>
      </c>
      <c r="D5877" t="s">
        <v>113</v>
      </c>
      <c r="E5877">
        <v>3</v>
      </c>
      <c r="H5877">
        <v>164</v>
      </c>
      <c r="I5877" t="s">
        <v>114</v>
      </c>
      <c r="J5877" t="s">
        <v>115</v>
      </c>
      <c r="K5877">
        <v>0</v>
      </c>
      <c r="L5877">
        <v>3</v>
      </c>
      <c r="M5877">
        <v>0</v>
      </c>
      <c r="N5877">
        <v>2</v>
      </c>
      <c r="O5877">
        <v>1</v>
      </c>
      <c r="P5877">
        <v>0</v>
      </c>
      <c r="Q5877">
        <v>0</v>
      </c>
      <c r="S5877" t="str">
        <f t="shared" si="2749"/>
        <v>14:52:16.523</v>
      </c>
      <c r="T5877" t="str">
        <f t="shared" si="2750"/>
        <v>14:52:16.323</v>
      </c>
      <c r="U5877" t="str">
        <f t="shared" si="2725"/>
        <v>A9808D</v>
      </c>
      <c r="V5877">
        <v>0</v>
      </c>
      <c r="W5877">
        <v>0</v>
      </c>
      <c r="X5877">
        <v>1</v>
      </c>
      <c r="Z5877">
        <v>0</v>
      </c>
      <c r="AA5877">
        <v>9</v>
      </c>
      <c r="AB5877">
        <v>3</v>
      </c>
      <c r="AC5877">
        <v>0</v>
      </c>
      <c r="AD5877">
        <v>10</v>
      </c>
      <c r="AE5877">
        <v>0</v>
      </c>
      <c r="AF5877">
        <v>3</v>
      </c>
      <c r="AG5877">
        <v>2</v>
      </c>
      <c r="AH5877">
        <v>0</v>
      </c>
      <c r="AI5877" t="s">
        <v>1304</v>
      </c>
      <c r="AJ5877">
        <v>28.204564999999999</v>
      </c>
      <c r="AK5877" t="s">
        <v>1305</v>
      </c>
      <c r="AL5877">
        <v>-82.372204999999994</v>
      </c>
      <c r="AM5877">
        <v>100</v>
      </c>
      <c r="AN5877">
        <v>400</v>
      </c>
      <c r="AO5877" t="s">
        <v>118</v>
      </c>
      <c r="AP5877">
        <v>83</v>
      </c>
      <c r="AQ5877">
        <v>37</v>
      </c>
      <c r="AR5877">
        <v>-960</v>
      </c>
      <c r="AZ5877">
        <v>1200</v>
      </c>
      <c r="BA5877">
        <v>1</v>
      </c>
      <c r="BB5877" t="str">
        <f t="shared" si="2735"/>
        <v xml:space="preserve">N711JA  </v>
      </c>
      <c r="BC5877">
        <v>1</v>
      </c>
      <c r="BE5877">
        <v>0</v>
      </c>
      <c r="BF5877">
        <v>0</v>
      </c>
      <c r="BG5877">
        <v>0</v>
      </c>
      <c r="BH5877">
        <v>475</v>
      </c>
      <c r="BI5877">
        <v>1</v>
      </c>
      <c r="BJ5877">
        <v>1</v>
      </c>
      <c r="BK5877">
        <v>0</v>
      </c>
      <c r="BL5877">
        <v>0</v>
      </c>
      <c r="BO5877">
        <v>0</v>
      </c>
      <c r="BP5877">
        <v>0</v>
      </c>
      <c r="BW5877" t="str">
        <f t="shared" si="2751"/>
        <v>14:52:16.529</v>
      </c>
      <c r="CJ5877">
        <v>0</v>
      </c>
      <c r="CK5877">
        <v>2</v>
      </c>
      <c r="CL5877">
        <v>0</v>
      </c>
      <c r="CM5877">
        <v>2</v>
      </c>
      <c r="CN5877">
        <v>0</v>
      </c>
      <c r="CO5877">
        <v>7</v>
      </c>
      <c r="CP5877" t="s">
        <v>119</v>
      </c>
      <c r="CQ5877">
        <v>343</v>
      </c>
      <c r="CR5877">
        <v>1</v>
      </c>
      <c r="CW5877">
        <v>11212514</v>
      </c>
      <c r="CY5877">
        <v>1</v>
      </c>
      <c r="CZ5877">
        <v>0</v>
      </c>
      <c r="DA5877">
        <v>1</v>
      </c>
      <c r="DB5877">
        <v>0</v>
      </c>
      <c r="DC5877">
        <v>0</v>
      </c>
      <c r="DD5877">
        <v>1</v>
      </c>
      <c r="DE5877">
        <v>0</v>
      </c>
      <c r="DF5877">
        <v>0</v>
      </c>
      <c r="DG5877">
        <v>0</v>
      </c>
      <c r="DH5877">
        <v>0</v>
      </c>
      <c r="DI5877">
        <v>0</v>
      </c>
    </row>
    <row r="5878" spans="1:113" x14ac:dyDescent="0.3">
      <c r="A5878" t="str">
        <f t="shared" si="2748"/>
        <v>05/12/2020 14:51:58.678</v>
      </c>
      <c r="C5878" t="str">
        <f t="shared" si="2734"/>
        <v>FFDFD3C0</v>
      </c>
      <c r="D5878" t="s">
        <v>126</v>
      </c>
      <c r="E5878">
        <v>7</v>
      </c>
      <c r="F5878">
        <v>1007</v>
      </c>
      <c r="G5878" t="s">
        <v>127</v>
      </c>
      <c r="J5878" t="s">
        <v>128</v>
      </c>
      <c r="K5878">
        <v>0</v>
      </c>
      <c r="L5878">
        <v>3</v>
      </c>
      <c r="M5878">
        <v>0</v>
      </c>
      <c r="N5878">
        <v>2</v>
      </c>
      <c r="O5878">
        <v>1</v>
      </c>
      <c r="P5878">
        <v>0</v>
      </c>
      <c r="Q5878">
        <v>0</v>
      </c>
      <c r="S5878" t="str">
        <f t="shared" si="2749"/>
        <v>14:52:16.523</v>
      </c>
      <c r="T5878" t="str">
        <f t="shared" si="2750"/>
        <v>14:52:16.323</v>
      </c>
      <c r="U5878" t="str">
        <f t="shared" si="2725"/>
        <v>A9808D</v>
      </c>
      <c r="V5878">
        <v>0</v>
      </c>
      <c r="W5878">
        <v>0</v>
      </c>
      <c r="X5878">
        <v>1</v>
      </c>
      <c r="Z5878">
        <v>0</v>
      </c>
      <c r="AA5878">
        <v>9</v>
      </c>
      <c r="AB5878">
        <v>3</v>
      </c>
      <c r="AC5878">
        <v>0</v>
      </c>
      <c r="AD5878">
        <v>10</v>
      </c>
      <c r="AE5878">
        <v>0</v>
      </c>
      <c r="AF5878">
        <v>3</v>
      </c>
      <c r="AG5878">
        <v>2</v>
      </c>
      <c r="AH5878">
        <v>0</v>
      </c>
      <c r="AI5878" t="s">
        <v>1304</v>
      </c>
      <c r="AJ5878">
        <v>28.204564999999999</v>
      </c>
      <c r="AK5878" t="s">
        <v>1305</v>
      </c>
      <c r="AL5878">
        <v>-82.372204999999994</v>
      </c>
      <c r="AM5878">
        <v>100</v>
      </c>
      <c r="AN5878">
        <v>400</v>
      </c>
      <c r="AO5878" t="s">
        <v>118</v>
      </c>
      <c r="AP5878">
        <v>83</v>
      </c>
      <c r="AQ5878">
        <v>37</v>
      </c>
      <c r="AR5878">
        <v>-960</v>
      </c>
      <c r="AZ5878">
        <v>1200</v>
      </c>
      <c r="BA5878">
        <v>1</v>
      </c>
      <c r="BB5878" t="str">
        <f t="shared" si="2735"/>
        <v xml:space="preserve">N711JA  </v>
      </c>
      <c r="BC5878">
        <v>1</v>
      </c>
      <c r="BE5878">
        <v>0</v>
      </c>
      <c r="BF5878">
        <v>0</v>
      </c>
      <c r="BG5878">
        <v>0</v>
      </c>
      <c r="BH5878">
        <v>475</v>
      </c>
      <c r="BI5878">
        <v>1</v>
      </c>
      <c r="BJ5878">
        <v>1</v>
      </c>
      <c r="BK5878">
        <v>0</v>
      </c>
      <c r="BL5878">
        <v>0</v>
      </c>
      <c r="BO5878">
        <v>0</v>
      </c>
      <c r="BP5878">
        <v>0</v>
      </c>
      <c r="BW5878" t="str">
        <f t="shared" si="2751"/>
        <v>14:52:16.529</v>
      </c>
      <c r="CJ5878">
        <v>0</v>
      </c>
      <c r="CK5878">
        <v>2</v>
      </c>
      <c r="CL5878">
        <v>0</v>
      </c>
      <c r="CM5878">
        <v>2</v>
      </c>
      <c r="CN5878">
        <v>0</v>
      </c>
      <c r="CO5878">
        <v>7</v>
      </c>
      <c r="CP5878" t="s">
        <v>119</v>
      </c>
      <c r="CQ5878">
        <v>343</v>
      </c>
      <c r="CR5878">
        <v>1</v>
      </c>
      <c r="CW5878">
        <v>11212514</v>
      </c>
      <c r="CY5878">
        <v>1</v>
      </c>
      <c r="CZ5878">
        <v>0</v>
      </c>
      <c r="DA5878">
        <v>1</v>
      </c>
      <c r="DB5878">
        <v>0</v>
      </c>
      <c r="DC5878">
        <v>0</v>
      </c>
      <c r="DD5878">
        <v>1</v>
      </c>
      <c r="DE5878">
        <v>0</v>
      </c>
      <c r="DF5878">
        <v>0</v>
      </c>
      <c r="DG5878">
        <v>0</v>
      </c>
      <c r="DH5878">
        <v>0</v>
      </c>
      <c r="DI5878">
        <v>0</v>
      </c>
    </row>
    <row r="5879" spans="1:113" x14ac:dyDescent="0.3">
      <c r="A5879" t="str">
        <f t="shared" si="2748"/>
        <v>05/12/2020 14:51:58.678</v>
      </c>
      <c r="C5879" t="str">
        <f t="shared" si="2734"/>
        <v>FFDFD3C0</v>
      </c>
      <c r="D5879" t="s">
        <v>131</v>
      </c>
      <c r="E5879">
        <v>10</v>
      </c>
      <c r="F5879">
        <v>2010</v>
      </c>
      <c r="G5879" t="s">
        <v>132</v>
      </c>
      <c r="J5879" t="s">
        <v>133</v>
      </c>
      <c r="K5879">
        <v>0</v>
      </c>
      <c r="L5879">
        <v>3</v>
      </c>
      <c r="M5879">
        <v>0</v>
      </c>
      <c r="N5879">
        <v>2</v>
      </c>
      <c r="O5879">
        <v>1</v>
      </c>
      <c r="P5879">
        <v>0</v>
      </c>
      <c r="Q5879">
        <v>0</v>
      </c>
      <c r="S5879" t="str">
        <f t="shared" si="2749"/>
        <v>14:52:16.523</v>
      </c>
      <c r="T5879" t="str">
        <f t="shared" si="2750"/>
        <v>14:52:16.323</v>
      </c>
      <c r="U5879" t="str">
        <f t="shared" si="2725"/>
        <v>A9808D</v>
      </c>
      <c r="V5879">
        <v>0</v>
      </c>
      <c r="W5879">
        <v>0</v>
      </c>
      <c r="X5879">
        <v>1</v>
      </c>
      <c r="Z5879">
        <v>0</v>
      </c>
      <c r="AA5879">
        <v>9</v>
      </c>
      <c r="AB5879">
        <v>3</v>
      </c>
      <c r="AC5879">
        <v>0</v>
      </c>
      <c r="AD5879">
        <v>10</v>
      </c>
      <c r="AE5879">
        <v>0</v>
      </c>
      <c r="AF5879">
        <v>3</v>
      </c>
      <c r="AG5879">
        <v>2</v>
      </c>
      <c r="AH5879">
        <v>0</v>
      </c>
      <c r="AI5879" t="s">
        <v>1304</v>
      </c>
      <c r="AJ5879">
        <v>28.204564999999999</v>
      </c>
      <c r="AK5879" t="s">
        <v>1305</v>
      </c>
      <c r="AL5879">
        <v>-82.372204999999994</v>
      </c>
      <c r="AM5879">
        <v>100</v>
      </c>
      <c r="AN5879">
        <v>400</v>
      </c>
      <c r="AO5879" t="s">
        <v>118</v>
      </c>
      <c r="AP5879">
        <v>83</v>
      </c>
      <c r="AQ5879">
        <v>37</v>
      </c>
      <c r="AR5879">
        <v>-960</v>
      </c>
      <c r="AZ5879">
        <v>1200</v>
      </c>
      <c r="BA5879">
        <v>1</v>
      </c>
      <c r="BB5879" t="str">
        <f t="shared" si="2735"/>
        <v xml:space="preserve">N711JA  </v>
      </c>
      <c r="BC5879">
        <v>1</v>
      </c>
      <c r="BE5879">
        <v>0</v>
      </c>
      <c r="BF5879">
        <v>0</v>
      </c>
      <c r="BG5879">
        <v>0</v>
      </c>
      <c r="BH5879">
        <v>475</v>
      </c>
      <c r="BI5879">
        <v>1</v>
      </c>
      <c r="BJ5879">
        <v>1</v>
      </c>
      <c r="BK5879">
        <v>0</v>
      </c>
      <c r="BL5879">
        <v>0</v>
      </c>
      <c r="BO5879">
        <v>0</v>
      </c>
      <c r="BP5879">
        <v>0</v>
      </c>
      <c r="BW5879" t="str">
        <f t="shared" si="2751"/>
        <v>14:52:16.529</v>
      </c>
      <c r="CJ5879">
        <v>0</v>
      </c>
      <c r="CK5879">
        <v>2</v>
      </c>
      <c r="CL5879">
        <v>0</v>
      </c>
      <c r="CM5879">
        <v>2</v>
      </c>
      <c r="CN5879">
        <v>0</v>
      </c>
      <c r="CO5879">
        <v>7</v>
      </c>
      <c r="CP5879" t="s">
        <v>119</v>
      </c>
      <c r="CQ5879">
        <v>343</v>
      </c>
      <c r="CR5879">
        <v>1</v>
      </c>
      <c r="CW5879">
        <v>11212514</v>
      </c>
      <c r="CY5879">
        <v>1</v>
      </c>
      <c r="CZ5879">
        <v>0</v>
      </c>
      <c r="DA5879">
        <v>1</v>
      </c>
      <c r="DB5879">
        <v>0</v>
      </c>
      <c r="DC5879">
        <v>0</v>
      </c>
      <c r="DD5879">
        <v>1</v>
      </c>
      <c r="DE5879">
        <v>0</v>
      </c>
      <c r="DF5879">
        <v>0</v>
      </c>
      <c r="DG5879">
        <v>0</v>
      </c>
      <c r="DH5879">
        <v>0</v>
      </c>
      <c r="DI5879">
        <v>0</v>
      </c>
    </row>
    <row r="5880" spans="1:113" x14ac:dyDescent="0.3">
      <c r="A5880" t="str">
        <f t="shared" si="2748"/>
        <v>05/12/2020 14:51:58.678</v>
      </c>
      <c r="C5880" t="str">
        <f t="shared" si="2734"/>
        <v>FFDFD3C0</v>
      </c>
      <c r="D5880" t="s">
        <v>131</v>
      </c>
      <c r="E5880">
        <v>12</v>
      </c>
      <c r="F5880">
        <v>2012</v>
      </c>
      <c r="G5880" t="s">
        <v>137</v>
      </c>
      <c r="J5880" t="s">
        <v>133</v>
      </c>
      <c r="K5880">
        <v>0</v>
      </c>
      <c r="L5880">
        <v>3</v>
      </c>
      <c r="M5880">
        <v>0</v>
      </c>
      <c r="N5880">
        <v>2</v>
      </c>
      <c r="O5880">
        <v>1</v>
      </c>
      <c r="P5880">
        <v>0</v>
      </c>
      <c r="Q5880">
        <v>0</v>
      </c>
      <c r="S5880" t="str">
        <f t="shared" si="2749"/>
        <v>14:52:16.523</v>
      </c>
      <c r="T5880" t="str">
        <f t="shared" si="2750"/>
        <v>14:52:16.323</v>
      </c>
      <c r="U5880" t="str">
        <f t="shared" si="2725"/>
        <v>A9808D</v>
      </c>
      <c r="V5880">
        <v>0</v>
      </c>
      <c r="W5880">
        <v>0</v>
      </c>
      <c r="X5880">
        <v>1</v>
      </c>
      <c r="Z5880">
        <v>0</v>
      </c>
      <c r="AA5880">
        <v>9</v>
      </c>
      <c r="AB5880">
        <v>3</v>
      </c>
      <c r="AC5880">
        <v>0</v>
      </c>
      <c r="AD5880">
        <v>10</v>
      </c>
      <c r="AE5880">
        <v>0</v>
      </c>
      <c r="AF5880">
        <v>3</v>
      </c>
      <c r="AG5880">
        <v>2</v>
      </c>
      <c r="AH5880">
        <v>0</v>
      </c>
      <c r="AI5880" t="s">
        <v>1304</v>
      </c>
      <c r="AJ5880">
        <v>28.204564999999999</v>
      </c>
      <c r="AK5880" t="s">
        <v>1305</v>
      </c>
      <c r="AL5880">
        <v>-82.372204999999994</v>
      </c>
      <c r="AM5880">
        <v>100</v>
      </c>
      <c r="AN5880">
        <v>400</v>
      </c>
      <c r="AO5880" t="s">
        <v>118</v>
      </c>
      <c r="AP5880">
        <v>83</v>
      </c>
      <c r="AQ5880">
        <v>37</v>
      </c>
      <c r="AR5880">
        <v>-960</v>
      </c>
      <c r="AZ5880">
        <v>1200</v>
      </c>
      <c r="BA5880">
        <v>1</v>
      </c>
      <c r="BB5880" t="str">
        <f t="shared" si="2735"/>
        <v xml:space="preserve">N711JA  </v>
      </c>
      <c r="BC5880">
        <v>1</v>
      </c>
      <c r="BE5880">
        <v>0</v>
      </c>
      <c r="BF5880">
        <v>0</v>
      </c>
      <c r="BG5880">
        <v>0</v>
      </c>
      <c r="BH5880">
        <v>475</v>
      </c>
      <c r="BI5880">
        <v>1</v>
      </c>
      <c r="BJ5880">
        <v>1</v>
      </c>
      <c r="BK5880">
        <v>0</v>
      </c>
      <c r="BL5880">
        <v>0</v>
      </c>
      <c r="BO5880">
        <v>0</v>
      </c>
      <c r="BP5880">
        <v>0</v>
      </c>
      <c r="BW5880" t="str">
        <f t="shared" si="2751"/>
        <v>14:52:16.529</v>
      </c>
      <c r="CJ5880">
        <v>0</v>
      </c>
      <c r="CK5880">
        <v>2</v>
      </c>
      <c r="CL5880">
        <v>0</v>
      </c>
      <c r="CM5880">
        <v>2</v>
      </c>
      <c r="CN5880">
        <v>0</v>
      </c>
      <c r="CO5880">
        <v>7</v>
      </c>
      <c r="CP5880" t="s">
        <v>119</v>
      </c>
      <c r="CQ5880">
        <v>343</v>
      </c>
      <c r="CR5880">
        <v>1</v>
      </c>
      <c r="CW5880">
        <v>11212514</v>
      </c>
      <c r="CY5880">
        <v>1</v>
      </c>
      <c r="CZ5880">
        <v>0</v>
      </c>
      <c r="DA5880">
        <v>1</v>
      </c>
      <c r="DB5880">
        <v>0</v>
      </c>
      <c r="DC5880">
        <v>0</v>
      </c>
      <c r="DD5880">
        <v>1</v>
      </c>
      <c r="DE5880">
        <v>0</v>
      </c>
      <c r="DF5880">
        <v>0</v>
      </c>
      <c r="DG5880">
        <v>0</v>
      </c>
      <c r="DH5880">
        <v>0</v>
      </c>
      <c r="DI5880">
        <v>0</v>
      </c>
    </row>
    <row r="5881" spans="1:113" x14ac:dyDescent="0.3">
      <c r="A5881" t="str">
        <f t="shared" ref="A5881:A5888" si="2752">"05/12/2020 14:51:59.855"</f>
        <v>05/12/2020 14:51:59.855</v>
      </c>
      <c r="C5881" t="str">
        <f t="shared" si="2734"/>
        <v>FFDFD3C0</v>
      </c>
      <c r="D5881" t="s">
        <v>138</v>
      </c>
      <c r="E5881">
        <v>3</v>
      </c>
      <c r="H5881">
        <v>9</v>
      </c>
      <c r="I5881" t="s">
        <v>140</v>
      </c>
      <c r="J5881" t="s">
        <v>136</v>
      </c>
      <c r="K5881">
        <v>0</v>
      </c>
      <c r="L5881">
        <v>3</v>
      </c>
      <c r="M5881">
        <v>0</v>
      </c>
      <c r="N5881">
        <v>2</v>
      </c>
      <c r="O5881">
        <v>1</v>
      </c>
      <c r="P5881">
        <v>0</v>
      </c>
      <c r="Q5881">
        <v>0</v>
      </c>
      <c r="S5881" t="str">
        <f t="shared" ref="S5881:S5888" si="2753">"14:52:17.672"</f>
        <v>14:52:17.672</v>
      </c>
      <c r="T5881" t="str">
        <f t="shared" ref="T5881:T5888" si="2754">"14:52:17.372"</f>
        <v>14:52:17.372</v>
      </c>
      <c r="U5881" t="str">
        <f t="shared" si="2725"/>
        <v>A9808D</v>
      </c>
      <c r="V5881">
        <v>0</v>
      </c>
      <c r="W5881">
        <v>0</v>
      </c>
      <c r="X5881">
        <v>1</v>
      </c>
      <c r="Z5881">
        <v>0</v>
      </c>
      <c r="AA5881">
        <v>9</v>
      </c>
      <c r="AB5881">
        <v>3</v>
      </c>
      <c r="AC5881">
        <v>0</v>
      </c>
      <c r="AD5881">
        <v>10</v>
      </c>
      <c r="AE5881">
        <v>0</v>
      </c>
      <c r="AF5881">
        <v>3</v>
      </c>
      <c r="AG5881">
        <v>2</v>
      </c>
      <c r="AH5881">
        <v>0</v>
      </c>
      <c r="AI5881" t="s">
        <v>1264</v>
      </c>
      <c r="AJ5881">
        <v>28.204737000000002</v>
      </c>
      <c r="AK5881" t="s">
        <v>1306</v>
      </c>
      <c r="AL5881">
        <v>-82.371775999999997</v>
      </c>
      <c r="AM5881">
        <v>100</v>
      </c>
      <c r="AN5881">
        <v>400</v>
      </c>
      <c r="AO5881" t="s">
        <v>118</v>
      </c>
      <c r="AP5881">
        <v>82</v>
      </c>
      <c r="AQ5881">
        <v>40</v>
      </c>
      <c r="AR5881">
        <v>-960</v>
      </c>
      <c r="AZ5881">
        <v>1200</v>
      </c>
      <c r="BA5881">
        <v>1</v>
      </c>
      <c r="BB5881" t="str">
        <f t="shared" si="2735"/>
        <v xml:space="preserve">N711JA  </v>
      </c>
      <c r="BC5881">
        <v>1</v>
      </c>
      <c r="BE5881">
        <v>0</v>
      </c>
      <c r="BF5881">
        <v>0</v>
      </c>
      <c r="BG5881">
        <v>0</v>
      </c>
      <c r="BH5881">
        <v>475</v>
      </c>
      <c r="BI5881">
        <v>1</v>
      </c>
      <c r="BJ5881">
        <v>1</v>
      </c>
      <c r="BK5881">
        <v>0</v>
      </c>
      <c r="BL5881">
        <v>0</v>
      </c>
      <c r="BO5881">
        <v>0</v>
      </c>
      <c r="BP5881">
        <v>0</v>
      </c>
      <c r="BW5881" t="str">
        <f t="shared" ref="BW5881:BW5888" si="2755">"14:52:17.677"</f>
        <v>14:52:17.677</v>
      </c>
      <c r="CJ5881">
        <v>0</v>
      </c>
      <c r="CK5881">
        <v>2</v>
      </c>
      <c r="CL5881">
        <v>0</v>
      </c>
      <c r="CM5881">
        <v>2</v>
      </c>
      <c r="CN5881">
        <v>0</v>
      </c>
      <c r="CO5881">
        <v>6</v>
      </c>
      <c r="CP5881" t="s">
        <v>119</v>
      </c>
      <c r="CQ5881">
        <v>343</v>
      </c>
      <c r="CR5881">
        <v>2</v>
      </c>
      <c r="CW5881">
        <v>13451211</v>
      </c>
      <c r="CY5881">
        <v>1</v>
      </c>
      <c r="CZ5881">
        <v>0</v>
      </c>
      <c r="DA5881">
        <v>0</v>
      </c>
      <c r="DB5881">
        <v>0</v>
      </c>
      <c r="DC5881">
        <v>0</v>
      </c>
      <c r="DD5881">
        <v>1</v>
      </c>
      <c r="DE5881">
        <v>0</v>
      </c>
      <c r="DF5881">
        <v>0</v>
      </c>
      <c r="DG5881">
        <v>0</v>
      </c>
      <c r="DH5881">
        <v>0</v>
      </c>
      <c r="DI5881">
        <v>0</v>
      </c>
    </row>
    <row r="5882" spans="1:113" x14ac:dyDescent="0.3">
      <c r="A5882" t="str">
        <f t="shared" si="2752"/>
        <v>05/12/2020 14:51:59.855</v>
      </c>
      <c r="C5882" t="str">
        <f t="shared" si="2734"/>
        <v>FFDFD3C0</v>
      </c>
      <c r="D5882" t="s">
        <v>138</v>
      </c>
      <c r="E5882">
        <v>2</v>
      </c>
      <c r="H5882">
        <v>8</v>
      </c>
      <c r="I5882" t="s">
        <v>139</v>
      </c>
      <c r="J5882" t="s">
        <v>136</v>
      </c>
      <c r="K5882">
        <v>0</v>
      </c>
      <c r="L5882">
        <v>3</v>
      </c>
      <c r="M5882">
        <v>0</v>
      </c>
      <c r="N5882">
        <v>2</v>
      </c>
      <c r="O5882">
        <v>1</v>
      </c>
      <c r="P5882">
        <v>0</v>
      </c>
      <c r="Q5882">
        <v>0</v>
      </c>
      <c r="S5882" t="str">
        <f t="shared" si="2753"/>
        <v>14:52:17.672</v>
      </c>
      <c r="T5882" t="str">
        <f t="shared" si="2754"/>
        <v>14:52:17.372</v>
      </c>
      <c r="U5882" t="str">
        <f t="shared" si="2725"/>
        <v>A9808D</v>
      </c>
      <c r="V5882">
        <v>0</v>
      </c>
      <c r="W5882">
        <v>0</v>
      </c>
      <c r="X5882">
        <v>1</v>
      </c>
      <c r="Z5882">
        <v>0</v>
      </c>
      <c r="AA5882">
        <v>9</v>
      </c>
      <c r="AB5882">
        <v>3</v>
      </c>
      <c r="AC5882">
        <v>0</v>
      </c>
      <c r="AD5882">
        <v>10</v>
      </c>
      <c r="AE5882">
        <v>0</v>
      </c>
      <c r="AF5882">
        <v>3</v>
      </c>
      <c r="AG5882">
        <v>2</v>
      </c>
      <c r="AH5882">
        <v>0</v>
      </c>
      <c r="AI5882" t="s">
        <v>1264</v>
      </c>
      <c r="AJ5882">
        <v>28.204737000000002</v>
      </c>
      <c r="AK5882" t="s">
        <v>1306</v>
      </c>
      <c r="AL5882">
        <v>-82.371775999999997</v>
      </c>
      <c r="AM5882">
        <v>100</v>
      </c>
      <c r="AN5882">
        <v>400</v>
      </c>
      <c r="AO5882" t="s">
        <v>118</v>
      </c>
      <c r="AP5882">
        <v>82</v>
      </c>
      <c r="AQ5882">
        <v>40</v>
      </c>
      <c r="AR5882">
        <v>-960</v>
      </c>
      <c r="AZ5882">
        <v>1200</v>
      </c>
      <c r="BA5882">
        <v>1</v>
      </c>
      <c r="BB5882" t="str">
        <f t="shared" si="2735"/>
        <v xml:space="preserve">N711JA  </v>
      </c>
      <c r="BC5882">
        <v>1</v>
      </c>
      <c r="BE5882">
        <v>0</v>
      </c>
      <c r="BF5882">
        <v>0</v>
      </c>
      <c r="BG5882">
        <v>0</v>
      </c>
      <c r="BH5882">
        <v>475</v>
      </c>
      <c r="BI5882">
        <v>1</v>
      </c>
      <c r="BJ5882">
        <v>1</v>
      </c>
      <c r="BK5882">
        <v>0</v>
      </c>
      <c r="BL5882">
        <v>0</v>
      </c>
      <c r="BO5882">
        <v>0</v>
      </c>
      <c r="BP5882">
        <v>0</v>
      </c>
      <c r="BW5882" t="str">
        <f t="shared" si="2755"/>
        <v>14:52:17.677</v>
      </c>
      <c r="CJ5882">
        <v>0</v>
      </c>
      <c r="CK5882">
        <v>2</v>
      </c>
      <c r="CL5882">
        <v>0</v>
      </c>
      <c r="CM5882">
        <v>2</v>
      </c>
      <c r="CN5882">
        <v>0</v>
      </c>
      <c r="CO5882">
        <v>6</v>
      </c>
      <c r="CP5882" t="s">
        <v>119</v>
      </c>
      <c r="CQ5882">
        <v>343</v>
      </c>
      <c r="CR5882">
        <v>2</v>
      </c>
      <c r="CW5882">
        <v>13451211</v>
      </c>
      <c r="CY5882">
        <v>1</v>
      </c>
      <c r="CZ5882">
        <v>0</v>
      </c>
      <c r="DA5882">
        <v>1</v>
      </c>
      <c r="DB5882">
        <v>0</v>
      </c>
      <c r="DC5882">
        <v>0</v>
      </c>
      <c r="DD5882">
        <v>1</v>
      </c>
      <c r="DE5882">
        <v>0</v>
      </c>
      <c r="DF5882">
        <v>0</v>
      </c>
      <c r="DG5882">
        <v>0</v>
      </c>
      <c r="DH5882">
        <v>0</v>
      </c>
      <c r="DI5882">
        <v>0</v>
      </c>
    </row>
    <row r="5883" spans="1:113" x14ac:dyDescent="0.3">
      <c r="A5883" t="str">
        <f t="shared" si="2752"/>
        <v>05/12/2020 14:51:59.855</v>
      </c>
      <c r="C5883" t="str">
        <f t="shared" si="2734"/>
        <v>FFDFD3C0</v>
      </c>
      <c r="D5883" t="s">
        <v>113</v>
      </c>
      <c r="E5883">
        <v>3</v>
      </c>
      <c r="H5883">
        <v>164</v>
      </c>
      <c r="I5883" t="s">
        <v>114</v>
      </c>
      <c r="J5883" t="s">
        <v>115</v>
      </c>
      <c r="K5883">
        <v>0</v>
      </c>
      <c r="L5883">
        <v>3</v>
      </c>
      <c r="M5883">
        <v>0</v>
      </c>
      <c r="N5883">
        <v>2</v>
      </c>
      <c r="O5883">
        <v>1</v>
      </c>
      <c r="P5883">
        <v>0</v>
      </c>
      <c r="Q5883">
        <v>0</v>
      </c>
      <c r="S5883" t="str">
        <f t="shared" si="2753"/>
        <v>14:52:17.672</v>
      </c>
      <c r="T5883" t="str">
        <f t="shared" si="2754"/>
        <v>14:52:17.372</v>
      </c>
      <c r="U5883" t="str">
        <f t="shared" si="2725"/>
        <v>A9808D</v>
      </c>
      <c r="V5883">
        <v>0</v>
      </c>
      <c r="W5883">
        <v>0</v>
      </c>
      <c r="X5883">
        <v>1</v>
      </c>
      <c r="Z5883">
        <v>0</v>
      </c>
      <c r="AA5883">
        <v>9</v>
      </c>
      <c r="AB5883">
        <v>3</v>
      </c>
      <c r="AC5883">
        <v>0</v>
      </c>
      <c r="AD5883">
        <v>10</v>
      </c>
      <c r="AE5883">
        <v>0</v>
      </c>
      <c r="AF5883">
        <v>3</v>
      </c>
      <c r="AG5883">
        <v>2</v>
      </c>
      <c r="AH5883">
        <v>0</v>
      </c>
      <c r="AI5883" t="s">
        <v>1264</v>
      </c>
      <c r="AJ5883">
        <v>28.204737000000002</v>
      </c>
      <c r="AK5883" t="s">
        <v>1306</v>
      </c>
      <c r="AL5883">
        <v>-82.371775999999997</v>
      </c>
      <c r="AM5883">
        <v>100</v>
      </c>
      <c r="AN5883">
        <v>400</v>
      </c>
      <c r="AO5883" t="s">
        <v>118</v>
      </c>
      <c r="AP5883">
        <v>82</v>
      </c>
      <c r="AQ5883">
        <v>40</v>
      </c>
      <c r="AR5883">
        <v>-960</v>
      </c>
      <c r="AZ5883">
        <v>1200</v>
      </c>
      <c r="BA5883">
        <v>1</v>
      </c>
      <c r="BB5883" t="str">
        <f t="shared" si="2735"/>
        <v xml:space="preserve">N711JA  </v>
      </c>
      <c r="BC5883">
        <v>1</v>
      </c>
      <c r="BE5883">
        <v>0</v>
      </c>
      <c r="BF5883">
        <v>0</v>
      </c>
      <c r="BG5883">
        <v>0</v>
      </c>
      <c r="BH5883">
        <v>475</v>
      </c>
      <c r="BI5883">
        <v>1</v>
      </c>
      <c r="BJ5883">
        <v>1</v>
      </c>
      <c r="BK5883">
        <v>0</v>
      </c>
      <c r="BL5883">
        <v>0</v>
      </c>
      <c r="BO5883">
        <v>0</v>
      </c>
      <c r="BP5883">
        <v>0</v>
      </c>
      <c r="BW5883" t="str">
        <f t="shared" si="2755"/>
        <v>14:52:17.677</v>
      </c>
      <c r="CJ5883">
        <v>0</v>
      </c>
      <c r="CK5883">
        <v>2</v>
      </c>
      <c r="CL5883">
        <v>0</v>
      </c>
      <c r="CM5883">
        <v>2</v>
      </c>
      <c r="CN5883">
        <v>0</v>
      </c>
      <c r="CO5883">
        <v>6</v>
      </c>
      <c r="CP5883" t="s">
        <v>119</v>
      </c>
      <c r="CQ5883">
        <v>343</v>
      </c>
      <c r="CR5883">
        <v>2</v>
      </c>
      <c r="CW5883">
        <v>13451211</v>
      </c>
      <c r="CY5883">
        <v>1</v>
      </c>
      <c r="CZ5883">
        <v>0</v>
      </c>
      <c r="DA5883">
        <v>1</v>
      </c>
      <c r="DB5883">
        <v>0</v>
      </c>
      <c r="DC5883">
        <v>0</v>
      </c>
      <c r="DD5883">
        <v>1</v>
      </c>
      <c r="DE5883">
        <v>0</v>
      </c>
      <c r="DF5883">
        <v>0</v>
      </c>
      <c r="DG5883">
        <v>0</v>
      </c>
      <c r="DH5883">
        <v>0</v>
      </c>
      <c r="DI5883">
        <v>0</v>
      </c>
    </row>
    <row r="5884" spans="1:113" x14ac:dyDescent="0.3">
      <c r="A5884" t="str">
        <f t="shared" si="2752"/>
        <v>05/12/2020 14:51:59.855</v>
      </c>
      <c r="C5884" t="str">
        <f t="shared" si="2734"/>
        <v>FFDFD3C0</v>
      </c>
      <c r="D5884" t="s">
        <v>131</v>
      </c>
      <c r="E5884">
        <v>10</v>
      </c>
      <c r="F5884">
        <v>2010</v>
      </c>
      <c r="G5884" t="s">
        <v>132</v>
      </c>
      <c r="J5884" t="s">
        <v>133</v>
      </c>
      <c r="K5884">
        <v>0</v>
      </c>
      <c r="L5884">
        <v>3</v>
      </c>
      <c r="M5884">
        <v>0</v>
      </c>
      <c r="N5884">
        <v>2</v>
      </c>
      <c r="O5884">
        <v>1</v>
      </c>
      <c r="P5884">
        <v>0</v>
      </c>
      <c r="Q5884">
        <v>0</v>
      </c>
      <c r="S5884" t="str">
        <f t="shared" si="2753"/>
        <v>14:52:17.672</v>
      </c>
      <c r="T5884" t="str">
        <f t="shared" si="2754"/>
        <v>14:52:17.372</v>
      </c>
      <c r="U5884" t="str">
        <f t="shared" si="2725"/>
        <v>A9808D</v>
      </c>
      <c r="V5884">
        <v>0</v>
      </c>
      <c r="W5884">
        <v>0</v>
      </c>
      <c r="X5884">
        <v>1</v>
      </c>
      <c r="Z5884">
        <v>0</v>
      </c>
      <c r="AA5884">
        <v>9</v>
      </c>
      <c r="AB5884">
        <v>3</v>
      </c>
      <c r="AC5884">
        <v>0</v>
      </c>
      <c r="AD5884">
        <v>10</v>
      </c>
      <c r="AE5884">
        <v>0</v>
      </c>
      <c r="AF5884">
        <v>3</v>
      </c>
      <c r="AG5884">
        <v>2</v>
      </c>
      <c r="AH5884">
        <v>0</v>
      </c>
      <c r="AI5884" t="s">
        <v>1264</v>
      </c>
      <c r="AJ5884">
        <v>28.204737000000002</v>
      </c>
      <c r="AK5884" t="s">
        <v>1306</v>
      </c>
      <c r="AL5884">
        <v>-82.371775999999997</v>
      </c>
      <c r="AM5884">
        <v>100</v>
      </c>
      <c r="AN5884">
        <v>400</v>
      </c>
      <c r="AO5884" t="s">
        <v>118</v>
      </c>
      <c r="AP5884">
        <v>82</v>
      </c>
      <c r="AQ5884">
        <v>40</v>
      </c>
      <c r="AR5884">
        <v>-960</v>
      </c>
      <c r="AZ5884">
        <v>1200</v>
      </c>
      <c r="BA5884">
        <v>1</v>
      </c>
      <c r="BB5884" t="str">
        <f t="shared" si="2735"/>
        <v xml:space="preserve">N711JA  </v>
      </c>
      <c r="BC5884">
        <v>1</v>
      </c>
      <c r="BE5884">
        <v>0</v>
      </c>
      <c r="BF5884">
        <v>0</v>
      </c>
      <c r="BG5884">
        <v>0</v>
      </c>
      <c r="BH5884">
        <v>475</v>
      </c>
      <c r="BI5884">
        <v>1</v>
      </c>
      <c r="BJ5884">
        <v>1</v>
      </c>
      <c r="BK5884">
        <v>0</v>
      </c>
      <c r="BL5884">
        <v>0</v>
      </c>
      <c r="BO5884">
        <v>0</v>
      </c>
      <c r="BP5884">
        <v>0</v>
      </c>
      <c r="BW5884" t="str">
        <f t="shared" si="2755"/>
        <v>14:52:17.677</v>
      </c>
      <c r="CJ5884">
        <v>0</v>
      </c>
      <c r="CK5884">
        <v>2</v>
      </c>
      <c r="CL5884">
        <v>0</v>
      </c>
      <c r="CM5884">
        <v>2</v>
      </c>
      <c r="CN5884">
        <v>0</v>
      </c>
      <c r="CO5884">
        <v>6</v>
      </c>
      <c r="CP5884" t="s">
        <v>119</v>
      </c>
      <c r="CQ5884">
        <v>343</v>
      </c>
      <c r="CR5884">
        <v>2</v>
      </c>
      <c r="CW5884">
        <v>13451211</v>
      </c>
      <c r="CY5884">
        <v>1</v>
      </c>
      <c r="CZ5884">
        <v>0</v>
      </c>
      <c r="DA5884">
        <v>1</v>
      </c>
      <c r="DB5884">
        <v>0</v>
      </c>
      <c r="DC5884">
        <v>0</v>
      </c>
      <c r="DD5884">
        <v>1</v>
      </c>
      <c r="DE5884">
        <v>0</v>
      </c>
      <c r="DF5884">
        <v>0</v>
      </c>
      <c r="DG5884">
        <v>0</v>
      </c>
      <c r="DH5884">
        <v>0</v>
      </c>
      <c r="DI5884">
        <v>0</v>
      </c>
    </row>
    <row r="5885" spans="1:113" x14ac:dyDescent="0.3">
      <c r="A5885" t="str">
        <f t="shared" si="2752"/>
        <v>05/12/2020 14:51:59.855</v>
      </c>
      <c r="C5885" t="str">
        <f t="shared" si="2734"/>
        <v>FFDFD3C0</v>
      </c>
      <c r="D5885" t="s">
        <v>131</v>
      </c>
      <c r="E5885">
        <v>12</v>
      </c>
      <c r="F5885">
        <v>2012</v>
      </c>
      <c r="G5885" t="s">
        <v>137</v>
      </c>
      <c r="J5885" t="s">
        <v>133</v>
      </c>
      <c r="K5885">
        <v>0</v>
      </c>
      <c r="L5885">
        <v>3</v>
      </c>
      <c r="M5885">
        <v>0</v>
      </c>
      <c r="N5885">
        <v>2</v>
      </c>
      <c r="O5885">
        <v>1</v>
      </c>
      <c r="P5885">
        <v>0</v>
      </c>
      <c r="Q5885">
        <v>0</v>
      </c>
      <c r="S5885" t="str">
        <f t="shared" si="2753"/>
        <v>14:52:17.672</v>
      </c>
      <c r="T5885" t="str">
        <f t="shared" si="2754"/>
        <v>14:52:17.372</v>
      </c>
      <c r="U5885" t="str">
        <f t="shared" si="2725"/>
        <v>A9808D</v>
      </c>
      <c r="V5885">
        <v>0</v>
      </c>
      <c r="W5885">
        <v>0</v>
      </c>
      <c r="X5885">
        <v>1</v>
      </c>
      <c r="Z5885">
        <v>0</v>
      </c>
      <c r="AA5885">
        <v>9</v>
      </c>
      <c r="AB5885">
        <v>3</v>
      </c>
      <c r="AC5885">
        <v>0</v>
      </c>
      <c r="AD5885">
        <v>10</v>
      </c>
      <c r="AE5885">
        <v>0</v>
      </c>
      <c r="AF5885">
        <v>3</v>
      </c>
      <c r="AG5885">
        <v>2</v>
      </c>
      <c r="AH5885">
        <v>0</v>
      </c>
      <c r="AI5885" t="s">
        <v>1264</v>
      </c>
      <c r="AJ5885">
        <v>28.204737000000002</v>
      </c>
      <c r="AK5885" t="s">
        <v>1306</v>
      </c>
      <c r="AL5885">
        <v>-82.371775999999997</v>
      </c>
      <c r="AM5885">
        <v>100</v>
      </c>
      <c r="AN5885">
        <v>400</v>
      </c>
      <c r="AO5885" t="s">
        <v>118</v>
      </c>
      <c r="AP5885">
        <v>82</v>
      </c>
      <c r="AQ5885">
        <v>40</v>
      </c>
      <c r="AR5885">
        <v>-960</v>
      </c>
      <c r="AZ5885">
        <v>1200</v>
      </c>
      <c r="BA5885">
        <v>1</v>
      </c>
      <c r="BB5885" t="str">
        <f t="shared" si="2735"/>
        <v xml:space="preserve">N711JA  </v>
      </c>
      <c r="BC5885">
        <v>1</v>
      </c>
      <c r="BE5885">
        <v>0</v>
      </c>
      <c r="BF5885">
        <v>0</v>
      </c>
      <c r="BG5885">
        <v>0</v>
      </c>
      <c r="BH5885">
        <v>475</v>
      </c>
      <c r="BI5885">
        <v>1</v>
      </c>
      <c r="BJ5885">
        <v>1</v>
      </c>
      <c r="BK5885">
        <v>0</v>
      </c>
      <c r="BL5885">
        <v>0</v>
      </c>
      <c r="BO5885">
        <v>0</v>
      </c>
      <c r="BP5885">
        <v>0</v>
      </c>
      <c r="BW5885" t="str">
        <f t="shared" si="2755"/>
        <v>14:52:17.677</v>
      </c>
      <c r="CJ5885">
        <v>0</v>
      </c>
      <c r="CK5885">
        <v>2</v>
      </c>
      <c r="CL5885">
        <v>0</v>
      </c>
      <c r="CM5885">
        <v>2</v>
      </c>
      <c r="CN5885">
        <v>0</v>
      </c>
      <c r="CO5885">
        <v>6</v>
      </c>
      <c r="CP5885" t="s">
        <v>119</v>
      </c>
      <c r="CQ5885">
        <v>343</v>
      </c>
      <c r="CR5885">
        <v>2</v>
      </c>
      <c r="CW5885">
        <v>13451211</v>
      </c>
      <c r="CY5885">
        <v>1</v>
      </c>
      <c r="CZ5885">
        <v>0</v>
      </c>
      <c r="DA5885">
        <v>1</v>
      </c>
      <c r="DB5885">
        <v>0</v>
      </c>
      <c r="DC5885">
        <v>0</v>
      </c>
      <c r="DD5885">
        <v>1</v>
      </c>
      <c r="DE5885">
        <v>0</v>
      </c>
      <c r="DF5885">
        <v>0</v>
      </c>
      <c r="DG5885">
        <v>0</v>
      </c>
      <c r="DH5885">
        <v>0</v>
      </c>
      <c r="DI5885">
        <v>0</v>
      </c>
    </row>
    <row r="5886" spans="1:113" x14ac:dyDescent="0.3">
      <c r="A5886" t="str">
        <f t="shared" si="2752"/>
        <v>05/12/2020 14:51:59.855</v>
      </c>
      <c r="C5886" t="str">
        <f t="shared" si="2734"/>
        <v>FFDFD3C0</v>
      </c>
      <c r="D5886" t="s">
        <v>126</v>
      </c>
      <c r="E5886">
        <v>7</v>
      </c>
      <c r="F5886">
        <v>1007</v>
      </c>
      <c r="G5886" t="s">
        <v>127</v>
      </c>
      <c r="J5886" t="s">
        <v>128</v>
      </c>
      <c r="K5886">
        <v>0</v>
      </c>
      <c r="L5886">
        <v>3</v>
      </c>
      <c r="M5886">
        <v>0</v>
      </c>
      <c r="N5886">
        <v>2</v>
      </c>
      <c r="O5886">
        <v>1</v>
      </c>
      <c r="P5886">
        <v>0</v>
      </c>
      <c r="Q5886">
        <v>0</v>
      </c>
      <c r="S5886" t="str">
        <f t="shared" si="2753"/>
        <v>14:52:17.672</v>
      </c>
      <c r="T5886" t="str">
        <f t="shared" si="2754"/>
        <v>14:52:17.372</v>
      </c>
      <c r="U5886" t="str">
        <f t="shared" si="2725"/>
        <v>A9808D</v>
      </c>
      <c r="V5886">
        <v>0</v>
      </c>
      <c r="W5886">
        <v>0</v>
      </c>
      <c r="X5886">
        <v>1</v>
      </c>
      <c r="Z5886">
        <v>0</v>
      </c>
      <c r="AA5886">
        <v>9</v>
      </c>
      <c r="AB5886">
        <v>3</v>
      </c>
      <c r="AC5886">
        <v>0</v>
      </c>
      <c r="AD5886">
        <v>10</v>
      </c>
      <c r="AE5886">
        <v>0</v>
      </c>
      <c r="AF5886">
        <v>3</v>
      </c>
      <c r="AG5886">
        <v>2</v>
      </c>
      <c r="AH5886">
        <v>0</v>
      </c>
      <c r="AI5886" t="s">
        <v>1264</v>
      </c>
      <c r="AJ5886">
        <v>28.204737000000002</v>
      </c>
      <c r="AK5886" t="s">
        <v>1306</v>
      </c>
      <c r="AL5886">
        <v>-82.371775999999997</v>
      </c>
      <c r="AM5886">
        <v>100</v>
      </c>
      <c r="AN5886">
        <v>400</v>
      </c>
      <c r="AO5886" t="s">
        <v>118</v>
      </c>
      <c r="AP5886">
        <v>82</v>
      </c>
      <c r="AQ5886">
        <v>40</v>
      </c>
      <c r="AR5886">
        <v>-960</v>
      </c>
      <c r="AZ5886">
        <v>1200</v>
      </c>
      <c r="BA5886">
        <v>1</v>
      </c>
      <c r="BB5886" t="str">
        <f t="shared" si="2735"/>
        <v xml:space="preserve">N711JA  </v>
      </c>
      <c r="BC5886">
        <v>1</v>
      </c>
      <c r="BE5886">
        <v>0</v>
      </c>
      <c r="BF5886">
        <v>0</v>
      </c>
      <c r="BG5886">
        <v>0</v>
      </c>
      <c r="BH5886">
        <v>475</v>
      </c>
      <c r="BI5886">
        <v>1</v>
      </c>
      <c r="BJ5886">
        <v>1</v>
      </c>
      <c r="BK5886">
        <v>0</v>
      </c>
      <c r="BL5886">
        <v>0</v>
      </c>
      <c r="BO5886">
        <v>0</v>
      </c>
      <c r="BP5886">
        <v>0</v>
      </c>
      <c r="BW5886" t="str">
        <f t="shared" si="2755"/>
        <v>14:52:17.677</v>
      </c>
      <c r="CJ5886">
        <v>0</v>
      </c>
      <c r="CK5886">
        <v>2</v>
      </c>
      <c r="CL5886">
        <v>0</v>
      </c>
      <c r="CM5886">
        <v>2</v>
      </c>
      <c r="CN5886">
        <v>0</v>
      </c>
      <c r="CO5886">
        <v>6</v>
      </c>
      <c r="CP5886" t="s">
        <v>119</v>
      </c>
      <c r="CQ5886">
        <v>343</v>
      </c>
      <c r="CR5886">
        <v>2</v>
      </c>
      <c r="CW5886">
        <v>13451211</v>
      </c>
      <c r="CY5886">
        <v>1</v>
      </c>
      <c r="CZ5886">
        <v>0</v>
      </c>
      <c r="DA5886">
        <v>1</v>
      </c>
      <c r="DB5886">
        <v>0</v>
      </c>
      <c r="DC5886">
        <v>0</v>
      </c>
      <c r="DD5886">
        <v>1</v>
      </c>
      <c r="DE5886">
        <v>0</v>
      </c>
      <c r="DF5886">
        <v>0</v>
      </c>
      <c r="DG5886">
        <v>0</v>
      </c>
      <c r="DH5886">
        <v>0</v>
      </c>
      <c r="DI5886">
        <v>0</v>
      </c>
    </row>
    <row r="5887" spans="1:113" x14ac:dyDescent="0.3">
      <c r="A5887" t="str">
        <f t="shared" si="2752"/>
        <v>05/12/2020 14:51:59.855</v>
      </c>
      <c r="C5887" t="str">
        <f t="shared" si="2734"/>
        <v>FFDFD3C0</v>
      </c>
      <c r="D5887" t="s">
        <v>134</v>
      </c>
      <c r="E5887">
        <v>12</v>
      </c>
      <c r="H5887">
        <v>64</v>
      </c>
      <c r="I5887" t="s">
        <v>135</v>
      </c>
      <c r="J5887" t="s">
        <v>136</v>
      </c>
      <c r="K5887">
        <v>0</v>
      </c>
      <c r="L5887">
        <v>3</v>
      </c>
      <c r="M5887">
        <v>0</v>
      </c>
      <c r="N5887">
        <v>2</v>
      </c>
      <c r="O5887">
        <v>1</v>
      </c>
      <c r="P5887">
        <v>0</v>
      </c>
      <c r="Q5887">
        <v>0</v>
      </c>
      <c r="S5887" t="str">
        <f t="shared" si="2753"/>
        <v>14:52:17.672</v>
      </c>
      <c r="T5887" t="str">
        <f t="shared" si="2754"/>
        <v>14:52:17.372</v>
      </c>
      <c r="U5887" t="str">
        <f t="shared" si="2725"/>
        <v>A9808D</v>
      </c>
      <c r="V5887">
        <v>0</v>
      </c>
      <c r="W5887">
        <v>0</v>
      </c>
      <c r="X5887">
        <v>1</v>
      </c>
      <c r="Z5887">
        <v>0</v>
      </c>
      <c r="AA5887">
        <v>9</v>
      </c>
      <c r="AB5887">
        <v>3</v>
      </c>
      <c r="AC5887">
        <v>0</v>
      </c>
      <c r="AD5887">
        <v>10</v>
      </c>
      <c r="AE5887">
        <v>0</v>
      </c>
      <c r="AF5887">
        <v>3</v>
      </c>
      <c r="AG5887">
        <v>2</v>
      </c>
      <c r="AH5887">
        <v>0</v>
      </c>
      <c r="AI5887" t="s">
        <v>1264</v>
      </c>
      <c r="AJ5887">
        <v>28.204737000000002</v>
      </c>
      <c r="AK5887" t="s">
        <v>1306</v>
      </c>
      <c r="AL5887">
        <v>-82.371775999999997</v>
      </c>
      <c r="AM5887">
        <v>100</v>
      </c>
      <c r="AN5887">
        <v>400</v>
      </c>
      <c r="AO5887" t="s">
        <v>118</v>
      </c>
      <c r="AP5887">
        <v>82</v>
      </c>
      <c r="AQ5887">
        <v>40</v>
      </c>
      <c r="AR5887">
        <v>-960</v>
      </c>
      <c r="AZ5887">
        <v>1200</v>
      </c>
      <c r="BA5887">
        <v>1</v>
      </c>
      <c r="BB5887" t="str">
        <f t="shared" si="2735"/>
        <v xml:space="preserve">N711JA  </v>
      </c>
      <c r="BC5887">
        <v>1</v>
      </c>
      <c r="BE5887">
        <v>0</v>
      </c>
      <c r="BF5887">
        <v>0</v>
      </c>
      <c r="BG5887">
        <v>0</v>
      </c>
      <c r="BH5887">
        <v>475</v>
      </c>
      <c r="BI5887">
        <v>1</v>
      </c>
      <c r="BJ5887">
        <v>1</v>
      </c>
      <c r="BK5887">
        <v>0</v>
      </c>
      <c r="BL5887">
        <v>0</v>
      </c>
      <c r="BO5887">
        <v>0</v>
      </c>
      <c r="BP5887">
        <v>0</v>
      </c>
      <c r="BW5887" t="str">
        <f t="shared" si="2755"/>
        <v>14:52:17.677</v>
      </c>
      <c r="CJ5887">
        <v>0</v>
      </c>
      <c r="CK5887">
        <v>2</v>
      </c>
      <c r="CL5887">
        <v>0</v>
      </c>
      <c r="CM5887">
        <v>2</v>
      </c>
      <c r="CN5887">
        <v>0</v>
      </c>
      <c r="CO5887">
        <v>6</v>
      </c>
      <c r="CP5887" t="s">
        <v>119</v>
      </c>
      <c r="CQ5887">
        <v>343</v>
      </c>
      <c r="CR5887">
        <v>2</v>
      </c>
      <c r="CW5887">
        <v>13451211</v>
      </c>
      <c r="CY5887">
        <v>1</v>
      </c>
      <c r="CZ5887">
        <v>0</v>
      </c>
      <c r="DA5887">
        <v>1</v>
      </c>
      <c r="DB5887">
        <v>0</v>
      </c>
      <c r="DC5887">
        <v>0</v>
      </c>
      <c r="DD5887">
        <v>1</v>
      </c>
      <c r="DE5887">
        <v>0</v>
      </c>
      <c r="DF5887">
        <v>0</v>
      </c>
      <c r="DG5887">
        <v>0</v>
      </c>
      <c r="DH5887">
        <v>0</v>
      </c>
      <c r="DI5887">
        <v>0</v>
      </c>
    </row>
    <row r="5888" spans="1:113" x14ac:dyDescent="0.3">
      <c r="A5888" t="str">
        <f t="shared" si="2752"/>
        <v>05/12/2020 14:51:59.855</v>
      </c>
      <c r="C5888" t="str">
        <f t="shared" si="2734"/>
        <v>FFDFD3C0</v>
      </c>
      <c r="D5888" t="s">
        <v>126</v>
      </c>
      <c r="E5888">
        <v>6</v>
      </c>
      <c r="F5888">
        <v>1006</v>
      </c>
      <c r="G5888" t="s">
        <v>114</v>
      </c>
      <c r="J5888" t="s">
        <v>128</v>
      </c>
      <c r="K5888">
        <v>0</v>
      </c>
      <c r="L5888">
        <v>3</v>
      </c>
      <c r="M5888">
        <v>0</v>
      </c>
      <c r="N5888">
        <v>2</v>
      </c>
      <c r="O5888">
        <v>1</v>
      </c>
      <c r="P5888">
        <v>0</v>
      </c>
      <c r="Q5888">
        <v>0</v>
      </c>
      <c r="S5888" t="str">
        <f t="shared" si="2753"/>
        <v>14:52:17.672</v>
      </c>
      <c r="T5888" t="str">
        <f t="shared" si="2754"/>
        <v>14:52:17.372</v>
      </c>
      <c r="U5888" t="str">
        <f t="shared" si="2725"/>
        <v>A9808D</v>
      </c>
      <c r="V5888">
        <v>0</v>
      </c>
      <c r="W5888">
        <v>0</v>
      </c>
      <c r="X5888">
        <v>1</v>
      </c>
      <c r="Z5888">
        <v>0</v>
      </c>
      <c r="AA5888">
        <v>9</v>
      </c>
      <c r="AB5888">
        <v>3</v>
      </c>
      <c r="AC5888">
        <v>0</v>
      </c>
      <c r="AD5888">
        <v>10</v>
      </c>
      <c r="AE5888">
        <v>0</v>
      </c>
      <c r="AF5888">
        <v>3</v>
      </c>
      <c r="AG5888">
        <v>2</v>
      </c>
      <c r="AH5888">
        <v>0</v>
      </c>
      <c r="AI5888" t="s">
        <v>1264</v>
      </c>
      <c r="AJ5888">
        <v>28.204737000000002</v>
      </c>
      <c r="AK5888" t="s">
        <v>1306</v>
      </c>
      <c r="AL5888">
        <v>-82.371775999999997</v>
      </c>
      <c r="AM5888">
        <v>100</v>
      </c>
      <c r="AN5888">
        <v>400</v>
      </c>
      <c r="AO5888" t="s">
        <v>118</v>
      </c>
      <c r="AP5888">
        <v>82</v>
      </c>
      <c r="AQ5888">
        <v>40</v>
      </c>
      <c r="AR5888">
        <v>-960</v>
      </c>
      <c r="AZ5888">
        <v>1200</v>
      </c>
      <c r="BA5888">
        <v>1</v>
      </c>
      <c r="BB5888" t="str">
        <f t="shared" si="2735"/>
        <v xml:space="preserve">N711JA  </v>
      </c>
      <c r="BC5888">
        <v>1</v>
      </c>
      <c r="BE5888">
        <v>0</v>
      </c>
      <c r="BF5888">
        <v>0</v>
      </c>
      <c r="BG5888">
        <v>0</v>
      </c>
      <c r="BH5888">
        <v>475</v>
      </c>
      <c r="BI5888">
        <v>1</v>
      </c>
      <c r="BJ5888">
        <v>1</v>
      </c>
      <c r="BK5888">
        <v>0</v>
      </c>
      <c r="BL5888">
        <v>0</v>
      </c>
      <c r="BO5888">
        <v>0</v>
      </c>
      <c r="BP5888">
        <v>0</v>
      </c>
      <c r="BW5888" t="str">
        <f t="shared" si="2755"/>
        <v>14:52:17.677</v>
      </c>
      <c r="CJ5888">
        <v>0</v>
      </c>
      <c r="CK5888">
        <v>2</v>
      </c>
      <c r="CL5888">
        <v>0</v>
      </c>
      <c r="CM5888">
        <v>2</v>
      </c>
      <c r="CN5888">
        <v>0</v>
      </c>
      <c r="CO5888">
        <v>6</v>
      </c>
      <c r="CP5888" t="s">
        <v>119</v>
      </c>
      <c r="CQ5888">
        <v>343</v>
      </c>
      <c r="CR5888">
        <v>2</v>
      </c>
      <c r="CW5888">
        <v>13451211</v>
      </c>
      <c r="CY5888">
        <v>1</v>
      </c>
      <c r="CZ5888">
        <v>0</v>
      </c>
      <c r="DA5888">
        <v>1</v>
      </c>
      <c r="DB5888">
        <v>0</v>
      </c>
      <c r="DC5888">
        <v>0</v>
      </c>
      <c r="DD5888">
        <v>1</v>
      </c>
      <c r="DE5888">
        <v>0</v>
      </c>
      <c r="DF5888">
        <v>0</v>
      </c>
      <c r="DG5888">
        <v>0</v>
      </c>
      <c r="DH5888">
        <v>0</v>
      </c>
      <c r="DI5888">
        <v>0</v>
      </c>
    </row>
    <row r="5889" spans="1:113" x14ac:dyDescent="0.3">
      <c r="A5889" t="str">
        <f t="shared" ref="A5889:A5896" si="2756">"05/12/2020 14:52:00.764"</f>
        <v>05/12/2020 14:52:00.764</v>
      </c>
      <c r="C5889" t="str">
        <f t="shared" si="2734"/>
        <v>FFDFD3C0</v>
      </c>
      <c r="D5889" t="s">
        <v>138</v>
      </c>
      <c r="E5889">
        <v>3</v>
      </c>
      <c r="H5889">
        <v>9</v>
      </c>
      <c r="I5889" t="s">
        <v>140</v>
      </c>
      <c r="J5889" t="s">
        <v>136</v>
      </c>
      <c r="K5889">
        <v>0</v>
      </c>
      <c r="L5889">
        <v>3</v>
      </c>
      <c r="M5889">
        <v>0</v>
      </c>
      <c r="N5889">
        <v>2</v>
      </c>
      <c r="O5889">
        <v>1</v>
      </c>
      <c r="P5889">
        <v>0</v>
      </c>
      <c r="Q5889">
        <v>0</v>
      </c>
      <c r="S5889" t="str">
        <f t="shared" ref="S5889:S5896" si="2757">"14:52:18.602"</f>
        <v>14:52:18.602</v>
      </c>
      <c r="T5889" t="str">
        <f t="shared" ref="T5889:T5896" si="2758">"14:52:18.402"</f>
        <v>14:52:18.402</v>
      </c>
      <c r="U5889" t="str">
        <f t="shared" si="2725"/>
        <v>A9808D</v>
      </c>
      <c r="V5889">
        <v>0</v>
      </c>
      <c r="W5889">
        <v>0</v>
      </c>
      <c r="X5889">
        <v>1</v>
      </c>
      <c r="Z5889">
        <v>0</v>
      </c>
      <c r="AA5889">
        <v>9</v>
      </c>
      <c r="AB5889">
        <v>3</v>
      </c>
      <c r="AC5889">
        <v>0</v>
      </c>
      <c r="AD5889">
        <v>10</v>
      </c>
      <c r="AE5889">
        <v>0</v>
      </c>
      <c r="AF5889">
        <v>3</v>
      </c>
      <c r="AG5889">
        <v>2</v>
      </c>
      <c r="AH5889">
        <v>0</v>
      </c>
      <c r="AI5889" t="s">
        <v>1307</v>
      </c>
      <c r="AJ5889">
        <v>28.204930000000001</v>
      </c>
      <c r="AK5889" t="s">
        <v>1308</v>
      </c>
      <c r="AL5889">
        <v>-82.371368000000004</v>
      </c>
      <c r="AM5889">
        <v>100</v>
      </c>
      <c r="AN5889">
        <v>400</v>
      </c>
      <c r="AO5889" t="s">
        <v>118</v>
      </c>
      <c r="AP5889">
        <v>80</v>
      </c>
      <c r="AQ5889">
        <v>42</v>
      </c>
      <c r="AR5889">
        <v>-1024</v>
      </c>
      <c r="AZ5889">
        <v>1200</v>
      </c>
      <c r="BA5889">
        <v>1</v>
      </c>
      <c r="BB5889" t="str">
        <f t="shared" si="2735"/>
        <v xml:space="preserve">N711JA  </v>
      </c>
      <c r="BC5889">
        <v>1</v>
      </c>
      <c r="BE5889">
        <v>0</v>
      </c>
      <c r="BF5889">
        <v>0</v>
      </c>
      <c r="BG5889">
        <v>0</v>
      </c>
      <c r="BH5889">
        <v>450</v>
      </c>
      <c r="BI5889">
        <v>1</v>
      </c>
      <c r="BJ5889">
        <v>1</v>
      </c>
      <c r="BK5889">
        <v>0</v>
      </c>
      <c r="BL5889">
        <v>0</v>
      </c>
      <c r="BO5889">
        <v>0</v>
      </c>
      <c r="BP5889">
        <v>0</v>
      </c>
      <c r="BW5889" t="str">
        <f t="shared" ref="BW5889:BW5896" si="2759">"14:52:18.609"</f>
        <v>14:52:18.609</v>
      </c>
      <c r="CJ5889">
        <v>0</v>
      </c>
      <c r="CK5889">
        <v>2</v>
      </c>
      <c r="CL5889">
        <v>0</v>
      </c>
      <c r="CM5889">
        <v>2</v>
      </c>
      <c r="CN5889">
        <v>0</v>
      </c>
      <c r="CO5889">
        <v>7</v>
      </c>
      <c r="CP5889" t="s">
        <v>119</v>
      </c>
      <c r="CQ5889">
        <v>343</v>
      </c>
      <c r="CR5889">
        <v>1</v>
      </c>
      <c r="CW5889">
        <v>11214600</v>
      </c>
      <c r="CY5889">
        <v>1</v>
      </c>
      <c r="CZ5889">
        <v>0</v>
      </c>
      <c r="DA5889">
        <v>0</v>
      </c>
      <c r="DB5889">
        <v>0</v>
      </c>
      <c r="DC5889">
        <v>0</v>
      </c>
      <c r="DD5889">
        <v>1</v>
      </c>
      <c r="DE5889">
        <v>0</v>
      </c>
      <c r="DF5889">
        <v>0</v>
      </c>
      <c r="DG5889">
        <v>0</v>
      </c>
      <c r="DH5889">
        <v>0</v>
      </c>
      <c r="DI5889">
        <v>0</v>
      </c>
    </row>
    <row r="5890" spans="1:113" x14ac:dyDescent="0.3">
      <c r="A5890" t="str">
        <f t="shared" si="2756"/>
        <v>05/12/2020 14:52:00.764</v>
      </c>
      <c r="C5890" t="str">
        <f t="shared" si="2734"/>
        <v>FFDFD3C0</v>
      </c>
      <c r="D5890" t="s">
        <v>138</v>
      </c>
      <c r="E5890">
        <v>2</v>
      </c>
      <c r="H5890">
        <v>8</v>
      </c>
      <c r="I5890" t="s">
        <v>139</v>
      </c>
      <c r="J5890" t="s">
        <v>136</v>
      </c>
      <c r="K5890">
        <v>0</v>
      </c>
      <c r="L5890">
        <v>3</v>
      </c>
      <c r="M5890">
        <v>0</v>
      </c>
      <c r="N5890">
        <v>2</v>
      </c>
      <c r="O5890">
        <v>1</v>
      </c>
      <c r="P5890">
        <v>0</v>
      </c>
      <c r="Q5890">
        <v>0</v>
      </c>
      <c r="S5890" t="str">
        <f t="shared" si="2757"/>
        <v>14:52:18.602</v>
      </c>
      <c r="T5890" t="str">
        <f t="shared" si="2758"/>
        <v>14:52:18.402</v>
      </c>
      <c r="U5890" t="str">
        <f t="shared" ref="U5890:U5953" si="2760">"A9808D"</f>
        <v>A9808D</v>
      </c>
      <c r="V5890">
        <v>0</v>
      </c>
      <c r="W5890">
        <v>0</v>
      </c>
      <c r="X5890">
        <v>1</v>
      </c>
      <c r="Z5890">
        <v>0</v>
      </c>
      <c r="AA5890">
        <v>9</v>
      </c>
      <c r="AB5890">
        <v>3</v>
      </c>
      <c r="AC5890">
        <v>0</v>
      </c>
      <c r="AD5890">
        <v>10</v>
      </c>
      <c r="AE5890">
        <v>0</v>
      </c>
      <c r="AF5890">
        <v>3</v>
      </c>
      <c r="AG5890">
        <v>2</v>
      </c>
      <c r="AH5890">
        <v>0</v>
      </c>
      <c r="AI5890" t="s">
        <v>1307</v>
      </c>
      <c r="AJ5890">
        <v>28.204930000000001</v>
      </c>
      <c r="AK5890" t="s">
        <v>1308</v>
      </c>
      <c r="AL5890">
        <v>-82.371368000000004</v>
      </c>
      <c r="AM5890">
        <v>100</v>
      </c>
      <c r="AN5890">
        <v>400</v>
      </c>
      <c r="AO5890" t="s">
        <v>118</v>
      </c>
      <c r="AP5890">
        <v>80</v>
      </c>
      <c r="AQ5890">
        <v>42</v>
      </c>
      <c r="AR5890">
        <v>-1024</v>
      </c>
      <c r="AZ5890">
        <v>1200</v>
      </c>
      <c r="BA5890">
        <v>1</v>
      </c>
      <c r="BB5890" t="str">
        <f t="shared" si="2735"/>
        <v xml:space="preserve">N711JA  </v>
      </c>
      <c r="BC5890">
        <v>1</v>
      </c>
      <c r="BE5890">
        <v>0</v>
      </c>
      <c r="BF5890">
        <v>0</v>
      </c>
      <c r="BG5890">
        <v>0</v>
      </c>
      <c r="BH5890">
        <v>450</v>
      </c>
      <c r="BI5890">
        <v>1</v>
      </c>
      <c r="BJ5890">
        <v>1</v>
      </c>
      <c r="BK5890">
        <v>0</v>
      </c>
      <c r="BL5890">
        <v>0</v>
      </c>
      <c r="BO5890">
        <v>0</v>
      </c>
      <c r="BP5890">
        <v>0</v>
      </c>
      <c r="BW5890" t="str">
        <f t="shared" si="2759"/>
        <v>14:52:18.609</v>
      </c>
      <c r="CJ5890">
        <v>0</v>
      </c>
      <c r="CK5890">
        <v>2</v>
      </c>
      <c r="CL5890">
        <v>0</v>
      </c>
      <c r="CM5890">
        <v>2</v>
      </c>
      <c r="CN5890">
        <v>0</v>
      </c>
      <c r="CO5890">
        <v>7</v>
      </c>
      <c r="CP5890" t="s">
        <v>119</v>
      </c>
      <c r="CQ5890">
        <v>343</v>
      </c>
      <c r="CR5890">
        <v>1</v>
      </c>
      <c r="CW5890">
        <v>11214600</v>
      </c>
      <c r="CY5890">
        <v>1</v>
      </c>
      <c r="CZ5890">
        <v>0</v>
      </c>
      <c r="DA5890">
        <v>1</v>
      </c>
      <c r="DB5890">
        <v>0</v>
      </c>
      <c r="DC5890">
        <v>0</v>
      </c>
      <c r="DD5890">
        <v>1</v>
      </c>
      <c r="DE5890">
        <v>0</v>
      </c>
      <c r="DF5890">
        <v>0</v>
      </c>
      <c r="DG5890">
        <v>0</v>
      </c>
      <c r="DH5890">
        <v>0</v>
      </c>
      <c r="DI5890">
        <v>0</v>
      </c>
    </row>
    <row r="5891" spans="1:113" x14ac:dyDescent="0.3">
      <c r="A5891" t="str">
        <f t="shared" si="2756"/>
        <v>05/12/2020 14:52:00.764</v>
      </c>
      <c r="C5891" t="str">
        <f t="shared" si="2734"/>
        <v>FFDFD3C0</v>
      </c>
      <c r="D5891" t="s">
        <v>113</v>
      </c>
      <c r="E5891">
        <v>3</v>
      </c>
      <c r="H5891">
        <v>164</v>
      </c>
      <c r="I5891" t="s">
        <v>114</v>
      </c>
      <c r="J5891" t="s">
        <v>115</v>
      </c>
      <c r="K5891">
        <v>0</v>
      </c>
      <c r="L5891">
        <v>3</v>
      </c>
      <c r="M5891">
        <v>0</v>
      </c>
      <c r="N5891">
        <v>2</v>
      </c>
      <c r="O5891">
        <v>1</v>
      </c>
      <c r="P5891">
        <v>0</v>
      </c>
      <c r="Q5891">
        <v>0</v>
      </c>
      <c r="S5891" t="str">
        <f t="shared" si="2757"/>
        <v>14:52:18.602</v>
      </c>
      <c r="T5891" t="str">
        <f t="shared" si="2758"/>
        <v>14:52:18.402</v>
      </c>
      <c r="U5891" t="str">
        <f t="shared" si="2760"/>
        <v>A9808D</v>
      </c>
      <c r="V5891">
        <v>0</v>
      </c>
      <c r="W5891">
        <v>0</v>
      </c>
      <c r="X5891">
        <v>1</v>
      </c>
      <c r="Z5891">
        <v>0</v>
      </c>
      <c r="AA5891">
        <v>9</v>
      </c>
      <c r="AB5891">
        <v>3</v>
      </c>
      <c r="AC5891">
        <v>0</v>
      </c>
      <c r="AD5891">
        <v>10</v>
      </c>
      <c r="AE5891">
        <v>0</v>
      </c>
      <c r="AF5891">
        <v>3</v>
      </c>
      <c r="AG5891">
        <v>2</v>
      </c>
      <c r="AH5891">
        <v>0</v>
      </c>
      <c r="AI5891" t="s">
        <v>1307</v>
      </c>
      <c r="AJ5891">
        <v>28.204930000000001</v>
      </c>
      <c r="AK5891" t="s">
        <v>1308</v>
      </c>
      <c r="AL5891">
        <v>-82.371368000000004</v>
      </c>
      <c r="AM5891">
        <v>100</v>
      </c>
      <c r="AN5891">
        <v>400</v>
      </c>
      <c r="AO5891" t="s">
        <v>118</v>
      </c>
      <c r="AP5891">
        <v>80</v>
      </c>
      <c r="AQ5891">
        <v>42</v>
      </c>
      <c r="AR5891">
        <v>-1024</v>
      </c>
      <c r="AZ5891">
        <v>1200</v>
      </c>
      <c r="BA5891">
        <v>1</v>
      </c>
      <c r="BB5891" t="str">
        <f t="shared" si="2735"/>
        <v xml:space="preserve">N711JA  </v>
      </c>
      <c r="BC5891">
        <v>1</v>
      </c>
      <c r="BE5891">
        <v>0</v>
      </c>
      <c r="BF5891">
        <v>0</v>
      </c>
      <c r="BG5891">
        <v>0</v>
      </c>
      <c r="BH5891">
        <v>450</v>
      </c>
      <c r="BI5891">
        <v>1</v>
      </c>
      <c r="BJ5891">
        <v>1</v>
      </c>
      <c r="BK5891">
        <v>0</v>
      </c>
      <c r="BL5891">
        <v>0</v>
      </c>
      <c r="BO5891">
        <v>0</v>
      </c>
      <c r="BP5891">
        <v>0</v>
      </c>
      <c r="BW5891" t="str">
        <f t="shared" si="2759"/>
        <v>14:52:18.609</v>
      </c>
      <c r="CJ5891">
        <v>0</v>
      </c>
      <c r="CK5891">
        <v>2</v>
      </c>
      <c r="CL5891">
        <v>0</v>
      </c>
      <c r="CM5891">
        <v>2</v>
      </c>
      <c r="CN5891">
        <v>0</v>
      </c>
      <c r="CO5891">
        <v>7</v>
      </c>
      <c r="CP5891" t="s">
        <v>119</v>
      </c>
      <c r="CQ5891">
        <v>343</v>
      </c>
      <c r="CR5891">
        <v>1</v>
      </c>
      <c r="CW5891">
        <v>11214600</v>
      </c>
      <c r="CY5891">
        <v>1</v>
      </c>
      <c r="CZ5891">
        <v>0</v>
      </c>
      <c r="DA5891">
        <v>1</v>
      </c>
      <c r="DB5891">
        <v>0</v>
      </c>
      <c r="DC5891">
        <v>0</v>
      </c>
      <c r="DD5891">
        <v>1</v>
      </c>
      <c r="DE5891">
        <v>0</v>
      </c>
      <c r="DF5891">
        <v>0</v>
      </c>
      <c r="DG5891">
        <v>0</v>
      </c>
      <c r="DH5891">
        <v>0</v>
      </c>
      <c r="DI5891">
        <v>0</v>
      </c>
    </row>
    <row r="5892" spans="1:113" x14ac:dyDescent="0.3">
      <c r="A5892" t="str">
        <f t="shared" si="2756"/>
        <v>05/12/2020 14:52:00.764</v>
      </c>
      <c r="C5892" t="str">
        <f t="shared" si="2734"/>
        <v>FFDFD3C0</v>
      </c>
      <c r="D5892" t="s">
        <v>131</v>
      </c>
      <c r="E5892">
        <v>10</v>
      </c>
      <c r="F5892">
        <v>2010</v>
      </c>
      <c r="G5892" t="s">
        <v>132</v>
      </c>
      <c r="J5892" t="s">
        <v>133</v>
      </c>
      <c r="K5892">
        <v>0</v>
      </c>
      <c r="L5892">
        <v>3</v>
      </c>
      <c r="M5892">
        <v>0</v>
      </c>
      <c r="N5892">
        <v>2</v>
      </c>
      <c r="O5892">
        <v>1</v>
      </c>
      <c r="P5892">
        <v>0</v>
      </c>
      <c r="Q5892">
        <v>0</v>
      </c>
      <c r="S5892" t="str">
        <f t="shared" si="2757"/>
        <v>14:52:18.602</v>
      </c>
      <c r="T5892" t="str">
        <f t="shared" si="2758"/>
        <v>14:52:18.402</v>
      </c>
      <c r="U5892" t="str">
        <f t="shared" si="2760"/>
        <v>A9808D</v>
      </c>
      <c r="V5892">
        <v>0</v>
      </c>
      <c r="W5892">
        <v>0</v>
      </c>
      <c r="X5892">
        <v>1</v>
      </c>
      <c r="Z5892">
        <v>0</v>
      </c>
      <c r="AA5892">
        <v>9</v>
      </c>
      <c r="AB5892">
        <v>3</v>
      </c>
      <c r="AC5892">
        <v>0</v>
      </c>
      <c r="AD5892">
        <v>10</v>
      </c>
      <c r="AE5892">
        <v>0</v>
      </c>
      <c r="AF5892">
        <v>3</v>
      </c>
      <c r="AG5892">
        <v>2</v>
      </c>
      <c r="AH5892">
        <v>0</v>
      </c>
      <c r="AI5892" t="s">
        <v>1307</v>
      </c>
      <c r="AJ5892">
        <v>28.204930000000001</v>
      </c>
      <c r="AK5892" t="s">
        <v>1308</v>
      </c>
      <c r="AL5892">
        <v>-82.371368000000004</v>
      </c>
      <c r="AM5892">
        <v>100</v>
      </c>
      <c r="AN5892">
        <v>400</v>
      </c>
      <c r="AO5892" t="s">
        <v>118</v>
      </c>
      <c r="AP5892">
        <v>80</v>
      </c>
      <c r="AQ5892">
        <v>42</v>
      </c>
      <c r="AR5892">
        <v>-1024</v>
      </c>
      <c r="AZ5892">
        <v>1200</v>
      </c>
      <c r="BA5892">
        <v>1</v>
      </c>
      <c r="BB5892" t="str">
        <f t="shared" si="2735"/>
        <v xml:space="preserve">N711JA  </v>
      </c>
      <c r="BC5892">
        <v>1</v>
      </c>
      <c r="BE5892">
        <v>0</v>
      </c>
      <c r="BF5892">
        <v>0</v>
      </c>
      <c r="BG5892">
        <v>0</v>
      </c>
      <c r="BH5892">
        <v>450</v>
      </c>
      <c r="BI5892">
        <v>1</v>
      </c>
      <c r="BJ5892">
        <v>1</v>
      </c>
      <c r="BK5892">
        <v>0</v>
      </c>
      <c r="BL5892">
        <v>0</v>
      </c>
      <c r="BO5892">
        <v>0</v>
      </c>
      <c r="BP5892">
        <v>0</v>
      </c>
      <c r="BW5892" t="str">
        <f t="shared" si="2759"/>
        <v>14:52:18.609</v>
      </c>
      <c r="CJ5892">
        <v>0</v>
      </c>
      <c r="CK5892">
        <v>2</v>
      </c>
      <c r="CL5892">
        <v>0</v>
      </c>
      <c r="CM5892">
        <v>2</v>
      </c>
      <c r="CN5892">
        <v>0</v>
      </c>
      <c r="CO5892">
        <v>7</v>
      </c>
      <c r="CP5892" t="s">
        <v>119</v>
      </c>
      <c r="CQ5892">
        <v>343</v>
      </c>
      <c r="CR5892">
        <v>1</v>
      </c>
      <c r="CW5892">
        <v>11214600</v>
      </c>
      <c r="CY5892">
        <v>1</v>
      </c>
      <c r="CZ5892">
        <v>0</v>
      </c>
      <c r="DA5892">
        <v>1</v>
      </c>
      <c r="DB5892">
        <v>0</v>
      </c>
      <c r="DC5892">
        <v>0</v>
      </c>
      <c r="DD5892">
        <v>1</v>
      </c>
      <c r="DE5892">
        <v>0</v>
      </c>
      <c r="DF5892">
        <v>0</v>
      </c>
      <c r="DG5892">
        <v>0</v>
      </c>
      <c r="DH5892">
        <v>0</v>
      </c>
      <c r="DI5892">
        <v>0</v>
      </c>
    </row>
    <row r="5893" spans="1:113" x14ac:dyDescent="0.3">
      <c r="A5893" t="str">
        <f t="shared" si="2756"/>
        <v>05/12/2020 14:52:00.764</v>
      </c>
      <c r="C5893" t="str">
        <f t="shared" si="2734"/>
        <v>FFDFD3C0</v>
      </c>
      <c r="D5893" t="s">
        <v>126</v>
      </c>
      <c r="E5893">
        <v>7</v>
      </c>
      <c r="F5893">
        <v>1007</v>
      </c>
      <c r="G5893" t="s">
        <v>127</v>
      </c>
      <c r="J5893" t="s">
        <v>128</v>
      </c>
      <c r="K5893">
        <v>0</v>
      </c>
      <c r="L5893">
        <v>3</v>
      </c>
      <c r="M5893">
        <v>0</v>
      </c>
      <c r="N5893">
        <v>2</v>
      </c>
      <c r="O5893">
        <v>1</v>
      </c>
      <c r="P5893">
        <v>0</v>
      </c>
      <c r="Q5893">
        <v>0</v>
      </c>
      <c r="S5893" t="str">
        <f t="shared" si="2757"/>
        <v>14:52:18.602</v>
      </c>
      <c r="T5893" t="str">
        <f t="shared" si="2758"/>
        <v>14:52:18.402</v>
      </c>
      <c r="U5893" t="str">
        <f t="shared" si="2760"/>
        <v>A9808D</v>
      </c>
      <c r="V5893">
        <v>0</v>
      </c>
      <c r="W5893">
        <v>0</v>
      </c>
      <c r="X5893">
        <v>1</v>
      </c>
      <c r="Z5893">
        <v>0</v>
      </c>
      <c r="AA5893">
        <v>9</v>
      </c>
      <c r="AB5893">
        <v>3</v>
      </c>
      <c r="AC5893">
        <v>0</v>
      </c>
      <c r="AD5893">
        <v>10</v>
      </c>
      <c r="AE5893">
        <v>0</v>
      </c>
      <c r="AF5893">
        <v>3</v>
      </c>
      <c r="AG5893">
        <v>2</v>
      </c>
      <c r="AH5893">
        <v>0</v>
      </c>
      <c r="AI5893" t="s">
        <v>1307</v>
      </c>
      <c r="AJ5893">
        <v>28.204930000000001</v>
      </c>
      <c r="AK5893" t="s">
        <v>1308</v>
      </c>
      <c r="AL5893">
        <v>-82.371368000000004</v>
      </c>
      <c r="AM5893">
        <v>100</v>
      </c>
      <c r="AN5893">
        <v>400</v>
      </c>
      <c r="AO5893" t="s">
        <v>118</v>
      </c>
      <c r="AP5893">
        <v>80</v>
      </c>
      <c r="AQ5893">
        <v>42</v>
      </c>
      <c r="AR5893">
        <v>-1024</v>
      </c>
      <c r="AZ5893">
        <v>1200</v>
      </c>
      <c r="BA5893">
        <v>1</v>
      </c>
      <c r="BB5893" t="str">
        <f t="shared" si="2735"/>
        <v xml:space="preserve">N711JA  </v>
      </c>
      <c r="BC5893">
        <v>1</v>
      </c>
      <c r="BE5893">
        <v>0</v>
      </c>
      <c r="BF5893">
        <v>0</v>
      </c>
      <c r="BG5893">
        <v>0</v>
      </c>
      <c r="BH5893">
        <v>450</v>
      </c>
      <c r="BI5893">
        <v>1</v>
      </c>
      <c r="BJ5893">
        <v>1</v>
      </c>
      <c r="BK5893">
        <v>0</v>
      </c>
      <c r="BL5893">
        <v>0</v>
      </c>
      <c r="BO5893">
        <v>0</v>
      </c>
      <c r="BP5893">
        <v>0</v>
      </c>
      <c r="BW5893" t="str">
        <f t="shared" si="2759"/>
        <v>14:52:18.609</v>
      </c>
      <c r="CJ5893">
        <v>0</v>
      </c>
      <c r="CK5893">
        <v>2</v>
      </c>
      <c r="CL5893">
        <v>0</v>
      </c>
      <c r="CM5893">
        <v>2</v>
      </c>
      <c r="CN5893">
        <v>0</v>
      </c>
      <c r="CO5893">
        <v>7</v>
      </c>
      <c r="CP5893" t="s">
        <v>119</v>
      </c>
      <c r="CQ5893">
        <v>343</v>
      </c>
      <c r="CR5893">
        <v>1</v>
      </c>
      <c r="CW5893">
        <v>11214600</v>
      </c>
      <c r="CY5893">
        <v>1</v>
      </c>
      <c r="CZ5893">
        <v>0</v>
      </c>
      <c r="DA5893">
        <v>1</v>
      </c>
      <c r="DB5893">
        <v>0</v>
      </c>
      <c r="DC5893">
        <v>0</v>
      </c>
      <c r="DD5893">
        <v>1</v>
      </c>
      <c r="DE5893">
        <v>0</v>
      </c>
      <c r="DF5893">
        <v>0</v>
      </c>
      <c r="DG5893">
        <v>0</v>
      </c>
      <c r="DH5893">
        <v>0</v>
      </c>
      <c r="DI5893">
        <v>0</v>
      </c>
    </row>
    <row r="5894" spans="1:113" x14ac:dyDescent="0.3">
      <c r="A5894" t="str">
        <f t="shared" si="2756"/>
        <v>05/12/2020 14:52:00.764</v>
      </c>
      <c r="C5894" t="str">
        <f t="shared" si="2734"/>
        <v>FFDFD3C0</v>
      </c>
      <c r="D5894" t="s">
        <v>131</v>
      </c>
      <c r="E5894">
        <v>12</v>
      </c>
      <c r="F5894">
        <v>2012</v>
      </c>
      <c r="G5894" t="s">
        <v>137</v>
      </c>
      <c r="J5894" t="s">
        <v>133</v>
      </c>
      <c r="K5894">
        <v>0</v>
      </c>
      <c r="L5894">
        <v>3</v>
      </c>
      <c r="M5894">
        <v>0</v>
      </c>
      <c r="N5894">
        <v>2</v>
      </c>
      <c r="O5894">
        <v>1</v>
      </c>
      <c r="P5894">
        <v>0</v>
      </c>
      <c r="Q5894">
        <v>0</v>
      </c>
      <c r="S5894" t="str">
        <f t="shared" si="2757"/>
        <v>14:52:18.602</v>
      </c>
      <c r="T5894" t="str">
        <f t="shared" si="2758"/>
        <v>14:52:18.402</v>
      </c>
      <c r="U5894" t="str">
        <f t="shared" si="2760"/>
        <v>A9808D</v>
      </c>
      <c r="V5894">
        <v>0</v>
      </c>
      <c r="W5894">
        <v>0</v>
      </c>
      <c r="X5894">
        <v>1</v>
      </c>
      <c r="Z5894">
        <v>0</v>
      </c>
      <c r="AA5894">
        <v>9</v>
      </c>
      <c r="AB5894">
        <v>3</v>
      </c>
      <c r="AC5894">
        <v>0</v>
      </c>
      <c r="AD5894">
        <v>10</v>
      </c>
      <c r="AE5894">
        <v>0</v>
      </c>
      <c r="AF5894">
        <v>3</v>
      </c>
      <c r="AG5894">
        <v>2</v>
      </c>
      <c r="AH5894">
        <v>0</v>
      </c>
      <c r="AI5894" t="s">
        <v>1307</v>
      </c>
      <c r="AJ5894">
        <v>28.204930000000001</v>
      </c>
      <c r="AK5894" t="s">
        <v>1308</v>
      </c>
      <c r="AL5894">
        <v>-82.371368000000004</v>
      </c>
      <c r="AM5894">
        <v>100</v>
      </c>
      <c r="AN5894">
        <v>400</v>
      </c>
      <c r="AO5894" t="s">
        <v>118</v>
      </c>
      <c r="AP5894">
        <v>80</v>
      </c>
      <c r="AQ5894">
        <v>42</v>
      </c>
      <c r="AR5894">
        <v>-1024</v>
      </c>
      <c r="AZ5894">
        <v>1200</v>
      </c>
      <c r="BA5894">
        <v>1</v>
      </c>
      <c r="BB5894" t="str">
        <f t="shared" si="2735"/>
        <v xml:space="preserve">N711JA  </v>
      </c>
      <c r="BC5894">
        <v>1</v>
      </c>
      <c r="BE5894">
        <v>0</v>
      </c>
      <c r="BF5894">
        <v>0</v>
      </c>
      <c r="BG5894">
        <v>0</v>
      </c>
      <c r="BH5894">
        <v>450</v>
      </c>
      <c r="BI5894">
        <v>1</v>
      </c>
      <c r="BJ5894">
        <v>1</v>
      </c>
      <c r="BK5894">
        <v>0</v>
      </c>
      <c r="BL5894">
        <v>0</v>
      </c>
      <c r="BO5894">
        <v>0</v>
      </c>
      <c r="BP5894">
        <v>0</v>
      </c>
      <c r="BW5894" t="str">
        <f t="shared" si="2759"/>
        <v>14:52:18.609</v>
      </c>
      <c r="CJ5894">
        <v>0</v>
      </c>
      <c r="CK5894">
        <v>2</v>
      </c>
      <c r="CL5894">
        <v>0</v>
      </c>
      <c r="CM5894">
        <v>2</v>
      </c>
      <c r="CN5894">
        <v>0</v>
      </c>
      <c r="CO5894">
        <v>7</v>
      </c>
      <c r="CP5894" t="s">
        <v>119</v>
      </c>
      <c r="CQ5894">
        <v>343</v>
      </c>
      <c r="CR5894">
        <v>1</v>
      </c>
      <c r="CW5894">
        <v>11214600</v>
      </c>
      <c r="CY5894">
        <v>1</v>
      </c>
      <c r="CZ5894">
        <v>0</v>
      </c>
      <c r="DA5894">
        <v>1</v>
      </c>
      <c r="DB5894">
        <v>0</v>
      </c>
      <c r="DC5894">
        <v>0</v>
      </c>
      <c r="DD5894">
        <v>1</v>
      </c>
      <c r="DE5894">
        <v>0</v>
      </c>
      <c r="DF5894">
        <v>0</v>
      </c>
      <c r="DG5894">
        <v>0</v>
      </c>
      <c r="DH5894">
        <v>0</v>
      </c>
      <c r="DI5894">
        <v>0</v>
      </c>
    </row>
    <row r="5895" spans="1:113" x14ac:dyDescent="0.3">
      <c r="A5895" t="str">
        <f t="shared" si="2756"/>
        <v>05/12/2020 14:52:00.764</v>
      </c>
      <c r="C5895" t="str">
        <f t="shared" si="2734"/>
        <v>FFDFD3C0</v>
      </c>
      <c r="D5895" t="s">
        <v>126</v>
      </c>
      <c r="E5895">
        <v>6</v>
      </c>
      <c r="F5895">
        <v>1006</v>
      </c>
      <c r="G5895" t="s">
        <v>114</v>
      </c>
      <c r="J5895" t="s">
        <v>128</v>
      </c>
      <c r="K5895">
        <v>0</v>
      </c>
      <c r="L5895">
        <v>3</v>
      </c>
      <c r="M5895">
        <v>0</v>
      </c>
      <c r="N5895">
        <v>2</v>
      </c>
      <c r="O5895">
        <v>1</v>
      </c>
      <c r="P5895">
        <v>0</v>
      </c>
      <c r="Q5895">
        <v>0</v>
      </c>
      <c r="S5895" t="str">
        <f t="shared" si="2757"/>
        <v>14:52:18.602</v>
      </c>
      <c r="T5895" t="str">
        <f t="shared" si="2758"/>
        <v>14:52:18.402</v>
      </c>
      <c r="U5895" t="str">
        <f t="shared" si="2760"/>
        <v>A9808D</v>
      </c>
      <c r="V5895">
        <v>0</v>
      </c>
      <c r="W5895">
        <v>0</v>
      </c>
      <c r="X5895">
        <v>1</v>
      </c>
      <c r="Z5895">
        <v>0</v>
      </c>
      <c r="AA5895">
        <v>9</v>
      </c>
      <c r="AB5895">
        <v>3</v>
      </c>
      <c r="AC5895">
        <v>0</v>
      </c>
      <c r="AD5895">
        <v>10</v>
      </c>
      <c r="AE5895">
        <v>0</v>
      </c>
      <c r="AF5895">
        <v>3</v>
      </c>
      <c r="AG5895">
        <v>2</v>
      </c>
      <c r="AH5895">
        <v>0</v>
      </c>
      <c r="AI5895" t="s">
        <v>1307</v>
      </c>
      <c r="AJ5895">
        <v>28.204930000000001</v>
      </c>
      <c r="AK5895" t="s">
        <v>1308</v>
      </c>
      <c r="AL5895">
        <v>-82.371368000000004</v>
      </c>
      <c r="AM5895">
        <v>100</v>
      </c>
      <c r="AN5895">
        <v>400</v>
      </c>
      <c r="AO5895" t="s">
        <v>118</v>
      </c>
      <c r="AP5895">
        <v>80</v>
      </c>
      <c r="AQ5895">
        <v>42</v>
      </c>
      <c r="AR5895">
        <v>-1024</v>
      </c>
      <c r="AZ5895">
        <v>1200</v>
      </c>
      <c r="BA5895">
        <v>1</v>
      </c>
      <c r="BB5895" t="str">
        <f t="shared" si="2735"/>
        <v xml:space="preserve">N711JA  </v>
      </c>
      <c r="BC5895">
        <v>1</v>
      </c>
      <c r="BE5895">
        <v>0</v>
      </c>
      <c r="BF5895">
        <v>0</v>
      </c>
      <c r="BG5895">
        <v>0</v>
      </c>
      <c r="BH5895">
        <v>450</v>
      </c>
      <c r="BI5895">
        <v>1</v>
      </c>
      <c r="BJ5895">
        <v>1</v>
      </c>
      <c r="BK5895">
        <v>0</v>
      </c>
      <c r="BL5895">
        <v>0</v>
      </c>
      <c r="BO5895">
        <v>0</v>
      </c>
      <c r="BP5895">
        <v>0</v>
      </c>
      <c r="BW5895" t="str">
        <f t="shared" si="2759"/>
        <v>14:52:18.609</v>
      </c>
      <c r="CJ5895">
        <v>0</v>
      </c>
      <c r="CK5895">
        <v>2</v>
      </c>
      <c r="CL5895">
        <v>0</v>
      </c>
      <c r="CM5895">
        <v>2</v>
      </c>
      <c r="CN5895">
        <v>0</v>
      </c>
      <c r="CO5895">
        <v>7</v>
      </c>
      <c r="CP5895" t="s">
        <v>119</v>
      </c>
      <c r="CQ5895">
        <v>343</v>
      </c>
      <c r="CR5895">
        <v>1</v>
      </c>
      <c r="CW5895">
        <v>11214600</v>
      </c>
      <c r="CY5895">
        <v>1</v>
      </c>
      <c r="CZ5895">
        <v>0</v>
      </c>
      <c r="DA5895">
        <v>1</v>
      </c>
      <c r="DB5895">
        <v>0</v>
      </c>
      <c r="DC5895">
        <v>0</v>
      </c>
      <c r="DD5895">
        <v>1</v>
      </c>
      <c r="DE5895">
        <v>0</v>
      </c>
      <c r="DF5895">
        <v>0</v>
      </c>
      <c r="DG5895">
        <v>0</v>
      </c>
      <c r="DH5895">
        <v>0</v>
      </c>
      <c r="DI5895">
        <v>0</v>
      </c>
    </row>
    <row r="5896" spans="1:113" x14ac:dyDescent="0.3">
      <c r="A5896" t="str">
        <f t="shared" si="2756"/>
        <v>05/12/2020 14:52:00.764</v>
      </c>
      <c r="C5896" t="str">
        <f t="shared" si="2734"/>
        <v>FFDFD3C0</v>
      </c>
      <c r="D5896" t="s">
        <v>134</v>
      </c>
      <c r="E5896">
        <v>12</v>
      </c>
      <c r="H5896">
        <v>64</v>
      </c>
      <c r="I5896" t="s">
        <v>135</v>
      </c>
      <c r="J5896" t="s">
        <v>136</v>
      </c>
      <c r="K5896">
        <v>0</v>
      </c>
      <c r="L5896">
        <v>3</v>
      </c>
      <c r="M5896">
        <v>0</v>
      </c>
      <c r="N5896">
        <v>2</v>
      </c>
      <c r="O5896">
        <v>1</v>
      </c>
      <c r="P5896">
        <v>0</v>
      </c>
      <c r="Q5896">
        <v>0</v>
      </c>
      <c r="S5896" t="str">
        <f t="shared" si="2757"/>
        <v>14:52:18.602</v>
      </c>
      <c r="T5896" t="str">
        <f t="shared" si="2758"/>
        <v>14:52:18.402</v>
      </c>
      <c r="U5896" t="str">
        <f t="shared" si="2760"/>
        <v>A9808D</v>
      </c>
      <c r="V5896">
        <v>0</v>
      </c>
      <c r="W5896">
        <v>0</v>
      </c>
      <c r="X5896">
        <v>1</v>
      </c>
      <c r="Z5896">
        <v>0</v>
      </c>
      <c r="AA5896">
        <v>9</v>
      </c>
      <c r="AB5896">
        <v>3</v>
      </c>
      <c r="AC5896">
        <v>0</v>
      </c>
      <c r="AD5896">
        <v>10</v>
      </c>
      <c r="AE5896">
        <v>0</v>
      </c>
      <c r="AF5896">
        <v>3</v>
      </c>
      <c r="AG5896">
        <v>2</v>
      </c>
      <c r="AH5896">
        <v>0</v>
      </c>
      <c r="AI5896" t="s">
        <v>1307</v>
      </c>
      <c r="AJ5896">
        <v>28.204930000000001</v>
      </c>
      <c r="AK5896" t="s">
        <v>1308</v>
      </c>
      <c r="AL5896">
        <v>-82.371368000000004</v>
      </c>
      <c r="AM5896">
        <v>100</v>
      </c>
      <c r="AN5896">
        <v>400</v>
      </c>
      <c r="AO5896" t="s">
        <v>118</v>
      </c>
      <c r="AP5896">
        <v>80</v>
      </c>
      <c r="AQ5896">
        <v>42</v>
      </c>
      <c r="AR5896">
        <v>-1024</v>
      </c>
      <c r="AZ5896">
        <v>1200</v>
      </c>
      <c r="BA5896">
        <v>1</v>
      </c>
      <c r="BB5896" t="str">
        <f t="shared" si="2735"/>
        <v xml:space="preserve">N711JA  </v>
      </c>
      <c r="BC5896">
        <v>1</v>
      </c>
      <c r="BE5896">
        <v>0</v>
      </c>
      <c r="BF5896">
        <v>0</v>
      </c>
      <c r="BG5896">
        <v>0</v>
      </c>
      <c r="BH5896">
        <v>450</v>
      </c>
      <c r="BI5896">
        <v>1</v>
      </c>
      <c r="BJ5896">
        <v>1</v>
      </c>
      <c r="BK5896">
        <v>0</v>
      </c>
      <c r="BL5896">
        <v>0</v>
      </c>
      <c r="BO5896">
        <v>0</v>
      </c>
      <c r="BP5896">
        <v>0</v>
      </c>
      <c r="BW5896" t="str">
        <f t="shared" si="2759"/>
        <v>14:52:18.609</v>
      </c>
      <c r="CJ5896">
        <v>0</v>
      </c>
      <c r="CK5896">
        <v>2</v>
      </c>
      <c r="CL5896">
        <v>0</v>
      </c>
      <c r="CM5896">
        <v>2</v>
      </c>
      <c r="CN5896">
        <v>0</v>
      </c>
      <c r="CO5896">
        <v>7</v>
      </c>
      <c r="CP5896" t="s">
        <v>119</v>
      </c>
      <c r="CQ5896">
        <v>343</v>
      </c>
      <c r="CR5896">
        <v>1</v>
      </c>
      <c r="CW5896">
        <v>11214600</v>
      </c>
      <c r="CY5896">
        <v>1</v>
      </c>
      <c r="CZ5896">
        <v>0</v>
      </c>
      <c r="DA5896">
        <v>1</v>
      </c>
      <c r="DB5896">
        <v>0</v>
      </c>
      <c r="DC5896">
        <v>0</v>
      </c>
      <c r="DD5896">
        <v>1</v>
      </c>
      <c r="DE5896">
        <v>0</v>
      </c>
      <c r="DF5896">
        <v>0</v>
      </c>
      <c r="DG5896">
        <v>0</v>
      </c>
      <c r="DH5896">
        <v>0</v>
      </c>
      <c r="DI5896">
        <v>0</v>
      </c>
    </row>
    <row r="5897" spans="1:113" x14ac:dyDescent="0.3">
      <c r="A5897" t="str">
        <f t="shared" ref="A5897:A5904" si="2761">"05/12/2020 14:52:01.761"</f>
        <v>05/12/2020 14:52:01.761</v>
      </c>
      <c r="C5897" t="str">
        <f t="shared" si="2734"/>
        <v>FFDFD3C0</v>
      </c>
      <c r="D5897" t="s">
        <v>126</v>
      </c>
      <c r="E5897">
        <v>6</v>
      </c>
      <c r="F5897">
        <v>1006</v>
      </c>
      <c r="G5897" t="s">
        <v>114</v>
      </c>
      <c r="J5897" t="s">
        <v>128</v>
      </c>
      <c r="K5897">
        <v>0</v>
      </c>
      <c r="L5897">
        <v>3</v>
      </c>
      <c r="M5897">
        <v>0</v>
      </c>
      <c r="N5897">
        <v>2</v>
      </c>
      <c r="O5897">
        <v>1</v>
      </c>
      <c r="P5897">
        <v>0</v>
      </c>
      <c r="Q5897">
        <v>0</v>
      </c>
      <c r="S5897" t="str">
        <f t="shared" ref="S5897:S5904" si="2762">"14:52:19.586"</f>
        <v>14:52:19.586</v>
      </c>
      <c r="T5897" t="str">
        <f t="shared" ref="T5897:T5904" si="2763">"14:52:19.386"</f>
        <v>14:52:19.386</v>
      </c>
      <c r="U5897" t="str">
        <f t="shared" si="2760"/>
        <v>A9808D</v>
      </c>
      <c r="V5897">
        <v>0</v>
      </c>
      <c r="W5897">
        <v>0</v>
      </c>
      <c r="X5897">
        <v>1</v>
      </c>
      <c r="Z5897">
        <v>0</v>
      </c>
      <c r="AA5897">
        <v>9</v>
      </c>
      <c r="AB5897">
        <v>3</v>
      </c>
      <c r="AC5897">
        <v>0</v>
      </c>
      <c r="AD5897">
        <v>10</v>
      </c>
      <c r="AE5897">
        <v>0</v>
      </c>
      <c r="AF5897">
        <v>3</v>
      </c>
      <c r="AG5897">
        <v>2</v>
      </c>
      <c r="AH5897">
        <v>0</v>
      </c>
      <c r="AI5897" t="s">
        <v>1309</v>
      </c>
      <c r="AJ5897">
        <v>28.205144000000001</v>
      </c>
      <c r="AK5897" t="s">
        <v>1310</v>
      </c>
      <c r="AL5897">
        <v>-82.370939000000007</v>
      </c>
      <c r="AM5897">
        <v>100</v>
      </c>
      <c r="AN5897">
        <v>400</v>
      </c>
      <c r="AO5897" t="s">
        <v>118</v>
      </c>
      <c r="AP5897">
        <v>78</v>
      </c>
      <c r="AQ5897">
        <v>45</v>
      </c>
      <c r="AR5897">
        <v>-768</v>
      </c>
      <c r="AZ5897">
        <v>1200</v>
      </c>
      <c r="BA5897">
        <v>1</v>
      </c>
      <c r="BB5897" t="str">
        <f t="shared" si="2735"/>
        <v xml:space="preserve">N711JA  </v>
      </c>
      <c r="BC5897">
        <v>1</v>
      </c>
      <c r="BE5897">
        <v>0</v>
      </c>
      <c r="BF5897">
        <v>0</v>
      </c>
      <c r="BG5897">
        <v>0</v>
      </c>
      <c r="BH5897">
        <v>450</v>
      </c>
      <c r="BI5897">
        <v>1</v>
      </c>
      <c r="BJ5897">
        <v>1</v>
      </c>
      <c r="BK5897">
        <v>0</v>
      </c>
      <c r="BL5897">
        <v>0</v>
      </c>
      <c r="BO5897">
        <v>0</v>
      </c>
      <c r="BP5897">
        <v>0</v>
      </c>
      <c r="BW5897" t="str">
        <f t="shared" ref="BW5897:BW5904" si="2764">"14:52:19.593"</f>
        <v>14:52:19.593</v>
      </c>
      <c r="CJ5897">
        <v>0</v>
      </c>
      <c r="CK5897">
        <v>2</v>
      </c>
      <c r="CL5897">
        <v>0</v>
      </c>
      <c r="CM5897">
        <v>2</v>
      </c>
      <c r="CN5897">
        <v>0</v>
      </c>
      <c r="CO5897">
        <v>7</v>
      </c>
      <c r="CP5897" t="s">
        <v>119</v>
      </c>
      <c r="CQ5897">
        <v>343</v>
      </c>
      <c r="CR5897">
        <v>1</v>
      </c>
      <c r="CW5897">
        <v>11215605</v>
      </c>
      <c r="CY5897">
        <v>1</v>
      </c>
      <c r="CZ5897">
        <v>0</v>
      </c>
      <c r="DA5897">
        <v>0</v>
      </c>
      <c r="DB5897">
        <v>0</v>
      </c>
      <c r="DC5897">
        <v>0</v>
      </c>
      <c r="DD5897">
        <v>1</v>
      </c>
      <c r="DE5897">
        <v>0</v>
      </c>
      <c r="DF5897">
        <v>0</v>
      </c>
      <c r="DG5897">
        <v>0</v>
      </c>
      <c r="DH5897">
        <v>0</v>
      </c>
      <c r="DI5897">
        <v>0</v>
      </c>
    </row>
    <row r="5898" spans="1:113" x14ac:dyDescent="0.3">
      <c r="A5898" t="str">
        <f t="shared" si="2761"/>
        <v>05/12/2020 14:52:01.761</v>
      </c>
      <c r="C5898" t="str">
        <f t="shared" si="2734"/>
        <v>FFDFD3C0</v>
      </c>
      <c r="D5898" t="s">
        <v>134</v>
      </c>
      <c r="E5898">
        <v>12</v>
      </c>
      <c r="H5898">
        <v>64</v>
      </c>
      <c r="I5898" t="s">
        <v>135</v>
      </c>
      <c r="J5898" t="s">
        <v>136</v>
      </c>
      <c r="K5898">
        <v>0</v>
      </c>
      <c r="L5898">
        <v>3</v>
      </c>
      <c r="M5898">
        <v>0</v>
      </c>
      <c r="N5898">
        <v>2</v>
      </c>
      <c r="O5898">
        <v>1</v>
      </c>
      <c r="P5898">
        <v>0</v>
      </c>
      <c r="Q5898">
        <v>0</v>
      </c>
      <c r="S5898" t="str">
        <f t="shared" si="2762"/>
        <v>14:52:19.586</v>
      </c>
      <c r="T5898" t="str">
        <f t="shared" si="2763"/>
        <v>14:52:19.386</v>
      </c>
      <c r="U5898" t="str">
        <f t="shared" si="2760"/>
        <v>A9808D</v>
      </c>
      <c r="V5898">
        <v>0</v>
      </c>
      <c r="W5898">
        <v>0</v>
      </c>
      <c r="X5898">
        <v>1</v>
      </c>
      <c r="Z5898">
        <v>0</v>
      </c>
      <c r="AA5898">
        <v>9</v>
      </c>
      <c r="AB5898">
        <v>3</v>
      </c>
      <c r="AC5898">
        <v>0</v>
      </c>
      <c r="AD5898">
        <v>10</v>
      </c>
      <c r="AE5898">
        <v>0</v>
      </c>
      <c r="AF5898">
        <v>3</v>
      </c>
      <c r="AG5898">
        <v>2</v>
      </c>
      <c r="AH5898">
        <v>0</v>
      </c>
      <c r="AI5898" t="s">
        <v>1309</v>
      </c>
      <c r="AJ5898">
        <v>28.205144000000001</v>
      </c>
      <c r="AK5898" t="s">
        <v>1310</v>
      </c>
      <c r="AL5898">
        <v>-82.370939000000007</v>
      </c>
      <c r="AM5898">
        <v>100</v>
      </c>
      <c r="AN5898">
        <v>400</v>
      </c>
      <c r="AO5898" t="s">
        <v>118</v>
      </c>
      <c r="AP5898">
        <v>78</v>
      </c>
      <c r="AQ5898">
        <v>45</v>
      </c>
      <c r="AR5898">
        <v>-768</v>
      </c>
      <c r="AZ5898">
        <v>1200</v>
      </c>
      <c r="BA5898">
        <v>1</v>
      </c>
      <c r="BB5898" t="str">
        <f t="shared" si="2735"/>
        <v xml:space="preserve">N711JA  </v>
      </c>
      <c r="BC5898">
        <v>1</v>
      </c>
      <c r="BE5898">
        <v>0</v>
      </c>
      <c r="BF5898">
        <v>0</v>
      </c>
      <c r="BG5898">
        <v>0</v>
      </c>
      <c r="BH5898">
        <v>450</v>
      </c>
      <c r="BI5898">
        <v>1</v>
      </c>
      <c r="BJ5898">
        <v>1</v>
      </c>
      <c r="BK5898">
        <v>0</v>
      </c>
      <c r="BL5898">
        <v>0</v>
      </c>
      <c r="BO5898">
        <v>0</v>
      </c>
      <c r="BP5898">
        <v>0</v>
      </c>
      <c r="BW5898" t="str">
        <f t="shared" si="2764"/>
        <v>14:52:19.593</v>
      </c>
      <c r="CJ5898">
        <v>0</v>
      </c>
      <c r="CK5898">
        <v>2</v>
      </c>
      <c r="CL5898">
        <v>0</v>
      </c>
      <c r="CM5898">
        <v>2</v>
      </c>
      <c r="CN5898">
        <v>0</v>
      </c>
      <c r="CO5898">
        <v>7</v>
      </c>
      <c r="CP5898" t="s">
        <v>119</v>
      </c>
      <c r="CQ5898">
        <v>343</v>
      </c>
      <c r="CR5898">
        <v>1</v>
      </c>
      <c r="CW5898">
        <v>11215605</v>
      </c>
      <c r="CY5898">
        <v>1</v>
      </c>
      <c r="CZ5898">
        <v>0</v>
      </c>
      <c r="DA5898">
        <v>1</v>
      </c>
      <c r="DB5898">
        <v>0</v>
      </c>
      <c r="DC5898">
        <v>0</v>
      </c>
      <c r="DD5898">
        <v>1</v>
      </c>
      <c r="DE5898">
        <v>0</v>
      </c>
      <c r="DF5898">
        <v>0</v>
      </c>
      <c r="DG5898">
        <v>0</v>
      </c>
      <c r="DH5898">
        <v>0</v>
      </c>
      <c r="DI5898">
        <v>0</v>
      </c>
    </row>
    <row r="5899" spans="1:113" x14ac:dyDescent="0.3">
      <c r="A5899" t="str">
        <f t="shared" si="2761"/>
        <v>05/12/2020 14:52:01.761</v>
      </c>
      <c r="C5899" t="str">
        <f t="shared" si="2734"/>
        <v>FFDFD3C0</v>
      </c>
      <c r="D5899" t="s">
        <v>138</v>
      </c>
      <c r="E5899">
        <v>2</v>
      </c>
      <c r="H5899">
        <v>8</v>
      </c>
      <c r="I5899" t="s">
        <v>139</v>
      </c>
      <c r="J5899" t="s">
        <v>136</v>
      </c>
      <c r="K5899">
        <v>0</v>
      </c>
      <c r="L5899">
        <v>3</v>
      </c>
      <c r="M5899">
        <v>0</v>
      </c>
      <c r="N5899">
        <v>2</v>
      </c>
      <c r="O5899">
        <v>1</v>
      </c>
      <c r="P5899">
        <v>0</v>
      </c>
      <c r="Q5899">
        <v>0</v>
      </c>
      <c r="S5899" t="str">
        <f t="shared" si="2762"/>
        <v>14:52:19.586</v>
      </c>
      <c r="T5899" t="str">
        <f t="shared" si="2763"/>
        <v>14:52:19.386</v>
      </c>
      <c r="U5899" t="str">
        <f t="shared" si="2760"/>
        <v>A9808D</v>
      </c>
      <c r="V5899">
        <v>0</v>
      </c>
      <c r="W5899">
        <v>0</v>
      </c>
      <c r="X5899">
        <v>1</v>
      </c>
      <c r="Z5899">
        <v>0</v>
      </c>
      <c r="AA5899">
        <v>9</v>
      </c>
      <c r="AB5899">
        <v>3</v>
      </c>
      <c r="AC5899">
        <v>0</v>
      </c>
      <c r="AD5899">
        <v>10</v>
      </c>
      <c r="AE5899">
        <v>0</v>
      </c>
      <c r="AF5899">
        <v>3</v>
      </c>
      <c r="AG5899">
        <v>2</v>
      </c>
      <c r="AH5899">
        <v>0</v>
      </c>
      <c r="AI5899" t="s">
        <v>1309</v>
      </c>
      <c r="AJ5899">
        <v>28.205144000000001</v>
      </c>
      <c r="AK5899" t="s">
        <v>1310</v>
      </c>
      <c r="AL5899">
        <v>-82.370939000000007</v>
      </c>
      <c r="AM5899">
        <v>100</v>
      </c>
      <c r="AN5899">
        <v>400</v>
      </c>
      <c r="AO5899" t="s">
        <v>118</v>
      </c>
      <c r="AP5899">
        <v>78</v>
      </c>
      <c r="AQ5899">
        <v>45</v>
      </c>
      <c r="AR5899">
        <v>-768</v>
      </c>
      <c r="AZ5899">
        <v>1200</v>
      </c>
      <c r="BA5899">
        <v>1</v>
      </c>
      <c r="BB5899" t="str">
        <f t="shared" si="2735"/>
        <v xml:space="preserve">N711JA  </v>
      </c>
      <c r="BC5899">
        <v>1</v>
      </c>
      <c r="BE5899">
        <v>0</v>
      </c>
      <c r="BF5899">
        <v>0</v>
      </c>
      <c r="BG5899">
        <v>0</v>
      </c>
      <c r="BH5899">
        <v>450</v>
      </c>
      <c r="BI5899">
        <v>1</v>
      </c>
      <c r="BJ5899">
        <v>1</v>
      </c>
      <c r="BK5899">
        <v>0</v>
      </c>
      <c r="BL5899">
        <v>0</v>
      </c>
      <c r="BO5899">
        <v>0</v>
      </c>
      <c r="BP5899">
        <v>0</v>
      </c>
      <c r="BW5899" t="str">
        <f t="shared" si="2764"/>
        <v>14:52:19.593</v>
      </c>
      <c r="CJ5899">
        <v>0</v>
      </c>
      <c r="CK5899">
        <v>2</v>
      </c>
      <c r="CL5899">
        <v>0</v>
      </c>
      <c r="CM5899">
        <v>2</v>
      </c>
      <c r="CN5899">
        <v>0</v>
      </c>
      <c r="CO5899">
        <v>7</v>
      </c>
      <c r="CP5899" t="s">
        <v>119</v>
      </c>
      <c r="CQ5899">
        <v>343</v>
      </c>
      <c r="CR5899">
        <v>1</v>
      </c>
      <c r="CW5899">
        <v>11215605</v>
      </c>
      <c r="CY5899">
        <v>1</v>
      </c>
      <c r="CZ5899">
        <v>0</v>
      </c>
      <c r="DA5899">
        <v>1</v>
      </c>
      <c r="DB5899">
        <v>0</v>
      </c>
      <c r="DC5899">
        <v>0</v>
      </c>
      <c r="DD5899">
        <v>1</v>
      </c>
      <c r="DE5899">
        <v>0</v>
      </c>
      <c r="DF5899">
        <v>0</v>
      </c>
      <c r="DG5899">
        <v>0</v>
      </c>
      <c r="DH5899">
        <v>0</v>
      </c>
      <c r="DI5899">
        <v>0</v>
      </c>
    </row>
    <row r="5900" spans="1:113" x14ac:dyDescent="0.3">
      <c r="A5900" t="str">
        <f t="shared" si="2761"/>
        <v>05/12/2020 14:52:01.761</v>
      </c>
      <c r="C5900" t="str">
        <f t="shared" si="2734"/>
        <v>FFDFD3C0</v>
      </c>
      <c r="D5900" t="s">
        <v>138</v>
      </c>
      <c r="E5900">
        <v>3</v>
      </c>
      <c r="H5900">
        <v>9</v>
      </c>
      <c r="I5900" t="s">
        <v>140</v>
      </c>
      <c r="J5900" t="s">
        <v>136</v>
      </c>
      <c r="K5900">
        <v>0</v>
      </c>
      <c r="L5900">
        <v>3</v>
      </c>
      <c r="M5900">
        <v>0</v>
      </c>
      <c r="N5900">
        <v>2</v>
      </c>
      <c r="O5900">
        <v>1</v>
      </c>
      <c r="P5900">
        <v>0</v>
      </c>
      <c r="Q5900">
        <v>0</v>
      </c>
      <c r="S5900" t="str">
        <f t="shared" si="2762"/>
        <v>14:52:19.586</v>
      </c>
      <c r="T5900" t="str">
        <f t="shared" si="2763"/>
        <v>14:52:19.386</v>
      </c>
      <c r="U5900" t="str">
        <f t="shared" si="2760"/>
        <v>A9808D</v>
      </c>
      <c r="V5900">
        <v>0</v>
      </c>
      <c r="W5900">
        <v>0</v>
      </c>
      <c r="X5900">
        <v>1</v>
      </c>
      <c r="Z5900">
        <v>0</v>
      </c>
      <c r="AA5900">
        <v>9</v>
      </c>
      <c r="AB5900">
        <v>3</v>
      </c>
      <c r="AC5900">
        <v>0</v>
      </c>
      <c r="AD5900">
        <v>10</v>
      </c>
      <c r="AE5900">
        <v>0</v>
      </c>
      <c r="AF5900">
        <v>3</v>
      </c>
      <c r="AG5900">
        <v>2</v>
      </c>
      <c r="AH5900">
        <v>0</v>
      </c>
      <c r="AI5900" t="s">
        <v>1309</v>
      </c>
      <c r="AJ5900">
        <v>28.205144000000001</v>
      </c>
      <c r="AK5900" t="s">
        <v>1310</v>
      </c>
      <c r="AL5900">
        <v>-82.370939000000007</v>
      </c>
      <c r="AM5900">
        <v>100</v>
      </c>
      <c r="AN5900">
        <v>400</v>
      </c>
      <c r="AO5900" t="s">
        <v>118</v>
      </c>
      <c r="AP5900">
        <v>78</v>
      </c>
      <c r="AQ5900">
        <v>45</v>
      </c>
      <c r="AR5900">
        <v>-768</v>
      </c>
      <c r="AZ5900">
        <v>1200</v>
      </c>
      <c r="BA5900">
        <v>1</v>
      </c>
      <c r="BB5900" t="str">
        <f t="shared" si="2735"/>
        <v xml:space="preserve">N711JA  </v>
      </c>
      <c r="BC5900">
        <v>1</v>
      </c>
      <c r="BE5900">
        <v>0</v>
      </c>
      <c r="BF5900">
        <v>0</v>
      </c>
      <c r="BG5900">
        <v>0</v>
      </c>
      <c r="BH5900">
        <v>450</v>
      </c>
      <c r="BI5900">
        <v>1</v>
      </c>
      <c r="BJ5900">
        <v>1</v>
      </c>
      <c r="BK5900">
        <v>0</v>
      </c>
      <c r="BL5900">
        <v>0</v>
      </c>
      <c r="BO5900">
        <v>0</v>
      </c>
      <c r="BP5900">
        <v>0</v>
      </c>
      <c r="BW5900" t="str">
        <f t="shared" si="2764"/>
        <v>14:52:19.593</v>
      </c>
      <c r="CJ5900">
        <v>0</v>
      </c>
      <c r="CK5900">
        <v>2</v>
      </c>
      <c r="CL5900">
        <v>0</v>
      </c>
      <c r="CM5900">
        <v>2</v>
      </c>
      <c r="CN5900">
        <v>0</v>
      </c>
      <c r="CO5900">
        <v>7</v>
      </c>
      <c r="CP5900" t="s">
        <v>119</v>
      </c>
      <c r="CQ5900">
        <v>343</v>
      </c>
      <c r="CR5900">
        <v>1</v>
      </c>
      <c r="CW5900">
        <v>11215605</v>
      </c>
      <c r="CY5900">
        <v>1</v>
      </c>
      <c r="CZ5900">
        <v>0</v>
      </c>
      <c r="DA5900">
        <v>1</v>
      </c>
      <c r="DB5900">
        <v>0</v>
      </c>
      <c r="DC5900">
        <v>0</v>
      </c>
      <c r="DD5900">
        <v>1</v>
      </c>
      <c r="DE5900">
        <v>0</v>
      </c>
      <c r="DF5900">
        <v>0</v>
      </c>
      <c r="DG5900">
        <v>0</v>
      </c>
      <c r="DH5900">
        <v>0</v>
      </c>
      <c r="DI5900">
        <v>0</v>
      </c>
    </row>
    <row r="5901" spans="1:113" x14ac:dyDescent="0.3">
      <c r="A5901" t="str">
        <f t="shared" si="2761"/>
        <v>05/12/2020 14:52:01.761</v>
      </c>
      <c r="C5901" t="str">
        <f t="shared" si="2734"/>
        <v>FFDFD3C0</v>
      </c>
      <c r="D5901" t="s">
        <v>113</v>
      </c>
      <c r="E5901">
        <v>3</v>
      </c>
      <c r="H5901">
        <v>164</v>
      </c>
      <c r="I5901" t="s">
        <v>114</v>
      </c>
      <c r="J5901" t="s">
        <v>115</v>
      </c>
      <c r="K5901">
        <v>0</v>
      </c>
      <c r="L5901">
        <v>3</v>
      </c>
      <c r="M5901">
        <v>0</v>
      </c>
      <c r="N5901">
        <v>2</v>
      </c>
      <c r="O5901">
        <v>1</v>
      </c>
      <c r="P5901">
        <v>0</v>
      </c>
      <c r="Q5901">
        <v>0</v>
      </c>
      <c r="S5901" t="str">
        <f t="shared" si="2762"/>
        <v>14:52:19.586</v>
      </c>
      <c r="T5901" t="str">
        <f t="shared" si="2763"/>
        <v>14:52:19.386</v>
      </c>
      <c r="U5901" t="str">
        <f t="shared" si="2760"/>
        <v>A9808D</v>
      </c>
      <c r="V5901">
        <v>0</v>
      </c>
      <c r="W5901">
        <v>0</v>
      </c>
      <c r="X5901">
        <v>1</v>
      </c>
      <c r="Z5901">
        <v>0</v>
      </c>
      <c r="AA5901">
        <v>9</v>
      </c>
      <c r="AB5901">
        <v>3</v>
      </c>
      <c r="AC5901">
        <v>0</v>
      </c>
      <c r="AD5901">
        <v>10</v>
      </c>
      <c r="AE5901">
        <v>0</v>
      </c>
      <c r="AF5901">
        <v>3</v>
      </c>
      <c r="AG5901">
        <v>2</v>
      </c>
      <c r="AH5901">
        <v>0</v>
      </c>
      <c r="AI5901" t="s">
        <v>1309</v>
      </c>
      <c r="AJ5901">
        <v>28.205144000000001</v>
      </c>
      <c r="AK5901" t="s">
        <v>1310</v>
      </c>
      <c r="AL5901">
        <v>-82.370939000000007</v>
      </c>
      <c r="AM5901">
        <v>100</v>
      </c>
      <c r="AN5901">
        <v>400</v>
      </c>
      <c r="AO5901" t="s">
        <v>118</v>
      </c>
      <c r="AP5901">
        <v>78</v>
      </c>
      <c r="AQ5901">
        <v>45</v>
      </c>
      <c r="AR5901">
        <v>-768</v>
      </c>
      <c r="AZ5901">
        <v>1200</v>
      </c>
      <c r="BA5901">
        <v>1</v>
      </c>
      <c r="BB5901" t="str">
        <f t="shared" si="2735"/>
        <v xml:space="preserve">N711JA  </v>
      </c>
      <c r="BC5901">
        <v>1</v>
      </c>
      <c r="BE5901">
        <v>0</v>
      </c>
      <c r="BF5901">
        <v>0</v>
      </c>
      <c r="BG5901">
        <v>0</v>
      </c>
      <c r="BH5901">
        <v>450</v>
      </c>
      <c r="BI5901">
        <v>1</v>
      </c>
      <c r="BJ5901">
        <v>1</v>
      </c>
      <c r="BK5901">
        <v>0</v>
      </c>
      <c r="BL5901">
        <v>0</v>
      </c>
      <c r="BO5901">
        <v>0</v>
      </c>
      <c r="BP5901">
        <v>0</v>
      </c>
      <c r="BW5901" t="str">
        <f t="shared" si="2764"/>
        <v>14:52:19.593</v>
      </c>
      <c r="CJ5901">
        <v>0</v>
      </c>
      <c r="CK5901">
        <v>2</v>
      </c>
      <c r="CL5901">
        <v>0</v>
      </c>
      <c r="CM5901">
        <v>2</v>
      </c>
      <c r="CN5901">
        <v>0</v>
      </c>
      <c r="CO5901">
        <v>7</v>
      </c>
      <c r="CP5901" t="s">
        <v>119</v>
      </c>
      <c r="CQ5901">
        <v>343</v>
      </c>
      <c r="CR5901">
        <v>1</v>
      </c>
      <c r="CW5901">
        <v>11215605</v>
      </c>
      <c r="CY5901">
        <v>1</v>
      </c>
      <c r="CZ5901">
        <v>0</v>
      </c>
      <c r="DA5901">
        <v>1</v>
      </c>
      <c r="DB5901">
        <v>0</v>
      </c>
      <c r="DC5901">
        <v>0</v>
      </c>
      <c r="DD5901">
        <v>1</v>
      </c>
      <c r="DE5901">
        <v>0</v>
      </c>
      <c r="DF5901">
        <v>0</v>
      </c>
      <c r="DG5901">
        <v>0</v>
      </c>
      <c r="DH5901">
        <v>0</v>
      </c>
      <c r="DI5901">
        <v>0</v>
      </c>
    </row>
    <row r="5902" spans="1:113" x14ac:dyDescent="0.3">
      <c r="A5902" t="str">
        <f t="shared" si="2761"/>
        <v>05/12/2020 14:52:01.761</v>
      </c>
      <c r="C5902" t="str">
        <f t="shared" si="2734"/>
        <v>FFDFD3C0</v>
      </c>
      <c r="D5902" t="s">
        <v>131</v>
      </c>
      <c r="E5902">
        <v>12</v>
      </c>
      <c r="F5902">
        <v>2012</v>
      </c>
      <c r="G5902" t="s">
        <v>137</v>
      </c>
      <c r="J5902" t="s">
        <v>133</v>
      </c>
      <c r="K5902">
        <v>0</v>
      </c>
      <c r="L5902">
        <v>3</v>
      </c>
      <c r="M5902">
        <v>0</v>
      </c>
      <c r="N5902">
        <v>2</v>
      </c>
      <c r="O5902">
        <v>1</v>
      </c>
      <c r="P5902">
        <v>0</v>
      </c>
      <c r="Q5902">
        <v>0</v>
      </c>
      <c r="S5902" t="str">
        <f t="shared" si="2762"/>
        <v>14:52:19.586</v>
      </c>
      <c r="T5902" t="str">
        <f t="shared" si="2763"/>
        <v>14:52:19.386</v>
      </c>
      <c r="U5902" t="str">
        <f t="shared" si="2760"/>
        <v>A9808D</v>
      </c>
      <c r="V5902">
        <v>0</v>
      </c>
      <c r="W5902">
        <v>0</v>
      </c>
      <c r="X5902">
        <v>1</v>
      </c>
      <c r="Z5902">
        <v>0</v>
      </c>
      <c r="AA5902">
        <v>9</v>
      </c>
      <c r="AB5902">
        <v>3</v>
      </c>
      <c r="AC5902">
        <v>0</v>
      </c>
      <c r="AD5902">
        <v>10</v>
      </c>
      <c r="AE5902">
        <v>0</v>
      </c>
      <c r="AF5902">
        <v>3</v>
      </c>
      <c r="AG5902">
        <v>2</v>
      </c>
      <c r="AH5902">
        <v>0</v>
      </c>
      <c r="AI5902" t="s">
        <v>1309</v>
      </c>
      <c r="AJ5902">
        <v>28.205144000000001</v>
      </c>
      <c r="AK5902" t="s">
        <v>1310</v>
      </c>
      <c r="AL5902">
        <v>-82.370939000000007</v>
      </c>
      <c r="AM5902">
        <v>100</v>
      </c>
      <c r="AN5902">
        <v>400</v>
      </c>
      <c r="AO5902" t="s">
        <v>118</v>
      </c>
      <c r="AP5902">
        <v>78</v>
      </c>
      <c r="AQ5902">
        <v>45</v>
      </c>
      <c r="AR5902">
        <v>-768</v>
      </c>
      <c r="AZ5902">
        <v>1200</v>
      </c>
      <c r="BA5902">
        <v>1</v>
      </c>
      <c r="BB5902" t="str">
        <f t="shared" si="2735"/>
        <v xml:space="preserve">N711JA  </v>
      </c>
      <c r="BC5902">
        <v>1</v>
      </c>
      <c r="BE5902">
        <v>0</v>
      </c>
      <c r="BF5902">
        <v>0</v>
      </c>
      <c r="BG5902">
        <v>0</v>
      </c>
      <c r="BH5902">
        <v>450</v>
      </c>
      <c r="BI5902">
        <v>1</v>
      </c>
      <c r="BJ5902">
        <v>1</v>
      </c>
      <c r="BK5902">
        <v>0</v>
      </c>
      <c r="BL5902">
        <v>0</v>
      </c>
      <c r="BO5902">
        <v>0</v>
      </c>
      <c r="BP5902">
        <v>0</v>
      </c>
      <c r="BW5902" t="str">
        <f t="shared" si="2764"/>
        <v>14:52:19.593</v>
      </c>
      <c r="CJ5902">
        <v>0</v>
      </c>
      <c r="CK5902">
        <v>2</v>
      </c>
      <c r="CL5902">
        <v>0</v>
      </c>
      <c r="CM5902">
        <v>2</v>
      </c>
      <c r="CN5902">
        <v>0</v>
      </c>
      <c r="CO5902">
        <v>7</v>
      </c>
      <c r="CP5902" t="s">
        <v>119</v>
      </c>
      <c r="CQ5902">
        <v>343</v>
      </c>
      <c r="CR5902">
        <v>1</v>
      </c>
      <c r="CW5902">
        <v>11215605</v>
      </c>
      <c r="CY5902">
        <v>1</v>
      </c>
      <c r="CZ5902">
        <v>0</v>
      </c>
      <c r="DA5902">
        <v>1</v>
      </c>
      <c r="DB5902">
        <v>0</v>
      </c>
      <c r="DC5902">
        <v>0</v>
      </c>
      <c r="DD5902">
        <v>1</v>
      </c>
      <c r="DE5902">
        <v>0</v>
      </c>
      <c r="DF5902">
        <v>0</v>
      </c>
      <c r="DG5902">
        <v>0</v>
      </c>
      <c r="DH5902">
        <v>0</v>
      </c>
      <c r="DI5902">
        <v>0</v>
      </c>
    </row>
    <row r="5903" spans="1:113" x14ac:dyDescent="0.3">
      <c r="A5903" t="str">
        <f t="shared" si="2761"/>
        <v>05/12/2020 14:52:01.761</v>
      </c>
      <c r="C5903" t="str">
        <f t="shared" si="2734"/>
        <v>FFDFD3C0</v>
      </c>
      <c r="D5903" t="s">
        <v>131</v>
      </c>
      <c r="E5903">
        <v>10</v>
      </c>
      <c r="F5903">
        <v>2010</v>
      </c>
      <c r="G5903" t="s">
        <v>132</v>
      </c>
      <c r="J5903" t="s">
        <v>133</v>
      </c>
      <c r="K5903">
        <v>0</v>
      </c>
      <c r="L5903">
        <v>3</v>
      </c>
      <c r="M5903">
        <v>0</v>
      </c>
      <c r="N5903">
        <v>2</v>
      </c>
      <c r="O5903">
        <v>1</v>
      </c>
      <c r="P5903">
        <v>0</v>
      </c>
      <c r="Q5903">
        <v>0</v>
      </c>
      <c r="S5903" t="str">
        <f t="shared" si="2762"/>
        <v>14:52:19.586</v>
      </c>
      <c r="T5903" t="str">
        <f t="shared" si="2763"/>
        <v>14:52:19.386</v>
      </c>
      <c r="U5903" t="str">
        <f t="shared" si="2760"/>
        <v>A9808D</v>
      </c>
      <c r="V5903">
        <v>0</v>
      </c>
      <c r="W5903">
        <v>0</v>
      </c>
      <c r="X5903">
        <v>1</v>
      </c>
      <c r="Z5903">
        <v>0</v>
      </c>
      <c r="AA5903">
        <v>9</v>
      </c>
      <c r="AB5903">
        <v>3</v>
      </c>
      <c r="AC5903">
        <v>0</v>
      </c>
      <c r="AD5903">
        <v>10</v>
      </c>
      <c r="AE5903">
        <v>0</v>
      </c>
      <c r="AF5903">
        <v>3</v>
      </c>
      <c r="AG5903">
        <v>2</v>
      </c>
      <c r="AH5903">
        <v>0</v>
      </c>
      <c r="AI5903" t="s">
        <v>1309</v>
      </c>
      <c r="AJ5903">
        <v>28.205144000000001</v>
      </c>
      <c r="AK5903" t="s">
        <v>1310</v>
      </c>
      <c r="AL5903">
        <v>-82.370939000000007</v>
      </c>
      <c r="AM5903">
        <v>100</v>
      </c>
      <c r="AN5903">
        <v>400</v>
      </c>
      <c r="AO5903" t="s">
        <v>118</v>
      </c>
      <c r="AP5903">
        <v>78</v>
      </c>
      <c r="AQ5903">
        <v>45</v>
      </c>
      <c r="AR5903">
        <v>-768</v>
      </c>
      <c r="AZ5903">
        <v>1200</v>
      </c>
      <c r="BA5903">
        <v>1</v>
      </c>
      <c r="BB5903" t="str">
        <f t="shared" si="2735"/>
        <v xml:space="preserve">N711JA  </v>
      </c>
      <c r="BC5903">
        <v>1</v>
      </c>
      <c r="BE5903">
        <v>0</v>
      </c>
      <c r="BF5903">
        <v>0</v>
      </c>
      <c r="BG5903">
        <v>0</v>
      </c>
      <c r="BH5903">
        <v>450</v>
      </c>
      <c r="BI5903">
        <v>1</v>
      </c>
      <c r="BJ5903">
        <v>1</v>
      </c>
      <c r="BK5903">
        <v>0</v>
      </c>
      <c r="BL5903">
        <v>0</v>
      </c>
      <c r="BO5903">
        <v>0</v>
      </c>
      <c r="BP5903">
        <v>0</v>
      </c>
      <c r="BW5903" t="str">
        <f t="shared" si="2764"/>
        <v>14:52:19.593</v>
      </c>
      <c r="CJ5903">
        <v>0</v>
      </c>
      <c r="CK5903">
        <v>2</v>
      </c>
      <c r="CL5903">
        <v>0</v>
      </c>
      <c r="CM5903">
        <v>2</v>
      </c>
      <c r="CN5903">
        <v>0</v>
      </c>
      <c r="CO5903">
        <v>7</v>
      </c>
      <c r="CP5903" t="s">
        <v>119</v>
      </c>
      <c r="CQ5903">
        <v>343</v>
      </c>
      <c r="CR5903">
        <v>1</v>
      </c>
      <c r="CW5903">
        <v>11215605</v>
      </c>
      <c r="CY5903">
        <v>1</v>
      </c>
      <c r="CZ5903">
        <v>0</v>
      </c>
      <c r="DA5903">
        <v>1</v>
      </c>
      <c r="DB5903">
        <v>0</v>
      </c>
      <c r="DC5903">
        <v>0</v>
      </c>
      <c r="DD5903">
        <v>1</v>
      </c>
      <c r="DE5903">
        <v>0</v>
      </c>
      <c r="DF5903">
        <v>0</v>
      </c>
      <c r="DG5903">
        <v>0</v>
      </c>
      <c r="DH5903">
        <v>0</v>
      </c>
      <c r="DI5903">
        <v>0</v>
      </c>
    </row>
    <row r="5904" spans="1:113" x14ac:dyDescent="0.3">
      <c r="A5904" t="str">
        <f t="shared" si="2761"/>
        <v>05/12/2020 14:52:01.761</v>
      </c>
      <c r="C5904" t="str">
        <f t="shared" si="2734"/>
        <v>FFDFD3C0</v>
      </c>
      <c r="D5904" t="s">
        <v>126</v>
      </c>
      <c r="E5904">
        <v>7</v>
      </c>
      <c r="F5904">
        <v>1007</v>
      </c>
      <c r="G5904" t="s">
        <v>127</v>
      </c>
      <c r="J5904" t="s">
        <v>128</v>
      </c>
      <c r="K5904">
        <v>0</v>
      </c>
      <c r="L5904">
        <v>3</v>
      </c>
      <c r="M5904">
        <v>0</v>
      </c>
      <c r="N5904">
        <v>2</v>
      </c>
      <c r="O5904">
        <v>1</v>
      </c>
      <c r="P5904">
        <v>0</v>
      </c>
      <c r="Q5904">
        <v>0</v>
      </c>
      <c r="S5904" t="str">
        <f t="shared" si="2762"/>
        <v>14:52:19.586</v>
      </c>
      <c r="T5904" t="str">
        <f t="shared" si="2763"/>
        <v>14:52:19.386</v>
      </c>
      <c r="U5904" t="str">
        <f t="shared" si="2760"/>
        <v>A9808D</v>
      </c>
      <c r="V5904">
        <v>0</v>
      </c>
      <c r="W5904">
        <v>0</v>
      </c>
      <c r="X5904">
        <v>1</v>
      </c>
      <c r="Z5904">
        <v>0</v>
      </c>
      <c r="AA5904">
        <v>9</v>
      </c>
      <c r="AB5904">
        <v>3</v>
      </c>
      <c r="AC5904">
        <v>0</v>
      </c>
      <c r="AD5904">
        <v>10</v>
      </c>
      <c r="AE5904">
        <v>0</v>
      </c>
      <c r="AF5904">
        <v>3</v>
      </c>
      <c r="AG5904">
        <v>2</v>
      </c>
      <c r="AH5904">
        <v>0</v>
      </c>
      <c r="AI5904" t="s">
        <v>1309</v>
      </c>
      <c r="AJ5904">
        <v>28.205144000000001</v>
      </c>
      <c r="AK5904" t="s">
        <v>1310</v>
      </c>
      <c r="AL5904">
        <v>-82.370939000000007</v>
      </c>
      <c r="AM5904">
        <v>100</v>
      </c>
      <c r="AN5904">
        <v>400</v>
      </c>
      <c r="AO5904" t="s">
        <v>118</v>
      </c>
      <c r="AP5904">
        <v>78</v>
      </c>
      <c r="AQ5904">
        <v>45</v>
      </c>
      <c r="AR5904">
        <v>-768</v>
      </c>
      <c r="AZ5904">
        <v>1200</v>
      </c>
      <c r="BA5904">
        <v>1</v>
      </c>
      <c r="BB5904" t="str">
        <f t="shared" si="2735"/>
        <v xml:space="preserve">N711JA  </v>
      </c>
      <c r="BC5904">
        <v>1</v>
      </c>
      <c r="BE5904">
        <v>0</v>
      </c>
      <c r="BF5904">
        <v>0</v>
      </c>
      <c r="BG5904">
        <v>0</v>
      </c>
      <c r="BH5904">
        <v>450</v>
      </c>
      <c r="BI5904">
        <v>1</v>
      </c>
      <c r="BJ5904">
        <v>1</v>
      </c>
      <c r="BK5904">
        <v>0</v>
      </c>
      <c r="BL5904">
        <v>0</v>
      </c>
      <c r="BO5904">
        <v>0</v>
      </c>
      <c r="BP5904">
        <v>0</v>
      </c>
      <c r="BW5904" t="str">
        <f t="shared" si="2764"/>
        <v>14:52:19.593</v>
      </c>
      <c r="CJ5904">
        <v>0</v>
      </c>
      <c r="CK5904">
        <v>2</v>
      </c>
      <c r="CL5904">
        <v>0</v>
      </c>
      <c r="CM5904">
        <v>2</v>
      </c>
      <c r="CN5904">
        <v>0</v>
      </c>
      <c r="CO5904">
        <v>7</v>
      </c>
      <c r="CP5904" t="s">
        <v>119</v>
      </c>
      <c r="CQ5904">
        <v>343</v>
      </c>
      <c r="CR5904">
        <v>1</v>
      </c>
      <c r="CW5904">
        <v>11215605</v>
      </c>
      <c r="CY5904">
        <v>1</v>
      </c>
      <c r="CZ5904">
        <v>0</v>
      </c>
      <c r="DA5904">
        <v>1</v>
      </c>
      <c r="DB5904">
        <v>0</v>
      </c>
      <c r="DC5904">
        <v>0</v>
      </c>
      <c r="DD5904">
        <v>1</v>
      </c>
      <c r="DE5904">
        <v>0</v>
      </c>
      <c r="DF5904">
        <v>0</v>
      </c>
      <c r="DG5904">
        <v>0</v>
      </c>
      <c r="DH5904">
        <v>0</v>
      </c>
      <c r="DI5904">
        <v>0</v>
      </c>
    </row>
    <row r="5905" spans="1:113" x14ac:dyDescent="0.3">
      <c r="A5905" t="str">
        <f t="shared" ref="A5905:A5912" si="2765">"05/12/2020 14:52:02.748"</f>
        <v>05/12/2020 14:52:02.748</v>
      </c>
      <c r="C5905" t="str">
        <f t="shared" si="2734"/>
        <v>FFDFD3C0</v>
      </c>
      <c r="D5905" t="s">
        <v>113</v>
      </c>
      <c r="E5905">
        <v>3</v>
      </c>
      <c r="H5905">
        <v>164</v>
      </c>
      <c r="I5905" t="s">
        <v>114</v>
      </c>
      <c r="J5905" t="s">
        <v>115</v>
      </c>
      <c r="K5905">
        <v>0</v>
      </c>
      <c r="L5905">
        <v>3</v>
      </c>
      <c r="M5905">
        <v>0</v>
      </c>
      <c r="N5905">
        <v>2</v>
      </c>
      <c r="O5905">
        <v>1</v>
      </c>
      <c r="P5905">
        <v>0</v>
      </c>
      <c r="Q5905">
        <v>0</v>
      </c>
      <c r="S5905" t="str">
        <f t="shared" ref="S5905:S5912" si="2766">"14:52:20.563"</f>
        <v>14:52:20.563</v>
      </c>
      <c r="T5905" t="str">
        <f t="shared" ref="T5905:T5912" si="2767">"14:52:20.463"</f>
        <v>14:52:20.463</v>
      </c>
      <c r="U5905" t="str">
        <f t="shared" si="2760"/>
        <v>A9808D</v>
      </c>
      <c r="V5905">
        <v>0</v>
      </c>
      <c r="W5905">
        <v>0</v>
      </c>
      <c r="X5905">
        <v>1</v>
      </c>
      <c r="Z5905">
        <v>0</v>
      </c>
      <c r="AA5905">
        <v>9</v>
      </c>
      <c r="AB5905">
        <v>3</v>
      </c>
      <c r="AC5905">
        <v>0</v>
      </c>
      <c r="AD5905">
        <v>10</v>
      </c>
      <c r="AE5905">
        <v>0</v>
      </c>
      <c r="AF5905">
        <v>3</v>
      </c>
      <c r="AG5905">
        <v>2</v>
      </c>
      <c r="AH5905">
        <v>0</v>
      </c>
      <c r="AI5905" t="s">
        <v>1311</v>
      </c>
      <c r="AJ5905">
        <v>28.205338000000001</v>
      </c>
      <c r="AK5905" t="s">
        <v>1312</v>
      </c>
      <c r="AL5905">
        <v>-82.370574000000005</v>
      </c>
      <c r="AM5905">
        <v>100</v>
      </c>
      <c r="AN5905">
        <v>400</v>
      </c>
      <c r="AO5905" t="s">
        <v>118</v>
      </c>
      <c r="AP5905">
        <v>77</v>
      </c>
      <c r="AQ5905">
        <v>46</v>
      </c>
      <c r="AR5905">
        <v>-896</v>
      </c>
      <c r="AZ5905">
        <v>1200</v>
      </c>
      <c r="BA5905">
        <v>1</v>
      </c>
      <c r="BB5905" t="str">
        <f t="shared" si="2735"/>
        <v xml:space="preserve">N711JA  </v>
      </c>
      <c r="BC5905">
        <v>1</v>
      </c>
      <c r="BE5905">
        <v>0</v>
      </c>
      <c r="BF5905">
        <v>0</v>
      </c>
      <c r="BG5905">
        <v>0</v>
      </c>
      <c r="BH5905">
        <v>425</v>
      </c>
      <c r="BI5905">
        <v>1</v>
      </c>
      <c r="BJ5905">
        <v>1</v>
      </c>
      <c r="BK5905">
        <v>0</v>
      </c>
      <c r="BL5905">
        <v>0</v>
      </c>
      <c r="BO5905">
        <v>0</v>
      </c>
      <c r="BP5905">
        <v>0</v>
      </c>
      <c r="BW5905" t="str">
        <f t="shared" ref="BW5905:BW5912" si="2768">"14:52:20.569"</f>
        <v>14:52:20.569</v>
      </c>
      <c r="CJ5905">
        <v>0</v>
      </c>
      <c r="CK5905">
        <v>2</v>
      </c>
      <c r="CL5905">
        <v>0</v>
      </c>
      <c r="CM5905">
        <v>2</v>
      </c>
      <c r="CN5905">
        <v>0</v>
      </c>
      <c r="CO5905">
        <v>7</v>
      </c>
      <c r="CP5905" t="s">
        <v>119</v>
      </c>
      <c r="CQ5905">
        <v>343</v>
      </c>
      <c r="CR5905">
        <v>2</v>
      </c>
      <c r="CW5905">
        <v>13453408</v>
      </c>
      <c r="CY5905">
        <v>1</v>
      </c>
      <c r="CZ5905">
        <v>0</v>
      </c>
      <c r="DA5905">
        <v>0</v>
      </c>
      <c r="DB5905">
        <v>0</v>
      </c>
      <c r="DC5905">
        <v>0</v>
      </c>
      <c r="DD5905">
        <v>1</v>
      </c>
      <c r="DE5905">
        <v>0</v>
      </c>
      <c r="DF5905">
        <v>0</v>
      </c>
      <c r="DG5905">
        <v>0</v>
      </c>
      <c r="DH5905">
        <v>0</v>
      </c>
      <c r="DI5905">
        <v>0</v>
      </c>
    </row>
    <row r="5906" spans="1:113" x14ac:dyDescent="0.3">
      <c r="A5906" t="str">
        <f t="shared" si="2765"/>
        <v>05/12/2020 14:52:02.748</v>
      </c>
      <c r="C5906" t="str">
        <f t="shared" si="2734"/>
        <v>FFDFD3C0</v>
      </c>
      <c r="D5906" t="s">
        <v>131</v>
      </c>
      <c r="E5906">
        <v>10</v>
      </c>
      <c r="F5906">
        <v>2010</v>
      </c>
      <c r="G5906" t="s">
        <v>132</v>
      </c>
      <c r="J5906" t="s">
        <v>133</v>
      </c>
      <c r="K5906">
        <v>0</v>
      </c>
      <c r="L5906">
        <v>3</v>
      </c>
      <c r="M5906">
        <v>0</v>
      </c>
      <c r="N5906">
        <v>2</v>
      </c>
      <c r="O5906">
        <v>1</v>
      </c>
      <c r="P5906">
        <v>0</v>
      </c>
      <c r="Q5906">
        <v>0</v>
      </c>
      <c r="S5906" t="str">
        <f t="shared" si="2766"/>
        <v>14:52:20.563</v>
      </c>
      <c r="T5906" t="str">
        <f t="shared" si="2767"/>
        <v>14:52:20.463</v>
      </c>
      <c r="U5906" t="str">
        <f t="shared" si="2760"/>
        <v>A9808D</v>
      </c>
      <c r="V5906">
        <v>0</v>
      </c>
      <c r="W5906">
        <v>0</v>
      </c>
      <c r="X5906">
        <v>1</v>
      </c>
      <c r="Z5906">
        <v>0</v>
      </c>
      <c r="AA5906">
        <v>9</v>
      </c>
      <c r="AB5906">
        <v>3</v>
      </c>
      <c r="AC5906">
        <v>0</v>
      </c>
      <c r="AD5906">
        <v>10</v>
      </c>
      <c r="AE5906">
        <v>0</v>
      </c>
      <c r="AF5906">
        <v>3</v>
      </c>
      <c r="AG5906">
        <v>2</v>
      </c>
      <c r="AH5906">
        <v>0</v>
      </c>
      <c r="AI5906" t="s">
        <v>1311</v>
      </c>
      <c r="AJ5906">
        <v>28.205338000000001</v>
      </c>
      <c r="AK5906" t="s">
        <v>1312</v>
      </c>
      <c r="AL5906">
        <v>-82.370574000000005</v>
      </c>
      <c r="AM5906">
        <v>100</v>
      </c>
      <c r="AN5906">
        <v>400</v>
      </c>
      <c r="AO5906" t="s">
        <v>118</v>
      </c>
      <c r="AP5906">
        <v>77</v>
      </c>
      <c r="AQ5906">
        <v>46</v>
      </c>
      <c r="AR5906">
        <v>-896</v>
      </c>
      <c r="AZ5906">
        <v>1200</v>
      </c>
      <c r="BA5906">
        <v>1</v>
      </c>
      <c r="BB5906" t="str">
        <f t="shared" si="2735"/>
        <v xml:space="preserve">N711JA  </v>
      </c>
      <c r="BC5906">
        <v>1</v>
      </c>
      <c r="BE5906">
        <v>0</v>
      </c>
      <c r="BF5906">
        <v>0</v>
      </c>
      <c r="BG5906">
        <v>0</v>
      </c>
      <c r="BH5906">
        <v>425</v>
      </c>
      <c r="BI5906">
        <v>1</v>
      </c>
      <c r="BJ5906">
        <v>1</v>
      </c>
      <c r="BK5906">
        <v>0</v>
      </c>
      <c r="BL5906">
        <v>0</v>
      </c>
      <c r="BO5906">
        <v>0</v>
      </c>
      <c r="BP5906">
        <v>0</v>
      </c>
      <c r="BW5906" t="str">
        <f t="shared" si="2768"/>
        <v>14:52:20.569</v>
      </c>
      <c r="CJ5906">
        <v>0</v>
      </c>
      <c r="CK5906">
        <v>2</v>
      </c>
      <c r="CL5906">
        <v>0</v>
      </c>
      <c r="CM5906">
        <v>2</v>
      </c>
      <c r="CN5906">
        <v>0</v>
      </c>
      <c r="CO5906">
        <v>7</v>
      </c>
      <c r="CP5906" t="s">
        <v>119</v>
      </c>
      <c r="CQ5906">
        <v>343</v>
      </c>
      <c r="CR5906">
        <v>2</v>
      </c>
      <c r="CW5906">
        <v>13453408</v>
      </c>
      <c r="CY5906">
        <v>1</v>
      </c>
      <c r="CZ5906">
        <v>0</v>
      </c>
      <c r="DA5906">
        <v>1</v>
      </c>
      <c r="DB5906">
        <v>0</v>
      </c>
      <c r="DC5906">
        <v>0</v>
      </c>
      <c r="DD5906">
        <v>1</v>
      </c>
      <c r="DE5906">
        <v>0</v>
      </c>
      <c r="DF5906">
        <v>0</v>
      </c>
      <c r="DG5906">
        <v>0</v>
      </c>
      <c r="DH5906">
        <v>0</v>
      </c>
      <c r="DI5906">
        <v>0</v>
      </c>
    </row>
    <row r="5907" spans="1:113" x14ac:dyDescent="0.3">
      <c r="A5907" t="str">
        <f t="shared" si="2765"/>
        <v>05/12/2020 14:52:02.748</v>
      </c>
      <c r="C5907" t="str">
        <f t="shared" si="2734"/>
        <v>FFDFD3C0</v>
      </c>
      <c r="D5907" t="s">
        <v>126</v>
      </c>
      <c r="E5907">
        <v>7</v>
      </c>
      <c r="F5907">
        <v>1007</v>
      </c>
      <c r="G5907" t="s">
        <v>127</v>
      </c>
      <c r="J5907" t="s">
        <v>128</v>
      </c>
      <c r="K5907">
        <v>0</v>
      </c>
      <c r="L5907">
        <v>3</v>
      </c>
      <c r="M5907">
        <v>0</v>
      </c>
      <c r="N5907">
        <v>2</v>
      </c>
      <c r="O5907">
        <v>1</v>
      </c>
      <c r="P5907">
        <v>0</v>
      </c>
      <c r="Q5907">
        <v>0</v>
      </c>
      <c r="S5907" t="str">
        <f t="shared" si="2766"/>
        <v>14:52:20.563</v>
      </c>
      <c r="T5907" t="str">
        <f t="shared" si="2767"/>
        <v>14:52:20.463</v>
      </c>
      <c r="U5907" t="str">
        <f t="shared" si="2760"/>
        <v>A9808D</v>
      </c>
      <c r="V5907">
        <v>0</v>
      </c>
      <c r="W5907">
        <v>0</v>
      </c>
      <c r="X5907">
        <v>1</v>
      </c>
      <c r="Z5907">
        <v>0</v>
      </c>
      <c r="AA5907">
        <v>9</v>
      </c>
      <c r="AB5907">
        <v>3</v>
      </c>
      <c r="AC5907">
        <v>0</v>
      </c>
      <c r="AD5907">
        <v>10</v>
      </c>
      <c r="AE5907">
        <v>0</v>
      </c>
      <c r="AF5907">
        <v>3</v>
      </c>
      <c r="AG5907">
        <v>2</v>
      </c>
      <c r="AH5907">
        <v>0</v>
      </c>
      <c r="AI5907" t="s">
        <v>1311</v>
      </c>
      <c r="AJ5907">
        <v>28.205338000000001</v>
      </c>
      <c r="AK5907" t="s">
        <v>1312</v>
      </c>
      <c r="AL5907">
        <v>-82.370574000000005</v>
      </c>
      <c r="AM5907">
        <v>100</v>
      </c>
      <c r="AN5907">
        <v>400</v>
      </c>
      <c r="AO5907" t="s">
        <v>118</v>
      </c>
      <c r="AP5907">
        <v>77</v>
      </c>
      <c r="AQ5907">
        <v>46</v>
      </c>
      <c r="AR5907">
        <v>-896</v>
      </c>
      <c r="AZ5907">
        <v>1200</v>
      </c>
      <c r="BA5907">
        <v>1</v>
      </c>
      <c r="BB5907" t="str">
        <f t="shared" si="2735"/>
        <v xml:space="preserve">N711JA  </v>
      </c>
      <c r="BC5907">
        <v>1</v>
      </c>
      <c r="BE5907">
        <v>0</v>
      </c>
      <c r="BF5907">
        <v>0</v>
      </c>
      <c r="BG5907">
        <v>0</v>
      </c>
      <c r="BH5907">
        <v>425</v>
      </c>
      <c r="BI5907">
        <v>1</v>
      </c>
      <c r="BJ5907">
        <v>1</v>
      </c>
      <c r="BK5907">
        <v>0</v>
      </c>
      <c r="BL5907">
        <v>0</v>
      </c>
      <c r="BO5907">
        <v>0</v>
      </c>
      <c r="BP5907">
        <v>0</v>
      </c>
      <c r="BW5907" t="str">
        <f t="shared" si="2768"/>
        <v>14:52:20.569</v>
      </c>
      <c r="CJ5907">
        <v>0</v>
      </c>
      <c r="CK5907">
        <v>2</v>
      </c>
      <c r="CL5907">
        <v>0</v>
      </c>
      <c r="CM5907">
        <v>2</v>
      </c>
      <c r="CN5907">
        <v>0</v>
      </c>
      <c r="CO5907">
        <v>7</v>
      </c>
      <c r="CP5907" t="s">
        <v>119</v>
      </c>
      <c r="CQ5907">
        <v>343</v>
      </c>
      <c r="CR5907">
        <v>2</v>
      </c>
      <c r="CW5907">
        <v>13453408</v>
      </c>
      <c r="CY5907">
        <v>1</v>
      </c>
      <c r="CZ5907">
        <v>0</v>
      </c>
      <c r="DA5907">
        <v>1</v>
      </c>
      <c r="DB5907">
        <v>0</v>
      </c>
      <c r="DC5907">
        <v>0</v>
      </c>
      <c r="DD5907">
        <v>1</v>
      </c>
      <c r="DE5907">
        <v>0</v>
      </c>
      <c r="DF5907">
        <v>0</v>
      </c>
      <c r="DG5907">
        <v>0</v>
      </c>
      <c r="DH5907">
        <v>0</v>
      </c>
      <c r="DI5907">
        <v>0</v>
      </c>
    </row>
    <row r="5908" spans="1:113" x14ac:dyDescent="0.3">
      <c r="A5908" t="str">
        <f t="shared" si="2765"/>
        <v>05/12/2020 14:52:02.748</v>
      </c>
      <c r="C5908" t="str">
        <f t="shared" si="2734"/>
        <v>FFDFD3C0</v>
      </c>
      <c r="D5908" t="s">
        <v>131</v>
      </c>
      <c r="E5908">
        <v>12</v>
      </c>
      <c r="F5908">
        <v>2012</v>
      </c>
      <c r="G5908" t="s">
        <v>137</v>
      </c>
      <c r="J5908" t="s">
        <v>133</v>
      </c>
      <c r="K5908">
        <v>0</v>
      </c>
      <c r="L5908">
        <v>3</v>
      </c>
      <c r="M5908">
        <v>0</v>
      </c>
      <c r="N5908">
        <v>2</v>
      </c>
      <c r="O5908">
        <v>1</v>
      </c>
      <c r="P5908">
        <v>0</v>
      </c>
      <c r="Q5908">
        <v>0</v>
      </c>
      <c r="S5908" t="str">
        <f t="shared" si="2766"/>
        <v>14:52:20.563</v>
      </c>
      <c r="T5908" t="str">
        <f t="shared" si="2767"/>
        <v>14:52:20.463</v>
      </c>
      <c r="U5908" t="str">
        <f t="shared" si="2760"/>
        <v>A9808D</v>
      </c>
      <c r="V5908">
        <v>0</v>
      </c>
      <c r="W5908">
        <v>0</v>
      </c>
      <c r="X5908">
        <v>1</v>
      </c>
      <c r="Z5908">
        <v>0</v>
      </c>
      <c r="AA5908">
        <v>9</v>
      </c>
      <c r="AB5908">
        <v>3</v>
      </c>
      <c r="AC5908">
        <v>0</v>
      </c>
      <c r="AD5908">
        <v>10</v>
      </c>
      <c r="AE5908">
        <v>0</v>
      </c>
      <c r="AF5908">
        <v>3</v>
      </c>
      <c r="AG5908">
        <v>2</v>
      </c>
      <c r="AH5908">
        <v>0</v>
      </c>
      <c r="AI5908" t="s">
        <v>1311</v>
      </c>
      <c r="AJ5908">
        <v>28.205338000000001</v>
      </c>
      <c r="AK5908" t="s">
        <v>1312</v>
      </c>
      <c r="AL5908">
        <v>-82.370574000000005</v>
      </c>
      <c r="AM5908">
        <v>100</v>
      </c>
      <c r="AN5908">
        <v>400</v>
      </c>
      <c r="AO5908" t="s">
        <v>118</v>
      </c>
      <c r="AP5908">
        <v>77</v>
      </c>
      <c r="AQ5908">
        <v>46</v>
      </c>
      <c r="AR5908">
        <v>-896</v>
      </c>
      <c r="AZ5908">
        <v>1200</v>
      </c>
      <c r="BA5908">
        <v>1</v>
      </c>
      <c r="BB5908" t="str">
        <f t="shared" si="2735"/>
        <v xml:space="preserve">N711JA  </v>
      </c>
      <c r="BC5908">
        <v>1</v>
      </c>
      <c r="BE5908">
        <v>0</v>
      </c>
      <c r="BF5908">
        <v>0</v>
      </c>
      <c r="BG5908">
        <v>0</v>
      </c>
      <c r="BH5908">
        <v>425</v>
      </c>
      <c r="BI5908">
        <v>1</v>
      </c>
      <c r="BJ5908">
        <v>1</v>
      </c>
      <c r="BK5908">
        <v>0</v>
      </c>
      <c r="BL5908">
        <v>0</v>
      </c>
      <c r="BO5908">
        <v>0</v>
      </c>
      <c r="BP5908">
        <v>0</v>
      </c>
      <c r="BW5908" t="str">
        <f t="shared" si="2768"/>
        <v>14:52:20.569</v>
      </c>
      <c r="CJ5908">
        <v>0</v>
      </c>
      <c r="CK5908">
        <v>2</v>
      </c>
      <c r="CL5908">
        <v>0</v>
      </c>
      <c r="CM5908">
        <v>2</v>
      </c>
      <c r="CN5908">
        <v>0</v>
      </c>
      <c r="CO5908">
        <v>7</v>
      </c>
      <c r="CP5908" t="s">
        <v>119</v>
      </c>
      <c r="CQ5908">
        <v>343</v>
      </c>
      <c r="CR5908">
        <v>2</v>
      </c>
      <c r="CW5908">
        <v>13453408</v>
      </c>
      <c r="CY5908">
        <v>1</v>
      </c>
      <c r="CZ5908">
        <v>0</v>
      </c>
      <c r="DA5908">
        <v>1</v>
      </c>
      <c r="DB5908">
        <v>0</v>
      </c>
      <c r="DC5908">
        <v>0</v>
      </c>
      <c r="DD5908">
        <v>1</v>
      </c>
      <c r="DE5908">
        <v>0</v>
      </c>
      <c r="DF5908">
        <v>0</v>
      </c>
      <c r="DG5908">
        <v>0</v>
      </c>
      <c r="DH5908">
        <v>0</v>
      </c>
      <c r="DI5908">
        <v>0</v>
      </c>
    </row>
    <row r="5909" spans="1:113" x14ac:dyDescent="0.3">
      <c r="A5909" t="str">
        <f t="shared" si="2765"/>
        <v>05/12/2020 14:52:02.748</v>
      </c>
      <c r="C5909" t="str">
        <f t="shared" si="2734"/>
        <v>FFDFD3C0</v>
      </c>
      <c r="D5909" t="s">
        <v>126</v>
      </c>
      <c r="E5909">
        <v>6</v>
      </c>
      <c r="F5909">
        <v>1006</v>
      </c>
      <c r="G5909" t="s">
        <v>114</v>
      </c>
      <c r="J5909" t="s">
        <v>128</v>
      </c>
      <c r="K5909">
        <v>0</v>
      </c>
      <c r="L5909">
        <v>3</v>
      </c>
      <c r="M5909">
        <v>0</v>
      </c>
      <c r="N5909">
        <v>2</v>
      </c>
      <c r="O5909">
        <v>1</v>
      </c>
      <c r="P5909">
        <v>0</v>
      </c>
      <c r="Q5909">
        <v>0</v>
      </c>
      <c r="S5909" t="str">
        <f t="shared" si="2766"/>
        <v>14:52:20.563</v>
      </c>
      <c r="T5909" t="str">
        <f t="shared" si="2767"/>
        <v>14:52:20.463</v>
      </c>
      <c r="U5909" t="str">
        <f t="shared" si="2760"/>
        <v>A9808D</v>
      </c>
      <c r="V5909">
        <v>0</v>
      </c>
      <c r="W5909">
        <v>0</v>
      </c>
      <c r="X5909">
        <v>1</v>
      </c>
      <c r="Z5909">
        <v>0</v>
      </c>
      <c r="AA5909">
        <v>9</v>
      </c>
      <c r="AB5909">
        <v>3</v>
      </c>
      <c r="AC5909">
        <v>0</v>
      </c>
      <c r="AD5909">
        <v>10</v>
      </c>
      <c r="AE5909">
        <v>0</v>
      </c>
      <c r="AF5909">
        <v>3</v>
      </c>
      <c r="AG5909">
        <v>2</v>
      </c>
      <c r="AH5909">
        <v>0</v>
      </c>
      <c r="AI5909" t="s">
        <v>1311</v>
      </c>
      <c r="AJ5909">
        <v>28.205338000000001</v>
      </c>
      <c r="AK5909" t="s">
        <v>1312</v>
      </c>
      <c r="AL5909">
        <v>-82.370574000000005</v>
      </c>
      <c r="AM5909">
        <v>100</v>
      </c>
      <c r="AN5909">
        <v>400</v>
      </c>
      <c r="AO5909" t="s">
        <v>118</v>
      </c>
      <c r="AP5909">
        <v>77</v>
      </c>
      <c r="AQ5909">
        <v>46</v>
      </c>
      <c r="AR5909">
        <v>-896</v>
      </c>
      <c r="AZ5909">
        <v>1200</v>
      </c>
      <c r="BA5909">
        <v>1</v>
      </c>
      <c r="BB5909" t="str">
        <f t="shared" si="2735"/>
        <v xml:space="preserve">N711JA  </v>
      </c>
      <c r="BC5909">
        <v>1</v>
      </c>
      <c r="BE5909">
        <v>0</v>
      </c>
      <c r="BF5909">
        <v>0</v>
      </c>
      <c r="BG5909">
        <v>0</v>
      </c>
      <c r="BH5909">
        <v>425</v>
      </c>
      <c r="BI5909">
        <v>1</v>
      </c>
      <c r="BJ5909">
        <v>1</v>
      </c>
      <c r="BK5909">
        <v>0</v>
      </c>
      <c r="BL5909">
        <v>0</v>
      </c>
      <c r="BO5909">
        <v>0</v>
      </c>
      <c r="BP5909">
        <v>0</v>
      </c>
      <c r="BW5909" t="str">
        <f t="shared" si="2768"/>
        <v>14:52:20.569</v>
      </c>
      <c r="CJ5909">
        <v>0</v>
      </c>
      <c r="CK5909">
        <v>2</v>
      </c>
      <c r="CL5909">
        <v>0</v>
      </c>
      <c r="CM5909">
        <v>2</v>
      </c>
      <c r="CN5909">
        <v>0</v>
      </c>
      <c r="CO5909">
        <v>7</v>
      </c>
      <c r="CP5909" t="s">
        <v>119</v>
      </c>
      <c r="CQ5909">
        <v>343</v>
      </c>
      <c r="CR5909">
        <v>2</v>
      </c>
      <c r="CW5909">
        <v>13453408</v>
      </c>
      <c r="CY5909">
        <v>1</v>
      </c>
      <c r="CZ5909">
        <v>0</v>
      </c>
      <c r="DA5909">
        <v>1</v>
      </c>
      <c r="DB5909">
        <v>0</v>
      </c>
      <c r="DC5909">
        <v>0</v>
      </c>
      <c r="DD5909">
        <v>1</v>
      </c>
      <c r="DE5909">
        <v>0</v>
      </c>
      <c r="DF5909">
        <v>0</v>
      </c>
      <c r="DG5909">
        <v>0</v>
      </c>
      <c r="DH5909">
        <v>0</v>
      </c>
      <c r="DI5909">
        <v>0</v>
      </c>
    </row>
    <row r="5910" spans="1:113" x14ac:dyDescent="0.3">
      <c r="A5910" t="str">
        <f t="shared" si="2765"/>
        <v>05/12/2020 14:52:02.748</v>
      </c>
      <c r="C5910" t="str">
        <f t="shared" ref="C5910:C5973" si="2769">"FFDFD3C0"</f>
        <v>FFDFD3C0</v>
      </c>
      <c r="D5910" t="s">
        <v>134</v>
      </c>
      <c r="E5910">
        <v>12</v>
      </c>
      <c r="H5910">
        <v>64</v>
      </c>
      <c r="I5910" t="s">
        <v>135</v>
      </c>
      <c r="J5910" t="s">
        <v>136</v>
      </c>
      <c r="K5910">
        <v>0</v>
      </c>
      <c r="L5910">
        <v>3</v>
      </c>
      <c r="M5910">
        <v>0</v>
      </c>
      <c r="N5910">
        <v>2</v>
      </c>
      <c r="O5910">
        <v>1</v>
      </c>
      <c r="P5910">
        <v>0</v>
      </c>
      <c r="Q5910">
        <v>0</v>
      </c>
      <c r="S5910" t="str">
        <f t="shared" si="2766"/>
        <v>14:52:20.563</v>
      </c>
      <c r="T5910" t="str">
        <f t="shared" si="2767"/>
        <v>14:52:20.463</v>
      </c>
      <c r="U5910" t="str">
        <f t="shared" si="2760"/>
        <v>A9808D</v>
      </c>
      <c r="V5910">
        <v>0</v>
      </c>
      <c r="W5910">
        <v>0</v>
      </c>
      <c r="X5910">
        <v>1</v>
      </c>
      <c r="Z5910">
        <v>0</v>
      </c>
      <c r="AA5910">
        <v>9</v>
      </c>
      <c r="AB5910">
        <v>3</v>
      </c>
      <c r="AC5910">
        <v>0</v>
      </c>
      <c r="AD5910">
        <v>10</v>
      </c>
      <c r="AE5910">
        <v>0</v>
      </c>
      <c r="AF5910">
        <v>3</v>
      </c>
      <c r="AG5910">
        <v>2</v>
      </c>
      <c r="AH5910">
        <v>0</v>
      </c>
      <c r="AI5910" t="s">
        <v>1311</v>
      </c>
      <c r="AJ5910">
        <v>28.205338000000001</v>
      </c>
      <c r="AK5910" t="s">
        <v>1312</v>
      </c>
      <c r="AL5910">
        <v>-82.370574000000005</v>
      </c>
      <c r="AM5910">
        <v>100</v>
      </c>
      <c r="AN5910">
        <v>400</v>
      </c>
      <c r="AO5910" t="s">
        <v>118</v>
      </c>
      <c r="AP5910">
        <v>77</v>
      </c>
      <c r="AQ5910">
        <v>46</v>
      </c>
      <c r="AR5910">
        <v>-896</v>
      </c>
      <c r="AZ5910">
        <v>1200</v>
      </c>
      <c r="BA5910">
        <v>1</v>
      </c>
      <c r="BB5910" t="str">
        <f t="shared" ref="BB5910:BB5973" si="2770">"N711JA  "</f>
        <v xml:space="preserve">N711JA  </v>
      </c>
      <c r="BC5910">
        <v>1</v>
      </c>
      <c r="BE5910">
        <v>0</v>
      </c>
      <c r="BF5910">
        <v>0</v>
      </c>
      <c r="BG5910">
        <v>0</v>
      </c>
      <c r="BH5910">
        <v>425</v>
      </c>
      <c r="BI5910">
        <v>1</v>
      </c>
      <c r="BJ5910">
        <v>1</v>
      </c>
      <c r="BK5910">
        <v>0</v>
      </c>
      <c r="BL5910">
        <v>0</v>
      </c>
      <c r="BO5910">
        <v>0</v>
      </c>
      <c r="BP5910">
        <v>0</v>
      </c>
      <c r="BW5910" t="str">
        <f t="shared" si="2768"/>
        <v>14:52:20.569</v>
      </c>
      <c r="CJ5910">
        <v>0</v>
      </c>
      <c r="CK5910">
        <v>2</v>
      </c>
      <c r="CL5910">
        <v>0</v>
      </c>
      <c r="CM5910">
        <v>2</v>
      </c>
      <c r="CN5910">
        <v>0</v>
      </c>
      <c r="CO5910">
        <v>7</v>
      </c>
      <c r="CP5910" t="s">
        <v>119</v>
      </c>
      <c r="CQ5910">
        <v>343</v>
      </c>
      <c r="CR5910">
        <v>2</v>
      </c>
      <c r="CW5910">
        <v>13453408</v>
      </c>
      <c r="CY5910">
        <v>1</v>
      </c>
      <c r="CZ5910">
        <v>0</v>
      </c>
      <c r="DA5910">
        <v>1</v>
      </c>
      <c r="DB5910">
        <v>0</v>
      </c>
      <c r="DC5910">
        <v>0</v>
      </c>
      <c r="DD5910">
        <v>1</v>
      </c>
      <c r="DE5910">
        <v>0</v>
      </c>
      <c r="DF5910">
        <v>0</v>
      </c>
      <c r="DG5910">
        <v>0</v>
      </c>
      <c r="DH5910">
        <v>0</v>
      </c>
      <c r="DI5910">
        <v>0</v>
      </c>
    </row>
    <row r="5911" spans="1:113" x14ac:dyDescent="0.3">
      <c r="A5911" t="str">
        <f t="shared" si="2765"/>
        <v>05/12/2020 14:52:02.748</v>
      </c>
      <c r="C5911" t="str">
        <f t="shared" si="2769"/>
        <v>FFDFD3C0</v>
      </c>
      <c r="D5911" t="s">
        <v>138</v>
      </c>
      <c r="E5911">
        <v>2</v>
      </c>
      <c r="H5911">
        <v>8</v>
      </c>
      <c r="I5911" t="s">
        <v>139</v>
      </c>
      <c r="J5911" t="s">
        <v>136</v>
      </c>
      <c r="K5911">
        <v>0</v>
      </c>
      <c r="L5911">
        <v>3</v>
      </c>
      <c r="M5911">
        <v>0</v>
      </c>
      <c r="N5911">
        <v>2</v>
      </c>
      <c r="O5911">
        <v>1</v>
      </c>
      <c r="P5911">
        <v>0</v>
      </c>
      <c r="Q5911">
        <v>0</v>
      </c>
      <c r="S5911" t="str">
        <f t="shared" si="2766"/>
        <v>14:52:20.563</v>
      </c>
      <c r="T5911" t="str">
        <f t="shared" si="2767"/>
        <v>14:52:20.463</v>
      </c>
      <c r="U5911" t="str">
        <f t="shared" si="2760"/>
        <v>A9808D</v>
      </c>
      <c r="V5911">
        <v>0</v>
      </c>
      <c r="W5911">
        <v>0</v>
      </c>
      <c r="X5911">
        <v>1</v>
      </c>
      <c r="Z5911">
        <v>0</v>
      </c>
      <c r="AA5911">
        <v>9</v>
      </c>
      <c r="AB5911">
        <v>3</v>
      </c>
      <c r="AC5911">
        <v>0</v>
      </c>
      <c r="AD5911">
        <v>10</v>
      </c>
      <c r="AE5911">
        <v>0</v>
      </c>
      <c r="AF5911">
        <v>3</v>
      </c>
      <c r="AG5911">
        <v>2</v>
      </c>
      <c r="AH5911">
        <v>0</v>
      </c>
      <c r="AI5911" t="s">
        <v>1311</v>
      </c>
      <c r="AJ5911">
        <v>28.205338000000001</v>
      </c>
      <c r="AK5911" t="s">
        <v>1312</v>
      </c>
      <c r="AL5911">
        <v>-82.370574000000005</v>
      </c>
      <c r="AM5911">
        <v>100</v>
      </c>
      <c r="AN5911">
        <v>400</v>
      </c>
      <c r="AO5911" t="s">
        <v>118</v>
      </c>
      <c r="AP5911">
        <v>77</v>
      </c>
      <c r="AQ5911">
        <v>46</v>
      </c>
      <c r="AR5911">
        <v>-896</v>
      </c>
      <c r="AZ5911">
        <v>1200</v>
      </c>
      <c r="BA5911">
        <v>1</v>
      </c>
      <c r="BB5911" t="str">
        <f t="shared" si="2770"/>
        <v xml:space="preserve">N711JA  </v>
      </c>
      <c r="BC5911">
        <v>1</v>
      </c>
      <c r="BE5911">
        <v>0</v>
      </c>
      <c r="BF5911">
        <v>0</v>
      </c>
      <c r="BG5911">
        <v>0</v>
      </c>
      <c r="BH5911">
        <v>425</v>
      </c>
      <c r="BI5911">
        <v>1</v>
      </c>
      <c r="BJ5911">
        <v>1</v>
      </c>
      <c r="BK5911">
        <v>0</v>
      </c>
      <c r="BL5911">
        <v>0</v>
      </c>
      <c r="BO5911">
        <v>0</v>
      </c>
      <c r="BP5911">
        <v>0</v>
      </c>
      <c r="BW5911" t="str">
        <f t="shared" si="2768"/>
        <v>14:52:20.569</v>
      </c>
      <c r="CJ5911">
        <v>0</v>
      </c>
      <c r="CK5911">
        <v>2</v>
      </c>
      <c r="CL5911">
        <v>0</v>
      </c>
      <c r="CM5911">
        <v>2</v>
      </c>
      <c r="CN5911">
        <v>0</v>
      </c>
      <c r="CO5911">
        <v>7</v>
      </c>
      <c r="CP5911" t="s">
        <v>119</v>
      </c>
      <c r="CQ5911">
        <v>343</v>
      </c>
      <c r="CR5911">
        <v>2</v>
      </c>
      <c r="CW5911">
        <v>13453408</v>
      </c>
      <c r="CY5911">
        <v>1</v>
      </c>
      <c r="CZ5911">
        <v>0</v>
      </c>
      <c r="DA5911">
        <v>1</v>
      </c>
      <c r="DB5911">
        <v>0</v>
      </c>
      <c r="DC5911">
        <v>0</v>
      </c>
      <c r="DD5911">
        <v>1</v>
      </c>
      <c r="DE5911">
        <v>0</v>
      </c>
      <c r="DF5911">
        <v>0</v>
      </c>
      <c r="DG5911">
        <v>0</v>
      </c>
      <c r="DH5911">
        <v>0</v>
      </c>
      <c r="DI5911">
        <v>0</v>
      </c>
    </row>
    <row r="5912" spans="1:113" x14ac:dyDescent="0.3">
      <c r="A5912" t="str">
        <f t="shared" si="2765"/>
        <v>05/12/2020 14:52:02.748</v>
      </c>
      <c r="C5912" t="str">
        <f t="shared" si="2769"/>
        <v>FFDFD3C0</v>
      </c>
      <c r="D5912" t="s">
        <v>138</v>
      </c>
      <c r="E5912">
        <v>3</v>
      </c>
      <c r="H5912">
        <v>9</v>
      </c>
      <c r="I5912" t="s">
        <v>140</v>
      </c>
      <c r="J5912" t="s">
        <v>136</v>
      </c>
      <c r="K5912">
        <v>0</v>
      </c>
      <c r="L5912">
        <v>3</v>
      </c>
      <c r="M5912">
        <v>0</v>
      </c>
      <c r="N5912">
        <v>2</v>
      </c>
      <c r="O5912">
        <v>1</v>
      </c>
      <c r="P5912">
        <v>0</v>
      </c>
      <c r="Q5912">
        <v>0</v>
      </c>
      <c r="S5912" t="str">
        <f t="shared" si="2766"/>
        <v>14:52:20.563</v>
      </c>
      <c r="T5912" t="str">
        <f t="shared" si="2767"/>
        <v>14:52:20.463</v>
      </c>
      <c r="U5912" t="str">
        <f t="shared" si="2760"/>
        <v>A9808D</v>
      </c>
      <c r="V5912">
        <v>0</v>
      </c>
      <c r="W5912">
        <v>0</v>
      </c>
      <c r="X5912">
        <v>1</v>
      </c>
      <c r="Z5912">
        <v>0</v>
      </c>
      <c r="AA5912">
        <v>9</v>
      </c>
      <c r="AB5912">
        <v>3</v>
      </c>
      <c r="AC5912">
        <v>0</v>
      </c>
      <c r="AD5912">
        <v>10</v>
      </c>
      <c r="AE5912">
        <v>0</v>
      </c>
      <c r="AF5912">
        <v>3</v>
      </c>
      <c r="AG5912">
        <v>2</v>
      </c>
      <c r="AH5912">
        <v>0</v>
      </c>
      <c r="AI5912" t="s">
        <v>1311</v>
      </c>
      <c r="AJ5912">
        <v>28.205338000000001</v>
      </c>
      <c r="AK5912" t="s">
        <v>1312</v>
      </c>
      <c r="AL5912">
        <v>-82.370574000000005</v>
      </c>
      <c r="AM5912">
        <v>100</v>
      </c>
      <c r="AN5912">
        <v>400</v>
      </c>
      <c r="AO5912" t="s">
        <v>118</v>
      </c>
      <c r="AP5912">
        <v>77</v>
      </c>
      <c r="AQ5912">
        <v>46</v>
      </c>
      <c r="AR5912">
        <v>-896</v>
      </c>
      <c r="AZ5912">
        <v>1200</v>
      </c>
      <c r="BA5912">
        <v>1</v>
      </c>
      <c r="BB5912" t="str">
        <f t="shared" si="2770"/>
        <v xml:space="preserve">N711JA  </v>
      </c>
      <c r="BC5912">
        <v>1</v>
      </c>
      <c r="BE5912">
        <v>0</v>
      </c>
      <c r="BF5912">
        <v>0</v>
      </c>
      <c r="BG5912">
        <v>0</v>
      </c>
      <c r="BH5912">
        <v>425</v>
      </c>
      <c r="BI5912">
        <v>1</v>
      </c>
      <c r="BJ5912">
        <v>1</v>
      </c>
      <c r="BK5912">
        <v>0</v>
      </c>
      <c r="BL5912">
        <v>0</v>
      </c>
      <c r="BO5912">
        <v>0</v>
      </c>
      <c r="BP5912">
        <v>0</v>
      </c>
      <c r="BW5912" t="str">
        <f t="shared" si="2768"/>
        <v>14:52:20.569</v>
      </c>
      <c r="CJ5912">
        <v>0</v>
      </c>
      <c r="CK5912">
        <v>2</v>
      </c>
      <c r="CL5912">
        <v>0</v>
      </c>
      <c r="CM5912">
        <v>2</v>
      </c>
      <c r="CN5912">
        <v>0</v>
      </c>
      <c r="CO5912">
        <v>7</v>
      </c>
      <c r="CP5912" t="s">
        <v>119</v>
      </c>
      <c r="CQ5912">
        <v>343</v>
      </c>
      <c r="CR5912">
        <v>2</v>
      </c>
      <c r="CW5912">
        <v>13453408</v>
      </c>
      <c r="CY5912">
        <v>1</v>
      </c>
      <c r="CZ5912">
        <v>0</v>
      </c>
      <c r="DA5912">
        <v>1</v>
      </c>
      <c r="DB5912">
        <v>0</v>
      </c>
      <c r="DC5912">
        <v>0</v>
      </c>
      <c r="DD5912">
        <v>1</v>
      </c>
      <c r="DE5912">
        <v>0</v>
      </c>
      <c r="DF5912">
        <v>0</v>
      </c>
      <c r="DG5912">
        <v>0</v>
      </c>
      <c r="DH5912">
        <v>0</v>
      </c>
      <c r="DI5912">
        <v>0</v>
      </c>
    </row>
    <row r="5913" spans="1:113" x14ac:dyDescent="0.3">
      <c r="A5913" t="str">
        <f t="shared" ref="A5913:A5920" si="2771">"05/12/2020 14:52:03.727"</f>
        <v>05/12/2020 14:52:03.727</v>
      </c>
      <c r="C5913" t="str">
        <f t="shared" si="2769"/>
        <v>FFDFD3C0</v>
      </c>
      <c r="D5913" t="s">
        <v>126</v>
      </c>
      <c r="E5913">
        <v>6</v>
      </c>
      <c r="F5913">
        <v>1006</v>
      </c>
      <c r="G5913" t="s">
        <v>114</v>
      </c>
      <c r="J5913" t="s">
        <v>128</v>
      </c>
      <c r="K5913">
        <v>0</v>
      </c>
      <c r="L5913">
        <v>3</v>
      </c>
      <c r="M5913">
        <v>0</v>
      </c>
      <c r="N5913">
        <v>2</v>
      </c>
      <c r="O5913">
        <v>1</v>
      </c>
      <c r="P5913">
        <v>0</v>
      </c>
      <c r="Q5913">
        <v>0</v>
      </c>
      <c r="S5913" t="str">
        <f t="shared" ref="S5913:S5920" si="2772">"14:52:21.555"</f>
        <v>14:52:21.555</v>
      </c>
      <c r="T5913" t="str">
        <f t="shared" ref="T5913:T5920" si="2773">"14:52:21.455"</f>
        <v>14:52:21.455</v>
      </c>
      <c r="U5913" t="str">
        <f t="shared" si="2760"/>
        <v>A9808D</v>
      </c>
      <c r="V5913">
        <v>0</v>
      </c>
      <c r="W5913">
        <v>0</v>
      </c>
      <c r="X5913">
        <v>1</v>
      </c>
      <c r="Z5913">
        <v>0</v>
      </c>
      <c r="AA5913">
        <v>9</v>
      </c>
      <c r="AB5913">
        <v>3</v>
      </c>
      <c r="AC5913">
        <v>0</v>
      </c>
      <c r="AD5913">
        <v>10</v>
      </c>
      <c r="AE5913">
        <v>0</v>
      </c>
      <c r="AF5913">
        <v>3</v>
      </c>
      <c r="AG5913">
        <v>2</v>
      </c>
      <c r="AH5913">
        <v>0</v>
      </c>
      <c r="AI5913" t="s">
        <v>1313</v>
      </c>
      <c r="AJ5913">
        <v>28.205573999999999</v>
      </c>
      <c r="AK5913" t="s">
        <v>1314</v>
      </c>
      <c r="AL5913">
        <v>-82.370144999999994</v>
      </c>
      <c r="AM5913">
        <v>100</v>
      </c>
      <c r="AN5913">
        <v>400</v>
      </c>
      <c r="AO5913" t="s">
        <v>118</v>
      </c>
      <c r="AP5913">
        <v>76</v>
      </c>
      <c r="AQ5913">
        <v>47</v>
      </c>
      <c r="AR5913">
        <v>-768</v>
      </c>
      <c r="AZ5913">
        <v>1200</v>
      </c>
      <c r="BA5913">
        <v>1</v>
      </c>
      <c r="BB5913" t="str">
        <f t="shared" si="2770"/>
        <v xml:space="preserve">N711JA  </v>
      </c>
      <c r="BC5913">
        <v>1</v>
      </c>
      <c r="BE5913">
        <v>0</v>
      </c>
      <c r="BF5913">
        <v>0</v>
      </c>
      <c r="BG5913">
        <v>0</v>
      </c>
      <c r="BH5913">
        <v>400</v>
      </c>
      <c r="BI5913">
        <v>1</v>
      </c>
      <c r="BJ5913">
        <v>1</v>
      </c>
      <c r="BK5913">
        <v>0</v>
      </c>
      <c r="BL5913">
        <v>0</v>
      </c>
      <c r="BO5913">
        <v>0</v>
      </c>
      <c r="BP5913">
        <v>0</v>
      </c>
      <c r="BW5913" t="str">
        <f t="shared" ref="BW5913:BW5920" si="2774">"14:52:21.556"</f>
        <v>14:52:21.556</v>
      </c>
      <c r="CJ5913">
        <v>0</v>
      </c>
      <c r="CK5913">
        <v>2</v>
      </c>
      <c r="CL5913">
        <v>0</v>
      </c>
      <c r="CM5913">
        <v>2</v>
      </c>
      <c r="CN5913">
        <v>0</v>
      </c>
      <c r="CO5913">
        <v>7</v>
      </c>
      <c r="CP5913" t="s">
        <v>119</v>
      </c>
      <c r="CQ5913">
        <v>343</v>
      </c>
      <c r="CR5913">
        <v>2</v>
      </c>
      <c r="CW5913">
        <v>13454089</v>
      </c>
      <c r="CY5913">
        <v>1</v>
      </c>
      <c r="CZ5913">
        <v>0</v>
      </c>
      <c r="DA5913">
        <v>0</v>
      </c>
      <c r="DB5913">
        <v>0</v>
      </c>
      <c r="DC5913">
        <v>0</v>
      </c>
      <c r="DD5913">
        <v>1</v>
      </c>
      <c r="DE5913">
        <v>0</v>
      </c>
      <c r="DF5913">
        <v>0</v>
      </c>
      <c r="DG5913">
        <v>0</v>
      </c>
      <c r="DH5913">
        <v>0</v>
      </c>
      <c r="DI5913">
        <v>0</v>
      </c>
    </row>
    <row r="5914" spans="1:113" x14ac:dyDescent="0.3">
      <c r="A5914" t="str">
        <f t="shared" si="2771"/>
        <v>05/12/2020 14:52:03.727</v>
      </c>
      <c r="C5914" t="str">
        <f t="shared" si="2769"/>
        <v>FFDFD3C0</v>
      </c>
      <c r="D5914" t="s">
        <v>134</v>
      </c>
      <c r="E5914">
        <v>12</v>
      </c>
      <c r="H5914">
        <v>64</v>
      </c>
      <c r="I5914" t="s">
        <v>135</v>
      </c>
      <c r="J5914" t="s">
        <v>136</v>
      </c>
      <c r="K5914">
        <v>0</v>
      </c>
      <c r="L5914">
        <v>3</v>
      </c>
      <c r="M5914">
        <v>0</v>
      </c>
      <c r="N5914">
        <v>2</v>
      </c>
      <c r="O5914">
        <v>1</v>
      </c>
      <c r="P5914">
        <v>0</v>
      </c>
      <c r="Q5914">
        <v>0</v>
      </c>
      <c r="S5914" t="str">
        <f t="shared" si="2772"/>
        <v>14:52:21.555</v>
      </c>
      <c r="T5914" t="str">
        <f t="shared" si="2773"/>
        <v>14:52:21.455</v>
      </c>
      <c r="U5914" t="str">
        <f t="shared" si="2760"/>
        <v>A9808D</v>
      </c>
      <c r="V5914">
        <v>0</v>
      </c>
      <c r="W5914">
        <v>0</v>
      </c>
      <c r="X5914">
        <v>1</v>
      </c>
      <c r="Z5914">
        <v>0</v>
      </c>
      <c r="AA5914">
        <v>9</v>
      </c>
      <c r="AB5914">
        <v>3</v>
      </c>
      <c r="AC5914">
        <v>0</v>
      </c>
      <c r="AD5914">
        <v>10</v>
      </c>
      <c r="AE5914">
        <v>0</v>
      </c>
      <c r="AF5914">
        <v>3</v>
      </c>
      <c r="AG5914">
        <v>2</v>
      </c>
      <c r="AH5914">
        <v>0</v>
      </c>
      <c r="AI5914" t="s">
        <v>1313</v>
      </c>
      <c r="AJ5914">
        <v>28.205573999999999</v>
      </c>
      <c r="AK5914" t="s">
        <v>1314</v>
      </c>
      <c r="AL5914">
        <v>-82.370144999999994</v>
      </c>
      <c r="AM5914">
        <v>100</v>
      </c>
      <c r="AN5914">
        <v>400</v>
      </c>
      <c r="AO5914" t="s">
        <v>118</v>
      </c>
      <c r="AP5914">
        <v>76</v>
      </c>
      <c r="AQ5914">
        <v>47</v>
      </c>
      <c r="AR5914">
        <v>-768</v>
      </c>
      <c r="AZ5914">
        <v>1200</v>
      </c>
      <c r="BA5914">
        <v>1</v>
      </c>
      <c r="BB5914" t="str">
        <f t="shared" si="2770"/>
        <v xml:space="preserve">N711JA  </v>
      </c>
      <c r="BC5914">
        <v>1</v>
      </c>
      <c r="BE5914">
        <v>0</v>
      </c>
      <c r="BF5914">
        <v>0</v>
      </c>
      <c r="BG5914">
        <v>0</v>
      </c>
      <c r="BH5914">
        <v>400</v>
      </c>
      <c r="BI5914">
        <v>1</v>
      </c>
      <c r="BJ5914">
        <v>1</v>
      </c>
      <c r="BK5914">
        <v>0</v>
      </c>
      <c r="BL5914">
        <v>0</v>
      </c>
      <c r="BO5914">
        <v>0</v>
      </c>
      <c r="BP5914">
        <v>0</v>
      </c>
      <c r="BW5914" t="str">
        <f t="shared" si="2774"/>
        <v>14:52:21.556</v>
      </c>
      <c r="CJ5914">
        <v>0</v>
      </c>
      <c r="CK5914">
        <v>2</v>
      </c>
      <c r="CL5914">
        <v>0</v>
      </c>
      <c r="CM5914">
        <v>2</v>
      </c>
      <c r="CN5914">
        <v>0</v>
      </c>
      <c r="CO5914">
        <v>7</v>
      </c>
      <c r="CP5914" t="s">
        <v>119</v>
      </c>
      <c r="CQ5914">
        <v>343</v>
      </c>
      <c r="CR5914">
        <v>2</v>
      </c>
      <c r="CW5914">
        <v>13454089</v>
      </c>
      <c r="CY5914">
        <v>1</v>
      </c>
      <c r="CZ5914">
        <v>0</v>
      </c>
      <c r="DA5914">
        <v>1</v>
      </c>
      <c r="DB5914">
        <v>0</v>
      </c>
      <c r="DC5914">
        <v>0</v>
      </c>
      <c r="DD5914">
        <v>1</v>
      </c>
      <c r="DE5914">
        <v>0</v>
      </c>
      <c r="DF5914">
        <v>0</v>
      </c>
      <c r="DG5914">
        <v>0</v>
      </c>
      <c r="DH5914">
        <v>0</v>
      </c>
      <c r="DI5914">
        <v>0</v>
      </c>
    </row>
    <row r="5915" spans="1:113" x14ac:dyDescent="0.3">
      <c r="A5915" t="str">
        <f t="shared" si="2771"/>
        <v>05/12/2020 14:52:03.727</v>
      </c>
      <c r="C5915" t="str">
        <f t="shared" si="2769"/>
        <v>FFDFD3C0</v>
      </c>
      <c r="D5915" t="s">
        <v>138</v>
      </c>
      <c r="E5915">
        <v>2</v>
      </c>
      <c r="H5915">
        <v>8</v>
      </c>
      <c r="I5915" t="s">
        <v>139</v>
      </c>
      <c r="J5915" t="s">
        <v>136</v>
      </c>
      <c r="K5915">
        <v>0</v>
      </c>
      <c r="L5915">
        <v>3</v>
      </c>
      <c r="M5915">
        <v>0</v>
      </c>
      <c r="N5915">
        <v>2</v>
      </c>
      <c r="O5915">
        <v>1</v>
      </c>
      <c r="P5915">
        <v>0</v>
      </c>
      <c r="Q5915">
        <v>0</v>
      </c>
      <c r="S5915" t="str">
        <f t="shared" si="2772"/>
        <v>14:52:21.555</v>
      </c>
      <c r="T5915" t="str">
        <f t="shared" si="2773"/>
        <v>14:52:21.455</v>
      </c>
      <c r="U5915" t="str">
        <f t="shared" si="2760"/>
        <v>A9808D</v>
      </c>
      <c r="V5915">
        <v>0</v>
      </c>
      <c r="W5915">
        <v>0</v>
      </c>
      <c r="X5915">
        <v>1</v>
      </c>
      <c r="Z5915">
        <v>0</v>
      </c>
      <c r="AA5915">
        <v>9</v>
      </c>
      <c r="AB5915">
        <v>3</v>
      </c>
      <c r="AC5915">
        <v>0</v>
      </c>
      <c r="AD5915">
        <v>10</v>
      </c>
      <c r="AE5915">
        <v>0</v>
      </c>
      <c r="AF5915">
        <v>3</v>
      </c>
      <c r="AG5915">
        <v>2</v>
      </c>
      <c r="AH5915">
        <v>0</v>
      </c>
      <c r="AI5915" t="s">
        <v>1313</v>
      </c>
      <c r="AJ5915">
        <v>28.205573999999999</v>
      </c>
      <c r="AK5915" t="s">
        <v>1314</v>
      </c>
      <c r="AL5915">
        <v>-82.370144999999994</v>
      </c>
      <c r="AM5915">
        <v>100</v>
      </c>
      <c r="AN5915">
        <v>400</v>
      </c>
      <c r="AO5915" t="s">
        <v>118</v>
      </c>
      <c r="AP5915">
        <v>76</v>
      </c>
      <c r="AQ5915">
        <v>47</v>
      </c>
      <c r="AR5915">
        <v>-768</v>
      </c>
      <c r="AZ5915">
        <v>1200</v>
      </c>
      <c r="BA5915">
        <v>1</v>
      </c>
      <c r="BB5915" t="str">
        <f t="shared" si="2770"/>
        <v xml:space="preserve">N711JA  </v>
      </c>
      <c r="BC5915">
        <v>1</v>
      </c>
      <c r="BE5915">
        <v>0</v>
      </c>
      <c r="BF5915">
        <v>0</v>
      </c>
      <c r="BG5915">
        <v>0</v>
      </c>
      <c r="BH5915">
        <v>400</v>
      </c>
      <c r="BI5915">
        <v>1</v>
      </c>
      <c r="BJ5915">
        <v>1</v>
      </c>
      <c r="BK5915">
        <v>0</v>
      </c>
      <c r="BL5915">
        <v>0</v>
      </c>
      <c r="BO5915">
        <v>0</v>
      </c>
      <c r="BP5915">
        <v>0</v>
      </c>
      <c r="BW5915" t="str">
        <f t="shared" si="2774"/>
        <v>14:52:21.556</v>
      </c>
      <c r="CJ5915">
        <v>0</v>
      </c>
      <c r="CK5915">
        <v>2</v>
      </c>
      <c r="CL5915">
        <v>0</v>
      </c>
      <c r="CM5915">
        <v>2</v>
      </c>
      <c r="CN5915">
        <v>0</v>
      </c>
      <c r="CO5915">
        <v>7</v>
      </c>
      <c r="CP5915" t="s">
        <v>119</v>
      </c>
      <c r="CQ5915">
        <v>343</v>
      </c>
      <c r="CR5915">
        <v>2</v>
      </c>
      <c r="CW5915">
        <v>13454089</v>
      </c>
      <c r="CY5915">
        <v>1</v>
      </c>
      <c r="CZ5915">
        <v>0</v>
      </c>
      <c r="DA5915">
        <v>1</v>
      </c>
      <c r="DB5915">
        <v>0</v>
      </c>
      <c r="DC5915">
        <v>0</v>
      </c>
      <c r="DD5915">
        <v>1</v>
      </c>
      <c r="DE5915">
        <v>0</v>
      </c>
      <c r="DF5915">
        <v>0</v>
      </c>
      <c r="DG5915">
        <v>0</v>
      </c>
      <c r="DH5915">
        <v>0</v>
      </c>
      <c r="DI5915">
        <v>0</v>
      </c>
    </row>
    <row r="5916" spans="1:113" x14ac:dyDescent="0.3">
      <c r="A5916" t="str">
        <f t="shared" si="2771"/>
        <v>05/12/2020 14:52:03.727</v>
      </c>
      <c r="C5916" t="str">
        <f t="shared" si="2769"/>
        <v>FFDFD3C0</v>
      </c>
      <c r="D5916" t="s">
        <v>138</v>
      </c>
      <c r="E5916">
        <v>3</v>
      </c>
      <c r="H5916">
        <v>9</v>
      </c>
      <c r="I5916" t="s">
        <v>140</v>
      </c>
      <c r="J5916" t="s">
        <v>136</v>
      </c>
      <c r="K5916">
        <v>0</v>
      </c>
      <c r="L5916">
        <v>3</v>
      </c>
      <c r="M5916">
        <v>0</v>
      </c>
      <c r="N5916">
        <v>2</v>
      </c>
      <c r="O5916">
        <v>1</v>
      </c>
      <c r="P5916">
        <v>0</v>
      </c>
      <c r="Q5916">
        <v>0</v>
      </c>
      <c r="S5916" t="str">
        <f t="shared" si="2772"/>
        <v>14:52:21.555</v>
      </c>
      <c r="T5916" t="str">
        <f t="shared" si="2773"/>
        <v>14:52:21.455</v>
      </c>
      <c r="U5916" t="str">
        <f t="shared" si="2760"/>
        <v>A9808D</v>
      </c>
      <c r="V5916">
        <v>0</v>
      </c>
      <c r="W5916">
        <v>0</v>
      </c>
      <c r="X5916">
        <v>1</v>
      </c>
      <c r="Z5916">
        <v>0</v>
      </c>
      <c r="AA5916">
        <v>9</v>
      </c>
      <c r="AB5916">
        <v>3</v>
      </c>
      <c r="AC5916">
        <v>0</v>
      </c>
      <c r="AD5916">
        <v>10</v>
      </c>
      <c r="AE5916">
        <v>0</v>
      </c>
      <c r="AF5916">
        <v>3</v>
      </c>
      <c r="AG5916">
        <v>2</v>
      </c>
      <c r="AH5916">
        <v>0</v>
      </c>
      <c r="AI5916" t="s">
        <v>1313</v>
      </c>
      <c r="AJ5916">
        <v>28.205573999999999</v>
      </c>
      <c r="AK5916" t="s">
        <v>1314</v>
      </c>
      <c r="AL5916">
        <v>-82.370144999999994</v>
      </c>
      <c r="AM5916">
        <v>100</v>
      </c>
      <c r="AN5916">
        <v>400</v>
      </c>
      <c r="AO5916" t="s">
        <v>118</v>
      </c>
      <c r="AP5916">
        <v>76</v>
      </c>
      <c r="AQ5916">
        <v>47</v>
      </c>
      <c r="AR5916">
        <v>-768</v>
      </c>
      <c r="AZ5916">
        <v>1200</v>
      </c>
      <c r="BA5916">
        <v>1</v>
      </c>
      <c r="BB5916" t="str">
        <f t="shared" si="2770"/>
        <v xml:space="preserve">N711JA  </v>
      </c>
      <c r="BC5916">
        <v>1</v>
      </c>
      <c r="BE5916">
        <v>0</v>
      </c>
      <c r="BF5916">
        <v>0</v>
      </c>
      <c r="BG5916">
        <v>0</v>
      </c>
      <c r="BH5916">
        <v>400</v>
      </c>
      <c r="BI5916">
        <v>1</v>
      </c>
      <c r="BJ5916">
        <v>1</v>
      </c>
      <c r="BK5916">
        <v>0</v>
      </c>
      <c r="BL5916">
        <v>0</v>
      </c>
      <c r="BO5916">
        <v>0</v>
      </c>
      <c r="BP5916">
        <v>0</v>
      </c>
      <c r="BW5916" t="str">
        <f t="shared" si="2774"/>
        <v>14:52:21.556</v>
      </c>
      <c r="CJ5916">
        <v>0</v>
      </c>
      <c r="CK5916">
        <v>2</v>
      </c>
      <c r="CL5916">
        <v>0</v>
      </c>
      <c r="CM5916">
        <v>2</v>
      </c>
      <c r="CN5916">
        <v>0</v>
      </c>
      <c r="CO5916">
        <v>7</v>
      </c>
      <c r="CP5916" t="s">
        <v>119</v>
      </c>
      <c r="CQ5916">
        <v>343</v>
      </c>
      <c r="CR5916">
        <v>2</v>
      </c>
      <c r="CW5916">
        <v>13454089</v>
      </c>
      <c r="CY5916">
        <v>1</v>
      </c>
      <c r="CZ5916">
        <v>0</v>
      </c>
      <c r="DA5916">
        <v>1</v>
      </c>
      <c r="DB5916">
        <v>0</v>
      </c>
      <c r="DC5916">
        <v>0</v>
      </c>
      <c r="DD5916">
        <v>1</v>
      </c>
      <c r="DE5916">
        <v>0</v>
      </c>
      <c r="DF5916">
        <v>0</v>
      </c>
      <c r="DG5916">
        <v>0</v>
      </c>
      <c r="DH5916">
        <v>0</v>
      </c>
      <c r="DI5916">
        <v>0</v>
      </c>
    </row>
    <row r="5917" spans="1:113" x14ac:dyDescent="0.3">
      <c r="A5917" t="str">
        <f t="shared" si="2771"/>
        <v>05/12/2020 14:52:03.727</v>
      </c>
      <c r="C5917" t="str">
        <f t="shared" si="2769"/>
        <v>FFDFD3C0</v>
      </c>
      <c r="D5917" t="s">
        <v>131</v>
      </c>
      <c r="E5917">
        <v>10</v>
      </c>
      <c r="F5917">
        <v>2010</v>
      </c>
      <c r="G5917" t="s">
        <v>132</v>
      </c>
      <c r="J5917" t="s">
        <v>133</v>
      </c>
      <c r="K5917">
        <v>0</v>
      </c>
      <c r="L5917">
        <v>3</v>
      </c>
      <c r="M5917">
        <v>0</v>
      </c>
      <c r="N5917">
        <v>2</v>
      </c>
      <c r="O5917">
        <v>1</v>
      </c>
      <c r="P5917">
        <v>0</v>
      </c>
      <c r="Q5917">
        <v>0</v>
      </c>
      <c r="S5917" t="str">
        <f t="shared" si="2772"/>
        <v>14:52:21.555</v>
      </c>
      <c r="T5917" t="str">
        <f t="shared" si="2773"/>
        <v>14:52:21.455</v>
      </c>
      <c r="U5917" t="str">
        <f t="shared" si="2760"/>
        <v>A9808D</v>
      </c>
      <c r="V5917">
        <v>0</v>
      </c>
      <c r="W5917">
        <v>0</v>
      </c>
      <c r="X5917">
        <v>1</v>
      </c>
      <c r="Z5917">
        <v>0</v>
      </c>
      <c r="AA5917">
        <v>9</v>
      </c>
      <c r="AB5917">
        <v>3</v>
      </c>
      <c r="AC5917">
        <v>0</v>
      </c>
      <c r="AD5917">
        <v>10</v>
      </c>
      <c r="AE5917">
        <v>0</v>
      </c>
      <c r="AF5917">
        <v>3</v>
      </c>
      <c r="AG5917">
        <v>2</v>
      </c>
      <c r="AH5917">
        <v>0</v>
      </c>
      <c r="AI5917" t="s">
        <v>1313</v>
      </c>
      <c r="AJ5917">
        <v>28.205573999999999</v>
      </c>
      <c r="AK5917" t="s">
        <v>1314</v>
      </c>
      <c r="AL5917">
        <v>-82.370144999999994</v>
      </c>
      <c r="AM5917">
        <v>100</v>
      </c>
      <c r="AN5917">
        <v>400</v>
      </c>
      <c r="AO5917" t="s">
        <v>118</v>
      </c>
      <c r="AP5917">
        <v>76</v>
      </c>
      <c r="AQ5917">
        <v>47</v>
      </c>
      <c r="AR5917">
        <v>-768</v>
      </c>
      <c r="AZ5917">
        <v>1200</v>
      </c>
      <c r="BA5917">
        <v>1</v>
      </c>
      <c r="BB5917" t="str">
        <f t="shared" si="2770"/>
        <v xml:space="preserve">N711JA  </v>
      </c>
      <c r="BC5917">
        <v>1</v>
      </c>
      <c r="BE5917">
        <v>0</v>
      </c>
      <c r="BF5917">
        <v>0</v>
      </c>
      <c r="BG5917">
        <v>0</v>
      </c>
      <c r="BH5917">
        <v>400</v>
      </c>
      <c r="BI5917">
        <v>1</v>
      </c>
      <c r="BJ5917">
        <v>1</v>
      </c>
      <c r="BK5917">
        <v>0</v>
      </c>
      <c r="BL5917">
        <v>0</v>
      </c>
      <c r="BO5917">
        <v>0</v>
      </c>
      <c r="BP5917">
        <v>0</v>
      </c>
      <c r="BW5917" t="str">
        <f t="shared" si="2774"/>
        <v>14:52:21.556</v>
      </c>
      <c r="CJ5917">
        <v>0</v>
      </c>
      <c r="CK5917">
        <v>2</v>
      </c>
      <c r="CL5917">
        <v>0</v>
      </c>
      <c r="CM5917">
        <v>2</v>
      </c>
      <c r="CN5917">
        <v>0</v>
      </c>
      <c r="CO5917">
        <v>7</v>
      </c>
      <c r="CP5917" t="s">
        <v>119</v>
      </c>
      <c r="CQ5917">
        <v>343</v>
      </c>
      <c r="CR5917">
        <v>2</v>
      </c>
      <c r="CW5917">
        <v>13454089</v>
      </c>
      <c r="CY5917">
        <v>1</v>
      </c>
      <c r="CZ5917">
        <v>0</v>
      </c>
      <c r="DA5917">
        <v>1</v>
      </c>
      <c r="DB5917">
        <v>0</v>
      </c>
      <c r="DC5917">
        <v>0</v>
      </c>
      <c r="DD5917">
        <v>1</v>
      </c>
      <c r="DE5917">
        <v>0</v>
      </c>
      <c r="DF5917">
        <v>0</v>
      </c>
      <c r="DG5917">
        <v>0</v>
      </c>
      <c r="DH5917">
        <v>0</v>
      </c>
      <c r="DI5917">
        <v>0</v>
      </c>
    </row>
    <row r="5918" spans="1:113" x14ac:dyDescent="0.3">
      <c r="A5918" t="str">
        <f t="shared" si="2771"/>
        <v>05/12/2020 14:52:03.727</v>
      </c>
      <c r="C5918" t="str">
        <f t="shared" si="2769"/>
        <v>FFDFD3C0</v>
      </c>
      <c r="D5918" t="s">
        <v>131</v>
      </c>
      <c r="E5918">
        <v>12</v>
      </c>
      <c r="F5918">
        <v>2012</v>
      </c>
      <c r="G5918" t="s">
        <v>137</v>
      </c>
      <c r="J5918" t="s">
        <v>133</v>
      </c>
      <c r="K5918">
        <v>0</v>
      </c>
      <c r="L5918">
        <v>3</v>
      </c>
      <c r="M5918">
        <v>0</v>
      </c>
      <c r="N5918">
        <v>2</v>
      </c>
      <c r="O5918">
        <v>1</v>
      </c>
      <c r="P5918">
        <v>0</v>
      </c>
      <c r="Q5918">
        <v>0</v>
      </c>
      <c r="S5918" t="str">
        <f t="shared" si="2772"/>
        <v>14:52:21.555</v>
      </c>
      <c r="T5918" t="str">
        <f t="shared" si="2773"/>
        <v>14:52:21.455</v>
      </c>
      <c r="U5918" t="str">
        <f t="shared" si="2760"/>
        <v>A9808D</v>
      </c>
      <c r="V5918">
        <v>0</v>
      </c>
      <c r="W5918">
        <v>0</v>
      </c>
      <c r="X5918">
        <v>1</v>
      </c>
      <c r="Z5918">
        <v>0</v>
      </c>
      <c r="AA5918">
        <v>9</v>
      </c>
      <c r="AB5918">
        <v>3</v>
      </c>
      <c r="AC5918">
        <v>0</v>
      </c>
      <c r="AD5918">
        <v>10</v>
      </c>
      <c r="AE5918">
        <v>0</v>
      </c>
      <c r="AF5918">
        <v>3</v>
      </c>
      <c r="AG5918">
        <v>2</v>
      </c>
      <c r="AH5918">
        <v>0</v>
      </c>
      <c r="AI5918" t="s">
        <v>1313</v>
      </c>
      <c r="AJ5918">
        <v>28.205573999999999</v>
      </c>
      <c r="AK5918" t="s">
        <v>1314</v>
      </c>
      <c r="AL5918">
        <v>-82.370144999999994</v>
      </c>
      <c r="AM5918">
        <v>100</v>
      </c>
      <c r="AN5918">
        <v>400</v>
      </c>
      <c r="AO5918" t="s">
        <v>118</v>
      </c>
      <c r="AP5918">
        <v>76</v>
      </c>
      <c r="AQ5918">
        <v>47</v>
      </c>
      <c r="AR5918">
        <v>-768</v>
      </c>
      <c r="AZ5918">
        <v>1200</v>
      </c>
      <c r="BA5918">
        <v>1</v>
      </c>
      <c r="BB5918" t="str">
        <f t="shared" si="2770"/>
        <v xml:space="preserve">N711JA  </v>
      </c>
      <c r="BC5918">
        <v>1</v>
      </c>
      <c r="BE5918">
        <v>0</v>
      </c>
      <c r="BF5918">
        <v>0</v>
      </c>
      <c r="BG5918">
        <v>0</v>
      </c>
      <c r="BH5918">
        <v>400</v>
      </c>
      <c r="BI5918">
        <v>1</v>
      </c>
      <c r="BJ5918">
        <v>1</v>
      </c>
      <c r="BK5918">
        <v>0</v>
      </c>
      <c r="BL5918">
        <v>0</v>
      </c>
      <c r="BO5918">
        <v>0</v>
      </c>
      <c r="BP5918">
        <v>0</v>
      </c>
      <c r="BW5918" t="str">
        <f t="shared" si="2774"/>
        <v>14:52:21.556</v>
      </c>
      <c r="CJ5918">
        <v>0</v>
      </c>
      <c r="CK5918">
        <v>2</v>
      </c>
      <c r="CL5918">
        <v>0</v>
      </c>
      <c r="CM5918">
        <v>2</v>
      </c>
      <c r="CN5918">
        <v>0</v>
      </c>
      <c r="CO5918">
        <v>7</v>
      </c>
      <c r="CP5918" t="s">
        <v>119</v>
      </c>
      <c r="CQ5918">
        <v>343</v>
      </c>
      <c r="CR5918">
        <v>2</v>
      </c>
      <c r="CW5918">
        <v>13454089</v>
      </c>
      <c r="CY5918">
        <v>1</v>
      </c>
      <c r="CZ5918">
        <v>0</v>
      </c>
      <c r="DA5918">
        <v>1</v>
      </c>
      <c r="DB5918">
        <v>0</v>
      </c>
      <c r="DC5918">
        <v>0</v>
      </c>
      <c r="DD5918">
        <v>1</v>
      </c>
      <c r="DE5918">
        <v>0</v>
      </c>
      <c r="DF5918">
        <v>0</v>
      </c>
      <c r="DG5918">
        <v>0</v>
      </c>
      <c r="DH5918">
        <v>0</v>
      </c>
      <c r="DI5918">
        <v>0</v>
      </c>
    </row>
    <row r="5919" spans="1:113" x14ac:dyDescent="0.3">
      <c r="A5919" t="str">
        <f t="shared" si="2771"/>
        <v>05/12/2020 14:52:03.727</v>
      </c>
      <c r="C5919" t="str">
        <f t="shared" si="2769"/>
        <v>FFDFD3C0</v>
      </c>
      <c r="D5919" t="s">
        <v>126</v>
      </c>
      <c r="E5919">
        <v>7</v>
      </c>
      <c r="F5919">
        <v>1007</v>
      </c>
      <c r="G5919" t="s">
        <v>127</v>
      </c>
      <c r="J5919" t="s">
        <v>128</v>
      </c>
      <c r="K5919">
        <v>0</v>
      </c>
      <c r="L5919">
        <v>3</v>
      </c>
      <c r="M5919">
        <v>0</v>
      </c>
      <c r="N5919">
        <v>2</v>
      </c>
      <c r="O5919">
        <v>1</v>
      </c>
      <c r="P5919">
        <v>0</v>
      </c>
      <c r="Q5919">
        <v>0</v>
      </c>
      <c r="S5919" t="str">
        <f t="shared" si="2772"/>
        <v>14:52:21.555</v>
      </c>
      <c r="T5919" t="str">
        <f t="shared" si="2773"/>
        <v>14:52:21.455</v>
      </c>
      <c r="U5919" t="str">
        <f t="shared" si="2760"/>
        <v>A9808D</v>
      </c>
      <c r="V5919">
        <v>0</v>
      </c>
      <c r="W5919">
        <v>0</v>
      </c>
      <c r="X5919">
        <v>1</v>
      </c>
      <c r="Z5919">
        <v>0</v>
      </c>
      <c r="AA5919">
        <v>9</v>
      </c>
      <c r="AB5919">
        <v>3</v>
      </c>
      <c r="AC5919">
        <v>0</v>
      </c>
      <c r="AD5919">
        <v>10</v>
      </c>
      <c r="AE5919">
        <v>0</v>
      </c>
      <c r="AF5919">
        <v>3</v>
      </c>
      <c r="AG5919">
        <v>2</v>
      </c>
      <c r="AH5919">
        <v>0</v>
      </c>
      <c r="AI5919" t="s">
        <v>1313</v>
      </c>
      <c r="AJ5919">
        <v>28.205573999999999</v>
      </c>
      <c r="AK5919" t="s">
        <v>1314</v>
      </c>
      <c r="AL5919">
        <v>-82.370144999999994</v>
      </c>
      <c r="AM5919">
        <v>100</v>
      </c>
      <c r="AN5919">
        <v>400</v>
      </c>
      <c r="AO5919" t="s">
        <v>118</v>
      </c>
      <c r="AP5919">
        <v>76</v>
      </c>
      <c r="AQ5919">
        <v>47</v>
      </c>
      <c r="AR5919">
        <v>-768</v>
      </c>
      <c r="AZ5919">
        <v>1200</v>
      </c>
      <c r="BA5919">
        <v>1</v>
      </c>
      <c r="BB5919" t="str">
        <f t="shared" si="2770"/>
        <v xml:space="preserve">N711JA  </v>
      </c>
      <c r="BC5919">
        <v>1</v>
      </c>
      <c r="BE5919">
        <v>0</v>
      </c>
      <c r="BF5919">
        <v>0</v>
      </c>
      <c r="BG5919">
        <v>0</v>
      </c>
      <c r="BH5919">
        <v>400</v>
      </c>
      <c r="BI5919">
        <v>1</v>
      </c>
      <c r="BJ5919">
        <v>1</v>
      </c>
      <c r="BK5919">
        <v>0</v>
      </c>
      <c r="BL5919">
        <v>0</v>
      </c>
      <c r="BO5919">
        <v>0</v>
      </c>
      <c r="BP5919">
        <v>0</v>
      </c>
      <c r="BW5919" t="str">
        <f t="shared" si="2774"/>
        <v>14:52:21.556</v>
      </c>
      <c r="CJ5919">
        <v>0</v>
      </c>
      <c r="CK5919">
        <v>2</v>
      </c>
      <c r="CL5919">
        <v>0</v>
      </c>
      <c r="CM5919">
        <v>2</v>
      </c>
      <c r="CN5919">
        <v>0</v>
      </c>
      <c r="CO5919">
        <v>7</v>
      </c>
      <c r="CP5919" t="s">
        <v>119</v>
      </c>
      <c r="CQ5919">
        <v>343</v>
      </c>
      <c r="CR5919">
        <v>2</v>
      </c>
      <c r="CW5919">
        <v>13454089</v>
      </c>
      <c r="CY5919">
        <v>1</v>
      </c>
      <c r="CZ5919">
        <v>0</v>
      </c>
      <c r="DA5919">
        <v>1</v>
      </c>
      <c r="DB5919">
        <v>0</v>
      </c>
      <c r="DC5919">
        <v>0</v>
      </c>
      <c r="DD5919">
        <v>1</v>
      </c>
      <c r="DE5919">
        <v>0</v>
      </c>
      <c r="DF5919">
        <v>0</v>
      </c>
      <c r="DG5919">
        <v>0</v>
      </c>
      <c r="DH5919">
        <v>0</v>
      </c>
      <c r="DI5919">
        <v>0</v>
      </c>
    </row>
    <row r="5920" spans="1:113" x14ac:dyDescent="0.3">
      <c r="A5920" t="str">
        <f t="shared" si="2771"/>
        <v>05/12/2020 14:52:03.727</v>
      </c>
      <c r="C5920" t="str">
        <f t="shared" si="2769"/>
        <v>FFDFD3C0</v>
      </c>
      <c r="D5920" t="s">
        <v>113</v>
      </c>
      <c r="E5920">
        <v>3</v>
      </c>
      <c r="H5920">
        <v>164</v>
      </c>
      <c r="I5920" t="s">
        <v>114</v>
      </c>
      <c r="J5920" t="s">
        <v>115</v>
      </c>
      <c r="K5920">
        <v>0</v>
      </c>
      <c r="L5920">
        <v>3</v>
      </c>
      <c r="M5920">
        <v>0</v>
      </c>
      <c r="N5920">
        <v>2</v>
      </c>
      <c r="O5920">
        <v>1</v>
      </c>
      <c r="P5920">
        <v>0</v>
      </c>
      <c r="Q5920">
        <v>0</v>
      </c>
      <c r="S5920" t="str">
        <f t="shared" si="2772"/>
        <v>14:52:21.555</v>
      </c>
      <c r="T5920" t="str">
        <f t="shared" si="2773"/>
        <v>14:52:21.455</v>
      </c>
      <c r="U5920" t="str">
        <f t="shared" si="2760"/>
        <v>A9808D</v>
      </c>
      <c r="V5920">
        <v>0</v>
      </c>
      <c r="W5920">
        <v>0</v>
      </c>
      <c r="X5920">
        <v>1</v>
      </c>
      <c r="Z5920">
        <v>0</v>
      </c>
      <c r="AA5920">
        <v>9</v>
      </c>
      <c r="AB5920">
        <v>3</v>
      </c>
      <c r="AC5920">
        <v>0</v>
      </c>
      <c r="AD5920">
        <v>10</v>
      </c>
      <c r="AE5920">
        <v>0</v>
      </c>
      <c r="AF5920">
        <v>3</v>
      </c>
      <c r="AG5920">
        <v>2</v>
      </c>
      <c r="AH5920">
        <v>0</v>
      </c>
      <c r="AI5920" t="s">
        <v>1313</v>
      </c>
      <c r="AJ5920">
        <v>28.205573999999999</v>
      </c>
      <c r="AK5920" t="s">
        <v>1314</v>
      </c>
      <c r="AL5920">
        <v>-82.370144999999994</v>
      </c>
      <c r="AM5920">
        <v>100</v>
      </c>
      <c r="AN5920">
        <v>400</v>
      </c>
      <c r="AO5920" t="s">
        <v>118</v>
      </c>
      <c r="AP5920">
        <v>76</v>
      </c>
      <c r="AQ5920">
        <v>47</v>
      </c>
      <c r="AR5920">
        <v>-768</v>
      </c>
      <c r="AZ5920">
        <v>1200</v>
      </c>
      <c r="BA5920">
        <v>1</v>
      </c>
      <c r="BB5920" t="str">
        <f t="shared" si="2770"/>
        <v xml:space="preserve">N711JA  </v>
      </c>
      <c r="BC5920">
        <v>1</v>
      </c>
      <c r="BE5920">
        <v>0</v>
      </c>
      <c r="BF5920">
        <v>0</v>
      </c>
      <c r="BG5920">
        <v>0</v>
      </c>
      <c r="BH5920">
        <v>400</v>
      </c>
      <c r="BI5920">
        <v>1</v>
      </c>
      <c r="BJ5920">
        <v>1</v>
      </c>
      <c r="BK5920">
        <v>0</v>
      </c>
      <c r="BL5920">
        <v>0</v>
      </c>
      <c r="BO5920">
        <v>0</v>
      </c>
      <c r="BP5920">
        <v>0</v>
      </c>
      <c r="BW5920" t="str">
        <f t="shared" si="2774"/>
        <v>14:52:21.556</v>
      </c>
      <c r="CJ5920">
        <v>0</v>
      </c>
      <c r="CK5920">
        <v>2</v>
      </c>
      <c r="CL5920">
        <v>0</v>
      </c>
      <c r="CM5920">
        <v>2</v>
      </c>
      <c r="CN5920">
        <v>0</v>
      </c>
      <c r="CO5920">
        <v>7</v>
      </c>
      <c r="CP5920" t="s">
        <v>119</v>
      </c>
      <c r="CQ5920">
        <v>343</v>
      </c>
      <c r="CR5920">
        <v>2</v>
      </c>
      <c r="CW5920">
        <v>13454089</v>
      </c>
      <c r="CY5920">
        <v>1</v>
      </c>
      <c r="CZ5920">
        <v>0</v>
      </c>
      <c r="DA5920">
        <v>1</v>
      </c>
      <c r="DB5920">
        <v>0</v>
      </c>
      <c r="DC5920">
        <v>0</v>
      </c>
      <c r="DD5920">
        <v>1</v>
      </c>
      <c r="DE5920">
        <v>0</v>
      </c>
      <c r="DF5920">
        <v>0</v>
      </c>
      <c r="DG5920">
        <v>0</v>
      </c>
      <c r="DH5920">
        <v>0</v>
      </c>
      <c r="DI5920">
        <v>0</v>
      </c>
    </row>
    <row r="5921" spans="1:113" x14ac:dyDescent="0.3">
      <c r="A5921" t="str">
        <f t="shared" ref="A5921:A5928" si="2775">"05/12/2020 14:52:04.767"</f>
        <v>05/12/2020 14:52:04.767</v>
      </c>
      <c r="C5921" t="str">
        <f t="shared" si="2769"/>
        <v>FFDFD3C0</v>
      </c>
      <c r="D5921" t="s">
        <v>113</v>
      </c>
      <c r="E5921">
        <v>3</v>
      </c>
      <c r="H5921">
        <v>164</v>
      </c>
      <c r="I5921" t="s">
        <v>114</v>
      </c>
      <c r="J5921" t="s">
        <v>115</v>
      </c>
      <c r="K5921">
        <v>0</v>
      </c>
      <c r="L5921">
        <v>3</v>
      </c>
      <c r="M5921">
        <v>0</v>
      </c>
      <c r="N5921">
        <v>2</v>
      </c>
      <c r="O5921">
        <v>1</v>
      </c>
      <c r="P5921">
        <v>0</v>
      </c>
      <c r="Q5921">
        <v>0</v>
      </c>
      <c r="S5921" t="str">
        <f t="shared" ref="S5921:S5928" si="2776">"14:52:22.617"</f>
        <v>14:52:22.617</v>
      </c>
      <c r="T5921" t="str">
        <f t="shared" ref="T5921:T5928" si="2777">"14:52:22.417"</f>
        <v>14:52:22.417</v>
      </c>
      <c r="U5921" t="str">
        <f t="shared" si="2760"/>
        <v>A9808D</v>
      </c>
      <c r="V5921">
        <v>0</v>
      </c>
      <c r="W5921">
        <v>0</v>
      </c>
      <c r="X5921">
        <v>1</v>
      </c>
      <c r="Z5921">
        <v>0</v>
      </c>
      <c r="AA5921">
        <v>9</v>
      </c>
      <c r="AB5921">
        <v>3</v>
      </c>
      <c r="AC5921">
        <v>0</v>
      </c>
      <c r="AD5921">
        <v>10</v>
      </c>
      <c r="AE5921">
        <v>0</v>
      </c>
      <c r="AF5921">
        <v>3</v>
      </c>
      <c r="AG5921">
        <v>2</v>
      </c>
      <c r="AH5921">
        <v>0</v>
      </c>
      <c r="AI5921" t="s">
        <v>1315</v>
      </c>
      <c r="AJ5921">
        <v>28.205787999999998</v>
      </c>
      <c r="AK5921" t="s">
        <v>1316</v>
      </c>
      <c r="AL5921">
        <v>-82.369737999999998</v>
      </c>
      <c r="AM5921">
        <v>100</v>
      </c>
      <c r="AN5921">
        <v>300</v>
      </c>
      <c r="AO5921" t="s">
        <v>118</v>
      </c>
      <c r="AP5921">
        <v>75</v>
      </c>
      <c r="AQ5921">
        <v>47</v>
      </c>
      <c r="AR5921">
        <v>-768</v>
      </c>
      <c r="AZ5921">
        <v>1200</v>
      </c>
      <c r="BA5921">
        <v>1</v>
      </c>
      <c r="BB5921" t="str">
        <f t="shared" si="2770"/>
        <v xml:space="preserve">N711JA  </v>
      </c>
      <c r="BC5921">
        <v>1</v>
      </c>
      <c r="BE5921">
        <v>0</v>
      </c>
      <c r="BF5921">
        <v>0</v>
      </c>
      <c r="BG5921">
        <v>0</v>
      </c>
      <c r="BH5921">
        <v>400</v>
      </c>
      <c r="BI5921">
        <v>1</v>
      </c>
      <c r="BJ5921">
        <v>1</v>
      </c>
      <c r="BK5921">
        <v>0</v>
      </c>
      <c r="BL5921">
        <v>0</v>
      </c>
      <c r="BO5921">
        <v>0</v>
      </c>
      <c r="BP5921">
        <v>0</v>
      </c>
      <c r="BW5921" t="str">
        <f t="shared" ref="BW5921:BW5928" si="2778">"14:52:22.618"</f>
        <v>14:52:22.618</v>
      </c>
      <c r="CJ5921">
        <v>0</v>
      </c>
      <c r="CK5921">
        <v>2</v>
      </c>
      <c r="CL5921">
        <v>0</v>
      </c>
      <c r="CM5921">
        <v>2</v>
      </c>
      <c r="CN5921">
        <v>0</v>
      </c>
      <c r="CO5921">
        <v>7</v>
      </c>
      <c r="CP5921" t="s">
        <v>119</v>
      </c>
      <c r="CQ5921">
        <v>343</v>
      </c>
      <c r="CR5921">
        <v>1</v>
      </c>
      <c r="CW5921">
        <v>11218594</v>
      </c>
      <c r="CY5921">
        <v>1</v>
      </c>
      <c r="CZ5921">
        <v>0</v>
      </c>
      <c r="DA5921">
        <v>0</v>
      </c>
      <c r="DB5921">
        <v>0</v>
      </c>
      <c r="DC5921">
        <v>0</v>
      </c>
      <c r="DD5921">
        <v>1</v>
      </c>
      <c r="DE5921">
        <v>0</v>
      </c>
      <c r="DF5921">
        <v>0</v>
      </c>
      <c r="DG5921">
        <v>0</v>
      </c>
      <c r="DH5921">
        <v>0</v>
      </c>
      <c r="DI5921">
        <v>0</v>
      </c>
    </row>
    <row r="5922" spans="1:113" x14ac:dyDescent="0.3">
      <c r="A5922" t="str">
        <f t="shared" si="2775"/>
        <v>05/12/2020 14:52:04.767</v>
      </c>
      <c r="C5922" t="str">
        <f t="shared" si="2769"/>
        <v>FFDFD3C0</v>
      </c>
      <c r="D5922" t="s">
        <v>126</v>
      </c>
      <c r="E5922">
        <v>6</v>
      </c>
      <c r="F5922">
        <v>1006</v>
      </c>
      <c r="G5922" t="s">
        <v>114</v>
      </c>
      <c r="J5922" t="s">
        <v>128</v>
      </c>
      <c r="K5922">
        <v>0</v>
      </c>
      <c r="L5922">
        <v>3</v>
      </c>
      <c r="M5922">
        <v>0</v>
      </c>
      <c r="N5922">
        <v>2</v>
      </c>
      <c r="O5922">
        <v>1</v>
      </c>
      <c r="P5922">
        <v>0</v>
      </c>
      <c r="Q5922">
        <v>0</v>
      </c>
      <c r="S5922" t="str">
        <f t="shared" si="2776"/>
        <v>14:52:22.617</v>
      </c>
      <c r="T5922" t="str">
        <f t="shared" si="2777"/>
        <v>14:52:22.417</v>
      </c>
      <c r="U5922" t="str">
        <f t="shared" si="2760"/>
        <v>A9808D</v>
      </c>
      <c r="V5922">
        <v>0</v>
      </c>
      <c r="W5922">
        <v>0</v>
      </c>
      <c r="X5922">
        <v>1</v>
      </c>
      <c r="Z5922">
        <v>0</v>
      </c>
      <c r="AA5922">
        <v>9</v>
      </c>
      <c r="AB5922">
        <v>3</v>
      </c>
      <c r="AC5922">
        <v>0</v>
      </c>
      <c r="AD5922">
        <v>10</v>
      </c>
      <c r="AE5922">
        <v>0</v>
      </c>
      <c r="AF5922">
        <v>3</v>
      </c>
      <c r="AG5922">
        <v>2</v>
      </c>
      <c r="AH5922">
        <v>0</v>
      </c>
      <c r="AI5922" t="s">
        <v>1315</v>
      </c>
      <c r="AJ5922">
        <v>28.205787999999998</v>
      </c>
      <c r="AK5922" t="s">
        <v>1316</v>
      </c>
      <c r="AL5922">
        <v>-82.369737999999998</v>
      </c>
      <c r="AM5922">
        <v>100</v>
      </c>
      <c r="AN5922">
        <v>300</v>
      </c>
      <c r="AO5922" t="s">
        <v>118</v>
      </c>
      <c r="AP5922">
        <v>75</v>
      </c>
      <c r="AQ5922">
        <v>47</v>
      </c>
      <c r="AR5922">
        <v>-768</v>
      </c>
      <c r="AZ5922">
        <v>1200</v>
      </c>
      <c r="BA5922">
        <v>1</v>
      </c>
      <c r="BB5922" t="str">
        <f t="shared" si="2770"/>
        <v xml:space="preserve">N711JA  </v>
      </c>
      <c r="BC5922">
        <v>1</v>
      </c>
      <c r="BE5922">
        <v>0</v>
      </c>
      <c r="BF5922">
        <v>0</v>
      </c>
      <c r="BG5922">
        <v>0</v>
      </c>
      <c r="BH5922">
        <v>400</v>
      </c>
      <c r="BI5922">
        <v>1</v>
      </c>
      <c r="BJ5922">
        <v>1</v>
      </c>
      <c r="BK5922">
        <v>0</v>
      </c>
      <c r="BL5922">
        <v>0</v>
      </c>
      <c r="BO5922">
        <v>0</v>
      </c>
      <c r="BP5922">
        <v>0</v>
      </c>
      <c r="BW5922" t="str">
        <f t="shared" si="2778"/>
        <v>14:52:22.618</v>
      </c>
      <c r="CJ5922">
        <v>0</v>
      </c>
      <c r="CK5922">
        <v>2</v>
      </c>
      <c r="CL5922">
        <v>0</v>
      </c>
      <c r="CM5922">
        <v>2</v>
      </c>
      <c r="CN5922">
        <v>0</v>
      </c>
      <c r="CO5922">
        <v>7</v>
      </c>
      <c r="CP5922" t="s">
        <v>119</v>
      </c>
      <c r="CQ5922">
        <v>343</v>
      </c>
      <c r="CR5922">
        <v>1</v>
      </c>
      <c r="CW5922">
        <v>11218594</v>
      </c>
      <c r="CY5922">
        <v>1</v>
      </c>
      <c r="CZ5922">
        <v>0</v>
      </c>
      <c r="DA5922">
        <v>1</v>
      </c>
      <c r="DB5922">
        <v>0</v>
      </c>
      <c r="DC5922">
        <v>0</v>
      </c>
      <c r="DD5922">
        <v>1</v>
      </c>
      <c r="DE5922">
        <v>0</v>
      </c>
      <c r="DF5922">
        <v>0</v>
      </c>
      <c r="DG5922">
        <v>0</v>
      </c>
      <c r="DH5922">
        <v>0</v>
      </c>
      <c r="DI5922">
        <v>0</v>
      </c>
    </row>
    <row r="5923" spans="1:113" x14ac:dyDescent="0.3">
      <c r="A5923" t="str">
        <f t="shared" si="2775"/>
        <v>05/12/2020 14:52:04.767</v>
      </c>
      <c r="C5923" t="str">
        <f t="shared" si="2769"/>
        <v>FFDFD3C0</v>
      </c>
      <c r="D5923" t="s">
        <v>134</v>
      </c>
      <c r="E5923">
        <v>12</v>
      </c>
      <c r="H5923">
        <v>64</v>
      </c>
      <c r="I5923" t="s">
        <v>135</v>
      </c>
      <c r="J5923" t="s">
        <v>136</v>
      </c>
      <c r="K5923">
        <v>0</v>
      </c>
      <c r="L5923">
        <v>3</v>
      </c>
      <c r="M5923">
        <v>0</v>
      </c>
      <c r="N5923">
        <v>2</v>
      </c>
      <c r="O5923">
        <v>1</v>
      </c>
      <c r="P5923">
        <v>0</v>
      </c>
      <c r="Q5923">
        <v>0</v>
      </c>
      <c r="S5923" t="str">
        <f t="shared" si="2776"/>
        <v>14:52:22.617</v>
      </c>
      <c r="T5923" t="str">
        <f t="shared" si="2777"/>
        <v>14:52:22.417</v>
      </c>
      <c r="U5923" t="str">
        <f t="shared" si="2760"/>
        <v>A9808D</v>
      </c>
      <c r="V5923">
        <v>0</v>
      </c>
      <c r="W5923">
        <v>0</v>
      </c>
      <c r="X5923">
        <v>1</v>
      </c>
      <c r="Z5923">
        <v>0</v>
      </c>
      <c r="AA5923">
        <v>9</v>
      </c>
      <c r="AB5923">
        <v>3</v>
      </c>
      <c r="AC5923">
        <v>0</v>
      </c>
      <c r="AD5923">
        <v>10</v>
      </c>
      <c r="AE5923">
        <v>0</v>
      </c>
      <c r="AF5923">
        <v>3</v>
      </c>
      <c r="AG5923">
        <v>2</v>
      </c>
      <c r="AH5923">
        <v>0</v>
      </c>
      <c r="AI5923" t="s">
        <v>1315</v>
      </c>
      <c r="AJ5923">
        <v>28.205787999999998</v>
      </c>
      <c r="AK5923" t="s">
        <v>1316</v>
      </c>
      <c r="AL5923">
        <v>-82.369737999999998</v>
      </c>
      <c r="AM5923">
        <v>100</v>
      </c>
      <c r="AN5923">
        <v>300</v>
      </c>
      <c r="AO5923" t="s">
        <v>118</v>
      </c>
      <c r="AP5923">
        <v>75</v>
      </c>
      <c r="AQ5923">
        <v>47</v>
      </c>
      <c r="AR5923">
        <v>-768</v>
      </c>
      <c r="AZ5923">
        <v>1200</v>
      </c>
      <c r="BA5923">
        <v>1</v>
      </c>
      <c r="BB5923" t="str">
        <f t="shared" si="2770"/>
        <v xml:space="preserve">N711JA  </v>
      </c>
      <c r="BC5923">
        <v>1</v>
      </c>
      <c r="BE5923">
        <v>0</v>
      </c>
      <c r="BF5923">
        <v>0</v>
      </c>
      <c r="BG5923">
        <v>0</v>
      </c>
      <c r="BH5923">
        <v>400</v>
      </c>
      <c r="BI5923">
        <v>1</v>
      </c>
      <c r="BJ5923">
        <v>1</v>
      </c>
      <c r="BK5923">
        <v>0</v>
      </c>
      <c r="BL5923">
        <v>0</v>
      </c>
      <c r="BO5923">
        <v>0</v>
      </c>
      <c r="BP5923">
        <v>0</v>
      </c>
      <c r="BW5923" t="str">
        <f t="shared" si="2778"/>
        <v>14:52:22.618</v>
      </c>
      <c r="CJ5923">
        <v>0</v>
      </c>
      <c r="CK5923">
        <v>2</v>
      </c>
      <c r="CL5923">
        <v>0</v>
      </c>
      <c r="CM5923">
        <v>2</v>
      </c>
      <c r="CN5923">
        <v>0</v>
      </c>
      <c r="CO5923">
        <v>7</v>
      </c>
      <c r="CP5923" t="s">
        <v>119</v>
      </c>
      <c r="CQ5923">
        <v>343</v>
      </c>
      <c r="CR5923">
        <v>1</v>
      </c>
      <c r="CW5923">
        <v>11218594</v>
      </c>
      <c r="CY5923">
        <v>1</v>
      </c>
      <c r="CZ5923">
        <v>0</v>
      </c>
      <c r="DA5923">
        <v>1</v>
      </c>
      <c r="DB5923">
        <v>0</v>
      </c>
      <c r="DC5923">
        <v>0</v>
      </c>
      <c r="DD5923">
        <v>1</v>
      </c>
      <c r="DE5923">
        <v>0</v>
      </c>
      <c r="DF5923">
        <v>0</v>
      </c>
      <c r="DG5923">
        <v>0</v>
      </c>
      <c r="DH5923">
        <v>0</v>
      </c>
      <c r="DI5923">
        <v>0</v>
      </c>
    </row>
    <row r="5924" spans="1:113" x14ac:dyDescent="0.3">
      <c r="A5924" t="str">
        <f t="shared" si="2775"/>
        <v>05/12/2020 14:52:04.767</v>
      </c>
      <c r="C5924" t="str">
        <f t="shared" si="2769"/>
        <v>FFDFD3C0</v>
      </c>
      <c r="D5924" t="s">
        <v>131</v>
      </c>
      <c r="E5924">
        <v>10</v>
      </c>
      <c r="F5924">
        <v>2010</v>
      </c>
      <c r="G5924" t="s">
        <v>132</v>
      </c>
      <c r="J5924" t="s">
        <v>133</v>
      </c>
      <c r="K5924">
        <v>0</v>
      </c>
      <c r="L5924">
        <v>3</v>
      </c>
      <c r="M5924">
        <v>0</v>
      </c>
      <c r="N5924">
        <v>2</v>
      </c>
      <c r="O5924">
        <v>1</v>
      </c>
      <c r="P5924">
        <v>0</v>
      </c>
      <c r="Q5924">
        <v>0</v>
      </c>
      <c r="S5924" t="str">
        <f t="shared" si="2776"/>
        <v>14:52:22.617</v>
      </c>
      <c r="T5924" t="str">
        <f t="shared" si="2777"/>
        <v>14:52:22.417</v>
      </c>
      <c r="U5924" t="str">
        <f t="shared" si="2760"/>
        <v>A9808D</v>
      </c>
      <c r="V5924">
        <v>0</v>
      </c>
      <c r="W5924">
        <v>0</v>
      </c>
      <c r="X5924">
        <v>1</v>
      </c>
      <c r="Z5924">
        <v>0</v>
      </c>
      <c r="AA5924">
        <v>9</v>
      </c>
      <c r="AB5924">
        <v>3</v>
      </c>
      <c r="AC5924">
        <v>0</v>
      </c>
      <c r="AD5924">
        <v>10</v>
      </c>
      <c r="AE5924">
        <v>0</v>
      </c>
      <c r="AF5924">
        <v>3</v>
      </c>
      <c r="AG5924">
        <v>2</v>
      </c>
      <c r="AH5924">
        <v>0</v>
      </c>
      <c r="AI5924" t="s">
        <v>1315</v>
      </c>
      <c r="AJ5924">
        <v>28.205787999999998</v>
      </c>
      <c r="AK5924" t="s">
        <v>1316</v>
      </c>
      <c r="AL5924">
        <v>-82.369737999999998</v>
      </c>
      <c r="AM5924">
        <v>100</v>
      </c>
      <c r="AN5924">
        <v>300</v>
      </c>
      <c r="AO5924" t="s">
        <v>118</v>
      </c>
      <c r="AP5924">
        <v>75</v>
      </c>
      <c r="AQ5924">
        <v>47</v>
      </c>
      <c r="AR5924">
        <v>-768</v>
      </c>
      <c r="AZ5924">
        <v>1200</v>
      </c>
      <c r="BA5924">
        <v>1</v>
      </c>
      <c r="BB5924" t="str">
        <f t="shared" si="2770"/>
        <v xml:space="preserve">N711JA  </v>
      </c>
      <c r="BC5924">
        <v>1</v>
      </c>
      <c r="BE5924">
        <v>0</v>
      </c>
      <c r="BF5924">
        <v>0</v>
      </c>
      <c r="BG5924">
        <v>0</v>
      </c>
      <c r="BH5924">
        <v>400</v>
      </c>
      <c r="BI5924">
        <v>1</v>
      </c>
      <c r="BJ5924">
        <v>1</v>
      </c>
      <c r="BK5924">
        <v>0</v>
      </c>
      <c r="BL5924">
        <v>0</v>
      </c>
      <c r="BO5924">
        <v>0</v>
      </c>
      <c r="BP5924">
        <v>0</v>
      </c>
      <c r="BW5924" t="str">
        <f t="shared" si="2778"/>
        <v>14:52:22.618</v>
      </c>
      <c r="CJ5924">
        <v>0</v>
      </c>
      <c r="CK5924">
        <v>2</v>
      </c>
      <c r="CL5924">
        <v>0</v>
      </c>
      <c r="CM5924">
        <v>2</v>
      </c>
      <c r="CN5924">
        <v>0</v>
      </c>
      <c r="CO5924">
        <v>7</v>
      </c>
      <c r="CP5924" t="s">
        <v>119</v>
      </c>
      <c r="CQ5924">
        <v>343</v>
      </c>
      <c r="CR5924">
        <v>1</v>
      </c>
      <c r="CW5924">
        <v>11218594</v>
      </c>
      <c r="CY5924">
        <v>1</v>
      </c>
      <c r="CZ5924">
        <v>0</v>
      </c>
      <c r="DA5924">
        <v>1</v>
      </c>
      <c r="DB5924">
        <v>0</v>
      </c>
      <c r="DC5924">
        <v>0</v>
      </c>
      <c r="DD5924">
        <v>1</v>
      </c>
      <c r="DE5924">
        <v>0</v>
      </c>
      <c r="DF5924">
        <v>0</v>
      </c>
      <c r="DG5924">
        <v>0</v>
      </c>
      <c r="DH5924">
        <v>0</v>
      </c>
      <c r="DI5924">
        <v>0</v>
      </c>
    </row>
    <row r="5925" spans="1:113" x14ac:dyDescent="0.3">
      <c r="A5925" t="str">
        <f t="shared" si="2775"/>
        <v>05/12/2020 14:52:04.767</v>
      </c>
      <c r="C5925" t="str">
        <f t="shared" si="2769"/>
        <v>FFDFD3C0</v>
      </c>
      <c r="D5925" t="s">
        <v>131</v>
      </c>
      <c r="E5925">
        <v>12</v>
      </c>
      <c r="F5925">
        <v>2012</v>
      </c>
      <c r="G5925" t="s">
        <v>137</v>
      </c>
      <c r="J5925" t="s">
        <v>133</v>
      </c>
      <c r="K5925">
        <v>0</v>
      </c>
      <c r="L5925">
        <v>3</v>
      </c>
      <c r="M5925">
        <v>0</v>
      </c>
      <c r="N5925">
        <v>2</v>
      </c>
      <c r="O5925">
        <v>1</v>
      </c>
      <c r="P5925">
        <v>0</v>
      </c>
      <c r="Q5925">
        <v>0</v>
      </c>
      <c r="S5925" t="str">
        <f t="shared" si="2776"/>
        <v>14:52:22.617</v>
      </c>
      <c r="T5925" t="str">
        <f t="shared" si="2777"/>
        <v>14:52:22.417</v>
      </c>
      <c r="U5925" t="str">
        <f t="shared" si="2760"/>
        <v>A9808D</v>
      </c>
      <c r="V5925">
        <v>0</v>
      </c>
      <c r="W5925">
        <v>0</v>
      </c>
      <c r="X5925">
        <v>1</v>
      </c>
      <c r="Z5925">
        <v>0</v>
      </c>
      <c r="AA5925">
        <v>9</v>
      </c>
      <c r="AB5925">
        <v>3</v>
      </c>
      <c r="AC5925">
        <v>0</v>
      </c>
      <c r="AD5925">
        <v>10</v>
      </c>
      <c r="AE5925">
        <v>0</v>
      </c>
      <c r="AF5925">
        <v>3</v>
      </c>
      <c r="AG5925">
        <v>2</v>
      </c>
      <c r="AH5925">
        <v>0</v>
      </c>
      <c r="AI5925" t="s">
        <v>1315</v>
      </c>
      <c r="AJ5925">
        <v>28.205787999999998</v>
      </c>
      <c r="AK5925" t="s">
        <v>1316</v>
      </c>
      <c r="AL5925">
        <v>-82.369737999999998</v>
      </c>
      <c r="AM5925">
        <v>100</v>
      </c>
      <c r="AN5925">
        <v>300</v>
      </c>
      <c r="AO5925" t="s">
        <v>118</v>
      </c>
      <c r="AP5925">
        <v>75</v>
      </c>
      <c r="AQ5925">
        <v>47</v>
      </c>
      <c r="AR5925">
        <v>-768</v>
      </c>
      <c r="AZ5925">
        <v>1200</v>
      </c>
      <c r="BA5925">
        <v>1</v>
      </c>
      <c r="BB5925" t="str">
        <f t="shared" si="2770"/>
        <v xml:space="preserve">N711JA  </v>
      </c>
      <c r="BC5925">
        <v>1</v>
      </c>
      <c r="BE5925">
        <v>0</v>
      </c>
      <c r="BF5925">
        <v>0</v>
      </c>
      <c r="BG5925">
        <v>0</v>
      </c>
      <c r="BH5925">
        <v>400</v>
      </c>
      <c r="BI5925">
        <v>1</v>
      </c>
      <c r="BJ5925">
        <v>1</v>
      </c>
      <c r="BK5925">
        <v>0</v>
      </c>
      <c r="BL5925">
        <v>0</v>
      </c>
      <c r="BO5925">
        <v>0</v>
      </c>
      <c r="BP5925">
        <v>0</v>
      </c>
      <c r="BW5925" t="str">
        <f t="shared" si="2778"/>
        <v>14:52:22.618</v>
      </c>
      <c r="CJ5925">
        <v>0</v>
      </c>
      <c r="CK5925">
        <v>2</v>
      </c>
      <c r="CL5925">
        <v>0</v>
      </c>
      <c r="CM5925">
        <v>2</v>
      </c>
      <c r="CN5925">
        <v>0</v>
      </c>
      <c r="CO5925">
        <v>7</v>
      </c>
      <c r="CP5925" t="s">
        <v>119</v>
      </c>
      <c r="CQ5925">
        <v>343</v>
      </c>
      <c r="CR5925">
        <v>1</v>
      </c>
      <c r="CW5925">
        <v>11218594</v>
      </c>
      <c r="CY5925">
        <v>1</v>
      </c>
      <c r="CZ5925">
        <v>0</v>
      </c>
      <c r="DA5925">
        <v>1</v>
      </c>
      <c r="DB5925">
        <v>0</v>
      </c>
      <c r="DC5925">
        <v>0</v>
      </c>
      <c r="DD5925">
        <v>1</v>
      </c>
      <c r="DE5925">
        <v>0</v>
      </c>
      <c r="DF5925">
        <v>0</v>
      </c>
      <c r="DG5925">
        <v>0</v>
      </c>
      <c r="DH5925">
        <v>0</v>
      </c>
      <c r="DI5925">
        <v>0</v>
      </c>
    </row>
    <row r="5926" spans="1:113" x14ac:dyDescent="0.3">
      <c r="A5926" t="str">
        <f t="shared" si="2775"/>
        <v>05/12/2020 14:52:04.767</v>
      </c>
      <c r="C5926" t="str">
        <f t="shared" si="2769"/>
        <v>FFDFD3C0</v>
      </c>
      <c r="D5926" t="s">
        <v>126</v>
      </c>
      <c r="E5926">
        <v>7</v>
      </c>
      <c r="F5926">
        <v>1007</v>
      </c>
      <c r="G5926" t="s">
        <v>127</v>
      </c>
      <c r="J5926" t="s">
        <v>128</v>
      </c>
      <c r="K5926">
        <v>0</v>
      </c>
      <c r="L5926">
        <v>3</v>
      </c>
      <c r="M5926">
        <v>0</v>
      </c>
      <c r="N5926">
        <v>2</v>
      </c>
      <c r="O5926">
        <v>1</v>
      </c>
      <c r="P5926">
        <v>0</v>
      </c>
      <c r="Q5926">
        <v>0</v>
      </c>
      <c r="S5926" t="str">
        <f t="shared" si="2776"/>
        <v>14:52:22.617</v>
      </c>
      <c r="T5926" t="str">
        <f t="shared" si="2777"/>
        <v>14:52:22.417</v>
      </c>
      <c r="U5926" t="str">
        <f t="shared" si="2760"/>
        <v>A9808D</v>
      </c>
      <c r="V5926">
        <v>0</v>
      </c>
      <c r="W5926">
        <v>0</v>
      </c>
      <c r="X5926">
        <v>1</v>
      </c>
      <c r="Z5926">
        <v>0</v>
      </c>
      <c r="AA5926">
        <v>9</v>
      </c>
      <c r="AB5926">
        <v>3</v>
      </c>
      <c r="AC5926">
        <v>0</v>
      </c>
      <c r="AD5926">
        <v>10</v>
      </c>
      <c r="AE5926">
        <v>0</v>
      </c>
      <c r="AF5926">
        <v>3</v>
      </c>
      <c r="AG5926">
        <v>2</v>
      </c>
      <c r="AH5926">
        <v>0</v>
      </c>
      <c r="AI5926" t="s">
        <v>1315</v>
      </c>
      <c r="AJ5926">
        <v>28.205787999999998</v>
      </c>
      <c r="AK5926" t="s">
        <v>1316</v>
      </c>
      <c r="AL5926">
        <v>-82.369737999999998</v>
      </c>
      <c r="AM5926">
        <v>100</v>
      </c>
      <c r="AN5926">
        <v>300</v>
      </c>
      <c r="AO5926" t="s">
        <v>118</v>
      </c>
      <c r="AP5926">
        <v>75</v>
      </c>
      <c r="AQ5926">
        <v>47</v>
      </c>
      <c r="AR5926">
        <v>-768</v>
      </c>
      <c r="AZ5926">
        <v>1200</v>
      </c>
      <c r="BA5926">
        <v>1</v>
      </c>
      <c r="BB5926" t="str">
        <f t="shared" si="2770"/>
        <v xml:space="preserve">N711JA  </v>
      </c>
      <c r="BC5926">
        <v>1</v>
      </c>
      <c r="BE5926">
        <v>0</v>
      </c>
      <c r="BF5926">
        <v>0</v>
      </c>
      <c r="BG5926">
        <v>0</v>
      </c>
      <c r="BH5926">
        <v>400</v>
      </c>
      <c r="BI5926">
        <v>1</v>
      </c>
      <c r="BJ5926">
        <v>1</v>
      </c>
      <c r="BK5926">
        <v>0</v>
      </c>
      <c r="BL5926">
        <v>0</v>
      </c>
      <c r="BO5926">
        <v>0</v>
      </c>
      <c r="BP5926">
        <v>0</v>
      </c>
      <c r="BW5926" t="str">
        <f t="shared" si="2778"/>
        <v>14:52:22.618</v>
      </c>
      <c r="CJ5926">
        <v>0</v>
      </c>
      <c r="CK5926">
        <v>2</v>
      </c>
      <c r="CL5926">
        <v>0</v>
      </c>
      <c r="CM5926">
        <v>2</v>
      </c>
      <c r="CN5926">
        <v>0</v>
      </c>
      <c r="CO5926">
        <v>7</v>
      </c>
      <c r="CP5926" t="s">
        <v>119</v>
      </c>
      <c r="CQ5926">
        <v>343</v>
      </c>
      <c r="CR5926">
        <v>1</v>
      </c>
      <c r="CW5926">
        <v>11218594</v>
      </c>
      <c r="CY5926">
        <v>1</v>
      </c>
      <c r="CZ5926">
        <v>0</v>
      </c>
      <c r="DA5926">
        <v>1</v>
      </c>
      <c r="DB5926">
        <v>0</v>
      </c>
      <c r="DC5926">
        <v>0</v>
      </c>
      <c r="DD5926">
        <v>1</v>
      </c>
      <c r="DE5926">
        <v>0</v>
      </c>
      <c r="DF5926">
        <v>0</v>
      </c>
      <c r="DG5926">
        <v>0</v>
      </c>
      <c r="DH5926">
        <v>0</v>
      </c>
      <c r="DI5926">
        <v>0</v>
      </c>
    </row>
    <row r="5927" spans="1:113" x14ac:dyDescent="0.3">
      <c r="A5927" t="str">
        <f t="shared" si="2775"/>
        <v>05/12/2020 14:52:04.767</v>
      </c>
      <c r="C5927" t="str">
        <f t="shared" si="2769"/>
        <v>FFDFD3C0</v>
      </c>
      <c r="D5927" t="s">
        <v>138</v>
      </c>
      <c r="E5927">
        <v>2</v>
      </c>
      <c r="H5927">
        <v>8</v>
      </c>
      <c r="I5927" t="s">
        <v>139</v>
      </c>
      <c r="J5927" t="s">
        <v>136</v>
      </c>
      <c r="K5927">
        <v>0</v>
      </c>
      <c r="L5927">
        <v>3</v>
      </c>
      <c r="M5927">
        <v>0</v>
      </c>
      <c r="N5927">
        <v>2</v>
      </c>
      <c r="O5927">
        <v>1</v>
      </c>
      <c r="P5927">
        <v>0</v>
      </c>
      <c r="Q5927">
        <v>0</v>
      </c>
      <c r="S5927" t="str">
        <f t="shared" si="2776"/>
        <v>14:52:22.617</v>
      </c>
      <c r="T5927" t="str">
        <f t="shared" si="2777"/>
        <v>14:52:22.417</v>
      </c>
      <c r="U5927" t="str">
        <f t="shared" si="2760"/>
        <v>A9808D</v>
      </c>
      <c r="V5927">
        <v>0</v>
      </c>
      <c r="W5927">
        <v>0</v>
      </c>
      <c r="X5927">
        <v>1</v>
      </c>
      <c r="Z5927">
        <v>0</v>
      </c>
      <c r="AA5927">
        <v>9</v>
      </c>
      <c r="AB5927">
        <v>3</v>
      </c>
      <c r="AC5927">
        <v>0</v>
      </c>
      <c r="AD5927">
        <v>10</v>
      </c>
      <c r="AE5927">
        <v>0</v>
      </c>
      <c r="AF5927">
        <v>3</v>
      </c>
      <c r="AG5927">
        <v>2</v>
      </c>
      <c r="AH5927">
        <v>0</v>
      </c>
      <c r="AI5927" t="s">
        <v>1315</v>
      </c>
      <c r="AJ5927">
        <v>28.205787999999998</v>
      </c>
      <c r="AK5927" t="s">
        <v>1316</v>
      </c>
      <c r="AL5927">
        <v>-82.369737999999998</v>
      </c>
      <c r="AM5927">
        <v>100</v>
      </c>
      <c r="AN5927">
        <v>300</v>
      </c>
      <c r="AO5927" t="s">
        <v>118</v>
      </c>
      <c r="AP5927">
        <v>75</v>
      </c>
      <c r="AQ5927">
        <v>47</v>
      </c>
      <c r="AR5927">
        <v>-768</v>
      </c>
      <c r="AZ5927">
        <v>1200</v>
      </c>
      <c r="BA5927">
        <v>1</v>
      </c>
      <c r="BB5927" t="str">
        <f t="shared" si="2770"/>
        <v xml:space="preserve">N711JA  </v>
      </c>
      <c r="BC5927">
        <v>1</v>
      </c>
      <c r="BE5927">
        <v>0</v>
      </c>
      <c r="BF5927">
        <v>0</v>
      </c>
      <c r="BG5927">
        <v>0</v>
      </c>
      <c r="BH5927">
        <v>400</v>
      </c>
      <c r="BI5927">
        <v>1</v>
      </c>
      <c r="BJ5927">
        <v>1</v>
      </c>
      <c r="BK5927">
        <v>0</v>
      </c>
      <c r="BL5927">
        <v>0</v>
      </c>
      <c r="BO5927">
        <v>0</v>
      </c>
      <c r="BP5927">
        <v>0</v>
      </c>
      <c r="BW5927" t="str">
        <f t="shared" si="2778"/>
        <v>14:52:22.618</v>
      </c>
      <c r="CJ5927">
        <v>0</v>
      </c>
      <c r="CK5927">
        <v>2</v>
      </c>
      <c r="CL5927">
        <v>0</v>
      </c>
      <c r="CM5927">
        <v>2</v>
      </c>
      <c r="CN5927">
        <v>0</v>
      </c>
      <c r="CO5927">
        <v>7</v>
      </c>
      <c r="CP5927" t="s">
        <v>119</v>
      </c>
      <c r="CQ5927">
        <v>343</v>
      </c>
      <c r="CR5927">
        <v>1</v>
      </c>
      <c r="CW5927">
        <v>11218594</v>
      </c>
      <c r="CY5927">
        <v>1</v>
      </c>
      <c r="CZ5927">
        <v>0</v>
      </c>
      <c r="DA5927">
        <v>1</v>
      </c>
      <c r="DB5927">
        <v>0</v>
      </c>
      <c r="DC5927">
        <v>0</v>
      </c>
      <c r="DD5927">
        <v>1</v>
      </c>
      <c r="DE5927">
        <v>0</v>
      </c>
      <c r="DF5927">
        <v>0</v>
      </c>
      <c r="DG5927">
        <v>0</v>
      </c>
      <c r="DH5927">
        <v>0</v>
      </c>
      <c r="DI5927">
        <v>0</v>
      </c>
    </row>
    <row r="5928" spans="1:113" x14ac:dyDescent="0.3">
      <c r="A5928" t="str">
        <f t="shared" si="2775"/>
        <v>05/12/2020 14:52:04.767</v>
      </c>
      <c r="C5928" t="str">
        <f t="shared" si="2769"/>
        <v>FFDFD3C0</v>
      </c>
      <c r="D5928" t="s">
        <v>138</v>
      </c>
      <c r="E5928">
        <v>3</v>
      </c>
      <c r="H5928">
        <v>9</v>
      </c>
      <c r="I5928" t="s">
        <v>140</v>
      </c>
      <c r="J5928" t="s">
        <v>136</v>
      </c>
      <c r="K5928">
        <v>0</v>
      </c>
      <c r="L5928">
        <v>3</v>
      </c>
      <c r="M5928">
        <v>0</v>
      </c>
      <c r="N5928">
        <v>2</v>
      </c>
      <c r="O5928">
        <v>1</v>
      </c>
      <c r="P5928">
        <v>0</v>
      </c>
      <c r="Q5928">
        <v>0</v>
      </c>
      <c r="S5928" t="str">
        <f t="shared" si="2776"/>
        <v>14:52:22.617</v>
      </c>
      <c r="T5928" t="str">
        <f t="shared" si="2777"/>
        <v>14:52:22.417</v>
      </c>
      <c r="U5928" t="str">
        <f t="shared" si="2760"/>
        <v>A9808D</v>
      </c>
      <c r="V5928">
        <v>0</v>
      </c>
      <c r="W5928">
        <v>0</v>
      </c>
      <c r="X5928">
        <v>1</v>
      </c>
      <c r="Z5928">
        <v>0</v>
      </c>
      <c r="AA5928">
        <v>9</v>
      </c>
      <c r="AB5928">
        <v>3</v>
      </c>
      <c r="AC5928">
        <v>0</v>
      </c>
      <c r="AD5928">
        <v>10</v>
      </c>
      <c r="AE5928">
        <v>0</v>
      </c>
      <c r="AF5928">
        <v>3</v>
      </c>
      <c r="AG5928">
        <v>2</v>
      </c>
      <c r="AH5928">
        <v>0</v>
      </c>
      <c r="AI5928" t="s">
        <v>1315</v>
      </c>
      <c r="AJ5928">
        <v>28.205787999999998</v>
      </c>
      <c r="AK5928" t="s">
        <v>1316</v>
      </c>
      <c r="AL5928">
        <v>-82.369737999999998</v>
      </c>
      <c r="AM5928">
        <v>100</v>
      </c>
      <c r="AN5928">
        <v>300</v>
      </c>
      <c r="AO5928" t="s">
        <v>118</v>
      </c>
      <c r="AP5928">
        <v>75</v>
      </c>
      <c r="AQ5928">
        <v>47</v>
      </c>
      <c r="AR5928">
        <v>-768</v>
      </c>
      <c r="AZ5928">
        <v>1200</v>
      </c>
      <c r="BA5928">
        <v>1</v>
      </c>
      <c r="BB5928" t="str">
        <f t="shared" si="2770"/>
        <v xml:space="preserve">N711JA  </v>
      </c>
      <c r="BC5928">
        <v>1</v>
      </c>
      <c r="BE5928">
        <v>0</v>
      </c>
      <c r="BF5928">
        <v>0</v>
      </c>
      <c r="BG5928">
        <v>0</v>
      </c>
      <c r="BH5928">
        <v>400</v>
      </c>
      <c r="BI5928">
        <v>1</v>
      </c>
      <c r="BJ5928">
        <v>1</v>
      </c>
      <c r="BK5928">
        <v>0</v>
      </c>
      <c r="BL5928">
        <v>0</v>
      </c>
      <c r="BO5928">
        <v>0</v>
      </c>
      <c r="BP5928">
        <v>0</v>
      </c>
      <c r="BW5928" t="str">
        <f t="shared" si="2778"/>
        <v>14:52:22.618</v>
      </c>
      <c r="CJ5928">
        <v>0</v>
      </c>
      <c r="CK5928">
        <v>2</v>
      </c>
      <c r="CL5928">
        <v>0</v>
      </c>
      <c r="CM5928">
        <v>2</v>
      </c>
      <c r="CN5928">
        <v>0</v>
      </c>
      <c r="CO5928">
        <v>7</v>
      </c>
      <c r="CP5928" t="s">
        <v>119</v>
      </c>
      <c r="CQ5928">
        <v>343</v>
      </c>
      <c r="CR5928">
        <v>1</v>
      </c>
      <c r="CW5928">
        <v>11218594</v>
      </c>
      <c r="CY5928">
        <v>1</v>
      </c>
      <c r="CZ5928">
        <v>0</v>
      </c>
      <c r="DA5928">
        <v>1</v>
      </c>
      <c r="DB5928">
        <v>0</v>
      </c>
      <c r="DC5928">
        <v>0</v>
      </c>
      <c r="DD5928">
        <v>1</v>
      </c>
      <c r="DE5928">
        <v>0</v>
      </c>
      <c r="DF5928">
        <v>0</v>
      </c>
      <c r="DG5928">
        <v>0</v>
      </c>
      <c r="DH5928">
        <v>0</v>
      </c>
      <c r="DI5928">
        <v>0</v>
      </c>
    </row>
    <row r="5929" spans="1:113" x14ac:dyDescent="0.3">
      <c r="A5929" t="str">
        <f t="shared" ref="A5929:A5936" si="2779">"05/12/2020 14:52:05.870"</f>
        <v>05/12/2020 14:52:05.870</v>
      </c>
      <c r="C5929" t="str">
        <f t="shared" si="2769"/>
        <v>FFDFD3C0</v>
      </c>
      <c r="D5929" t="s">
        <v>131</v>
      </c>
      <c r="E5929">
        <v>10</v>
      </c>
      <c r="F5929">
        <v>2010</v>
      </c>
      <c r="G5929" t="s">
        <v>132</v>
      </c>
      <c r="J5929" t="s">
        <v>133</v>
      </c>
      <c r="K5929">
        <v>0</v>
      </c>
      <c r="L5929">
        <v>3</v>
      </c>
      <c r="M5929">
        <v>0</v>
      </c>
      <c r="N5929">
        <v>2</v>
      </c>
      <c r="O5929">
        <v>1</v>
      </c>
      <c r="P5929">
        <v>0</v>
      </c>
      <c r="Q5929">
        <v>0</v>
      </c>
      <c r="S5929" t="str">
        <f t="shared" ref="S5929:S5936" si="2780">"14:52:23.688"</f>
        <v>14:52:23.688</v>
      </c>
      <c r="T5929" t="str">
        <f t="shared" ref="T5929:T5936" si="2781">"14:52:23.388"</f>
        <v>14:52:23.388</v>
      </c>
      <c r="U5929" t="str">
        <f t="shared" si="2760"/>
        <v>A9808D</v>
      </c>
      <c r="V5929">
        <v>0</v>
      </c>
      <c r="W5929">
        <v>0</v>
      </c>
      <c r="X5929">
        <v>1</v>
      </c>
      <c r="Z5929">
        <v>0</v>
      </c>
      <c r="AA5929">
        <v>9</v>
      </c>
      <c r="AB5929">
        <v>3</v>
      </c>
      <c r="AC5929">
        <v>0</v>
      </c>
      <c r="AD5929">
        <v>10</v>
      </c>
      <c r="AE5929">
        <v>0</v>
      </c>
      <c r="AF5929">
        <v>3</v>
      </c>
      <c r="AG5929">
        <v>2</v>
      </c>
      <c r="AH5929">
        <v>0</v>
      </c>
      <c r="AI5929" t="s">
        <v>1317</v>
      </c>
      <c r="AJ5929">
        <v>28.206046000000001</v>
      </c>
      <c r="AK5929" t="s">
        <v>1318</v>
      </c>
      <c r="AL5929">
        <v>-82.369350999999995</v>
      </c>
      <c r="AM5929">
        <v>100</v>
      </c>
      <c r="AN5929">
        <v>300</v>
      </c>
      <c r="AO5929" t="s">
        <v>118</v>
      </c>
      <c r="AP5929">
        <v>74</v>
      </c>
      <c r="AQ5929">
        <v>48</v>
      </c>
      <c r="AR5929">
        <v>-640</v>
      </c>
      <c r="AZ5929">
        <v>1200</v>
      </c>
      <c r="BA5929">
        <v>1</v>
      </c>
      <c r="BB5929" t="str">
        <f t="shared" si="2770"/>
        <v xml:space="preserve">N711JA  </v>
      </c>
      <c r="BC5929">
        <v>1</v>
      </c>
      <c r="BE5929">
        <v>0</v>
      </c>
      <c r="BF5929">
        <v>0</v>
      </c>
      <c r="BG5929">
        <v>0</v>
      </c>
      <c r="BH5929">
        <v>375</v>
      </c>
      <c r="BI5929">
        <v>1</v>
      </c>
      <c r="BJ5929">
        <v>1</v>
      </c>
      <c r="BK5929">
        <v>0</v>
      </c>
      <c r="BL5929">
        <v>0</v>
      </c>
      <c r="BO5929">
        <v>0</v>
      </c>
      <c r="BP5929">
        <v>0</v>
      </c>
      <c r="BW5929" t="str">
        <f t="shared" ref="BW5929:BW5936" si="2782">"14:52:23.692"</f>
        <v>14:52:23.692</v>
      </c>
      <c r="CJ5929">
        <v>0</v>
      </c>
      <c r="CK5929">
        <v>2</v>
      </c>
      <c r="CL5929">
        <v>0</v>
      </c>
      <c r="CM5929">
        <v>2</v>
      </c>
      <c r="CN5929">
        <v>0</v>
      </c>
      <c r="CO5929">
        <v>7</v>
      </c>
      <c r="CP5929" t="s">
        <v>119</v>
      </c>
      <c r="CQ5929">
        <v>343</v>
      </c>
      <c r="CR5929">
        <v>1</v>
      </c>
      <c r="CW5929">
        <v>11219666</v>
      </c>
      <c r="CY5929">
        <v>1</v>
      </c>
      <c r="CZ5929">
        <v>0</v>
      </c>
      <c r="DA5929">
        <v>0</v>
      </c>
      <c r="DB5929">
        <v>0</v>
      </c>
      <c r="DC5929">
        <v>0</v>
      </c>
      <c r="DD5929">
        <v>1</v>
      </c>
      <c r="DE5929">
        <v>0</v>
      </c>
      <c r="DF5929">
        <v>0</v>
      </c>
      <c r="DG5929">
        <v>0</v>
      </c>
      <c r="DH5929">
        <v>0</v>
      </c>
      <c r="DI5929">
        <v>0</v>
      </c>
    </row>
    <row r="5930" spans="1:113" x14ac:dyDescent="0.3">
      <c r="A5930" t="str">
        <f t="shared" si="2779"/>
        <v>05/12/2020 14:52:05.870</v>
      </c>
      <c r="C5930" t="str">
        <f t="shared" si="2769"/>
        <v>FFDFD3C0</v>
      </c>
      <c r="D5930" t="s">
        <v>126</v>
      </c>
      <c r="E5930">
        <v>7</v>
      </c>
      <c r="F5930">
        <v>1007</v>
      </c>
      <c r="G5930" t="s">
        <v>127</v>
      </c>
      <c r="J5930" t="s">
        <v>128</v>
      </c>
      <c r="K5930">
        <v>0</v>
      </c>
      <c r="L5930">
        <v>3</v>
      </c>
      <c r="M5930">
        <v>0</v>
      </c>
      <c r="N5930">
        <v>2</v>
      </c>
      <c r="O5930">
        <v>1</v>
      </c>
      <c r="P5930">
        <v>0</v>
      </c>
      <c r="Q5930">
        <v>0</v>
      </c>
      <c r="S5930" t="str">
        <f t="shared" si="2780"/>
        <v>14:52:23.688</v>
      </c>
      <c r="T5930" t="str">
        <f t="shared" si="2781"/>
        <v>14:52:23.388</v>
      </c>
      <c r="U5930" t="str">
        <f t="shared" si="2760"/>
        <v>A9808D</v>
      </c>
      <c r="V5930">
        <v>0</v>
      </c>
      <c r="W5930">
        <v>0</v>
      </c>
      <c r="X5930">
        <v>1</v>
      </c>
      <c r="Z5930">
        <v>0</v>
      </c>
      <c r="AA5930">
        <v>9</v>
      </c>
      <c r="AB5930">
        <v>3</v>
      </c>
      <c r="AC5930">
        <v>0</v>
      </c>
      <c r="AD5930">
        <v>10</v>
      </c>
      <c r="AE5930">
        <v>0</v>
      </c>
      <c r="AF5930">
        <v>3</v>
      </c>
      <c r="AG5930">
        <v>2</v>
      </c>
      <c r="AH5930">
        <v>0</v>
      </c>
      <c r="AI5930" t="s">
        <v>1317</v>
      </c>
      <c r="AJ5930">
        <v>28.206046000000001</v>
      </c>
      <c r="AK5930" t="s">
        <v>1318</v>
      </c>
      <c r="AL5930">
        <v>-82.369350999999995</v>
      </c>
      <c r="AM5930">
        <v>100</v>
      </c>
      <c r="AN5930">
        <v>300</v>
      </c>
      <c r="AO5930" t="s">
        <v>118</v>
      </c>
      <c r="AP5930">
        <v>74</v>
      </c>
      <c r="AQ5930">
        <v>48</v>
      </c>
      <c r="AR5930">
        <v>-640</v>
      </c>
      <c r="AZ5930">
        <v>1200</v>
      </c>
      <c r="BA5930">
        <v>1</v>
      </c>
      <c r="BB5930" t="str">
        <f t="shared" si="2770"/>
        <v xml:space="preserve">N711JA  </v>
      </c>
      <c r="BC5930">
        <v>1</v>
      </c>
      <c r="BE5930">
        <v>0</v>
      </c>
      <c r="BF5930">
        <v>0</v>
      </c>
      <c r="BG5930">
        <v>0</v>
      </c>
      <c r="BH5930">
        <v>375</v>
      </c>
      <c r="BI5930">
        <v>1</v>
      </c>
      <c r="BJ5930">
        <v>1</v>
      </c>
      <c r="BK5930">
        <v>0</v>
      </c>
      <c r="BL5930">
        <v>0</v>
      </c>
      <c r="BO5930">
        <v>0</v>
      </c>
      <c r="BP5930">
        <v>0</v>
      </c>
      <c r="BW5930" t="str">
        <f t="shared" si="2782"/>
        <v>14:52:23.692</v>
      </c>
      <c r="CJ5930">
        <v>0</v>
      </c>
      <c r="CK5930">
        <v>2</v>
      </c>
      <c r="CL5930">
        <v>0</v>
      </c>
      <c r="CM5930">
        <v>2</v>
      </c>
      <c r="CN5930">
        <v>0</v>
      </c>
      <c r="CO5930">
        <v>7</v>
      </c>
      <c r="CP5930" t="s">
        <v>119</v>
      </c>
      <c r="CQ5930">
        <v>343</v>
      </c>
      <c r="CR5930">
        <v>1</v>
      </c>
      <c r="CW5930">
        <v>11219666</v>
      </c>
      <c r="CY5930">
        <v>1</v>
      </c>
      <c r="CZ5930">
        <v>0</v>
      </c>
      <c r="DA5930">
        <v>1</v>
      </c>
      <c r="DB5930">
        <v>0</v>
      </c>
      <c r="DC5930">
        <v>0</v>
      </c>
      <c r="DD5930">
        <v>1</v>
      </c>
      <c r="DE5930">
        <v>0</v>
      </c>
      <c r="DF5930">
        <v>0</v>
      </c>
      <c r="DG5930">
        <v>0</v>
      </c>
      <c r="DH5930">
        <v>0</v>
      </c>
      <c r="DI5930">
        <v>0</v>
      </c>
    </row>
    <row r="5931" spans="1:113" x14ac:dyDescent="0.3">
      <c r="A5931" t="str">
        <f t="shared" si="2779"/>
        <v>05/12/2020 14:52:05.870</v>
      </c>
      <c r="C5931" t="str">
        <f t="shared" si="2769"/>
        <v>FFDFD3C0</v>
      </c>
      <c r="D5931" t="s">
        <v>131</v>
      </c>
      <c r="E5931">
        <v>12</v>
      </c>
      <c r="F5931">
        <v>2012</v>
      </c>
      <c r="G5931" t="s">
        <v>137</v>
      </c>
      <c r="J5931" t="s">
        <v>133</v>
      </c>
      <c r="K5931">
        <v>0</v>
      </c>
      <c r="L5931">
        <v>3</v>
      </c>
      <c r="M5931">
        <v>0</v>
      </c>
      <c r="N5931">
        <v>2</v>
      </c>
      <c r="O5931">
        <v>1</v>
      </c>
      <c r="P5931">
        <v>0</v>
      </c>
      <c r="Q5931">
        <v>0</v>
      </c>
      <c r="S5931" t="str">
        <f t="shared" si="2780"/>
        <v>14:52:23.688</v>
      </c>
      <c r="T5931" t="str">
        <f t="shared" si="2781"/>
        <v>14:52:23.388</v>
      </c>
      <c r="U5931" t="str">
        <f t="shared" si="2760"/>
        <v>A9808D</v>
      </c>
      <c r="V5931">
        <v>0</v>
      </c>
      <c r="W5931">
        <v>0</v>
      </c>
      <c r="X5931">
        <v>1</v>
      </c>
      <c r="Z5931">
        <v>0</v>
      </c>
      <c r="AA5931">
        <v>9</v>
      </c>
      <c r="AB5931">
        <v>3</v>
      </c>
      <c r="AC5931">
        <v>0</v>
      </c>
      <c r="AD5931">
        <v>10</v>
      </c>
      <c r="AE5931">
        <v>0</v>
      </c>
      <c r="AF5931">
        <v>3</v>
      </c>
      <c r="AG5931">
        <v>2</v>
      </c>
      <c r="AH5931">
        <v>0</v>
      </c>
      <c r="AI5931" t="s">
        <v>1317</v>
      </c>
      <c r="AJ5931">
        <v>28.206046000000001</v>
      </c>
      <c r="AK5931" t="s">
        <v>1318</v>
      </c>
      <c r="AL5931">
        <v>-82.369350999999995</v>
      </c>
      <c r="AM5931">
        <v>100</v>
      </c>
      <c r="AN5931">
        <v>300</v>
      </c>
      <c r="AO5931" t="s">
        <v>118</v>
      </c>
      <c r="AP5931">
        <v>74</v>
      </c>
      <c r="AQ5931">
        <v>48</v>
      </c>
      <c r="AR5931">
        <v>-640</v>
      </c>
      <c r="AZ5931">
        <v>1200</v>
      </c>
      <c r="BA5931">
        <v>1</v>
      </c>
      <c r="BB5931" t="str">
        <f t="shared" si="2770"/>
        <v xml:space="preserve">N711JA  </v>
      </c>
      <c r="BC5931">
        <v>1</v>
      </c>
      <c r="BE5931">
        <v>0</v>
      </c>
      <c r="BF5931">
        <v>0</v>
      </c>
      <c r="BG5931">
        <v>0</v>
      </c>
      <c r="BH5931">
        <v>375</v>
      </c>
      <c r="BI5931">
        <v>1</v>
      </c>
      <c r="BJ5931">
        <v>1</v>
      </c>
      <c r="BK5931">
        <v>0</v>
      </c>
      <c r="BL5931">
        <v>0</v>
      </c>
      <c r="BO5931">
        <v>0</v>
      </c>
      <c r="BP5931">
        <v>0</v>
      </c>
      <c r="BW5931" t="str">
        <f t="shared" si="2782"/>
        <v>14:52:23.692</v>
      </c>
      <c r="CJ5931">
        <v>0</v>
      </c>
      <c r="CK5931">
        <v>2</v>
      </c>
      <c r="CL5931">
        <v>0</v>
      </c>
      <c r="CM5931">
        <v>2</v>
      </c>
      <c r="CN5931">
        <v>0</v>
      </c>
      <c r="CO5931">
        <v>7</v>
      </c>
      <c r="CP5931" t="s">
        <v>119</v>
      </c>
      <c r="CQ5931">
        <v>343</v>
      </c>
      <c r="CR5931">
        <v>1</v>
      </c>
      <c r="CW5931">
        <v>11219666</v>
      </c>
      <c r="CY5931">
        <v>1</v>
      </c>
      <c r="CZ5931">
        <v>0</v>
      </c>
      <c r="DA5931">
        <v>1</v>
      </c>
      <c r="DB5931">
        <v>0</v>
      </c>
      <c r="DC5931">
        <v>0</v>
      </c>
      <c r="DD5931">
        <v>1</v>
      </c>
      <c r="DE5931">
        <v>0</v>
      </c>
      <c r="DF5931">
        <v>0</v>
      </c>
      <c r="DG5931">
        <v>0</v>
      </c>
      <c r="DH5931">
        <v>0</v>
      </c>
      <c r="DI5931">
        <v>0</v>
      </c>
    </row>
    <row r="5932" spans="1:113" x14ac:dyDescent="0.3">
      <c r="A5932" t="str">
        <f t="shared" si="2779"/>
        <v>05/12/2020 14:52:05.870</v>
      </c>
      <c r="C5932" t="str">
        <f t="shared" si="2769"/>
        <v>FFDFD3C0</v>
      </c>
      <c r="D5932" t="s">
        <v>138</v>
      </c>
      <c r="E5932">
        <v>2</v>
      </c>
      <c r="H5932">
        <v>8</v>
      </c>
      <c r="I5932" t="s">
        <v>139</v>
      </c>
      <c r="J5932" t="s">
        <v>136</v>
      </c>
      <c r="K5932">
        <v>0</v>
      </c>
      <c r="L5932">
        <v>3</v>
      </c>
      <c r="M5932">
        <v>0</v>
      </c>
      <c r="N5932">
        <v>2</v>
      </c>
      <c r="O5932">
        <v>1</v>
      </c>
      <c r="P5932">
        <v>0</v>
      </c>
      <c r="Q5932">
        <v>0</v>
      </c>
      <c r="S5932" t="str">
        <f t="shared" si="2780"/>
        <v>14:52:23.688</v>
      </c>
      <c r="T5932" t="str">
        <f t="shared" si="2781"/>
        <v>14:52:23.388</v>
      </c>
      <c r="U5932" t="str">
        <f t="shared" si="2760"/>
        <v>A9808D</v>
      </c>
      <c r="V5932">
        <v>0</v>
      </c>
      <c r="W5932">
        <v>0</v>
      </c>
      <c r="X5932">
        <v>1</v>
      </c>
      <c r="Z5932">
        <v>0</v>
      </c>
      <c r="AA5932">
        <v>9</v>
      </c>
      <c r="AB5932">
        <v>3</v>
      </c>
      <c r="AC5932">
        <v>0</v>
      </c>
      <c r="AD5932">
        <v>10</v>
      </c>
      <c r="AE5932">
        <v>0</v>
      </c>
      <c r="AF5932">
        <v>3</v>
      </c>
      <c r="AG5932">
        <v>2</v>
      </c>
      <c r="AH5932">
        <v>0</v>
      </c>
      <c r="AI5932" t="s">
        <v>1317</v>
      </c>
      <c r="AJ5932">
        <v>28.206046000000001</v>
      </c>
      <c r="AK5932" t="s">
        <v>1318</v>
      </c>
      <c r="AL5932">
        <v>-82.369350999999995</v>
      </c>
      <c r="AM5932">
        <v>100</v>
      </c>
      <c r="AN5932">
        <v>300</v>
      </c>
      <c r="AO5932" t="s">
        <v>118</v>
      </c>
      <c r="AP5932">
        <v>74</v>
      </c>
      <c r="AQ5932">
        <v>48</v>
      </c>
      <c r="AR5932">
        <v>-640</v>
      </c>
      <c r="AZ5932">
        <v>1200</v>
      </c>
      <c r="BA5932">
        <v>1</v>
      </c>
      <c r="BB5932" t="str">
        <f t="shared" si="2770"/>
        <v xml:space="preserve">N711JA  </v>
      </c>
      <c r="BC5932">
        <v>1</v>
      </c>
      <c r="BE5932">
        <v>0</v>
      </c>
      <c r="BF5932">
        <v>0</v>
      </c>
      <c r="BG5932">
        <v>0</v>
      </c>
      <c r="BH5932">
        <v>375</v>
      </c>
      <c r="BI5932">
        <v>1</v>
      </c>
      <c r="BJ5932">
        <v>1</v>
      </c>
      <c r="BK5932">
        <v>0</v>
      </c>
      <c r="BL5932">
        <v>0</v>
      </c>
      <c r="BO5932">
        <v>0</v>
      </c>
      <c r="BP5932">
        <v>0</v>
      </c>
      <c r="BW5932" t="str">
        <f t="shared" si="2782"/>
        <v>14:52:23.692</v>
      </c>
      <c r="CJ5932">
        <v>0</v>
      </c>
      <c r="CK5932">
        <v>2</v>
      </c>
      <c r="CL5932">
        <v>0</v>
      </c>
      <c r="CM5932">
        <v>2</v>
      </c>
      <c r="CN5932">
        <v>0</v>
      </c>
      <c r="CO5932">
        <v>7</v>
      </c>
      <c r="CP5932" t="s">
        <v>119</v>
      </c>
      <c r="CQ5932">
        <v>343</v>
      </c>
      <c r="CR5932">
        <v>1</v>
      </c>
      <c r="CW5932">
        <v>11219666</v>
      </c>
      <c r="CY5932">
        <v>1</v>
      </c>
      <c r="CZ5932">
        <v>0</v>
      </c>
      <c r="DA5932">
        <v>1</v>
      </c>
      <c r="DB5932">
        <v>0</v>
      </c>
      <c r="DC5932">
        <v>0</v>
      </c>
      <c r="DD5932">
        <v>1</v>
      </c>
      <c r="DE5932">
        <v>0</v>
      </c>
      <c r="DF5932">
        <v>0</v>
      </c>
      <c r="DG5932">
        <v>0</v>
      </c>
      <c r="DH5932">
        <v>0</v>
      </c>
      <c r="DI5932">
        <v>0</v>
      </c>
    </row>
    <row r="5933" spans="1:113" x14ac:dyDescent="0.3">
      <c r="A5933" t="str">
        <f t="shared" si="2779"/>
        <v>05/12/2020 14:52:05.870</v>
      </c>
      <c r="C5933" t="str">
        <f t="shared" si="2769"/>
        <v>FFDFD3C0</v>
      </c>
      <c r="D5933" t="s">
        <v>138</v>
      </c>
      <c r="E5933">
        <v>3</v>
      </c>
      <c r="H5933">
        <v>9</v>
      </c>
      <c r="I5933" t="s">
        <v>140</v>
      </c>
      <c r="J5933" t="s">
        <v>136</v>
      </c>
      <c r="K5933">
        <v>0</v>
      </c>
      <c r="L5933">
        <v>3</v>
      </c>
      <c r="M5933">
        <v>0</v>
      </c>
      <c r="N5933">
        <v>2</v>
      </c>
      <c r="O5933">
        <v>1</v>
      </c>
      <c r="P5933">
        <v>0</v>
      </c>
      <c r="Q5933">
        <v>0</v>
      </c>
      <c r="S5933" t="str">
        <f t="shared" si="2780"/>
        <v>14:52:23.688</v>
      </c>
      <c r="T5933" t="str">
        <f t="shared" si="2781"/>
        <v>14:52:23.388</v>
      </c>
      <c r="U5933" t="str">
        <f t="shared" si="2760"/>
        <v>A9808D</v>
      </c>
      <c r="V5933">
        <v>0</v>
      </c>
      <c r="W5933">
        <v>0</v>
      </c>
      <c r="X5933">
        <v>1</v>
      </c>
      <c r="Z5933">
        <v>0</v>
      </c>
      <c r="AA5933">
        <v>9</v>
      </c>
      <c r="AB5933">
        <v>3</v>
      </c>
      <c r="AC5933">
        <v>0</v>
      </c>
      <c r="AD5933">
        <v>10</v>
      </c>
      <c r="AE5933">
        <v>0</v>
      </c>
      <c r="AF5933">
        <v>3</v>
      </c>
      <c r="AG5933">
        <v>2</v>
      </c>
      <c r="AH5933">
        <v>0</v>
      </c>
      <c r="AI5933" t="s">
        <v>1317</v>
      </c>
      <c r="AJ5933">
        <v>28.206046000000001</v>
      </c>
      <c r="AK5933" t="s">
        <v>1318</v>
      </c>
      <c r="AL5933">
        <v>-82.369350999999995</v>
      </c>
      <c r="AM5933">
        <v>100</v>
      </c>
      <c r="AN5933">
        <v>300</v>
      </c>
      <c r="AO5933" t="s">
        <v>118</v>
      </c>
      <c r="AP5933">
        <v>74</v>
      </c>
      <c r="AQ5933">
        <v>48</v>
      </c>
      <c r="AR5933">
        <v>-640</v>
      </c>
      <c r="AZ5933">
        <v>1200</v>
      </c>
      <c r="BA5933">
        <v>1</v>
      </c>
      <c r="BB5933" t="str">
        <f t="shared" si="2770"/>
        <v xml:space="preserve">N711JA  </v>
      </c>
      <c r="BC5933">
        <v>1</v>
      </c>
      <c r="BE5933">
        <v>0</v>
      </c>
      <c r="BF5933">
        <v>0</v>
      </c>
      <c r="BG5933">
        <v>0</v>
      </c>
      <c r="BH5933">
        <v>375</v>
      </c>
      <c r="BI5933">
        <v>1</v>
      </c>
      <c r="BJ5933">
        <v>1</v>
      </c>
      <c r="BK5933">
        <v>0</v>
      </c>
      <c r="BL5933">
        <v>0</v>
      </c>
      <c r="BO5933">
        <v>0</v>
      </c>
      <c r="BP5933">
        <v>0</v>
      </c>
      <c r="BW5933" t="str">
        <f t="shared" si="2782"/>
        <v>14:52:23.692</v>
      </c>
      <c r="CJ5933">
        <v>0</v>
      </c>
      <c r="CK5933">
        <v>2</v>
      </c>
      <c r="CL5933">
        <v>0</v>
      </c>
      <c r="CM5933">
        <v>2</v>
      </c>
      <c r="CN5933">
        <v>0</v>
      </c>
      <c r="CO5933">
        <v>7</v>
      </c>
      <c r="CP5933" t="s">
        <v>119</v>
      </c>
      <c r="CQ5933">
        <v>343</v>
      </c>
      <c r="CR5933">
        <v>1</v>
      </c>
      <c r="CW5933">
        <v>11219666</v>
      </c>
      <c r="CY5933">
        <v>1</v>
      </c>
      <c r="CZ5933">
        <v>0</v>
      </c>
      <c r="DA5933">
        <v>1</v>
      </c>
      <c r="DB5933">
        <v>0</v>
      </c>
      <c r="DC5933">
        <v>0</v>
      </c>
      <c r="DD5933">
        <v>1</v>
      </c>
      <c r="DE5933">
        <v>0</v>
      </c>
      <c r="DF5933">
        <v>0</v>
      </c>
      <c r="DG5933">
        <v>0</v>
      </c>
      <c r="DH5933">
        <v>0</v>
      </c>
      <c r="DI5933">
        <v>0</v>
      </c>
    </row>
    <row r="5934" spans="1:113" x14ac:dyDescent="0.3">
      <c r="A5934" t="str">
        <f t="shared" si="2779"/>
        <v>05/12/2020 14:52:05.870</v>
      </c>
      <c r="C5934" t="str">
        <f t="shared" si="2769"/>
        <v>FFDFD3C0</v>
      </c>
      <c r="D5934" t="s">
        <v>113</v>
      </c>
      <c r="E5934">
        <v>3</v>
      </c>
      <c r="H5934">
        <v>164</v>
      </c>
      <c r="I5934" t="s">
        <v>114</v>
      </c>
      <c r="J5934" t="s">
        <v>115</v>
      </c>
      <c r="K5934">
        <v>0</v>
      </c>
      <c r="L5934">
        <v>3</v>
      </c>
      <c r="M5934">
        <v>0</v>
      </c>
      <c r="N5934">
        <v>2</v>
      </c>
      <c r="O5934">
        <v>1</v>
      </c>
      <c r="P5934">
        <v>0</v>
      </c>
      <c r="Q5934">
        <v>0</v>
      </c>
      <c r="S5934" t="str">
        <f t="shared" si="2780"/>
        <v>14:52:23.688</v>
      </c>
      <c r="T5934" t="str">
        <f t="shared" si="2781"/>
        <v>14:52:23.388</v>
      </c>
      <c r="U5934" t="str">
        <f t="shared" si="2760"/>
        <v>A9808D</v>
      </c>
      <c r="V5934">
        <v>0</v>
      </c>
      <c r="W5934">
        <v>0</v>
      </c>
      <c r="X5934">
        <v>1</v>
      </c>
      <c r="Z5934">
        <v>0</v>
      </c>
      <c r="AA5934">
        <v>9</v>
      </c>
      <c r="AB5934">
        <v>3</v>
      </c>
      <c r="AC5934">
        <v>0</v>
      </c>
      <c r="AD5934">
        <v>10</v>
      </c>
      <c r="AE5934">
        <v>0</v>
      </c>
      <c r="AF5934">
        <v>3</v>
      </c>
      <c r="AG5934">
        <v>2</v>
      </c>
      <c r="AH5934">
        <v>0</v>
      </c>
      <c r="AI5934" t="s">
        <v>1317</v>
      </c>
      <c r="AJ5934">
        <v>28.206046000000001</v>
      </c>
      <c r="AK5934" t="s">
        <v>1318</v>
      </c>
      <c r="AL5934">
        <v>-82.369350999999995</v>
      </c>
      <c r="AM5934">
        <v>100</v>
      </c>
      <c r="AN5934">
        <v>300</v>
      </c>
      <c r="AO5934" t="s">
        <v>118</v>
      </c>
      <c r="AP5934">
        <v>74</v>
      </c>
      <c r="AQ5934">
        <v>48</v>
      </c>
      <c r="AR5934">
        <v>-640</v>
      </c>
      <c r="AZ5934">
        <v>1200</v>
      </c>
      <c r="BA5934">
        <v>1</v>
      </c>
      <c r="BB5934" t="str">
        <f t="shared" si="2770"/>
        <v xml:space="preserve">N711JA  </v>
      </c>
      <c r="BC5934">
        <v>1</v>
      </c>
      <c r="BE5934">
        <v>0</v>
      </c>
      <c r="BF5934">
        <v>0</v>
      </c>
      <c r="BG5934">
        <v>0</v>
      </c>
      <c r="BH5934">
        <v>375</v>
      </c>
      <c r="BI5934">
        <v>1</v>
      </c>
      <c r="BJ5934">
        <v>1</v>
      </c>
      <c r="BK5934">
        <v>0</v>
      </c>
      <c r="BL5934">
        <v>0</v>
      </c>
      <c r="BO5934">
        <v>0</v>
      </c>
      <c r="BP5934">
        <v>0</v>
      </c>
      <c r="BW5934" t="str">
        <f t="shared" si="2782"/>
        <v>14:52:23.692</v>
      </c>
      <c r="CJ5934">
        <v>0</v>
      </c>
      <c r="CK5934">
        <v>2</v>
      </c>
      <c r="CL5934">
        <v>0</v>
      </c>
      <c r="CM5934">
        <v>2</v>
      </c>
      <c r="CN5934">
        <v>0</v>
      </c>
      <c r="CO5934">
        <v>7</v>
      </c>
      <c r="CP5934" t="s">
        <v>119</v>
      </c>
      <c r="CQ5934">
        <v>343</v>
      </c>
      <c r="CR5934">
        <v>1</v>
      </c>
      <c r="CW5934">
        <v>11219666</v>
      </c>
      <c r="CY5934">
        <v>1</v>
      </c>
      <c r="CZ5934">
        <v>0</v>
      </c>
      <c r="DA5934">
        <v>1</v>
      </c>
      <c r="DB5934">
        <v>0</v>
      </c>
      <c r="DC5934">
        <v>0</v>
      </c>
      <c r="DD5934">
        <v>1</v>
      </c>
      <c r="DE5934">
        <v>0</v>
      </c>
      <c r="DF5934">
        <v>0</v>
      </c>
      <c r="DG5934">
        <v>0</v>
      </c>
      <c r="DH5934">
        <v>0</v>
      </c>
      <c r="DI5934">
        <v>0</v>
      </c>
    </row>
    <row r="5935" spans="1:113" x14ac:dyDescent="0.3">
      <c r="A5935" t="str">
        <f t="shared" si="2779"/>
        <v>05/12/2020 14:52:05.870</v>
      </c>
      <c r="C5935" t="str">
        <f t="shared" si="2769"/>
        <v>FFDFD3C0</v>
      </c>
      <c r="D5935" t="s">
        <v>126</v>
      </c>
      <c r="E5935">
        <v>6</v>
      </c>
      <c r="F5935">
        <v>1006</v>
      </c>
      <c r="G5935" t="s">
        <v>114</v>
      </c>
      <c r="J5935" t="s">
        <v>128</v>
      </c>
      <c r="K5935">
        <v>0</v>
      </c>
      <c r="L5935">
        <v>3</v>
      </c>
      <c r="M5935">
        <v>0</v>
      </c>
      <c r="N5935">
        <v>2</v>
      </c>
      <c r="O5935">
        <v>1</v>
      </c>
      <c r="P5935">
        <v>0</v>
      </c>
      <c r="Q5935">
        <v>0</v>
      </c>
      <c r="S5935" t="str">
        <f t="shared" si="2780"/>
        <v>14:52:23.688</v>
      </c>
      <c r="T5935" t="str">
        <f t="shared" si="2781"/>
        <v>14:52:23.388</v>
      </c>
      <c r="U5935" t="str">
        <f t="shared" si="2760"/>
        <v>A9808D</v>
      </c>
      <c r="V5935">
        <v>0</v>
      </c>
      <c r="W5935">
        <v>0</v>
      </c>
      <c r="X5935">
        <v>1</v>
      </c>
      <c r="Z5935">
        <v>0</v>
      </c>
      <c r="AA5935">
        <v>9</v>
      </c>
      <c r="AB5935">
        <v>3</v>
      </c>
      <c r="AC5935">
        <v>0</v>
      </c>
      <c r="AD5935">
        <v>10</v>
      </c>
      <c r="AE5935">
        <v>0</v>
      </c>
      <c r="AF5935">
        <v>3</v>
      </c>
      <c r="AG5935">
        <v>2</v>
      </c>
      <c r="AH5935">
        <v>0</v>
      </c>
      <c r="AI5935" t="s">
        <v>1317</v>
      </c>
      <c r="AJ5935">
        <v>28.206046000000001</v>
      </c>
      <c r="AK5935" t="s">
        <v>1318</v>
      </c>
      <c r="AL5935">
        <v>-82.369350999999995</v>
      </c>
      <c r="AM5935">
        <v>100</v>
      </c>
      <c r="AN5935">
        <v>300</v>
      </c>
      <c r="AO5935" t="s">
        <v>118</v>
      </c>
      <c r="AP5935">
        <v>74</v>
      </c>
      <c r="AQ5935">
        <v>48</v>
      </c>
      <c r="AR5935">
        <v>-640</v>
      </c>
      <c r="AZ5935">
        <v>1200</v>
      </c>
      <c r="BA5935">
        <v>1</v>
      </c>
      <c r="BB5935" t="str">
        <f t="shared" si="2770"/>
        <v xml:space="preserve">N711JA  </v>
      </c>
      <c r="BC5935">
        <v>1</v>
      </c>
      <c r="BE5935">
        <v>0</v>
      </c>
      <c r="BF5935">
        <v>0</v>
      </c>
      <c r="BG5935">
        <v>0</v>
      </c>
      <c r="BH5935">
        <v>375</v>
      </c>
      <c r="BI5935">
        <v>1</v>
      </c>
      <c r="BJ5935">
        <v>1</v>
      </c>
      <c r="BK5935">
        <v>0</v>
      </c>
      <c r="BL5935">
        <v>0</v>
      </c>
      <c r="BO5935">
        <v>0</v>
      </c>
      <c r="BP5935">
        <v>0</v>
      </c>
      <c r="BW5935" t="str">
        <f t="shared" si="2782"/>
        <v>14:52:23.692</v>
      </c>
      <c r="CJ5935">
        <v>0</v>
      </c>
      <c r="CK5935">
        <v>2</v>
      </c>
      <c r="CL5935">
        <v>0</v>
      </c>
      <c r="CM5935">
        <v>2</v>
      </c>
      <c r="CN5935">
        <v>0</v>
      </c>
      <c r="CO5935">
        <v>7</v>
      </c>
      <c r="CP5935" t="s">
        <v>119</v>
      </c>
      <c r="CQ5935">
        <v>343</v>
      </c>
      <c r="CR5935">
        <v>1</v>
      </c>
      <c r="CW5935">
        <v>11219666</v>
      </c>
      <c r="CY5935">
        <v>1</v>
      </c>
      <c r="CZ5935">
        <v>0</v>
      </c>
      <c r="DA5935">
        <v>1</v>
      </c>
      <c r="DB5935">
        <v>0</v>
      </c>
      <c r="DC5935">
        <v>0</v>
      </c>
      <c r="DD5935">
        <v>1</v>
      </c>
      <c r="DE5935">
        <v>0</v>
      </c>
      <c r="DF5935">
        <v>0</v>
      </c>
      <c r="DG5935">
        <v>0</v>
      </c>
      <c r="DH5935">
        <v>0</v>
      </c>
      <c r="DI5935">
        <v>0</v>
      </c>
    </row>
    <row r="5936" spans="1:113" x14ac:dyDescent="0.3">
      <c r="A5936" t="str">
        <f t="shared" si="2779"/>
        <v>05/12/2020 14:52:05.870</v>
      </c>
      <c r="C5936" t="str">
        <f t="shared" si="2769"/>
        <v>FFDFD3C0</v>
      </c>
      <c r="D5936" t="s">
        <v>134</v>
      </c>
      <c r="E5936">
        <v>12</v>
      </c>
      <c r="H5936">
        <v>64</v>
      </c>
      <c r="I5936" t="s">
        <v>135</v>
      </c>
      <c r="J5936" t="s">
        <v>136</v>
      </c>
      <c r="K5936">
        <v>0</v>
      </c>
      <c r="L5936">
        <v>3</v>
      </c>
      <c r="M5936">
        <v>0</v>
      </c>
      <c r="N5936">
        <v>2</v>
      </c>
      <c r="O5936">
        <v>1</v>
      </c>
      <c r="P5936">
        <v>0</v>
      </c>
      <c r="Q5936">
        <v>0</v>
      </c>
      <c r="S5936" t="str">
        <f t="shared" si="2780"/>
        <v>14:52:23.688</v>
      </c>
      <c r="T5936" t="str">
        <f t="shared" si="2781"/>
        <v>14:52:23.388</v>
      </c>
      <c r="U5936" t="str">
        <f t="shared" si="2760"/>
        <v>A9808D</v>
      </c>
      <c r="V5936">
        <v>0</v>
      </c>
      <c r="W5936">
        <v>0</v>
      </c>
      <c r="X5936">
        <v>1</v>
      </c>
      <c r="Z5936">
        <v>0</v>
      </c>
      <c r="AA5936">
        <v>9</v>
      </c>
      <c r="AB5936">
        <v>3</v>
      </c>
      <c r="AC5936">
        <v>0</v>
      </c>
      <c r="AD5936">
        <v>10</v>
      </c>
      <c r="AE5936">
        <v>0</v>
      </c>
      <c r="AF5936">
        <v>3</v>
      </c>
      <c r="AG5936">
        <v>2</v>
      </c>
      <c r="AH5936">
        <v>0</v>
      </c>
      <c r="AI5936" t="s">
        <v>1317</v>
      </c>
      <c r="AJ5936">
        <v>28.206046000000001</v>
      </c>
      <c r="AK5936" t="s">
        <v>1318</v>
      </c>
      <c r="AL5936">
        <v>-82.369350999999995</v>
      </c>
      <c r="AM5936">
        <v>100</v>
      </c>
      <c r="AN5936">
        <v>300</v>
      </c>
      <c r="AO5936" t="s">
        <v>118</v>
      </c>
      <c r="AP5936">
        <v>74</v>
      </c>
      <c r="AQ5936">
        <v>48</v>
      </c>
      <c r="AR5936">
        <v>-640</v>
      </c>
      <c r="AZ5936">
        <v>1200</v>
      </c>
      <c r="BA5936">
        <v>1</v>
      </c>
      <c r="BB5936" t="str">
        <f t="shared" si="2770"/>
        <v xml:space="preserve">N711JA  </v>
      </c>
      <c r="BC5936">
        <v>1</v>
      </c>
      <c r="BE5936">
        <v>0</v>
      </c>
      <c r="BF5936">
        <v>0</v>
      </c>
      <c r="BG5936">
        <v>0</v>
      </c>
      <c r="BH5936">
        <v>375</v>
      </c>
      <c r="BI5936">
        <v>1</v>
      </c>
      <c r="BJ5936">
        <v>1</v>
      </c>
      <c r="BK5936">
        <v>0</v>
      </c>
      <c r="BL5936">
        <v>0</v>
      </c>
      <c r="BO5936">
        <v>0</v>
      </c>
      <c r="BP5936">
        <v>0</v>
      </c>
      <c r="BW5936" t="str">
        <f t="shared" si="2782"/>
        <v>14:52:23.692</v>
      </c>
      <c r="CJ5936">
        <v>0</v>
      </c>
      <c r="CK5936">
        <v>2</v>
      </c>
      <c r="CL5936">
        <v>0</v>
      </c>
      <c r="CM5936">
        <v>2</v>
      </c>
      <c r="CN5936">
        <v>0</v>
      </c>
      <c r="CO5936">
        <v>7</v>
      </c>
      <c r="CP5936" t="s">
        <v>119</v>
      </c>
      <c r="CQ5936">
        <v>343</v>
      </c>
      <c r="CR5936">
        <v>1</v>
      </c>
      <c r="CW5936">
        <v>11219666</v>
      </c>
      <c r="CY5936">
        <v>1</v>
      </c>
      <c r="CZ5936">
        <v>0</v>
      </c>
      <c r="DA5936">
        <v>1</v>
      </c>
      <c r="DB5936">
        <v>0</v>
      </c>
      <c r="DC5936">
        <v>0</v>
      </c>
      <c r="DD5936">
        <v>1</v>
      </c>
      <c r="DE5936">
        <v>0</v>
      </c>
      <c r="DF5936">
        <v>0</v>
      </c>
      <c r="DG5936">
        <v>0</v>
      </c>
      <c r="DH5936">
        <v>0</v>
      </c>
      <c r="DI5936">
        <v>0</v>
      </c>
    </row>
    <row r="5937" spans="1:113" x14ac:dyDescent="0.3">
      <c r="A5937" t="str">
        <f t="shared" ref="A5937:A5944" si="2783">"05/12/2020 14:52:06.848"</f>
        <v>05/12/2020 14:52:06.848</v>
      </c>
      <c r="C5937" t="str">
        <f t="shared" si="2769"/>
        <v>FFDFD3C0</v>
      </c>
      <c r="D5937" t="s">
        <v>113</v>
      </c>
      <c r="E5937">
        <v>3</v>
      </c>
      <c r="H5937">
        <v>164</v>
      </c>
      <c r="I5937" t="s">
        <v>114</v>
      </c>
      <c r="J5937" t="s">
        <v>115</v>
      </c>
      <c r="K5937">
        <v>0</v>
      </c>
      <c r="L5937">
        <v>3</v>
      </c>
      <c r="M5937">
        <v>0</v>
      </c>
      <c r="N5937">
        <v>2</v>
      </c>
      <c r="O5937">
        <v>1</v>
      </c>
      <c r="P5937">
        <v>0</v>
      </c>
      <c r="Q5937">
        <v>0</v>
      </c>
      <c r="S5937" t="str">
        <f t="shared" ref="S5937:S5944" si="2784">"14:52:24.680"</f>
        <v>14:52:24.680</v>
      </c>
      <c r="T5937" t="str">
        <f t="shared" ref="T5937:T5944" si="2785">"14:52:24.580"</f>
        <v>14:52:24.580</v>
      </c>
      <c r="U5937" t="str">
        <f t="shared" si="2760"/>
        <v>A9808D</v>
      </c>
      <c r="V5937">
        <v>0</v>
      </c>
      <c r="W5937">
        <v>0</v>
      </c>
      <c r="X5937">
        <v>1</v>
      </c>
      <c r="Z5937">
        <v>0</v>
      </c>
      <c r="AA5937">
        <v>9</v>
      </c>
      <c r="AB5937">
        <v>3</v>
      </c>
      <c r="AC5937">
        <v>0</v>
      </c>
      <c r="AD5937">
        <v>10</v>
      </c>
      <c r="AE5937">
        <v>0</v>
      </c>
      <c r="AF5937">
        <v>3</v>
      </c>
      <c r="AG5937">
        <v>2</v>
      </c>
      <c r="AH5937">
        <v>0</v>
      </c>
      <c r="AI5937" t="s">
        <v>1319</v>
      </c>
      <c r="AJ5937">
        <v>28.206282000000002</v>
      </c>
      <c r="AK5937" t="s">
        <v>1320</v>
      </c>
      <c r="AL5937">
        <v>-82.368965000000003</v>
      </c>
      <c r="AM5937">
        <v>100</v>
      </c>
      <c r="AN5937">
        <v>300</v>
      </c>
      <c r="AO5937" t="s">
        <v>118</v>
      </c>
      <c r="AP5937">
        <v>71</v>
      </c>
      <c r="AQ5937">
        <v>52</v>
      </c>
      <c r="AR5937">
        <v>-512</v>
      </c>
      <c r="AZ5937">
        <v>1200</v>
      </c>
      <c r="BA5937">
        <v>1</v>
      </c>
      <c r="BB5937" t="str">
        <f t="shared" si="2770"/>
        <v xml:space="preserve">N711JA  </v>
      </c>
      <c r="BC5937">
        <v>1</v>
      </c>
      <c r="BE5937">
        <v>0</v>
      </c>
      <c r="BF5937">
        <v>0</v>
      </c>
      <c r="BG5937">
        <v>0</v>
      </c>
      <c r="BH5937">
        <v>375</v>
      </c>
      <c r="BI5937">
        <v>1</v>
      </c>
      <c r="BJ5937">
        <v>1</v>
      </c>
      <c r="BK5937">
        <v>0</v>
      </c>
      <c r="BL5937">
        <v>0</v>
      </c>
      <c r="BO5937">
        <v>0</v>
      </c>
      <c r="BP5937">
        <v>0</v>
      </c>
      <c r="BW5937" t="str">
        <f t="shared" ref="BW5937:BW5944" si="2786">"14:52:24.684"</f>
        <v>14:52:24.684</v>
      </c>
      <c r="CJ5937">
        <v>0</v>
      </c>
      <c r="CK5937">
        <v>2</v>
      </c>
      <c r="CL5937">
        <v>0</v>
      </c>
      <c r="CM5937">
        <v>2</v>
      </c>
      <c r="CN5937">
        <v>0</v>
      </c>
      <c r="CO5937">
        <v>6</v>
      </c>
      <c r="CP5937" t="s">
        <v>119</v>
      </c>
      <c r="CQ5937">
        <v>343</v>
      </c>
      <c r="CR5937">
        <v>1</v>
      </c>
      <c r="CW5937">
        <v>11220708</v>
      </c>
      <c r="CY5937">
        <v>1</v>
      </c>
      <c r="CZ5937">
        <v>0</v>
      </c>
      <c r="DA5937">
        <v>0</v>
      </c>
      <c r="DB5937">
        <v>0</v>
      </c>
      <c r="DC5937">
        <v>0</v>
      </c>
      <c r="DD5937">
        <v>1</v>
      </c>
      <c r="DE5937">
        <v>0</v>
      </c>
      <c r="DF5937">
        <v>0</v>
      </c>
      <c r="DG5937">
        <v>0</v>
      </c>
      <c r="DH5937">
        <v>0</v>
      </c>
      <c r="DI5937">
        <v>0</v>
      </c>
    </row>
    <row r="5938" spans="1:113" x14ac:dyDescent="0.3">
      <c r="A5938" t="str">
        <f t="shared" si="2783"/>
        <v>05/12/2020 14:52:06.848</v>
      </c>
      <c r="C5938" t="str">
        <f t="shared" si="2769"/>
        <v>FFDFD3C0</v>
      </c>
      <c r="D5938" t="s">
        <v>126</v>
      </c>
      <c r="E5938">
        <v>6</v>
      </c>
      <c r="F5938">
        <v>1006</v>
      </c>
      <c r="G5938" t="s">
        <v>114</v>
      </c>
      <c r="J5938" t="s">
        <v>128</v>
      </c>
      <c r="K5938">
        <v>0</v>
      </c>
      <c r="L5938">
        <v>3</v>
      </c>
      <c r="M5938">
        <v>0</v>
      </c>
      <c r="N5938">
        <v>2</v>
      </c>
      <c r="O5938">
        <v>1</v>
      </c>
      <c r="P5938">
        <v>0</v>
      </c>
      <c r="Q5938">
        <v>0</v>
      </c>
      <c r="S5938" t="str">
        <f t="shared" si="2784"/>
        <v>14:52:24.680</v>
      </c>
      <c r="T5938" t="str">
        <f t="shared" si="2785"/>
        <v>14:52:24.580</v>
      </c>
      <c r="U5938" t="str">
        <f t="shared" si="2760"/>
        <v>A9808D</v>
      </c>
      <c r="V5938">
        <v>0</v>
      </c>
      <c r="W5938">
        <v>0</v>
      </c>
      <c r="X5938">
        <v>1</v>
      </c>
      <c r="Z5938">
        <v>0</v>
      </c>
      <c r="AA5938">
        <v>9</v>
      </c>
      <c r="AB5938">
        <v>3</v>
      </c>
      <c r="AC5938">
        <v>0</v>
      </c>
      <c r="AD5938">
        <v>10</v>
      </c>
      <c r="AE5938">
        <v>0</v>
      </c>
      <c r="AF5938">
        <v>3</v>
      </c>
      <c r="AG5938">
        <v>2</v>
      </c>
      <c r="AH5938">
        <v>0</v>
      </c>
      <c r="AI5938" t="s">
        <v>1319</v>
      </c>
      <c r="AJ5938">
        <v>28.206282000000002</v>
      </c>
      <c r="AK5938" t="s">
        <v>1320</v>
      </c>
      <c r="AL5938">
        <v>-82.368965000000003</v>
      </c>
      <c r="AM5938">
        <v>100</v>
      </c>
      <c r="AN5938">
        <v>300</v>
      </c>
      <c r="AO5938" t="s">
        <v>118</v>
      </c>
      <c r="AP5938">
        <v>71</v>
      </c>
      <c r="AQ5938">
        <v>52</v>
      </c>
      <c r="AR5938">
        <v>-512</v>
      </c>
      <c r="AZ5938">
        <v>1200</v>
      </c>
      <c r="BA5938">
        <v>1</v>
      </c>
      <c r="BB5938" t="str">
        <f t="shared" si="2770"/>
        <v xml:space="preserve">N711JA  </v>
      </c>
      <c r="BC5938">
        <v>1</v>
      </c>
      <c r="BE5938">
        <v>0</v>
      </c>
      <c r="BF5938">
        <v>0</v>
      </c>
      <c r="BG5938">
        <v>0</v>
      </c>
      <c r="BH5938">
        <v>375</v>
      </c>
      <c r="BI5938">
        <v>1</v>
      </c>
      <c r="BJ5938">
        <v>1</v>
      </c>
      <c r="BK5938">
        <v>0</v>
      </c>
      <c r="BL5938">
        <v>0</v>
      </c>
      <c r="BO5938">
        <v>0</v>
      </c>
      <c r="BP5938">
        <v>0</v>
      </c>
      <c r="BW5938" t="str">
        <f t="shared" si="2786"/>
        <v>14:52:24.684</v>
      </c>
      <c r="CJ5938">
        <v>0</v>
      </c>
      <c r="CK5938">
        <v>2</v>
      </c>
      <c r="CL5938">
        <v>0</v>
      </c>
      <c r="CM5938">
        <v>2</v>
      </c>
      <c r="CN5938">
        <v>0</v>
      </c>
      <c r="CO5938">
        <v>6</v>
      </c>
      <c r="CP5938" t="s">
        <v>119</v>
      </c>
      <c r="CQ5938">
        <v>343</v>
      </c>
      <c r="CR5938">
        <v>1</v>
      </c>
      <c r="CW5938">
        <v>11220708</v>
      </c>
      <c r="CY5938">
        <v>1</v>
      </c>
      <c r="CZ5938">
        <v>0</v>
      </c>
      <c r="DA5938">
        <v>1</v>
      </c>
      <c r="DB5938">
        <v>0</v>
      </c>
      <c r="DC5938">
        <v>0</v>
      </c>
      <c r="DD5938">
        <v>1</v>
      </c>
      <c r="DE5938">
        <v>0</v>
      </c>
      <c r="DF5938">
        <v>0</v>
      </c>
      <c r="DG5938">
        <v>0</v>
      </c>
      <c r="DH5938">
        <v>0</v>
      </c>
      <c r="DI5938">
        <v>0</v>
      </c>
    </row>
    <row r="5939" spans="1:113" x14ac:dyDescent="0.3">
      <c r="A5939" t="str">
        <f t="shared" si="2783"/>
        <v>05/12/2020 14:52:06.848</v>
      </c>
      <c r="C5939" t="str">
        <f t="shared" si="2769"/>
        <v>FFDFD3C0</v>
      </c>
      <c r="D5939" t="s">
        <v>126</v>
      </c>
      <c r="E5939">
        <v>7</v>
      </c>
      <c r="F5939">
        <v>1007</v>
      </c>
      <c r="G5939" t="s">
        <v>127</v>
      </c>
      <c r="J5939" t="s">
        <v>128</v>
      </c>
      <c r="K5939">
        <v>0</v>
      </c>
      <c r="L5939">
        <v>3</v>
      </c>
      <c r="M5939">
        <v>0</v>
      </c>
      <c r="N5939">
        <v>2</v>
      </c>
      <c r="O5939">
        <v>1</v>
      </c>
      <c r="P5939">
        <v>0</v>
      </c>
      <c r="Q5939">
        <v>0</v>
      </c>
      <c r="S5939" t="str">
        <f t="shared" si="2784"/>
        <v>14:52:24.680</v>
      </c>
      <c r="T5939" t="str">
        <f t="shared" si="2785"/>
        <v>14:52:24.580</v>
      </c>
      <c r="U5939" t="str">
        <f t="shared" si="2760"/>
        <v>A9808D</v>
      </c>
      <c r="V5939">
        <v>0</v>
      </c>
      <c r="W5939">
        <v>0</v>
      </c>
      <c r="X5939">
        <v>1</v>
      </c>
      <c r="Z5939">
        <v>0</v>
      </c>
      <c r="AA5939">
        <v>9</v>
      </c>
      <c r="AB5939">
        <v>3</v>
      </c>
      <c r="AC5939">
        <v>0</v>
      </c>
      <c r="AD5939">
        <v>10</v>
      </c>
      <c r="AE5939">
        <v>0</v>
      </c>
      <c r="AF5939">
        <v>3</v>
      </c>
      <c r="AG5939">
        <v>2</v>
      </c>
      <c r="AH5939">
        <v>0</v>
      </c>
      <c r="AI5939" t="s">
        <v>1319</v>
      </c>
      <c r="AJ5939">
        <v>28.206282000000002</v>
      </c>
      <c r="AK5939" t="s">
        <v>1320</v>
      </c>
      <c r="AL5939">
        <v>-82.368965000000003</v>
      </c>
      <c r="AM5939">
        <v>100</v>
      </c>
      <c r="AN5939">
        <v>300</v>
      </c>
      <c r="AO5939" t="s">
        <v>118</v>
      </c>
      <c r="AP5939">
        <v>71</v>
      </c>
      <c r="AQ5939">
        <v>52</v>
      </c>
      <c r="AR5939">
        <v>-512</v>
      </c>
      <c r="AZ5939">
        <v>1200</v>
      </c>
      <c r="BA5939">
        <v>1</v>
      </c>
      <c r="BB5939" t="str">
        <f t="shared" si="2770"/>
        <v xml:space="preserve">N711JA  </v>
      </c>
      <c r="BC5939">
        <v>1</v>
      </c>
      <c r="BE5939">
        <v>0</v>
      </c>
      <c r="BF5939">
        <v>0</v>
      </c>
      <c r="BG5939">
        <v>0</v>
      </c>
      <c r="BH5939">
        <v>375</v>
      </c>
      <c r="BI5939">
        <v>1</v>
      </c>
      <c r="BJ5939">
        <v>1</v>
      </c>
      <c r="BK5939">
        <v>0</v>
      </c>
      <c r="BL5939">
        <v>0</v>
      </c>
      <c r="BO5939">
        <v>0</v>
      </c>
      <c r="BP5939">
        <v>0</v>
      </c>
      <c r="BW5939" t="str">
        <f t="shared" si="2786"/>
        <v>14:52:24.684</v>
      </c>
      <c r="CJ5939">
        <v>0</v>
      </c>
      <c r="CK5939">
        <v>2</v>
      </c>
      <c r="CL5939">
        <v>0</v>
      </c>
      <c r="CM5939">
        <v>2</v>
      </c>
      <c r="CN5939">
        <v>0</v>
      </c>
      <c r="CO5939">
        <v>6</v>
      </c>
      <c r="CP5939" t="s">
        <v>119</v>
      </c>
      <c r="CQ5939">
        <v>343</v>
      </c>
      <c r="CR5939">
        <v>1</v>
      </c>
      <c r="CW5939">
        <v>11220708</v>
      </c>
      <c r="CY5939">
        <v>1</v>
      </c>
      <c r="CZ5939">
        <v>0</v>
      </c>
      <c r="DA5939">
        <v>1</v>
      </c>
      <c r="DB5939">
        <v>0</v>
      </c>
      <c r="DC5939">
        <v>0</v>
      </c>
      <c r="DD5939">
        <v>1</v>
      </c>
      <c r="DE5939">
        <v>0</v>
      </c>
      <c r="DF5939">
        <v>0</v>
      </c>
      <c r="DG5939">
        <v>0</v>
      </c>
      <c r="DH5939">
        <v>0</v>
      </c>
      <c r="DI5939">
        <v>0</v>
      </c>
    </row>
    <row r="5940" spans="1:113" x14ac:dyDescent="0.3">
      <c r="A5940" t="str">
        <f t="shared" si="2783"/>
        <v>05/12/2020 14:52:06.848</v>
      </c>
      <c r="C5940" t="str">
        <f t="shared" si="2769"/>
        <v>FFDFD3C0</v>
      </c>
      <c r="D5940" t="s">
        <v>131</v>
      </c>
      <c r="E5940">
        <v>12</v>
      </c>
      <c r="F5940">
        <v>2012</v>
      </c>
      <c r="G5940" t="s">
        <v>137</v>
      </c>
      <c r="J5940" t="s">
        <v>133</v>
      </c>
      <c r="K5940">
        <v>0</v>
      </c>
      <c r="L5940">
        <v>3</v>
      </c>
      <c r="M5940">
        <v>0</v>
      </c>
      <c r="N5940">
        <v>2</v>
      </c>
      <c r="O5940">
        <v>1</v>
      </c>
      <c r="P5940">
        <v>0</v>
      </c>
      <c r="Q5940">
        <v>0</v>
      </c>
      <c r="S5940" t="str">
        <f t="shared" si="2784"/>
        <v>14:52:24.680</v>
      </c>
      <c r="T5940" t="str">
        <f t="shared" si="2785"/>
        <v>14:52:24.580</v>
      </c>
      <c r="U5940" t="str">
        <f t="shared" si="2760"/>
        <v>A9808D</v>
      </c>
      <c r="V5940">
        <v>0</v>
      </c>
      <c r="W5940">
        <v>0</v>
      </c>
      <c r="X5940">
        <v>1</v>
      </c>
      <c r="Z5940">
        <v>0</v>
      </c>
      <c r="AA5940">
        <v>9</v>
      </c>
      <c r="AB5940">
        <v>3</v>
      </c>
      <c r="AC5940">
        <v>0</v>
      </c>
      <c r="AD5940">
        <v>10</v>
      </c>
      <c r="AE5940">
        <v>0</v>
      </c>
      <c r="AF5940">
        <v>3</v>
      </c>
      <c r="AG5940">
        <v>2</v>
      </c>
      <c r="AH5940">
        <v>0</v>
      </c>
      <c r="AI5940" t="s">
        <v>1319</v>
      </c>
      <c r="AJ5940">
        <v>28.206282000000002</v>
      </c>
      <c r="AK5940" t="s">
        <v>1320</v>
      </c>
      <c r="AL5940">
        <v>-82.368965000000003</v>
      </c>
      <c r="AM5940">
        <v>100</v>
      </c>
      <c r="AN5940">
        <v>300</v>
      </c>
      <c r="AO5940" t="s">
        <v>118</v>
      </c>
      <c r="AP5940">
        <v>71</v>
      </c>
      <c r="AQ5940">
        <v>52</v>
      </c>
      <c r="AR5940">
        <v>-512</v>
      </c>
      <c r="AZ5940">
        <v>1200</v>
      </c>
      <c r="BA5940">
        <v>1</v>
      </c>
      <c r="BB5940" t="str">
        <f t="shared" si="2770"/>
        <v xml:space="preserve">N711JA  </v>
      </c>
      <c r="BC5940">
        <v>1</v>
      </c>
      <c r="BE5940">
        <v>0</v>
      </c>
      <c r="BF5940">
        <v>0</v>
      </c>
      <c r="BG5940">
        <v>0</v>
      </c>
      <c r="BH5940">
        <v>375</v>
      </c>
      <c r="BI5940">
        <v>1</v>
      </c>
      <c r="BJ5940">
        <v>1</v>
      </c>
      <c r="BK5940">
        <v>0</v>
      </c>
      <c r="BL5940">
        <v>0</v>
      </c>
      <c r="BO5940">
        <v>0</v>
      </c>
      <c r="BP5940">
        <v>0</v>
      </c>
      <c r="BW5940" t="str">
        <f t="shared" si="2786"/>
        <v>14:52:24.684</v>
      </c>
      <c r="CJ5940">
        <v>0</v>
      </c>
      <c r="CK5940">
        <v>2</v>
      </c>
      <c r="CL5940">
        <v>0</v>
      </c>
      <c r="CM5940">
        <v>2</v>
      </c>
      <c r="CN5940">
        <v>0</v>
      </c>
      <c r="CO5940">
        <v>6</v>
      </c>
      <c r="CP5940" t="s">
        <v>119</v>
      </c>
      <c r="CQ5940">
        <v>343</v>
      </c>
      <c r="CR5940">
        <v>1</v>
      </c>
      <c r="CW5940">
        <v>11220708</v>
      </c>
      <c r="CY5940">
        <v>1</v>
      </c>
      <c r="CZ5940">
        <v>0</v>
      </c>
      <c r="DA5940">
        <v>1</v>
      </c>
      <c r="DB5940">
        <v>0</v>
      </c>
      <c r="DC5940">
        <v>0</v>
      </c>
      <c r="DD5940">
        <v>1</v>
      </c>
      <c r="DE5940">
        <v>0</v>
      </c>
      <c r="DF5940">
        <v>0</v>
      </c>
      <c r="DG5940">
        <v>0</v>
      </c>
      <c r="DH5940">
        <v>0</v>
      </c>
      <c r="DI5940">
        <v>0</v>
      </c>
    </row>
    <row r="5941" spans="1:113" x14ac:dyDescent="0.3">
      <c r="A5941" t="str">
        <f t="shared" si="2783"/>
        <v>05/12/2020 14:52:06.848</v>
      </c>
      <c r="C5941" t="str">
        <f t="shared" si="2769"/>
        <v>FFDFD3C0</v>
      </c>
      <c r="D5941" t="s">
        <v>131</v>
      </c>
      <c r="E5941">
        <v>10</v>
      </c>
      <c r="F5941">
        <v>2010</v>
      </c>
      <c r="G5941" t="s">
        <v>132</v>
      </c>
      <c r="J5941" t="s">
        <v>133</v>
      </c>
      <c r="K5941">
        <v>0</v>
      </c>
      <c r="L5941">
        <v>3</v>
      </c>
      <c r="M5941">
        <v>0</v>
      </c>
      <c r="N5941">
        <v>2</v>
      </c>
      <c r="O5941">
        <v>1</v>
      </c>
      <c r="P5941">
        <v>0</v>
      </c>
      <c r="Q5941">
        <v>0</v>
      </c>
      <c r="S5941" t="str">
        <f t="shared" si="2784"/>
        <v>14:52:24.680</v>
      </c>
      <c r="T5941" t="str">
        <f t="shared" si="2785"/>
        <v>14:52:24.580</v>
      </c>
      <c r="U5941" t="str">
        <f t="shared" si="2760"/>
        <v>A9808D</v>
      </c>
      <c r="V5941">
        <v>0</v>
      </c>
      <c r="W5941">
        <v>0</v>
      </c>
      <c r="X5941">
        <v>1</v>
      </c>
      <c r="Z5941">
        <v>0</v>
      </c>
      <c r="AA5941">
        <v>9</v>
      </c>
      <c r="AB5941">
        <v>3</v>
      </c>
      <c r="AC5941">
        <v>0</v>
      </c>
      <c r="AD5941">
        <v>10</v>
      </c>
      <c r="AE5941">
        <v>0</v>
      </c>
      <c r="AF5941">
        <v>3</v>
      </c>
      <c r="AG5941">
        <v>2</v>
      </c>
      <c r="AH5941">
        <v>0</v>
      </c>
      <c r="AI5941" t="s">
        <v>1319</v>
      </c>
      <c r="AJ5941">
        <v>28.206282000000002</v>
      </c>
      <c r="AK5941" t="s">
        <v>1320</v>
      </c>
      <c r="AL5941">
        <v>-82.368965000000003</v>
      </c>
      <c r="AM5941">
        <v>100</v>
      </c>
      <c r="AN5941">
        <v>300</v>
      </c>
      <c r="AO5941" t="s">
        <v>118</v>
      </c>
      <c r="AP5941">
        <v>71</v>
      </c>
      <c r="AQ5941">
        <v>52</v>
      </c>
      <c r="AR5941">
        <v>-512</v>
      </c>
      <c r="AZ5941">
        <v>1200</v>
      </c>
      <c r="BA5941">
        <v>1</v>
      </c>
      <c r="BB5941" t="str">
        <f t="shared" si="2770"/>
        <v xml:space="preserve">N711JA  </v>
      </c>
      <c r="BC5941">
        <v>1</v>
      </c>
      <c r="BE5941">
        <v>0</v>
      </c>
      <c r="BF5941">
        <v>0</v>
      </c>
      <c r="BG5941">
        <v>0</v>
      </c>
      <c r="BH5941">
        <v>375</v>
      </c>
      <c r="BI5941">
        <v>1</v>
      </c>
      <c r="BJ5941">
        <v>1</v>
      </c>
      <c r="BK5941">
        <v>0</v>
      </c>
      <c r="BL5941">
        <v>0</v>
      </c>
      <c r="BO5941">
        <v>0</v>
      </c>
      <c r="BP5941">
        <v>0</v>
      </c>
      <c r="BW5941" t="str">
        <f t="shared" si="2786"/>
        <v>14:52:24.684</v>
      </c>
      <c r="CJ5941">
        <v>0</v>
      </c>
      <c r="CK5941">
        <v>2</v>
      </c>
      <c r="CL5941">
        <v>0</v>
      </c>
      <c r="CM5941">
        <v>2</v>
      </c>
      <c r="CN5941">
        <v>0</v>
      </c>
      <c r="CO5941">
        <v>6</v>
      </c>
      <c r="CP5941" t="s">
        <v>119</v>
      </c>
      <c r="CQ5941">
        <v>343</v>
      </c>
      <c r="CR5941">
        <v>1</v>
      </c>
      <c r="CW5941">
        <v>11220708</v>
      </c>
      <c r="CY5941">
        <v>1</v>
      </c>
      <c r="CZ5941">
        <v>0</v>
      </c>
      <c r="DA5941">
        <v>1</v>
      </c>
      <c r="DB5941">
        <v>0</v>
      </c>
      <c r="DC5941">
        <v>0</v>
      </c>
      <c r="DD5941">
        <v>1</v>
      </c>
      <c r="DE5941">
        <v>0</v>
      </c>
      <c r="DF5941">
        <v>0</v>
      </c>
      <c r="DG5941">
        <v>0</v>
      </c>
      <c r="DH5941">
        <v>0</v>
      </c>
      <c r="DI5941">
        <v>0</v>
      </c>
    </row>
    <row r="5942" spans="1:113" x14ac:dyDescent="0.3">
      <c r="A5942" t="str">
        <f t="shared" si="2783"/>
        <v>05/12/2020 14:52:06.848</v>
      </c>
      <c r="C5942" t="str">
        <f t="shared" si="2769"/>
        <v>FFDFD3C0</v>
      </c>
      <c r="D5942" t="s">
        <v>134</v>
      </c>
      <c r="E5942">
        <v>12</v>
      </c>
      <c r="H5942">
        <v>64</v>
      </c>
      <c r="I5942" t="s">
        <v>135</v>
      </c>
      <c r="J5942" t="s">
        <v>136</v>
      </c>
      <c r="K5942">
        <v>0</v>
      </c>
      <c r="L5942">
        <v>3</v>
      </c>
      <c r="M5942">
        <v>0</v>
      </c>
      <c r="N5942">
        <v>2</v>
      </c>
      <c r="O5942">
        <v>1</v>
      </c>
      <c r="P5942">
        <v>0</v>
      </c>
      <c r="Q5942">
        <v>0</v>
      </c>
      <c r="S5942" t="str">
        <f t="shared" si="2784"/>
        <v>14:52:24.680</v>
      </c>
      <c r="T5942" t="str">
        <f t="shared" si="2785"/>
        <v>14:52:24.580</v>
      </c>
      <c r="U5942" t="str">
        <f t="shared" si="2760"/>
        <v>A9808D</v>
      </c>
      <c r="V5942">
        <v>0</v>
      </c>
      <c r="W5942">
        <v>0</v>
      </c>
      <c r="X5942">
        <v>1</v>
      </c>
      <c r="Z5942">
        <v>0</v>
      </c>
      <c r="AA5942">
        <v>9</v>
      </c>
      <c r="AB5942">
        <v>3</v>
      </c>
      <c r="AC5942">
        <v>0</v>
      </c>
      <c r="AD5942">
        <v>10</v>
      </c>
      <c r="AE5942">
        <v>0</v>
      </c>
      <c r="AF5942">
        <v>3</v>
      </c>
      <c r="AG5942">
        <v>2</v>
      </c>
      <c r="AH5942">
        <v>0</v>
      </c>
      <c r="AI5942" t="s">
        <v>1319</v>
      </c>
      <c r="AJ5942">
        <v>28.206282000000002</v>
      </c>
      <c r="AK5942" t="s">
        <v>1320</v>
      </c>
      <c r="AL5942">
        <v>-82.368965000000003</v>
      </c>
      <c r="AM5942">
        <v>100</v>
      </c>
      <c r="AN5942">
        <v>300</v>
      </c>
      <c r="AO5942" t="s">
        <v>118</v>
      </c>
      <c r="AP5942">
        <v>71</v>
      </c>
      <c r="AQ5942">
        <v>52</v>
      </c>
      <c r="AR5942">
        <v>-512</v>
      </c>
      <c r="AZ5942">
        <v>1200</v>
      </c>
      <c r="BA5942">
        <v>1</v>
      </c>
      <c r="BB5942" t="str">
        <f t="shared" si="2770"/>
        <v xml:space="preserve">N711JA  </v>
      </c>
      <c r="BC5942">
        <v>1</v>
      </c>
      <c r="BE5942">
        <v>0</v>
      </c>
      <c r="BF5942">
        <v>0</v>
      </c>
      <c r="BG5942">
        <v>0</v>
      </c>
      <c r="BH5942">
        <v>375</v>
      </c>
      <c r="BI5942">
        <v>1</v>
      </c>
      <c r="BJ5942">
        <v>1</v>
      </c>
      <c r="BK5942">
        <v>0</v>
      </c>
      <c r="BL5942">
        <v>0</v>
      </c>
      <c r="BO5942">
        <v>0</v>
      </c>
      <c r="BP5942">
        <v>0</v>
      </c>
      <c r="BW5942" t="str">
        <f t="shared" si="2786"/>
        <v>14:52:24.684</v>
      </c>
      <c r="CJ5942">
        <v>0</v>
      </c>
      <c r="CK5942">
        <v>2</v>
      </c>
      <c r="CL5942">
        <v>0</v>
      </c>
      <c r="CM5942">
        <v>2</v>
      </c>
      <c r="CN5942">
        <v>0</v>
      </c>
      <c r="CO5942">
        <v>6</v>
      </c>
      <c r="CP5942" t="s">
        <v>119</v>
      </c>
      <c r="CQ5942">
        <v>343</v>
      </c>
      <c r="CR5942">
        <v>1</v>
      </c>
      <c r="CW5942">
        <v>11220708</v>
      </c>
      <c r="CY5942">
        <v>1</v>
      </c>
      <c r="CZ5942">
        <v>0</v>
      </c>
      <c r="DA5942">
        <v>1</v>
      </c>
      <c r="DB5942">
        <v>0</v>
      </c>
      <c r="DC5942">
        <v>0</v>
      </c>
      <c r="DD5942">
        <v>1</v>
      </c>
      <c r="DE5942">
        <v>0</v>
      </c>
      <c r="DF5942">
        <v>0</v>
      </c>
      <c r="DG5942">
        <v>0</v>
      </c>
      <c r="DH5942">
        <v>0</v>
      </c>
      <c r="DI5942">
        <v>0</v>
      </c>
    </row>
    <row r="5943" spans="1:113" x14ac:dyDescent="0.3">
      <c r="A5943" t="str">
        <f t="shared" si="2783"/>
        <v>05/12/2020 14:52:06.848</v>
      </c>
      <c r="C5943" t="str">
        <f t="shared" si="2769"/>
        <v>FFDFD3C0</v>
      </c>
      <c r="D5943" t="s">
        <v>138</v>
      </c>
      <c r="E5943">
        <v>2</v>
      </c>
      <c r="H5943">
        <v>8</v>
      </c>
      <c r="I5943" t="s">
        <v>139</v>
      </c>
      <c r="J5943" t="s">
        <v>136</v>
      </c>
      <c r="K5943">
        <v>0</v>
      </c>
      <c r="L5943">
        <v>3</v>
      </c>
      <c r="M5943">
        <v>0</v>
      </c>
      <c r="N5943">
        <v>2</v>
      </c>
      <c r="O5943">
        <v>1</v>
      </c>
      <c r="P5943">
        <v>0</v>
      </c>
      <c r="Q5943">
        <v>0</v>
      </c>
      <c r="S5943" t="str">
        <f t="shared" si="2784"/>
        <v>14:52:24.680</v>
      </c>
      <c r="T5943" t="str">
        <f t="shared" si="2785"/>
        <v>14:52:24.580</v>
      </c>
      <c r="U5943" t="str">
        <f t="shared" si="2760"/>
        <v>A9808D</v>
      </c>
      <c r="V5943">
        <v>0</v>
      </c>
      <c r="W5943">
        <v>0</v>
      </c>
      <c r="X5943">
        <v>1</v>
      </c>
      <c r="Z5943">
        <v>0</v>
      </c>
      <c r="AA5943">
        <v>9</v>
      </c>
      <c r="AB5943">
        <v>3</v>
      </c>
      <c r="AC5943">
        <v>0</v>
      </c>
      <c r="AD5943">
        <v>10</v>
      </c>
      <c r="AE5943">
        <v>0</v>
      </c>
      <c r="AF5943">
        <v>3</v>
      </c>
      <c r="AG5943">
        <v>2</v>
      </c>
      <c r="AH5943">
        <v>0</v>
      </c>
      <c r="AI5943" t="s">
        <v>1319</v>
      </c>
      <c r="AJ5943">
        <v>28.206282000000002</v>
      </c>
      <c r="AK5943" t="s">
        <v>1320</v>
      </c>
      <c r="AL5943">
        <v>-82.368965000000003</v>
      </c>
      <c r="AM5943">
        <v>100</v>
      </c>
      <c r="AN5943">
        <v>300</v>
      </c>
      <c r="AO5943" t="s">
        <v>118</v>
      </c>
      <c r="AP5943">
        <v>71</v>
      </c>
      <c r="AQ5943">
        <v>52</v>
      </c>
      <c r="AR5943">
        <v>-512</v>
      </c>
      <c r="AZ5943">
        <v>1200</v>
      </c>
      <c r="BA5943">
        <v>1</v>
      </c>
      <c r="BB5943" t="str">
        <f t="shared" si="2770"/>
        <v xml:space="preserve">N711JA  </v>
      </c>
      <c r="BC5943">
        <v>1</v>
      </c>
      <c r="BE5943">
        <v>0</v>
      </c>
      <c r="BF5943">
        <v>0</v>
      </c>
      <c r="BG5943">
        <v>0</v>
      </c>
      <c r="BH5943">
        <v>375</v>
      </c>
      <c r="BI5943">
        <v>1</v>
      </c>
      <c r="BJ5943">
        <v>1</v>
      </c>
      <c r="BK5943">
        <v>0</v>
      </c>
      <c r="BL5943">
        <v>0</v>
      </c>
      <c r="BO5943">
        <v>0</v>
      </c>
      <c r="BP5943">
        <v>0</v>
      </c>
      <c r="BW5943" t="str">
        <f t="shared" si="2786"/>
        <v>14:52:24.684</v>
      </c>
      <c r="CJ5943">
        <v>0</v>
      </c>
      <c r="CK5943">
        <v>2</v>
      </c>
      <c r="CL5943">
        <v>0</v>
      </c>
      <c r="CM5943">
        <v>2</v>
      </c>
      <c r="CN5943">
        <v>0</v>
      </c>
      <c r="CO5943">
        <v>6</v>
      </c>
      <c r="CP5943" t="s">
        <v>119</v>
      </c>
      <c r="CQ5943">
        <v>343</v>
      </c>
      <c r="CR5943">
        <v>1</v>
      </c>
      <c r="CW5943">
        <v>11220708</v>
      </c>
      <c r="CY5943">
        <v>1</v>
      </c>
      <c r="CZ5943">
        <v>0</v>
      </c>
      <c r="DA5943">
        <v>1</v>
      </c>
      <c r="DB5943">
        <v>0</v>
      </c>
      <c r="DC5943">
        <v>0</v>
      </c>
      <c r="DD5943">
        <v>1</v>
      </c>
      <c r="DE5943">
        <v>0</v>
      </c>
      <c r="DF5943">
        <v>0</v>
      </c>
      <c r="DG5943">
        <v>0</v>
      </c>
      <c r="DH5943">
        <v>0</v>
      </c>
      <c r="DI5943">
        <v>0</v>
      </c>
    </row>
    <row r="5944" spans="1:113" x14ac:dyDescent="0.3">
      <c r="A5944" t="str">
        <f t="shared" si="2783"/>
        <v>05/12/2020 14:52:06.848</v>
      </c>
      <c r="C5944" t="str">
        <f t="shared" si="2769"/>
        <v>FFDFD3C0</v>
      </c>
      <c r="D5944" t="s">
        <v>138</v>
      </c>
      <c r="E5944">
        <v>3</v>
      </c>
      <c r="H5944">
        <v>9</v>
      </c>
      <c r="I5944" t="s">
        <v>140</v>
      </c>
      <c r="J5944" t="s">
        <v>136</v>
      </c>
      <c r="K5944">
        <v>0</v>
      </c>
      <c r="L5944">
        <v>3</v>
      </c>
      <c r="M5944">
        <v>0</v>
      </c>
      <c r="N5944">
        <v>2</v>
      </c>
      <c r="O5944">
        <v>1</v>
      </c>
      <c r="P5944">
        <v>0</v>
      </c>
      <c r="Q5944">
        <v>0</v>
      </c>
      <c r="S5944" t="str">
        <f t="shared" si="2784"/>
        <v>14:52:24.680</v>
      </c>
      <c r="T5944" t="str">
        <f t="shared" si="2785"/>
        <v>14:52:24.580</v>
      </c>
      <c r="U5944" t="str">
        <f t="shared" si="2760"/>
        <v>A9808D</v>
      </c>
      <c r="V5944">
        <v>0</v>
      </c>
      <c r="W5944">
        <v>0</v>
      </c>
      <c r="X5944">
        <v>1</v>
      </c>
      <c r="Z5944">
        <v>0</v>
      </c>
      <c r="AA5944">
        <v>9</v>
      </c>
      <c r="AB5944">
        <v>3</v>
      </c>
      <c r="AC5944">
        <v>0</v>
      </c>
      <c r="AD5944">
        <v>10</v>
      </c>
      <c r="AE5944">
        <v>0</v>
      </c>
      <c r="AF5944">
        <v>3</v>
      </c>
      <c r="AG5944">
        <v>2</v>
      </c>
      <c r="AH5944">
        <v>0</v>
      </c>
      <c r="AI5944" t="s">
        <v>1319</v>
      </c>
      <c r="AJ5944">
        <v>28.206282000000002</v>
      </c>
      <c r="AK5944" t="s">
        <v>1320</v>
      </c>
      <c r="AL5944">
        <v>-82.368965000000003</v>
      </c>
      <c r="AM5944">
        <v>100</v>
      </c>
      <c r="AN5944">
        <v>300</v>
      </c>
      <c r="AO5944" t="s">
        <v>118</v>
      </c>
      <c r="AP5944">
        <v>71</v>
      </c>
      <c r="AQ5944">
        <v>52</v>
      </c>
      <c r="AR5944">
        <v>-512</v>
      </c>
      <c r="AZ5944">
        <v>1200</v>
      </c>
      <c r="BA5944">
        <v>1</v>
      </c>
      <c r="BB5944" t="str">
        <f t="shared" si="2770"/>
        <v xml:space="preserve">N711JA  </v>
      </c>
      <c r="BC5944">
        <v>1</v>
      </c>
      <c r="BE5944">
        <v>0</v>
      </c>
      <c r="BF5944">
        <v>0</v>
      </c>
      <c r="BG5944">
        <v>0</v>
      </c>
      <c r="BH5944">
        <v>375</v>
      </c>
      <c r="BI5944">
        <v>1</v>
      </c>
      <c r="BJ5944">
        <v>1</v>
      </c>
      <c r="BK5944">
        <v>0</v>
      </c>
      <c r="BL5944">
        <v>0</v>
      </c>
      <c r="BO5944">
        <v>0</v>
      </c>
      <c r="BP5944">
        <v>0</v>
      </c>
      <c r="BW5944" t="str">
        <f t="shared" si="2786"/>
        <v>14:52:24.684</v>
      </c>
      <c r="CJ5944">
        <v>0</v>
      </c>
      <c r="CK5944">
        <v>2</v>
      </c>
      <c r="CL5944">
        <v>0</v>
      </c>
      <c r="CM5944">
        <v>2</v>
      </c>
      <c r="CN5944">
        <v>0</v>
      </c>
      <c r="CO5944">
        <v>6</v>
      </c>
      <c r="CP5944" t="s">
        <v>119</v>
      </c>
      <c r="CQ5944">
        <v>343</v>
      </c>
      <c r="CR5944">
        <v>1</v>
      </c>
      <c r="CW5944">
        <v>11220708</v>
      </c>
      <c r="CY5944">
        <v>1</v>
      </c>
      <c r="CZ5944">
        <v>0</v>
      </c>
      <c r="DA5944">
        <v>1</v>
      </c>
      <c r="DB5944">
        <v>0</v>
      </c>
      <c r="DC5944">
        <v>0</v>
      </c>
      <c r="DD5944">
        <v>1</v>
      </c>
      <c r="DE5944">
        <v>0</v>
      </c>
      <c r="DF5944">
        <v>0</v>
      </c>
      <c r="DG5944">
        <v>0</v>
      </c>
      <c r="DH5944">
        <v>0</v>
      </c>
      <c r="DI5944">
        <v>0</v>
      </c>
    </row>
    <row r="5945" spans="1:113" x14ac:dyDescent="0.3">
      <c r="A5945" t="str">
        <f t="shared" ref="A5945:A5952" si="2787">"05/12/2020 14:52:07.804"</f>
        <v>05/12/2020 14:52:07.804</v>
      </c>
      <c r="C5945" t="str">
        <f t="shared" si="2769"/>
        <v>FFDFD3C0</v>
      </c>
      <c r="D5945" t="s">
        <v>126</v>
      </c>
      <c r="E5945">
        <v>6</v>
      </c>
      <c r="F5945">
        <v>1006</v>
      </c>
      <c r="G5945" t="s">
        <v>114</v>
      </c>
      <c r="J5945" t="s">
        <v>128</v>
      </c>
      <c r="K5945">
        <v>0</v>
      </c>
      <c r="L5945">
        <v>3</v>
      </c>
      <c r="M5945">
        <v>0</v>
      </c>
      <c r="N5945">
        <v>2</v>
      </c>
      <c r="O5945">
        <v>1</v>
      </c>
      <c r="P5945">
        <v>0</v>
      </c>
      <c r="Q5945">
        <v>0</v>
      </c>
      <c r="S5945" t="str">
        <f t="shared" ref="S5945:T5952" si="2788">"14:52:25.633"</f>
        <v>14:52:25.633</v>
      </c>
      <c r="T5945" t="str">
        <f t="shared" si="2788"/>
        <v>14:52:25.633</v>
      </c>
      <c r="U5945" t="str">
        <f t="shared" si="2760"/>
        <v>A9808D</v>
      </c>
      <c r="V5945">
        <v>0</v>
      </c>
      <c r="W5945">
        <v>0</v>
      </c>
      <c r="X5945">
        <v>1</v>
      </c>
      <c r="Z5945">
        <v>0</v>
      </c>
      <c r="AA5945">
        <v>9</v>
      </c>
      <c r="AB5945">
        <v>3</v>
      </c>
      <c r="AC5945">
        <v>0</v>
      </c>
      <c r="AD5945">
        <v>10</v>
      </c>
      <c r="AE5945">
        <v>0</v>
      </c>
      <c r="AF5945">
        <v>3</v>
      </c>
      <c r="AG5945">
        <v>2</v>
      </c>
      <c r="AH5945">
        <v>0</v>
      </c>
      <c r="AI5945" t="s">
        <v>1321</v>
      </c>
      <c r="AJ5945">
        <v>28.206517999999999</v>
      </c>
      <c r="AK5945" t="s">
        <v>1322</v>
      </c>
      <c r="AL5945">
        <v>-82.368643000000006</v>
      </c>
      <c r="AM5945">
        <v>100</v>
      </c>
      <c r="AN5945">
        <v>300</v>
      </c>
      <c r="AO5945" t="s">
        <v>118</v>
      </c>
      <c r="AP5945">
        <v>67</v>
      </c>
      <c r="AQ5945">
        <v>55</v>
      </c>
      <c r="AR5945">
        <v>-832</v>
      </c>
      <c r="AZ5945">
        <v>1200</v>
      </c>
      <c r="BA5945">
        <v>1</v>
      </c>
      <c r="BB5945" t="str">
        <f t="shared" si="2770"/>
        <v xml:space="preserve">N711JA  </v>
      </c>
      <c r="BC5945">
        <v>1</v>
      </c>
      <c r="BE5945">
        <v>0</v>
      </c>
      <c r="BF5945">
        <v>0</v>
      </c>
      <c r="BG5945">
        <v>0</v>
      </c>
      <c r="BH5945">
        <v>375</v>
      </c>
      <c r="BI5945">
        <v>1</v>
      </c>
      <c r="BJ5945">
        <v>1</v>
      </c>
      <c r="BK5945">
        <v>0</v>
      </c>
      <c r="BL5945">
        <v>0</v>
      </c>
      <c r="BO5945">
        <v>0</v>
      </c>
      <c r="BP5945">
        <v>0</v>
      </c>
      <c r="BW5945" t="str">
        <f t="shared" ref="BW5945:BW5952" si="2789">"14:52:25.637"</f>
        <v>14:52:25.637</v>
      </c>
      <c r="CJ5945">
        <v>0</v>
      </c>
      <c r="CK5945">
        <v>2</v>
      </c>
      <c r="CL5945">
        <v>0</v>
      </c>
      <c r="CM5945">
        <v>2</v>
      </c>
      <c r="CN5945">
        <v>0</v>
      </c>
      <c r="CO5945">
        <v>4</v>
      </c>
      <c r="CP5945" t="s">
        <v>119</v>
      </c>
      <c r="CQ5945">
        <v>358</v>
      </c>
      <c r="CR5945">
        <v>0</v>
      </c>
      <c r="CW5945">
        <v>5346833</v>
      </c>
      <c r="CY5945">
        <v>1</v>
      </c>
      <c r="CZ5945">
        <v>0</v>
      </c>
      <c r="DA5945">
        <v>0</v>
      </c>
      <c r="DB5945">
        <v>0</v>
      </c>
      <c r="DC5945">
        <v>0</v>
      </c>
      <c r="DD5945">
        <v>1</v>
      </c>
      <c r="DE5945">
        <v>0</v>
      </c>
      <c r="DF5945">
        <v>0</v>
      </c>
      <c r="DG5945">
        <v>0</v>
      </c>
      <c r="DH5945">
        <v>0</v>
      </c>
      <c r="DI5945">
        <v>0</v>
      </c>
    </row>
    <row r="5946" spans="1:113" x14ac:dyDescent="0.3">
      <c r="A5946" t="str">
        <f t="shared" si="2787"/>
        <v>05/12/2020 14:52:07.804</v>
      </c>
      <c r="C5946" t="str">
        <f t="shared" si="2769"/>
        <v>FFDFD3C0</v>
      </c>
      <c r="D5946" t="s">
        <v>113</v>
      </c>
      <c r="E5946">
        <v>3</v>
      </c>
      <c r="H5946">
        <v>164</v>
      </c>
      <c r="I5946" t="s">
        <v>114</v>
      </c>
      <c r="J5946" t="s">
        <v>115</v>
      </c>
      <c r="K5946">
        <v>0</v>
      </c>
      <c r="L5946">
        <v>3</v>
      </c>
      <c r="M5946">
        <v>0</v>
      </c>
      <c r="N5946">
        <v>2</v>
      </c>
      <c r="O5946">
        <v>1</v>
      </c>
      <c r="P5946">
        <v>0</v>
      </c>
      <c r="Q5946">
        <v>0</v>
      </c>
      <c r="S5946" t="str">
        <f t="shared" si="2788"/>
        <v>14:52:25.633</v>
      </c>
      <c r="T5946" t="str">
        <f t="shared" si="2788"/>
        <v>14:52:25.633</v>
      </c>
      <c r="U5946" t="str">
        <f t="shared" si="2760"/>
        <v>A9808D</v>
      </c>
      <c r="V5946">
        <v>0</v>
      </c>
      <c r="W5946">
        <v>0</v>
      </c>
      <c r="X5946">
        <v>1</v>
      </c>
      <c r="Z5946">
        <v>0</v>
      </c>
      <c r="AA5946">
        <v>9</v>
      </c>
      <c r="AB5946">
        <v>3</v>
      </c>
      <c r="AC5946">
        <v>0</v>
      </c>
      <c r="AD5946">
        <v>10</v>
      </c>
      <c r="AE5946">
        <v>0</v>
      </c>
      <c r="AF5946">
        <v>3</v>
      </c>
      <c r="AG5946">
        <v>2</v>
      </c>
      <c r="AH5946">
        <v>0</v>
      </c>
      <c r="AI5946" t="s">
        <v>1321</v>
      </c>
      <c r="AJ5946">
        <v>28.206517999999999</v>
      </c>
      <c r="AK5946" t="s">
        <v>1322</v>
      </c>
      <c r="AL5946">
        <v>-82.368643000000006</v>
      </c>
      <c r="AM5946">
        <v>100</v>
      </c>
      <c r="AN5946">
        <v>300</v>
      </c>
      <c r="AO5946" t="s">
        <v>118</v>
      </c>
      <c r="AP5946">
        <v>67</v>
      </c>
      <c r="AQ5946">
        <v>55</v>
      </c>
      <c r="AR5946">
        <v>-832</v>
      </c>
      <c r="AZ5946">
        <v>1200</v>
      </c>
      <c r="BA5946">
        <v>1</v>
      </c>
      <c r="BB5946" t="str">
        <f t="shared" si="2770"/>
        <v xml:space="preserve">N711JA  </v>
      </c>
      <c r="BC5946">
        <v>1</v>
      </c>
      <c r="BE5946">
        <v>0</v>
      </c>
      <c r="BF5946">
        <v>0</v>
      </c>
      <c r="BG5946">
        <v>0</v>
      </c>
      <c r="BH5946">
        <v>375</v>
      </c>
      <c r="BI5946">
        <v>1</v>
      </c>
      <c r="BJ5946">
        <v>1</v>
      </c>
      <c r="BK5946">
        <v>0</v>
      </c>
      <c r="BL5946">
        <v>0</v>
      </c>
      <c r="BO5946">
        <v>0</v>
      </c>
      <c r="BP5946">
        <v>0</v>
      </c>
      <c r="BW5946" t="str">
        <f t="shared" si="2789"/>
        <v>14:52:25.637</v>
      </c>
      <c r="CJ5946">
        <v>0</v>
      </c>
      <c r="CK5946">
        <v>2</v>
      </c>
      <c r="CL5946">
        <v>0</v>
      </c>
      <c r="CM5946">
        <v>2</v>
      </c>
      <c r="CN5946">
        <v>0</v>
      </c>
      <c r="CO5946">
        <v>3</v>
      </c>
      <c r="CP5946" t="s">
        <v>119</v>
      </c>
      <c r="CQ5946">
        <v>8</v>
      </c>
      <c r="CR5946">
        <v>3</v>
      </c>
      <c r="CW5946">
        <v>9344637</v>
      </c>
      <c r="CY5946">
        <v>1</v>
      </c>
      <c r="CZ5946">
        <v>0</v>
      </c>
      <c r="DA5946">
        <v>1</v>
      </c>
      <c r="DB5946">
        <v>0</v>
      </c>
      <c r="DC5946">
        <v>0</v>
      </c>
      <c r="DD5946">
        <v>1</v>
      </c>
      <c r="DE5946">
        <v>0</v>
      </c>
      <c r="DF5946">
        <v>0</v>
      </c>
      <c r="DG5946">
        <v>0</v>
      </c>
      <c r="DH5946">
        <v>0</v>
      </c>
      <c r="DI5946">
        <v>0</v>
      </c>
    </row>
    <row r="5947" spans="1:113" x14ac:dyDescent="0.3">
      <c r="A5947" t="str">
        <f t="shared" si="2787"/>
        <v>05/12/2020 14:52:07.804</v>
      </c>
      <c r="C5947" t="str">
        <f t="shared" si="2769"/>
        <v>FFDFD3C0</v>
      </c>
      <c r="D5947" t="s">
        <v>131</v>
      </c>
      <c r="E5947">
        <v>10</v>
      </c>
      <c r="F5947">
        <v>2010</v>
      </c>
      <c r="G5947" t="s">
        <v>132</v>
      </c>
      <c r="J5947" t="s">
        <v>133</v>
      </c>
      <c r="K5947">
        <v>0</v>
      </c>
      <c r="L5947">
        <v>3</v>
      </c>
      <c r="M5947">
        <v>0</v>
      </c>
      <c r="N5947">
        <v>2</v>
      </c>
      <c r="O5947">
        <v>1</v>
      </c>
      <c r="P5947">
        <v>0</v>
      </c>
      <c r="Q5947">
        <v>0</v>
      </c>
      <c r="S5947" t="str">
        <f t="shared" si="2788"/>
        <v>14:52:25.633</v>
      </c>
      <c r="T5947" t="str">
        <f t="shared" si="2788"/>
        <v>14:52:25.633</v>
      </c>
      <c r="U5947" t="str">
        <f t="shared" si="2760"/>
        <v>A9808D</v>
      </c>
      <c r="V5947">
        <v>0</v>
      </c>
      <c r="W5947">
        <v>0</v>
      </c>
      <c r="X5947">
        <v>1</v>
      </c>
      <c r="Z5947">
        <v>0</v>
      </c>
      <c r="AA5947">
        <v>9</v>
      </c>
      <c r="AB5947">
        <v>3</v>
      </c>
      <c r="AC5947">
        <v>0</v>
      </c>
      <c r="AD5947">
        <v>10</v>
      </c>
      <c r="AE5947">
        <v>0</v>
      </c>
      <c r="AF5947">
        <v>3</v>
      </c>
      <c r="AG5947">
        <v>2</v>
      </c>
      <c r="AH5947">
        <v>0</v>
      </c>
      <c r="AI5947" t="s">
        <v>1321</v>
      </c>
      <c r="AJ5947">
        <v>28.206517999999999</v>
      </c>
      <c r="AK5947" t="s">
        <v>1322</v>
      </c>
      <c r="AL5947">
        <v>-82.368643000000006</v>
      </c>
      <c r="AM5947">
        <v>100</v>
      </c>
      <c r="AN5947">
        <v>300</v>
      </c>
      <c r="AO5947" t="s">
        <v>118</v>
      </c>
      <c r="AP5947">
        <v>67</v>
      </c>
      <c r="AQ5947">
        <v>55</v>
      </c>
      <c r="AR5947">
        <v>-832</v>
      </c>
      <c r="AZ5947">
        <v>1200</v>
      </c>
      <c r="BA5947">
        <v>1</v>
      </c>
      <c r="BB5947" t="str">
        <f t="shared" si="2770"/>
        <v xml:space="preserve">N711JA  </v>
      </c>
      <c r="BC5947">
        <v>1</v>
      </c>
      <c r="BE5947">
        <v>0</v>
      </c>
      <c r="BF5947">
        <v>0</v>
      </c>
      <c r="BG5947">
        <v>0</v>
      </c>
      <c r="BH5947">
        <v>375</v>
      </c>
      <c r="BI5947">
        <v>1</v>
      </c>
      <c r="BJ5947">
        <v>1</v>
      </c>
      <c r="BK5947">
        <v>0</v>
      </c>
      <c r="BL5947">
        <v>0</v>
      </c>
      <c r="BO5947">
        <v>0</v>
      </c>
      <c r="BP5947">
        <v>0</v>
      </c>
      <c r="BW5947" t="str">
        <f t="shared" si="2789"/>
        <v>14:52:25.637</v>
      </c>
      <c r="CJ5947">
        <v>0</v>
      </c>
      <c r="CK5947">
        <v>2</v>
      </c>
      <c r="CL5947">
        <v>0</v>
      </c>
      <c r="CM5947">
        <v>2</v>
      </c>
      <c r="CN5947">
        <v>0</v>
      </c>
      <c r="CO5947">
        <v>4</v>
      </c>
      <c r="CP5947" t="s">
        <v>119</v>
      </c>
      <c r="CQ5947">
        <v>358</v>
      </c>
      <c r="CR5947">
        <v>0</v>
      </c>
      <c r="CW5947">
        <v>5346833</v>
      </c>
      <c r="CY5947">
        <v>1</v>
      </c>
      <c r="CZ5947">
        <v>0</v>
      </c>
      <c r="DA5947">
        <v>1</v>
      </c>
      <c r="DB5947">
        <v>0</v>
      </c>
      <c r="DC5947">
        <v>0</v>
      </c>
      <c r="DD5947">
        <v>1</v>
      </c>
      <c r="DE5947">
        <v>0</v>
      </c>
      <c r="DF5947">
        <v>0</v>
      </c>
      <c r="DG5947">
        <v>0</v>
      </c>
      <c r="DH5947">
        <v>0</v>
      </c>
      <c r="DI5947">
        <v>0</v>
      </c>
    </row>
    <row r="5948" spans="1:113" x14ac:dyDescent="0.3">
      <c r="A5948" t="str">
        <f t="shared" si="2787"/>
        <v>05/12/2020 14:52:07.804</v>
      </c>
      <c r="C5948" t="str">
        <f t="shared" si="2769"/>
        <v>FFDFD3C0</v>
      </c>
      <c r="D5948" t="s">
        <v>131</v>
      </c>
      <c r="E5948">
        <v>12</v>
      </c>
      <c r="F5948">
        <v>2012</v>
      </c>
      <c r="G5948" t="s">
        <v>137</v>
      </c>
      <c r="J5948" t="s">
        <v>133</v>
      </c>
      <c r="K5948">
        <v>0</v>
      </c>
      <c r="L5948">
        <v>3</v>
      </c>
      <c r="M5948">
        <v>0</v>
      </c>
      <c r="N5948">
        <v>2</v>
      </c>
      <c r="O5948">
        <v>1</v>
      </c>
      <c r="P5948">
        <v>0</v>
      </c>
      <c r="Q5948">
        <v>0</v>
      </c>
      <c r="S5948" t="str">
        <f t="shared" si="2788"/>
        <v>14:52:25.633</v>
      </c>
      <c r="T5948" t="str">
        <f t="shared" si="2788"/>
        <v>14:52:25.633</v>
      </c>
      <c r="U5948" t="str">
        <f t="shared" si="2760"/>
        <v>A9808D</v>
      </c>
      <c r="V5948">
        <v>0</v>
      </c>
      <c r="W5948">
        <v>0</v>
      </c>
      <c r="X5948">
        <v>1</v>
      </c>
      <c r="Z5948">
        <v>0</v>
      </c>
      <c r="AA5948">
        <v>9</v>
      </c>
      <c r="AB5948">
        <v>3</v>
      </c>
      <c r="AC5948">
        <v>0</v>
      </c>
      <c r="AD5948">
        <v>10</v>
      </c>
      <c r="AE5948">
        <v>0</v>
      </c>
      <c r="AF5948">
        <v>3</v>
      </c>
      <c r="AG5948">
        <v>2</v>
      </c>
      <c r="AH5948">
        <v>0</v>
      </c>
      <c r="AI5948" t="s">
        <v>1321</v>
      </c>
      <c r="AJ5948">
        <v>28.206517999999999</v>
      </c>
      <c r="AK5948" t="s">
        <v>1322</v>
      </c>
      <c r="AL5948">
        <v>-82.368643000000006</v>
      </c>
      <c r="AM5948">
        <v>100</v>
      </c>
      <c r="AN5948">
        <v>300</v>
      </c>
      <c r="AO5948" t="s">
        <v>118</v>
      </c>
      <c r="AP5948">
        <v>67</v>
      </c>
      <c r="AQ5948">
        <v>55</v>
      </c>
      <c r="AR5948">
        <v>-832</v>
      </c>
      <c r="AZ5948">
        <v>1200</v>
      </c>
      <c r="BA5948">
        <v>1</v>
      </c>
      <c r="BB5948" t="str">
        <f t="shared" si="2770"/>
        <v xml:space="preserve">N711JA  </v>
      </c>
      <c r="BC5948">
        <v>1</v>
      </c>
      <c r="BE5948">
        <v>0</v>
      </c>
      <c r="BF5948">
        <v>0</v>
      </c>
      <c r="BG5948">
        <v>0</v>
      </c>
      <c r="BH5948">
        <v>375</v>
      </c>
      <c r="BI5948">
        <v>1</v>
      </c>
      <c r="BJ5948">
        <v>1</v>
      </c>
      <c r="BK5948">
        <v>0</v>
      </c>
      <c r="BL5948">
        <v>0</v>
      </c>
      <c r="BO5948">
        <v>0</v>
      </c>
      <c r="BP5948">
        <v>0</v>
      </c>
      <c r="BW5948" t="str">
        <f t="shared" si="2789"/>
        <v>14:52:25.637</v>
      </c>
      <c r="CJ5948">
        <v>0</v>
      </c>
      <c r="CK5948">
        <v>2</v>
      </c>
      <c r="CL5948">
        <v>0</v>
      </c>
      <c r="CM5948">
        <v>2</v>
      </c>
      <c r="CN5948">
        <v>0</v>
      </c>
      <c r="CO5948">
        <v>3</v>
      </c>
      <c r="CP5948" t="s">
        <v>119</v>
      </c>
      <c r="CQ5948">
        <v>8</v>
      </c>
      <c r="CR5948">
        <v>3</v>
      </c>
      <c r="CW5948">
        <v>9344637</v>
      </c>
      <c r="CY5948">
        <v>1</v>
      </c>
      <c r="CZ5948">
        <v>0</v>
      </c>
      <c r="DA5948">
        <v>1</v>
      </c>
      <c r="DB5948">
        <v>0</v>
      </c>
      <c r="DC5948">
        <v>0</v>
      </c>
      <c r="DD5948">
        <v>1</v>
      </c>
      <c r="DE5948">
        <v>0</v>
      </c>
      <c r="DF5948">
        <v>0</v>
      </c>
      <c r="DG5948">
        <v>0</v>
      </c>
      <c r="DH5948">
        <v>0</v>
      </c>
      <c r="DI5948">
        <v>0</v>
      </c>
    </row>
    <row r="5949" spans="1:113" x14ac:dyDescent="0.3">
      <c r="A5949" t="str">
        <f t="shared" si="2787"/>
        <v>05/12/2020 14:52:07.804</v>
      </c>
      <c r="C5949" t="str">
        <f t="shared" si="2769"/>
        <v>FFDFD3C0</v>
      </c>
      <c r="D5949" t="s">
        <v>126</v>
      </c>
      <c r="E5949">
        <v>7</v>
      </c>
      <c r="F5949">
        <v>1007</v>
      </c>
      <c r="G5949" t="s">
        <v>127</v>
      </c>
      <c r="J5949" t="s">
        <v>128</v>
      </c>
      <c r="K5949">
        <v>0</v>
      </c>
      <c r="L5949">
        <v>3</v>
      </c>
      <c r="M5949">
        <v>0</v>
      </c>
      <c r="N5949">
        <v>2</v>
      </c>
      <c r="O5949">
        <v>1</v>
      </c>
      <c r="P5949">
        <v>0</v>
      </c>
      <c r="Q5949">
        <v>0</v>
      </c>
      <c r="S5949" t="str">
        <f t="shared" si="2788"/>
        <v>14:52:25.633</v>
      </c>
      <c r="T5949" t="str">
        <f t="shared" si="2788"/>
        <v>14:52:25.633</v>
      </c>
      <c r="U5949" t="str">
        <f t="shared" si="2760"/>
        <v>A9808D</v>
      </c>
      <c r="V5949">
        <v>0</v>
      </c>
      <c r="W5949">
        <v>0</v>
      </c>
      <c r="X5949">
        <v>1</v>
      </c>
      <c r="Z5949">
        <v>0</v>
      </c>
      <c r="AA5949">
        <v>9</v>
      </c>
      <c r="AB5949">
        <v>3</v>
      </c>
      <c r="AC5949">
        <v>0</v>
      </c>
      <c r="AD5949">
        <v>10</v>
      </c>
      <c r="AE5949">
        <v>0</v>
      </c>
      <c r="AF5949">
        <v>3</v>
      </c>
      <c r="AG5949">
        <v>2</v>
      </c>
      <c r="AH5949">
        <v>0</v>
      </c>
      <c r="AI5949" t="s">
        <v>1321</v>
      </c>
      <c r="AJ5949">
        <v>28.206517999999999</v>
      </c>
      <c r="AK5949" t="s">
        <v>1322</v>
      </c>
      <c r="AL5949">
        <v>-82.368643000000006</v>
      </c>
      <c r="AM5949">
        <v>100</v>
      </c>
      <c r="AN5949">
        <v>300</v>
      </c>
      <c r="AO5949" t="s">
        <v>118</v>
      </c>
      <c r="AP5949">
        <v>67</v>
      </c>
      <c r="AQ5949">
        <v>55</v>
      </c>
      <c r="AR5949">
        <v>-832</v>
      </c>
      <c r="AZ5949">
        <v>1200</v>
      </c>
      <c r="BA5949">
        <v>1</v>
      </c>
      <c r="BB5949" t="str">
        <f t="shared" si="2770"/>
        <v xml:space="preserve">N711JA  </v>
      </c>
      <c r="BC5949">
        <v>1</v>
      </c>
      <c r="BE5949">
        <v>0</v>
      </c>
      <c r="BF5949">
        <v>0</v>
      </c>
      <c r="BG5949">
        <v>0</v>
      </c>
      <c r="BH5949">
        <v>375</v>
      </c>
      <c r="BI5949">
        <v>1</v>
      </c>
      <c r="BJ5949">
        <v>1</v>
      </c>
      <c r="BK5949">
        <v>0</v>
      </c>
      <c r="BL5949">
        <v>0</v>
      </c>
      <c r="BO5949">
        <v>0</v>
      </c>
      <c r="BP5949">
        <v>0</v>
      </c>
      <c r="BW5949" t="str">
        <f t="shared" si="2789"/>
        <v>14:52:25.637</v>
      </c>
      <c r="CJ5949">
        <v>0</v>
      </c>
      <c r="CK5949">
        <v>2</v>
      </c>
      <c r="CL5949">
        <v>0</v>
      </c>
      <c r="CM5949">
        <v>2</v>
      </c>
      <c r="CN5949">
        <v>0</v>
      </c>
      <c r="CO5949">
        <v>4</v>
      </c>
      <c r="CP5949" t="s">
        <v>119</v>
      </c>
      <c r="CQ5949">
        <v>358</v>
      </c>
      <c r="CR5949">
        <v>0</v>
      </c>
      <c r="CW5949">
        <v>5346833</v>
      </c>
      <c r="CY5949">
        <v>1</v>
      </c>
      <c r="CZ5949">
        <v>0</v>
      </c>
      <c r="DA5949">
        <v>1</v>
      </c>
      <c r="DB5949">
        <v>0</v>
      </c>
      <c r="DC5949">
        <v>0</v>
      </c>
      <c r="DD5949">
        <v>1</v>
      </c>
      <c r="DE5949">
        <v>0</v>
      </c>
      <c r="DF5949">
        <v>0</v>
      </c>
      <c r="DG5949">
        <v>0</v>
      </c>
      <c r="DH5949">
        <v>0</v>
      </c>
      <c r="DI5949">
        <v>0</v>
      </c>
    </row>
    <row r="5950" spans="1:113" x14ac:dyDescent="0.3">
      <c r="A5950" t="str">
        <f t="shared" si="2787"/>
        <v>05/12/2020 14:52:07.804</v>
      </c>
      <c r="C5950" t="str">
        <f t="shared" si="2769"/>
        <v>FFDFD3C0</v>
      </c>
      <c r="D5950" t="s">
        <v>134</v>
      </c>
      <c r="E5950">
        <v>12</v>
      </c>
      <c r="H5950">
        <v>64</v>
      </c>
      <c r="I5950" t="s">
        <v>135</v>
      </c>
      <c r="J5950" t="s">
        <v>136</v>
      </c>
      <c r="K5950">
        <v>0</v>
      </c>
      <c r="L5950">
        <v>3</v>
      </c>
      <c r="M5950">
        <v>0</v>
      </c>
      <c r="N5950">
        <v>2</v>
      </c>
      <c r="O5950">
        <v>1</v>
      </c>
      <c r="P5950">
        <v>0</v>
      </c>
      <c r="Q5950">
        <v>0</v>
      </c>
      <c r="S5950" t="str">
        <f t="shared" si="2788"/>
        <v>14:52:25.633</v>
      </c>
      <c r="T5950" t="str">
        <f t="shared" si="2788"/>
        <v>14:52:25.633</v>
      </c>
      <c r="U5950" t="str">
        <f t="shared" si="2760"/>
        <v>A9808D</v>
      </c>
      <c r="V5950">
        <v>0</v>
      </c>
      <c r="W5950">
        <v>0</v>
      </c>
      <c r="X5950">
        <v>1</v>
      </c>
      <c r="Z5950">
        <v>0</v>
      </c>
      <c r="AA5950">
        <v>9</v>
      </c>
      <c r="AB5950">
        <v>3</v>
      </c>
      <c r="AC5950">
        <v>0</v>
      </c>
      <c r="AD5950">
        <v>10</v>
      </c>
      <c r="AE5950">
        <v>0</v>
      </c>
      <c r="AF5950">
        <v>3</v>
      </c>
      <c r="AG5950">
        <v>2</v>
      </c>
      <c r="AH5950">
        <v>0</v>
      </c>
      <c r="AI5950" t="s">
        <v>1321</v>
      </c>
      <c r="AJ5950">
        <v>28.206517999999999</v>
      </c>
      <c r="AK5950" t="s">
        <v>1322</v>
      </c>
      <c r="AL5950">
        <v>-82.368643000000006</v>
      </c>
      <c r="AM5950">
        <v>100</v>
      </c>
      <c r="AN5950">
        <v>300</v>
      </c>
      <c r="AO5950" t="s">
        <v>118</v>
      </c>
      <c r="AP5950">
        <v>67</v>
      </c>
      <c r="AQ5950">
        <v>55</v>
      </c>
      <c r="AR5950">
        <v>-832</v>
      </c>
      <c r="AZ5950">
        <v>1200</v>
      </c>
      <c r="BA5950">
        <v>1</v>
      </c>
      <c r="BB5950" t="str">
        <f t="shared" si="2770"/>
        <v xml:space="preserve">N711JA  </v>
      </c>
      <c r="BC5950">
        <v>1</v>
      </c>
      <c r="BE5950">
        <v>0</v>
      </c>
      <c r="BF5950">
        <v>0</v>
      </c>
      <c r="BG5950">
        <v>0</v>
      </c>
      <c r="BH5950">
        <v>375</v>
      </c>
      <c r="BI5950">
        <v>1</v>
      </c>
      <c r="BJ5950">
        <v>1</v>
      </c>
      <c r="BK5950">
        <v>0</v>
      </c>
      <c r="BL5950">
        <v>0</v>
      </c>
      <c r="BO5950">
        <v>0</v>
      </c>
      <c r="BP5950">
        <v>0</v>
      </c>
      <c r="BW5950" t="str">
        <f t="shared" si="2789"/>
        <v>14:52:25.637</v>
      </c>
      <c r="CJ5950">
        <v>0</v>
      </c>
      <c r="CK5950">
        <v>2</v>
      </c>
      <c r="CL5950">
        <v>0</v>
      </c>
      <c r="CM5950">
        <v>2</v>
      </c>
      <c r="CN5950">
        <v>0</v>
      </c>
      <c r="CO5950">
        <v>4</v>
      </c>
      <c r="CP5950" t="s">
        <v>119</v>
      </c>
      <c r="CQ5950">
        <v>358</v>
      </c>
      <c r="CR5950">
        <v>0</v>
      </c>
      <c r="CW5950">
        <v>5346833</v>
      </c>
      <c r="CY5950">
        <v>1</v>
      </c>
      <c r="CZ5950">
        <v>0</v>
      </c>
      <c r="DA5950">
        <v>1</v>
      </c>
      <c r="DB5950">
        <v>0</v>
      </c>
      <c r="DC5950">
        <v>0</v>
      </c>
      <c r="DD5950">
        <v>1</v>
      </c>
      <c r="DE5950">
        <v>0</v>
      </c>
      <c r="DF5950">
        <v>0</v>
      </c>
      <c r="DG5950">
        <v>0</v>
      </c>
      <c r="DH5950">
        <v>0</v>
      </c>
      <c r="DI5950">
        <v>0</v>
      </c>
    </row>
    <row r="5951" spans="1:113" x14ac:dyDescent="0.3">
      <c r="A5951" t="str">
        <f t="shared" si="2787"/>
        <v>05/12/2020 14:52:07.804</v>
      </c>
      <c r="C5951" t="str">
        <f t="shared" si="2769"/>
        <v>FFDFD3C0</v>
      </c>
      <c r="D5951" t="s">
        <v>138</v>
      </c>
      <c r="E5951">
        <v>2</v>
      </c>
      <c r="H5951">
        <v>8</v>
      </c>
      <c r="I5951" t="s">
        <v>139</v>
      </c>
      <c r="J5951" t="s">
        <v>136</v>
      </c>
      <c r="K5951">
        <v>0</v>
      </c>
      <c r="L5951">
        <v>3</v>
      </c>
      <c r="M5951">
        <v>0</v>
      </c>
      <c r="N5951">
        <v>2</v>
      </c>
      <c r="O5951">
        <v>1</v>
      </c>
      <c r="P5951">
        <v>0</v>
      </c>
      <c r="Q5951">
        <v>0</v>
      </c>
      <c r="S5951" t="str">
        <f t="shared" si="2788"/>
        <v>14:52:25.633</v>
      </c>
      <c r="T5951" t="str">
        <f t="shared" si="2788"/>
        <v>14:52:25.633</v>
      </c>
      <c r="U5951" t="str">
        <f t="shared" si="2760"/>
        <v>A9808D</v>
      </c>
      <c r="V5951">
        <v>0</v>
      </c>
      <c r="W5951">
        <v>0</v>
      </c>
      <c r="X5951">
        <v>1</v>
      </c>
      <c r="Z5951">
        <v>0</v>
      </c>
      <c r="AA5951">
        <v>9</v>
      </c>
      <c r="AB5951">
        <v>3</v>
      </c>
      <c r="AC5951">
        <v>0</v>
      </c>
      <c r="AD5951">
        <v>10</v>
      </c>
      <c r="AE5951">
        <v>0</v>
      </c>
      <c r="AF5951">
        <v>3</v>
      </c>
      <c r="AG5951">
        <v>2</v>
      </c>
      <c r="AH5951">
        <v>0</v>
      </c>
      <c r="AI5951" t="s">
        <v>1321</v>
      </c>
      <c r="AJ5951">
        <v>28.206517999999999</v>
      </c>
      <c r="AK5951" t="s">
        <v>1322</v>
      </c>
      <c r="AL5951">
        <v>-82.368643000000006</v>
      </c>
      <c r="AM5951">
        <v>100</v>
      </c>
      <c r="AN5951">
        <v>300</v>
      </c>
      <c r="AO5951" t="s">
        <v>118</v>
      </c>
      <c r="AP5951">
        <v>67</v>
      </c>
      <c r="AQ5951">
        <v>55</v>
      </c>
      <c r="AR5951">
        <v>-832</v>
      </c>
      <c r="AZ5951">
        <v>1200</v>
      </c>
      <c r="BA5951">
        <v>1</v>
      </c>
      <c r="BB5951" t="str">
        <f t="shared" si="2770"/>
        <v xml:space="preserve">N711JA  </v>
      </c>
      <c r="BC5951">
        <v>1</v>
      </c>
      <c r="BE5951">
        <v>0</v>
      </c>
      <c r="BF5951">
        <v>0</v>
      </c>
      <c r="BG5951">
        <v>0</v>
      </c>
      <c r="BH5951">
        <v>375</v>
      </c>
      <c r="BI5951">
        <v>1</v>
      </c>
      <c r="BJ5951">
        <v>1</v>
      </c>
      <c r="BK5951">
        <v>0</v>
      </c>
      <c r="BL5951">
        <v>0</v>
      </c>
      <c r="BO5951">
        <v>0</v>
      </c>
      <c r="BP5951">
        <v>0</v>
      </c>
      <c r="BW5951" t="str">
        <f t="shared" si="2789"/>
        <v>14:52:25.637</v>
      </c>
      <c r="CJ5951">
        <v>0</v>
      </c>
      <c r="CK5951">
        <v>2</v>
      </c>
      <c r="CL5951">
        <v>0</v>
      </c>
      <c r="CM5951">
        <v>2</v>
      </c>
      <c r="CN5951">
        <v>0</v>
      </c>
      <c r="CO5951">
        <v>3</v>
      </c>
      <c r="CP5951" t="s">
        <v>119</v>
      </c>
      <c r="CQ5951">
        <v>8</v>
      </c>
      <c r="CR5951">
        <v>3</v>
      </c>
      <c r="CW5951">
        <v>9344637</v>
      </c>
      <c r="CY5951">
        <v>1</v>
      </c>
      <c r="CZ5951">
        <v>0</v>
      </c>
      <c r="DA5951">
        <v>1</v>
      </c>
      <c r="DB5951">
        <v>0</v>
      </c>
      <c r="DC5951">
        <v>0</v>
      </c>
      <c r="DD5951">
        <v>1</v>
      </c>
      <c r="DE5951">
        <v>0</v>
      </c>
      <c r="DF5951">
        <v>0</v>
      </c>
      <c r="DG5951">
        <v>0</v>
      </c>
      <c r="DH5951">
        <v>0</v>
      </c>
      <c r="DI5951">
        <v>0</v>
      </c>
    </row>
    <row r="5952" spans="1:113" x14ac:dyDescent="0.3">
      <c r="A5952" t="str">
        <f t="shared" si="2787"/>
        <v>05/12/2020 14:52:07.804</v>
      </c>
      <c r="C5952" t="str">
        <f t="shared" si="2769"/>
        <v>FFDFD3C0</v>
      </c>
      <c r="D5952" t="s">
        <v>138</v>
      </c>
      <c r="E5952">
        <v>3</v>
      </c>
      <c r="H5952">
        <v>9</v>
      </c>
      <c r="I5952" t="s">
        <v>140</v>
      </c>
      <c r="J5952" t="s">
        <v>136</v>
      </c>
      <c r="K5952">
        <v>0</v>
      </c>
      <c r="L5952">
        <v>3</v>
      </c>
      <c r="M5952">
        <v>0</v>
      </c>
      <c r="N5952">
        <v>2</v>
      </c>
      <c r="O5952">
        <v>1</v>
      </c>
      <c r="P5952">
        <v>0</v>
      </c>
      <c r="Q5952">
        <v>0</v>
      </c>
      <c r="S5952" t="str">
        <f t="shared" si="2788"/>
        <v>14:52:25.633</v>
      </c>
      <c r="T5952" t="str">
        <f t="shared" si="2788"/>
        <v>14:52:25.633</v>
      </c>
      <c r="U5952" t="str">
        <f t="shared" si="2760"/>
        <v>A9808D</v>
      </c>
      <c r="V5952">
        <v>0</v>
      </c>
      <c r="W5952">
        <v>0</v>
      </c>
      <c r="X5952">
        <v>1</v>
      </c>
      <c r="Z5952">
        <v>0</v>
      </c>
      <c r="AA5952">
        <v>9</v>
      </c>
      <c r="AB5952">
        <v>3</v>
      </c>
      <c r="AC5952">
        <v>0</v>
      </c>
      <c r="AD5952">
        <v>10</v>
      </c>
      <c r="AE5952">
        <v>0</v>
      </c>
      <c r="AF5952">
        <v>3</v>
      </c>
      <c r="AG5952">
        <v>2</v>
      </c>
      <c r="AH5952">
        <v>0</v>
      </c>
      <c r="AI5952" t="s">
        <v>1321</v>
      </c>
      <c r="AJ5952">
        <v>28.206517999999999</v>
      </c>
      <c r="AK5952" t="s">
        <v>1322</v>
      </c>
      <c r="AL5952">
        <v>-82.368643000000006</v>
      </c>
      <c r="AM5952">
        <v>100</v>
      </c>
      <c r="AN5952">
        <v>300</v>
      </c>
      <c r="AO5952" t="s">
        <v>118</v>
      </c>
      <c r="AP5952">
        <v>67</v>
      </c>
      <c r="AQ5952">
        <v>55</v>
      </c>
      <c r="AR5952">
        <v>-832</v>
      </c>
      <c r="AZ5952">
        <v>1200</v>
      </c>
      <c r="BA5952">
        <v>1</v>
      </c>
      <c r="BB5952" t="str">
        <f t="shared" si="2770"/>
        <v xml:space="preserve">N711JA  </v>
      </c>
      <c r="BC5952">
        <v>1</v>
      </c>
      <c r="BE5952">
        <v>0</v>
      </c>
      <c r="BF5952">
        <v>0</v>
      </c>
      <c r="BG5952">
        <v>0</v>
      </c>
      <c r="BH5952">
        <v>375</v>
      </c>
      <c r="BI5952">
        <v>1</v>
      </c>
      <c r="BJ5952">
        <v>1</v>
      </c>
      <c r="BK5952">
        <v>0</v>
      </c>
      <c r="BL5952">
        <v>0</v>
      </c>
      <c r="BO5952">
        <v>0</v>
      </c>
      <c r="BP5952">
        <v>0</v>
      </c>
      <c r="BW5952" t="str">
        <f t="shared" si="2789"/>
        <v>14:52:25.637</v>
      </c>
      <c r="CJ5952">
        <v>0</v>
      </c>
      <c r="CK5952">
        <v>2</v>
      </c>
      <c r="CL5952">
        <v>0</v>
      </c>
      <c r="CM5952">
        <v>2</v>
      </c>
      <c r="CN5952">
        <v>0</v>
      </c>
      <c r="CO5952">
        <v>4</v>
      </c>
      <c r="CP5952" t="s">
        <v>119</v>
      </c>
      <c r="CQ5952">
        <v>358</v>
      </c>
      <c r="CR5952">
        <v>0</v>
      </c>
      <c r="CW5952">
        <v>5346833</v>
      </c>
      <c r="CY5952">
        <v>1</v>
      </c>
      <c r="CZ5952">
        <v>0</v>
      </c>
      <c r="DA5952">
        <v>1</v>
      </c>
      <c r="DB5952">
        <v>0</v>
      </c>
      <c r="DC5952">
        <v>0</v>
      </c>
      <c r="DD5952">
        <v>1</v>
      </c>
      <c r="DE5952">
        <v>0</v>
      </c>
      <c r="DF5952">
        <v>0</v>
      </c>
      <c r="DG5952">
        <v>0</v>
      </c>
      <c r="DH5952">
        <v>0</v>
      </c>
      <c r="DI5952">
        <v>0</v>
      </c>
    </row>
    <row r="5953" spans="1:113" x14ac:dyDescent="0.3">
      <c r="A5953" t="str">
        <f t="shared" ref="A5953:A5960" si="2790">"05/12/2020 14:52:08.962"</f>
        <v>05/12/2020 14:52:08.962</v>
      </c>
      <c r="C5953" t="str">
        <f t="shared" si="2769"/>
        <v>FFDFD3C0</v>
      </c>
      <c r="D5953" t="s">
        <v>126</v>
      </c>
      <c r="E5953">
        <v>6</v>
      </c>
      <c r="F5953">
        <v>1006</v>
      </c>
      <c r="G5953" t="s">
        <v>114</v>
      </c>
      <c r="J5953" t="s">
        <v>128</v>
      </c>
      <c r="K5953">
        <v>0</v>
      </c>
      <c r="L5953">
        <v>3</v>
      </c>
      <c r="M5953">
        <v>0</v>
      </c>
      <c r="N5953">
        <v>2</v>
      </c>
      <c r="O5953">
        <v>1</v>
      </c>
      <c r="P5953">
        <v>0</v>
      </c>
      <c r="Q5953">
        <v>0</v>
      </c>
      <c r="S5953" t="str">
        <f t="shared" ref="S5953:S5960" si="2791">"14:52:26.773"</f>
        <v>14:52:26.773</v>
      </c>
      <c r="T5953" t="str">
        <f t="shared" ref="T5953:T5960" si="2792">"14:52:26.573"</f>
        <v>14:52:26.573</v>
      </c>
      <c r="U5953" t="str">
        <f t="shared" si="2760"/>
        <v>A9808D</v>
      </c>
      <c r="V5953">
        <v>0</v>
      </c>
      <c r="W5953">
        <v>0</v>
      </c>
      <c r="X5953">
        <v>1</v>
      </c>
      <c r="Z5953">
        <v>0</v>
      </c>
      <c r="AA5953">
        <v>9</v>
      </c>
      <c r="AB5953">
        <v>3</v>
      </c>
      <c r="AC5953">
        <v>0</v>
      </c>
      <c r="AD5953">
        <v>10</v>
      </c>
      <c r="AE5953">
        <v>0</v>
      </c>
      <c r="AF5953">
        <v>3</v>
      </c>
      <c r="AG5953">
        <v>2</v>
      </c>
      <c r="AH5953">
        <v>0</v>
      </c>
      <c r="AI5953" t="s">
        <v>1323</v>
      </c>
      <c r="AJ5953">
        <v>28.20684</v>
      </c>
      <c r="AK5953" t="s">
        <v>1324</v>
      </c>
      <c r="AL5953">
        <v>-82.368257</v>
      </c>
      <c r="AM5953">
        <v>100</v>
      </c>
      <c r="AN5953">
        <v>300</v>
      </c>
      <c r="AO5953" t="s">
        <v>118</v>
      </c>
      <c r="AP5953">
        <v>62</v>
      </c>
      <c r="AQ5953">
        <v>61</v>
      </c>
      <c r="AR5953">
        <v>-640</v>
      </c>
      <c r="AZ5953">
        <v>1200</v>
      </c>
      <c r="BA5953">
        <v>1</v>
      </c>
      <c r="BB5953" t="str">
        <f t="shared" si="2770"/>
        <v xml:space="preserve">N711JA  </v>
      </c>
      <c r="BC5953">
        <v>1</v>
      </c>
      <c r="BE5953">
        <v>0</v>
      </c>
      <c r="BF5953">
        <v>0</v>
      </c>
      <c r="BG5953">
        <v>0</v>
      </c>
      <c r="BH5953">
        <v>350</v>
      </c>
      <c r="BI5953">
        <v>1</v>
      </c>
      <c r="BJ5953">
        <v>1</v>
      </c>
      <c r="BK5953">
        <v>0</v>
      </c>
      <c r="BL5953">
        <v>0</v>
      </c>
      <c r="BO5953">
        <v>0</v>
      </c>
      <c r="BP5953">
        <v>0</v>
      </c>
      <c r="BW5953" t="str">
        <f t="shared" ref="BW5953:BW5960" si="2793">"14:52:26.777"</f>
        <v>14:52:26.777</v>
      </c>
      <c r="CJ5953">
        <v>0</v>
      </c>
      <c r="CK5953">
        <v>2</v>
      </c>
      <c r="CL5953">
        <v>0</v>
      </c>
      <c r="CM5953">
        <v>2</v>
      </c>
      <c r="CN5953">
        <v>0</v>
      </c>
      <c r="CO5953">
        <v>6</v>
      </c>
      <c r="CP5953" t="s">
        <v>119</v>
      </c>
      <c r="CQ5953">
        <v>343</v>
      </c>
      <c r="CR5953">
        <v>1</v>
      </c>
      <c r="CW5953">
        <v>11222746</v>
      </c>
      <c r="CY5953">
        <v>1</v>
      </c>
      <c r="CZ5953">
        <v>0</v>
      </c>
      <c r="DA5953">
        <v>0</v>
      </c>
      <c r="DB5953">
        <v>0</v>
      </c>
      <c r="DC5953">
        <v>0</v>
      </c>
      <c r="DD5953">
        <v>1</v>
      </c>
      <c r="DE5953">
        <v>0</v>
      </c>
      <c r="DF5953">
        <v>0</v>
      </c>
      <c r="DG5953">
        <v>0</v>
      </c>
      <c r="DH5953">
        <v>0</v>
      </c>
      <c r="DI5953">
        <v>0</v>
      </c>
    </row>
    <row r="5954" spans="1:113" x14ac:dyDescent="0.3">
      <c r="A5954" t="str">
        <f t="shared" si="2790"/>
        <v>05/12/2020 14:52:08.962</v>
      </c>
      <c r="C5954" t="str">
        <f t="shared" si="2769"/>
        <v>FFDFD3C0</v>
      </c>
      <c r="D5954" t="s">
        <v>138</v>
      </c>
      <c r="E5954">
        <v>2</v>
      </c>
      <c r="H5954">
        <v>8</v>
      </c>
      <c r="I5954" t="s">
        <v>139</v>
      </c>
      <c r="J5954" t="s">
        <v>136</v>
      </c>
      <c r="K5954">
        <v>0</v>
      </c>
      <c r="L5954">
        <v>3</v>
      </c>
      <c r="M5954">
        <v>0</v>
      </c>
      <c r="N5954">
        <v>2</v>
      </c>
      <c r="O5954">
        <v>1</v>
      </c>
      <c r="P5954">
        <v>0</v>
      </c>
      <c r="Q5954">
        <v>0</v>
      </c>
      <c r="S5954" t="str">
        <f t="shared" si="2791"/>
        <v>14:52:26.773</v>
      </c>
      <c r="T5954" t="str">
        <f t="shared" si="2792"/>
        <v>14:52:26.573</v>
      </c>
      <c r="U5954" t="str">
        <f t="shared" ref="U5954:U6017" si="2794">"A9808D"</f>
        <v>A9808D</v>
      </c>
      <c r="V5954">
        <v>0</v>
      </c>
      <c r="W5954">
        <v>0</v>
      </c>
      <c r="X5954">
        <v>1</v>
      </c>
      <c r="Z5954">
        <v>0</v>
      </c>
      <c r="AA5954">
        <v>9</v>
      </c>
      <c r="AB5954">
        <v>3</v>
      </c>
      <c r="AC5954">
        <v>0</v>
      </c>
      <c r="AD5954">
        <v>10</v>
      </c>
      <c r="AE5954">
        <v>0</v>
      </c>
      <c r="AF5954">
        <v>3</v>
      </c>
      <c r="AG5954">
        <v>2</v>
      </c>
      <c r="AH5954">
        <v>0</v>
      </c>
      <c r="AI5954" t="s">
        <v>1323</v>
      </c>
      <c r="AJ5954">
        <v>28.20684</v>
      </c>
      <c r="AK5954" t="s">
        <v>1324</v>
      </c>
      <c r="AL5954">
        <v>-82.368257</v>
      </c>
      <c r="AM5954">
        <v>100</v>
      </c>
      <c r="AN5954">
        <v>300</v>
      </c>
      <c r="AO5954" t="s">
        <v>118</v>
      </c>
      <c r="AP5954">
        <v>62</v>
      </c>
      <c r="AQ5954">
        <v>61</v>
      </c>
      <c r="AR5954">
        <v>-640</v>
      </c>
      <c r="AZ5954">
        <v>1200</v>
      </c>
      <c r="BA5954">
        <v>1</v>
      </c>
      <c r="BB5954" t="str">
        <f t="shared" si="2770"/>
        <v xml:space="preserve">N711JA  </v>
      </c>
      <c r="BC5954">
        <v>1</v>
      </c>
      <c r="BE5954">
        <v>0</v>
      </c>
      <c r="BF5954">
        <v>0</v>
      </c>
      <c r="BG5954">
        <v>0</v>
      </c>
      <c r="BH5954">
        <v>350</v>
      </c>
      <c r="BI5954">
        <v>1</v>
      </c>
      <c r="BJ5954">
        <v>1</v>
      </c>
      <c r="BK5954">
        <v>0</v>
      </c>
      <c r="BL5954">
        <v>0</v>
      </c>
      <c r="BO5954">
        <v>0</v>
      </c>
      <c r="BP5954">
        <v>0</v>
      </c>
      <c r="BW5954" t="str">
        <f t="shared" si="2793"/>
        <v>14:52:26.777</v>
      </c>
      <c r="CJ5954">
        <v>0</v>
      </c>
      <c r="CK5954">
        <v>2</v>
      </c>
      <c r="CL5954">
        <v>0</v>
      </c>
      <c r="CM5954">
        <v>2</v>
      </c>
      <c r="CN5954">
        <v>0</v>
      </c>
      <c r="CO5954">
        <v>6</v>
      </c>
      <c r="CP5954" t="s">
        <v>119</v>
      </c>
      <c r="CQ5954">
        <v>343</v>
      </c>
      <c r="CR5954">
        <v>1</v>
      </c>
      <c r="CW5954">
        <v>11222746</v>
      </c>
      <c r="CY5954">
        <v>1</v>
      </c>
      <c r="CZ5954">
        <v>0</v>
      </c>
      <c r="DA5954">
        <v>1</v>
      </c>
      <c r="DB5954">
        <v>0</v>
      </c>
      <c r="DC5954">
        <v>0</v>
      </c>
      <c r="DD5954">
        <v>1</v>
      </c>
      <c r="DE5954">
        <v>0</v>
      </c>
      <c r="DF5954">
        <v>0</v>
      </c>
      <c r="DG5954">
        <v>0</v>
      </c>
      <c r="DH5954">
        <v>0</v>
      </c>
      <c r="DI5954">
        <v>0</v>
      </c>
    </row>
    <row r="5955" spans="1:113" x14ac:dyDescent="0.3">
      <c r="A5955" t="str">
        <f t="shared" si="2790"/>
        <v>05/12/2020 14:52:08.962</v>
      </c>
      <c r="C5955" t="str">
        <f t="shared" si="2769"/>
        <v>FFDFD3C0</v>
      </c>
      <c r="D5955" t="s">
        <v>138</v>
      </c>
      <c r="E5955">
        <v>3</v>
      </c>
      <c r="H5955">
        <v>9</v>
      </c>
      <c r="I5955" t="s">
        <v>140</v>
      </c>
      <c r="J5955" t="s">
        <v>136</v>
      </c>
      <c r="K5955">
        <v>0</v>
      </c>
      <c r="L5955">
        <v>3</v>
      </c>
      <c r="M5955">
        <v>0</v>
      </c>
      <c r="N5955">
        <v>2</v>
      </c>
      <c r="O5955">
        <v>1</v>
      </c>
      <c r="P5955">
        <v>0</v>
      </c>
      <c r="Q5955">
        <v>0</v>
      </c>
      <c r="S5955" t="str">
        <f t="shared" si="2791"/>
        <v>14:52:26.773</v>
      </c>
      <c r="T5955" t="str">
        <f t="shared" si="2792"/>
        <v>14:52:26.573</v>
      </c>
      <c r="U5955" t="str">
        <f t="shared" si="2794"/>
        <v>A9808D</v>
      </c>
      <c r="V5955">
        <v>0</v>
      </c>
      <c r="W5955">
        <v>0</v>
      </c>
      <c r="X5955">
        <v>1</v>
      </c>
      <c r="Z5955">
        <v>0</v>
      </c>
      <c r="AA5955">
        <v>9</v>
      </c>
      <c r="AB5955">
        <v>3</v>
      </c>
      <c r="AC5955">
        <v>0</v>
      </c>
      <c r="AD5955">
        <v>10</v>
      </c>
      <c r="AE5955">
        <v>0</v>
      </c>
      <c r="AF5955">
        <v>3</v>
      </c>
      <c r="AG5955">
        <v>2</v>
      </c>
      <c r="AH5955">
        <v>0</v>
      </c>
      <c r="AI5955" t="s">
        <v>1323</v>
      </c>
      <c r="AJ5955">
        <v>28.20684</v>
      </c>
      <c r="AK5955" t="s">
        <v>1324</v>
      </c>
      <c r="AL5955">
        <v>-82.368257</v>
      </c>
      <c r="AM5955">
        <v>100</v>
      </c>
      <c r="AN5955">
        <v>300</v>
      </c>
      <c r="AO5955" t="s">
        <v>118</v>
      </c>
      <c r="AP5955">
        <v>62</v>
      </c>
      <c r="AQ5955">
        <v>61</v>
      </c>
      <c r="AR5955">
        <v>-640</v>
      </c>
      <c r="AZ5955">
        <v>1200</v>
      </c>
      <c r="BA5955">
        <v>1</v>
      </c>
      <c r="BB5955" t="str">
        <f t="shared" si="2770"/>
        <v xml:space="preserve">N711JA  </v>
      </c>
      <c r="BC5955">
        <v>1</v>
      </c>
      <c r="BE5955">
        <v>0</v>
      </c>
      <c r="BF5955">
        <v>0</v>
      </c>
      <c r="BG5955">
        <v>0</v>
      </c>
      <c r="BH5955">
        <v>350</v>
      </c>
      <c r="BI5955">
        <v>1</v>
      </c>
      <c r="BJ5955">
        <v>1</v>
      </c>
      <c r="BK5955">
        <v>0</v>
      </c>
      <c r="BL5955">
        <v>0</v>
      </c>
      <c r="BO5955">
        <v>0</v>
      </c>
      <c r="BP5955">
        <v>0</v>
      </c>
      <c r="BW5955" t="str">
        <f t="shared" si="2793"/>
        <v>14:52:26.777</v>
      </c>
      <c r="CJ5955">
        <v>0</v>
      </c>
      <c r="CK5955">
        <v>2</v>
      </c>
      <c r="CL5955">
        <v>0</v>
      </c>
      <c r="CM5955">
        <v>2</v>
      </c>
      <c r="CN5955">
        <v>0</v>
      </c>
      <c r="CO5955">
        <v>6</v>
      </c>
      <c r="CP5955" t="s">
        <v>119</v>
      </c>
      <c r="CQ5955">
        <v>343</v>
      </c>
      <c r="CR5955">
        <v>1</v>
      </c>
      <c r="CW5955">
        <v>11222746</v>
      </c>
      <c r="CY5955">
        <v>1</v>
      </c>
      <c r="CZ5955">
        <v>0</v>
      </c>
      <c r="DA5955">
        <v>1</v>
      </c>
      <c r="DB5955">
        <v>0</v>
      </c>
      <c r="DC5955">
        <v>0</v>
      </c>
      <c r="DD5955">
        <v>1</v>
      </c>
      <c r="DE5955">
        <v>0</v>
      </c>
      <c r="DF5955">
        <v>0</v>
      </c>
      <c r="DG5955">
        <v>0</v>
      </c>
      <c r="DH5955">
        <v>0</v>
      </c>
      <c r="DI5955">
        <v>0</v>
      </c>
    </row>
    <row r="5956" spans="1:113" x14ac:dyDescent="0.3">
      <c r="A5956" t="str">
        <f t="shared" si="2790"/>
        <v>05/12/2020 14:52:08.962</v>
      </c>
      <c r="C5956" t="str">
        <f t="shared" si="2769"/>
        <v>FFDFD3C0</v>
      </c>
      <c r="D5956" t="s">
        <v>113</v>
      </c>
      <c r="E5956">
        <v>3</v>
      </c>
      <c r="H5956">
        <v>164</v>
      </c>
      <c r="I5956" t="s">
        <v>114</v>
      </c>
      <c r="J5956" t="s">
        <v>115</v>
      </c>
      <c r="K5956">
        <v>0</v>
      </c>
      <c r="L5956">
        <v>3</v>
      </c>
      <c r="M5956">
        <v>0</v>
      </c>
      <c r="N5956">
        <v>2</v>
      </c>
      <c r="O5956">
        <v>1</v>
      </c>
      <c r="P5956">
        <v>0</v>
      </c>
      <c r="Q5956">
        <v>0</v>
      </c>
      <c r="S5956" t="str">
        <f t="shared" si="2791"/>
        <v>14:52:26.773</v>
      </c>
      <c r="T5956" t="str">
        <f t="shared" si="2792"/>
        <v>14:52:26.573</v>
      </c>
      <c r="U5956" t="str">
        <f t="shared" si="2794"/>
        <v>A9808D</v>
      </c>
      <c r="V5956">
        <v>0</v>
      </c>
      <c r="W5956">
        <v>0</v>
      </c>
      <c r="X5956">
        <v>1</v>
      </c>
      <c r="Z5956">
        <v>0</v>
      </c>
      <c r="AA5956">
        <v>9</v>
      </c>
      <c r="AB5956">
        <v>3</v>
      </c>
      <c r="AC5956">
        <v>0</v>
      </c>
      <c r="AD5956">
        <v>10</v>
      </c>
      <c r="AE5956">
        <v>0</v>
      </c>
      <c r="AF5956">
        <v>3</v>
      </c>
      <c r="AG5956">
        <v>2</v>
      </c>
      <c r="AH5956">
        <v>0</v>
      </c>
      <c r="AI5956" t="s">
        <v>1323</v>
      </c>
      <c r="AJ5956">
        <v>28.20684</v>
      </c>
      <c r="AK5956" t="s">
        <v>1324</v>
      </c>
      <c r="AL5956">
        <v>-82.368257</v>
      </c>
      <c r="AM5956">
        <v>100</v>
      </c>
      <c r="AN5956">
        <v>300</v>
      </c>
      <c r="AO5956" t="s">
        <v>118</v>
      </c>
      <c r="AP5956">
        <v>62</v>
      </c>
      <c r="AQ5956">
        <v>61</v>
      </c>
      <c r="AR5956">
        <v>-640</v>
      </c>
      <c r="AZ5956">
        <v>1200</v>
      </c>
      <c r="BA5956">
        <v>1</v>
      </c>
      <c r="BB5956" t="str">
        <f t="shared" si="2770"/>
        <v xml:space="preserve">N711JA  </v>
      </c>
      <c r="BC5956">
        <v>1</v>
      </c>
      <c r="BE5956">
        <v>0</v>
      </c>
      <c r="BF5956">
        <v>0</v>
      </c>
      <c r="BG5956">
        <v>0</v>
      </c>
      <c r="BH5956">
        <v>350</v>
      </c>
      <c r="BI5956">
        <v>1</v>
      </c>
      <c r="BJ5956">
        <v>1</v>
      </c>
      <c r="BK5956">
        <v>0</v>
      </c>
      <c r="BL5956">
        <v>0</v>
      </c>
      <c r="BO5956">
        <v>0</v>
      </c>
      <c r="BP5956">
        <v>0</v>
      </c>
      <c r="BW5956" t="str">
        <f t="shared" si="2793"/>
        <v>14:52:26.777</v>
      </c>
      <c r="CJ5956">
        <v>0</v>
      </c>
      <c r="CK5956">
        <v>2</v>
      </c>
      <c r="CL5956">
        <v>0</v>
      </c>
      <c r="CM5956">
        <v>2</v>
      </c>
      <c r="CN5956">
        <v>0</v>
      </c>
      <c r="CO5956">
        <v>6</v>
      </c>
      <c r="CP5956" t="s">
        <v>119</v>
      </c>
      <c r="CQ5956">
        <v>343</v>
      </c>
      <c r="CR5956">
        <v>1</v>
      </c>
      <c r="CW5956">
        <v>11222746</v>
      </c>
      <c r="CY5956">
        <v>1</v>
      </c>
      <c r="CZ5956">
        <v>0</v>
      </c>
      <c r="DA5956">
        <v>1</v>
      </c>
      <c r="DB5956">
        <v>0</v>
      </c>
      <c r="DC5956">
        <v>0</v>
      </c>
      <c r="DD5956">
        <v>1</v>
      </c>
      <c r="DE5956">
        <v>0</v>
      </c>
      <c r="DF5956">
        <v>0</v>
      </c>
      <c r="DG5956">
        <v>0</v>
      </c>
      <c r="DH5956">
        <v>0</v>
      </c>
      <c r="DI5956">
        <v>0</v>
      </c>
    </row>
    <row r="5957" spans="1:113" x14ac:dyDescent="0.3">
      <c r="A5957" t="str">
        <f t="shared" si="2790"/>
        <v>05/12/2020 14:52:08.962</v>
      </c>
      <c r="C5957" t="str">
        <f t="shared" si="2769"/>
        <v>FFDFD3C0</v>
      </c>
      <c r="D5957" t="s">
        <v>131</v>
      </c>
      <c r="E5957">
        <v>12</v>
      </c>
      <c r="F5957">
        <v>2012</v>
      </c>
      <c r="G5957" t="s">
        <v>137</v>
      </c>
      <c r="J5957" t="s">
        <v>133</v>
      </c>
      <c r="K5957">
        <v>0</v>
      </c>
      <c r="L5957">
        <v>3</v>
      </c>
      <c r="M5957">
        <v>0</v>
      </c>
      <c r="N5957">
        <v>2</v>
      </c>
      <c r="O5957">
        <v>1</v>
      </c>
      <c r="P5957">
        <v>0</v>
      </c>
      <c r="Q5957">
        <v>0</v>
      </c>
      <c r="S5957" t="str">
        <f t="shared" si="2791"/>
        <v>14:52:26.773</v>
      </c>
      <c r="T5957" t="str">
        <f t="shared" si="2792"/>
        <v>14:52:26.573</v>
      </c>
      <c r="U5957" t="str">
        <f t="shared" si="2794"/>
        <v>A9808D</v>
      </c>
      <c r="V5957">
        <v>0</v>
      </c>
      <c r="W5957">
        <v>0</v>
      </c>
      <c r="X5957">
        <v>1</v>
      </c>
      <c r="Z5957">
        <v>0</v>
      </c>
      <c r="AA5957">
        <v>9</v>
      </c>
      <c r="AB5957">
        <v>3</v>
      </c>
      <c r="AC5957">
        <v>0</v>
      </c>
      <c r="AD5957">
        <v>10</v>
      </c>
      <c r="AE5957">
        <v>0</v>
      </c>
      <c r="AF5957">
        <v>3</v>
      </c>
      <c r="AG5957">
        <v>2</v>
      </c>
      <c r="AH5957">
        <v>0</v>
      </c>
      <c r="AI5957" t="s">
        <v>1323</v>
      </c>
      <c r="AJ5957">
        <v>28.20684</v>
      </c>
      <c r="AK5957" t="s">
        <v>1324</v>
      </c>
      <c r="AL5957">
        <v>-82.368257</v>
      </c>
      <c r="AM5957">
        <v>100</v>
      </c>
      <c r="AN5957">
        <v>300</v>
      </c>
      <c r="AO5957" t="s">
        <v>118</v>
      </c>
      <c r="AP5957">
        <v>62</v>
      </c>
      <c r="AQ5957">
        <v>61</v>
      </c>
      <c r="AR5957">
        <v>-640</v>
      </c>
      <c r="AZ5957">
        <v>1200</v>
      </c>
      <c r="BA5957">
        <v>1</v>
      </c>
      <c r="BB5957" t="str">
        <f t="shared" si="2770"/>
        <v xml:space="preserve">N711JA  </v>
      </c>
      <c r="BC5957">
        <v>1</v>
      </c>
      <c r="BE5957">
        <v>0</v>
      </c>
      <c r="BF5957">
        <v>0</v>
      </c>
      <c r="BG5957">
        <v>0</v>
      </c>
      <c r="BH5957">
        <v>350</v>
      </c>
      <c r="BI5957">
        <v>1</v>
      </c>
      <c r="BJ5957">
        <v>1</v>
      </c>
      <c r="BK5957">
        <v>0</v>
      </c>
      <c r="BL5957">
        <v>0</v>
      </c>
      <c r="BO5957">
        <v>0</v>
      </c>
      <c r="BP5957">
        <v>0</v>
      </c>
      <c r="BW5957" t="str">
        <f t="shared" si="2793"/>
        <v>14:52:26.777</v>
      </c>
      <c r="CJ5957">
        <v>0</v>
      </c>
      <c r="CK5957">
        <v>2</v>
      </c>
      <c r="CL5957">
        <v>0</v>
      </c>
      <c r="CM5957">
        <v>2</v>
      </c>
      <c r="CN5957">
        <v>0</v>
      </c>
      <c r="CO5957">
        <v>6</v>
      </c>
      <c r="CP5957" t="s">
        <v>119</v>
      </c>
      <c r="CQ5957">
        <v>343</v>
      </c>
      <c r="CR5957">
        <v>1</v>
      </c>
      <c r="CW5957">
        <v>11222746</v>
      </c>
      <c r="CY5957">
        <v>1</v>
      </c>
      <c r="CZ5957">
        <v>0</v>
      </c>
      <c r="DA5957">
        <v>1</v>
      </c>
      <c r="DB5957">
        <v>0</v>
      </c>
      <c r="DC5957">
        <v>0</v>
      </c>
      <c r="DD5957">
        <v>1</v>
      </c>
      <c r="DE5957">
        <v>0</v>
      </c>
      <c r="DF5957">
        <v>0</v>
      </c>
      <c r="DG5957">
        <v>0</v>
      </c>
      <c r="DH5957">
        <v>0</v>
      </c>
      <c r="DI5957">
        <v>0</v>
      </c>
    </row>
    <row r="5958" spans="1:113" x14ac:dyDescent="0.3">
      <c r="A5958" t="str">
        <f t="shared" si="2790"/>
        <v>05/12/2020 14:52:08.962</v>
      </c>
      <c r="C5958" t="str">
        <f t="shared" si="2769"/>
        <v>FFDFD3C0</v>
      </c>
      <c r="D5958" t="s">
        <v>131</v>
      </c>
      <c r="E5958">
        <v>10</v>
      </c>
      <c r="F5958">
        <v>2010</v>
      </c>
      <c r="G5958" t="s">
        <v>132</v>
      </c>
      <c r="J5958" t="s">
        <v>133</v>
      </c>
      <c r="K5958">
        <v>0</v>
      </c>
      <c r="L5958">
        <v>3</v>
      </c>
      <c r="M5958">
        <v>0</v>
      </c>
      <c r="N5958">
        <v>2</v>
      </c>
      <c r="O5958">
        <v>1</v>
      </c>
      <c r="P5958">
        <v>0</v>
      </c>
      <c r="Q5958">
        <v>0</v>
      </c>
      <c r="S5958" t="str">
        <f t="shared" si="2791"/>
        <v>14:52:26.773</v>
      </c>
      <c r="T5958" t="str">
        <f t="shared" si="2792"/>
        <v>14:52:26.573</v>
      </c>
      <c r="U5958" t="str">
        <f t="shared" si="2794"/>
        <v>A9808D</v>
      </c>
      <c r="V5958">
        <v>0</v>
      </c>
      <c r="W5958">
        <v>0</v>
      </c>
      <c r="X5958">
        <v>1</v>
      </c>
      <c r="Z5958">
        <v>0</v>
      </c>
      <c r="AA5958">
        <v>9</v>
      </c>
      <c r="AB5958">
        <v>3</v>
      </c>
      <c r="AC5958">
        <v>0</v>
      </c>
      <c r="AD5958">
        <v>10</v>
      </c>
      <c r="AE5958">
        <v>0</v>
      </c>
      <c r="AF5958">
        <v>3</v>
      </c>
      <c r="AG5958">
        <v>2</v>
      </c>
      <c r="AH5958">
        <v>0</v>
      </c>
      <c r="AI5958" t="s">
        <v>1323</v>
      </c>
      <c r="AJ5958">
        <v>28.20684</v>
      </c>
      <c r="AK5958" t="s">
        <v>1324</v>
      </c>
      <c r="AL5958">
        <v>-82.368257</v>
      </c>
      <c r="AM5958">
        <v>100</v>
      </c>
      <c r="AN5958">
        <v>300</v>
      </c>
      <c r="AO5958" t="s">
        <v>118</v>
      </c>
      <c r="AP5958">
        <v>62</v>
      </c>
      <c r="AQ5958">
        <v>61</v>
      </c>
      <c r="AR5958">
        <v>-640</v>
      </c>
      <c r="AZ5958">
        <v>1200</v>
      </c>
      <c r="BA5958">
        <v>1</v>
      </c>
      <c r="BB5958" t="str">
        <f t="shared" si="2770"/>
        <v xml:space="preserve">N711JA  </v>
      </c>
      <c r="BC5958">
        <v>1</v>
      </c>
      <c r="BE5958">
        <v>0</v>
      </c>
      <c r="BF5958">
        <v>0</v>
      </c>
      <c r="BG5958">
        <v>0</v>
      </c>
      <c r="BH5958">
        <v>350</v>
      </c>
      <c r="BI5958">
        <v>1</v>
      </c>
      <c r="BJ5958">
        <v>1</v>
      </c>
      <c r="BK5958">
        <v>0</v>
      </c>
      <c r="BL5958">
        <v>0</v>
      </c>
      <c r="BO5958">
        <v>0</v>
      </c>
      <c r="BP5958">
        <v>0</v>
      </c>
      <c r="BW5958" t="str">
        <f t="shared" si="2793"/>
        <v>14:52:26.777</v>
      </c>
      <c r="CJ5958">
        <v>0</v>
      </c>
      <c r="CK5958">
        <v>2</v>
      </c>
      <c r="CL5958">
        <v>0</v>
      </c>
      <c r="CM5958">
        <v>2</v>
      </c>
      <c r="CN5958">
        <v>0</v>
      </c>
      <c r="CO5958">
        <v>6</v>
      </c>
      <c r="CP5958" t="s">
        <v>119</v>
      </c>
      <c r="CQ5958">
        <v>343</v>
      </c>
      <c r="CR5958">
        <v>1</v>
      </c>
      <c r="CW5958">
        <v>11222746</v>
      </c>
      <c r="CY5958">
        <v>1</v>
      </c>
      <c r="CZ5958">
        <v>0</v>
      </c>
      <c r="DA5958">
        <v>1</v>
      </c>
      <c r="DB5958">
        <v>0</v>
      </c>
      <c r="DC5958">
        <v>0</v>
      </c>
      <c r="DD5958">
        <v>1</v>
      </c>
      <c r="DE5958">
        <v>0</v>
      </c>
      <c r="DF5958">
        <v>0</v>
      </c>
      <c r="DG5958">
        <v>0</v>
      </c>
      <c r="DH5958">
        <v>0</v>
      </c>
      <c r="DI5958">
        <v>0</v>
      </c>
    </row>
    <row r="5959" spans="1:113" x14ac:dyDescent="0.3">
      <c r="A5959" t="str">
        <f t="shared" si="2790"/>
        <v>05/12/2020 14:52:08.962</v>
      </c>
      <c r="C5959" t="str">
        <f t="shared" si="2769"/>
        <v>FFDFD3C0</v>
      </c>
      <c r="D5959" t="s">
        <v>126</v>
      </c>
      <c r="E5959">
        <v>7</v>
      </c>
      <c r="F5959">
        <v>1007</v>
      </c>
      <c r="G5959" t="s">
        <v>127</v>
      </c>
      <c r="J5959" t="s">
        <v>128</v>
      </c>
      <c r="K5959">
        <v>0</v>
      </c>
      <c r="L5959">
        <v>3</v>
      </c>
      <c r="M5959">
        <v>0</v>
      </c>
      <c r="N5959">
        <v>2</v>
      </c>
      <c r="O5959">
        <v>1</v>
      </c>
      <c r="P5959">
        <v>0</v>
      </c>
      <c r="Q5959">
        <v>0</v>
      </c>
      <c r="S5959" t="str">
        <f t="shared" si="2791"/>
        <v>14:52:26.773</v>
      </c>
      <c r="T5959" t="str">
        <f t="shared" si="2792"/>
        <v>14:52:26.573</v>
      </c>
      <c r="U5959" t="str">
        <f t="shared" si="2794"/>
        <v>A9808D</v>
      </c>
      <c r="V5959">
        <v>0</v>
      </c>
      <c r="W5959">
        <v>0</v>
      </c>
      <c r="X5959">
        <v>1</v>
      </c>
      <c r="Z5959">
        <v>0</v>
      </c>
      <c r="AA5959">
        <v>9</v>
      </c>
      <c r="AB5959">
        <v>3</v>
      </c>
      <c r="AC5959">
        <v>0</v>
      </c>
      <c r="AD5959">
        <v>10</v>
      </c>
      <c r="AE5959">
        <v>0</v>
      </c>
      <c r="AF5959">
        <v>3</v>
      </c>
      <c r="AG5959">
        <v>2</v>
      </c>
      <c r="AH5959">
        <v>0</v>
      </c>
      <c r="AI5959" t="s">
        <v>1323</v>
      </c>
      <c r="AJ5959">
        <v>28.20684</v>
      </c>
      <c r="AK5959" t="s">
        <v>1324</v>
      </c>
      <c r="AL5959">
        <v>-82.368257</v>
      </c>
      <c r="AM5959">
        <v>100</v>
      </c>
      <c r="AN5959">
        <v>300</v>
      </c>
      <c r="AO5959" t="s">
        <v>118</v>
      </c>
      <c r="AP5959">
        <v>62</v>
      </c>
      <c r="AQ5959">
        <v>61</v>
      </c>
      <c r="AR5959">
        <v>-640</v>
      </c>
      <c r="AZ5959">
        <v>1200</v>
      </c>
      <c r="BA5959">
        <v>1</v>
      </c>
      <c r="BB5959" t="str">
        <f t="shared" si="2770"/>
        <v xml:space="preserve">N711JA  </v>
      </c>
      <c r="BC5959">
        <v>1</v>
      </c>
      <c r="BE5959">
        <v>0</v>
      </c>
      <c r="BF5959">
        <v>0</v>
      </c>
      <c r="BG5959">
        <v>0</v>
      </c>
      <c r="BH5959">
        <v>350</v>
      </c>
      <c r="BI5959">
        <v>1</v>
      </c>
      <c r="BJ5959">
        <v>1</v>
      </c>
      <c r="BK5959">
        <v>0</v>
      </c>
      <c r="BL5959">
        <v>0</v>
      </c>
      <c r="BO5959">
        <v>0</v>
      </c>
      <c r="BP5959">
        <v>0</v>
      </c>
      <c r="BW5959" t="str">
        <f t="shared" si="2793"/>
        <v>14:52:26.777</v>
      </c>
      <c r="CJ5959">
        <v>0</v>
      </c>
      <c r="CK5959">
        <v>2</v>
      </c>
      <c r="CL5959">
        <v>0</v>
      </c>
      <c r="CM5959">
        <v>2</v>
      </c>
      <c r="CN5959">
        <v>0</v>
      </c>
      <c r="CO5959">
        <v>6</v>
      </c>
      <c r="CP5959" t="s">
        <v>119</v>
      </c>
      <c r="CQ5959">
        <v>343</v>
      </c>
      <c r="CR5959">
        <v>1</v>
      </c>
      <c r="CW5959">
        <v>11222746</v>
      </c>
      <c r="CY5959">
        <v>1</v>
      </c>
      <c r="CZ5959">
        <v>0</v>
      </c>
      <c r="DA5959">
        <v>1</v>
      </c>
      <c r="DB5959">
        <v>0</v>
      </c>
      <c r="DC5959">
        <v>0</v>
      </c>
      <c r="DD5959">
        <v>1</v>
      </c>
      <c r="DE5959">
        <v>0</v>
      </c>
      <c r="DF5959">
        <v>0</v>
      </c>
      <c r="DG5959">
        <v>0</v>
      </c>
      <c r="DH5959">
        <v>0</v>
      </c>
      <c r="DI5959">
        <v>0</v>
      </c>
    </row>
    <row r="5960" spans="1:113" x14ac:dyDescent="0.3">
      <c r="A5960" t="str">
        <f t="shared" si="2790"/>
        <v>05/12/2020 14:52:08.962</v>
      </c>
      <c r="C5960" t="str">
        <f t="shared" si="2769"/>
        <v>FFDFD3C0</v>
      </c>
      <c r="D5960" t="s">
        <v>134</v>
      </c>
      <c r="E5960">
        <v>12</v>
      </c>
      <c r="H5960">
        <v>64</v>
      </c>
      <c r="I5960" t="s">
        <v>135</v>
      </c>
      <c r="J5960" t="s">
        <v>136</v>
      </c>
      <c r="K5960">
        <v>0</v>
      </c>
      <c r="L5960">
        <v>3</v>
      </c>
      <c r="M5960">
        <v>0</v>
      </c>
      <c r="N5960">
        <v>2</v>
      </c>
      <c r="O5960">
        <v>1</v>
      </c>
      <c r="P5960">
        <v>0</v>
      </c>
      <c r="Q5960">
        <v>0</v>
      </c>
      <c r="S5960" t="str">
        <f t="shared" si="2791"/>
        <v>14:52:26.773</v>
      </c>
      <c r="T5960" t="str">
        <f t="shared" si="2792"/>
        <v>14:52:26.573</v>
      </c>
      <c r="U5960" t="str">
        <f t="shared" si="2794"/>
        <v>A9808D</v>
      </c>
      <c r="V5960">
        <v>0</v>
      </c>
      <c r="W5960">
        <v>0</v>
      </c>
      <c r="X5960">
        <v>1</v>
      </c>
      <c r="Z5960">
        <v>0</v>
      </c>
      <c r="AA5960">
        <v>9</v>
      </c>
      <c r="AB5960">
        <v>3</v>
      </c>
      <c r="AC5960">
        <v>0</v>
      </c>
      <c r="AD5960">
        <v>10</v>
      </c>
      <c r="AE5960">
        <v>0</v>
      </c>
      <c r="AF5960">
        <v>3</v>
      </c>
      <c r="AG5960">
        <v>2</v>
      </c>
      <c r="AH5960">
        <v>0</v>
      </c>
      <c r="AI5960" t="s">
        <v>1323</v>
      </c>
      <c r="AJ5960">
        <v>28.20684</v>
      </c>
      <c r="AK5960" t="s">
        <v>1324</v>
      </c>
      <c r="AL5960">
        <v>-82.368257</v>
      </c>
      <c r="AM5960">
        <v>100</v>
      </c>
      <c r="AN5960">
        <v>300</v>
      </c>
      <c r="AO5960" t="s">
        <v>118</v>
      </c>
      <c r="AP5960">
        <v>62</v>
      </c>
      <c r="AQ5960">
        <v>61</v>
      </c>
      <c r="AR5960">
        <v>-640</v>
      </c>
      <c r="AZ5960">
        <v>1200</v>
      </c>
      <c r="BA5960">
        <v>1</v>
      </c>
      <c r="BB5960" t="str">
        <f t="shared" si="2770"/>
        <v xml:space="preserve">N711JA  </v>
      </c>
      <c r="BC5960">
        <v>1</v>
      </c>
      <c r="BE5960">
        <v>0</v>
      </c>
      <c r="BF5960">
        <v>0</v>
      </c>
      <c r="BG5960">
        <v>0</v>
      </c>
      <c r="BH5960">
        <v>350</v>
      </c>
      <c r="BI5960">
        <v>1</v>
      </c>
      <c r="BJ5960">
        <v>1</v>
      </c>
      <c r="BK5960">
        <v>0</v>
      </c>
      <c r="BL5960">
        <v>0</v>
      </c>
      <c r="BO5960">
        <v>0</v>
      </c>
      <c r="BP5960">
        <v>0</v>
      </c>
      <c r="BW5960" t="str">
        <f t="shared" si="2793"/>
        <v>14:52:26.777</v>
      </c>
      <c r="CJ5960">
        <v>0</v>
      </c>
      <c r="CK5960">
        <v>2</v>
      </c>
      <c r="CL5960">
        <v>0</v>
      </c>
      <c r="CM5960">
        <v>2</v>
      </c>
      <c r="CN5960">
        <v>0</v>
      </c>
      <c r="CO5960">
        <v>6</v>
      </c>
      <c r="CP5960" t="s">
        <v>119</v>
      </c>
      <c r="CQ5960">
        <v>343</v>
      </c>
      <c r="CR5960">
        <v>1</v>
      </c>
      <c r="CW5960">
        <v>11222746</v>
      </c>
      <c r="CY5960">
        <v>1</v>
      </c>
      <c r="CZ5960">
        <v>0</v>
      </c>
      <c r="DA5960">
        <v>1</v>
      </c>
      <c r="DB5960">
        <v>0</v>
      </c>
      <c r="DC5960">
        <v>0</v>
      </c>
      <c r="DD5960">
        <v>1</v>
      </c>
      <c r="DE5960">
        <v>0</v>
      </c>
      <c r="DF5960">
        <v>0</v>
      </c>
      <c r="DG5960">
        <v>0</v>
      </c>
      <c r="DH5960">
        <v>0</v>
      </c>
      <c r="DI5960">
        <v>0</v>
      </c>
    </row>
    <row r="5961" spans="1:113" x14ac:dyDescent="0.3">
      <c r="A5961" t="str">
        <f t="shared" ref="A5961:A5968" si="2795">"05/12/2020 14:52:09.827"</f>
        <v>05/12/2020 14:52:09.827</v>
      </c>
      <c r="C5961" t="str">
        <f t="shared" si="2769"/>
        <v>FFDFD3C0</v>
      </c>
      <c r="D5961" t="s">
        <v>138</v>
      </c>
      <c r="E5961">
        <v>3</v>
      </c>
      <c r="H5961">
        <v>9</v>
      </c>
      <c r="I5961" t="s">
        <v>140</v>
      </c>
      <c r="J5961" t="s">
        <v>136</v>
      </c>
      <c r="K5961">
        <v>0</v>
      </c>
      <c r="L5961">
        <v>3</v>
      </c>
      <c r="M5961">
        <v>0</v>
      </c>
      <c r="N5961">
        <v>2</v>
      </c>
      <c r="O5961">
        <v>1</v>
      </c>
      <c r="P5961">
        <v>0</v>
      </c>
      <c r="Q5961">
        <v>0</v>
      </c>
      <c r="S5961" t="str">
        <f t="shared" ref="S5961:S5968" si="2796">"14:52:27.664"</f>
        <v>14:52:27.664</v>
      </c>
      <c r="T5961" t="str">
        <f t="shared" ref="T5961:T5968" si="2797">"14:52:27.464"</f>
        <v>14:52:27.464</v>
      </c>
      <c r="U5961" t="str">
        <f t="shared" si="2794"/>
        <v>A9808D</v>
      </c>
      <c r="V5961">
        <v>0</v>
      </c>
      <c r="W5961">
        <v>0</v>
      </c>
      <c r="X5961">
        <v>1</v>
      </c>
      <c r="Z5961">
        <v>0</v>
      </c>
      <c r="AA5961">
        <v>9</v>
      </c>
      <c r="AB5961">
        <v>3</v>
      </c>
      <c r="AC5961">
        <v>0</v>
      </c>
      <c r="AD5961">
        <v>10</v>
      </c>
      <c r="AE5961">
        <v>0</v>
      </c>
      <c r="AF5961">
        <v>3</v>
      </c>
      <c r="AG5961">
        <v>2</v>
      </c>
      <c r="AH5961">
        <v>0</v>
      </c>
      <c r="AI5961" t="s">
        <v>1325</v>
      </c>
      <c r="AJ5961">
        <v>28.207118999999999</v>
      </c>
      <c r="AK5961" t="s">
        <v>1326</v>
      </c>
      <c r="AL5961">
        <v>-82.367999999999995</v>
      </c>
      <c r="AM5961">
        <v>100</v>
      </c>
      <c r="AN5961">
        <v>300</v>
      </c>
      <c r="AO5961" t="s">
        <v>118</v>
      </c>
      <c r="AP5961">
        <v>56</v>
      </c>
      <c r="AQ5961">
        <v>65</v>
      </c>
      <c r="AR5961">
        <v>-512</v>
      </c>
      <c r="AZ5961">
        <v>1200</v>
      </c>
      <c r="BA5961">
        <v>1</v>
      </c>
      <c r="BB5961" t="str">
        <f t="shared" si="2770"/>
        <v xml:space="preserve">N711JA  </v>
      </c>
      <c r="BC5961">
        <v>1</v>
      </c>
      <c r="BE5961">
        <v>0</v>
      </c>
      <c r="BF5961">
        <v>0</v>
      </c>
      <c r="BG5961">
        <v>0</v>
      </c>
      <c r="BH5961">
        <v>350</v>
      </c>
      <c r="BI5961">
        <v>1</v>
      </c>
      <c r="BJ5961">
        <v>1</v>
      </c>
      <c r="BK5961">
        <v>0</v>
      </c>
      <c r="BL5961">
        <v>0</v>
      </c>
      <c r="BO5961">
        <v>0</v>
      </c>
      <c r="BP5961">
        <v>0</v>
      </c>
      <c r="BW5961" t="str">
        <f t="shared" ref="BW5961:BW5968" si="2798">"14:52:27.665"</f>
        <v>14:52:27.665</v>
      </c>
      <c r="CJ5961">
        <v>0</v>
      </c>
      <c r="CK5961">
        <v>2</v>
      </c>
      <c r="CL5961">
        <v>0</v>
      </c>
      <c r="CM5961">
        <v>2</v>
      </c>
      <c r="CN5961">
        <v>0</v>
      </c>
      <c r="CO5961">
        <v>6</v>
      </c>
      <c r="CP5961" t="s">
        <v>119</v>
      </c>
      <c r="CQ5961">
        <v>343</v>
      </c>
      <c r="CR5961">
        <v>1</v>
      </c>
      <c r="CW5961">
        <v>11223654</v>
      </c>
      <c r="CY5961">
        <v>1</v>
      </c>
      <c r="CZ5961">
        <v>0</v>
      </c>
      <c r="DA5961">
        <v>0</v>
      </c>
      <c r="DB5961">
        <v>0</v>
      </c>
      <c r="DC5961">
        <v>0</v>
      </c>
      <c r="DD5961">
        <v>1</v>
      </c>
      <c r="DE5961">
        <v>0</v>
      </c>
      <c r="DF5961">
        <v>0</v>
      </c>
      <c r="DG5961">
        <v>0</v>
      </c>
      <c r="DH5961">
        <v>0</v>
      </c>
      <c r="DI5961">
        <v>0</v>
      </c>
    </row>
    <row r="5962" spans="1:113" x14ac:dyDescent="0.3">
      <c r="A5962" t="str">
        <f t="shared" si="2795"/>
        <v>05/12/2020 14:52:09.827</v>
      </c>
      <c r="C5962" t="str">
        <f t="shared" si="2769"/>
        <v>FFDFD3C0</v>
      </c>
      <c r="D5962" t="s">
        <v>138</v>
      </c>
      <c r="E5962">
        <v>2</v>
      </c>
      <c r="H5962">
        <v>8</v>
      </c>
      <c r="I5962" t="s">
        <v>139</v>
      </c>
      <c r="J5962" t="s">
        <v>136</v>
      </c>
      <c r="K5962">
        <v>0</v>
      </c>
      <c r="L5962">
        <v>3</v>
      </c>
      <c r="M5962">
        <v>0</v>
      </c>
      <c r="N5962">
        <v>2</v>
      </c>
      <c r="O5962">
        <v>1</v>
      </c>
      <c r="P5962">
        <v>0</v>
      </c>
      <c r="Q5962">
        <v>0</v>
      </c>
      <c r="S5962" t="str">
        <f t="shared" si="2796"/>
        <v>14:52:27.664</v>
      </c>
      <c r="T5962" t="str">
        <f t="shared" si="2797"/>
        <v>14:52:27.464</v>
      </c>
      <c r="U5962" t="str">
        <f t="shared" si="2794"/>
        <v>A9808D</v>
      </c>
      <c r="V5962">
        <v>0</v>
      </c>
      <c r="W5962">
        <v>0</v>
      </c>
      <c r="X5962">
        <v>1</v>
      </c>
      <c r="Z5962">
        <v>0</v>
      </c>
      <c r="AA5962">
        <v>9</v>
      </c>
      <c r="AB5962">
        <v>3</v>
      </c>
      <c r="AC5962">
        <v>0</v>
      </c>
      <c r="AD5962">
        <v>10</v>
      </c>
      <c r="AE5962">
        <v>0</v>
      </c>
      <c r="AF5962">
        <v>3</v>
      </c>
      <c r="AG5962">
        <v>2</v>
      </c>
      <c r="AH5962">
        <v>0</v>
      </c>
      <c r="AI5962" t="s">
        <v>1325</v>
      </c>
      <c r="AJ5962">
        <v>28.207118999999999</v>
      </c>
      <c r="AK5962" t="s">
        <v>1326</v>
      </c>
      <c r="AL5962">
        <v>-82.367999999999995</v>
      </c>
      <c r="AM5962">
        <v>100</v>
      </c>
      <c r="AN5962">
        <v>300</v>
      </c>
      <c r="AO5962" t="s">
        <v>118</v>
      </c>
      <c r="AP5962">
        <v>56</v>
      </c>
      <c r="AQ5962">
        <v>65</v>
      </c>
      <c r="AR5962">
        <v>-512</v>
      </c>
      <c r="AZ5962">
        <v>1200</v>
      </c>
      <c r="BA5962">
        <v>1</v>
      </c>
      <c r="BB5962" t="str">
        <f t="shared" si="2770"/>
        <v xml:space="preserve">N711JA  </v>
      </c>
      <c r="BC5962">
        <v>1</v>
      </c>
      <c r="BE5962">
        <v>0</v>
      </c>
      <c r="BF5962">
        <v>0</v>
      </c>
      <c r="BG5962">
        <v>0</v>
      </c>
      <c r="BH5962">
        <v>350</v>
      </c>
      <c r="BI5962">
        <v>1</v>
      </c>
      <c r="BJ5962">
        <v>1</v>
      </c>
      <c r="BK5962">
        <v>0</v>
      </c>
      <c r="BL5962">
        <v>0</v>
      </c>
      <c r="BO5962">
        <v>0</v>
      </c>
      <c r="BP5962">
        <v>0</v>
      </c>
      <c r="BW5962" t="str">
        <f t="shared" si="2798"/>
        <v>14:52:27.665</v>
      </c>
      <c r="CJ5962">
        <v>0</v>
      </c>
      <c r="CK5962">
        <v>2</v>
      </c>
      <c r="CL5962">
        <v>0</v>
      </c>
      <c r="CM5962">
        <v>2</v>
      </c>
      <c r="CN5962">
        <v>0</v>
      </c>
      <c r="CO5962">
        <v>6</v>
      </c>
      <c r="CP5962" t="s">
        <v>119</v>
      </c>
      <c r="CQ5962">
        <v>343</v>
      </c>
      <c r="CR5962">
        <v>1</v>
      </c>
      <c r="CW5962">
        <v>11223654</v>
      </c>
      <c r="CY5962">
        <v>1</v>
      </c>
      <c r="CZ5962">
        <v>0</v>
      </c>
      <c r="DA5962">
        <v>1</v>
      </c>
      <c r="DB5962">
        <v>0</v>
      </c>
      <c r="DC5962">
        <v>0</v>
      </c>
      <c r="DD5962">
        <v>1</v>
      </c>
      <c r="DE5962">
        <v>0</v>
      </c>
      <c r="DF5962">
        <v>0</v>
      </c>
      <c r="DG5962">
        <v>0</v>
      </c>
      <c r="DH5962">
        <v>0</v>
      </c>
      <c r="DI5962">
        <v>0</v>
      </c>
    </row>
    <row r="5963" spans="1:113" x14ac:dyDescent="0.3">
      <c r="A5963" t="str">
        <f t="shared" si="2795"/>
        <v>05/12/2020 14:52:09.827</v>
      </c>
      <c r="C5963" t="str">
        <f t="shared" si="2769"/>
        <v>FFDFD3C0</v>
      </c>
      <c r="D5963" t="s">
        <v>113</v>
      </c>
      <c r="E5963">
        <v>3</v>
      </c>
      <c r="H5963">
        <v>164</v>
      </c>
      <c r="I5963" t="s">
        <v>114</v>
      </c>
      <c r="J5963" t="s">
        <v>115</v>
      </c>
      <c r="K5963">
        <v>0</v>
      </c>
      <c r="L5963">
        <v>3</v>
      </c>
      <c r="M5963">
        <v>0</v>
      </c>
      <c r="N5963">
        <v>2</v>
      </c>
      <c r="O5963">
        <v>1</v>
      </c>
      <c r="P5963">
        <v>0</v>
      </c>
      <c r="Q5963">
        <v>0</v>
      </c>
      <c r="S5963" t="str">
        <f t="shared" si="2796"/>
        <v>14:52:27.664</v>
      </c>
      <c r="T5963" t="str">
        <f t="shared" si="2797"/>
        <v>14:52:27.464</v>
      </c>
      <c r="U5963" t="str">
        <f t="shared" si="2794"/>
        <v>A9808D</v>
      </c>
      <c r="V5963">
        <v>0</v>
      </c>
      <c r="W5963">
        <v>0</v>
      </c>
      <c r="X5963">
        <v>1</v>
      </c>
      <c r="Z5963">
        <v>0</v>
      </c>
      <c r="AA5963">
        <v>9</v>
      </c>
      <c r="AB5963">
        <v>3</v>
      </c>
      <c r="AC5963">
        <v>0</v>
      </c>
      <c r="AD5963">
        <v>10</v>
      </c>
      <c r="AE5963">
        <v>0</v>
      </c>
      <c r="AF5963">
        <v>3</v>
      </c>
      <c r="AG5963">
        <v>2</v>
      </c>
      <c r="AH5963">
        <v>0</v>
      </c>
      <c r="AI5963" t="s">
        <v>1325</v>
      </c>
      <c r="AJ5963">
        <v>28.207118999999999</v>
      </c>
      <c r="AK5963" t="s">
        <v>1326</v>
      </c>
      <c r="AL5963">
        <v>-82.367999999999995</v>
      </c>
      <c r="AM5963">
        <v>100</v>
      </c>
      <c r="AN5963">
        <v>300</v>
      </c>
      <c r="AO5963" t="s">
        <v>118</v>
      </c>
      <c r="AP5963">
        <v>56</v>
      </c>
      <c r="AQ5963">
        <v>65</v>
      </c>
      <c r="AR5963">
        <v>-512</v>
      </c>
      <c r="AZ5963">
        <v>1200</v>
      </c>
      <c r="BA5963">
        <v>1</v>
      </c>
      <c r="BB5963" t="str">
        <f t="shared" si="2770"/>
        <v xml:space="preserve">N711JA  </v>
      </c>
      <c r="BC5963">
        <v>1</v>
      </c>
      <c r="BE5963">
        <v>0</v>
      </c>
      <c r="BF5963">
        <v>0</v>
      </c>
      <c r="BG5963">
        <v>0</v>
      </c>
      <c r="BH5963">
        <v>350</v>
      </c>
      <c r="BI5963">
        <v>1</v>
      </c>
      <c r="BJ5963">
        <v>1</v>
      </c>
      <c r="BK5963">
        <v>0</v>
      </c>
      <c r="BL5963">
        <v>0</v>
      </c>
      <c r="BO5963">
        <v>0</v>
      </c>
      <c r="BP5963">
        <v>0</v>
      </c>
      <c r="BW5963" t="str">
        <f t="shared" si="2798"/>
        <v>14:52:27.665</v>
      </c>
      <c r="CJ5963">
        <v>0</v>
      </c>
      <c r="CK5963">
        <v>2</v>
      </c>
      <c r="CL5963">
        <v>0</v>
      </c>
      <c r="CM5963">
        <v>2</v>
      </c>
      <c r="CN5963">
        <v>0</v>
      </c>
      <c r="CO5963">
        <v>6</v>
      </c>
      <c r="CP5963" t="s">
        <v>119</v>
      </c>
      <c r="CQ5963">
        <v>343</v>
      </c>
      <c r="CR5963">
        <v>1</v>
      </c>
      <c r="CW5963">
        <v>11223654</v>
      </c>
      <c r="CY5963">
        <v>1</v>
      </c>
      <c r="CZ5963">
        <v>0</v>
      </c>
      <c r="DA5963">
        <v>1</v>
      </c>
      <c r="DB5963">
        <v>0</v>
      </c>
      <c r="DC5963">
        <v>0</v>
      </c>
      <c r="DD5963">
        <v>1</v>
      </c>
      <c r="DE5963">
        <v>0</v>
      </c>
      <c r="DF5963">
        <v>0</v>
      </c>
      <c r="DG5963">
        <v>0</v>
      </c>
      <c r="DH5963">
        <v>0</v>
      </c>
      <c r="DI5963">
        <v>0</v>
      </c>
    </row>
    <row r="5964" spans="1:113" x14ac:dyDescent="0.3">
      <c r="A5964" t="str">
        <f t="shared" si="2795"/>
        <v>05/12/2020 14:52:09.827</v>
      </c>
      <c r="C5964" t="str">
        <f t="shared" si="2769"/>
        <v>FFDFD3C0</v>
      </c>
      <c r="D5964" t="s">
        <v>126</v>
      </c>
      <c r="E5964">
        <v>7</v>
      </c>
      <c r="F5964">
        <v>1007</v>
      </c>
      <c r="G5964" t="s">
        <v>127</v>
      </c>
      <c r="J5964" t="s">
        <v>128</v>
      </c>
      <c r="K5964">
        <v>0</v>
      </c>
      <c r="L5964">
        <v>3</v>
      </c>
      <c r="M5964">
        <v>0</v>
      </c>
      <c r="N5964">
        <v>2</v>
      </c>
      <c r="O5964">
        <v>1</v>
      </c>
      <c r="P5964">
        <v>0</v>
      </c>
      <c r="Q5964">
        <v>0</v>
      </c>
      <c r="S5964" t="str">
        <f t="shared" si="2796"/>
        <v>14:52:27.664</v>
      </c>
      <c r="T5964" t="str">
        <f t="shared" si="2797"/>
        <v>14:52:27.464</v>
      </c>
      <c r="U5964" t="str">
        <f t="shared" si="2794"/>
        <v>A9808D</v>
      </c>
      <c r="V5964">
        <v>0</v>
      </c>
      <c r="W5964">
        <v>0</v>
      </c>
      <c r="X5964">
        <v>1</v>
      </c>
      <c r="Z5964">
        <v>0</v>
      </c>
      <c r="AA5964">
        <v>9</v>
      </c>
      <c r="AB5964">
        <v>3</v>
      </c>
      <c r="AC5964">
        <v>0</v>
      </c>
      <c r="AD5964">
        <v>10</v>
      </c>
      <c r="AE5964">
        <v>0</v>
      </c>
      <c r="AF5964">
        <v>3</v>
      </c>
      <c r="AG5964">
        <v>2</v>
      </c>
      <c r="AH5964">
        <v>0</v>
      </c>
      <c r="AI5964" t="s">
        <v>1325</v>
      </c>
      <c r="AJ5964">
        <v>28.207118999999999</v>
      </c>
      <c r="AK5964" t="s">
        <v>1326</v>
      </c>
      <c r="AL5964">
        <v>-82.367999999999995</v>
      </c>
      <c r="AM5964">
        <v>100</v>
      </c>
      <c r="AN5964">
        <v>300</v>
      </c>
      <c r="AO5964" t="s">
        <v>118</v>
      </c>
      <c r="AP5964">
        <v>56</v>
      </c>
      <c r="AQ5964">
        <v>65</v>
      </c>
      <c r="AR5964">
        <v>-512</v>
      </c>
      <c r="AZ5964">
        <v>1200</v>
      </c>
      <c r="BA5964">
        <v>1</v>
      </c>
      <c r="BB5964" t="str">
        <f t="shared" si="2770"/>
        <v xml:space="preserve">N711JA  </v>
      </c>
      <c r="BC5964">
        <v>1</v>
      </c>
      <c r="BE5964">
        <v>0</v>
      </c>
      <c r="BF5964">
        <v>0</v>
      </c>
      <c r="BG5964">
        <v>0</v>
      </c>
      <c r="BH5964">
        <v>350</v>
      </c>
      <c r="BI5964">
        <v>1</v>
      </c>
      <c r="BJ5964">
        <v>1</v>
      </c>
      <c r="BK5964">
        <v>0</v>
      </c>
      <c r="BL5964">
        <v>0</v>
      </c>
      <c r="BO5964">
        <v>0</v>
      </c>
      <c r="BP5964">
        <v>0</v>
      </c>
      <c r="BW5964" t="str">
        <f t="shared" si="2798"/>
        <v>14:52:27.665</v>
      </c>
      <c r="CJ5964">
        <v>0</v>
      </c>
      <c r="CK5964">
        <v>2</v>
      </c>
      <c r="CL5964">
        <v>0</v>
      </c>
      <c r="CM5964">
        <v>2</v>
      </c>
      <c r="CN5964">
        <v>0</v>
      </c>
      <c r="CO5964">
        <v>6</v>
      </c>
      <c r="CP5964" t="s">
        <v>119</v>
      </c>
      <c r="CQ5964">
        <v>343</v>
      </c>
      <c r="CR5964">
        <v>1</v>
      </c>
      <c r="CW5964">
        <v>11223654</v>
      </c>
      <c r="CY5964">
        <v>1</v>
      </c>
      <c r="CZ5964">
        <v>0</v>
      </c>
      <c r="DA5964">
        <v>1</v>
      </c>
      <c r="DB5964">
        <v>0</v>
      </c>
      <c r="DC5964">
        <v>0</v>
      </c>
      <c r="DD5964">
        <v>1</v>
      </c>
      <c r="DE5964">
        <v>0</v>
      </c>
      <c r="DF5964">
        <v>0</v>
      </c>
      <c r="DG5964">
        <v>0</v>
      </c>
      <c r="DH5964">
        <v>0</v>
      </c>
      <c r="DI5964">
        <v>0</v>
      </c>
    </row>
    <row r="5965" spans="1:113" x14ac:dyDescent="0.3">
      <c r="A5965" t="str">
        <f t="shared" si="2795"/>
        <v>05/12/2020 14:52:09.827</v>
      </c>
      <c r="C5965" t="str">
        <f t="shared" si="2769"/>
        <v>FFDFD3C0</v>
      </c>
      <c r="D5965" t="s">
        <v>131</v>
      </c>
      <c r="E5965">
        <v>10</v>
      </c>
      <c r="F5965">
        <v>2010</v>
      </c>
      <c r="G5965" t="s">
        <v>132</v>
      </c>
      <c r="J5965" t="s">
        <v>133</v>
      </c>
      <c r="K5965">
        <v>0</v>
      </c>
      <c r="L5965">
        <v>3</v>
      </c>
      <c r="M5965">
        <v>0</v>
      </c>
      <c r="N5965">
        <v>2</v>
      </c>
      <c r="O5965">
        <v>1</v>
      </c>
      <c r="P5965">
        <v>0</v>
      </c>
      <c r="Q5965">
        <v>0</v>
      </c>
      <c r="S5965" t="str">
        <f t="shared" si="2796"/>
        <v>14:52:27.664</v>
      </c>
      <c r="T5965" t="str">
        <f t="shared" si="2797"/>
        <v>14:52:27.464</v>
      </c>
      <c r="U5965" t="str">
        <f t="shared" si="2794"/>
        <v>A9808D</v>
      </c>
      <c r="V5965">
        <v>0</v>
      </c>
      <c r="W5965">
        <v>0</v>
      </c>
      <c r="X5965">
        <v>1</v>
      </c>
      <c r="Z5965">
        <v>0</v>
      </c>
      <c r="AA5965">
        <v>9</v>
      </c>
      <c r="AB5965">
        <v>3</v>
      </c>
      <c r="AC5965">
        <v>0</v>
      </c>
      <c r="AD5965">
        <v>10</v>
      </c>
      <c r="AE5965">
        <v>0</v>
      </c>
      <c r="AF5965">
        <v>3</v>
      </c>
      <c r="AG5965">
        <v>2</v>
      </c>
      <c r="AH5965">
        <v>0</v>
      </c>
      <c r="AI5965" t="s">
        <v>1325</v>
      </c>
      <c r="AJ5965">
        <v>28.207118999999999</v>
      </c>
      <c r="AK5965" t="s">
        <v>1326</v>
      </c>
      <c r="AL5965">
        <v>-82.367999999999995</v>
      </c>
      <c r="AM5965">
        <v>100</v>
      </c>
      <c r="AN5965">
        <v>300</v>
      </c>
      <c r="AO5965" t="s">
        <v>118</v>
      </c>
      <c r="AP5965">
        <v>56</v>
      </c>
      <c r="AQ5965">
        <v>65</v>
      </c>
      <c r="AR5965">
        <v>-512</v>
      </c>
      <c r="AZ5965">
        <v>1200</v>
      </c>
      <c r="BA5965">
        <v>1</v>
      </c>
      <c r="BB5965" t="str">
        <f t="shared" si="2770"/>
        <v xml:space="preserve">N711JA  </v>
      </c>
      <c r="BC5965">
        <v>1</v>
      </c>
      <c r="BE5965">
        <v>0</v>
      </c>
      <c r="BF5965">
        <v>0</v>
      </c>
      <c r="BG5965">
        <v>0</v>
      </c>
      <c r="BH5965">
        <v>350</v>
      </c>
      <c r="BI5965">
        <v>1</v>
      </c>
      <c r="BJ5965">
        <v>1</v>
      </c>
      <c r="BK5965">
        <v>0</v>
      </c>
      <c r="BL5965">
        <v>0</v>
      </c>
      <c r="BO5965">
        <v>0</v>
      </c>
      <c r="BP5965">
        <v>0</v>
      </c>
      <c r="BW5965" t="str">
        <f t="shared" si="2798"/>
        <v>14:52:27.665</v>
      </c>
      <c r="CJ5965">
        <v>0</v>
      </c>
      <c r="CK5965">
        <v>2</v>
      </c>
      <c r="CL5965">
        <v>0</v>
      </c>
      <c r="CM5965">
        <v>2</v>
      </c>
      <c r="CN5965">
        <v>0</v>
      </c>
      <c r="CO5965">
        <v>6</v>
      </c>
      <c r="CP5965" t="s">
        <v>119</v>
      </c>
      <c r="CQ5965">
        <v>343</v>
      </c>
      <c r="CR5965">
        <v>1</v>
      </c>
      <c r="CW5965">
        <v>11223654</v>
      </c>
      <c r="CY5965">
        <v>1</v>
      </c>
      <c r="CZ5965">
        <v>0</v>
      </c>
      <c r="DA5965">
        <v>1</v>
      </c>
      <c r="DB5965">
        <v>0</v>
      </c>
      <c r="DC5965">
        <v>0</v>
      </c>
      <c r="DD5965">
        <v>1</v>
      </c>
      <c r="DE5965">
        <v>0</v>
      </c>
      <c r="DF5965">
        <v>0</v>
      </c>
      <c r="DG5965">
        <v>0</v>
      </c>
      <c r="DH5965">
        <v>0</v>
      </c>
      <c r="DI5965">
        <v>0</v>
      </c>
    </row>
    <row r="5966" spans="1:113" x14ac:dyDescent="0.3">
      <c r="A5966" t="str">
        <f t="shared" si="2795"/>
        <v>05/12/2020 14:52:09.827</v>
      </c>
      <c r="C5966" t="str">
        <f t="shared" si="2769"/>
        <v>FFDFD3C0</v>
      </c>
      <c r="D5966" t="s">
        <v>131</v>
      </c>
      <c r="E5966">
        <v>12</v>
      </c>
      <c r="F5966">
        <v>2012</v>
      </c>
      <c r="G5966" t="s">
        <v>137</v>
      </c>
      <c r="J5966" t="s">
        <v>133</v>
      </c>
      <c r="K5966">
        <v>0</v>
      </c>
      <c r="L5966">
        <v>3</v>
      </c>
      <c r="M5966">
        <v>0</v>
      </c>
      <c r="N5966">
        <v>2</v>
      </c>
      <c r="O5966">
        <v>1</v>
      </c>
      <c r="P5966">
        <v>0</v>
      </c>
      <c r="Q5966">
        <v>0</v>
      </c>
      <c r="S5966" t="str">
        <f t="shared" si="2796"/>
        <v>14:52:27.664</v>
      </c>
      <c r="T5966" t="str">
        <f t="shared" si="2797"/>
        <v>14:52:27.464</v>
      </c>
      <c r="U5966" t="str">
        <f t="shared" si="2794"/>
        <v>A9808D</v>
      </c>
      <c r="V5966">
        <v>0</v>
      </c>
      <c r="W5966">
        <v>0</v>
      </c>
      <c r="X5966">
        <v>1</v>
      </c>
      <c r="Z5966">
        <v>0</v>
      </c>
      <c r="AA5966">
        <v>9</v>
      </c>
      <c r="AB5966">
        <v>3</v>
      </c>
      <c r="AC5966">
        <v>0</v>
      </c>
      <c r="AD5966">
        <v>10</v>
      </c>
      <c r="AE5966">
        <v>0</v>
      </c>
      <c r="AF5966">
        <v>3</v>
      </c>
      <c r="AG5966">
        <v>2</v>
      </c>
      <c r="AH5966">
        <v>0</v>
      </c>
      <c r="AI5966" t="s">
        <v>1325</v>
      </c>
      <c r="AJ5966">
        <v>28.207118999999999</v>
      </c>
      <c r="AK5966" t="s">
        <v>1326</v>
      </c>
      <c r="AL5966">
        <v>-82.367999999999995</v>
      </c>
      <c r="AM5966">
        <v>100</v>
      </c>
      <c r="AN5966">
        <v>300</v>
      </c>
      <c r="AO5966" t="s">
        <v>118</v>
      </c>
      <c r="AP5966">
        <v>56</v>
      </c>
      <c r="AQ5966">
        <v>65</v>
      </c>
      <c r="AR5966">
        <v>-512</v>
      </c>
      <c r="AZ5966">
        <v>1200</v>
      </c>
      <c r="BA5966">
        <v>1</v>
      </c>
      <c r="BB5966" t="str">
        <f t="shared" si="2770"/>
        <v xml:space="preserve">N711JA  </v>
      </c>
      <c r="BC5966">
        <v>1</v>
      </c>
      <c r="BE5966">
        <v>0</v>
      </c>
      <c r="BF5966">
        <v>0</v>
      </c>
      <c r="BG5966">
        <v>0</v>
      </c>
      <c r="BH5966">
        <v>350</v>
      </c>
      <c r="BI5966">
        <v>1</v>
      </c>
      <c r="BJ5966">
        <v>1</v>
      </c>
      <c r="BK5966">
        <v>0</v>
      </c>
      <c r="BL5966">
        <v>0</v>
      </c>
      <c r="BO5966">
        <v>0</v>
      </c>
      <c r="BP5966">
        <v>0</v>
      </c>
      <c r="BW5966" t="str">
        <f t="shared" si="2798"/>
        <v>14:52:27.665</v>
      </c>
      <c r="CJ5966">
        <v>0</v>
      </c>
      <c r="CK5966">
        <v>2</v>
      </c>
      <c r="CL5966">
        <v>0</v>
      </c>
      <c r="CM5966">
        <v>2</v>
      </c>
      <c r="CN5966">
        <v>0</v>
      </c>
      <c r="CO5966">
        <v>6</v>
      </c>
      <c r="CP5966" t="s">
        <v>119</v>
      </c>
      <c r="CQ5966">
        <v>343</v>
      </c>
      <c r="CR5966">
        <v>1</v>
      </c>
      <c r="CW5966">
        <v>11223654</v>
      </c>
      <c r="CY5966">
        <v>1</v>
      </c>
      <c r="CZ5966">
        <v>0</v>
      </c>
      <c r="DA5966">
        <v>1</v>
      </c>
      <c r="DB5966">
        <v>0</v>
      </c>
      <c r="DC5966">
        <v>0</v>
      </c>
      <c r="DD5966">
        <v>1</v>
      </c>
      <c r="DE5966">
        <v>0</v>
      </c>
      <c r="DF5966">
        <v>0</v>
      </c>
      <c r="DG5966">
        <v>0</v>
      </c>
      <c r="DH5966">
        <v>0</v>
      </c>
      <c r="DI5966">
        <v>0</v>
      </c>
    </row>
    <row r="5967" spans="1:113" x14ac:dyDescent="0.3">
      <c r="A5967" t="str">
        <f t="shared" si="2795"/>
        <v>05/12/2020 14:52:09.827</v>
      </c>
      <c r="C5967" t="str">
        <f t="shared" si="2769"/>
        <v>FFDFD3C0</v>
      </c>
      <c r="D5967" t="s">
        <v>134</v>
      </c>
      <c r="E5967">
        <v>12</v>
      </c>
      <c r="H5967">
        <v>64</v>
      </c>
      <c r="I5967" t="s">
        <v>135</v>
      </c>
      <c r="J5967" t="s">
        <v>136</v>
      </c>
      <c r="K5967">
        <v>0</v>
      </c>
      <c r="L5967">
        <v>3</v>
      </c>
      <c r="M5967">
        <v>0</v>
      </c>
      <c r="N5967">
        <v>2</v>
      </c>
      <c r="O5967">
        <v>1</v>
      </c>
      <c r="P5967">
        <v>0</v>
      </c>
      <c r="Q5967">
        <v>0</v>
      </c>
      <c r="S5967" t="str">
        <f t="shared" si="2796"/>
        <v>14:52:27.664</v>
      </c>
      <c r="T5967" t="str">
        <f t="shared" si="2797"/>
        <v>14:52:27.464</v>
      </c>
      <c r="U5967" t="str">
        <f t="shared" si="2794"/>
        <v>A9808D</v>
      </c>
      <c r="V5967">
        <v>0</v>
      </c>
      <c r="W5967">
        <v>0</v>
      </c>
      <c r="X5967">
        <v>1</v>
      </c>
      <c r="Z5967">
        <v>0</v>
      </c>
      <c r="AA5967">
        <v>9</v>
      </c>
      <c r="AB5967">
        <v>3</v>
      </c>
      <c r="AC5967">
        <v>0</v>
      </c>
      <c r="AD5967">
        <v>10</v>
      </c>
      <c r="AE5967">
        <v>0</v>
      </c>
      <c r="AF5967">
        <v>3</v>
      </c>
      <c r="AG5967">
        <v>2</v>
      </c>
      <c r="AH5967">
        <v>0</v>
      </c>
      <c r="AI5967" t="s">
        <v>1325</v>
      </c>
      <c r="AJ5967">
        <v>28.207118999999999</v>
      </c>
      <c r="AK5967" t="s">
        <v>1326</v>
      </c>
      <c r="AL5967">
        <v>-82.367999999999995</v>
      </c>
      <c r="AM5967">
        <v>100</v>
      </c>
      <c r="AN5967">
        <v>300</v>
      </c>
      <c r="AO5967" t="s">
        <v>118</v>
      </c>
      <c r="AP5967">
        <v>56</v>
      </c>
      <c r="AQ5967">
        <v>65</v>
      </c>
      <c r="AR5967">
        <v>-512</v>
      </c>
      <c r="AZ5967">
        <v>1200</v>
      </c>
      <c r="BA5967">
        <v>1</v>
      </c>
      <c r="BB5967" t="str">
        <f t="shared" si="2770"/>
        <v xml:space="preserve">N711JA  </v>
      </c>
      <c r="BC5967">
        <v>1</v>
      </c>
      <c r="BE5967">
        <v>0</v>
      </c>
      <c r="BF5967">
        <v>0</v>
      </c>
      <c r="BG5967">
        <v>0</v>
      </c>
      <c r="BH5967">
        <v>350</v>
      </c>
      <c r="BI5967">
        <v>1</v>
      </c>
      <c r="BJ5967">
        <v>1</v>
      </c>
      <c r="BK5967">
        <v>0</v>
      </c>
      <c r="BL5967">
        <v>0</v>
      </c>
      <c r="BO5967">
        <v>0</v>
      </c>
      <c r="BP5967">
        <v>0</v>
      </c>
      <c r="BW5967" t="str">
        <f t="shared" si="2798"/>
        <v>14:52:27.665</v>
      </c>
      <c r="CJ5967">
        <v>0</v>
      </c>
      <c r="CK5967">
        <v>2</v>
      </c>
      <c r="CL5967">
        <v>0</v>
      </c>
      <c r="CM5967">
        <v>2</v>
      </c>
      <c r="CN5967">
        <v>0</v>
      </c>
      <c r="CO5967">
        <v>6</v>
      </c>
      <c r="CP5967" t="s">
        <v>119</v>
      </c>
      <c r="CQ5967">
        <v>343</v>
      </c>
      <c r="CR5967">
        <v>1</v>
      </c>
      <c r="CW5967">
        <v>11223654</v>
      </c>
      <c r="CY5967">
        <v>1</v>
      </c>
      <c r="CZ5967">
        <v>0</v>
      </c>
      <c r="DA5967">
        <v>1</v>
      </c>
      <c r="DB5967">
        <v>0</v>
      </c>
      <c r="DC5967">
        <v>0</v>
      </c>
      <c r="DD5967">
        <v>1</v>
      </c>
      <c r="DE5967">
        <v>0</v>
      </c>
      <c r="DF5967">
        <v>0</v>
      </c>
      <c r="DG5967">
        <v>0</v>
      </c>
      <c r="DH5967">
        <v>0</v>
      </c>
      <c r="DI5967">
        <v>0</v>
      </c>
    </row>
    <row r="5968" spans="1:113" x14ac:dyDescent="0.3">
      <c r="A5968" t="str">
        <f t="shared" si="2795"/>
        <v>05/12/2020 14:52:09.827</v>
      </c>
      <c r="C5968" t="str">
        <f t="shared" si="2769"/>
        <v>FFDFD3C0</v>
      </c>
      <c r="D5968" t="s">
        <v>126</v>
      </c>
      <c r="E5968">
        <v>6</v>
      </c>
      <c r="F5968">
        <v>1006</v>
      </c>
      <c r="G5968" t="s">
        <v>114</v>
      </c>
      <c r="J5968" t="s">
        <v>128</v>
      </c>
      <c r="K5968">
        <v>0</v>
      </c>
      <c r="L5968">
        <v>3</v>
      </c>
      <c r="M5968">
        <v>0</v>
      </c>
      <c r="N5968">
        <v>2</v>
      </c>
      <c r="O5968">
        <v>1</v>
      </c>
      <c r="P5968">
        <v>0</v>
      </c>
      <c r="Q5968">
        <v>0</v>
      </c>
      <c r="S5968" t="str">
        <f t="shared" si="2796"/>
        <v>14:52:27.664</v>
      </c>
      <c r="T5968" t="str">
        <f t="shared" si="2797"/>
        <v>14:52:27.464</v>
      </c>
      <c r="U5968" t="str">
        <f t="shared" si="2794"/>
        <v>A9808D</v>
      </c>
      <c r="V5968">
        <v>0</v>
      </c>
      <c r="W5968">
        <v>0</v>
      </c>
      <c r="X5968">
        <v>1</v>
      </c>
      <c r="Z5968">
        <v>0</v>
      </c>
      <c r="AA5968">
        <v>9</v>
      </c>
      <c r="AB5968">
        <v>3</v>
      </c>
      <c r="AC5968">
        <v>0</v>
      </c>
      <c r="AD5968">
        <v>10</v>
      </c>
      <c r="AE5968">
        <v>0</v>
      </c>
      <c r="AF5968">
        <v>3</v>
      </c>
      <c r="AG5968">
        <v>2</v>
      </c>
      <c r="AH5968">
        <v>0</v>
      </c>
      <c r="AI5968" t="s">
        <v>1325</v>
      </c>
      <c r="AJ5968">
        <v>28.207118999999999</v>
      </c>
      <c r="AK5968" t="s">
        <v>1326</v>
      </c>
      <c r="AL5968">
        <v>-82.367999999999995</v>
      </c>
      <c r="AM5968">
        <v>100</v>
      </c>
      <c r="AN5968">
        <v>300</v>
      </c>
      <c r="AO5968" t="s">
        <v>118</v>
      </c>
      <c r="AP5968">
        <v>56</v>
      </c>
      <c r="AQ5968">
        <v>65</v>
      </c>
      <c r="AR5968">
        <v>-512</v>
      </c>
      <c r="AZ5968">
        <v>1200</v>
      </c>
      <c r="BA5968">
        <v>1</v>
      </c>
      <c r="BB5968" t="str">
        <f t="shared" si="2770"/>
        <v xml:space="preserve">N711JA  </v>
      </c>
      <c r="BC5968">
        <v>1</v>
      </c>
      <c r="BE5968">
        <v>0</v>
      </c>
      <c r="BF5968">
        <v>0</v>
      </c>
      <c r="BG5968">
        <v>0</v>
      </c>
      <c r="BH5968">
        <v>350</v>
      </c>
      <c r="BI5968">
        <v>1</v>
      </c>
      <c r="BJ5968">
        <v>1</v>
      </c>
      <c r="BK5968">
        <v>0</v>
      </c>
      <c r="BL5968">
        <v>0</v>
      </c>
      <c r="BO5968">
        <v>0</v>
      </c>
      <c r="BP5968">
        <v>0</v>
      </c>
      <c r="BW5968" t="str">
        <f t="shared" si="2798"/>
        <v>14:52:27.665</v>
      </c>
      <c r="CJ5968">
        <v>0</v>
      </c>
      <c r="CK5968">
        <v>2</v>
      </c>
      <c r="CL5968">
        <v>0</v>
      </c>
      <c r="CM5968">
        <v>2</v>
      </c>
      <c r="CN5968">
        <v>0</v>
      </c>
      <c r="CO5968">
        <v>6</v>
      </c>
      <c r="CP5968" t="s">
        <v>119</v>
      </c>
      <c r="CQ5968">
        <v>343</v>
      </c>
      <c r="CR5968">
        <v>1</v>
      </c>
      <c r="CW5968">
        <v>11223654</v>
      </c>
      <c r="CY5968">
        <v>1</v>
      </c>
      <c r="CZ5968">
        <v>0</v>
      </c>
      <c r="DA5968">
        <v>1</v>
      </c>
      <c r="DB5968">
        <v>0</v>
      </c>
      <c r="DC5968">
        <v>0</v>
      </c>
      <c r="DD5968">
        <v>1</v>
      </c>
      <c r="DE5968">
        <v>0</v>
      </c>
      <c r="DF5968">
        <v>0</v>
      </c>
      <c r="DG5968">
        <v>0</v>
      </c>
      <c r="DH5968">
        <v>0</v>
      </c>
      <c r="DI5968">
        <v>0</v>
      </c>
    </row>
    <row r="5969" spans="1:113" x14ac:dyDescent="0.3">
      <c r="A5969" t="str">
        <f t="shared" ref="A5969:A5976" si="2799">"05/12/2020 14:52:11.274"</f>
        <v>05/12/2020 14:52:11.274</v>
      </c>
      <c r="C5969" t="str">
        <f t="shared" si="2769"/>
        <v>FFDFD3C0</v>
      </c>
      <c r="D5969" t="s">
        <v>126</v>
      </c>
      <c r="E5969">
        <v>6</v>
      </c>
      <c r="F5969">
        <v>1006</v>
      </c>
      <c r="G5969" t="s">
        <v>114</v>
      </c>
      <c r="J5969" t="s">
        <v>128</v>
      </c>
      <c r="K5969">
        <v>0</v>
      </c>
      <c r="L5969">
        <v>3</v>
      </c>
      <c r="M5969">
        <v>0</v>
      </c>
      <c r="N5969">
        <v>2</v>
      </c>
      <c r="O5969">
        <v>1</v>
      </c>
      <c r="P5969">
        <v>0</v>
      </c>
      <c r="Q5969">
        <v>0</v>
      </c>
      <c r="S5969" t="str">
        <f t="shared" ref="S5969:S5976" si="2800">"14:52:29.078"</f>
        <v>14:52:29.078</v>
      </c>
      <c r="T5969" t="str">
        <f t="shared" ref="T5969:T5976" si="2801">"14:52:28.578"</f>
        <v>14:52:28.578</v>
      </c>
      <c r="U5969" t="str">
        <f t="shared" si="2794"/>
        <v>A9808D</v>
      </c>
      <c r="V5969">
        <v>0</v>
      </c>
      <c r="W5969">
        <v>0</v>
      </c>
      <c r="X5969">
        <v>1</v>
      </c>
      <c r="Z5969">
        <v>0</v>
      </c>
      <c r="AA5969">
        <v>9</v>
      </c>
      <c r="AB5969">
        <v>3</v>
      </c>
      <c r="AC5969">
        <v>0</v>
      </c>
      <c r="AD5969">
        <v>10</v>
      </c>
      <c r="AE5969">
        <v>0</v>
      </c>
      <c r="AF5969">
        <v>3</v>
      </c>
      <c r="AG5969">
        <v>2</v>
      </c>
      <c r="AH5969">
        <v>0</v>
      </c>
      <c r="AI5969" t="s">
        <v>1327</v>
      </c>
      <c r="AJ5969">
        <v>28.207591000000001</v>
      </c>
      <c r="AK5969" t="s">
        <v>1328</v>
      </c>
      <c r="AL5969">
        <v>-82.367635000000007</v>
      </c>
      <c r="AM5969">
        <v>100</v>
      </c>
      <c r="AN5969">
        <v>300</v>
      </c>
      <c r="AO5969" t="s">
        <v>118</v>
      </c>
      <c r="AP5969">
        <v>50</v>
      </c>
      <c r="AQ5969">
        <v>69</v>
      </c>
      <c r="AR5969">
        <v>-640</v>
      </c>
      <c r="AZ5969">
        <v>1200</v>
      </c>
      <c r="BA5969">
        <v>1</v>
      </c>
      <c r="BB5969" t="str">
        <f t="shared" si="2770"/>
        <v xml:space="preserve">N711JA  </v>
      </c>
      <c r="BC5969">
        <v>1</v>
      </c>
      <c r="BE5969">
        <v>0</v>
      </c>
      <c r="BF5969">
        <v>0</v>
      </c>
      <c r="BG5969">
        <v>0</v>
      </c>
      <c r="BH5969">
        <v>325</v>
      </c>
      <c r="BI5969">
        <v>1</v>
      </c>
      <c r="BJ5969">
        <v>1</v>
      </c>
      <c r="BK5969">
        <v>0</v>
      </c>
      <c r="BL5969">
        <v>0</v>
      </c>
      <c r="BO5969">
        <v>0</v>
      </c>
      <c r="BP5969">
        <v>0</v>
      </c>
      <c r="BW5969" t="str">
        <f t="shared" ref="BW5969:BW5976" si="2802">"14:52:29.079"</f>
        <v>14:52:29.079</v>
      </c>
      <c r="CJ5969">
        <v>0</v>
      </c>
      <c r="CK5969">
        <v>2</v>
      </c>
      <c r="CL5969">
        <v>0</v>
      </c>
      <c r="CM5969">
        <v>2</v>
      </c>
      <c r="CN5969">
        <v>0</v>
      </c>
      <c r="CO5969">
        <v>1</v>
      </c>
      <c r="CP5969" t="s">
        <v>119</v>
      </c>
      <c r="CQ5969">
        <v>8</v>
      </c>
      <c r="CR5969">
        <v>3</v>
      </c>
      <c r="CW5969">
        <v>9348096</v>
      </c>
      <c r="CY5969">
        <v>1</v>
      </c>
      <c r="CZ5969">
        <v>0</v>
      </c>
      <c r="DA5969">
        <v>0</v>
      </c>
      <c r="DB5969">
        <v>0</v>
      </c>
      <c r="DC5969">
        <v>0</v>
      </c>
      <c r="DD5969">
        <v>1</v>
      </c>
      <c r="DE5969">
        <v>0</v>
      </c>
      <c r="DF5969">
        <v>0</v>
      </c>
      <c r="DG5969">
        <v>0</v>
      </c>
      <c r="DH5969">
        <v>0</v>
      </c>
      <c r="DI5969">
        <v>0</v>
      </c>
    </row>
    <row r="5970" spans="1:113" x14ac:dyDescent="0.3">
      <c r="A5970" t="str">
        <f t="shared" si="2799"/>
        <v>05/12/2020 14:52:11.274</v>
      </c>
      <c r="C5970" t="str">
        <f t="shared" si="2769"/>
        <v>FFDFD3C0</v>
      </c>
      <c r="D5970" t="s">
        <v>134</v>
      </c>
      <c r="E5970">
        <v>12</v>
      </c>
      <c r="H5970">
        <v>64</v>
      </c>
      <c r="I5970" t="s">
        <v>135</v>
      </c>
      <c r="J5970" t="s">
        <v>136</v>
      </c>
      <c r="K5970">
        <v>0</v>
      </c>
      <c r="L5970">
        <v>3</v>
      </c>
      <c r="M5970">
        <v>0</v>
      </c>
      <c r="N5970">
        <v>2</v>
      </c>
      <c r="O5970">
        <v>1</v>
      </c>
      <c r="P5970">
        <v>0</v>
      </c>
      <c r="Q5970">
        <v>0</v>
      </c>
      <c r="S5970" t="str">
        <f t="shared" si="2800"/>
        <v>14:52:29.078</v>
      </c>
      <c r="T5970" t="str">
        <f t="shared" si="2801"/>
        <v>14:52:28.578</v>
      </c>
      <c r="U5970" t="str">
        <f t="shared" si="2794"/>
        <v>A9808D</v>
      </c>
      <c r="V5970">
        <v>0</v>
      </c>
      <c r="W5970">
        <v>0</v>
      </c>
      <c r="X5970">
        <v>1</v>
      </c>
      <c r="Z5970">
        <v>0</v>
      </c>
      <c r="AA5970">
        <v>9</v>
      </c>
      <c r="AB5970">
        <v>3</v>
      </c>
      <c r="AC5970">
        <v>0</v>
      </c>
      <c r="AD5970">
        <v>10</v>
      </c>
      <c r="AE5970">
        <v>0</v>
      </c>
      <c r="AF5970">
        <v>3</v>
      </c>
      <c r="AG5970">
        <v>2</v>
      </c>
      <c r="AH5970">
        <v>0</v>
      </c>
      <c r="AI5970" t="s">
        <v>1327</v>
      </c>
      <c r="AJ5970">
        <v>28.207591000000001</v>
      </c>
      <c r="AK5970" t="s">
        <v>1328</v>
      </c>
      <c r="AL5970">
        <v>-82.367635000000007</v>
      </c>
      <c r="AM5970">
        <v>100</v>
      </c>
      <c r="AN5970">
        <v>300</v>
      </c>
      <c r="AO5970" t="s">
        <v>118</v>
      </c>
      <c r="AP5970">
        <v>50</v>
      </c>
      <c r="AQ5970">
        <v>69</v>
      </c>
      <c r="AR5970">
        <v>-640</v>
      </c>
      <c r="AZ5970">
        <v>1200</v>
      </c>
      <c r="BA5970">
        <v>1</v>
      </c>
      <c r="BB5970" t="str">
        <f t="shared" si="2770"/>
        <v xml:space="preserve">N711JA  </v>
      </c>
      <c r="BC5970">
        <v>1</v>
      </c>
      <c r="BE5970">
        <v>0</v>
      </c>
      <c r="BF5970">
        <v>0</v>
      </c>
      <c r="BG5970">
        <v>0</v>
      </c>
      <c r="BH5970">
        <v>325</v>
      </c>
      <c r="BI5970">
        <v>1</v>
      </c>
      <c r="BJ5970">
        <v>1</v>
      </c>
      <c r="BK5970">
        <v>0</v>
      </c>
      <c r="BL5970">
        <v>0</v>
      </c>
      <c r="BO5970">
        <v>0</v>
      </c>
      <c r="BP5970">
        <v>0</v>
      </c>
      <c r="BW5970" t="str">
        <f t="shared" si="2802"/>
        <v>14:52:29.079</v>
      </c>
      <c r="CJ5970">
        <v>0</v>
      </c>
      <c r="CK5970">
        <v>2</v>
      </c>
      <c r="CL5970">
        <v>0</v>
      </c>
      <c r="CM5970">
        <v>2</v>
      </c>
      <c r="CN5970">
        <v>0</v>
      </c>
      <c r="CO5970">
        <v>1</v>
      </c>
      <c r="CP5970" t="s">
        <v>119</v>
      </c>
      <c r="CQ5970">
        <v>8</v>
      </c>
      <c r="CR5970">
        <v>3</v>
      </c>
      <c r="CW5970">
        <v>9348096</v>
      </c>
      <c r="CY5970">
        <v>1</v>
      </c>
      <c r="CZ5970">
        <v>0</v>
      </c>
      <c r="DA5970">
        <v>1</v>
      </c>
      <c r="DB5970">
        <v>0</v>
      </c>
      <c r="DC5970">
        <v>0</v>
      </c>
      <c r="DD5970">
        <v>1</v>
      </c>
      <c r="DE5970">
        <v>0</v>
      </c>
      <c r="DF5970">
        <v>0</v>
      </c>
      <c r="DG5970">
        <v>0</v>
      </c>
      <c r="DH5970">
        <v>0</v>
      </c>
      <c r="DI5970">
        <v>0</v>
      </c>
    </row>
    <row r="5971" spans="1:113" x14ac:dyDescent="0.3">
      <c r="A5971" t="str">
        <f t="shared" si="2799"/>
        <v>05/12/2020 14:52:11.274</v>
      </c>
      <c r="C5971" t="str">
        <f t="shared" si="2769"/>
        <v>FFDFD3C0</v>
      </c>
      <c r="D5971" t="s">
        <v>138</v>
      </c>
      <c r="E5971">
        <v>2</v>
      </c>
      <c r="H5971">
        <v>8</v>
      </c>
      <c r="I5971" t="s">
        <v>139</v>
      </c>
      <c r="J5971" t="s">
        <v>136</v>
      </c>
      <c r="K5971">
        <v>0</v>
      </c>
      <c r="L5971">
        <v>3</v>
      </c>
      <c r="M5971">
        <v>0</v>
      </c>
      <c r="N5971">
        <v>2</v>
      </c>
      <c r="O5971">
        <v>1</v>
      </c>
      <c r="P5971">
        <v>0</v>
      </c>
      <c r="Q5971">
        <v>0</v>
      </c>
      <c r="S5971" t="str">
        <f t="shared" si="2800"/>
        <v>14:52:29.078</v>
      </c>
      <c r="T5971" t="str">
        <f t="shared" si="2801"/>
        <v>14:52:28.578</v>
      </c>
      <c r="U5971" t="str">
        <f t="shared" si="2794"/>
        <v>A9808D</v>
      </c>
      <c r="V5971">
        <v>0</v>
      </c>
      <c r="W5971">
        <v>0</v>
      </c>
      <c r="X5971">
        <v>1</v>
      </c>
      <c r="Z5971">
        <v>0</v>
      </c>
      <c r="AA5971">
        <v>9</v>
      </c>
      <c r="AB5971">
        <v>3</v>
      </c>
      <c r="AC5971">
        <v>0</v>
      </c>
      <c r="AD5971">
        <v>10</v>
      </c>
      <c r="AE5971">
        <v>0</v>
      </c>
      <c r="AF5971">
        <v>3</v>
      </c>
      <c r="AG5971">
        <v>2</v>
      </c>
      <c r="AH5971">
        <v>0</v>
      </c>
      <c r="AI5971" t="s">
        <v>1327</v>
      </c>
      <c r="AJ5971">
        <v>28.207591000000001</v>
      </c>
      <c r="AK5971" t="s">
        <v>1328</v>
      </c>
      <c r="AL5971">
        <v>-82.367635000000007</v>
      </c>
      <c r="AM5971">
        <v>100</v>
      </c>
      <c r="AN5971">
        <v>300</v>
      </c>
      <c r="AO5971" t="s">
        <v>118</v>
      </c>
      <c r="AP5971">
        <v>50</v>
      </c>
      <c r="AQ5971">
        <v>69</v>
      </c>
      <c r="AR5971">
        <v>-640</v>
      </c>
      <c r="AZ5971">
        <v>1200</v>
      </c>
      <c r="BA5971">
        <v>1</v>
      </c>
      <c r="BB5971" t="str">
        <f t="shared" si="2770"/>
        <v xml:space="preserve">N711JA  </v>
      </c>
      <c r="BC5971">
        <v>1</v>
      </c>
      <c r="BE5971">
        <v>0</v>
      </c>
      <c r="BF5971">
        <v>0</v>
      </c>
      <c r="BG5971">
        <v>0</v>
      </c>
      <c r="BH5971">
        <v>325</v>
      </c>
      <c r="BI5971">
        <v>1</v>
      </c>
      <c r="BJ5971">
        <v>1</v>
      </c>
      <c r="BK5971">
        <v>0</v>
      </c>
      <c r="BL5971">
        <v>0</v>
      </c>
      <c r="BO5971">
        <v>0</v>
      </c>
      <c r="BP5971">
        <v>0</v>
      </c>
      <c r="BW5971" t="str">
        <f t="shared" si="2802"/>
        <v>14:52:29.079</v>
      </c>
      <c r="CJ5971">
        <v>0</v>
      </c>
      <c r="CK5971">
        <v>2</v>
      </c>
      <c r="CL5971">
        <v>0</v>
      </c>
      <c r="CM5971">
        <v>2</v>
      </c>
      <c r="CN5971">
        <v>0</v>
      </c>
      <c r="CO5971">
        <v>1</v>
      </c>
      <c r="CP5971" t="s">
        <v>119</v>
      </c>
      <c r="CQ5971">
        <v>8</v>
      </c>
      <c r="CR5971">
        <v>3</v>
      </c>
      <c r="CW5971">
        <v>9348096</v>
      </c>
      <c r="CY5971">
        <v>1</v>
      </c>
      <c r="CZ5971">
        <v>0</v>
      </c>
      <c r="DA5971">
        <v>1</v>
      </c>
      <c r="DB5971">
        <v>0</v>
      </c>
      <c r="DC5971">
        <v>0</v>
      </c>
      <c r="DD5971">
        <v>1</v>
      </c>
      <c r="DE5971">
        <v>0</v>
      </c>
      <c r="DF5971">
        <v>0</v>
      </c>
      <c r="DG5971">
        <v>0</v>
      </c>
      <c r="DH5971">
        <v>0</v>
      </c>
      <c r="DI5971">
        <v>0</v>
      </c>
    </row>
    <row r="5972" spans="1:113" x14ac:dyDescent="0.3">
      <c r="A5972" t="str">
        <f t="shared" si="2799"/>
        <v>05/12/2020 14:52:11.274</v>
      </c>
      <c r="C5972" t="str">
        <f t="shared" si="2769"/>
        <v>FFDFD3C0</v>
      </c>
      <c r="D5972" t="s">
        <v>138</v>
      </c>
      <c r="E5972">
        <v>3</v>
      </c>
      <c r="H5972">
        <v>9</v>
      </c>
      <c r="I5972" t="s">
        <v>140</v>
      </c>
      <c r="J5972" t="s">
        <v>136</v>
      </c>
      <c r="K5972">
        <v>0</v>
      </c>
      <c r="L5972">
        <v>3</v>
      </c>
      <c r="M5972">
        <v>0</v>
      </c>
      <c r="N5972">
        <v>2</v>
      </c>
      <c r="O5972">
        <v>1</v>
      </c>
      <c r="P5972">
        <v>0</v>
      </c>
      <c r="Q5972">
        <v>0</v>
      </c>
      <c r="S5972" t="str">
        <f t="shared" si="2800"/>
        <v>14:52:29.078</v>
      </c>
      <c r="T5972" t="str">
        <f t="shared" si="2801"/>
        <v>14:52:28.578</v>
      </c>
      <c r="U5972" t="str">
        <f t="shared" si="2794"/>
        <v>A9808D</v>
      </c>
      <c r="V5972">
        <v>0</v>
      </c>
      <c r="W5972">
        <v>0</v>
      </c>
      <c r="X5972">
        <v>1</v>
      </c>
      <c r="Z5972">
        <v>0</v>
      </c>
      <c r="AA5972">
        <v>9</v>
      </c>
      <c r="AB5972">
        <v>3</v>
      </c>
      <c r="AC5972">
        <v>0</v>
      </c>
      <c r="AD5972">
        <v>10</v>
      </c>
      <c r="AE5972">
        <v>0</v>
      </c>
      <c r="AF5972">
        <v>3</v>
      </c>
      <c r="AG5972">
        <v>2</v>
      </c>
      <c r="AH5972">
        <v>0</v>
      </c>
      <c r="AI5972" t="s">
        <v>1327</v>
      </c>
      <c r="AJ5972">
        <v>28.207591000000001</v>
      </c>
      <c r="AK5972" t="s">
        <v>1328</v>
      </c>
      <c r="AL5972">
        <v>-82.367635000000007</v>
      </c>
      <c r="AM5972">
        <v>100</v>
      </c>
      <c r="AN5972">
        <v>300</v>
      </c>
      <c r="AO5972" t="s">
        <v>118</v>
      </c>
      <c r="AP5972">
        <v>50</v>
      </c>
      <c r="AQ5972">
        <v>69</v>
      </c>
      <c r="AR5972">
        <v>-640</v>
      </c>
      <c r="AZ5972">
        <v>1200</v>
      </c>
      <c r="BA5972">
        <v>1</v>
      </c>
      <c r="BB5972" t="str">
        <f t="shared" si="2770"/>
        <v xml:space="preserve">N711JA  </v>
      </c>
      <c r="BC5972">
        <v>1</v>
      </c>
      <c r="BE5972">
        <v>0</v>
      </c>
      <c r="BF5972">
        <v>0</v>
      </c>
      <c r="BG5972">
        <v>0</v>
      </c>
      <c r="BH5972">
        <v>325</v>
      </c>
      <c r="BI5972">
        <v>1</v>
      </c>
      <c r="BJ5972">
        <v>1</v>
      </c>
      <c r="BK5972">
        <v>0</v>
      </c>
      <c r="BL5972">
        <v>0</v>
      </c>
      <c r="BO5972">
        <v>0</v>
      </c>
      <c r="BP5972">
        <v>0</v>
      </c>
      <c r="BW5972" t="str">
        <f t="shared" si="2802"/>
        <v>14:52:29.079</v>
      </c>
      <c r="CJ5972">
        <v>0</v>
      </c>
      <c r="CK5972">
        <v>2</v>
      </c>
      <c r="CL5972">
        <v>0</v>
      </c>
      <c r="CM5972">
        <v>2</v>
      </c>
      <c r="CN5972">
        <v>0</v>
      </c>
      <c r="CO5972">
        <v>1</v>
      </c>
      <c r="CP5972" t="s">
        <v>119</v>
      </c>
      <c r="CQ5972">
        <v>8</v>
      </c>
      <c r="CR5972">
        <v>3</v>
      </c>
      <c r="CW5972">
        <v>9348096</v>
      </c>
      <c r="CY5972">
        <v>1</v>
      </c>
      <c r="CZ5972">
        <v>0</v>
      </c>
      <c r="DA5972">
        <v>1</v>
      </c>
      <c r="DB5972">
        <v>0</v>
      </c>
      <c r="DC5972">
        <v>0</v>
      </c>
      <c r="DD5972">
        <v>1</v>
      </c>
      <c r="DE5972">
        <v>0</v>
      </c>
      <c r="DF5972">
        <v>0</v>
      </c>
      <c r="DG5972">
        <v>0</v>
      </c>
      <c r="DH5972">
        <v>0</v>
      </c>
      <c r="DI5972">
        <v>0</v>
      </c>
    </row>
    <row r="5973" spans="1:113" x14ac:dyDescent="0.3">
      <c r="A5973" t="str">
        <f t="shared" si="2799"/>
        <v>05/12/2020 14:52:11.274</v>
      </c>
      <c r="C5973" t="str">
        <f t="shared" si="2769"/>
        <v>FFDFD3C0</v>
      </c>
      <c r="D5973" t="s">
        <v>126</v>
      </c>
      <c r="E5973">
        <v>7</v>
      </c>
      <c r="F5973">
        <v>1007</v>
      </c>
      <c r="G5973" t="s">
        <v>127</v>
      </c>
      <c r="J5973" t="s">
        <v>128</v>
      </c>
      <c r="K5973">
        <v>0</v>
      </c>
      <c r="L5973">
        <v>3</v>
      </c>
      <c r="M5973">
        <v>0</v>
      </c>
      <c r="N5973">
        <v>2</v>
      </c>
      <c r="O5973">
        <v>1</v>
      </c>
      <c r="P5973">
        <v>0</v>
      </c>
      <c r="Q5973">
        <v>0</v>
      </c>
      <c r="S5973" t="str">
        <f t="shared" si="2800"/>
        <v>14:52:29.078</v>
      </c>
      <c r="T5973" t="str">
        <f t="shared" si="2801"/>
        <v>14:52:28.578</v>
      </c>
      <c r="U5973" t="str">
        <f t="shared" si="2794"/>
        <v>A9808D</v>
      </c>
      <c r="V5973">
        <v>0</v>
      </c>
      <c r="W5973">
        <v>0</v>
      </c>
      <c r="X5973">
        <v>1</v>
      </c>
      <c r="Z5973">
        <v>0</v>
      </c>
      <c r="AA5973">
        <v>9</v>
      </c>
      <c r="AB5973">
        <v>3</v>
      </c>
      <c r="AC5973">
        <v>0</v>
      </c>
      <c r="AD5973">
        <v>10</v>
      </c>
      <c r="AE5973">
        <v>0</v>
      </c>
      <c r="AF5973">
        <v>3</v>
      </c>
      <c r="AG5973">
        <v>2</v>
      </c>
      <c r="AH5973">
        <v>0</v>
      </c>
      <c r="AI5973" t="s">
        <v>1327</v>
      </c>
      <c r="AJ5973">
        <v>28.207591000000001</v>
      </c>
      <c r="AK5973" t="s">
        <v>1328</v>
      </c>
      <c r="AL5973">
        <v>-82.367635000000007</v>
      </c>
      <c r="AM5973">
        <v>100</v>
      </c>
      <c r="AN5973">
        <v>300</v>
      </c>
      <c r="AO5973" t="s">
        <v>118</v>
      </c>
      <c r="AP5973">
        <v>50</v>
      </c>
      <c r="AQ5973">
        <v>69</v>
      </c>
      <c r="AR5973">
        <v>-640</v>
      </c>
      <c r="AZ5973">
        <v>1200</v>
      </c>
      <c r="BA5973">
        <v>1</v>
      </c>
      <c r="BB5973" t="str">
        <f t="shared" si="2770"/>
        <v xml:space="preserve">N711JA  </v>
      </c>
      <c r="BC5973">
        <v>1</v>
      </c>
      <c r="BE5973">
        <v>0</v>
      </c>
      <c r="BF5973">
        <v>0</v>
      </c>
      <c r="BG5973">
        <v>0</v>
      </c>
      <c r="BH5973">
        <v>325</v>
      </c>
      <c r="BI5973">
        <v>1</v>
      </c>
      <c r="BJ5973">
        <v>1</v>
      </c>
      <c r="BK5973">
        <v>0</v>
      </c>
      <c r="BL5973">
        <v>0</v>
      </c>
      <c r="BO5973">
        <v>0</v>
      </c>
      <c r="BP5973">
        <v>0</v>
      </c>
      <c r="BW5973" t="str">
        <f t="shared" si="2802"/>
        <v>14:52:29.079</v>
      </c>
      <c r="CJ5973">
        <v>0</v>
      </c>
      <c r="CK5973">
        <v>2</v>
      </c>
      <c r="CL5973">
        <v>0</v>
      </c>
      <c r="CM5973">
        <v>2</v>
      </c>
      <c r="CN5973">
        <v>0</v>
      </c>
      <c r="CO5973">
        <v>1</v>
      </c>
      <c r="CP5973" t="s">
        <v>119</v>
      </c>
      <c r="CQ5973">
        <v>8</v>
      </c>
      <c r="CR5973">
        <v>3</v>
      </c>
      <c r="CW5973">
        <v>9348096</v>
      </c>
      <c r="CY5973">
        <v>1</v>
      </c>
      <c r="CZ5973">
        <v>0</v>
      </c>
      <c r="DA5973">
        <v>1</v>
      </c>
      <c r="DB5973">
        <v>0</v>
      </c>
      <c r="DC5973">
        <v>0</v>
      </c>
      <c r="DD5973">
        <v>1</v>
      </c>
      <c r="DE5973">
        <v>0</v>
      </c>
      <c r="DF5973">
        <v>0</v>
      </c>
      <c r="DG5973">
        <v>0</v>
      </c>
      <c r="DH5973">
        <v>0</v>
      </c>
      <c r="DI5973">
        <v>0</v>
      </c>
    </row>
    <row r="5974" spans="1:113" x14ac:dyDescent="0.3">
      <c r="A5974" t="str">
        <f t="shared" si="2799"/>
        <v>05/12/2020 14:52:11.274</v>
      </c>
      <c r="C5974" t="str">
        <f t="shared" ref="C5974:C6037" si="2803">"FFDFD3C0"</f>
        <v>FFDFD3C0</v>
      </c>
      <c r="D5974" t="s">
        <v>131</v>
      </c>
      <c r="E5974">
        <v>10</v>
      </c>
      <c r="F5974">
        <v>2010</v>
      </c>
      <c r="G5974" t="s">
        <v>132</v>
      </c>
      <c r="J5974" t="s">
        <v>133</v>
      </c>
      <c r="K5974">
        <v>0</v>
      </c>
      <c r="L5974">
        <v>3</v>
      </c>
      <c r="M5974">
        <v>0</v>
      </c>
      <c r="N5974">
        <v>2</v>
      </c>
      <c r="O5974">
        <v>1</v>
      </c>
      <c r="P5974">
        <v>0</v>
      </c>
      <c r="Q5974">
        <v>0</v>
      </c>
      <c r="S5974" t="str">
        <f t="shared" si="2800"/>
        <v>14:52:29.078</v>
      </c>
      <c r="T5974" t="str">
        <f t="shared" si="2801"/>
        <v>14:52:28.578</v>
      </c>
      <c r="U5974" t="str">
        <f t="shared" si="2794"/>
        <v>A9808D</v>
      </c>
      <c r="V5974">
        <v>0</v>
      </c>
      <c r="W5974">
        <v>0</v>
      </c>
      <c r="X5974">
        <v>1</v>
      </c>
      <c r="Z5974">
        <v>0</v>
      </c>
      <c r="AA5974">
        <v>9</v>
      </c>
      <c r="AB5974">
        <v>3</v>
      </c>
      <c r="AC5974">
        <v>0</v>
      </c>
      <c r="AD5974">
        <v>10</v>
      </c>
      <c r="AE5974">
        <v>0</v>
      </c>
      <c r="AF5974">
        <v>3</v>
      </c>
      <c r="AG5974">
        <v>2</v>
      </c>
      <c r="AH5974">
        <v>0</v>
      </c>
      <c r="AI5974" t="s">
        <v>1327</v>
      </c>
      <c r="AJ5974">
        <v>28.207591000000001</v>
      </c>
      <c r="AK5974" t="s">
        <v>1328</v>
      </c>
      <c r="AL5974">
        <v>-82.367635000000007</v>
      </c>
      <c r="AM5974">
        <v>100</v>
      </c>
      <c r="AN5974">
        <v>300</v>
      </c>
      <c r="AO5974" t="s">
        <v>118</v>
      </c>
      <c r="AP5974">
        <v>50</v>
      </c>
      <c r="AQ5974">
        <v>69</v>
      </c>
      <c r="AR5974">
        <v>-640</v>
      </c>
      <c r="AZ5974">
        <v>1200</v>
      </c>
      <c r="BA5974">
        <v>1</v>
      </c>
      <c r="BB5974" t="str">
        <f t="shared" ref="BB5974:BB6037" si="2804">"N711JA  "</f>
        <v xml:space="preserve">N711JA  </v>
      </c>
      <c r="BC5974">
        <v>1</v>
      </c>
      <c r="BE5974">
        <v>0</v>
      </c>
      <c r="BF5974">
        <v>0</v>
      </c>
      <c r="BG5974">
        <v>0</v>
      </c>
      <c r="BH5974">
        <v>325</v>
      </c>
      <c r="BI5974">
        <v>1</v>
      </c>
      <c r="BJ5974">
        <v>1</v>
      </c>
      <c r="BK5974">
        <v>0</v>
      </c>
      <c r="BL5974">
        <v>0</v>
      </c>
      <c r="BO5974">
        <v>0</v>
      </c>
      <c r="BP5974">
        <v>0</v>
      </c>
      <c r="BW5974" t="str">
        <f t="shared" si="2802"/>
        <v>14:52:29.079</v>
      </c>
      <c r="CJ5974">
        <v>0</v>
      </c>
      <c r="CK5974">
        <v>2</v>
      </c>
      <c r="CL5974">
        <v>0</v>
      </c>
      <c r="CM5974">
        <v>2</v>
      </c>
      <c r="CN5974">
        <v>0</v>
      </c>
      <c r="CO5974">
        <v>1</v>
      </c>
      <c r="CP5974" t="s">
        <v>119</v>
      </c>
      <c r="CQ5974">
        <v>8</v>
      </c>
      <c r="CR5974">
        <v>3</v>
      </c>
      <c r="CW5974">
        <v>9348096</v>
      </c>
      <c r="CY5974">
        <v>1</v>
      </c>
      <c r="CZ5974">
        <v>0</v>
      </c>
      <c r="DA5974">
        <v>1</v>
      </c>
      <c r="DB5974">
        <v>0</v>
      </c>
      <c r="DC5974">
        <v>0</v>
      </c>
      <c r="DD5974">
        <v>1</v>
      </c>
      <c r="DE5974">
        <v>0</v>
      </c>
      <c r="DF5974">
        <v>0</v>
      </c>
      <c r="DG5974">
        <v>0</v>
      </c>
      <c r="DH5974">
        <v>0</v>
      </c>
      <c r="DI5974">
        <v>0</v>
      </c>
    </row>
    <row r="5975" spans="1:113" x14ac:dyDescent="0.3">
      <c r="A5975" t="str">
        <f t="shared" si="2799"/>
        <v>05/12/2020 14:52:11.274</v>
      </c>
      <c r="C5975" t="str">
        <f t="shared" si="2803"/>
        <v>FFDFD3C0</v>
      </c>
      <c r="D5975" t="s">
        <v>131</v>
      </c>
      <c r="E5975">
        <v>12</v>
      </c>
      <c r="F5975">
        <v>2012</v>
      </c>
      <c r="G5975" t="s">
        <v>137</v>
      </c>
      <c r="J5975" t="s">
        <v>133</v>
      </c>
      <c r="K5975">
        <v>0</v>
      </c>
      <c r="L5975">
        <v>3</v>
      </c>
      <c r="M5975">
        <v>0</v>
      </c>
      <c r="N5975">
        <v>2</v>
      </c>
      <c r="O5975">
        <v>1</v>
      </c>
      <c r="P5975">
        <v>0</v>
      </c>
      <c r="Q5975">
        <v>0</v>
      </c>
      <c r="S5975" t="str">
        <f t="shared" si="2800"/>
        <v>14:52:29.078</v>
      </c>
      <c r="T5975" t="str">
        <f t="shared" si="2801"/>
        <v>14:52:28.578</v>
      </c>
      <c r="U5975" t="str">
        <f t="shared" si="2794"/>
        <v>A9808D</v>
      </c>
      <c r="V5975">
        <v>0</v>
      </c>
      <c r="W5975">
        <v>0</v>
      </c>
      <c r="X5975">
        <v>1</v>
      </c>
      <c r="Z5975">
        <v>0</v>
      </c>
      <c r="AA5975">
        <v>9</v>
      </c>
      <c r="AB5975">
        <v>3</v>
      </c>
      <c r="AC5975">
        <v>0</v>
      </c>
      <c r="AD5975">
        <v>10</v>
      </c>
      <c r="AE5975">
        <v>0</v>
      </c>
      <c r="AF5975">
        <v>3</v>
      </c>
      <c r="AG5975">
        <v>2</v>
      </c>
      <c r="AH5975">
        <v>0</v>
      </c>
      <c r="AI5975" t="s">
        <v>1327</v>
      </c>
      <c r="AJ5975">
        <v>28.207591000000001</v>
      </c>
      <c r="AK5975" t="s">
        <v>1328</v>
      </c>
      <c r="AL5975">
        <v>-82.367635000000007</v>
      </c>
      <c r="AM5975">
        <v>100</v>
      </c>
      <c r="AN5975">
        <v>300</v>
      </c>
      <c r="AO5975" t="s">
        <v>118</v>
      </c>
      <c r="AP5975">
        <v>50</v>
      </c>
      <c r="AQ5975">
        <v>69</v>
      </c>
      <c r="AR5975">
        <v>-640</v>
      </c>
      <c r="AZ5975">
        <v>1200</v>
      </c>
      <c r="BA5975">
        <v>1</v>
      </c>
      <c r="BB5975" t="str">
        <f t="shared" si="2804"/>
        <v xml:space="preserve">N711JA  </v>
      </c>
      <c r="BC5975">
        <v>1</v>
      </c>
      <c r="BE5975">
        <v>0</v>
      </c>
      <c r="BF5975">
        <v>0</v>
      </c>
      <c r="BG5975">
        <v>0</v>
      </c>
      <c r="BH5975">
        <v>325</v>
      </c>
      <c r="BI5975">
        <v>1</v>
      </c>
      <c r="BJ5975">
        <v>1</v>
      </c>
      <c r="BK5975">
        <v>0</v>
      </c>
      <c r="BL5975">
        <v>0</v>
      </c>
      <c r="BO5975">
        <v>0</v>
      </c>
      <c r="BP5975">
        <v>0</v>
      </c>
      <c r="BW5975" t="str">
        <f t="shared" si="2802"/>
        <v>14:52:29.079</v>
      </c>
      <c r="CJ5975">
        <v>0</v>
      </c>
      <c r="CK5975">
        <v>2</v>
      </c>
      <c r="CL5975">
        <v>0</v>
      </c>
      <c r="CM5975">
        <v>2</v>
      </c>
      <c r="CN5975">
        <v>0</v>
      </c>
      <c r="CO5975">
        <v>1</v>
      </c>
      <c r="CP5975" t="s">
        <v>119</v>
      </c>
      <c r="CQ5975">
        <v>8</v>
      </c>
      <c r="CR5975">
        <v>3</v>
      </c>
      <c r="CW5975">
        <v>9348096</v>
      </c>
      <c r="CY5975">
        <v>1</v>
      </c>
      <c r="CZ5975">
        <v>0</v>
      </c>
      <c r="DA5975">
        <v>1</v>
      </c>
      <c r="DB5975">
        <v>0</v>
      </c>
      <c r="DC5975">
        <v>0</v>
      </c>
      <c r="DD5975">
        <v>1</v>
      </c>
      <c r="DE5975">
        <v>0</v>
      </c>
      <c r="DF5975">
        <v>0</v>
      </c>
      <c r="DG5975">
        <v>0</v>
      </c>
      <c r="DH5975">
        <v>0</v>
      </c>
      <c r="DI5975">
        <v>0</v>
      </c>
    </row>
    <row r="5976" spans="1:113" x14ac:dyDescent="0.3">
      <c r="A5976" t="str">
        <f t="shared" si="2799"/>
        <v>05/12/2020 14:52:11.274</v>
      </c>
      <c r="C5976" t="str">
        <f t="shared" si="2803"/>
        <v>FFDFD3C0</v>
      </c>
      <c r="D5976" t="s">
        <v>113</v>
      </c>
      <c r="E5976">
        <v>3</v>
      </c>
      <c r="H5976">
        <v>164</v>
      </c>
      <c r="I5976" t="s">
        <v>114</v>
      </c>
      <c r="J5976" t="s">
        <v>115</v>
      </c>
      <c r="K5976">
        <v>0</v>
      </c>
      <c r="L5976">
        <v>3</v>
      </c>
      <c r="M5976">
        <v>0</v>
      </c>
      <c r="N5976">
        <v>2</v>
      </c>
      <c r="O5976">
        <v>1</v>
      </c>
      <c r="P5976">
        <v>0</v>
      </c>
      <c r="Q5976">
        <v>0</v>
      </c>
      <c r="S5976" t="str">
        <f t="shared" si="2800"/>
        <v>14:52:29.078</v>
      </c>
      <c r="T5976" t="str">
        <f t="shared" si="2801"/>
        <v>14:52:28.578</v>
      </c>
      <c r="U5976" t="str">
        <f t="shared" si="2794"/>
        <v>A9808D</v>
      </c>
      <c r="V5976">
        <v>0</v>
      </c>
      <c r="W5976">
        <v>0</v>
      </c>
      <c r="X5976">
        <v>1</v>
      </c>
      <c r="Z5976">
        <v>0</v>
      </c>
      <c r="AA5976">
        <v>9</v>
      </c>
      <c r="AB5976">
        <v>3</v>
      </c>
      <c r="AC5976">
        <v>0</v>
      </c>
      <c r="AD5976">
        <v>10</v>
      </c>
      <c r="AE5976">
        <v>0</v>
      </c>
      <c r="AF5976">
        <v>3</v>
      </c>
      <c r="AG5976">
        <v>2</v>
      </c>
      <c r="AH5976">
        <v>0</v>
      </c>
      <c r="AI5976" t="s">
        <v>1327</v>
      </c>
      <c r="AJ5976">
        <v>28.207591000000001</v>
      </c>
      <c r="AK5976" t="s">
        <v>1328</v>
      </c>
      <c r="AL5976">
        <v>-82.367635000000007</v>
      </c>
      <c r="AM5976">
        <v>100</v>
      </c>
      <c r="AN5976">
        <v>300</v>
      </c>
      <c r="AO5976" t="s">
        <v>118</v>
      </c>
      <c r="AP5976">
        <v>50</v>
      </c>
      <c r="AQ5976">
        <v>69</v>
      </c>
      <c r="AR5976">
        <v>-640</v>
      </c>
      <c r="AZ5976">
        <v>1200</v>
      </c>
      <c r="BA5976">
        <v>1</v>
      </c>
      <c r="BB5976" t="str">
        <f t="shared" si="2804"/>
        <v xml:space="preserve">N711JA  </v>
      </c>
      <c r="BC5976">
        <v>1</v>
      </c>
      <c r="BE5976">
        <v>0</v>
      </c>
      <c r="BF5976">
        <v>0</v>
      </c>
      <c r="BG5976">
        <v>0</v>
      </c>
      <c r="BH5976">
        <v>325</v>
      </c>
      <c r="BI5976">
        <v>1</v>
      </c>
      <c r="BJ5976">
        <v>1</v>
      </c>
      <c r="BK5976">
        <v>0</v>
      </c>
      <c r="BL5976">
        <v>0</v>
      </c>
      <c r="BO5976">
        <v>0</v>
      </c>
      <c r="BP5976">
        <v>0</v>
      </c>
      <c r="BW5976" t="str">
        <f t="shared" si="2802"/>
        <v>14:52:29.079</v>
      </c>
      <c r="CJ5976">
        <v>0</v>
      </c>
      <c r="CK5976">
        <v>2</v>
      </c>
      <c r="CL5976">
        <v>0</v>
      </c>
      <c r="CM5976">
        <v>2</v>
      </c>
      <c r="CN5976">
        <v>0</v>
      </c>
      <c r="CO5976">
        <v>1</v>
      </c>
      <c r="CP5976" t="s">
        <v>119</v>
      </c>
      <c r="CQ5976">
        <v>8</v>
      </c>
      <c r="CR5976">
        <v>3</v>
      </c>
      <c r="CW5976">
        <v>9348096</v>
      </c>
      <c r="CY5976">
        <v>1</v>
      </c>
      <c r="CZ5976">
        <v>0</v>
      </c>
      <c r="DA5976">
        <v>1</v>
      </c>
      <c r="DB5976">
        <v>0</v>
      </c>
      <c r="DC5976">
        <v>0</v>
      </c>
      <c r="DD5976">
        <v>1</v>
      </c>
      <c r="DE5976">
        <v>0</v>
      </c>
      <c r="DF5976">
        <v>0</v>
      </c>
      <c r="DG5976">
        <v>0</v>
      </c>
      <c r="DH5976">
        <v>0</v>
      </c>
      <c r="DI5976">
        <v>0</v>
      </c>
    </row>
    <row r="5977" spans="1:113" x14ac:dyDescent="0.3">
      <c r="A5977" t="str">
        <f>"05/12/2020 14:52:12.347"</f>
        <v>05/12/2020 14:52:12.347</v>
      </c>
      <c r="C5977" t="str">
        <f t="shared" si="2803"/>
        <v>FFDFD3C0</v>
      </c>
      <c r="D5977" t="s">
        <v>134</v>
      </c>
      <c r="E5977">
        <v>12</v>
      </c>
      <c r="H5977">
        <v>64</v>
      </c>
      <c r="I5977" t="s">
        <v>135</v>
      </c>
      <c r="J5977" t="s">
        <v>136</v>
      </c>
      <c r="K5977">
        <v>0</v>
      </c>
      <c r="L5977">
        <v>3</v>
      </c>
      <c r="M5977">
        <v>0</v>
      </c>
      <c r="N5977">
        <v>2</v>
      </c>
      <c r="O5977">
        <v>1</v>
      </c>
      <c r="P5977">
        <v>0</v>
      </c>
      <c r="Q5977">
        <v>0</v>
      </c>
      <c r="S5977" t="str">
        <f>"14:52:30.172"</f>
        <v>14:52:30.172</v>
      </c>
      <c r="T5977" t="str">
        <f>"14:52:29.872"</f>
        <v>14:52:29.872</v>
      </c>
      <c r="U5977" t="str">
        <f t="shared" si="2794"/>
        <v>A9808D</v>
      </c>
      <c r="V5977">
        <v>0</v>
      </c>
      <c r="W5977">
        <v>0</v>
      </c>
      <c r="X5977">
        <v>1</v>
      </c>
      <c r="Z5977">
        <v>0</v>
      </c>
      <c r="AA5977">
        <v>9</v>
      </c>
      <c r="AB5977">
        <v>3</v>
      </c>
      <c r="AC5977">
        <v>0</v>
      </c>
      <c r="AD5977">
        <v>10</v>
      </c>
      <c r="AE5977">
        <v>0</v>
      </c>
      <c r="AF5977">
        <v>3</v>
      </c>
      <c r="AG5977">
        <v>2</v>
      </c>
      <c r="AH5977">
        <v>0</v>
      </c>
      <c r="AI5977" t="s">
        <v>1329</v>
      </c>
      <c r="AJ5977">
        <v>28.207954999999998</v>
      </c>
      <c r="AK5977" t="s">
        <v>1330</v>
      </c>
      <c r="AL5977">
        <v>-82.367399000000006</v>
      </c>
      <c r="AM5977">
        <v>100</v>
      </c>
      <c r="AN5977">
        <v>300</v>
      </c>
      <c r="AO5977" t="s">
        <v>118</v>
      </c>
      <c r="AP5977">
        <v>44</v>
      </c>
      <c r="AQ5977">
        <v>73</v>
      </c>
      <c r="AR5977">
        <v>-704</v>
      </c>
      <c r="AZ5977">
        <v>1200</v>
      </c>
      <c r="BA5977">
        <v>1</v>
      </c>
      <c r="BB5977" t="str">
        <f t="shared" si="2804"/>
        <v xml:space="preserve">N711JA  </v>
      </c>
      <c r="BC5977">
        <v>1</v>
      </c>
      <c r="BE5977">
        <v>0</v>
      </c>
      <c r="BF5977">
        <v>0</v>
      </c>
      <c r="BG5977">
        <v>0</v>
      </c>
      <c r="BH5977">
        <v>325</v>
      </c>
      <c r="BI5977">
        <v>1</v>
      </c>
      <c r="BJ5977">
        <v>1</v>
      </c>
      <c r="BK5977">
        <v>0</v>
      </c>
      <c r="BL5977">
        <v>0</v>
      </c>
      <c r="BO5977">
        <v>0</v>
      </c>
      <c r="BP5977">
        <v>0</v>
      </c>
      <c r="BW5977" t="str">
        <f>"14:52:30.172"</f>
        <v>14:52:30.172</v>
      </c>
      <c r="CJ5977">
        <v>0</v>
      </c>
      <c r="CK5977">
        <v>2</v>
      </c>
      <c r="CL5977">
        <v>0</v>
      </c>
      <c r="CM5977">
        <v>2</v>
      </c>
      <c r="CN5977">
        <v>0</v>
      </c>
      <c r="CO5977">
        <v>3</v>
      </c>
      <c r="CP5977" t="s">
        <v>119</v>
      </c>
      <c r="CQ5977">
        <v>358</v>
      </c>
      <c r="CR5977">
        <v>0</v>
      </c>
      <c r="CW5977">
        <v>5352215</v>
      </c>
      <c r="CY5977">
        <v>1</v>
      </c>
      <c r="CZ5977">
        <v>0</v>
      </c>
      <c r="DA5977">
        <v>0</v>
      </c>
      <c r="DB5977">
        <v>0</v>
      </c>
      <c r="DC5977">
        <v>0</v>
      </c>
      <c r="DD5977">
        <v>1</v>
      </c>
      <c r="DE5977">
        <v>0</v>
      </c>
      <c r="DF5977">
        <v>0</v>
      </c>
      <c r="DG5977">
        <v>0</v>
      </c>
      <c r="DH5977">
        <v>0</v>
      </c>
      <c r="DI5977">
        <v>0</v>
      </c>
    </row>
    <row r="5978" spans="1:113" x14ac:dyDescent="0.3">
      <c r="A5978" t="str">
        <f>"05/12/2020 14:52:12.347"</f>
        <v>05/12/2020 14:52:12.347</v>
      </c>
      <c r="C5978" t="str">
        <f t="shared" si="2803"/>
        <v>FFDFD3C0</v>
      </c>
      <c r="D5978" t="s">
        <v>126</v>
      </c>
      <c r="E5978">
        <v>7</v>
      </c>
      <c r="F5978">
        <v>1007</v>
      </c>
      <c r="G5978" t="s">
        <v>127</v>
      </c>
      <c r="J5978" t="s">
        <v>128</v>
      </c>
      <c r="K5978">
        <v>0</v>
      </c>
      <c r="L5978">
        <v>3</v>
      </c>
      <c r="M5978">
        <v>0</v>
      </c>
      <c r="N5978">
        <v>2</v>
      </c>
      <c r="O5978">
        <v>1</v>
      </c>
      <c r="P5978">
        <v>0</v>
      </c>
      <c r="Q5978">
        <v>0</v>
      </c>
      <c r="S5978" t="str">
        <f>"14:52:30.172"</f>
        <v>14:52:30.172</v>
      </c>
      <c r="T5978" t="str">
        <f>"14:52:29.872"</f>
        <v>14:52:29.872</v>
      </c>
      <c r="U5978" t="str">
        <f t="shared" si="2794"/>
        <v>A9808D</v>
      </c>
      <c r="V5978">
        <v>0</v>
      </c>
      <c r="W5978">
        <v>0</v>
      </c>
      <c r="X5978">
        <v>1</v>
      </c>
      <c r="Z5978">
        <v>0</v>
      </c>
      <c r="AA5978">
        <v>9</v>
      </c>
      <c r="AB5978">
        <v>3</v>
      </c>
      <c r="AC5978">
        <v>0</v>
      </c>
      <c r="AD5978">
        <v>10</v>
      </c>
      <c r="AE5978">
        <v>0</v>
      </c>
      <c r="AF5978">
        <v>3</v>
      </c>
      <c r="AG5978">
        <v>2</v>
      </c>
      <c r="AH5978">
        <v>0</v>
      </c>
      <c r="AI5978" t="s">
        <v>1329</v>
      </c>
      <c r="AJ5978">
        <v>28.207954999999998</v>
      </c>
      <c r="AK5978" t="s">
        <v>1330</v>
      </c>
      <c r="AL5978">
        <v>-82.367399000000006</v>
      </c>
      <c r="AM5978">
        <v>100</v>
      </c>
      <c r="AN5978">
        <v>300</v>
      </c>
      <c r="AO5978" t="s">
        <v>118</v>
      </c>
      <c r="AP5978">
        <v>44</v>
      </c>
      <c r="AQ5978">
        <v>73</v>
      </c>
      <c r="AR5978">
        <v>-704</v>
      </c>
      <c r="AZ5978">
        <v>1200</v>
      </c>
      <c r="BA5978">
        <v>1</v>
      </c>
      <c r="BB5978" t="str">
        <f t="shared" si="2804"/>
        <v xml:space="preserve">N711JA  </v>
      </c>
      <c r="BC5978">
        <v>1</v>
      </c>
      <c r="BE5978">
        <v>0</v>
      </c>
      <c r="BF5978">
        <v>0</v>
      </c>
      <c r="BG5978">
        <v>0</v>
      </c>
      <c r="BH5978">
        <v>325</v>
      </c>
      <c r="BI5978">
        <v>1</v>
      </c>
      <c r="BJ5978">
        <v>1</v>
      </c>
      <c r="BK5978">
        <v>0</v>
      </c>
      <c r="BL5978">
        <v>0</v>
      </c>
      <c r="BO5978">
        <v>0</v>
      </c>
      <c r="BP5978">
        <v>0</v>
      </c>
      <c r="BW5978" t="str">
        <f>"14:52:30.172"</f>
        <v>14:52:30.172</v>
      </c>
      <c r="CJ5978">
        <v>0</v>
      </c>
      <c r="CK5978">
        <v>2</v>
      </c>
      <c r="CL5978">
        <v>0</v>
      </c>
      <c r="CM5978">
        <v>2</v>
      </c>
      <c r="CN5978">
        <v>0</v>
      </c>
      <c r="CO5978">
        <v>3</v>
      </c>
      <c r="CP5978" t="s">
        <v>119</v>
      </c>
      <c r="CQ5978">
        <v>358</v>
      </c>
      <c r="CR5978">
        <v>0</v>
      </c>
      <c r="CW5978">
        <v>5352215</v>
      </c>
      <c r="CY5978">
        <v>1</v>
      </c>
      <c r="CZ5978">
        <v>0</v>
      </c>
      <c r="DA5978">
        <v>1</v>
      </c>
      <c r="DB5978">
        <v>0</v>
      </c>
      <c r="DC5978">
        <v>0</v>
      </c>
      <c r="DD5978">
        <v>1</v>
      </c>
      <c r="DE5978">
        <v>0</v>
      </c>
      <c r="DF5978">
        <v>0</v>
      </c>
      <c r="DG5978">
        <v>0</v>
      </c>
      <c r="DH5978">
        <v>0</v>
      </c>
      <c r="DI5978">
        <v>0</v>
      </c>
    </row>
    <row r="5979" spans="1:113" x14ac:dyDescent="0.3">
      <c r="A5979" t="str">
        <f>"05/12/2020 14:52:12.347"</f>
        <v>05/12/2020 14:52:12.347</v>
      </c>
      <c r="C5979" t="str">
        <f t="shared" si="2803"/>
        <v>FFDFD3C0</v>
      </c>
      <c r="D5979" t="s">
        <v>131</v>
      </c>
      <c r="E5979">
        <v>10</v>
      </c>
      <c r="F5979">
        <v>2010</v>
      </c>
      <c r="G5979" t="s">
        <v>132</v>
      </c>
      <c r="J5979" t="s">
        <v>133</v>
      </c>
      <c r="K5979">
        <v>0</v>
      </c>
      <c r="L5979">
        <v>3</v>
      </c>
      <c r="M5979">
        <v>0</v>
      </c>
      <c r="N5979">
        <v>2</v>
      </c>
      <c r="O5979">
        <v>1</v>
      </c>
      <c r="P5979">
        <v>0</v>
      </c>
      <c r="Q5979">
        <v>0</v>
      </c>
      <c r="S5979" t="str">
        <f>"14:52:30.172"</f>
        <v>14:52:30.172</v>
      </c>
      <c r="T5979" t="str">
        <f>"14:52:29.872"</f>
        <v>14:52:29.872</v>
      </c>
      <c r="U5979" t="str">
        <f t="shared" si="2794"/>
        <v>A9808D</v>
      </c>
      <c r="V5979">
        <v>0</v>
      </c>
      <c r="W5979">
        <v>0</v>
      </c>
      <c r="X5979">
        <v>1</v>
      </c>
      <c r="Z5979">
        <v>0</v>
      </c>
      <c r="AA5979">
        <v>9</v>
      </c>
      <c r="AB5979">
        <v>3</v>
      </c>
      <c r="AC5979">
        <v>0</v>
      </c>
      <c r="AD5979">
        <v>10</v>
      </c>
      <c r="AE5979">
        <v>0</v>
      </c>
      <c r="AF5979">
        <v>3</v>
      </c>
      <c r="AG5979">
        <v>2</v>
      </c>
      <c r="AH5979">
        <v>0</v>
      </c>
      <c r="AI5979" t="s">
        <v>1329</v>
      </c>
      <c r="AJ5979">
        <v>28.207954999999998</v>
      </c>
      <c r="AK5979" t="s">
        <v>1330</v>
      </c>
      <c r="AL5979">
        <v>-82.367399000000006</v>
      </c>
      <c r="AM5979">
        <v>100</v>
      </c>
      <c r="AN5979">
        <v>300</v>
      </c>
      <c r="AO5979" t="s">
        <v>118</v>
      </c>
      <c r="AP5979">
        <v>44</v>
      </c>
      <c r="AQ5979">
        <v>73</v>
      </c>
      <c r="AR5979">
        <v>-704</v>
      </c>
      <c r="AZ5979">
        <v>1200</v>
      </c>
      <c r="BA5979">
        <v>1</v>
      </c>
      <c r="BB5979" t="str">
        <f t="shared" si="2804"/>
        <v xml:space="preserve">N711JA  </v>
      </c>
      <c r="BC5979">
        <v>1</v>
      </c>
      <c r="BE5979">
        <v>0</v>
      </c>
      <c r="BF5979">
        <v>0</v>
      </c>
      <c r="BG5979">
        <v>0</v>
      </c>
      <c r="BH5979">
        <v>325</v>
      </c>
      <c r="BI5979">
        <v>1</v>
      </c>
      <c r="BJ5979">
        <v>1</v>
      </c>
      <c r="BK5979">
        <v>0</v>
      </c>
      <c r="BL5979">
        <v>0</v>
      </c>
      <c r="BO5979">
        <v>0</v>
      </c>
      <c r="BP5979">
        <v>0</v>
      </c>
      <c r="BW5979" t="str">
        <f>"14:52:30.172"</f>
        <v>14:52:30.172</v>
      </c>
      <c r="CJ5979">
        <v>0</v>
      </c>
      <c r="CK5979">
        <v>2</v>
      </c>
      <c r="CL5979">
        <v>0</v>
      </c>
      <c r="CM5979">
        <v>2</v>
      </c>
      <c r="CN5979">
        <v>0</v>
      </c>
      <c r="CO5979">
        <v>3</v>
      </c>
      <c r="CP5979" t="s">
        <v>119</v>
      </c>
      <c r="CQ5979">
        <v>358</v>
      </c>
      <c r="CR5979">
        <v>0</v>
      </c>
      <c r="CW5979">
        <v>5352215</v>
      </c>
      <c r="CY5979">
        <v>1</v>
      </c>
      <c r="CZ5979">
        <v>0</v>
      </c>
      <c r="DA5979">
        <v>1</v>
      </c>
      <c r="DB5979">
        <v>0</v>
      </c>
      <c r="DC5979">
        <v>0</v>
      </c>
      <c r="DD5979">
        <v>1</v>
      </c>
      <c r="DE5979">
        <v>0</v>
      </c>
      <c r="DF5979">
        <v>0</v>
      </c>
      <c r="DG5979">
        <v>0</v>
      </c>
      <c r="DH5979">
        <v>0</v>
      </c>
      <c r="DI5979">
        <v>0</v>
      </c>
    </row>
    <row r="5980" spans="1:113" x14ac:dyDescent="0.3">
      <c r="A5980" t="str">
        <f>"05/12/2020 14:52:12.347"</f>
        <v>05/12/2020 14:52:12.347</v>
      </c>
      <c r="C5980" t="str">
        <f t="shared" si="2803"/>
        <v>FFDFD3C0</v>
      </c>
      <c r="D5980" t="s">
        <v>138</v>
      </c>
      <c r="E5980">
        <v>3</v>
      </c>
      <c r="H5980">
        <v>9</v>
      </c>
      <c r="I5980" t="s">
        <v>140</v>
      </c>
      <c r="J5980" t="s">
        <v>136</v>
      </c>
      <c r="K5980">
        <v>0</v>
      </c>
      <c r="L5980">
        <v>3</v>
      </c>
      <c r="M5980">
        <v>0</v>
      </c>
      <c r="N5980">
        <v>2</v>
      </c>
      <c r="O5980">
        <v>1</v>
      </c>
      <c r="P5980">
        <v>0</v>
      </c>
      <c r="Q5980">
        <v>0</v>
      </c>
      <c r="S5980" t="str">
        <f>"14:52:30.172"</f>
        <v>14:52:30.172</v>
      </c>
      <c r="T5980" t="str">
        <f>"14:52:29.872"</f>
        <v>14:52:29.872</v>
      </c>
      <c r="U5980" t="str">
        <f t="shared" si="2794"/>
        <v>A9808D</v>
      </c>
      <c r="V5980">
        <v>0</v>
      </c>
      <c r="W5980">
        <v>0</v>
      </c>
      <c r="X5980">
        <v>1</v>
      </c>
      <c r="Z5980">
        <v>0</v>
      </c>
      <c r="AA5980">
        <v>9</v>
      </c>
      <c r="AB5980">
        <v>3</v>
      </c>
      <c r="AC5980">
        <v>0</v>
      </c>
      <c r="AD5980">
        <v>10</v>
      </c>
      <c r="AE5980">
        <v>0</v>
      </c>
      <c r="AF5980">
        <v>3</v>
      </c>
      <c r="AG5980">
        <v>2</v>
      </c>
      <c r="AH5980">
        <v>0</v>
      </c>
      <c r="AI5980" t="s">
        <v>1329</v>
      </c>
      <c r="AJ5980">
        <v>28.207954999999998</v>
      </c>
      <c r="AK5980" t="s">
        <v>1330</v>
      </c>
      <c r="AL5980">
        <v>-82.367399000000006</v>
      </c>
      <c r="AM5980">
        <v>100</v>
      </c>
      <c r="AN5980">
        <v>300</v>
      </c>
      <c r="AO5980" t="s">
        <v>118</v>
      </c>
      <c r="AP5980">
        <v>44</v>
      </c>
      <c r="AQ5980">
        <v>73</v>
      </c>
      <c r="AR5980">
        <v>-704</v>
      </c>
      <c r="AZ5980">
        <v>1200</v>
      </c>
      <c r="BA5980">
        <v>1</v>
      </c>
      <c r="BB5980" t="str">
        <f t="shared" si="2804"/>
        <v xml:space="preserve">N711JA  </v>
      </c>
      <c r="BC5980">
        <v>1</v>
      </c>
      <c r="BE5980">
        <v>0</v>
      </c>
      <c r="BF5980">
        <v>0</v>
      </c>
      <c r="BG5980">
        <v>0</v>
      </c>
      <c r="BH5980">
        <v>325</v>
      </c>
      <c r="BI5980">
        <v>1</v>
      </c>
      <c r="BJ5980">
        <v>1</v>
      </c>
      <c r="BK5980">
        <v>0</v>
      </c>
      <c r="BL5980">
        <v>0</v>
      </c>
      <c r="BO5980">
        <v>0</v>
      </c>
      <c r="BP5980">
        <v>0</v>
      </c>
      <c r="BW5980" t="str">
        <f>"14:52:30.172"</f>
        <v>14:52:30.172</v>
      </c>
      <c r="CJ5980">
        <v>0</v>
      </c>
      <c r="CK5980">
        <v>2</v>
      </c>
      <c r="CL5980">
        <v>0</v>
      </c>
      <c r="CM5980">
        <v>2</v>
      </c>
      <c r="CN5980">
        <v>0</v>
      </c>
      <c r="CO5980">
        <v>3</v>
      </c>
      <c r="CP5980" t="s">
        <v>119</v>
      </c>
      <c r="CQ5980">
        <v>358</v>
      </c>
      <c r="CR5980">
        <v>0</v>
      </c>
      <c r="CW5980">
        <v>5352215</v>
      </c>
      <c r="CY5980">
        <v>1</v>
      </c>
      <c r="CZ5980">
        <v>0</v>
      </c>
      <c r="DA5980">
        <v>1</v>
      </c>
      <c r="DB5980">
        <v>0</v>
      </c>
      <c r="DC5980">
        <v>0</v>
      </c>
      <c r="DD5980">
        <v>1</v>
      </c>
      <c r="DE5980">
        <v>0</v>
      </c>
      <c r="DF5980">
        <v>0</v>
      </c>
      <c r="DG5980">
        <v>0</v>
      </c>
      <c r="DH5980">
        <v>0</v>
      </c>
      <c r="DI5980">
        <v>0</v>
      </c>
    </row>
    <row r="5981" spans="1:113" x14ac:dyDescent="0.3">
      <c r="A5981" t="str">
        <f>"05/12/2020 14:52:12.347"</f>
        <v>05/12/2020 14:52:12.347</v>
      </c>
      <c r="C5981" t="str">
        <f t="shared" si="2803"/>
        <v>FFDFD3C0</v>
      </c>
      <c r="D5981" t="s">
        <v>126</v>
      </c>
      <c r="E5981">
        <v>6</v>
      </c>
      <c r="F5981">
        <v>1006</v>
      </c>
      <c r="G5981" t="s">
        <v>114</v>
      </c>
      <c r="J5981" t="s">
        <v>128</v>
      </c>
      <c r="K5981">
        <v>0</v>
      </c>
      <c r="L5981">
        <v>3</v>
      </c>
      <c r="M5981">
        <v>0</v>
      </c>
      <c r="N5981">
        <v>2</v>
      </c>
      <c r="O5981">
        <v>1</v>
      </c>
      <c r="P5981">
        <v>0</v>
      </c>
      <c r="Q5981">
        <v>0</v>
      </c>
      <c r="S5981" t="str">
        <f>"14:52:30.172"</f>
        <v>14:52:30.172</v>
      </c>
      <c r="T5981" t="str">
        <f>"14:52:29.872"</f>
        <v>14:52:29.872</v>
      </c>
      <c r="U5981" t="str">
        <f t="shared" si="2794"/>
        <v>A9808D</v>
      </c>
      <c r="V5981">
        <v>0</v>
      </c>
      <c r="W5981">
        <v>0</v>
      </c>
      <c r="X5981">
        <v>1</v>
      </c>
      <c r="Z5981">
        <v>0</v>
      </c>
      <c r="AA5981">
        <v>9</v>
      </c>
      <c r="AB5981">
        <v>3</v>
      </c>
      <c r="AC5981">
        <v>0</v>
      </c>
      <c r="AD5981">
        <v>10</v>
      </c>
      <c r="AE5981">
        <v>0</v>
      </c>
      <c r="AF5981">
        <v>3</v>
      </c>
      <c r="AG5981">
        <v>2</v>
      </c>
      <c r="AH5981">
        <v>0</v>
      </c>
      <c r="AI5981" t="s">
        <v>1329</v>
      </c>
      <c r="AJ5981">
        <v>28.207954999999998</v>
      </c>
      <c r="AK5981" t="s">
        <v>1330</v>
      </c>
      <c r="AL5981">
        <v>-82.367399000000006</v>
      </c>
      <c r="AM5981">
        <v>100</v>
      </c>
      <c r="AN5981">
        <v>300</v>
      </c>
      <c r="AO5981" t="s">
        <v>118</v>
      </c>
      <c r="AP5981">
        <v>44</v>
      </c>
      <c r="AQ5981">
        <v>73</v>
      </c>
      <c r="AR5981">
        <v>-704</v>
      </c>
      <c r="AZ5981">
        <v>1200</v>
      </c>
      <c r="BA5981">
        <v>1</v>
      </c>
      <c r="BB5981" t="str">
        <f t="shared" si="2804"/>
        <v xml:space="preserve">N711JA  </v>
      </c>
      <c r="BC5981">
        <v>1</v>
      </c>
      <c r="BE5981">
        <v>0</v>
      </c>
      <c r="BF5981">
        <v>0</v>
      </c>
      <c r="BG5981">
        <v>0</v>
      </c>
      <c r="BH5981">
        <v>325</v>
      </c>
      <c r="BI5981">
        <v>1</v>
      </c>
      <c r="BJ5981">
        <v>1</v>
      </c>
      <c r="BK5981">
        <v>0</v>
      </c>
      <c r="BL5981">
        <v>0</v>
      </c>
      <c r="BO5981">
        <v>0</v>
      </c>
      <c r="BP5981">
        <v>0</v>
      </c>
      <c r="BW5981" t="str">
        <f>"14:52:30.172"</f>
        <v>14:52:30.172</v>
      </c>
      <c r="CJ5981">
        <v>0</v>
      </c>
      <c r="CK5981">
        <v>2</v>
      </c>
      <c r="CL5981">
        <v>0</v>
      </c>
      <c r="CM5981">
        <v>2</v>
      </c>
      <c r="CN5981">
        <v>0</v>
      </c>
      <c r="CO5981">
        <v>3</v>
      </c>
      <c r="CP5981" t="s">
        <v>119</v>
      </c>
      <c r="CQ5981">
        <v>358</v>
      </c>
      <c r="CR5981">
        <v>0</v>
      </c>
      <c r="CW5981">
        <v>5352215</v>
      </c>
      <c r="CY5981">
        <v>1</v>
      </c>
      <c r="CZ5981">
        <v>0</v>
      </c>
      <c r="DA5981">
        <v>1</v>
      </c>
      <c r="DB5981">
        <v>0</v>
      </c>
      <c r="DC5981">
        <v>0</v>
      </c>
      <c r="DD5981">
        <v>1</v>
      </c>
      <c r="DE5981">
        <v>0</v>
      </c>
      <c r="DF5981">
        <v>0</v>
      </c>
      <c r="DG5981">
        <v>0</v>
      </c>
      <c r="DH5981">
        <v>0</v>
      </c>
      <c r="DI5981">
        <v>0</v>
      </c>
    </row>
    <row r="5982" spans="1:113" x14ac:dyDescent="0.3">
      <c r="A5982" t="str">
        <f>"05/12/2020 14:52:13.218"</f>
        <v>05/12/2020 14:52:13.218</v>
      </c>
      <c r="C5982" t="str">
        <f t="shared" si="2803"/>
        <v>FFDFD3C0</v>
      </c>
      <c r="D5982" t="s">
        <v>138</v>
      </c>
      <c r="E5982">
        <v>3</v>
      </c>
      <c r="H5982">
        <v>9</v>
      </c>
      <c r="I5982" t="s">
        <v>140</v>
      </c>
      <c r="J5982" t="s">
        <v>136</v>
      </c>
      <c r="K5982">
        <v>0</v>
      </c>
      <c r="L5982">
        <v>3</v>
      </c>
      <c r="M5982">
        <v>0</v>
      </c>
      <c r="N5982">
        <v>2</v>
      </c>
      <c r="O5982">
        <v>1</v>
      </c>
      <c r="P5982">
        <v>0</v>
      </c>
      <c r="Q5982">
        <v>0</v>
      </c>
      <c r="S5982" t="str">
        <f>"14:52:31.039"</f>
        <v>14:52:31.039</v>
      </c>
      <c r="T5982" t="str">
        <f>"14:52:30.339"</f>
        <v>14:52:30.339</v>
      </c>
      <c r="U5982" t="str">
        <f t="shared" si="2794"/>
        <v>A9808D</v>
      </c>
      <c r="V5982">
        <v>0</v>
      </c>
      <c r="W5982">
        <v>0</v>
      </c>
      <c r="X5982">
        <v>1</v>
      </c>
      <c r="Z5982">
        <v>0</v>
      </c>
      <c r="AA5982">
        <v>9</v>
      </c>
      <c r="AB5982">
        <v>3</v>
      </c>
      <c r="AC5982">
        <v>0</v>
      </c>
      <c r="AD5982">
        <v>10</v>
      </c>
      <c r="AE5982">
        <v>0</v>
      </c>
      <c r="AF5982">
        <v>3</v>
      </c>
      <c r="AG5982">
        <v>2</v>
      </c>
      <c r="AH5982">
        <v>0</v>
      </c>
      <c r="AI5982" t="s">
        <v>1331</v>
      </c>
      <c r="AJ5982">
        <v>28.208276999999999</v>
      </c>
      <c r="AK5982" t="s">
        <v>436</v>
      </c>
      <c r="AL5982">
        <v>-82.367183999999995</v>
      </c>
      <c r="AM5982">
        <v>100</v>
      </c>
      <c r="AN5982">
        <v>200</v>
      </c>
      <c r="AO5982" t="s">
        <v>118</v>
      </c>
      <c r="AP5982">
        <v>42</v>
      </c>
      <c r="AQ5982">
        <v>74</v>
      </c>
      <c r="AR5982">
        <v>-704</v>
      </c>
      <c r="AZ5982">
        <v>1200</v>
      </c>
      <c r="BA5982">
        <v>1</v>
      </c>
      <c r="BB5982" t="str">
        <f t="shared" si="2804"/>
        <v xml:space="preserve">N711JA  </v>
      </c>
      <c r="BC5982">
        <v>1</v>
      </c>
      <c r="BE5982">
        <v>0</v>
      </c>
      <c r="BF5982">
        <v>0</v>
      </c>
      <c r="BG5982">
        <v>0</v>
      </c>
      <c r="BH5982">
        <v>325</v>
      </c>
      <c r="BI5982">
        <v>1</v>
      </c>
      <c r="BJ5982">
        <v>1</v>
      </c>
      <c r="BK5982">
        <v>0</v>
      </c>
      <c r="BL5982">
        <v>0</v>
      </c>
      <c r="BO5982">
        <v>0</v>
      </c>
      <c r="BP5982">
        <v>0</v>
      </c>
      <c r="BW5982" t="str">
        <f>"14:52:31.044"</f>
        <v>14:52:31.044</v>
      </c>
      <c r="CJ5982">
        <v>0</v>
      </c>
      <c r="CK5982">
        <v>2</v>
      </c>
      <c r="CL5982">
        <v>0</v>
      </c>
      <c r="CM5982">
        <v>2</v>
      </c>
      <c r="CN5982">
        <v>0</v>
      </c>
      <c r="CO5982">
        <v>2</v>
      </c>
      <c r="CP5982" t="s">
        <v>119</v>
      </c>
      <c r="CQ5982">
        <v>358</v>
      </c>
      <c r="CR5982">
        <v>0</v>
      </c>
      <c r="CW5982">
        <v>5353256</v>
      </c>
      <c r="CY5982">
        <v>1</v>
      </c>
      <c r="CZ5982">
        <v>0</v>
      </c>
      <c r="DA5982">
        <v>0</v>
      </c>
      <c r="DB5982">
        <v>0</v>
      </c>
      <c r="DC5982">
        <v>0</v>
      </c>
      <c r="DD5982">
        <v>1</v>
      </c>
      <c r="DE5982">
        <v>0</v>
      </c>
      <c r="DF5982">
        <v>0</v>
      </c>
      <c r="DG5982">
        <v>0</v>
      </c>
      <c r="DH5982">
        <v>0</v>
      </c>
      <c r="DI5982">
        <v>0</v>
      </c>
    </row>
    <row r="5983" spans="1:113" x14ac:dyDescent="0.3">
      <c r="A5983" t="str">
        <f>"05/12/2020 14:52:13.218"</f>
        <v>05/12/2020 14:52:13.218</v>
      </c>
      <c r="C5983" t="str">
        <f t="shared" si="2803"/>
        <v>FFDFD3C0</v>
      </c>
      <c r="D5983" t="s">
        <v>126</v>
      </c>
      <c r="E5983">
        <v>6</v>
      </c>
      <c r="F5983">
        <v>1006</v>
      </c>
      <c r="G5983" t="s">
        <v>114</v>
      </c>
      <c r="J5983" t="s">
        <v>128</v>
      </c>
      <c r="K5983">
        <v>0</v>
      </c>
      <c r="L5983">
        <v>3</v>
      </c>
      <c r="M5983">
        <v>0</v>
      </c>
      <c r="N5983">
        <v>2</v>
      </c>
      <c r="O5983">
        <v>1</v>
      </c>
      <c r="P5983">
        <v>0</v>
      </c>
      <c r="Q5983">
        <v>0</v>
      </c>
      <c r="S5983" t="str">
        <f>"14:52:31.039"</f>
        <v>14:52:31.039</v>
      </c>
      <c r="T5983" t="str">
        <f>"14:52:30.339"</f>
        <v>14:52:30.339</v>
      </c>
      <c r="U5983" t="str">
        <f t="shared" si="2794"/>
        <v>A9808D</v>
      </c>
      <c r="V5983">
        <v>0</v>
      </c>
      <c r="W5983">
        <v>0</v>
      </c>
      <c r="X5983">
        <v>1</v>
      </c>
      <c r="Z5983">
        <v>0</v>
      </c>
      <c r="AA5983">
        <v>9</v>
      </c>
      <c r="AB5983">
        <v>3</v>
      </c>
      <c r="AC5983">
        <v>0</v>
      </c>
      <c r="AD5983">
        <v>10</v>
      </c>
      <c r="AE5983">
        <v>0</v>
      </c>
      <c r="AF5983">
        <v>3</v>
      </c>
      <c r="AG5983">
        <v>2</v>
      </c>
      <c r="AH5983">
        <v>0</v>
      </c>
      <c r="AI5983" t="s">
        <v>1331</v>
      </c>
      <c r="AJ5983">
        <v>28.208276999999999</v>
      </c>
      <c r="AK5983" t="s">
        <v>436</v>
      </c>
      <c r="AL5983">
        <v>-82.367183999999995</v>
      </c>
      <c r="AM5983">
        <v>100</v>
      </c>
      <c r="AN5983">
        <v>200</v>
      </c>
      <c r="AO5983" t="s">
        <v>118</v>
      </c>
      <c r="AP5983">
        <v>42</v>
      </c>
      <c r="AQ5983">
        <v>74</v>
      </c>
      <c r="AR5983">
        <v>-704</v>
      </c>
      <c r="AZ5983">
        <v>1200</v>
      </c>
      <c r="BA5983">
        <v>1</v>
      </c>
      <c r="BB5983" t="str">
        <f t="shared" si="2804"/>
        <v xml:space="preserve">N711JA  </v>
      </c>
      <c r="BC5983">
        <v>1</v>
      </c>
      <c r="BE5983">
        <v>0</v>
      </c>
      <c r="BF5983">
        <v>0</v>
      </c>
      <c r="BG5983">
        <v>0</v>
      </c>
      <c r="BH5983">
        <v>325</v>
      </c>
      <c r="BI5983">
        <v>1</v>
      </c>
      <c r="BJ5983">
        <v>1</v>
      </c>
      <c r="BK5983">
        <v>0</v>
      </c>
      <c r="BL5983">
        <v>0</v>
      </c>
      <c r="BO5983">
        <v>0</v>
      </c>
      <c r="BP5983">
        <v>0</v>
      </c>
      <c r="BW5983" t="str">
        <f>"14:52:31.044"</f>
        <v>14:52:31.044</v>
      </c>
      <c r="CJ5983">
        <v>0</v>
      </c>
      <c r="CK5983">
        <v>2</v>
      </c>
      <c r="CL5983">
        <v>0</v>
      </c>
      <c r="CM5983">
        <v>2</v>
      </c>
      <c r="CN5983">
        <v>0</v>
      </c>
      <c r="CO5983">
        <v>2</v>
      </c>
      <c r="CP5983" t="s">
        <v>119</v>
      </c>
      <c r="CQ5983">
        <v>358</v>
      </c>
      <c r="CR5983">
        <v>0</v>
      </c>
      <c r="CW5983">
        <v>5353256</v>
      </c>
      <c r="CY5983">
        <v>1</v>
      </c>
      <c r="CZ5983">
        <v>0</v>
      </c>
      <c r="DA5983">
        <v>1</v>
      </c>
      <c r="DB5983">
        <v>0</v>
      </c>
      <c r="DC5983">
        <v>0</v>
      </c>
      <c r="DD5983">
        <v>1</v>
      </c>
      <c r="DE5983">
        <v>0</v>
      </c>
      <c r="DF5983">
        <v>0</v>
      </c>
      <c r="DG5983">
        <v>0</v>
      </c>
      <c r="DH5983">
        <v>0</v>
      </c>
      <c r="DI5983">
        <v>0</v>
      </c>
    </row>
    <row r="5984" spans="1:113" x14ac:dyDescent="0.3">
      <c r="A5984" t="str">
        <f>"05/12/2020 14:52:13.218"</f>
        <v>05/12/2020 14:52:13.218</v>
      </c>
      <c r="C5984" t="str">
        <f t="shared" si="2803"/>
        <v>FFDFD3C0</v>
      </c>
      <c r="D5984" t="s">
        <v>134</v>
      </c>
      <c r="E5984">
        <v>12</v>
      </c>
      <c r="H5984">
        <v>64</v>
      </c>
      <c r="I5984" t="s">
        <v>135</v>
      </c>
      <c r="J5984" t="s">
        <v>136</v>
      </c>
      <c r="K5984">
        <v>0</v>
      </c>
      <c r="L5984">
        <v>3</v>
      </c>
      <c r="M5984">
        <v>0</v>
      </c>
      <c r="N5984">
        <v>2</v>
      </c>
      <c r="O5984">
        <v>1</v>
      </c>
      <c r="P5984">
        <v>0</v>
      </c>
      <c r="Q5984">
        <v>0</v>
      </c>
      <c r="S5984" t="str">
        <f>"14:52:31.039"</f>
        <v>14:52:31.039</v>
      </c>
      <c r="T5984" t="str">
        <f>"14:52:30.339"</f>
        <v>14:52:30.339</v>
      </c>
      <c r="U5984" t="str">
        <f t="shared" si="2794"/>
        <v>A9808D</v>
      </c>
      <c r="V5984">
        <v>0</v>
      </c>
      <c r="W5984">
        <v>0</v>
      </c>
      <c r="X5984">
        <v>1</v>
      </c>
      <c r="Z5984">
        <v>0</v>
      </c>
      <c r="AA5984">
        <v>9</v>
      </c>
      <c r="AB5984">
        <v>3</v>
      </c>
      <c r="AC5984">
        <v>0</v>
      </c>
      <c r="AD5984">
        <v>10</v>
      </c>
      <c r="AE5984">
        <v>0</v>
      </c>
      <c r="AF5984">
        <v>3</v>
      </c>
      <c r="AG5984">
        <v>2</v>
      </c>
      <c r="AH5984">
        <v>0</v>
      </c>
      <c r="AI5984" t="s">
        <v>1331</v>
      </c>
      <c r="AJ5984">
        <v>28.208276999999999</v>
      </c>
      <c r="AK5984" t="s">
        <v>436</v>
      </c>
      <c r="AL5984">
        <v>-82.367183999999995</v>
      </c>
      <c r="AM5984">
        <v>100</v>
      </c>
      <c r="AN5984">
        <v>200</v>
      </c>
      <c r="AO5984" t="s">
        <v>118</v>
      </c>
      <c r="AP5984">
        <v>42</v>
      </c>
      <c r="AQ5984">
        <v>74</v>
      </c>
      <c r="AR5984">
        <v>-704</v>
      </c>
      <c r="AZ5984">
        <v>1200</v>
      </c>
      <c r="BA5984">
        <v>1</v>
      </c>
      <c r="BB5984" t="str">
        <f t="shared" si="2804"/>
        <v xml:space="preserve">N711JA  </v>
      </c>
      <c r="BC5984">
        <v>1</v>
      </c>
      <c r="BE5984">
        <v>0</v>
      </c>
      <c r="BF5984">
        <v>0</v>
      </c>
      <c r="BG5984">
        <v>0</v>
      </c>
      <c r="BH5984">
        <v>325</v>
      </c>
      <c r="BI5984">
        <v>1</v>
      </c>
      <c r="BJ5984">
        <v>1</v>
      </c>
      <c r="BK5984">
        <v>0</v>
      </c>
      <c r="BL5984">
        <v>0</v>
      </c>
      <c r="BO5984">
        <v>0</v>
      </c>
      <c r="BP5984">
        <v>0</v>
      </c>
      <c r="BW5984" t="str">
        <f>"14:52:31.044"</f>
        <v>14:52:31.044</v>
      </c>
      <c r="CJ5984">
        <v>0</v>
      </c>
      <c r="CK5984">
        <v>2</v>
      </c>
      <c r="CL5984">
        <v>0</v>
      </c>
      <c r="CM5984">
        <v>2</v>
      </c>
      <c r="CN5984">
        <v>0</v>
      </c>
      <c r="CO5984">
        <v>2</v>
      </c>
      <c r="CP5984" t="s">
        <v>119</v>
      </c>
      <c r="CQ5984">
        <v>358</v>
      </c>
      <c r="CR5984">
        <v>0</v>
      </c>
      <c r="CW5984">
        <v>5353256</v>
      </c>
      <c r="CY5984">
        <v>1</v>
      </c>
      <c r="CZ5984">
        <v>0</v>
      </c>
      <c r="DA5984">
        <v>1</v>
      </c>
      <c r="DB5984">
        <v>0</v>
      </c>
      <c r="DC5984">
        <v>0</v>
      </c>
      <c r="DD5984">
        <v>1</v>
      </c>
      <c r="DE5984">
        <v>0</v>
      </c>
      <c r="DF5984">
        <v>0</v>
      </c>
      <c r="DG5984">
        <v>0</v>
      </c>
      <c r="DH5984">
        <v>0</v>
      </c>
      <c r="DI5984">
        <v>0</v>
      </c>
    </row>
    <row r="5985" spans="1:113" x14ac:dyDescent="0.3">
      <c r="A5985" t="str">
        <f>"05/12/2020 14:52:13.218"</f>
        <v>05/12/2020 14:52:13.218</v>
      </c>
      <c r="C5985" t="str">
        <f t="shared" si="2803"/>
        <v>FFDFD3C0</v>
      </c>
      <c r="D5985" t="s">
        <v>126</v>
      </c>
      <c r="E5985">
        <v>7</v>
      </c>
      <c r="F5985">
        <v>1007</v>
      </c>
      <c r="G5985" t="s">
        <v>127</v>
      </c>
      <c r="J5985" t="s">
        <v>128</v>
      </c>
      <c r="K5985">
        <v>0</v>
      </c>
      <c r="L5985">
        <v>3</v>
      </c>
      <c r="M5985">
        <v>0</v>
      </c>
      <c r="N5985">
        <v>2</v>
      </c>
      <c r="O5985">
        <v>1</v>
      </c>
      <c r="P5985">
        <v>0</v>
      </c>
      <c r="Q5985">
        <v>0</v>
      </c>
      <c r="S5985" t="str">
        <f>"14:52:31.039"</f>
        <v>14:52:31.039</v>
      </c>
      <c r="T5985" t="str">
        <f>"14:52:30.339"</f>
        <v>14:52:30.339</v>
      </c>
      <c r="U5985" t="str">
        <f t="shared" si="2794"/>
        <v>A9808D</v>
      </c>
      <c r="V5985">
        <v>0</v>
      </c>
      <c r="W5985">
        <v>0</v>
      </c>
      <c r="X5985">
        <v>1</v>
      </c>
      <c r="Z5985">
        <v>0</v>
      </c>
      <c r="AA5985">
        <v>9</v>
      </c>
      <c r="AB5985">
        <v>3</v>
      </c>
      <c r="AC5985">
        <v>0</v>
      </c>
      <c r="AD5985">
        <v>10</v>
      </c>
      <c r="AE5985">
        <v>0</v>
      </c>
      <c r="AF5985">
        <v>3</v>
      </c>
      <c r="AG5985">
        <v>2</v>
      </c>
      <c r="AH5985">
        <v>0</v>
      </c>
      <c r="AI5985" t="s">
        <v>1331</v>
      </c>
      <c r="AJ5985">
        <v>28.208276999999999</v>
      </c>
      <c r="AK5985" t="s">
        <v>436</v>
      </c>
      <c r="AL5985">
        <v>-82.367183999999995</v>
      </c>
      <c r="AM5985">
        <v>100</v>
      </c>
      <c r="AN5985">
        <v>200</v>
      </c>
      <c r="AO5985" t="s">
        <v>118</v>
      </c>
      <c r="AP5985">
        <v>42</v>
      </c>
      <c r="AQ5985">
        <v>74</v>
      </c>
      <c r="AR5985">
        <v>-704</v>
      </c>
      <c r="AZ5985">
        <v>1200</v>
      </c>
      <c r="BA5985">
        <v>1</v>
      </c>
      <c r="BB5985" t="str">
        <f t="shared" si="2804"/>
        <v xml:space="preserve">N711JA  </v>
      </c>
      <c r="BC5985">
        <v>1</v>
      </c>
      <c r="BE5985">
        <v>0</v>
      </c>
      <c r="BF5985">
        <v>0</v>
      </c>
      <c r="BG5985">
        <v>0</v>
      </c>
      <c r="BH5985">
        <v>325</v>
      </c>
      <c r="BI5985">
        <v>1</v>
      </c>
      <c r="BJ5985">
        <v>1</v>
      </c>
      <c r="BK5985">
        <v>0</v>
      </c>
      <c r="BL5985">
        <v>0</v>
      </c>
      <c r="BO5985">
        <v>0</v>
      </c>
      <c r="BP5985">
        <v>0</v>
      </c>
      <c r="BW5985" t="str">
        <f>"14:52:31.044"</f>
        <v>14:52:31.044</v>
      </c>
      <c r="CJ5985">
        <v>0</v>
      </c>
      <c r="CK5985">
        <v>2</v>
      </c>
      <c r="CL5985">
        <v>0</v>
      </c>
      <c r="CM5985">
        <v>2</v>
      </c>
      <c r="CN5985">
        <v>0</v>
      </c>
      <c r="CO5985">
        <v>2</v>
      </c>
      <c r="CP5985" t="s">
        <v>119</v>
      </c>
      <c r="CQ5985">
        <v>358</v>
      </c>
      <c r="CR5985">
        <v>0</v>
      </c>
      <c r="CW5985">
        <v>5353256</v>
      </c>
      <c r="CY5985">
        <v>1</v>
      </c>
      <c r="CZ5985">
        <v>0</v>
      </c>
      <c r="DA5985">
        <v>1</v>
      </c>
      <c r="DB5985">
        <v>0</v>
      </c>
      <c r="DC5985">
        <v>0</v>
      </c>
      <c r="DD5985">
        <v>1</v>
      </c>
      <c r="DE5985">
        <v>0</v>
      </c>
      <c r="DF5985">
        <v>0</v>
      </c>
      <c r="DG5985">
        <v>0</v>
      </c>
      <c r="DH5985">
        <v>0</v>
      </c>
      <c r="DI5985">
        <v>0</v>
      </c>
    </row>
    <row r="5986" spans="1:113" x14ac:dyDescent="0.3">
      <c r="A5986" t="str">
        <f>"05/12/2020 14:52:13.218"</f>
        <v>05/12/2020 14:52:13.218</v>
      </c>
      <c r="C5986" t="str">
        <f t="shared" si="2803"/>
        <v>FFDFD3C0</v>
      </c>
      <c r="D5986" t="s">
        <v>131</v>
      </c>
      <c r="E5986">
        <v>10</v>
      </c>
      <c r="F5986">
        <v>2010</v>
      </c>
      <c r="G5986" t="s">
        <v>132</v>
      </c>
      <c r="J5986" t="s">
        <v>133</v>
      </c>
      <c r="K5986">
        <v>0</v>
      </c>
      <c r="L5986">
        <v>3</v>
      </c>
      <c r="M5986">
        <v>0</v>
      </c>
      <c r="N5986">
        <v>2</v>
      </c>
      <c r="O5986">
        <v>1</v>
      </c>
      <c r="P5986">
        <v>0</v>
      </c>
      <c r="Q5986">
        <v>0</v>
      </c>
      <c r="S5986" t="str">
        <f>"14:52:31.039"</f>
        <v>14:52:31.039</v>
      </c>
      <c r="T5986" t="str">
        <f>"14:52:30.339"</f>
        <v>14:52:30.339</v>
      </c>
      <c r="U5986" t="str">
        <f t="shared" si="2794"/>
        <v>A9808D</v>
      </c>
      <c r="V5986">
        <v>0</v>
      </c>
      <c r="W5986">
        <v>0</v>
      </c>
      <c r="X5986">
        <v>1</v>
      </c>
      <c r="Z5986">
        <v>0</v>
      </c>
      <c r="AA5986">
        <v>9</v>
      </c>
      <c r="AB5986">
        <v>3</v>
      </c>
      <c r="AC5986">
        <v>0</v>
      </c>
      <c r="AD5986">
        <v>10</v>
      </c>
      <c r="AE5986">
        <v>0</v>
      </c>
      <c r="AF5986">
        <v>3</v>
      </c>
      <c r="AG5986">
        <v>2</v>
      </c>
      <c r="AH5986">
        <v>0</v>
      </c>
      <c r="AI5986" t="s">
        <v>1331</v>
      </c>
      <c r="AJ5986">
        <v>28.208276999999999</v>
      </c>
      <c r="AK5986" t="s">
        <v>436</v>
      </c>
      <c r="AL5986">
        <v>-82.367183999999995</v>
      </c>
      <c r="AM5986">
        <v>100</v>
      </c>
      <c r="AN5986">
        <v>200</v>
      </c>
      <c r="AO5986" t="s">
        <v>118</v>
      </c>
      <c r="AP5986">
        <v>42</v>
      </c>
      <c r="AQ5986">
        <v>74</v>
      </c>
      <c r="AR5986">
        <v>-704</v>
      </c>
      <c r="AZ5986">
        <v>1200</v>
      </c>
      <c r="BA5986">
        <v>1</v>
      </c>
      <c r="BB5986" t="str">
        <f t="shared" si="2804"/>
        <v xml:space="preserve">N711JA  </v>
      </c>
      <c r="BC5986">
        <v>1</v>
      </c>
      <c r="BE5986">
        <v>0</v>
      </c>
      <c r="BF5986">
        <v>0</v>
      </c>
      <c r="BG5986">
        <v>0</v>
      </c>
      <c r="BH5986">
        <v>325</v>
      </c>
      <c r="BI5986">
        <v>1</v>
      </c>
      <c r="BJ5986">
        <v>1</v>
      </c>
      <c r="BK5986">
        <v>0</v>
      </c>
      <c r="BL5986">
        <v>0</v>
      </c>
      <c r="BO5986">
        <v>0</v>
      </c>
      <c r="BP5986">
        <v>0</v>
      </c>
      <c r="BW5986" t="str">
        <f>"14:52:31.044"</f>
        <v>14:52:31.044</v>
      </c>
      <c r="CJ5986">
        <v>0</v>
      </c>
      <c r="CK5986">
        <v>2</v>
      </c>
      <c r="CL5986">
        <v>0</v>
      </c>
      <c r="CM5986">
        <v>2</v>
      </c>
      <c r="CN5986">
        <v>0</v>
      </c>
      <c r="CO5986">
        <v>2</v>
      </c>
      <c r="CP5986" t="s">
        <v>119</v>
      </c>
      <c r="CQ5986">
        <v>358</v>
      </c>
      <c r="CR5986">
        <v>0</v>
      </c>
      <c r="CW5986">
        <v>5353256</v>
      </c>
      <c r="CY5986">
        <v>1</v>
      </c>
      <c r="CZ5986">
        <v>0</v>
      </c>
      <c r="DA5986">
        <v>1</v>
      </c>
      <c r="DB5986">
        <v>0</v>
      </c>
      <c r="DC5986">
        <v>0</v>
      </c>
      <c r="DD5986">
        <v>1</v>
      </c>
      <c r="DE5986">
        <v>0</v>
      </c>
      <c r="DF5986">
        <v>0</v>
      </c>
      <c r="DG5986">
        <v>0</v>
      </c>
      <c r="DH5986">
        <v>0</v>
      </c>
      <c r="DI5986">
        <v>0</v>
      </c>
    </row>
    <row r="5987" spans="1:113" x14ac:dyDescent="0.3">
      <c r="A5987" t="str">
        <f t="shared" ref="A5987:A5994" si="2805">"05/12/2020 14:52:14.166"</f>
        <v>05/12/2020 14:52:14.166</v>
      </c>
      <c r="C5987" t="str">
        <f t="shared" si="2803"/>
        <v>FFDFD3C0</v>
      </c>
      <c r="D5987" t="s">
        <v>126</v>
      </c>
      <c r="E5987">
        <v>7</v>
      </c>
      <c r="F5987">
        <v>1007</v>
      </c>
      <c r="G5987" t="s">
        <v>127</v>
      </c>
      <c r="J5987" t="s">
        <v>128</v>
      </c>
      <c r="K5987">
        <v>0</v>
      </c>
      <c r="L5987">
        <v>3</v>
      </c>
      <c r="M5987">
        <v>0</v>
      </c>
      <c r="N5987">
        <v>2</v>
      </c>
      <c r="O5987">
        <v>1</v>
      </c>
      <c r="P5987">
        <v>0</v>
      </c>
      <c r="Q5987">
        <v>0</v>
      </c>
      <c r="S5987" t="str">
        <f t="shared" ref="S5987:S5994" si="2806">"14:52:32.000"</f>
        <v>14:52:32.000</v>
      </c>
      <c r="T5987" t="str">
        <f t="shared" ref="T5987:T5994" si="2807">"14:52:31.300"</f>
        <v>14:52:31.300</v>
      </c>
      <c r="U5987" t="str">
        <f t="shared" si="2794"/>
        <v>A9808D</v>
      </c>
      <c r="V5987">
        <v>0</v>
      </c>
      <c r="W5987">
        <v>0</v>
      </c>
      <c r="X5987">
        <v>1</v>
      </c>
      <c r="Z5987">
        <v>0</v>
      </c>
      <c r="AA5987">
        <v>9</v>
      </c>
      <c r="AB5987">
        <v>3</v>
      </c>
      <c r="AC5987">
        <v>0</v>
      </c>
      <c r="AD5987">
        <v>10</v>
      </c>
      <c r="AE5987">
        <v>0</v>
      </c>
      <c r="AF5987">
        <v>3</v>
      </c>
      <c r="AG5987">
        <v>2</v>
      </c>
      <c r="AH5987">
        <v>0</v>
      </c>
      <c r="AI5987" t="s">
        <v>1244</v>
      </c>
      <c r="AJ5987">
        <v>28.208577999999999</v>
      </c>
      <c r="AK5987" t="s">
        <v>1332</v>
      </c>
      <c r="AL5987">
        <v>-82.367034000000004</v>
      </c>
      <c r="AM5987">
        <v>100</v>
      </c>
      <c r="AN5987">
        <v>200</v>
      </c>
      <c r="AO5987" t="s">
        <v>118</v>
      </c>
      <c r="AP5987">
        <v>37</v>
      </c>
      <c r="AQ5987">
        <v>76</v>
      </c>
      <c r="AR5987">
        <v>-640</v>
      </c>
      <c r="AZ5987">
        <v>1200</v>
      </c>
      <c r="BA5987">
        <v>1</v>
      </c>
      <c r="BB5987" t="str">
        <f t="shared" si="2804"/>
        <v xml:space="preserve">N711JA  </v>
      </c>
      <c r="BC5987">
        <v>1</v>
      </c>
      <c r="BE5987">
        <v>0</v>
      </c>
      <c r="BF5987">
        <v>0</v>
      </c>
      <c r="BG5987">
        <v>0</v>
      </c>
      <c r="BH5987">
        <v>300</v>
      </c>
      <c r="BI5987">
        <v>1</v>
      </c>
      <c r="BJ5987">
        <v>1</v>
      </c>
      <c r="BK5987">
        <v>0</v>
      </c>
      <c r="BL5987">
        <v>0</v>
      </c>
      <c r="BO5987">
        <v>0</v>
      </c>
      <c r="BP5987">
        <v>0</v>
      </c>
      <c r="BW5987" t="str">
        <f t="shared" ref="BW5987:BW5994" si="2808">"14:52:32.002"</f>
        <v>14:52:32.002</v>
      </c>
      <c r="CJ5987">
        <v>0</v>
      </c>
      <c r="CK5987">
        <v>2</v>
      </c>
      <c r="CL5987">
        <v>0</v>
      </c>
      <c r="CM5987">
        <v>2</v>
      </c>
      <c r="CN5987">
        <v>0</v>
      </c>
      <c r="CO5987">
        <v>1</v>
      </c>
      <c r="CP5987" t="s">
        <v>119</v>
      </c>
      <c r="CQ5987">
        <v>8</v>
      </c>
      <c r="CR5987">
        <v>3</v>
      </c>
      <c r="CW5987">
        <v>9351155</v>
      </c>
      <c r="CY5987">
        <v>1</v>
      </c>
      <c r="CZ5987">
        <v>0</v>
      </c>
      <c r="DA5987">
        <v>0</v>
      </c>
      <c r="DB5987">
        <v>0</v>
      </c>
      <c r="DC5987">
        <v>0</v>
      </c>
      <c r="DD5987">
        <v>1</v>
      </c>
      <c r="DE5987">
        <v>0</v>
      </c>
      <c r="DF5987">
        <v>0</v>
      </c>
      <c r="DG5987">
        <v>0</v>
      </c>
      <c r="DH5987">
        <v>0</v>
      </c>
      <c r="DI5987">
        <v>0</v>
      </c>
    </row>
    <row r="5988" spans="1:113" x14ac:dyDescent="0.3">
      <c r="A5988" t="str">
        <f t="shared" si="2805"/>
        <v>05/12/2020 14:52:14.166</v>
      </c>
      <c r="C5988" t="str">
        <f t="shared" si="2803"/>
        <v>FFDFD3C0</v>
      </c>
      <c r="D5988" t="s">
        <v>134</v>
      </c>
      <c r="E5988">
        <v>12</v>
      </c>
      <c r="H5988">
        <v>64</v>
      </c>
      <c r="I5988" t="s">
        <v>135</v>
      </c>
      <c r="J5988" t="s">
        <v>136</v>
      </c>
      <c r="K5988">
        <v>0</v>
      </c>
      <c r="L5988">
        <v>3</v>
      </c>
      <c r="M5988">
        <v>0</v>
      </c>
      <c r="N5988">
        <v>2</v>
      </c>
      <c r="O5988">
        <v>1</v>
      </c>
      <c r="P5988">
        <v>0</v>
      </c>
      <c r="Q5988">
        <v>0</v>
      </c>
      <c r="S5988" t="str">
        <f t="shared" si="2806"/>
        <v>14:52:32.000</v>
      </c>
      <c r="T5988" t="str">
        <f t="shared" si="2807"/>
        <v>14:52:31.300</v>
      </c>
      <c r="U5988" t="str">
        <f t="shared" si="2794"/>
        <v>A9808D</v>
      </c>
      <c r="V5988">
        <v>0</v>
      </c>
      <c r="W5988">
        <v>0</v>
      </c>
      <c r="X5988">
        <v>1</v>
      </c>
      <c r="Z5988">
        <v>0</v>
      </c>
      <c r="AA5988">
        <v>9</v>
      </c>
      <c r="AB5988">
        <v>3</v>
      </c>
      <c r="AC5988">
        <v>0</v>
      </c>
      <c r="AD5988">
        <v>10</v>
      </c>
      <c r="AE5988">
        <v>0</v>
      </c>
      <c r="AF5988">
        <v>3</v>
      </c>
      <c r="AG5988">
        <v>2</v>
      </c>
      <c r="AH5988">
        <v>0</v>
      </c>
      <c r="AI5988" t="s">
        <v>1244</v>
      </c>
      <c r="AJ5988">
        <v>28.208577999999999</v>
      </c>
      <c r="AK5988" t="s">
        <v>1332</v>
      </c>
      <c r="AL5988">
        <v>-82.367034000000004</v>
      </c>
      <c r="AM5988">
        <v>100</v>
      </c>
      <c r="AN5988">
        <v>200</v>
      </c>
      <c r="AO5988" t="s">
        <v>118</v>
      </c>
      <c r="AP5988">
        <v>37</v>
      </c>
      <c r="AQ5988">
        <v>76</v>
      </c>
      <c r="AR5988">
        <v>-640</v>
      </c>
      <c r="AZ5988">
        <v>1200</v>
      </c>
      <c r="BA5988">
        <v>1</v>
      </c>
      <c r="BB5988" t="str">
        <f t="shared" si="2804"/>
        <v xml:space="preserve">N711JA  </v>
      </c>
      <c r="BC5988">
        <v>1</v>
      </c>
      <c r="BE5988">
        <v>0</v>
      </c>
      <c r="BF5988">
        <v>0</v>
      </c>
      <c r="BG5988">
        <v>0</v>
      </c>
      <c r="BH5988">
        <v>300</v>
      </c>
      <c r="BI5988">
        <v>1</v>
      </c>
      <c r="BJ5988">
        <v>1</v>
      </c>
      <c r="BK5988">
        <v>0</v>
      </c>
      <c r="BL5988">
        <v>0</v>
      </c>
      <c r="BO5988">
        <v>0</v>
      </c>
      <c r="BP5988">
        <v>0</v>
      </c>
      <c r="BW5988" t="str">
        <f t="shared" si="2808"/>
        <v>14:52:32.002</v>
      </c>
      <c r="CJ5988">
        <v>0</v>
      </c>
      <c r="CK5988">
        <v>2</v>
      </c>
      <c r="CL5988">
        <v>0</v>
      </c>
      <c r="CM5988">
        <v>2</v>
      </c>
      <c r="CN5988">
        <v>0</v>
      </c>
      <c r="CO5988">
        <v>1</v>
      </c>
      <c r="CP5988" t="s">
        <v>119</v>
      </c>
      <c r="CQ5988">
        <v>8</v>
      </c>
      <c r="CR5988">
        <v>3</v>
      </c>
      <c r="CW5988">
        <v>9351155</v>
      </c>
      <c r="CY5988">
        <v>1</v>
      </c>
      <c r="CZ5988">
        <v>0</v>
      </c>
      <c r="DA5988">
        <v>1</v>
      </c>
      <c r="DB5988">
        <v>0</v>
      </c>
      <c r="DC5988">
        <v>0</v>
      </c>
      <c r="DD5988">
        <v>1</v>
      </c>
      <c r="DE5988">
        <v>0</v>
      </c>
      <c r="DF5988">
        <v>0</v>
      </c>
      <c r="DG5988">
        <v>0</v>
      </c>
      <c r="DH5988">
        <v>0</v>
      </c>
      <c r="DI5988">
        <v>0</v>
      </c>
    </row>
    <row r="5989" spans="1:113" x14ac:dyDescent="0.3">
      <c r="A5989" t="str">
        <f t="shared" si="2805"/>
        <v>05/12/2020 14:52:14.166</v>
      </c>
      <c r="C5989" t="str">
        <f t="shared" si="2803"/>
        <v>FFDFD3C0</v>
      </c>
      <c r="D5989" t="s">
        <v>131</v>
      </c>
      <c r="E5989">
        <v>10</v>
      </c>
      <c r="F5989">
        <v>2010</v>
      </c>
      <c r="G5989" t="s">
        <v>132</v>
      </c>
      <c r="J5989" t="s">
        <v>133</v>
      </c>
      <c r="K5989">
        <v>0</v>
      </c>
      <c r="L5989">
        <v>3</v>
      </c>
      <c r="M5989">
        <v>0</v>
      </c>
      <c r="N5989">
        <v>2</v>
      </c>
      <c r="O5989">
        <v>1</v>
      </c>
      <c r="P5989">
        <v>0</v>
      </c>
      <c r="Q5989">
        <v>0</v>
      </c>
      <c r="S5989" t="str">
        <f t="shared" si="2806"/>
        <v>14:52:32.000</v>
      </c>
      <c r="T5989" t="str">
        <f t="shared" si="2807"/>
        <v>14:52:31.300</v>
      </c>
      <c r="U5989" t="str">
        <f t="shared" si="2794"/>
        <v>A9808D</v>
      </c>
      <c r="V5989">
        <v>0</v>
      </c>
      <c r="W5989">
        <v>0</v>
      </c>
      <c r="X5989">
        <v>1</v>
      </c>
      <c r="Z5989">
        <v>0</v>
      </c>
      <c r="AA5989">
        <v>9</v>
      </c>
      <c r="AB5989">
        <v>3</v>
      </c>
      <c r="AC5989">
        <v>0</v>
      </c>
      <c r="AD5989">
        <v>10</v>
      </c>
      <c r="AE5989">
        <v>0</v>
      </c>
      <c r="AF5989">
        <v>3</v>
      </c>
      <c r="AG5989">
        <v>2</v>
      </c>
      <c r="AH5989">
        <v>0</v>
      </c>
      <c r="AI5989" t="s">
        <v>1244</v>
      </c>
      <c r="AJ5989">
        <v>28.208577999999999</v>
      </c>
      <c r="AK5989" t="s">
        <v>1332</v>
      </c>
      <c r="AL5989">
        <v>-82.367034000000004</v>
      </c>
      <c r="AM5989">
        <v>100</v>
      </c>
      <c r="AN5989">
        <v>200</v>
      </c>
      <c r="AO5989" t="s">
        <v>118</v>
      </c>
      <c r="AP5989">
        <v>37</v>
      </c>
      <c r="AQ5989">
        <v>76</v>
      </c>
      <c r="AR5989">
        <v>-640</v>
      </c>
      <c r="AZ5989">
        <v>1200</v>
      </c>
      <c r="BA5989">
        <v>1</v>
      </c>
      <c r="BB5989" t="str">
        <f t="shared" si="2804"/>
        <v xml:space="preserve">N711JA  </v>
      </c>
      <c r="BC5989">
        <v>1</v>
      </c>
      <c r="BE5989">
        <v>0</v>
      </c>
      <c r="BF5989">
        <v>0</v>
      </c>
      <c r="BG5989">
        <v>0</v>
      </c>
      <c r="BH5989">
        <v>300</v>
      </c>
      <c r="BI5989">
        <v>1</v>
      </c>
      <c r="BJ5989">
        <v>1</v>
      </c>
      <c r="BK5989">
        <v>0</v>
      </c>
      <c r="BL5989">
        <v>0</v>
      </c>
      <c r="BO5989">
        <v>0</v>
      </c>
      <c r="BP5989">
        <v>0</v>
      </c>
      <c r="BW5989" t="str">
        <f t="shared" si="2808"/>
        <v>14:52:32.002</v>
      </c>
      <c r="CJ5989">
        <v>0</v>
      </c>
      <c r="CK5989">
        <v>2</v>
      </c>
      <c r="CL5989">
        <v>0</v>
      </c>
      <c r="CM5989">
        <v>2</v>
      </c>
      <c r="CN5989">
        <v>0</v>
      </c>
      <c r="CO5989">
        <v>1</v>
      </c>
      <c r="CP5989" t="s">
        <v>119</v>
      </c>
      <c r="CQ5989">
        <v>8</v>
      </c>
      <c r="CR5989">
        <v>3</v>
      </c>
      <c r="CW5989">
        <v>9351155</v>
      </c>
      <c r="CY5989">
        <v>1</v>
      </c>
      <c r="CZ5989">
        <v>0</v>
      </c>
      <c r="DA5989">
        <v>1</v>
      </c>
      <c r="DB5989">
        <v>0</v>
      </c>
      <c r="DC5989">
        <v>0</v>
      </c>
      <c r="DD5989">
        <v>1</v>
      </c>
      <c r="DE5989">
        <v>0</v>
      </c>
      <c r="DF5989">
        <v>0</v>
      </c>
      <c r="DG5989">
        <v>0</v>
      </c>
      <c r="DH5989">
        <v>0</v>
      </c>
      <c r="DI5989">
        <v>0</v>
      </c>
    </row>
    <row r="5990" spans="1:113" x14ac:dyDescent="0.3">
      <c r="A5990" t="str">
        <f t="shared" si="2805"/>
        <v>05/12/2020 14:52:14.166</v>
      </c>
      <c r="C5990" t="str">
        <f t="shared" si="2803"/>
        <v>FFDFD3C0</v>
      </c>
      <c r="D5990" t="s">
        <v>131</v>
      </c>
      <c r="E5990">
        <v>12</v>
      </c>
      <c r="F5990">
        <v>2012</v>
      </c>
      <c r="G5990" t="s">
        <v>137</v>
      </c>
      <c r="J5990" t="s">
        <v>133</v>
      </c>
      <c r="K5990">
        <v>0</v>
      </c>
      <c r="L5990">
        <v>3</v>
      </c>
      <c r="M5990">
        <v>0</v>
      </c>
      <c r="N5990">
        <v>2</v>
      </c>
      <c r="O5990">
        <v>1</v>
      </c>
      <c r="P5990">
        <v>0</v>
      </c>
      <c r="Q5990">
        <v>0</v>
      </c>
      <c r="S5990" t="str">
        <f t="shared" si="2806"/>
        <v>14:52:32.000</v>
      </c>
      <c r="T5990" t="str">
        <f t="shared" si="2807"/>
        <v>14:52:31.300</v>
      </c>
      <c r="U5990" t="str">
        <f t="shared" si="2794"/>
        <v>A9808D</v>
      </c>
      <c r="V5990">
        <v>0</v>
      </c>
      <c r="W5990">
        <v>0</v>
      </c>
      <c r="X5990">
        <v>1</v>
      </c>
      <c r="Z5990">
        <v>0</v>
      </c>
      <c r="AA5990">
        <v>9</v>
      </c>
      <c r="AB5990">
        <v>3</v>
      </c>
      <c r="AC5990">
        <v>0</v>
      </c>
      <c r="AD5990">
        <v>10</v>
      </c>
      <c r="AE5990">
        <v>0</v>
      </c>
      <c r="AF5990">
        <v>3</v>
      </c>
      <c r="AG5990">
        <v>2</v>
      </c>
      <c r="AH5990">
        <v>0</v>
      </c>
      <c r="AI5990" t="s">
        <v>1244</v>
      </c>
      <c r="AJ5990">
        <v>28.208577999999999</v>
      </c>
      <c r="AK5990" t="s">
        <v>1332</v>
      </c>
      <c r="AL5990">
        <v>-82.367034000000004</v>
      </c>
      <c r="AM5990">
        <v>100</v>
      </c>
      <c r="AN5990">
        <v>200</v>
      </c>
      <c r="AO5990" t="s">
        <v>118</v>
      </c>
      <c r="AP5990">
        <v>37</v>
      </c>
      <c r="AQ5990">
        <v>76</v>
      </c>
      <c r="AR5990">
        <v>-640</v>
      </c>
      <c r="AZ5990">
        <v>1200</v>
      </c>
      <c r="BA5990">
        <v>1</v>
      </c>
      <c r="BB5990" t="str">
        <f t="shared" si="2804"/>
        <v xml:space="preserve">N711JA  </v>
      </c>
      <c r="BC5990">
        <v>1</v>
      </c>
      <c r="BE5990">
        <v>0</v>
      </c>
      <c r="BF5990">
        <v>0</v>
      </c>
      <c r="BG5990">
        <v>0</v>
      </c>
      <c r="BH5990">
        <v>300</v>
      </c>
      <c r="BI5990">
        <v>1</v>
      </c>
      <c r="BJ5990">
        <v>1</v>
      </c>
      <c r="BK5990">
        <v>0</v>
      </c>
      <c r="BL5990">
        <v>0</v>
      </c>
      <c r="BO5990">
        <v>0</v>
      </c>
      <c r="BP5990">
        <v>0</v>
      </c>
      <c r="BW5990" t="str">
        <f t="shared" si="2808"/>
        <v>14:52:32.002</v>
      </c>
      <c r="CJ5990">
        <v>0</v>
      </c>
      <c r="CK5990">
        <v>2</v>
      </c>
      <c r="CL5990">
        <v>0</v>
      </c>
      <c r="CM5990">
        <v>2</v>
      </c>
      <c r="CN5990">
        <v>0</v>
      </c>
      <c r="CO5990">
        <v>1</v>
      </c>
      <c r="CP5990" t="s">
        <v>119</v>
      </c>
      <c r="CQ5990">
        <v>8</v>
      </c>
      <c r="CR5990">
        <v>3</v>
      </c>
      <c r="CW5990">
        <v>9351155</v>
      </c>
      <c r="CY5990">
        <v>1</v>
      </c>
      <c r="CZ5990">
        <v>0</v>
      </c>
      <c r="DA5990">
        <v>1</v>
      </c>
      <c r="DB5990">
        <v>0</v>
      </c>
      <c r="DC5990">
        <v>0</v>
      </c>
      <c r="DD5990">
        <v>1</v>
      </c>
      <c r="DE5990">
        <v>0</v>
      </c>
      <c r="DF5990">
        <v>0</v>
      </c>
      <c r="DG5990">
        <v>0</v>
      </c>
      <c r="DH5990">
        <v>0</v>
      </c>
      <c r="DI5990">
        <v>0</v>
      </c>
    </row>
    <row r="5991" spans="1:113" x14ac:dyDescent="0.3">
      <c r="A5991" t="str">
        <f t="shared" si="2805"/>
        <v>05/12/2020 14:52:14.166</v>
      </c>
      <c r="C5991" t="str">
        <f t="shared" si="2803"/>
        <v>FFDFD3C0</v>
      </c>
      <c r="D5991" t="s">
        <v>138</v>
      </c>
      <c r="E5991">
        <v>2</v>
      </c>
      <c r="H5991">
        <v>8</v>
      </c>
      <c r="I5991" t="s">
        <v>139</v>
      </c>
      <c r="J5991" t="s">
        <v>136</v>
      </c>
      <c r="K5991">
        <v>0</v>
      </c>
      <c r="L5991">
        <v>3</v>
      </c>
      <c r="M5991">
        <v>0</v>
      </c>
      <c r="N5991">
        <v>2</v>
      </c>
      <c r="O5991">
        <v>1</v>
      </c>
      <c r="P5991">
        <v>0</v>
      </c>
      <c r="Q5991">
        <v>0</v>
      </c>
      <c r="S5991" t="str">
        <f t="shared" si="2806"/>
        <v>14:52:32.000</v>
      </c>
      <c r="T5991" t="str">
        <f t="shared" si="2807"/>
        <v>14:52:31.300</v>
      </c>
      <c r="U5991" t="str">
        <f t="shared" si="2794"/>
        <v>A9808D</v>
      </c>
      <c r="V5991">
        <v>0</v>
      </c>
      <c r="W5991">
        <v>0</v>
      </c>
      <c r="X5991">
        <v>1</v>
      </c>
      <c r="Z5991">
        <v>0</v>
      </c>
      <c r="AA5991">
        <v>9</v>
      </c>
      <c r="AB5991">
        <v>3</v>
      </c>
      <c r="AC5991">
        <v>0</v>
      </c>
      <c r="AD5991">
        <v>10</v>
      </c>
      <c r="AE5991">
        <v>0</v>
      </c>
      <c r="AF5991">
        <v>3</v>
      </c>
      <c r="AG5991">
        <v>2</v>
      </c>
      <c r="AH5991">
        <v>0</v>
      </c>
      <c r="AI5991" t="s">
        <v>1244</v>
      </c>
      <c r="AJ5991">
        <v>28.208577999999999</v>
      </c>
      <c r="AK5991" t="s">
        <v>1332</v>
      </c>
      <c r="AL5991">
        <v>-82.367034000000004</v>
      </c>
      <c r="AM5991">
        <v>100</v>
      </c>
      <c r="AN5991">
        <v>200</v>
      </c>
      <c r="AO5991" t="s">
        <v>118</v>
      </c>
      <c r="AP5991">
        <v>37</v>
      </c>
      <c r="AQ5991">
        <v>76</v>
      </c>
      <c r="AR5991">
        <v>-640</v>
      </c>
      <c r="AZ5991">
        <v>1200</v>
      </c>
      <c r="BA5991">
        <v>1</v>
      </c>
      <c r="BB5991" t="str">
        <f t="shared" si="2804"/>
        <v xml:space="preserve">N711JA  </v>
      </c>
      <c r="BC5991">
        <v>1</v>
      </c>
      <c r="BE5991">
        <v>0</v>
      </c>
      <c r="BF5991">
        <v>0</v>
      </c>
      <c r="BG5991">
        <v>0</v>
      </c>
      <c r="BH5991">
        <v>300</v>
      </c>
      <c r="BI5991">
        <v>1</v>
      </c>
      <c r="BJ5991">
        <v>1</v>
      </c>
      <c r="BK5991">
        <v>0</v>
      </c>
      <c r="BL5991">
        <v>0</v>
      </c>
      <c r="BO5991">
        <v>0</v>
      </c>
      <c r="BP5991">
        <v>0</v>
      </c>
      <c r="BW5991" t="str">
        <f t="shared" si="2808"/>
        <v>14:52:32.002</v>
      </c>
      <c r="CJ5991">
        <v>0</v>
      </c>
      <c r="CK5991">
        <v>2</v>
      </c>
      <c r="CL5991">
        <v>0</v>
      </c>
      <c r="CM5991">
        <v>2</v>
      </c>
      <c r="CN5991">
        <v>0</v>
      </c>
      <c r="CO5991">
        <v>1</v>
      </c>
      <c r="CP5991" t="s">
        <v>119</v>
      </c>
      <c r="CQ5991">
        <v>8</v>
      </c>
      <c r="CR5991">
        <v>3</v>
      </c>
      <c r="CW5991">
        <v>9351155</v>
      </c>
      <c r="CY5991">
        <v>1</v>
      </c>
      <c r="CZ5991">
        <v>0</v>
      </c>
      <c r="DA5991">
        <v>1</v>
      </c>
      <c r="DB5991">
        <v>0</v>
      </c>
      <c r="DC5991">
        <v>0</v>
      </c>
      <c r="DD5991">
        <v>1</v>
      </c>
      <c r="DE5991">
        <v>0</v>
      </c>
      <c r="DF5991">
        <v>0</v>
      </c>
      <c r="DG5991">
        <v>0</v>
      </c>
      <c r="DH5991">
        <v>0</v>
      </c>
      <c r="DI5991">
        <v>0</v>
      </c>
    </row>
    <row r="5992" spans="1:113" x14ac:dyDescent="0.3">
      <c r="A5992" t="str">
        <f t="shared" si="2805"/>
        <v>05/12/2020 14:52:14.166</v>
      </c>
      <c r="C5992" t="str">
        <f t="shared" si="2803"/>
        <v>FFDFD3C0</v>
      </c>
      <c r="D5992" t="s">
        <v>138</v>
      </c>
      <c r="E5992">
        <v>3</v>
      </c>
      <c r="H5992">
        <v>9</v>
      </c>
      <c r="I5992" t="s">
        <v>140</v>
      </c>
      <c r="J5992" t="s">
        <v>136</v>
      </c>
      <c r="K5992">
        <v>0</v>
      </c>
      <c r="L5992">
        <v>3</v>
      </c>
      <c r="M5992">
        <v>0</v>
      </c>
      <c r="N5992">
        <v>2</v>
      </c>
      <c r="O5992">
        <v>1</v>
      </c>
      <c r="P5992">
        <v>0</v>
      </c>
      <c r="Q5992">
        <v>0</v>
      </c>
      <c r="S5992" t="str">
        <f t="shared" si="2806"/>
        <v>14:52:32.000</v>
      </c>
      <c r="T5992" t="str">
        <f t="shared" si="2807"/>
        <v>14:52:31.300</v>
      </c>
      <c r="U5992" t="str">
        <f t="shared" si="2794"/>
        <v>A9808D</v>
      </c>
      <c r="V5992">
        <v>0</v>
      </c>
      <c r="W5992">
        <v>0</v>
      </c>
      <c r="X5992">
        <v>1</v>
      </c>
      <c r="Z5992">
        <v>0</v>
      </c>
      <c r="AA5992">
        <v>9</v>
      </c>
      <c r="AB5992">
        <v>3</v>
      </c>
      <c r="AC5992">
        <v>0</v>
      </c>
      <c r="AD5992">
        <v>10</v>
      </c>
      <c r="AE5992">
        <v>0</v>
      </c>
      <c r="AF5992">
        <v>3</v>
      </c>
      <c r="AG5992">
        <v>2</v>
      </c>
      <c r="AH5992">
        <v>0</v>
      </c>
      <c r="AI5992" t="s">
        <v>1244</v>
      </c>
      <c r="AJ5992">
        <v>28.208577999999999</v>
      </c>
      <c r="AK5992" t="s">
        <v>1332</v>
      </c>
      <c r="AL5992">
        <v>-82.367034000000004</v>
      </c>
      <c r="AM5992">
        <v>100</v>
      </c>
      <c r="AN5992">
        <v>200</v>
      </c>
      <c r="AO5992" t="s">
        <v>118</v>
      </c>
      <c r="AP5992">
        <v>37</v>
      </c>
      <c r="AQ5992">
        <v>76</v>
      </c>
      <c r="AR5992">
        <v>-640</v>
      </c>
      <c r="AZ5992">
        <v>1200</v>
      </c>
      <c r="BA5992">
        <v>1</v>
      </c>
      <c r="BB5992" t="str">
        <f t="shared" si="2804"/>
        <v xml:space="preserve">N711JA  </v>
      </c>
      <c r="BC5992">
        <v>1</v>
      </c>
      <c r="BE5992">
        <v>0</v>
      </c>
      <c r="BF5992">
        <v>0</v>
      </c>
      <c r="BG5992">
        <v>0</v>
      </c>
      <c r="BH5992">
        <v>300</v>
      </c>
      <c r="BI5992">
        <v>1</v>
      </c>
      <c r="BJ5992">
        <v>1</v>
      </c>
      <c r="BK5992">
        <v>0</v>
      </c>
      <c r="BL5992">
        <v>0</v>
      </c>
      <c r="BO5992">
        <v>0</v>
      </c>
      <c r="BP5992">
        <v>0</v>
      </c>
      <c r="BW5992" t="str">
        <f t="shared" si="2808"/>
        <v>14:52:32.002</v>
      </c>
      <c r="CJ5992">
        <v>0</v>
      </c>
      <c r="CK5992">
        <v>2</v>
      </c>
      <c r="CL5992">
        <v>0</v>
      </c>
      <c r="CM5992">
        <v>2</v>
      </c>
      <c r="CN5992">
        <v>0</v>
      </c>
      <c r="CO5992">
        <v>1</v>
      </c>
      <c r="CP5992" t="s">
        <v>119</v>
      </c>
      <c r="CQ5992">
        <v>8</v>
      </c>
      <c r="CR5992">
        <v>3</v>
      </c>
      <c r="CW5992">
        <v>9351155</v>
      </c>
      <c r="CY5992">
        <v>1</v>
      </c>
      <c r="CZ5992">
        <v>0</v>
      </c>
      <c r="DA5992">
        <v>1</v>
      </c>
      <c r="DB5992">
        <v>0</v>
      </c>
      <c r="DC5992">
        <v>0</v>
      </c>
      <c r="DD5992">
        <v>1</v>
      </c>
      <c r="DE5992">
        <v>0</v>
      </c>
      <c r="DF5992">
        <v>0</v>
      </c>
      <c r="DG5992">
        <v>0</v>
      </c>
      <c r="DH5992">
        <v>0</v>
      </c>
      <c r="DI5992">
        <v>0</v>
      </c>
    </row>
    <row r="5993" spans="1:113" x14ac:dyDescent="0.3">
      <c r="A5993" t="str">
        <f t="shared" si="2805"/>
        <v>05/12/2020 14:52:14.166</v>
      </c>
      <c r="C5993" t="str">
        <f t="shared" si="2803"/>
        <v>FFDFD3C0</v>
      </c>
      <c r="D5993" t="s">
        <v>126</v>
      </c>
      <c r="E5993">
        <v>6</v>
      </c>
      <c r="F5993">
        <v>1006</v>
      </c>
      <c r="G5993" t="s">
        <v>114</v>
      </c>
      <c r="J5993" t="s">
        <v>128</v>
      </c>
      <c r="K5993">
        <v>0</v>
      </c>
      <c r="L5993">
        <v>3</v>
      </c>
      <c r="M5993">
        <v>0</v>
      </c>
      <c r="N5993">
        <v>2</v>
      </c>
      <c r="O5993">
        <v>1</v>
      </c>
      <c r="P5993">
        <v>0</v>
      </c>
      <c r="Q5993">
        <v>0</v>
      </c>
      <c r="S5993" t="str">
        <f t="shared" si="2806"/>
        <v>14:52:32.000</v>
      </c>
      <c r="T5993" t="str">
        <f t="shared" si="2807"/>
        <v>14:52:31.300</v>
      </c>
      <c r="U5993" t="str">
        <f t="shared" si="2794"/>
        <v>A9808D</v>
      </c>
      <c r="V5993">
        <v>0</v>
      </c>
      <c r="W5993">
        <v>0</v>
      </c>
      <c r="X5993">
        <v>1</v>
      </c>
      <c r="Z5993">
        <v>0</v>
      </c>
      <c r="AA5993">
        <v>9</v>
      </c>
      <c r="AB5993">
        <v>3</v>
      </c>
      <c r="AC5993">
        <v>0</v>
      </c>
      <c r="AD5993">
        <v>10</v>
      </c>
      <c r="AE5993">
        <v>0</v>
      </c>
      <c r="AF5993">
        <v>3</v>
      </c>
      <c r="AG5993">
        <v>2</v>
      </c>
      <c r="AH5993">
        <v>0</v>
      </c>
      <c r="AI5993" t="s">
        <v>1244</v>
      </c>
      <c r="AJ5993">
        <v>28.208577999999999</v>
      </c>
      <c r="AK5993" t="s">
        <v>1332</v>
      </c>
      <c r="AL5993">
        <v>-82.367034000000004</v>
      </c>
      <c r="AM5993">
        <v>100</v>
      </c>
      <c r="AN5993">
        <v>200</v>
      </c>
      <c r="AO5993" t="s">
        <v>118</v>
      </c>
      <c r="AP5993">
        <v>37</v>
      </c>
      <c r="AQ5993">
        <v>76</v>
      </c>
      <c r="AR5993">
        <v>-640</v>
      </c>
      <c r="AZ5993">
        <v>1200</v>
      </c>
      <c r="BA5993">
        <v>1</v>
      </c>
      <c r="BB5993" t="str">
        <f t="shared" si="2804"/>
        <v xml:space="preserve">N711JA  </v>
      </c>
      <c r="BC5993">
        <v>1</v>
      </c>
      <c r="BE5993">
        <v>0</v>
      </c>
      <c r="BF5993">
        <v>0</v>
      </c>
      <c r="BG5993">
        <v>0</v>
      </c>
      <c r="BH5993">
        <v>300</v>
      </c>
      <c r="BI5993">
        <v>1</v>
      </c>
      <c r="BJ5993">
        <v>1</v>
      </c>
      <c r="BK5993">
        <v>0</v>
      </c>
      <c r="BL5993">
        <v>0</v>
      </c>
      <c r="BO5993">
        <v>0</v>
      </c>
      <c r="BP5993">
        <v>0</v>
      </c>
      <c r="BW5993" t="str">
        <f t="shared" si="2808"/>
        <v>14:52:32.002</v>
      </c>
      <c r="CJ5993">
        <v>0</v>
      </c>
      <c r="CK5993">
        <v>2</v>
      </c>
      <c r="CL5993">
        <v>0</v>
      </c>
      <c r="CM5993">
        <v>2</v>
      </c>
      <c r="CN5993">
        <v>0</v>
      </c>
      <c r="CO5993">
        <v>1</v>
      </c>
      <c r="CP5993" t="s">
        <v>119</v>
      </c>
      <c r="CQ5993">
        <v>8</v>
      </c>
      <c r="CR5993">
        <v>3</v>
      </c>
      <c r="CW5993">
        <v>9351155</v>
      </c>
      <c r="CY5993">
        <v>1</v>
      </c>
      <c r="CZ5993">
        <v>0</v>
      </c>
      <c r="DA5993">
        <v>1</v>
      </c>
      <c r="DB5993">
        <v>0</v>
      </c>
      <c r="DC5993">
        <v>0</v>
      </c>
      <c r="DD5993">
        <v>1</v>
      </c>
      <c r="DE5993">
        <v>0</v>
      </c>
      <c r="DF5993">
        <v>0</v>
      </c>
      <c r="DG5993">
        <v>0</v>
      </c>
      <c r="DH5993">
        <v>0</v>
      </c>
      <c r="DI5993">
        <v>0</v>
      </c>
    </row>
    <row r="5994" spans="1:113" x14ac:dyDescent="0.3">
      <c r="A5994" t="str">
        <f t="shared" si="2805"/>
        <v>05/12/2020 14:52:14.166</v>
      </c>
      <c r="C5994" t="str">
        <f t="shared" si="2803"/>
        <v>FFDFD3C0</v>
      </c>
      <c r="D5994" t="s">
        <v>113</v>
      </c>
      <c r="E5994">
        <v>3</v>
      </c>
      <c r="H5994">
        <v>164</v>
      </c>
      <c r="I5994" t="s">
        <v>114</v>
      </c>
      <c r="J5994" t="s">
        <v>115</v>
      </c>
      <c r="K5994">
        <v>0</v>
      </c>
      <c r="L5994">
        <v>3</v>
      </c>
      <c r="M5994">
        <v>0</v>
      </c>
      <c r="N5994">
        <v>2</v>
      </c>
      <c r="O5994">
        <v>1</v>
      </c>
      <c r="P5994">
        <v>0</v>
      </c>
      <c r="Q5994">
        <v>0</v>
      </c>
      <c r="S5994" t="str">
        <f t="shared" si="2806"/>
        <v>14:52:32.000</v>
      </c>
      <c r="T5994" t="str">
        <f t="shared" si="2807"/>
        <v>14:52:31.300</v>
      </c>
      <c r="U5994" t="str">
        <f t="shared" si="2794"/>
        <v>A9808D</v>
      </c>
      <c r="V5994">
        <v>0</v>
      </c>
      <c r="W5994">
        <v>0</v>
      </c>
      <c r="X5994">
        <v>1</v>
      </c>
      <c r="Z5994">
        <v>0</v>
      </c>
      <c r="AA5994">
        <v>9</v>
      </c>
      <c r="AB5994">
        <v>3</v>
      </c>
      <c r="AC5994">
        <v>0</v>
      </c>
      <c r="AD5994">
        <v>10</v>
      </c>
      <c r="AE5994">
        <v>0</v>
      </c>
      <c r="AF5994">
        <v>3</v>
      </c>
      <c r="AG5994">
        <v>2</v>
      </c>
      <c r="AH5994">
        <v>0</v>
      </c>
      <c r="AI5994" t="s">
        <v>1244</v>
      </c>
      <c r="AJ5994">
        <v>28.208577999999999</v>
      </c>
      <c r="AK5994" t="s">
        <v>1332</v>
      </c>
      <c r="AL5994">
        <v>-82.367034000000004</v>
      </c>
      <c r="AM5994">
        <v>100</v>
      </c>
      <c r="AN5994">
        <v>200</v>
      </c>
      <c r="AO5994" t="s">
        <v>118</v>
      </c>
      <c r="AP5994">
        <v>37</v>
      </c>
      <c r="AQ5994">
        <v>76</v>
      </c>
      <c r="AR5994">
        <v>-640</v>
      </c>
      <c r="AZ5994">
        <v>1200</v>
      </c>
      <c r="BA5994">
        <v>1</v>
      </c>
      <c r="BB5994" t="str">
        <f t="shared" si="2804"/>
        <v xml:space="preserve">N711JA  </v>
      </c>
      <c r="BC5994">
        <v>1</v>
      </c>
      <c r="BE5994">
        <v>0</v>
      </c>
      <c r="BF5994">
        <v>0</v>
      </c>
      <c r="BG5994">
        <v>0</v>
      </c>
      <c r="BH5994">
        <v>300</v>
      </c>
      <c r="BI5994">
        <v>1</v>
      </c>
      <c r="BJ5994">
        <v>1</v>
      </c>
      <c r="BK5994">
        <v>0</v>
      </c>
      <c r="BL5994">
        <v>0</v>
      </c>
      <c r="BO5994">
        <v>0</v>
      </c>
      <c r="BP5994">
        <v>0</v>
      </c>
      <c r="BW5994" t="str">
        <f t="shared" si="2808"/>
        <v>14:52:32.002</v>
      </c>
      <c r="CJ5994">
        <v>0</v>
      </c>
      <c r="CK5994">
        <v>2</v>
      </c>
      <c r="CL5994">
        <v>0</v>
      </c>
      <c r="CM5994">
        <v>2</v>
      </c>
      <c r="CN5994">
        <v>0</v>
      </c>
      <c r="CO5994">
        <v>1</v>
      </c>
      <c r="CP5994" t="s">
        <v>119</v>
      </c>
      <c r="CQ5994">
        <v>8</v>
      </c>
      <c r="CR5994">
        <v>3</v>
      </c>
      <c r="CW5994">
        <v>9351155</v>
      </c>
      <c r="CY5994">
        <v>1</v>
      </c>
      <c r="CZ5994">
        <v>0</v>
      </c>
      <c r="DA5994">
        <v>1</v>
      </c>
      <c r="DB5994">
        <v>0</v>
      </c>
      <c r="DC5994">
        <v>0</v>
      </c>
      <c r="DD5994">
        <v>1</v>
      </c>
      <c r="DE5994">
        <v>0</v>
      </c>
      <c r="DF5994">
        <v>0</v>
      </c>
      <c r="DG5994">
        <v>0</v>
      </c>
      <c r="DH5994">
        <v>0</v>
      </c>
      <c r="DI5994">
        <v>0</v>
      </c>
    </row>
    <row r="5995" spans="1:113" x14ac:dyDescent="0.3">
      <c r="A5995" t="str">
        <f t="shared" ref="A5995:A6002" si="2809">"05/12/2020 14:52:15.149"</f>
        <v>05/12/2020 14:52:15.149</v>
      </c>
      <c r="C5995" t="str">
        <f t="shared" si="2803"/>
        <v>FFDFD3C0</v>
      </c>
      <c r="D5995" t="s">
        <v>126</v>
      </c>
      <c r="E5995">
        <v>6</v>
      </c>
      <c r="F5995">
        <v>1006</v>
      </c>
      <c r="G5995" t="s">
        <v>114</v>
      </c>
      <c r="J5995" t="s">
        <v>128</v>
      </c>
      <c r="K5995">
        <v>0</v>
      </c>
      <c r="L5995">
        <v>3</v>
      </c>
      <c r="M5995">
        <v>0</v>
      </c>
      <c r="N5995">
        <v>2</v>
      </c>
      <c r="O5995">
        <v>1</v>
      </c>
      <c r="P5995">
        <v>0</v>
      </c>
      <c r="Q5995">
        <v>0</v>
      </c>
      <c r="S5995" t="str">
        <f t="shared" ref="S5995:T6002" si="2810">"14:52:32.984"</f>
        <v>14:52:32.984</v>
      </c>
      <c r="T5995" t="str">
        <f t="shared" si="2810"/>
        <v>14:52:32.984</v>
      </c>
      <c r="U5995" t="str">
        <f t="shared" si="2794"/>
        <v>A9808D</v>
      </c>
      <c r="V5995">
        <v>0</v>
      </c>
      <c r="W5995">
        <v>0</v>
      </c>
      <c r="X5995">
        <v>1</v>
      </c>
      <c r="Z5995">
        <v>0</v>
      </c>
      <c r="AA5995">
        <v>9</v>
      </c>
      <c r="AB5995">
        <v>3</v>
      </c>
      <c r="AC5995">
        <v>0</v>
      </c>
      <c r="AD5995">
        <v>10</v>
      </c>
      <c r="AE5995">
        <v>0</v>
      </c>
      <c r="AF5995">
        <v>3</v>
      </c>
      <c r="AG5995">
        <v>2</v>
      </c>
      <c r="AH5995">
        <v>0</v>
      </c>
      <c r="AI5995" t="s">
        <v>1333</v>
      </c>
      <c r="AJ5995">
        <v>28.208964000000002</v>
      </c>
      <c r="AK5995" t="s">
        <v>1334</v>
      </c>
      <c r="AL5995">
        <v>-82.366927000000004</v>
      </c>
      <c r="AM5995">
        <v>100</v>
      </c>
      <c r="AN5995">
        <v>200</v>
      </c>
      <c r="AO5995" t="s">
        <v>118</v>
      </c>
      <c r="AP5995">
        <v>28</v>
      </c>
      <c r="AQ5995">
        <v>80</v>
      </c>
      <c r="AR5995">
        <v>-832</v>
      </c>
      <c r="AZ5995">
        <v>1200</v>
      </c>
      <c r="BA5995">
        <v>1</v>
      </c>
      <c r="BB5995" t="str">
        <f t="shared" si="2804"/>
        <v xml:space="preserve">N711JA  </v>
      </c>
      <c r="BC5995">
        <v>1</v>
      </c>
      <c r="BE5995">
        <v>0</v>
      </c>
      <c r="BF5995">
        <v>0</v>
      </c>
      <c r="BG5995">
        <v>0</v>
      </c>
      <c r="BH5995">
        <v>275</v>
      </c>
      <c r="BI5995">
        <v>1</v>
      </c>
      <c r="BJ5995">
        <v>1</v>
      </c>
      <c r="BK5995">
        <v>0</v>
      </c>
      <c r="BL5995">
        <v>0</v>
      </c>
      <c r="BO5995">
        <v>0</v>
      </c>
      <c r="BP5995">
        <v>0</v>
      </c>
      <c r="BW5995" t="str">
        <f t="shared" ref="BW5995:BW6002" si="2811">"14:52:32.986"</f>
        <v>14:52:32.986</v>
      </c>
      <c r="CJ5995">
        <v>0</v>
      </c>
      <c r="CK5995">
        <v>2</v>
      </c>
      <c r="CL5995">
        <v>0</v>
      </c>
      <c r="CM5995">
        <v>2</v>
      </c>
      <c r="CN5995">
        <v>0</v>
      </c>
      <c r="CO5995">
        <v>2</v>
      </c>
      <c r="CP5995" t="s">
        <v>119</v>
      </c>
      <c r="CQ5995">
        <v>8</v>
      </c>
      <c r="CR5995">
        <v>3</v>
      </c>
      <c r="CW5995">
        <v>9352070</v>
      </c>
      <c r="CY5995">
        <v>1</v>
      </c>
      <c r="CZ5995">
        <v>0</v>
      </c>
      <c r="DA5995">
        <v>0</v>
      </c>
      <c r="DB5995">
        <v>0</v>
      </c>
      <c r="DC5995">
        <v>0</v>
      </c>
      <c r="DD5995">
        <v>1</v>
      </c>
      <c r="DE5995">
        <v>0</v>
      </c>
      <c r="DF5995">
        <v>0</v>
      </c>
      <c r="DG5995">
        <v>0</v>
      </c>
      <c r="DH5995">
        <v>0</v>
      </c>
      <c r="DI5995">
        <v>0</v>
      </c>
    </row>
    <row r="5996" spans="1:113" x14ac:dyDescent="0.3">
      <c r="A5996" t="str">
        <f t="shared" si="2809"/>
        <v>05/12/2020 14:52:15.149</v>
      </c>
      <c r="C5996" t="str">
        <f t="shared" si="2803"/>
        <v>FFDFD3C0</v>
      </c>
      <c r="D5996" t="s">
        <v>113</v>
      </c>
      <c r="E5996">
        <v>3</v>
      </c>
      <c r="H5996">
        <v>164</v>
      </c>
      <c r="I5996" t="s">
        <v>114</v>
      </c>
      <c r="J5996" t="s">
        <v>115</v>
      </c>
      <c r="K5996">
        <v>0</v>
      </c>
      <c r="L5996">
        <v>3</v>
      </c>
      <c r="M5996">
        <v>0</v>
      </c>
      <c r="N5996">
        <v>2</v>
      </c>
      <c r="O5996">
        <v>1</v>
      </c>
      <c r="P5996">
        <v>0</v>
      </c>
      <c r="Q5996">
        <v>0</v>
      </c>
      <c r="S5996" t="str">
        <f t="shared" si="2810"/>
        <v>14:52:32.984</v>
      </c>
      <c r="T5996" t="str">
        <f t="shared" si="2810"/>
        <v>14:52:32.984</v>
      </c>
      <c r="U5996" t="str">
        <f t="shared" si="2794"/>
        <v>A9808D</v>
      </c>
      <c r="V5996">
        <v>0</v>
      </c>
      <c r="W5996">
        <v>0</v>
      </c>
      <c r="X5996">
        <v>1</v>
      </c>
      <c r="Z5996">
        <v>0</v>
      </c>
      <c r="AA5996">
        <v>9</v>
      </c>
      <c r="AB5996">
        <v>3</v>
      </c>
      <c r="AC5996">
        <v>0</v>
      </c>
      <c r="AD5996">
        <v>10</v>
      </c>
      <c r="AE5996">
        <v>0</v>
      </c>
      <c r="AF5996">
        <v>3</v>
      </c>
      <c r="AG5996">
        <v>2</v>
      </c>
      <c r="AH5996">
        <v>0</v>
      </c>
      <c r="AI5996" t="s">
        <v>1333</v>
      </c>
      <c r="AJ5996">
        <v>28.208964000000002</v>
      </c>
      <c r="AK5996" t="s">
        <v>1334</v>
      </c>
      <c r="AL5996">
        <v>-82.366927000000004</v>
      </c>
      <c r="AM5996">
        <v>100</v>
      </c>
      <c r="AN5996">
        <v>200</v>
      </c>
      <c r="AO5996" t="s">
        <v>118</v>
      </c>
      <c r="AP5996">
        <v>28</v>
      </c>
      <c r="AQ5996">
        <v>80</v>
      </c>
      <c r="AR5996">
        <v>-832</v>
      </c>
      <c r="AZ5996">
        <v>1200</v>
      </c>
      <c r="BA5996">
        <v>1</v>
      </c>
      <c r="BB5996" t="str">
        <f t="shared" si="2804"/>
        <v xml:space="preserve">N711JA  </v>
      </c>
      <c r="BC5996">
        <v>1</v>
      </c>
      <c r="BE5996">
        <v>0</v>
      </c>
      <c r="BF5996">
        <v>0</v>
      </c>
      <c r="BG5996">
        <v>0</v>
      </c>
      <c r="BH5996">
        <v>275</v>
      </c>
      <c r="BI5996">
        <v>1</v>
      </c>
      <c r="BJ5996">
        <v>1</v>
      </c>
      <c r="BK5996">
        <v>0</v>
      </c>
      <c r="BL5996">
        <v>0</v>
      </c>
      <c r="BO5996">
        <v>0</v>
      </c>
      <c r="BP5996">
        <v>0</v>
      </c>
      <c r="BW5996" t="str">
        <f t="shared" si="2811"/>
        <v>14:52:32.986</v>
      </c>
      <c r="CJ5996">
        <v>0</v>
      </c>
      <c r="CK5996">
        <v>2</v>
      </c>
      <c r="CL5996">
        <v>0</v>
      </c>
      <c r="CM5996">
        <v>2</v>
      </c>
      <c r="CN5996">
        <v>0</v>
      </c>
      <c r="CO5996">
        <v>2</v>
      </c>
      <c r="CP5996" t="s">
        <v>119</v>
      </c>
      <c r="CQ5996">
        <v>8</v>
      </c>
      <c r="CR5996">
        <v>3</v>
      </c>
      <c r="CW5996">
        <v>9352070</v>
      </c>
      <c r="CY5996">
        <v>1</v>
      </c>
      <c r="CZ5996">
        <v>0</v>
      </c>
      <c r="DA5996">
        <v>1</v>
      </c>
      <c r="DB5996">
        <v>0</v>
      </c>
      <c r="DC5996">
        <v>0</v>
      </c>
      <c r="DD5996">
        <v>1</v>
      </c>
      <c r="DE5996">
        <v>0</v>
      </c>
      <c r="DF5996">
        <v>0</v>
      </c>
      <c r="DG5996">
        <v>0</v>
      </c>
      <c r="DH5996">
        <v>0</v>
      </c>
      <c r="DI5996">
        <v>0</v>
      </c>
    </row>
    <row r="5997" spans="1:113" x14ac:dyDescent="0.3">
      <c r="A5997" t="str">
        <f t="shared" si="2809"/>
        <v>05/12/2020 14:52:15.149</v>
      </c>
      <c r="C5997" t="str">
        <f t="shared" si="2803"/>
        <v>FFDFD3C0</v>
      </c>
      <c r="D5997" t="s">
        <v>126</v>
      </c>
      <c r="E5997">
        <v>7</v>
      </c>
      <c r="F5997">
        <v>1007</v>
      </c>
      <c r="G5997" t="s">
        <v>127</v>
      </c>
      <c r="J5997" t="s">
        <v>128</v>
      </c>
      <c r="K5997">
        <v>0</v>
      </c>
      <c r="L5997">
        <v>3</v>
      </c>
      <c r="M5997">
        <v>0</v>
      </c>
      <c r="N5997">
        <v>2</v>
      </c>
      <c r="O5997">
        <v>1</v>
      </c>
      <c r="P5997">
        <v>0</v>
      </c>
      <c r="Q5997">
        <v>0</v>
      </c>
      <c r="S5997" t="str">
        <f t="shared" si="2810"/>
        <v>14:52:32.984</v>
      </c>
      <c r="T5997" t="str">
        <f t="shared" si="2810"/>
        <v>14:52:32.984</v>
      </c>
      <c r="U5997" t="str">
        <f t="shared" si="2794"/>
        <v>A9808D</v>
      </c>
      <c r="V5997">
        <v>0</v>
      </c>
      <c r="W5997">
        <v>0</v>
      </c>
      <c r="X5997">
        <v>1</v>
      </c>
      <c r="Z5997">
        <v>0</v>
      </c>
      <c r="AA5997">
        <v>9</v>
      </c>
      <c r="AB5997">
        <v>3</v>
      </c>
      <c r="AC5997">
        <v>0</v>
      </c>
      <c r="AD5997">
        <v>10</v>
      </c>
      <c r="AE5997">
        <v>0</v>
      </c>
      <c r="AF5997">
        <v>3</v>
      </c>
      <c r="AG5997">
        <v>2</v>
      </c>
      <c r="AH5997">
        <v>0</v>
      </c>
      <c r="AI5997" t="s">
        <v>1333</v>
      </c>
      <c r="AJ5997">
        <v>28.208964000000002</v>
      </c>
      <c r="AK5997" t="s">
        <v>1334</v>
      </c>
      <c r="AL5997">
        <v>-82.366927000000004</v>
      </c>
      <c r="AM5997">
        <v>100</v>
      </c>
      <c r="AN5997">
        <v>200</v>
      </c>
      <c r="AO5997" t="s">
        <v>118</v>
      </c>
      <c r="AP5997">
        <v>28</v>
      </c>
      <c r="AQ5997">
        <v>80</v>
      </c>
      <c r="AR5997">
        <v>-832</v>
      </c>
      <c r="AZ5997">
        <v>1200</v>
      </c>
      <c r="BA5997">
        <v>1</v>
      </c>
      <c r="BB5997" t="str">
        <f t="shared" si="2804"/>
        <v xml:space="preserve">N711JA  </v>
      </c>
      <c r="BC5997">
        <v>1</v>
      </c>
      <c r="BE5997">
        <v>0</v>
      </c>
      <c r="BF5997">
        <v>0</v>
      </c>
      <c r="BG5997">
        <v>0</v>
      </c>
      <c r="BH5997">
        <v>275</v>
      </c>
      <c r="BI5997">
        <v>1</v>
      </c>
      <c r="BJ5997">
        <v>1</v>
      </c>
      <c r="BK5997">
        <v>0</v>
      </c>
      <c r="BL5997">
        <v>0</v>
      </c>
      <c r="BO5997">
        <v>0</v>
      </c>
      <c r="BP5997">
        <v>0</v>
      </c>
      <c r="BW5997" t="str">
        <f t="shared" si="2811"/>
        <v>14:52:32.986</v>
      </c>
      <c r="CJ5997">
        <v>0</v>
      </c>
      <c r="CK5997">
        <v>2</v>
      </c>
      <c r="CL5997">
        <v>0</v>
      </c>
      <c r="CM5997">
        <v>2</v>
      </c>
      <c r="CN5997">
        <v>0</v>
      </c>
      <c r="CO5997">
        <v>2</v>
      </c>
      <c r="CP5997" t="s">
        <v>119</v>
      </c>
      <c r="CQ5997">
        <v>8</v>
      </c>
      <c r="CR5997">
        <v>3</v>
      </c>
      <c r="CW5997">
        <v>9352070</v>
      </c>
      <c r="CY5997">
        <v>1</v>
      </c>
      <c r="CZ5997">
        <v>0</v>
      </c>
      <c r="DA5997">
        <v>1</v>
      </c>
      <c r="DB5997">
        <v>0</v>
      </c>
      <c r="DC5997">
        <v>0</v>
      </c>
      <c r="DD5997">
        <v>1</v>
      </c>
      <c r="DE5997">
        <v>0</v>
      </c>
      <c r="DF5997">
        <v>0</v>
      </c>
      <c r="DG5997">
        <v>0</v>
      </c>
      <c r="DH5997">
        <v>0</v>
      </c>
      <c r="DI5997">
        <v>0</v>
      </c>
    </row>
    <row r="5998" spans="1:113" x14ac:dyDescent="0.3">
      <c r="A5998" t="str">
        <f t="shared" si="2809"/>
        <v>05/12/2020 14:52:15.149</v>
      </c>
      <c r="C5998" t="str">
        <f t="shared" si="2803"/>
        <v>FFDFD3C0</v>
      </c>
      <c r="D5998" t="s">
        <v>131</v>
      </c>
      <c r="E5998">
        <v>10</v>
      </c>
      <c r="F5998">
        <v>2010</v>
      </c>
      <c r="G5998" t="s">
        <v>132</v>
      </c>
      <c r="J5998" t="s">
        <v>133</v>
      </c>
      <c r="K5998">
        <v>0</v>
      </c>
      <c r="L5998">
        <v>3</v>
      </c>
      <c r="M5998">
        <v>0</v>
      </c>
      <c r="N5998">
        <v>2</v>
      </c>
      <c r="O5998">
        <v>1</v>
      </c>
      <c r="P5998">
        <v>0</v>
      </c>
      <c r="Q5998">
        <v>0</v>
      </c>
      <c r="S5998" t="str">
        <f t="shared" si="2810"/>
        <v>14:52:32.984</v>
      </c>
      <c r="T5998" t="str">
        <f t="shared" si="2810"/>
        <v>14:52:32.984</v>
      </c>
      <c r="U5998" t="str">
        <f t="shared" si="2794"/>
        <v>A9808D</v>
      </c>
      <c r="V5998">
        <v>0</v>
      </c>
      <c r="W5998">
        <v>0</v>
      </c>
      <c r="X5998">
        <v>1</v>
      </c>
      <c r="Z5998">
        <v>0</v>
      </c>
      <c r="AA5998">
        <v>9</v>
      </c>
      <c r="AB5998">
        <v>3</v>
      </c>
      <c r="AC5998">
        <v>0</v>
      </c>
      <c r="AD5998">
        <v>10</v>
      </c>
      <c r="AE5998">
        <v>0</v>
      </c>
      <c r="AF5998">
        <v>3</v>
      </c>
      <c r="AG5998">
        <v>2</v>
      </c>
      <c r="AH5998">
        <v>0</v>
      </c>
      <c r="AI5998" t="s">
        <v>1333</v>
      </c>
      <c r="AJ5998">
        <v>28.208964000000002</v>
      </c>
      <c r="AK5998" t="s">
        <v>1334</v>
      </c>
      <c r="AL5998">
        <v>-82.366927000000004</v>
      </c>
      <c r="AM5998">
        <v>100</v>
      </c>
      <c r="AN5998">
        <v>200</v>
      </c>
      <c r="AO5998" t="s">
        <v>118</v>
      </c>
      <c r="AP5998">
        <v>28</v>
      </c>
      <c r="AQ5998">
        <v>80</v>
      </c>
      <c r="AR5998">
        <v>-832</v>
      </c>
      <c r="AZ5998">
        <v>1200</v>
      </c>
      <c r="BA5998">
        <v>1</v>
      </c>
      <c r="BB5998" t="str">
        <f t="shared" si="2804"/>
        <v xml:space="preserve">N711JA  </v>
      </c>
      <c r="BC5998">
        <v>1</v>
      </c>
      <c r="BE5998">
        <v>0</v>
      </c>
      <c r="BF5998">
        <v>0</v>
      </c>
      <c r="BG5998">
        <v>0</v>
      </c>
      <c r="BH5998">
        <v>275</v>
      </c>
      <c r="BI5998">
        <v>1</v>
      </c>
      <c r="BJ5998">
        <v>1</v>
      </c>
      <c r="BK5998">
        <v>0</v>
      </c>
      <c r="BL5998">
        <v>0</v>
      </c>
      <c r="BO5998">
        <v>0</v>
      </c>
      <c r="BP5998">
        <v>0</v>
      </c>
      <c r="BW5998" t="str">
        <f t="shared" si="2811"/>
        <v>14:52:32.986</v>
      </c>
      <c r="CJ5998">
        <v>0</v>
      </c>
      <c r="CK5998">
        <v>2</v>
      </c>
      <c r="CL5998">
        <v>0</v>
      </c>
      <c r="CM5998">
        <v>2</v>
      </c>
      <c r="CN5998">
        <v>0</v>
      </c>
      <c r="CO5998">
        <v>2</v>
      </c>
      <c r="CP5998" t="s">
        <v>119</v>
      </c>
      <c r="CQ5998">
        <v>8</v>
      </c>
      <c r="CR5998">
        <v>3</v>
      </c>
      <c r="CW5998">
        <v>9352070</v>
      </c>
      <c r="CY5998">
        <v>1</v>
      </c>
      <c r="CZ5998">
        <v>0</v>
      </c>
      <c r="DA5998">
        <v>1</v>
      </c>
      <c r="DB5998">
        <v>0</v>
      </c>
      <c r="DC5998">
        <v>0</v>
      </c>
      <c r="DD5998">
        <v>1</v>
      </c>
      <c r="DE5998">
        <v>0</v>
      </c>
      <c r="DF5998">
        <v>0</v>
      </c>
      <c r="DG5998">
        <v>0</v>
      </c>
      <c r="DH5998">
        <v>0</v>
      </c>
      <c r="DI5998">
        <v>0</v>
      </c>
    </row>
    <row r="5999" spans="1:113" x14ac:dyDescent="0.3">
      <c r="A5999" t="str">
        <f t="shared" si="2809"/>
        <v>05/12/2020 14:52:15.149</v>
      </c>
      <c r="C5999" t="str">
        <f t="shared" si="2803"/>
        <v>FFDFD3C0</v>
      </c>
      <c r="D5999" t="s">
        <v>131</v>
      </c>
      <c r="E5999">
        <v>12</v>
      </c>
      <c r="F5999">
        <v>2012</v>
      </c>
      <c r="G5999" t="s">
        <v>137</v>
      </c>
      <c r="J5999" t="s">
        <v>133</v>
      </c>
      <c r="K5999">
        <v>0</v>
      </c>
      <c r="L5999">
        <v>3</v>
      </c>
      <c r="M5999">
        <v>0</v>
      </c>
      <c r="N5999">
        <v>2</v>
      </c>
      <c r="O5999">
        <v>1</v>
      </c>
      <c r="P5999">
        <v>0</v>
      </c>
      <c r="Q5999">
        <v>0</v>
      </c>
      <c r="S5999" t="str">
        <f t="shared" si="2810"/>
        <v>14:52:32.984</v>
      </c>
      <c r="T5999" t="str">
        <f t="shared" si="2810"/>
        <v>14:52:32.984</v>
      </c>
      <c r="U5999" t="str">
        <f t="shared" si="2794"/>
        <v>A9808D</v>
      </c>
      <c r="V5999">
        <v>0</v>
      </c>
      <c r="W5999">
        <v>0</v>
      </c>
      <c r="X5999">
        <v>1</v>
      </c>
      <c r="Z5999">
        <v>0</v>
      </c>
      <c r="AA5999">
        <v>9</v>
      </c>
      <c r="AB5999">
        <v>3</v>
      </c>
      <c r="AC5999">
        <v>0</v>
      </c>
      <c r="AD5999">
        <v>10</v>
      </c>
      <c r="AE5999">
        <v>0</v>
      </c>
      <c r="AF5999">
        <v>3</v>
      </c>
      <c r="AG5999">
        <v>2</v>
      </c>
      <c r="AH5999">
        <v>0</v>
      </c>
      <c r="AI5999" t="s">
        <v>1333</v>
      </c>
      <c r="AJ5999">
        <v>28.208964000000002</v>
      </c>
      <c r="AK5999" t="s">
        <v>1334</v>
      </c>
      <c r="AL5999">
        <v>-82.366927000000004</v>
      </c>
      <c r="AM5999">
        <v>100</v>
      </c>
      <c r="AN5999">
        <v>200</v>
      </c>
      <c r="AO5999" t="s">
        <v>118</v>
      </c>
      <c r="AP5999">
        <v>28</v>
      </c>
      <c r="AQ5999">
        <v>80</v>
      </c>
      <c r="AR5999">
        <v>-832</v>
      </c>
      <c r="AZ5999">
        <v>1200</v>
      </c>
      <c r="BA5999">
        <v>1</v>
      </c>
      <c r="BB5999" t="str">
        <f t="shared" si="2804"/>
        <v xml:space="preserve">N711JA  </v>
      </c>
      <c r="BC5999">
        <v>1</v>
      </c>
      <c r="BE5999">
        <v>0</v>
      </c>
      <c r="BF5999">
        <v>0</v>
      </c>
      <c r="BG5999">
        <v>0</v>
      </c>
      <c r="BH5999">
        <v>275</v>
      </c>
      <c r="BI5999">
        <v>1</v>
      </c>
      <c r="BJ5999">
        <v>1</v>
      </c>
      <c r="BK5999">
        <v>0</v>
      </c>
      <c r="BL5999">
        <v>0</v>
      </c>
      <c r="BO5999">
        <v>0</v>
      </c>
      <c r="BP5999">
        <v>0</v>
      </c>
      <c r="BW5999" t="str">
        <f t="shared" si="2811"/>
        <v>14:52:32.986</v>
      </c>
      <c r="CJ5999">
        <v>0</v>
      </c>
      <c r="CK5999">
        <v>2</v>
      </c>
      <c r="CL5999">
        <v>0</v>
      </c>
      <c r="CM5999">
        <v>2</v>
      </c>
      <c r="CN5999">
        <v>0</v>
      </c>
      <c r="CO5999">
        <v>2</v>
      </c>
      <c r="CP5999" t="s">
        <v>119</v>
      </c>
      <c r="CQ5999">
        <v>8</v>
      </c>
      <c r="CR5999">
        <v>3</v>
      </c>
      <c r="CW5999">
        <v>9352070</v>
      </c>
      <c r="CY5999">
        <v>1</v>
      </c>
      <c r="CZ5999">
        <v>0</v>
      </c>
      <c r="DA5999">
        <v>1</v>
      </c>
      <c r="DB5999">
        <v>0</v>
      </c>
      <c r="DC5999">
        <v>0</v>
      </c>
      <c r="DD5999">
        <v>1</v>
      </c>
      <c r="DE5999">
        <v>0</v>
      </c>
      <c r="DF5999">
        <v>0</v>
      </c>
      <c r="DG5999">
        <v>0</v>
      </c>
      <c r="DH5999">
        <v>0</v>
      </c>
      <c r="DI5999">
        <v>0</v>
      </c>
    </row>
    <row r="6000" spans="1:113" x14ac:dyDescent="0.3">
      <c r="A6000" t="str">
        <f t="shared" si="2809"/>
        <v>05/12/2020 14:52:15.149</v>
      </c>
      <c r="C6000" t="str">
        <f t="shared" si="2803"/>
        <v>FFDFD3C0</v>
      </c>
      <c r="D6000" t="s">
        <v>134</v>
      </c>
      <c r="E6000">
        <v>12</v>
      </c>
      <c r="H6000">
        <v>64</v>
      </c>
      <c r="I6000" t="s">
        <v>135</v>
      </c>
      <c r="J6000" t="s">
        <v>136</v>
      </c>
      <c r="K6000">
        <v>0</v>
      </c>
      <c r="L6000">
        <v>3</v>
      </c>
      <c r="M6000">
        <v>0</v>
      </c>
      <c r="N6000">
        <v>2</v>
      </c>
      <c r="O6000">
        <v>1</v>
      </c>
      <c r="P6000">
        <v>0</v>
      </c>
      <c r="Q6000">
        <v>0</v>
      </c>
      <c r="S6000" t="str">
        <f t="shared" si="2810"/>
        <v>14:52:32.984</v>
      </c>
      <c r="T6000" t="str">
        <f t="shared" si="2810"/>
        <v>14:52:32.984</v>
      </c>
      <c r="U6000" t="str">
        <f t="shared" si="2794"/>
        <v>A9808D</v>
      </c>
      <c r="V6000">
        <v>0</v>
      </c>
      <c r="W6000">
        <v>0</v>
      </c>
      <c r="X6000">
        <v>1</v>
      </c>
      <c r="Z6000">
        <v>0</v>
      </c>
      <c r="AA6000">
        <v>9</v>
      </c>
      <c r="AB6000">
        <v>3</v>
      </c>
      <c r="AC6000">
        <v>0</v>
      </c>
      <c r="AD6000">
        <v>10</v>
      </c>
      <c r="AE6000">
        <v>0</v>
      </c>
      <c r="AF6000">
        <v>3</v>
      </c>
      <c r="AG6000">
        <v>2</v>
      </c>
      <c r="AH6000">
        <v>0</v>
      </c>
      <c r="AI6000" t="s">
        <v>1333</v>
      </c>
      <c r="AJ6000">
        <v>28.208964000000002</v>
      </c>
      <c r="AK6000" t="s">
        <v>1334</v>
      </c>
      <c r="AL6000">
        <v>-82.366927000000004</v>
      </c>
      <c r="AM6000">
        <v>100</v>
      </c>
      <c r="AN6000">
        <v>200</v>
      </c>
      <c r="AO6000" t="s">
        <v>118</v>
      </c>
      <c r="AP6000">
        <v>28</v>
      </c>
      <c r="AQ6000">
        <v>80</v>
      </c>
      <c r="AR6000">
        <v>-832</v>
      </c>
      <c r="AZ6000">
        <v>1200</v>
      </c>
      <c r="BA6000">
        <v>1</v>
      </c>
      <c r="BB6000" t="str">
        <f t="shared" si="2804"/>
        <v xml:space="preserve">N711JA  </v>
      </c>
      <c r="BC6000">
        <v>1</v>
      </c>
      <c r="BE6000">
        <v>0</v>
      </c>
      <c r="BF6000">
        <v>0</v>
      </c>
      <c r="BG6000">
        <v>0</v>
      </c>
      <c r="BH6000">
        <v>275</v>
      </c>
      <c r="BI6000">
        <v>1</v>
      </c>
      <c r="BJ6000">
        <v>1</v>
      </c>
      <c r="BK6000">
        <v>0</v>
      </c>
      <c r="BL6000">
        <v>0</v>
      </c>
      <c r="BO6000">
        <v>0</v>
      </c>
      <c r="BP6000">
        <v>0</v>
      </c>
      <c r="BW6000" t="str">
        <f t="shared" si="2811"/>
        <v>14:52:32.986</v>
      </c>
      <c r="CJ6000">
        <v>0</v>
      </c>
      <c r="CK6000">
        <v>2</v>
      </c>
      <c r="CL6000">
        <v>0</v>
      </c>
      <c r="CM6000">
        <v>2</v>
      </c>
      <c r="CN6000">
        <v>0</v>
      </c>
      <c r="CO6000">
        <v>2</v>
      </c>
      <c r="CP6000" t="s">
        <v>119</v>
      </c>
      <c r="CQ6000">
        <v>8</v>
      </c>
      <c r="CR6000">
        <v>3</v>
      </c>
      <c r="CW6000">
        <v>9352070</v>
      </c>
      <c r="CY6000">
        <v>1</v>
      </c>
      <c r="CZ6000">
        <v>0</v>
      </c>
      <c r="DA6000">
        <v>1</v>
      </c>
      <c r="DB6000">
        <v>0</v>
      </c>
      <c r="DC6000">
        <v>0</v>
      </c>
      <c r="DD6000">
        <v>1</v>
      </c>
      <c r="DE6000">
        <v>0</v>
      </c>
      <c r="DF6000">
        <v>0</v>
      </c>
      <c r="DG6000">
        <v>0</v>
      </c>
      <c r="DH6000">
        <v>0</v>
      </c>
      <c r="DI6000">
        <v>0</v>
      </c>
    </row>
    <row r="6001" spans="1:113" x14ac:dyDescent="0.3">
      <c r="A6001" t="str">
        <f t="shared" si="2809"/>
        <v>05/12/2020 14:52:15.149</v>
      </c>
      <c r="C6001" t="str">
        <f t="shared" si="2803"/>
        <v>FFDFD3C0</v>
      </c>
      <c r="D6001" t="s">
        <v>138</v>
      </c>
      <c r="E6001">
        <v>2</v>
      </c>
      <c r="H6001">
        <v>8</v>
      </c>
      <c r="I6001" t="s">
        <v>139</v>
      </c>
      <c r="J6001" t="s">
        <v>136</v>
      </c>
      <c r="K6001">
        <v>0</v>
      </c>
      <c r="L6001">
        <v>3</v>
      </c>
      <c r="M6001">
        <v>0</v>
      </c>
      <c r="N6001">
        <v>2</v>
      </c>
      <c r="O6001">
        <v>1</v>
      </c>
      <c r="P6001">
        <v>0</v>
      </c>
      <c r="Q6001">
        <v>0</v>
      </c>
      <c r="S6001" t="str">
        <f t="shared" si="2810"/>
        <v>14:52:32.984</v>
      </c>
      <c r="T6001" t="str">
        <f t="shared" si="2810"/>
        <v>14:52:32.984</v>
      </c>
      <c r="U6001" t="str">
        <f t="shared" si="2794"/>
        <v>A9808D</v>
      </c>
      <c r="V6001">
        <v>0</v>
      </c>
      <c r="W6001">
        <v>0</v>
      </c>
      <c r="X6001">
        <v>1</v>
      </c>
      <c r="Z6001">
        <v>0</v>
      </c>
      <c r="AA6001">
        <v>9</v>
      </c>
      <c r="AB6001">
        <v>3</v>
      </c>
      <c r="AC6001">
        <v>0</v>
      </c>
      <c r="AD6001">
        <v>10</v>
      </c>
      <c r="AE6001">
        <v>0</v>
      </c>
      <c r="AF6001">
        <v>3</v>
      </c>
      <c r="AG6001">
        <v>2</v>
      </c>
      <c r="AH6001">
        <v>0</v>
      </c>
      <c r="AI6001" t="s">
        <v>1333</v>
      </c>
      <c r="AJ6001">
        <v>28.208964000000002</v>
      </c>
      <c r="AK6001" t="s">
        <v>1334</v>
      </c>
      <c r="AL6001">
        <v>-82.366927000000004</v>
      </c>
      <c r="AM6001">
        <v>100</v>
      </c>
      <c r="AN6001">
        <v>200</v>
      </c>
      <c r="AO6001" t="s">
        <v>118</v>
      </c>
      <c r="AP6001">
        <v>28</v>
      </c>
      <c r="AQ6001">
        <v>80</v>
      </c>
      <c r="AR6001">
        <v>-832</v>
      </c>
      <c r="AZ6001">
        <v>1200</v>
      </c>
      <c r="BA6001">
        <v>1</v>
      </c>
      <c r="BB6001" t="str">
        <f t="shared" si="2804"/>
        <v xml:space="preserve">N711JA  </v>
      </c>
      <c r="BC6001">
        <v>1</v>
      </c>
      <c r="BE6001">
        <v>0</v>
      </c>
      <c r="BF6001">
        <v>0</v>
      </c>
      <c r="BG6001">
        <v>0</v>
      </c>
      <c r="BH6001">
        <v>275</v>
      </c>
      <c r="BI6001">
        <v>1</v>
      </c>
      <c r="BJ6001">
        <v>1</v>
      </c>
      <c r="BK6001">
        <v>0</v>
      </c>
      <c r="BL6001">
        <v>0</v>
      </c>
      <c r="BO6001">
        <v>0</v>
      </c>
      <c r="BP6001">
        <v>0</v>
      </c>
      <c r="BW6001" t="str">
        <f t="shared" si="2811"/>
        <v>14:52:32.986</v>
      </c>
      <c r="CJ6001">
        <v>0</v>
      </c>
      <c r="CK6001">
        <v>2</v>
      </c>
      <c r="CL6001">
        <v>0</v>
      </c>
      <c r="CM6001">
        <v>2</v>
      </c>
      <c r="CN6001">
        <v>0</v>
      </c>
      <c r="CO6001">
        <v>2</v>
      </c>
      <c r="CP6001" t="s">
        <v>119</v>
      </c>
      <c r="CQ6001">
        <v>8</v>
      </c>
      <c r="CR6001">
        <v>3</v>
      </c>
      <c r="CW6001">
        <v>9352070</v>
      </c>
      <c r="CY6001">
        <v>1</v>
      </c>
      <c r="CZ6001">
        <v>0</v>
      </c>
      <c r="DA6001">
        <v>1</v>
      </c>
      <c r="DB6001">
        <v>0</v>
      </c>
      <c r="DC6001">
        <v>0</v>
      </c>
      <c r="DD6001">
        <v>1</v>
      </c>
      <c r="DE6001">
        <v>0</v>
      </c>
      <c r="DF6001">
        <v>0</v>
      </c>
      <c r="DG6001">
        <v>0</v>
      </c>
      <c r="DH6001">
        <v>0</v>
      </c>
      <c r="DI6001">
        <v>0</v>
      </c>
    </row>
    <row r="6002" spans="1:113" x14ac:dyDescent="0.3">
      <c r="A6002" t="str">
        <f t="shared" si="2809"/>
        <v>05/12/2020 14:52:15.149</v>
      </c>
      <c r="C6002" t="str">
        <f t="shared" si="2803"/>
        <v>FFDFD3C0</v>
      </c>
      <c r="D6002" t="s">
        <v>138</v>
      </c>
      <c r="E6002">
        <v>3</v>
      </c>
      <c r="H6002">
        <v>9</v>
      </c>
      <c r="I6002" t="s">
        <v>140</v>
      </c>
      <c r="J6002" t="s">
        <v>136</v>
      </c>
      <c r="K6002">
        <v>0</v>
      </c>
      <c r="L6002">
        <v>3</v>
      </c>
      <c r="M6002">
        <v>0</v>
      </c>
      <c r="N6002">
        <v>2</v>
      </c>
      <c r="O6002">
        <v>1</v>
      </c>
      <c r="P6002">
        <v>0</v>
      </c>
      <c r="Q6002">
        <v>0</v>
      </c>
      <c r="S6002" t="str">
        <f t="shared" si="2810"/>
        <v>14:52:32.984</v>
      </c>
      <c r="T6002" t="str">
        <f t="shared" si="2810"/>
        <v>14:52:32.984</v>
      </c>
      <c r="U6002" t="str">
        <f t="shared" si="2794"/>
        <v>A9808D</v>
      </c>
      <c r="V6002">
        <v>0</v>
      </c>
      <c r="W6002">
        <v>0</v>
      </c>
      <c r="X6002">
        <v>1</v>
      </c>
      <c r="Z6002">
        <v>0</v>
      </c>
      <c r="AA6002">
        <v>9</v>
      </c>
      <c r="AB6002">
        <v>3</v>
      </c>
      <c r="AC6002">
        <v>0</v>
      </c>
      <c r="AD6002">
        <v>10</v>
      </c>
      <c r="AE6002">
        <v>0</v>
      </c>
      <c r="AF6002">
        <v>3</v>
      </c>
      <c r="AG6002">
        <v>2</v>
      </c>
      <c r="AH6002">
        <v>0</v>
      </c>
      <c r="AI6002" t="s">
        <v>1333</v>
      </c>
      <c r="AJ6002">
        <v>28.208964000000002</v>
      </c>
      <c r="AK6002" t="s">
        <v>1334</v>
      </c>
      <c r="AL6002">
        <v>-82.366927000000004</v>
      </c>
      <c r="AM6002">
        <v>100</v>
      </c>
      <c r="AN6002">
        <v>200</v>
      </c>
      <c r="AO6002" t="s">
        <v>118</v>
      </c>
      <c r="AP6002">
        <v>28</v>
      </c>
      <c r="AQ6002">
        <v>80</v>
      </c>
      <c r="AR6002">
        <v>-832</v>
      </c>
      <c r="AZ6002">
        <v>1200</v>
      </c>
      <c r="BA6002">
        <v>1</v>
      </c>
      <c r="BB6002" t="str">
        <f t="shared" si="2804"/>
        <v xml:space="preserve">N711JA  </v>
      </c>
      <c r="BC6002">
        <v>1</v>
      </c>
      <c r="BE6002">
        <v>0</v>
      </c>
      <c r="BF6002">
        <v>0</v>
      </c>
      <c r="BG6002">
        <v>0</v>
      </c>
      <c r="BH6002">
        <v>275</v>
      </c>
      <c r="BI6002">
        <v>1</v>
      </c>
      <c r="BJ6002">
        <v>1</v>
      </c>
      <c r="BK6002">
        <v>0</v>
      </c>
      <c r="BL6002">
        <v>0</v>
      </c>
      <c r="BO6002">
        <v>0</v>
      </c>
      <c r="BP6002">
        <v>0</v>
      </c>
      <c r="BW6002" t="str">
        <f t="shared" si="2811"/>
        <v>14:52:32.986</v>
      </c>
      <c r="CJ6002">
        <v>0</v>
      </c>
      <c r="CK6002">
        <v>2</v>
      </c>
      <c r="CL6002">
        <v>0</v>
      </c>
      <c r="CM6002">
        <v>2</v>
      </c>
      <c r="CN6002">
        <v>0</v>
      </c>
      <c r="CO6002">
        <v>2</v>
      </c>
      <c r="CP6002" t="s">
        <v>119</v>
      </c>
      <c r="CQ6002">
        <v>8</v>
      </c>
      <c r="CR6002">
        <v>3</v>
      </c>
      <c r="CW6002">
        <v>9352070</v>
      </c>
      <c r="CY6002">
        <v>1</v>
      </c>
      <c r="CZ6002">
        <v>0</v>
      </c>
      <c r="DA6002">
        <v>1</v>
      </c>
      <c r="DB6002">
        <v>0</v>
      </c>
      <c r="DC6002">
        <v>0</v>
      </c>
      <c r="DD6002">
        <v>1</v>
      </c>
      <c r="DE6002">
        <v>0</v>
      </c>
      <c r="DF6002">
        <v>0</v>
      </c>
      <c r="DG6002">
        <v>0</v>
      </c>
      <c r="DH6002">
        <v>0</v>
      </c>
      <c r="DI6002">
        <v>0</v>
      </c>
    </row>
    <row r="6003" spans="1:113" x14ac:dyDescent="0.3">
      <c r="A6003" t="str">
        <f t="shared" ref="A6003:A6010" si="2812">"05/12/2020 14:52:16.126"</f>
        <v>05/12/2020 14:52:16.126</v>
      </c>
      <c r="C6003" t="str">
        <f t="shared" si="2803"/>
        <v>FFDFD3C0</v>
      </c>
      <c r="D6003" t="s">
        <v>126</v>
      </c>
      <c r="E6003">
        <v>7</v>
      </c>
      <c r="F6003">
        <v>1007</v>
      </c>
      <c r="G6003" t="s">
        <v>127</v>
      </c>
      <c r="J6003" t="s">
        <v>128</v>
      </c>
      <c r="K6003">
        <v>0</v>
      </c>
      <c r="L6003">
        <v>3</v>
      </c>
      <c r="M6003">
        <v>0</v>
      </c>
      <c r="N6003">
        <v>2</v>
      </c>
      <c r="O6003">
        <v>1</v>
      </c>
      <c r="P6003">
        <v>0</v>
      </c>
      <c r="Q6003">
        <v>0</v>
      </c>
      <c r="S6003" t="str">
        <f t="shared" ref="S6003:T6010" si="2813">"14:52:33.945"</f>
        <v>14:52:33.945</v>
      </c>
      <c r="T6003" t="str">
        <f t="shared" si="2813"/>
        <v>14:52:33.945</v>
      </c>
      <c r="U6003" t="str">
        <f t="shared" si="2794"/>
        <v>A9808D</v>
      </c>
      <c r="V6003">
        <v>0</v>
      </c>
      <c r="W6003">
        <v>0</v>
      </c>
      <c r="X6003">
        <v>1</v>
      </c>
      <c r="Z6003">
        <v>0</v>
      </c>
      <c r="AA6003">
        <v>9</v>
      </c>
      <c r="AB6003">
        <v>3</v>
      </c>
      <c r="AC6003">
        <v>0</v>
      </c>
      <c r="AD6003">
        <v>10</v>
      </c>
      <c r="AE6003">
        <v>0</v>
      </c>
      <c r="AF6003">
        <v>3</v>
      </c>
      <c r="AG6003">
        <v>2</v>
      </c>
      <c r="AH6003">
        <v>0</v>
      </c>
      <c r="AI6003" t="s">
        <v>1335</v>
      </c>
      <c r="AJ6003">
        <v>28.209329</v>
      </c>
      <c r="AK6003" t="s">
        <v>1336</v>
      </c>
      <c r="AL6003">
        <v>-82.366776000000002</v>
      </c>
      <c r="AM6003">
        <v>100</v>
      </c>
      <c r="AN6003">
        <v>200</v>
      </c>
      <c r="AO6003" t="s">
        <v>118</v>
      </c>
      <c r="AP6003">
        <v>23</v>
      </c>
      <c r="AQ6003">
        <v>82</v>
      </c>
      <c r="AR6003">
        <v>-832</v>
      </c>
      <c r="AZ6003">
        <v>1200</v>
      </c>
      <c r="BA6003">
        <v>1</v>
      </c>
      <c r="BB6003" t="str">
        <f t="shared" si="2804"/>
        <v xml:space="preserve">N711JA  </v>
      </c>
      <c r="BC6003">
        <v>1</v>
      </c>
      <c r="BE6003">
        <v>0</v>
      </c>
      <c r="BF6003">
        <v>0</v>
      </c>
      <c r="BG6003">
        <v>0</v>
      </c>
      <c r="BH6003">
        <v>275</v>
      </c>
      <c r="BI6003">
        <v>1</v>
      </c>
      <c r="BJ6003">
        <v>1</v>
      </c>
      <c r="BK6003">
        <v>0</v>
      </c>
      <c r="BL6003">
        <v>0</v>
      </c>
      <c r="BO6003">
        <v>0</v>
      </c>
      <c r="BP6003">
        <v>0</v>
      </c>
      <c r="BW6003" t="str">
        <f t="shared" ref="BW6003:BW6010" si="2814">"14:52:33.949"</f>
        <v>14:52:33.949</v>
      </c>
      <c r="CJ6003">
        <v>0</v>
      </c>
      <c r="CK6003">
        <v>2</v>
      </c>
      <c r="CL6003">
        <v>0</v>
      </c>
      <c r="CM6003">
        <v>2</v>
      </c>
      <c r="CN6003">
        <v>0</v>
      </c>
      <c r="CO6003">
        <v>3</v>
      </c>
      <c r="CP6003" t="s">
        <v>119</v>
      </c>
      <c r="CQ6003">
        <v>8</v>
      </c>
      <c r="CR6003">
        <v>3</v>
      </c>
      <c r="CW6003">
        <v>9353037</v>
      </c>
      <c r="CY6003">
        <v>1</v>
      </c>
      <c r="CZ6003">
        <v>0</v>
      </c>
      <c r="DA6003">
        <v>0</v>
      </c>
      <c r="DB6003">
        <v>0</v>
      </c>
      <c r="DC6003">
        <v>0</v>
      </c>
      <c r="DD6003">
        <v>1</v>
      </c>
      <c r="DE6003">
        <v>0</v>
      </c>
      <c r="DF6003">
        <v>0</v>
      </c>
      <c r="DG6003">
        <v>0</v>
      </c>
      <c r="DH6003">
        <v>0</v>
      </c>
      <c r="DI6003">
        <v>0</v>
      </c>
    </row>
    <row r="6004" spans="1:113" x14ac:dyDescent="0.3">
      <c r="A6004" t="str">
        <f t="shared" si="2812"/>
        <v>05/12/2020 14:52:16.126</v>
      </c>
      <c r="C6004" t="str">
        <f t="shared" si="2803"/>
        <v>FFDFD3C0</v>
      </c>
      <c r="D6004" t="s">
        <v>131</v>
      </c>
      <c r="E6004">
        <v>12</v>
      </c>
      <c r="F6004">
        <v>2012</v>
      </c>
      <c r="G6004" t="s">
        <v>137</v>
      </c>
      <c r="J6004" t="s">
        <v>133</v>
      </c>
      <c r="K6004">
        <v>0</v>
      </c>
      <c r="L6004">
        <v>3</v>
      </c>
      <c r="M6004">
        <v>0</v>
      </c>
      <c r="N6004">
        <v>2</v>
      </c>
      <c r="O6004">
        <v>1</v>
      </c>
      <c r="P6004">
        <v>0</v>
      </c>
      <c r="Q6004">
        <v>0</v>
      </c>
      <c r="S6004" t="str">
        <f t="shared" si="2813"/>
        <v>14:52:33.945</v>
      </c>
      <c r="T6004" t="str">
        <f t="shared" si="2813"/>
        <v>14:52:33.945</v>
      </c>
      <c r="U6004" t="str">
        <f t="shared" si="2794"/>
        <v>A9808D</v>
      </c>
      <c r="V6004">
        <v>0</v>
      </c>
      <c r="W6004">
        <v>0</v>
      </c>
      <c r="X6004">
        <v>1</v>
      </c>
      <c r="Z6004">
        <v>0</v>
      </c>
      <c r="AA6004">
        <v>9</v>
      </c>
      <c r="AB6004">
        <v>3</v>
      </c>
      <c r="AC6004">
        <v>0</v>
      </c>
      <c r="AD6004">
        <v>10</v>
      </c>
      <c r="AE6004">
        <v>0</v>
      </c>
      <c r="AF6004">
        <v>3</v>
      </c>
      <c r="AG6004">
        <v>2</v>
      </c>
      <c r="AH6004">
        <v>0</v>
      </c>
      <c r="AI6004" t="s">
        <v>1335</v>
      </c>
      <c r="AJ6004">
        <v>28.209329</v>
      </c>
      <c r="AK6004" t="s">
        <v>1336</v>
      </c>
      <c r="AL6004">
        <v>-82.366776000000002</v>
      </c>
      <c r="AM6004">
        <v>100</v>
      </c>
      <c r="AN6004">
        <v>200</v>
      </c>
      <c r="AO6004" t="s">
        <v>118</v>
      </c>
      <c r="AP6004">
        <v>23</v>
      </c>
      <c r="AQ6004">
        <v>82</v>
      </c>
      <c r="AR6004">
        <v>-832</v>
      </c>
      <c r="AZ6004">
        <v>1200</v>
      </c>
      <c r="BA6004">
        <v>1</v>
      </c>
      <c r="BB6004" t="str">
        <f t="shared" si="2804"/>
        <v xml:space="preserve">N711JA  </v>
      </c>
      <c r="BC6004">
        <v>1</v>
      </c>
      <c r="BE6004">
        <v>0</v>
      </c>
      <c r="BF6004">
        <v>0</v>
      </c>
      <c r="BG6004">
        <v>0</v>
      </c>
      <c r="BH6004">
        <v>275</v>
      </c>
      <c r="BI6004">
        <v>1</v>
      </c>
      <c r="BJ6004">
        <v>1</v>
      </c>
      <c r="BK6004">
        <v>0</v>
      </c>
      <c r="BL6004">
        <v>0</v>
      </c>
      <c r="BO6004">
        <v>0</v>
      </c>
      <c r="BP6004">
        <v>0</v>
      </c>
      <c r="BW6004" t="str">
        <f t="shared" si="2814"/>
        <v>14:52:33.949</v>
      </c>
      <c r="CJ6004">
        <v>0</v>
      </c>
      <c r="CK6004">
        <v>2</v>
      </c>
      <c r="CL6004">
        <v>0</v>
      </c>
      <c r="CM6004">
        <v>2</v>
      </c>
      <c r="CN6004">
        <v>0</v>
      </c>
      <c r="CO6004">
        <v>3</v>
      </c>
      <c r="CP6004" t="s">
        <v>119</v>
      </c>
      <c r="CQ6004">
        <v>8</v>
      </c>
      <c r="CR6004">
        <v>3</v>
      </c>
      <c r="CW6004">
        <v>9353037</v>
      </c>
      <c r="CY6004">
        <v>1</v>
      </c>
      <c r="CZ6004">
        <v>0</v>
      </c>
      <c r="DA6004">
        <v>1</v>
      </c>
      <c r="DB6004">
        <v>0</v>
      </c>
      <c r="DC6004">
        <v>0</v>
      </c>
      <c r="DD6004">
        <v>1</v>
      </c>
      <c r="DE6004">
        <v>0</v>
      </c>
      <c r="DF6004">
        <v>0</v>
      </c>
      <c r="DG6004">
        <v>0</v>
      </c>
      <c r="DH6004">
        <v>0</v>
      </c>
      <c r="DI6004">
        <v>0</v>
      </c>
    </row>
    <row r="6005" spans="1:113" x14ac:dyDescent="0.3">
      <c r="A6005" t="str">
        <f t="shared" si="2812"/>
        <v>05/12/2020 14:52:16.126</v>
      </c>
      <c r="C6005" t="str">
        <f t="shared" si="2803"/>
        <v>FFDFD3C0</v>
      </c>
      <c r="D6005" t="s">
        <v>131</v>
      </c>
      <c r="E6005">
        <v>10</v>
      </c>
      <c r="F6005">
        <v>2010</v>
      </c>
      <c r="G6005" t="s">
        <v>132</v>
      </c>
      <c r="J6005" t="s">
        <v>133</v>
      </c>
      <c r="K6005">
        <v>0</v>
      </c>
      <c r="L6005">
        <v>3</v>
      </c>
      <c r="M6005">
        <v>0</v>
      </c>
      <c r="N6005">
        <v>2</v>
      </c>
      <c r="O6005">
        <v>1</v>
      </c>
      <c r="P6005">
        <v>0</v>
      </c>
      <c r="Q6005">
        <v>0</v>
      </c>
      <c r="S6005" t="str">
        <f t="shared" si="2813"/>
        <v>14:52:33.945</v>
      </c>
      <c r="T6005" t="str">
        <f t="shared" si="2813"/>
        <v>14:52:33.945</v>
      </c>
      <c r="U6005" t="str">
        <f t="shared" si="2794"/>
        <v>A9808D</v>
      </c>
      <c r="V6005">
        <v>0</v>
      </c>
      <c r="W6005">
        <v>0</v>
      </c>
      <c r="X6005">
        <v>1</v>
      </c>
      <c r="Z6005">
        <v>0</v>
      </c>
      <c r="AA6005">
        <v>9</v>
      </c>
      <c r="AB6005">
        <v>3</v>
      </c>
      <c r="AC6005">
        <v>0</v>
      </c>
      <c r="AD6005">
        <v>10</v>
      </c>
      <c r="AE6005">
        <v>0</v>
      </c>
      <c r="AF6005">
        <v>3</v>
      </c>
      <c r="AG6005">
        <v>2</v>
      </c>
      <c r="AH6005">
        <v>0</v>
      </c>
      <c r="AI6005" t="s">
        <v>1335</v>
      </c>
      <c r="AJ6005">
        <v>28.209329</v>
      </c>
      <c r="AK6005" t="s">
        <v>1336</v>
      </c>
      <c r="AL6005">
        <v>-82.366776000000002</v>
      </c>
      <c r="AM6005">
        <v>100</v>
      </c>
      <c r="AN6005">
        <v>200</v>
      </c>
      <c r="AO6005" t="s">
        <v>118</v>
      </c>
      <c r="AP6005">
        <v>23</v>
      </c>
      <c r="AQ6005">
        <v>82</v>
      </c>
      <c r="AR6005">
        <v>-832</v>
      </c>
      <c r="AZ6005">
        <v>1200</v>
      </c>
      <c r="BA6005">
        <v>1</v>
      </c>
      <c r="BB6005" t="str">
        <f t="shared" si="2804"/>
        <v xml:space="preserve">N711JA  </v>
      </c>
      <c r="BC6005">
        <v>1</v>
      </c>
      <c r="BE6005">
        <v>0</v>
      </c>
      <c r="BF6005">
        <v>0</v>
      </c>
      <c r="BG6005">
        <v>0</v>
      </c>
      <c r="BH6005">
        <v>275</v>
      </c>
      <c r="BI6005">
        <v>1</v>
      </c>
      <c r="BJ6005">
        <v>1</v>
      </c>
      <c r="BK6005">
        <v>0</v>
      </c>
      <c r="BL6005">
        <v>0</v>
      </c>
      <c r="BO6005">
        <v>0</v>
      </c>
      <c r="BP6005">
        <v>0</v>
      </c>
      <c r="BW6005" t="str">
        <f t="shared" si="2814"/>
        <v>14:52:33.949</v>
      </c>
      <c r="CJ6005">
        <v>0</v>
      </c>
      <c r="CK6005">
        <v>2</v>
      </c>
      <c r="CL6005">
        <v>0</v>
      </c>
      <c r="CM6005">
        <v>2</v>
      </c>
      <c r="CN6005">
        <v>0</v>
      </c>
      <c r="CO6005">
        <v>3</v>
      </c>
      <c r="CP6005" t="s">
        <v>119</v>
      </c>
      <c r="CQ6005">
        <v>8</v>
      </c>
      <c r="CR6005">
        <v>3</v>
      </c>
      <c r="CW6005">
        <v>9353037</v>
      </c>
      <c r="CY6005">
        <v>1</v>
      </c>
      <c r="CZ6005">
        <v>0</v>
      </c>
      <c r="DA6005">
        <v>1</v>
      </c>
      <c r="DB6005">
        <v>0</v>
      </c>
      <c r="DC6005">
        <v>0</v>
      </c>
      <c r="DD6005">
        <v>1</v>
      </c>
      <c r="DE6005">
        <v>0</v>
      </c>
      <c r="DF6005">
        <v>0</v>
      </c>
      <c r="DG6005">
        <v>0</v>
      </c>
      <c r="DH6005">
        <v>0</v>
      </c>
      <c r="DI6005">
        <v>0</v>
      </c>
    </row>
    <row r="6006" spans="1:113" x14ac:dyDescent="0.3">
      <c r="A6006" t="str">
        <f t="shared" si="2812"/>
        <v>05/12/2020 14:52:16.126</v>
      </c>
      <c r="C6006" t="str">
        <f t="shared" si="2803"/>
        <v>FFDFD3C0</v>
      </c>
      <c r="D6006" t="s">
        <v>134</v>
      </c>
      <c r="E6006">
        <v>12</v>
      </c>
      <c r="H6006">
        <v>64</v>
      </c>
      <c r="I6006" t="s">
        <v>135</v>
      </c>
      <c r="J6006" t="s">
        <v>136</v>
      </c>
      <c r="K6006">
        <v>0</v>
      </c>
      <c r="L6006">
        <v>3</v>
      </c>
      <c r="M6006">
        <v>0</v>
      </c>
      <c r="N6006">
        <v>2</v>
      </c>
      <c r="O6006">
        <v>1</v>
      </c>
      <c r="P6006">
        <v>0</v>
      </c>
      <c r="Q6006">
        <v>0</v>
      </c>
      <c r="S6006" t="str">
        <f t="shared" si="2813"/>
        <v>14:52:33.945</v>
      </c>
      <c r="T6006" t="str">
        <f t="shared" si="2813"/>
        <v>14:52:33.945</v>
      </c>
      <c r="U6006" t="str">
        <f t="shared" si="2794"/>
        <v>A9808D</v>
      </c>
      <c r="V6006">
        <v>0</v>
      </c>
      <c r="W6006">
        <v>0</v>
      </c>
      <c r="X6006">
        <v>1</v>
      </c>
      <c r="Z6006">
        <v>0</v>
      </c>
      <c r="AA6006">
        <v>9</v>
      </c>
      <c r="AB6006">
        <v>3</v>
      </c>
      <c r="AC6006">
        <v>0</v>
      </c>
      <c r="AD6006">
        <v>10</v>
      </c>
      <c r="AE6006">
        <v>0</v>
      </c>
      <c r="AF6006">
        <v>3</v>
      </c>
      <c r="AG6006">
        <v>2</v>
      </c>
      <c r="AH6006">
        <v>0</v>
      </c>
      <c r="AI6006" t="s">
        <v>1335</v>
      </c>
      <c r="AJ6006">
        <v>28.209329</v>
      </c>
      <c r="AK6006" t="s">
        <v>1336</v>
      </c>
      <c r="AL6006">
        <v>-82.366776000000002</v>
      </c>
      <c r="AM6006">
        <v>100</v>
      </c>
      <c r="AN6006">
        <v>200</v>
      </c>
      <c r="AO6006" t="s">
        <v>118</v>
      </c>
      <c r="AP6006">
        <v>23</v>
      </c>
      <c r="AQ6006">
        <v>82</v>
      </c>
      <c r="AR6006">
        <v>-832</v>
      </c>
      <c r="AZ6006">
        <v>1200</v>
      </c>
      <c r="BA6006">
        <v>1</v>
      </c>
      <c r="BB6006" t="str">
        <f t="shared" si="2804"/>
        <v xml:space="preserve">N711JA  </v>
      </c>
      <c r="BC6006">
        <v>1</v>
      </c>
      <c r="BE6006">
        <v>0</v>
      </c>
      <c r="BF6006">
        <v>0</v>
      </c>
      <c r="BG6006">
        <v>0</v>
      </c>
      <c r="BH6006">
        <v>275</v>
      </c>
      <c r="BI6006">
        <v>1</v>
      </c>
      <c r="BJ6006">
        <v>1</v>
      </c>
      <c r="BK6006">
        <v>0</v>
      </c>
      <c r="BL6006">
        <v>0</v>
      </c>
      <c r="BO6006">
        <v>0</v>
      </c>
      <c r="BP6006">
        <v>0</v>
      </c>
      <c r="BW6006" t="str">
        <f t="shared" si="2814"/>
        <v>14:52:33.949</v>
      </c>
      <c r="CJ6006">
        <v>0</v>
      </c>
      <c r="CK6006">
        <v>2</v>
      </c>
      <c r="CL6006">
        <v>0</v>
      </c>
      <c r="CM6006">
        <v>2</v>
      </c>
      <c r="CN6006">
        <v>0</v>
      </c>
      <c r="CO6006">
        <v>3</v>
      </c>
      <c r="CP6006" t="s">
        <v>119</v>
      </c>
      <c r="CQ6006">
        <v>8</v>
      </c>
      <c r="CR6006">
        <v>3</v>
      </c>
      <c r="CW6006">
        <v>9353037</v>
      </c>
      <c r="CY6006">
        <v>1</v>
      </c>
      <c r="CZ6006">
        <v>0</v>
      </c>
      <c r="DA6006">
        <v>1</v>
      </c>
      <c r="DB6006">
        <v>0</v>
      </c>
      <c r="DC6006">
        <v>0</v>
      </c>
      <c r="DD6006">
        <v>1</v>
      </c>
      <c r="DE6006">
        <v>0</v>
      </c>
      <c r="DF6006">
        <v>0</v>
      </c>
      <c r="DG6006">
        <v>0</v>
      </c>
      <c r="DH6006">
        <v>0</v>
      </c>
      <c r="DI6006">
        <v>0</v>
      </c>
    </row>
    <row r="6007" spans="1:113" x14ac:dyDescent="0.3">
      <c r="A6007" t="str">
        <f t="shared" si="2812"/>
        <v>05/12/2020 14:52:16.126</v>
      </c>
      <c r="C6007" t="str">
        <f t="shared" si="2803"/>
        <v>FFDFD3C0</v>
      </c>
      <c r="D6007" t="s">
        <v>138</v>
      </c>
      <c r="E6007">
        <v>2</v>
      </c>
      <c r="H6007">
        <v>8</v>
      </c>
      <c r="I6007" t="s">
        <v>139</v>
      </c>
      <c r="J6007" t="s">
        <v>136</v>
      </c>
      <c r="K6007">
        <v>0</v>
      </c>
      <c r="L6007">
        <v>3</v>
      </c>
      <c r="M6007">
        <v>0</v>
      </c>
      <c r="N6007">
        <v>2</v>
      </c>
      <c r="O6007">
        <v>1</v>
      </c>
      <c r="P6007">
        <v>0</v>
      </c>
      <c r="Q6007">
        <v>0</v>
      </c>
      <c r="S6007" t="str">
        <f t="shared" si="2813"/>
        <v>14:52:33.945</v>
      </c>
      <c r="T6007" t="str">
        <f t="shared" si="2813"/>
        <v>14:52:33.945</v>
      </c>
      <c r="U6007" t="str">
        <f t="shared" si="2794"/>
        <v>A9808D</v>
      </c>
      <c r="V6007">
        <v>0</v>
      </c>
      <c r="W6007">
        <v>0</v>
      </c>
      <c r="X6007">
        <v>1</v>
      </c>
      <c r="Z6007">
        <v>0</v>
      </c>
      <c r="AA6007">
        <v>9</v>
      </c>
      <c r="AB6007">
        <v>3</v>
      </c>
      <c r="AC6007">
        <v>0</v>
      </c>
      <c r="AD6007">
        <v>10</v>
      </c>
      <c r="AE6007">
        <v>0</v>
      </c>
      <c r="AF6007">
        <v>3</v>
      </c>
      <c r="AG6007">
        <v>2</v>
      </c>
      <c r="AH6007">
        <v>0</v>
      </c>
      <c r="AI6007" t="s">
        <v>1335</v>
      </c>
      <c r="AJ6007">
        <v>28.209329</v>
      </c>
      <c r="AK6007" t="s">
        <v>1336</v>
      </c>
      <c r="AL6007">
        <v>-82.366776000000002</v>
      </c>
      <c r="AM6007">
        <v>100</v>
      </c>
      <c r="AN6007">
        <v>200</v>
      </c>
      <c r="AO6007" t="s">
        <v>118</v>
      </c>
      <c r="AP6007">
        <v>23</v>
      </c>
      <c r="AQ6007">
        <v>82</v>
      </c>
      <c r="AR6007">
        <v>-832</v>
      </c>
      <c r="AZ6007">
        <v>1200</v>
      </c>
      <c r="BA6007">
        <v>1</v>
      </c>
      <c r="BB6007" t="str">
        <f t="shared" si="2804"/>
        <v xml:space="preserve">N711JA  </v>
      </c>
      <c r="BC6007">
        <v>1</v>
      </c>
      <c r="BE6007">
        <v>0</v>
      </c>
      <c r="BF6007">
        <v>0</v>
      </c>
      <c r="BG6007">
        <v>0</v>
      </c>
      <c r="BH6007">
        <v>275</v>
      </c>
      <c r="BI6007">
        <v>1</v>
      </c>
      <c r="BJ6007">
        <v>1</v>
      </c>
      <c r="BK6007">
        <v>0</v>
      </c>
      <c r="BL6007">
        <v>0</v>
      </c>
      <c r="BO6007">
        <v>0</v>
      </c>
      <c r="BP6007">
        <v>0</v>
      </c>
      <c r="BW6007" t="str">
        <f t="shared" si="2814"/>
        <v>14:52:33.949</v>
      </c>
      <c r="CJ6007">
        <v>0</v>
      </c>
      <c r="CK6007">
        <v>2</v>
      </c>
      <c r="CL6007">
        <v>0</v>
      </c>
      <c r="CM6007">
        <v>2</v>
      </c>
      <c r="CN6007">
        <v>0</v>
      </c>
      <c r="CO6007">
        <v>3</v>
      </c>
      <c r="CP6007" t="s">
        <v>119</v>
      </c>
      <c r="CQ6007">
        <v>8</v>
      </c>
      <c r="CR6007">
        <v>3</v>
      </c>
      <c r="CW6007">
        <v>9353037</v>
      </c>
      <c r="CY6007">
        <v>1</v>
      </c>
      <c r="CZ6007">
        <v>0</v>
      </c>
      <c r="DA6007">
        <v>1</v>
      </c>
      <c r="DB6007">
        <v>0</v>
      </c>
      <c r="DC6007">
        <v>0</v>
      </c>
      <c r="DD6007">
        <v>1</v>
      </c>
      <c r="DE6007">
        <v>0</v>
      </c>
      <c r="DF6007">
        <v>0</v>
      </c>
      <c r="DG6007">
        <v>0</v>
      </c>
      <c r="DH6007">
        <v>0</v>
      </c>
      <c r="DI6007">
        <v>0</v>
      </c>
    </row>
    <row r="6008" spans="1:113" x14ac:dyDescent="0.3">
      <c r="A6008" t="str">
        <f t="shared" si="2812"/>
        <v>05/12/2020 14:52:16.126</v>
      </c>
      <c r="C6008" t="str">
        <f t="shared" si="2803"/>
        <v>FFDFD3C0</v>
      </c>
      <c r="D6008" t="s">
        <v>138</v>
      </c>
      <c r="E6008">
        <v>3</v>
      </c>
      <c r="H6008">
        <v>9</v>
      </c>
      <c r="I6008" t="s">
        <v>140</v>
      </c>
      <c r="J6008" t="s">
        <v>136</v>
      </c>
      <c r="K6008">
        <v>0</v>
      </c>
      <c r="L6008">
        <v>3</v>
      </c>
      <c r="M6008">
        <v>0</v>
      </c>
      <c r="N6008">
        <v>2</v>
      </c>
      <c r="O6008">
        <v>1</v>
      </c>
      <c r="P6008">
        <v>0</v>
      </c>
      <c r="Q6008">
        <v>0</v>
      </c>
      <c r="S6008" t="str">
        <f t="shared" si="2813"/>
        <v>14:52:33.945</v>
      </c>
      <c r="T6008" t="str">
        <f t="shared" si="2813"/>
        <v>14:52:33.945</v>
      </c>
      <c r="U6008" t="str">
        <f t="shared" si="2794"/>
        <v>A9808D</v>
      </c>
      <c r="V6008">
        <v>0</v>
      </c>
      <c r="W6008">
        <v>0</v>
      </c>
      <c r="X6008">
        <v>1</v>
      </c>
      <c r="Z6008">
        <v>0</v>
      </c>
      <c r="AA6008">
        <v>9</v>
      </c>
      <c r="AB6008">
        <v>3</v>
      </c>
      <c r="AC6008">
        <v>0</v>
      </c>
      <c r="AD6008">
        <v>10</v>
      </c>
      <c r="AE6008">
        <v>0</v>
      </c>
      <c r="AF6008">
        <v>3</v>
      </c>
      <c r="AG6008">
        <v>2</v>
      </c>
      <c r="AH6008">
        <v>0</v>
      </c>
      <c r="AI6008" t="s">
        <v>1335</v>
      </c>
      <c r="AJ6008">
        <v>28.209329</v>
      </c>
      <c r="AK6008" t="s">
        <v>1336</v>
      </c>
      <c r="AL6008">
        <v>-82.366776000000002</v>
      </c>
      <c r="AM6008">
        <v>100</v>
      </c>
      <c r="AN6008">
        <v>200</v>
      </c>
      <c r="AO6008" t="s">
        <v>118</v>
      </c>
      <c r="AP6008">
        <v>23</v>
      </c>
      <c r="AQ6008">
        <v>82</v>
      </c>
      <c r="AR6008">
        <v>-832</v>
      </c>
      <c r="AZ6008">
        <v>1200</v>
      </c>
      <c r="BA6008">
        <v>1</v>
      </c>
      <c r="BB6008" t="str">
        <f t="shared" si="2804"/>
        <v xml:space="preserve">N711JA  </v>
      </c>
      <c r="BC6008">
        <v>1</v>
      </c>
      <c r="BE6008">
        <v>0</v>
      </c>
      <c r="BF6008">
        <v>0</v>
      </c>
      <c r="BG6008">
        <v>0</v>
      </c>
      <c r="BH6008">
        <v>275</v>
      </c>
      <c r="BI6008">
        <v>1</v>
      </c>
      <c r="BJ6008">
        <v>1</v>
      </c>
      <c r="BK6008">
        <v>0</v>
      </c>
      <c r="BL6008">
        <v>0</v>
      </c>
      <c r="BO6008">
        <v>0</v>
      </c>
      <c r="BP6008">
        <v>0</v>
      </c>
      <c r="BW6008" t="str">
        <f t="shared" si="2814"/>
        <v>14:52:33.949</v>
      </c>
      <c r="CJ6008">
        <v>0</v>
      </c>
      <c r="CK6008">
        <v>2</v>
      </c>
      <c r="CL6008">
        <v>0</v>
      </c>
      <c r="CM6008">
        <v>2</v>
      </c>
      <c r="CN6008">
        <v>0</v>
      </c>
      <c r="CO6008">
        <v>3</v>
      </c>
      <c r="CP6008" t="s">
        <v>119</v>
      </c>
      <c r="CQ6008">
        <v>8</v>
      </c>
      <c r="CR6008">
        <v>3</v>
      </c>
      <c r="CW6008">
        <v>9353037</v>
      </c>
      <c r="CY6008">
        <v>1</v>
      </c>
      <c r="CZ6008">
        <v>0</v>
      </c>
      <c r="DA6008">
        <v>1</v>
      </c>
      <c r="DB6008">
        <v>0</v>
      </c>
      <c r="DC6008">
        <v>0</v>
      </c>
      <c r="DD6008">
        <v>1</v>
      </c>
      <c r="DE6008">
        <v>0</v>
      </c>
      <c r="DF6008">
        <v>0</v>
      </c>
      <c r="DG6008">
        <v>0</v>
      </c>
      <c r="DH6008">
        <v>0</v>
      </c>
      <c r="DI6008">
        <v>0</v>
      </c>
    </row>
    <row r="6009" spans="1:113" x14ac:dyDescent="0.3">
      <c r="A6009" t="str">
        <f t="shared" si="2812"/>
        <v>05/12/2020 14:52:16.126</v>
      </c>
      <c r="C6009" t="str">
        <f t="shared" si="2803"/>
        <v>FFDFD3C0</v>
      </c>
      <c r="D6009" t="s">
        <v>126</v>
      </c>
      <c r="E6009">
        <v>6</v>
      </c>
      <c r="F6009">
        <v>1006</v>
      </c>
      <c r="G6009" t="s">
        <v>114</v>
      </c>
      <c r="J6009" t="s">
        <v>128</v>
      </c>
      <c r="K6009">
        <v>0</v>
      </c>
      <c r="L6009">
        <v>3</v>
      </c>
      <c r="M6009">
        <v>0</v>
      </c>
      <c r="N6009">
        <v>2</v>
      </c>
      <c r="O6009">
        <v>1</v>
      </c>
      <c r="P6009">
        <v>0</v>
      </c>
      <c r="Q6009">
        <v>0</v>
      </c>
      <c r="S6009" t="str">
        <f t="shared" si="2813"/>
        <v>14:52:33.945</v>
      </c>
      <c r="T6009" t="str">
        <f t="shared" si="2813"/>
        <v>14:52:33.945</v>
      </c>
      <c r="U6009" t="str">
        <f t="shared" si="2794"/>
        <v>A9808D</v>
      </c>
      <c r="V6009">
        <v>0</v>
      </c>
      <c r="W6009">
        <v>0</v>
      </c>
      <c r="X6009">
        <v>1</v>
      </c>
      <c r="Z6009">
        <v>0</v>
      </c>
      <c r="AA6009">
        <v>9</v>
      </c>
      <c r="AB6009">
        <v>3</v>
      </c>
      <c r="AC6009">
        <v>0</v>
      </c>
      <c r="AD6009">
        <v>10</v>
      </c>
      <c r="AE6009">
        <v>0</v>
      </c>
      <c r="AF6009">
        <v>3</v>
      </c>
      <c r="AG6009">
        <v>2</v>
      </c>
      <c r="AH6009">
        <v>0</v>
      </c>
      <c r="AI6009" t="s">
        <v>1335</v>
      </c>
      <c r="AJ6009">
        <v>28.209329</v>
      </c>
      <c r="AK6009" t="s">
        <v>1336</v>
      </c>
      <c r="AL6009">
        <v>-82.366776000000002</v>
      </c>
      <c r="AM6009">
        <v>100</v>
      </c>
      <c r="AN6009">
        <v>200</v>
      </c>
      <c r="AO6009" t="s">
        <v>118</v>
      </c>
      <c r="AP6009">
        <v>23</v>
      </c>
      <c r="AQ6009">
        <v>82</v>
      </c>
      <c r="AR6009">
        <v>-832</v>
      </c>
      <c r="AZ6009">
        <v>1200</v>
      </c>
      <c r="BA6009">
        <v>1</v>
      </c>
      <c r="BB6009" t="str">
        <f t="shared" si="2804"/>
        <v xml:space="preserve">N711JA  </v>
      </c>
      <c r="BC6009">
        <v>1</v>
      </c>
      <c r="BE6009">
        <v>0</v>
      </c>
      <c r="BF6009">
        <v>0</v>
      </c>
      <c r="BG6009">
        <v>0</v>
      </c>
      <c r="BH6009">
        <v>275</v>
      </c>
      <c r="BI6009">
        <v>1</v>
      </c>
      <c r="BJ6009">
        <v>1</v>
      </c>
      <c r="BK6009">
        <v>0</v>
      </c>
      <c r="BL6009">
        <v>0</v>
      </c>
      <c r="BO6009">
        <v>0</v>
      </c>
      <c r="BP6009">
        <v>0</v>
      </c>
      <c r="BW6009" t="str">
        <f t="shared" si="2814"/>
        <v>14:52:33.949</v>
      </c>
      <c r="CJ6009">
        <v>0</v>
      </c>
      <c r="CK6009">
        <v>2</v>
      </c>
      <c r="CL6009">
        <v>0</v>
      </c>
      <c r="CM6009">
        <v>2</v>
      </c>
      <c r="CN6009">
        <v>0</v>
      </c>
      <c r="CO6009">
        <v>3</v>
      </c>
      <c r="CP6009" t="s">
        <v>119</v>
      </c>
      <c r="CQ6009">
        <v>8</v>
      </c>
      <c r="CR6009">
        <v>3</v>
      </c>
      <c r="CW6009">
        <v>9353037</v>
      </c>
      <c r="CY6009">
        <v>1</v>
      </c>
      <c r="CZ6009">
        <v>0</v>
      </c>
      <c r="DA6009">
        <v>1</v>
      </c>
      <c r="DB6009">
        <v>0</v>
      </c>
      <c r="DC6009">
        <v>0</v>
      </c>
      <c r="DD6009">
        <v>1</v>
      </c>
      <c r="DE6009">
        <v>0</v>
      </c>
      <c r="DF6009">
        <v>0</v>
      </c>
      <c r="DG6009">
        <v>0</v>
      </c>
      <c r="DH6009">
        <v>0</v>
      </c>
      <c r="DI6009">
        <v>0</v>
      </c>
    </row>
    <row r="6010" spans="1:113" x14ac:dyDescent="0.3">
      <c r="A6010" t="str">
        <f t="shared" si="2812"/>
        <v>05/12/2020 14:52:16.126</v>
      </c>
      <c r="C6010" t="str">
        <f t="shared" si="2803"/>
        <v>FFDFD3C0</v>
      </c>
      <c r="D6010" t="s">
        <v>113</v>
      </c>
      <c r="E6010">
        <v>3</v>
      </c>
      <c r="H6010">
        <v>164</v>
      </c>
      <c r="I6010" t="s">
        <v>114</v>
      </c>
      <c r="J6010" t="s">
        <v>115</v>
      </c>
      <c r="K6010">
        <v>0</v>
      </c>
      <c r="L6010">
        <v>3</v>
      </c>
      <c r="M6010">
        <v>0</v>
      </c>
      <c r="N6010">
        <v>2</v>
      </c>
      <c r="O6010">
        <v>1</v>
      </c>
      <c r="P6010">
        <v>0</v>
      </c>
      <c r="Q6010">
        <v>0</v>
      </c>
      <c r="S6010" t="str">
        <f t="shared" si="2813"/>
        <v>14:52:33.945</v>
      </c>
      <c r="T6010" t="str">
        <f t="shared" si="2813"/>
        <v>14:52:33.945</v>
      </c>
      <c r="U6010" t="str">
        <f t="shared" si="2794"/>
        <v>A9808D</v>
      </c>
      <c r="V6010">
        <v>0</v>
      </c>
      <c r="W6010">
        <v>0</v>
      </c>
      <c r="X6010">
        <v>1</v>
      </c>
      <c r="Z6010">
        <v>0</v>
      </c>
      <c r="AA6010">
        <v>9</v>
      </c>
      <c r="AB6010">
        <v>3</v>
      </c>
      <c r="AC6010">
        <v>0</v>
      </c>
      <c r="AD6010">
        <v>10</v>
      </c>
      <c r="AE6010">
        <v>0</v>
      </c>
      <c r="AF6010">
        <v>3</v>
      </c>
      <c r="AG6010">
        <v>2</v>
      </c>
      <c r="AH6010">
        <v>0</v>
      </c>
      <c r="AI6010" t="s">
        <v>1335</v>
      </c>
      <c r="AJ6010">
        <v>28.209329</v>
      </c>
      <c r="AK6010" t="s">
        <v>1336</v>
      </c>
      <c r="AL6010">
        <v>-82.366776000000002</v>
      </c>
      <c r="AM6010">
        <v>100</v>
      </c>
      <c r="AN6010">
        <v>200</v>
      </c>
      <c r="AO6010" t="s">
        <v>118</v>
      </c>
      <c r="AP6010">
        <v>23</v>
      </c>
      <c r="AQ6010">
        <v>82</v>
      </c>
      <c r="AR6010">
        <v>-832</v>
      </c>
      <c r="AZ6010">
        <v>1200</v>
      </c>
      <c r="BA6010">
        <v>1</v>
      </c>
      <c r="BB6010" t="str">
        <f t="shared" si="2804"/>
        <v xml:space="preserve">N711JA  </v>
      </c>
      <c r="BC6010">
        <v>1</v>
      </c>
      <c r="BE6010">
        <v>0</v>
      </c>
      <c r="BF6010">
        <v>0</v>
      </c>
      <c r="BG6010">
        <v>0</v>
      </c>
      <c r="BH6010">
        <v>275</v>
      </c>
      <c r="BI6010">
        <v>1</v>
      </c>
      <c r="BJ6010">
        <v>1</v>
      </c>
      <c r="BK6010">
        <v>0</v>
      </c>
      <c r="BL6010">
        <v>0</v>
      </c>
      <c r="BO6010">
        <v>0</v>
      </c>
      <c r="BP6010">
        <v>0</v>
      </c>
      <c r="BW6010" t="str">
        <f t="shared" si="2814"/>
        <v>14:52:33.949</v>
      </c>
      <c r="CJ6010">
        <v>0</v>
      </c>
      <c r="CK6010">
        <v>2</v>
      </c>
      <c r="CL6010">
        <v>0</v>
      </c>
      <c r="CM6010">
        <v>2</v>
      </c>
      <c r="CN6010">
        <v>0</v>
      </c>
      <c r="CO6010">
        <v>3</v>
      </c>
      <c r="CP6010" t="s">
        <v>119</v>
      </c>
      <c r="CQ6010">
        <v>8</v>
      </c>
      <c r="CR6010">
        <v>3</v>
      </c>
      <c r="CW6010">
        <v>9353037</v>
      </c>
      <c r="CY6010">
        <v>1</v>
      </c>
      <c r="CZ6010">
        <v>0</v>
      </c>
      <c r="DA6010">
        <v>1</v>
      </c>
      <c r="DB6010">
        <v>0</v>
      </c>
      <c r="DC6010">
        <v>0</v>
      </c>
      <c r="DD6010">
        <v>1</v>
      </c>
      <c r="DE6010">
        <v>0</v>
      </c>
      <c r="DF6010">
        <v>0</v>
      </c>
      <c r="DG6010">
        <v>0</v>
      </c>
      <c r="DH6010">
        <v>0</v>
      </c>
      <c r="DI6010">
        <v>0</v>
      </c>
    </row>
    <row r="6011" spans="1:113" x14ac:dyDescent="0.3">
      <c r="A6011" t="str">
        <f t="shared" ref="A6011:A6018" si="2815">"05/12/2020 14:52:17.255"</f>
        <v>05/12/2020 14:52:17.255</v>
      </c>
      <c r="C6011" t="str">
        <f t="shared" si="2803"/>
        <v>FFDFD3C0</v>
      </c>
      <c r="D6011" t="s">
        <v>134</v>
      </c>
      <c r="E6011">
        <v>12</v>
      </c>
      <c r="H6011">
        <v>64</v>
      </c>
      <c r="I6011" t="s">
        <v>135</v>
      </c>
      <c r="J6011" t="s">
        <v>136</v>
      </c>
      <c r="K6011">
        <v>0</v>
      </c>
      <c r="L6011">
        <v>3</v>
      </c>
      <c r="M6011">
        <v>0</v>
      </c>
      <c r="N6011">
        <v>2</v>
      </c>
      <c r="O6011">
        <v>1</v>
      </c>
      <c r="P6011">
        <v>0</v>
      </c>
      <c r="Q6011">
        <v>0</v>
      </c>
      <c r="S6011" t="str">
        <f t="shared" ref="S6011:S6018" si="2816">"14:52:35.055"</f>
        <v>14:52:35.055</v>
      </c>
      <c r="T6011" t="str">
        <f t="shared" ref="T6011:T6018" si="2817">"14:52:34.955"</f>
        <v>14:52:34.955</v>
      </c>
      <c r="U6011" t="str">
        <f t="shared" si="2794"/>
        <v>A9808D</v>
      </c>
      <c r="V6011">
        <v>0</v>
      </c>
      <c r="W6011">
        <v>0</v>
      </c>
      <c r="X6011">
        <v>1</v>
      </c>
      <c r="Z6011">
        <v>0</v>
      </c>
      <c r="AA6011">
        <v>9</v>
      </c>
      <c r="AB6011">
        <v>3</v>
      </c>
      <c r="AC6011">
        <v>0</v>
      </c>
      <c r="AD6011">
        <v>10</v>
      </c>
      <c r="AE6011">
        <v>0</v>
      </c>
      <c r="AF6011">
        <v>3</v>
      </c>
      <c r="AG6011">
        <v>2</v>
      </c>
      <c r="AH6011">
        <v>0</v>
      </c>
      <c r="AI6011" t="s">
        <v>1337</v>
      </c>
      <c r="AJ6011">
        <v>28.209779000000001</v>
      </c>
      <c r="AK6011" t="s">
        <v>1338</v>
      </c>
      <c r="AL6011">
        <v>-82.366647999999998</v>
      </c>
      <c r="AM6011">
        <v>100</v>
      </c>
      <c r="AN6011">
        <v>200</v>
      </c>
      <c r="AO6011" t="s">
        <v>118</v>
      </c>
      <c r="AP6011">
        <v>19</v>
      </c>
      <c r="AQ6011">
        <v>83</v>
      </c>
      <c r="AR6011">
        <v>-960</v>
      </c>
      <c r="AZ6011">
        <v>1200</v>
      </c>
      <c r="BA6011">
        <v>1</v>
      </c>
      <c r="BB6011" t="str">
        <f t="shared" si="2804"/>
        <v xml:space="preserve">N711JA  </v>
      </c>
      <c r="BC6011">
        <v>1</v>
      </c>
      <c r="BE6011">
        <v>0</v>
      </c>
      <c r="BF6011">
        <v>0</v>
      </c>
      <c r="BG6011">
        <v>0</v>
      </c>
      <c r="BH6011">
        <v>250</v>
      </c>
      <c r="BI6011">
        <v>1</v>
      </c>
      <c r="BJ6011">
        <v>1</v>
      </c>
      <c r="BK6011">
        <v>0</v>
      </c>
      <c r="BL6011">
        <v>0</v>
      </c>
      <c r="BO6011">
        <v>0</v>
      </c>
      <c r="BP6011">
        <v>0</v>
      </c>
      <c r="BW6011" t="str">
        <f t="shared" ref="BW6011:BW6018" si="2818">"14:52:35.057"</f>
        <v>14:52:35.057</v>
      </c>
      <c r="CJ6011">
        <v>0</v>
      </c>
      <c r="CK6011">
        <v>2</v>
      </c>
      <c r="CL6011">
        <v>0</v>
      </c>
      <c r="CM6011">
        <v>2</v>
      </c>
      <c r="CN6011">
        <v>0</v>
      </c>
      <c r="CO6011">
        <v>6</v>
      </c>
      <c r="CP6011" t="s">
        <v>119</v>
      </c>
      <c r="CQ6011">
        <v>343</v>
      </c>
      <c r="CR6011">
        <v>1</v>
      </c>
      <c r="CW6011">
        <v>11231090</v>
      </c>
      <c r="CY6011">
        <v>1</v>
      </c>
      <c r="CZ6011">
        <v>0</v>
      </c>
      <c r="DA6011">
        <v>0</v>
      </c>
      <c r="DB6011">
        <v>0</v>
      </c>
      <c r="DC6011">
        <v>0</v>
      </c>
      <c r="DD6011">
        <v>1</v>
      </c>
      <c r="DE6011">
        <v>0</v>
      </c>
      <c r="DF6011">
        <v>0</v>
      </c>
      <c r="DG6011">
        <v>0</v>
      </c>
      <c r="DH6011">
        <v>0</v>
      </c>
      <c r="DI6011">
        <v>0</v>
      </c>
    </row>
    <row r="6012" spans="1:113" x14ac:dyDescent="0.3">
      <c r="A6012" t="str">
        <f t="shared" si="2815"/>
        <v>05/12/2020 14:52:17.255</v>
      </c>
      <c r="C6012" t="str">
        <f t="shared" si="2803"/>
        <v>FFDFD3C0</v>
      </c>
      <c r="D6012" t="s">
        <v>126</v>
      </c>
      <c r="E6012">
        <v>6</v>
      </c>
      <c r="F6012">
        <v>1006</v>
      </c>
      <c r="G6012" t="s">
        <v>114</v>
      </c>
      <c r="J6012" t="s">
        <v>128</v>
      </c>
      <c r="K6012">
        <v>0</v>
      </c>
      <c r="L6012">
        <v>3</v>
      </c>
      <c r="M6012">
        <v>0</v>
      </c>
      <c r="N6012">
        <v>2</v>
      </c>
      <c r="O6012">
        <v>1</v>
      </c>
      <c r="P6012">
        <v>0</v>
      </c>
      <c r="Q6012">
        <v>0</v>
      </c>
      <c r="S6012" t="str">
        <f t="shared" si="2816"/>
        <v>14:52:35.055</v>
      </c>
      <c r="T6012" t="str">
        <f t="shared" si="2817"/>
        <v>14:52:34.955</v>
      </c>
      <c r="U6012" t="str">
        <f t="shared" si="2794"/>
        <v>A9808D</v>
      </c>
      <c r="V6012">
        <v>0</v>
      </c>
      <c r="W6012">
        <v>0</v>
      </c>
      <c r="X6012">
        <v>1</v>
      </c>
      <c r="Z6012">
        <v>0</v>
      </c>
      <c r="AA6012">
        <v>9</v>
      </c>
      <c r="AB6012">
        <v>3</v>
      </c>
      <c r="AC6012">
        <v>0</v>
      </c>
      <c r="AD6012">
        <v>10</v>
      </c>
      <c r="AE6012">
        <v>0</v>
      </c>
      <c r="AF6012">
        <v>3</v>
      </c>
      <c r="AG6012">
        <v>2</v>
      </c>
      <c r="AH6012">
        <v>0</v>
      </c>
      <c r="AI6012" t="s">
        <v>1337</v>
      </c>
      <c r="AJ6012">
        <v>28.209779000000001</v>
      </c>
      <c r="AK6012" t="s">
        <v>1338</v>
      </c>
      <c r="AL6012">
        <v>-82.366647999999998</v>
      </c>
      <c r="AM6012">
        <v>100</v>
      </c>
      <c r="AN6012">
        <v>200</v>
      </c>
      <c r="AO6012" t="s">
        <v>118</v>
      </c>
      <c r="AP6012">
        <v>19</v>
      </c>
      <c r="AQ6012">
        <v>83</v>
      </c>
      <c r="AR6012">
        <v>-960</v>
      </c>
      <c r="AZ6012">
        <v>1200</v>
      </c>
      <c r="BA6012">
        <v>1</v>
      </c>
      <c r="BB6012" t="str">
        <f t="shared" si="2804"/>
        <v xml:space="preserve">N711JA  </v>
      </c>
      <c r="BC6012">
        <v>1</v>
      </c>
      <c r="BE6012">
        <v>0</v>
      </c>
      <c r="BF6012">
        <v>0</v>
      </c>
      <c r="BG6012">
        <v>0</v>
      </c>
      <c r="BH6012">
        <v>250</v>
      </c>
      <c r="BI6012">
        <v>1</v>
      </c>
      <c r="BJ6012">
        <v>1</v>
      </c>
      <c r="BK6012">
        <v>0</v>
      </c>
      <c r="BL6012">
        <v>0</v>
      </c>
      <c r="BO6012">
        <v>0</v>
      </c>
      <c r="BP6012">
        <v>0</v>
      </c>
      <c r="BW6012" t="str">
        <f t="shared" si="2818"/>
        <v>14:52:35.057</v>
      </c>
      <c r="CJ6012">
        <v>0</v>
      </c>
      <c r="CK6012">
        <v>2</v>
      </c>
      <c r="CL6012">
        <v>0</v>
      </c>
      <c r="CM6012">
        <v>2</v>
      </c>
      <c r="CN6012">
        <v>0</v>
      </c>
      <c r="CO6012">
        <v>6</v>
      </c>
      <c r="CP6012" t="s">
        <v>119</v>
      </c>
      <c r="CQ6012">
        <v>343</v>
      </c>
      <c r="CR6012">
        <v>1</v>
      </c>
      <c r="CW6012">
        <v>11231090</v>
      </c>
      <c r="CY6012">
        <v>1</v>
      </c>
      <c r="CZ6012">
        <v>0</v>
      </c>
      <c r="DA6012">
        <v>1</v>
      </c>
      <c r="DB6012">
        <v>0</v>
      </c>
      <c r="DC6012">
        <v>0</v>
      </c>
      <c r="DD6012">
        <v>1</v>
      </c>
      <c r="DE6012">
        <v>0</v>
      </c>
      <c r="DF6012">
        <v>0</v>
      </c>
      <c r="DG6012">
        <v>0</v>
      </c>
      <c r="DH6012">
        <v>0</v>
      </c>
      <c r="DI6012">
        <v>0</v>
      </c>
    </row>
    <row r="6013" spans="1:113" x14ac:dyDescent="0.3">
      <c r="A6013" t="str">
        <f t="shared" si="2815"/>
        <v>05/12/2020 14:52:17.255</v>
      </c>
      <c r="C6013" t="str">
        <f t="shared" si="2803"/>
        <v>FFDFD3C0</v>
      </c>
      <c r="D6013" t="s">
        <v>138</v>
      </c>
      <c r="E6013">
        <v>2</v>
      </c>
      <c r="H6013">
        <v>8</v>
      </c>
      <c r="I6013" t="s">
        <v>139</v>
      </c>
      <c r="J6013" t="s">
        <v>136</v>
      </c>
      <c r="K6013">
        <v>0</v>
      </c>
      <c r="L6013">
        <v>3</v>
      </c>
      <c r="M6013">
        <v>0</v>
      </c>
      <c r="N6013">
        <v>2</v>
      </c>
      <c r="O6013">
        <v>1</v>
      </c>
      <c r="P6013">
        <v>0</v>
      </c>
      <c r="Q6013">
        <v>0</v>
      </c>
      <c r="S6013" t="str">
        <f t="shared" si="2816"/>
        <v>14:52:35.055</v>
      </c>
      <c r="T6013" t="str">
        <f t="shared" si="2817"/>
        <v>14:52:34.955</v>
      </c>
      <c r="U6013" t="str">
        <f t="shared" si="2794"/>
        <v>A9808D</v>
      </c>
      <c r="V6013">
        <v>0</v>
      </c>
      <c r="W6013">
        <v>0</v>
      </c>
      <c r="X6013">
        <v>1</v>
      </c>
      <c r="Z6013">
        <v>0</v>
      </c>
      <c r="AA6013">
        <v>9</v>
      </c>
      <c r="AB6013">
        <v>3</v>
      </c>
      <c r="AC6013">
        <v>0</v>
      </c>
      <c r="AD6013">
        <v>10</v>
      </c>
      <c r="AE6013">
        <v>0</v>
      </c>
      <c r="AF6013">
        <v>3</v>
      </c>
      <c r="AG6013">
        <v>2</v>
      </c>
      <c r="AH6013">
        <v>0</v>
      </c>
      <c r="AI6013" t="s">
        <v>1337</v>
      </c>
      <c r="AJ6013">
        <v>28.209779000000001</v>
      </c>
      <c r="AK6013" t="s">
        <v>1338</v>
      </c>
      <c r="AL6013">
        <v>-82.366647999999998</v>
      </c>
      <c r="AM6013">
        <v>100</v>
      </c>
      <c r="AN6013">
        <v>200</v>
      </c>
      <c r="AO6013" t="s">
        <v>118</v>
      </c>
      <c r="AP6013">
        <v>19</v>
      </c>
      <c r="AQ6013">
        <v>83</v>
      </c>
      <c r="AR6013">
        <v>-960</v>
      </c>
      <c r="AZ6013">
        <v>1200</v>
      </c>
      <c r="BA6013">
        <v>1</v>
      </c>
      <c r="BB6013" t="str">
        <f t="shared" si="2804"/>
        <v xml:space="preserve">N711JA  </v>
      </c>
      <c r="BC6013">
        <v>1</v>
      </c>
      <c r="BE6013">
        <v>0</v>
      </c>
      <c r="BF6013">
        <v>0</v>
      </c>
      <c r="BG6013">
        <v>0</v>
      </c>
      <c r="BH6013">
        <v>250</v>
      </c>
      <c r="BI6013">
        <v>1</v>
      </c>
      <c r="BJ6013">
        <v>1</v>
      </c>
      <c r="BK6013">
        <v>0</v>
      </c>
      <c r="BL6013">
        <v>0</v>
      </c>
      <c r="BO6013">
        <v>0</v>
      </c>
      <c r="BP6013">
        <v>0</v>
      </c>
      <c r="BW6013" t="str">
        <f t="shared" si="2818"/>
        <v>14:52:35.057</v>
      </c>
      <c r="CJ6013">
        <v>0</v>
      </c>
      <c r="CK6013">
        <v>2</v>
      </c>
      <c r="CL6013">
        <v>0</v>
      </c>
      <c r="CM6013">
        <v>2</v>
      </c>
      <c r="CN6013">
        <v>0</v>
      </c>
      <c r="CO6013">
        <v>6</v>
      </c>
      <c r="CP6013" t="s">
        <v>119</v>
      </c>
      <c r="CQ6013">
        <v>343</v>
      </c>
      <c r="CR6013">
        <v>1</v>
      </c>
      <c r="CW6013">
        <v>11231090</v>
      </c>
      <c r="CY6013">
        <v>1</v>
      </c>
      <c r="CZ6013">
        <v>0</v>
      </c>
      <c r="DA6013">
        <v>1</v>
      </c>
      <c r="DB6013">
        <v>0</v>
      </c>
      <c r="DC6013">
        <v>0</v>
      </c>
      <c r="DD6013">
        <v>1</v>
      </c>
      <c r="DE6013">
        <v>0</v>
      </c>
      <c r="DF6013">
        <v>0</v>
      </c>
      <c r="DG6013">
        <v>0</v>
      </c>
      <c r="DH6013">
        <v>0</v>
      </c>
      <c r="DI6013">
        <v>0</v>
      </c>
    </row>
    <row r="6014" spans="1:113" x14ac:dyDescent="0.3">
      <c r="A6014" t="str">
        <f t="shared" si="2815"/>
        <v>05/12/2020 14:52:17.255</v>
      </c>
      <c r="C6014" t="str">
        <f t="shared" si="2803"/>
        <v>FFDFD3C0</v>
      </c>
      <c r="D6014" t="s">
        <v>138</v>
      </c>
      <c r="E6014">
        <v>3</v>
      </c>
      <c r="H6014">
        <v>9</v>
      </c>
      <c r="I6014" t="s">
        <v>140</v>
      </c>
      <c r="J6014" t="s">
        <v>136</v>
      </c>
      <c r="K6014">
        <v>0</v>
      </c>
      <c r="L6014">
        <v>3</v>
      </c>
      <c r="M6014">
        <v>0</v>
      </c>
      <c r="N6014">
        <v>2</v>
      </c>
      <c r="O6014">
        <v>1</v>
      </c>
      <c r="P6014">
        <v>0</v>
      </c>
      <c r="Q6014">
        <v>0</v>
      </c>
      <c r="S6014" t="str">
        <f t="shared" si="2816"/>
        <v>14:52:35.055</v>
      </c>
      <c r="T6014" t="str">
        <f t="shared" si="2817"/>
        <v>14:52:34.955</v>
      </c>
      <c r="U6014" t="str">
        <f t="shared" si="2794"/>
        <v>A9808D</v>
      </c>
      <c r="V6014">
        <v>0</v>
      </c>
      <c r="W6014">
        <v>0</v>
      </c>
      <c r="X6014">
        <v>1</v>
      </c>
      <c r="Z6014">
        <v>0</v>
      </c>
      <c r="AA6014">
        <v>9</v>
      </c>
      <c r="AB6014">
        <v>3</v>
      </c>
      <c r="AC6014">
        <v>0</v>
      </c>
      <c r="AD6014">
        <v>10</v>
      </c>
      <c r="AE6014">
        <v>0</v>
      </c>
      <c r="AF6014">
        <v>3</v>
      </c>
      <c r="AG6014">
        <v>2</v>
      </c>
      <c r="AH6014">
        <v>0</v>
      </c>
      <c r="AI6014" t="s">
        <v>1337</v>
      </c>
      <c r="AJ6014">
        <v>28.209779000000001</v>
      </c>
      <c r="AK6014" t="s">
        <v>1338</v>
      </c>
      <c r="AL6014">
        <v>-82.366647999999998</v>
      </c>
      <c r="AM6014">
        <v>100</v>
      </c>
      <c r="AN6014">
        <v>200</v>
      </c>
      <c r="AO6014" t="s">
        <v>118</v>
      </c>
      <c r="AP6014">
        <v>19</v>
      </c>
      <c r="AQ6014">
        <v>83</v>
      </c>
      <c r="AR6014">
        <v>-960</v>
      </c>
      <c r="AZ6014">
        <v>1200</v>
      </c>
      <c r="BA6014">
        <v>1</v>
      </c>
      <c r="BB6014" t="str">
        <f t="shared" si="2804"/>
        <v xml:space="preserve">N711JA  </v>
      </c>
      <c r="BC6014">
        <v>1</v>
      </c>
      <c r="BE6014">
        <v>0</v>
      </c>
      <c r="BF6014">
        <v>0</v>
      </c>
      <c r="BG6014">
        <v>0</v>
      </c>
      <c r="BH6014">
        <v>250</v>
      </c>
      <c r="BI6014">
        <v>1</v>
      </c>
      <c r="BJ6014">
        <v>1</v>
      </c>
      <c r="BK6014">
        <v>0</v>
      </c>
      <c r="BL6014">
        <v>0</v>
      </c>
      <c r="BO6014">
        <v>0</v>
      </c>
      <c r="BP6014">
        <v>0</v>
      </c>
      <c r="BW6014" t="str">
        <f t="shared" si="2818"/>
        <v>14:52:35.057</v>
      </c>
      <c r="CJ6014">
        <v>0</v>
      </c>
      <c r="CK6014">
        <v>2</v>
      </c>
      <c r="CL6014">
        <v>0</v>
      </c>
      <c r="CM6014">
        <v>2</v>
      </c>
      <c r="CN6014">
        <v>0</v>
      </c>
      <c r="CO6014">
        <v>6</v>
      </c>
      <c r="CP6014" t="s">
        <v>119</v>
      </c>
      <c r="CQ6014">
        <v>343</v>
      </c>
      <c r="CR6014">
        <v>1</v>
      </c>
      <c r="CW6014">
        <v>11231090</v>
      </c>
      <c r="CY6014">
        <v>1</v>
      </c>
      <c r="CZ6014">
        <v>0</v>
      </c>
      <c r="DA6014">
        <v>1</v>
      </c>
      <c r="DB6014">
        <v>0</v>
      </c>
      <c r="DC6014">
        <v>0</v>
      </c>
      <c r="DD6014">
        <v>1</v>
      </c>
      <c r="DE6014">
        <v>0</v>
      </c>
      <c r="DF6014">
        <v>0</v>
      </c>
      <c r="DG6014">
        <v>0</v>
      </c>
      <c r="DH6014">
        <v>0</v>
      </c>
      <c r="DI6014">
        <v>0</v>
      </c>
    </row>
    <row r="6015" spans="1:113" x14ac:dyDescent="0.3">
      <c r="A6015" t="str">
        <f t="shared" si="2815"/>
        <v>05/12/2020 14:52:17.255</v>
      </c>
      <c r="C6015" t="str">
        <f t="shared" si="2803"/>
        <v>FFDFD3C0</v>
      </c>
      <c r="D6015" t="s">
        <v>113</v>
      </c>
      <c r="E6015">
        <v>3</v>
      </c>
      <c r="H6015">
        <v>164</v>
      </c>
      <c r="I6015" t="s">
        <v>114</v>
      </c>
      <c r="J6015" t="s">
        <v>115</v>
      </c>
      <c r="K6015">
        <v>0</v>
      </c>
      <c r="L6015">
        <v>3</v>
      </c>
      <c r="M6015">
        <v>0</v>
      </c>
      <c r="N6015">
        <v>2</v>
      </c>
      <c r="O6015">
        <v>1</v>
      </c>
      <c r="P6015">
        <v>0</v>
      </c>
      <c r="Q6015">
        <v>0</v>
      </c>
      <c r="S6015" t="str">
        <f t="shared" si="2816"/>
        <v>14:52:35.055</v>
      </c>
      <c r="T6015" t="str">
        <f t="shared" si="2817"/>
        <v>14:52:34.955</v>
      </c>
      <c r="U6015" t="str">
        <f t="shared" si="2794"/>
        <v>A9808D</v>
      </c>
      <c r="V6015">
        <v>0</v>
      </c>
      <c r="W6015">
        <v>0</v>
      </c>
      <c r="X6015">
        <v>1</v>
      </c>
      <c r="Z6015">
        <v>0</v>
      </c>
      <c r="AA6015">
        <v>9</v>
      </c>
      <c r="AB6015">
        <v>3</v>
      </c>
      <c r="AC6015">
        <v>0</v>
      </c>
      <c r="AD6015">
        <v>10</v>
      </c>
      <c r="AE6015">
        <v>0</v>
      </c>
      <c r="AF6015">
        <v>3</v>
      </c>
      <c r="AG6015">
        <v>2</v>
      </c>
      <c r="AH6015">
        <v>0</v>
      </c>
      <c r="AI6015" t="s">
        <v>1337</v>
      </c>
      <c r="AJ6015">
        <v>28.209779000000001</v>
      </c>
      <c r="AK6015" t="s">
        <v>1338</v>
      </c>
      <c r="AL6015">
        <v>-82.366647999999998</v>
      </c>
      <c r="AM6015">
        <v>100</v>
      </c>
      <c r="AN6015">
        <v>200</v>
      </c>
      <c r="AO6015" t="s">
        <v>118</v>
      </c>
      <c r="AP6015">
        <v>19</v>
      </c>
      <c r="AQ6015">
        <v>83</v>
      </c>
      <c r="AR6015">
        <v>-960</v>
      </c>
      <c r="AZ6015">
        <v>1200</v>
      </c>
      <c r="BA6015">
        <v>1</v>
      </c>
      <c r="BB6015" t="str">
        <f t="shared" si="2804"/>
        <v xml:space="preserve">N711JA  </v>
      </c>
      <c r="BC6015">
        <v>1</v>
      </c>
      <c r="BE6015">
        <v>0</v>
      </c>
      <c r="BF6015">
        <v>0</v>
      </c>
      <c r="BG6015">
        <v>0</v>
      </c>
      <c r="BH6015">
        <v>250</v>
      </c>
      <c r="BI6015">
        <v>1</v>
      </c>
      <c r="BJ6015">
        <v>1</v>
      </c>
      <c r="BK6015">
        <v>0</v>
      </c>
      <c r="BL6015">
        <v>0</v>
      </c>
      <c r="BO6015">
        <v>0</v>
      </c>
      <c r="BP6015">
        <v>0</v>
      </c>
      <c r="BW6015" t="str">
        <f t="shared" si="2818"/>
        <v>14:52:35.057</v>
      </c>
      <c r="CJ6015">
        <v>0</v>
      </c>
      <c r="CK6015">
        <v>2</v>
      </c>
      <c r="CL6015">
        <v>0</v>
      </c>
      <c r="CM6015">
        <v>2</v>
      </c>
      <c r="CN6015">
        <v>0</v>
      </c>
      <c r="CO6015">
        <v>6</v>
      </c>
      <c r="CP6015" t="s">
        <v>119</v>
      </c>
      <c r="CQ6015">
        <v>343</v>
      </c>
      <c r="CR6015">
        <v>1</v>
      </c>
      <c r="CW6015">
        <v>11231090</v>
      </c>
      <c r="CY6015">
        <v>1</v>
      </c>
      <c r="CZ6015">
        <v>0</v>
      </c>
      <c r="DA6015">
        <v>1</v>
      </c>
      <c r="DB6015">
        <v>0</v>
      </c>
      <c r="DC6015">
        <v>0</v>
      </c>
      <c r="DD6015">
        <v>1</v>
      </c>
      <c r="DE6015">
        <v>0</v>
      </c>
      <c r="DF6015">
        <v>0</v>
      </c>
      <c r="DG6015">
        <v>0</v>
      </c>
      <c r="DH6015">
        <v>0</v>
      </c>
      <c r="DI6015">
        <v>0</v>
      </c>
    </row>
    <row r="6016" spans="1:113" x14ac:dyDescent="0.3">
      <c r="A6016" t="str">
        <f t="shared" si="2815"/>
        <v>05/12/2020 14:52:17.255</v>
      </c>
      <c r="C6016" t="str">
        <f t="shared" si="2803"/>
        <v>FFDFD3C0</v>
      </c>
      <c r="D6016" t="s">
        <v>126</v>
      </c>
      <c r="E6016">
        <v>7</v>
      </c>
      <c r="F6016">
        <v>1007</v>
      </c>
      <c r="G6016" t="s">
        <v>127</v>
      </c>
      <c r="J6016" t="s">
        <v>128</v>
      </c>
      <c r="K6016">
        <v>0</v>
      </c>
      <c r="L6016">
        <v>3</v>
      </c>
      <c r="M6016">
        <v>0</v>
      </c>
      <c r="N6016">
        <v>2</v>
      </c>
      <c r="O6016">
        <v>1</v>
      </c>
      <c r="P6016">
        <v>0</v>
      </c>
      <c r="Q6016">
        <v>0</v>
      </c>
      <c r="S6016" t="str">
        <f t="shared" si="2816"/>
        <v>14:52:35.055</v>
      </c>
      <c r="T6016" t="str">
        <f t="shared" si="2817"/>
        <v>14:52:34.955</v>
      </c>
      <c r="U6016" t="str">
        <f t="shared" si="2794"/>
        <v>A9808D</v>
      </c>
      <c r="V6016">
        <v>0</v>
      </c>
      <c r="W6016">
        <v>0</v>
      </c>
      <c r="X6016">
        <v>1</v>
      </c>
      <c r="Z6016">
        <v>0</v>
      </c>
      <c r="AA6016">
        <v>9</v>
      </c>
      <c r="AB6016">
        <v>3</v>
      </c>
      <c r="AC6016">
        <v>0</v>
      </c>
      <c r="AD6016">
        <v>10</v>
      </c>
      <c r="AE6016">
        <v>0</v>
      </c>
      <c r="AF6016">
        <v>3</v>
      </c>
      <c r="AG6016">
        <v>2</v>
      </c>
      <c r="AH6016">
        <v>0</v>
      </c>
      <c r="AI6016" t="s">
        <v>1337</v>
      </c>
      <c r="AJ6016">
        <v>28.209779000000001</v>
      </c>
      <c r="AK6016" t="s">
        <v>1338</v>
      </c>
      <c r="AL6016">
        <v>-82.366647999999998</v>
      </c>
      <c r="AM6016">
        <v>100</v>
      </c>
      <c r="AN6016">
        <v>200</v>
      </c>
      <c r="AO6016" t="s">
        <v>118</v>
      </c>
      <c r="AP6016">
        <v>19</v>
      </c>
      <c r="AQ6016">
        <v>83</v>
      </c>
      <c r="AR6016">
        <v>-960</v>
      </c>
      <c r="AZ6016">
        <v>1200</v>
      </c>
      <c r="BA6016">
        <v>1</v>
      </c>
      <c r="BB6016" t="str">
        <f t="shared" si="2804"/>
        <v xml:space="preserve">N711JA  </v>
      </c>
      <c r="BC6016">
        <v>1</v>
      </c>
      <c r="BE6016">
        <v>0</v>
      </c>
      <c r="BF6016">
        <v>0</v>
      </c>
      <c r="BG6016">
        <v>0</v>
      </c>
      <c r="BH6016">
        <v>250</v>
      </c>
      <c r="BI6016">
        <v>1</v>
      </c>
      <c r="BJ6016">
        <v>1</v>
      </c>
      <c r="BK6016">
        <v>0</v>
      </c>
      <c r="BL6016">
        <v>0</v>
      </c>
      <c r="BO6016">
        <v>0</v>
      </c>
      <c r="BP6016">
        <v>0</v>
      </c>
      <c r="BW6016" t="str">
        <f t="shared" si="2818"/>
        <v>14:52:35.057</v>
      </c>
      <c r="CJ6016">
        <v>0</v>
      </c>
      <c r="CK6016">
        <v>2</v>
      </c>
      <c r="CL6016">
        <v>0</v>
      </c>
      <c r="CM6016">
        <v>2</v>
      </c>
      <c r="CN6016">
        <v>0</v>
      </c>
      <c r="CO6016">
        <v>6</v>
      </c>
      <c r="CP6016" t="s">
        <v>119</v>
      </c>
      <c r="CQ6016">
        <v>343</v>
      </c>
      <c r="CR6016">
        <v>1</v>
      </c>
      <c r="CW6016">
        <v>11231090</v>
      </c>
      <c r="CY6016">
        <v>1</v>
      </c>
      <c r="CZ6016">
        <v>0</v>
      </c>
      <c r="DA6016">
        <v>1</v>
      </c>
      <c r="DB6016">
        <v>0</v>
      </c>
      <c r="DC6016">
        <v>0</v>
      </c>
      <c r="DD6016">
        <v>1</v>
      </c>
      <c r="DE6016">
        <v>0</v>
      </c>
      <c r="DF6016">
        <v>0</v>
      </c>
      <c r="DG6016">
        <v>0</v>
      </c>
      <c r="DH6016">
        <v>0</v>
      </c>
      <c r="DI6016">
        <v>0</v>
      </c>
    </row>
    <row r="6017" spans="1:113" x14ac:dyDescent="0.3">
      <c r="A6017" t="str">
        <f t="shared" si="2815"/>
        <v>05/12/2020 14:52:17.255</v>
      </c>
      <c r="C6017" t="str">
        <f t="shared" si="2803"/>
        <v>FFDFD3C0</v>
      </c>
      <c r="D6017" t="s">
        <v>131</v>
      </c>
      <c r="E6017">
        <v>10</v>
      </c>
      <c r="F6017">
        <v>2010</v>
      </c>
      <c r="G6017" t="s">
        <v>132</v>
      </c>
      <c r="J6017" t="s">
        <v>133</v>
      </c>
      <c r="K6017">
        <v>0</v>
      </c>
      <c r="L6017">
        <v>3</v>
      </c>
      <c r="M6017">
        <v>0</v>
      </c>
      <c r="N6017">
        <v>2</v>
      </c>
      <c r="O6017">
        <v>1</v>
      </c>
      <c r="P6017">
        <v>0</v>
      </c>
      <c r="Q6017">
        <v>0</v>
      </c>
      <c r="S6017" t="str">
        <f t="shared" si="2816"/>
        <v>14:52:35.055</v>
      </c>
      <c r="T6017" t="str">
        <f t="shared" si="2817"/>
        <v>14:52:34.955</v>
      </c>
      <c r="U6017" t="str">
        <f t="shared" si="2794"/>
        <v>A9808D</v>
      </c>
      <c r="V6017">
        <v>0</v>
      </c>
      <c r="W6017">
        <v>0</v>
      </c>
      <c r="X6017">
        <v>1</v>
      </c>
      <c r="Z6017">
        <v>0</v>
      </c>
      <c r="AA6017">
        <v>9</v>
      </c>
      <c r="AB6017">
        <v>3</v>
      </c>
      <c r="AC6017">
        <v>0</v>
      </c>
      <c r="AD6017">
        <v>10</v>
      </c>
      <c r="AE6017">
        <v>0</v>
      </c>
      <c r="AF6017">
        <v>3</v>
      </c>
      <c r="AG6017">
        <v>2</v>
      </c>
      <c r="AH6017">
        <v>0</v>
      </c>
      <c r="AI6017" t="s">
        <v>1337</v>
      </c>
      <c r="AJ6017">
        <v>28.209779000000001</v>
      </c>
      <c r="AK6017" t="s">
        <v>1338</v>
      </c>
      <c r="AL6017">
        <v>-82.366647999999998</v>
      </c>
      <c r="AM6017">
        <v>100</v>
      </c>
      <c r="AN6017">
        <v>200</v>
      </c>
      <c r="AO6017" t="s">
        <v>118</v>
      </c>
      <c r="AP6017">
        <v>19</v>
      </c>
      <c r="AQ6017">
        <v>83</v>
      </c>
      <c r="AR6017">
        <v>-960</v>
      </c>
      <c r="AZ6017">
        <v>1200</v>
      </c>
      <c r="BA6017">
        <v>1</v>
      </c>
      <c r="BB6017" t="str">
        <f t="shared" si="2804"/>
        <v xml:space="preserve">N711JA  </v>
      </c>
      <c r="BC6017">
        <v>1</v>
      </c>
      <c r="BE6017">
        <v>0</v>
      </c>
      <c r="BF6017">
        <v>0</v>
      </c>
      <c r="BG6017">
        <v>0</v>
      </c>
      <c r="BH6017">
        <v>250</v>
      </c>
      <c r="BI6017">
        <v>1</v>
      </c>
      <c r="BJ6017">
        <v>1</v>
      </c>
      <c r="BK6017">
        <v>0</v>
      </c>
      <c r="BL6017">
        <v>0</v>
      </c>
      <c r="BO6017">
        <v>0</v>
      </c>
      <c r="BP6017">
        <v>0</v>
      </c>
      <c r="BW6017" t="str">
        <f t="shared" si="2818"/>
        <v>14:52:35.057</v>
      </c>
      <c r="CJ6017">
        <v>0</v>
      </c>
      <c r="CK6017">
        <v>2</v>
      </c>
      <c r="CL6017">
        <v>0</v>
      </c>
      <c r="CM6017">
        <v>2</v>
      </c>
      <c r="CN6017">
        <v>0</v>
      </c>
      <c r="CO6017">
        <v>6</v>
      </c>
      <c r="CP6017" t="s">
        <v>119</v>
      </c>
      <c r="CQ6017">
        <v>343</v>
      </c>
      <c r="CR6017">
        <v>1</v>
      </c>
      <c r="CW6017">
        <v>11231090</v>
      </c>
      <c r="CY6017">
        <v>1</v>
      </c>
      <c r="CZ6017">
        <v>0</v>
      </c>
      <c r="DA6017">
        <v>1</v>
      </c>
      <c r="DB6017">
        <v>0</v>
      </c>
      <c r="DC6017">
        <v>0</v>
      </c>
      <c r="DD6017">
        <v>1</v>
      </c>
      <c r="DE6017">
        <v>0</v>
      </c>
      <c r="DF6017">
        <v>0</v>
      </c>
      <c r="DG6017">
        <v>0</v>
      </c>
      <c r="DH6017">
        <v>0</v>
      </c>
      <c r="DI6017">
        <v>0</v>
      </c>
    </row>
    <row r="6018" spans="1:113" x14ac:dyDescent="0.3">
      <c r="A6018" t="str">
        <f t="shared" si="2815"/>
        <v>05/12/2020 14:52:17.255</v>
      </c>
      <c r="C6018" t="str">
        <f t="shared" si="2803"/>
        <v>FFDFD3C0</v>
      </c>
      <c r="D6018" t="s">
        <v>131</v>
      </c>
      <c r="E6018">
        <v>12</v>
      </c>
      <c r="F6018">
        <v>2012</v>
      </c>
      <c r="G6018" t="s">
        <v>137</v>
      </c>
      <c r="J6018" t="s">
        <v>133</v>
      </c>
      <c r="K6018">
        <v>0</v>
      </c>
      <c r="L6018">
        <v>3</v>
      </c>
      <c r="M6018">
        <v>0</v>
      </c>
      <c r="N6018">
        <v>2</v>
      </c>
      <c r="O6018">
        <v>1</v>
      </c>
      <c r="P6018">
        <v>0</v>
      </c>
      <c r="Q6018">
        <v>0</v>
      </c>
      <c r="S6018" t="str">
        <f t="shared" si="2816"/>
        <v>14:52:35.055</v>
      </c>
      <c r="T6018" t="str">
        <f t="shared" si="2817"/>
        <v>14:52:34.955</v>
      </c>
      <c r="U6018" t="str">
        <f t="shared" ref="U6018:U6081" si="2819">"A9808D"</f>
        <v>A9808D</v>
      </c>
      <c r="V6018">
        <v>0</v>
      </c>
      <c r="W6018">
        <v>0</v>
      </c>
      <c r="X6018">
        <v>1</v>
      </c>
      <c r="Z6018">
        <v>0</v>
      </c>
      <c r="AA6018">
        <v>9</v>
      </c>
      <c r="AB6018">
        <v>3</v>
      </c>
      <c r="AC6018">
        <v>0</v>
      </c>
      <c r="AD6018">
        <v>10</v>
      </c>
      <c r="AE6018">
        <v>0</v>
      </c>
      <c r="AF6018">
        <v>3</v>
      </c>
      <c r="AG6018">
        <v>2</v>
      </c>
      <c r="AH6018">
        <v>0</v>
      </c>
      <c r="AI6018" t="s">
        <v>1337</v>
      </c>
      <c r="AJ6018">
        <v>28.209779000000001</v>
      </c>
      <c r="AK6018" t="s">
        <v>1338</v>
      </c>
      <c r="AL6018">
        <v>-82.366647999999998</v>
      </c>
      <c r="AM6018">
        <v>100</v>
      </c>
      <c r="AN6018">
        <v>200</v>
      </c>
      <c r="AO6018" t="s">
        <v>118</v>
      </c>
      <c r="AP6018">
        <v>19</v>
      </c>
      <c r="AQ6018">
        <v>83</v>
      </c>
      <c r="AR6018">
        <v>-960</v>
      </c>
      <c r="AZ6018">
        <v>1200</v>
      </c>
      <c r="BA6018">
        <v>1</v>
      </c>
      <c r="BB6018" t="str">
        <f t="shared" si="2804"/>
        <v xml:space="preserve">N711JA  </v>
      </c>
      <c r="BC6018">
        <v>1</v>
      </c>
      <c r="BE6018">
        <v>0</v>
      </c>
      <c r="BF6018">
        <v>0</v>
      </c>
      <c r="BG6018">
        <v>0</v>
      </c>
      <c r="BH6018">
        <v>250</v>
      </c>
      <c r="BI6018">
        <v>1</v>
      </c>
      <c r="BJ6018">
        <v>1</v>
      </c>
      <c r="BK6018">
        <v>0</v>
      </c>
      <c r="BL6018">
        <v>0</v>
      </c>
      <c r="BO6018">
        <v>0</v>
      </c>
      <c r="BP6018">
        <v>0</v>
      </c>
      <c r="BW6018" t="str">
        <f t="shared" si="2818"/>
        <v>14:52:35.057</v>
      </c>
      <c r="CJ6018">
        <v>0</v>
      </c>
      <c r="CK6018">
        <v>2</v>
      </c>
      <c r="CL6018">
        <v>0</v>
      </c>
      <c r="CM6018">
        <v>2</v>
      </c>
      <c r="CN6018">
        <v>0</v>
      </c>
      <c r="CO6018">
        <v>6</v>
      </c>
      <c r="CP6018" t="s">
        <v>119</v>
      </c>
      <c r="CQ6018">
        <v>343</v>
      </c>
      <c r="CR6018">
        <v>1</v>
      </c>
      <c r="CW6018">
        <v>11231090</v>
      </c>
      <c r="CY6018">
        <v>1</v>
      </c>
      <c r="CZ6018">
        <v>0</v>
      </c>
      <c r="DA6018">
        <v>1</v>
      </c>
      <c r="DB6018">
        <v>0</v>
      </c>
      <c r="DC6018">
        <v>0</v>
      </c>
      <c r="DD6018">
        <v>1</v>
      </c>
      <c r="DE6018">
        <v>0</v>
      </c>
      <c r="DF6018">
        <v>0</v>
      </c>
      <c r="DG6018">
        <v>0</v>
      </c>
      <c r="DH6018">
        <v>0</v>
      </c>
      <c r="DI6018">
        <v>0</v>
      </c>
    </row>
    <row r="6019" spans="1:113" x14ac:dyDescent="0.3">
      <c r="A6019" t="str">
        <f t="shared" ref="A6019:A6026" si="2820">"05/12/2020 14:52:18.074"</f>
        <v>05/12/2020 14:52:18.074</v>
      </c>
      <c r="C6019" t="str">
        <f t="shared" si="2803"/>
        <v>FFDFD3C0</v>
      </c>
      <c r="D6019" t="s">
        <v>138</v>
      </c>
      <c r="E6019">
        <v>2</v>
      </c>
      <c r="H6019">
        <v>8</v>
      </c>
      <c r="I6019" t="s">
        <v>139</v>
      </c>
      <c r="J6019" t="s">
        <v>136</v>
      </c>
      <c r="K6019">
        <v>0</v>
      </c>
      <c r="L6019">
        <v>3</v>
      </c>
      <c r="M6019">
        <v>0</v>
      </c>
      <c r="N6019">
        <v>2</v>
      </c>
      <c r="O6019">
        <v>1</v>
      </c>
      <c r="P6019">
        <v>0</v>
      </c>
      <c r="Q6019">
        <v>0</v>
      </c>
      <c r="S6019" t="str">
        <f t="shared" ref="S6019:S6026" si="2821">"14:52:35.898"</f>
        <v>14:52:35.898</v>
      </c>
      <c r="T6019" t="str">
        <f t="shared" ref="T6019:T6026" si="2822">"14:52:35.498"</f>
        <v>14:52:35.498</v>
      </c>
      <c r="U6019" t="str">
        <f t="shared" si="2819"/>
        <v>A9808D</v>
      </c>
      <c r="V6019">
        <v>0</v>
      </c>
      <c r="W6019">
        <v>0</v>
      </c>
      <c r="X6019">
        <v>1</v>
      </c>
      <c r="Z6019">
        <v>0</v>
      </c>
      <c r="AA6019">
        <v>9</v>
      </c>
      <c r="AB6019">
        <v>3</v>
      </c>
      <c r="AC6019">
        <v>0</v>
      </c>
      <c r="AD6019">
        <v>10</v>
      </c>
      <c r="AE6019">
        <v>0</v>
      </c>
      <c r="AF6019">
        <v>3</v>
      </c>
      <c r="AG6019">
        <v>2</v>
      </c>
      <c r="AH6019">
        <v>0</v>
      </c>
      <c r="AI6019" t="s">
        <v>1339</v>
      </c>
      <c r="AJ6019">
        <v>28.210058</v>
      </c>
      <c r="AK6019" t="s">
        <v>440</v>
      </c>
      <c r="AL6019">
        <v>-82.366605000000007</v>
      </c>
      <c r="AM6019">
        <v>100</v>
      </c>
      <c r="AN6019">
        <v>200</v>
      </c>
      <c r="AO6019" t="s">
        <v>118</v>
      </c>
      <c r="AP6019">
        <v>16</v>
      </c>
      <c r="AQ6019">
        <v>84</v>
      </c>
      <c r="AR6019">
        <v>-896</v>
      </c>
      <c r="AZ6019">
        <v>1200</v>
      </c>
      <c r="BA6019">
        <v>1</v>
      </c>
      <c r="BB6019" t="str">
        <f t="shared" si="2804"/>
        <v xml:space="preserve">N711JA  </v>
      </c>
      <c r="BC6019">
        <v>1</v>
      </c>
      <c r="BE6019">
        <v>0</v>
      </c>
      <c r="BF6019">
        <v>0</v>
      </c>
      <c r="BG6019">
        <v>0</v>
      </c>
      <c r="BH6019">
        <v>250</v>
      </c>
      <c r="BI6019">
        <v>1</v>
      </c>
      <c r="BJ6019">
        <v>1</v>
      </c>
      <c r="BK6019">
        <v>0</v>
      </c>
      <c r="BL6019">
        <v>0</v>
      </c>
      <c r="BO6019">
        <v>0</v>
      </c>
      <c r="BP6019">
        <v>0</v>
      </c>
      <c r="BW6019" t="str">
        <f t="shared" ref="BW6019:BW6026" si="2823">"14:52:35.899"</f>
        <v>14:52:35.899</v>
      </c>
      <c r="CJ6019">
        <v>0</v>
      </c>
      <c r="CK6019">
        <v>2</v>
      </c>
      <c r="CL6019">
        <v>0</v>
      </c>
      <c r="CM6019">
        <v>2</v>
      </c>
      <c r="CN6019">
        <v>0</v>
      </c>
      <c r="CO6019">
        <v>6</v>
      </c>
      <c r="CP6019" t="s">
        <v>119</v>
      </c>
      <c r="CQ6019">
        <v>343</v>
      </c>
      <c r="CR6019">
        <v>1</v>
      </c>
      <c r="CW6019">
        <v>11231933</v>
      </c>
      <c r="CY6019">
        <v>1</v>
      </c>
      <c r="CZ6019">
        <v>0</v>
      </c>
      <c r="DA6019">
        <v>0</v>
      </c>
      <c r="DB6019">
        <v>0</v>
      </c>
      <c r="DC6019">
        <v>0</v>
      </c>
      <c r="DD6019">
        <v>1</v>
      </c>
      <c r="DE6019">
        <v>0</v>
      </c>
      <c r="DF6019">
        <v>0</v>
      </c>
      <c r="DG6019">
        <v>0</v>
      </c>
      <c r="DH6019">
        <v>0</v>
      </c>
      <c r="DI6019">
        <v>0</v>
      </c>
    </row>
    <row r="6020" spans="1:113" x14ac:dyDescent="0.3">
      <c r="A6020" t="str">
        <f t="shared" si="2820"/>
        <v>05/12/2020 14:52:18.074</v>
      </c>
      <c r="C6020" t="str">
        <f t="shared" si="2803"/>
        <v>FFDFD3C0</v>
      </c>
      <c r="D6020" t="s">
        <v>138</v>
      </c>
      <c r="E6020">
        <v>3</v>
      </c>
      <c r="H6020">
        <v>9</v>
      </c>
      <c r="I6020" t="s">
        <v>140</v>
      </c>
      <c r="J6020" t="s">
        <v>136</v>
      </c>
      <c r="K6020">
        <v>0</v>
      </c>
      <c r="L6020">
        <v>3</v>
      </c>
      <c r="M6020">
        <v>0</v>
      </c>
      <c r="N6020">
        <v>2</v>
      </c>
      <c r="O6020">
        <v>1</v>
      </c>
      <c r="P6020">
        <v>0</v>
      </c>
      <c r="Q6020">
        <v>0</v>
      </c>
      <c r="S6020" t="str">
        <f t="shared" si="2821"/>
        <v>14:52:35.898</v>
      </c>
      <c r="T6020" t="str">
        <f t="shared" si="2822"/>
        <v>14:52:35.498</v>
      </c>
      <c r="U6020" t="str">
        <f t="shared" si="2819"/>
        <v>A9808D</v>
      </c>
      <c r="V6020">
        <v>0</v>
      </c>
      <c r="W6020">
        <v>0</v>
      </c>
      <c r="X6020">
        <v>1</v>
      </c>
      <c r="Z6020">
        <v>0</v>
      </c>
      <c r="AA6020">
        <v>9</v>
      </c>
      <c r="AB6020">
        <v>3</v>
      </c>
      <c r="AC6020">
        <v>0</v>
      </c>
      <c r="AD6020">
        <v>10</v>
      </c>
      <c r="AE6020">
        <v>0</v>
      </c>
      <c r="AF6020">
        <v>3</v>
      </c>
      <c r="AG6020">
        <v>2</v>
      </c>
      <c r="AH6020">
        <v>0</v>
      </c>
      <c r="AI6020" t="s">
        <v>1339</v>
      </c>
      <c r="AJ6020">
        <v>28.210058</v>
      </c>
      <c r="AK6020" t="s">
        <v>440</v>
      </c>
      <c r="AL6020">
        <v>-82.366605000000007</v>
      </c>
      <c r="AM6020">
        <v>100</v>
      </c>
      <c r="AN6020">
        <v>200</v>
      </c>
      <c r="AO6020" t="s">
        <v>118</v>
      </c>
      <c r="AP6020">
        <v>16</v>
      </c>
      <c r="AQ6020">
        <v>84</v>
      </c>
      <c r="AR6020">
        <v>-896</v>
      </c>
      <c r="AZ6020">
        <v>1200</v>
      </c>
      <c r="BA6020">
        <v>1</v>
      </c>
      <c r="BB6020" t="str">
        <f t="shared" si="2804"/>
        <v xml:space="preserve">N711JA  </v>
      </c>
      <c r="BC6020">
        <v>1</v>
      </c>
      <c r="BE6020">
        <v>0</v>
      </c>
      <c r="BF6020">
        <v>0</v>
      </c>
      <c r="BG6020">
        <v>0</v>
      </c>
      <c r="BH6020">
        <v>250</v>
      </c>
      <c r="BI6020">
        <v>1</v>
      </c>
      <c r="BJ6020">
        <v>1</v>
      </c>
      <c r="BK6020">
        <v>0</v>
      </c>
      <c r="BL6020">
        <v>0</v>
      </c>
      <c r="BO6020">
        <v>0</v>
      </c>
      <c r="BP6020">
        <v>0</v>
      </c>
      <c r="BW6020" t="str">
        <f t="shared" si="2823"/>
        <v>14:52:35.899</v>
      </c>
      <c r="CJ6020">
        <v>0</v>
      </c>
      <c r="CK6020">
        <v>2</v>
      </c>
      <c r="CL6020">
        <v>0</v>
      </c>
      <c r="CM6020">
        <v>2</v>
      </c>
      <c r="CN6020">
        <v>0</v>
      </c>
      <c r="CO6020">
        <v>6</v>
      </c>
      <c r="CP6020" t="s">
        <v>119</v>
      </c>
      <c r="CQ6020">
        <v>343</v>
      </c>
      <c r="CR6020">
        <v>1</v>
      </c>
      <c r="CW6020">
        <v>11231933</v>
      </c>
      <c r="CY6020">
        <v>1</v>
      </c>
      <c r="CZ6020">
        <v>0</v>
      </c>
      <c r="DA6020">
        <v>1</v>
      </c>
      <c r="DB6020">
        <v>0</v>
      </c>
      <c r="DC6020">
        <v>0</v>
      </c>
      <c r="DD6020">
        <v>1</v>
      </c>
      <c r="DE6020">
        <v>0</v>
      </c>
      <c r="DF6020">
        <v>0</v>
      </c>
      <c r="DG6020">
        <v>0</v>
      </c>
      <c r="DH6020">
        <v>0</v>
      </c>
      <c r="DI6020">
        <v>0</v>
      </c>
    </row>
    <row r="6021" spans="1:113" x14ac:dyDescent="0.3">
      <c r="A6021" t="str">
        <f t="shared" si="2820"/>
        <v>05/12/2020 14:52:18.074</v>
      </c>
      <c r="C6021" t="str">
        <f t="shared" si="2803"/>
        <v>FFDFD3C0</v>
      </c>
      <c r="D6021" t="s">
        <v>126</v>
      </c>
      <c r="E6021">
        <v>7</v>
      </c>
      <c r="F6021">
        <v>1007</v>
      </c>
      <c r="G6021" t="s">
        <v>127</v>
      </c>
      <c r="J6021" t="s">
        <v>128</v>
      </c>
      <c r="K6021">
        <v>0</v>
      </c>
      <c r="L6021">
        <v>3</v>
      </c>
      <c r="M6021">
        <v>0</v>
      </c>
      <c r="N6021">
        <v>2</v>
      </c>
      <c r="O6021">
        <v>1</v>
      </c>
      <c r="P6021">
        <v>0</v>
      </c>
      <c r="Q6021">
        <v>0</v>
      </c>
      <c r="S6021" t="str">
        <f t="shared" si="2821"/>
        <v>14:52:35.898</v>
      </c>
      <c r="T6021" t="str">
        <f t="shared" si="2822"/>
        <v>14:52:35.498</v>
      </c>
      <c r="U6021" t="str">
        <f t="shared" si="2819"/>
        <v>A9808D</v>
      </c>
      <c r="V6021">
        <v>0</v>
      </c>
      <c r="W6021">
        <v>0</v>
      </c>
      <c r="X6021">
        <v>1</v>
      </c>
      <c r="Z6021">
        <v>0</v>
      </c>
      <c r="AA6021">
        <v>9</v>
      </c>
      <c r="AB6021">
        <v>3</v>
      </c>
      <c r="AC6021">
        <v>0</v>
      </c>
      <c r="AD6021">
        <v>10</v>
      </c>
      <c r="AE6021">
        <v>0</v>
      </c>
      <c r="AF6021">
        <v>3</v>
      </c>
      <c r="AG6021">
        <v>2</v>
      </c>
      <c r="AH6021">
        <v>0</v>
      </c>
      <c r="AI6021" t="s">
        <v>1339</v>
      </c>
      <c r="AJ6021">
        <v>28.210058</v>
      </c>
      <c r="AK6021" t="s">
        <v>440</v>
      </c>
      <c r="AL6021">
        <v>-82.366605000000007</v>
      </c>
      <c r="AM6021">
        <v>100</v>
      </c>
      <c r="AN6021">
        <v>200</v>
      </c>
      <c r="AO6021" t="s">
        <v>118</v>
      </c>
      <c r="AP6021">
        <v>16</v>
      </c>
      <c r="AQ6021">
        <v>84</v>
      </c>
      <c r="AR6021">
        <v>-896</v>
      </c>
      <c r="AZ6021">
        <v>1200</v>
      </c>
      <c r="BA6021">
        <v>1</v>
      </c>
      <c r="BB6021" t="str">
        <f t="shared" si="2804"/>
        <v xml:space="preserve">N711JA  </v>
      </c>
      <c r="BC6021">
        <v>1</v>
      </c>
      <c r="BE6021">
        <v>0</v>
      </c>
      <c r="BF6021">
        <v>0</v>
      </c>
      <c r="BG6021">
        <v>0</v>
      </c>
      <c r="BH6021">
        <v>250</v>
      </c>
      <c r="BI6021">
        <v>1</v>
      </c>
      <c r="BJ6021">
        <v>1</v>
      </c>
      <c r="BK6021">
        <v>0</v>
      </c>
      <c r="BL6021">
        <v>0</v>
      </c>
      <c r="BO6021">
        <v>0</v>
      </c>
      <c r="BP6021">
        <v>0</v>
      </c>
      <c r="BW6021" t="str">
        <f t="shared" si="2823"/>
        <v>14:52:35.899</v>
      </c>
      <c r="CJ6021">
        <v>0</v>
      </c>
      <c r="CK6021">
        <v>2</v>
      </c>
      <c r="CL6021">
        <v>0</v>
      </c>
      <c r="CM6021">
        <v>2</v>
      </c>
      <c r="CN6021">
        <v>0</v>
      </c>
      <c r="CO6021">
        <v>6</v>
      </c>
      <c r="CP6021" t="s">
        <v>119</v>
      </c>
      <c r="CQ6021">
        <v>343</v>
      </c>
      <c r="CR6021">
        <v>1</v>
      </c>
      <c r="CW6021">
        <v>11231933</v>
      </c>
      <c r="CY6021">
        <v>1</v>
      </c>
      <c r="CZ6021">
        <v>0</v>
      </c>
      <c r="DA6021">
        <v>1</v>
      </c>
      <c r="DB6021">
        <v>0</v>
      </c>
      <c r="DC6021">
        <v>0</v>
      </c>
      <c r="DD6021">
        <v>1</v>
      </c>
      <c r="DE6021">
        <v>0</v>
      </c>
      <c r="DF6021">
        <v>0</v>
      </c>
      <c r="DG6021">
        <v>0</v>
      </c>
      <c r="DH6021">
        <v>0</v>
      </c>
      <c r="DI6021">
        <v>0</v>
      </c>
    </row>
    <row r="6022" spans="1:113" x14ac:dyDescent="0.3">
      <c r="A6022" t="str">
        <f t="shared" si="2820"/>
        <v>05/12/2020 14:52:18.074</v>
      </c>
      <c r="C6022" t="str">
        <f t="shared" si="2803"/>
        <v>FFDFD3C0</v>
      </c>
      <c r="D6022" t="s">
        <v>131</v>
      </c>
      <c r="E6022">
        <v>10</v>
      </c>
      <c r="F6022">
        <v>2010</v>
      </c>
      <c r="G6022" t="s">
        <v>132</v>
      </c>
      <c r="J6022" t="s">
        <v>133</v>
      </c>
      <c r="K6022">
        <v>0</v>
      </c>
      <c r="L6022">
        <v>3</v>
      </c>
      <c r="M6022">
        <v>0</v>
      </c>
      <c r="N6022">
        <v>2</v>
      </c>
      <c r="O6022">
        <v>1</v>
      </c>
      <c r="P6022">
        <v>0</v>
      </c>
      <c r="Q6022">
        <v>0</v>
      </c>
      <c r="S6022" t="str">
        <f t="shared" si="2821"/>
        <v>14:52:35.898</v>
      </c>
      <c r="T6022" t="str">
        <f t="shared" si="2822"/>
        <v>14:52:35.498</v>
      </c>
      <c r="U6022" t="str">
        <f t="shared" si="2819"/>
        <v>A9808D</v>
      </c>
      <c r="V6022">
        <v>0</v>
      </c>
      <c r="W6022">
        <v>0</v>
      </c>
      <c r="X6022">
        <v>1</v>
      </c>
      <c r="Z6022">
        <v>0</v>
      </c>
      <c r="AA6022">
        <v>9</v>
      </c>
      <c r="AB6022">
        <v>3</v>
      </c>
      <c r="AC6022">
        <v>0</v>
      </c>
      <c r="AD6022">
        <v>10</v>
      </c>
      <c r="AE6022">
        <v>0</v>
      </c>
      <c r="AF6022">
        <v>3</v>
      </c>
      <c r="AG6022">
        <v>2</v>
      </c>
      <c r="AH6022">
        <v>0</v>
      </c>
      <c r="AI6022" t="s">
        <v>1339</v>
      </c>
      <c r="AJ6022">
        <v>28.210058</v>
      </c>
      <c r="AK6022" t="s">
        <v>440</v>
      </c>
      <c r="AL6022">
        <v>-82.366605000000007</v>
      </c>
      <c r="AM6022">
        <v>100</v>
      </c>
      <c r="AN6022">
        <v>200</v>
      </c>
      <c r="AO6022" t="s">
        <v>118</v>
      </c>
      <c r="AP6022">
        <v>16</v>
      </c>
      <c r="AQ6022">
        <v>84</v>
      </c>
      <c r="AR6022">
        <v>-896</v>
      </c>
      <c r="AZ6022">
        <v>1200</v>
      </c>
      <c r="BA6022">
        <v>1</v>
      </c>
      <c r="BB6022" t="str">
        <f t="shared" si="2804"/>
        <v xml:space="preserve">N711JA  </v>
      </c>
      <c r="BC6022">
        <v>1</v>
      </c>
      <c r="BE6022">
        <v>0</v>
      </c>
      <c r="BF6022">
        <v>0</v>
      </c>
      <c r="BG6022">
        <v>0</v>
      </c>
      <c r="BH6022">
        <v>250</v>
      </c>
      <c r="BI6022">
        <v>1</v>
      </c>
      <c r="BJ6022">
        <v>1</v>
      </c>
      <c r="BK6022">
        <v>0</v>
      </c>
      <c r="BL6022">
        <v>0</v>
      </c>
      <c r="BO6022">
        <v>0</v>
      </c>
      <c r="BP6022">
        <v>0</v>
      </c>
      <c r="BW6022" t="str">
        <f t="shared" si="2823"/>
        <v>14:52:35.899</v>
      </c>
      <c r="CJ6022">
        <v>0</v>
      </c>
      <c r="CK6022">
        <v>2</v>
      </c>
      <c r="CL6022">
        <v>0</v>
      </c>
      <c r="CM6022">
        <v>2</v>
      </c>
      <c r="CN6022">
        <v>0</v>
      </c>
      <c r="CO6022">
        <v>6</v>
      </c>
      <c r="CP6022" t="s">
        <v>119</v>
      </c>
      <c r="CQ6022">
        <v>343</v>
      </c>
      <c r="CR6022">
        <v>1</v>
      </c>
      <c r="CW6022">
        <v>11231933</v>
      </c>
      <c r="CY6022">
        <v>1</v>
      </c>
      <c r="CZ6022">
        <v>0</v>
      </c>
      <c r="DA6022">
        <v>1</v>
      </c>
      <c r="DB6022">
        <v>0</v>
      </c>
      <c r="DC6022">
        <v>0</v>
      </c>
      <c r="DD6022">
        <v>1</v>
      </c>
      <c r="DE6022">
        <v>0</v>
      </c>
      <c r="DF6022">
        <v>0</v>
      </c>
      <c r="DG6022">
        <v>0</v>
      </c>
      <c r="DH6022">
        <v>0</v>
      </c>
      <c r="DI6022">
        <v>0</v>
      </c>
    </row>
    <row r="6023" spans="1:113" x14ac:dyDescent="0.3">
      <c r="A6023" t="str">
        <f t="shared" si="2820"/>
        <v>05/12/2020 14:52:18.074</v>
      </c>
      <c r="C6023" t="str">
        <f t="shared" si="2803"/>
        <v>FFDFD3C0</v>
      </c>
      <c r="D6023" t="s">
        <v>113</v>
      </c>
      <c r="E6023">
        <v>3</v>
      </c>
      <c r="H6023">
        <v>164</v>
      </c>
      <c r="I6023" t="s">
        <v>114</v>
      </c>
      <c r="J6023" t="s">
        <v>115</v>
      </c>
      <c r="K6023">
        <v>0</v>
      </c>
      <c r="L6023">
        <v>3</v>
      </c>
      <c r="M6023">
        <v>0</v>
      </c>
      <c r="N6023">
        <v>2</v>
      </c>
      <c r="O6023">
        <v>1</v>
      </c>
      <c r="P6023">
        <v>0</v>
      </c>
      <c r="Q6023">
        <v>0</v>
      </c>
      <c r="S6023" t="str">
        <f t="shared" si="2821"/>
        <v>14:52:35.898</v>
      </c>
      <c r="T6023" t="str">
        <f t="shared" si="2822"/>
        <v>14:52:35.498</v>
      </c>
      <c r="U6023" t="str">
        <f t="shared" si="2819"/>
        <v>A9808D</v>
      </c>
      <c r="V6023">
        <v>0</v>
      </c>
      <c r="W6023">
        <v>0</v>
      </c>
      <c r="X6023">
        <v>1</v>
      </c>
      <c r="Z6023">
        <v>0</v>
      </c>
      <c r="AA6023">
        <v>9</v>
      </c>
      <c r="AB6023">
        <v>3</v>
      </c>
      <c r="AC6023">
        <v>0</v>
      </c>
      <c r="AD6023">
        <v>10</v>
      </c>
      <c r="AE6023">
        <v>0</v>
      </c>
      <c r="AF6023">
        <v>3</v>
      </c>
      <c r="AG6023">
        <v>2</v>
      </c>
      <c r="AH6023">
        <v>0</v>
      </c>
      <c r="AI6023" t="s">
        <v>1339</v>
      </c>
      <c r="AJ6023">
        <v>28.210058</v>
      </c>
      <c r="AK6023" t="s">
        <v>440</v>
      </c>
      <c r="AL6023">
        <v>-82.366605000000007</v>
      </c>
      <c r="AM6023">
        <v>100</v>
      </c>
      <c r="AN6023">
        <v>200</v>
      </c>
      <c r="AO6023" t="s">
        <v>118</v>
      </c>
      <c r="AP6023">
        <v>16</v>
      </c>
      <c r="AQ6023">
        <v>84</v>
      </c>
      <c r="AR6023">
        <v>-896</v>
      </c>
      <c r="AZ6023">
        <v>1200</v>
      </c>
      <c r="BA6023">
        <v>1</v>
      </c>
      <c r="BB6023" t="str">
        <f t="shared" si="2804"/>
        <v xml:space="preserve">N711JA  </v>
      </c>
      <c r="BC6023">
        <v>1</v>
      </c>
      <c r="BE6023">
        <v>0</v>
      </c>
      <c r="BF6023">
        <v>0</v>
      </c>
      <c r="BG6023">
        <v>0</v>
      </c>
      <c r="BH6023">
        <v>250</v>
      </c>
      <c r="BI6023">
        <v>1</v>
      </c>
      <c r="BJ6023">
        <v>1</v>
      </c>
      <c r="BK6023">
        <v>0</v>
      </c>
      <c r="BL6023">
        <v>0</v>
      </c>
      <c r="BO6023">
        <v>0</v>
      </c>
      <c r="BP6023">
        <v>0</v>
      </c>
      <c r="BW6023" t="str">
        <f t="shared" si="2823"/>
        <v>14:52:35.899</v>
      </c>
      <c r="CJ6023">
        <v>0</v>
      </c>
      <c r="CK6023">
        <v>2</v>
      </c>
      <c r="CL6023">
        <v>0</v>
      </c>
      <c r="CM6023">
        <v>2</v>
      </c>
      <c r="CN6023">
        <v>0</v>
      </c>
      <c r="CO6023">
        <v>6</v>
      </c>
      <c r="CP6023" t="s">
        <v>119</v>
      </c>
      <c r="CQ6023">
        <v>343</v>
      </c>
      <c r="CR6023">
        <v>1</v>
      </c>
      <c r="CW6023">
        <v>11231933</v>
      </c>
      <c r="CY6023">
        <v>1</v>
      </c>
      <c r="CZ6023">
        <v>0</v>
      </c>
      <c r="DA6023">
        <v>1</v>
      </c>
      <c r="DB6023">
        <v>0</v>
      </c>
      <c r="DC6023">
        <v>0</v>
      </c>
      <c r="DD6023">
        <v>1</v>
      </c>
      <c r="DE6023">
        <v>0</v>
      </c>
      <c r="DF6023">
        <v>0</v>
      </c>
      <c r="DG6023">
        <v>0</v>
      </c>
      <c r="DH6023">
        <v>0</v>
      </c>
      <c r="DI6023">
        <v>0</v>
      </c>
    </row>
    <row r="6024" spans="1:113" x14ac:dyDescent="0.3">
      <c r="A6024" t="str">
        <f t="shared" si="2820"/>
        <v>05/12/2020 14:52:18.074</v>
      </c>
      <c r="C6024" t="str">
        <f t="shared" si="2803"/>
        <v>FFDFD3C0</v>
      </c>
      <c r="D6024" t="s">
        <v>131</v>
      </c>
      <c r="E6024">
        <v>12</v>
      </c>
      <c r="F6024">
        <v>2012</v>
      </c>
      <c r="G6024" t="s">
        <v>137</v>
      </c>
      <c r="J6024" t="s">
        <v>133</v>
      </c>
      <c r="K6024">
        <v>0</v>
      </c>
      <c r="L6024">
        <v>3</v>
      </c>
      <c r="M6024">
        <v>0</v>
      </c>
      <c r="N6024">
        <v>2</v>
      </c>
      <c r="O6024">
        <v>1</v>
      </c>
      <c r="P6024">
        <v>0</v>
      </c>
      <c r="Q6024">
        <v>0</v>
      </c>
      <c r="S6024" t="str">
        <f t="shared" si="2821"/>
        <v>14:52:35.898</v>
      </c>
      <c r="T6024" t="str">
        <f t="shared" si="2822"/>
        <v>14:52:35.498</v>
      </c>
      <c r="U6024" t="str">
        <f t="shared" si="2819"/>
        <v>A9808D</v>
      </c>
      <c r="V6024">
        <v>0</v>
      </c>
      <c r="W6024">
        <v>0</v>
      </c>
      <c r="X6024">
        <v>1</v>
      </c>
      <c r="Z6024">
        <v>0</v>
      </c>
      <c r="AA6024">
        <v>9</v>
      </c>
      <c r="AB6024">
        <v>3</v>
      </c>
      <c r="AC6024">
        <v>0</v>
      </c>
      <c r="AD6024">
        <v>10</v>
      </c>
      <c r="AE6024">
        <v>0</v>
      </c>
      <c r="AF6024">
        <v>3</v>
      </c>
      <c r="AG6024">
        <v>2</v>
      </c>
      <c r="AH6024">
        <v>0</v>
      </c>
      <c r="AI6024" t="s">
        <v>1339</v>
      </c>
      <c r="AJ6024">
        <v>28.210058</v>
      </c>
      <c r="AK6024" t="s">
        <v>440</v>
      </c>
      <c r="AL6024">
        <v>-82.366605000000007</v>
      </c>
      <c r="AM6024">
        <v>100</v>
      </c>
      <c r="AN6024">
        <v>200</v>
      </c>
      <c r="AO6024" t="s">
        <v>118</v>
      </c>
      <c r="AP6024">
        <v>16</v>
      </c>
      <c r="AQ6024">
        <v>84</v>
      </c>
      <c r="AR6024">
        <v>-896</v>
      </c>
      <c r="AZ6024">
        <v>1200</v>
      </c>
      <c r="BA6024">
        <v>1</v>
      </c>
      <c r="BB6024" t="str">
        <f t="shared" si="2804"/>
        <v xml:space="preserve">N711JA  </v>
      </c>
      <c r="BC6024">
        <v>1</v>
      </c>
      <c r="BE6024">
        <v>0</v>
      </c>
      <c r="BF6024">
        <v>0</v>
      </c>
      <c r="BG6024">
        <v>0</v>
      </c>
      <c r="BH6024">
        <v>250</v>
      </c>
      <c r="BI6024">
        <v>1</v>
      </c>
      <c r="BJ6024">
        <v>1</v>
      </c>
      <c r="BK6024">
        <v>0</v>
      </c>
      <c r="BL6024">
        <v>0</v>
      </c>
      <c r="BO6024">
        <v>0</v>
      </c>
      <c r="BP6024">
        <v>0</v>
      </c>
      <c r="BW6024" t="str">
        <f t="shared" si="2823"/>
        <v>14:52:35.899</v>
      </c>
      <c r="CJ6024">
        <v>0</v>
      </c>
      <c r="CK6024">
        <v>2</v>
      </c>
      <c r="CL6024">
        <v>0</v>
      </c>
      <c r="CM6024">
        <v>2</v>
      </c>
      <c r="CN6024">
        <v>0</v>
      </c>
      <c r="CO6024">
        <v>6</v>
      </c>
      <c r="CP6024" t="s">
        <v>119</v>
      </c>
      <c r="CQ6024">
        <v>343</v>
      </c>
      <c r="CR6024">
        <v>1</v>
      </c>
      <c r="CW6024">
        <v>11231933</v>
      </c>
      <c r="CY6024">
        <v>1</v>
      </c>
      <c r="CZ6024">
        <v>0</v>
      </c>
      <c r="DA6024">
        <v>1</v>
      </c>
      <c r="DB6024">
        <v>0</v>
      </c>
      <c r="DC6024">
        <v>0</v>
      </c>
      <c r="DD6024">
        <v>1</v>
      </c>
      <c r="DE6024">
        <v>0</v>
      </c>
      <c r="DF6024">
        <v>0</v>
      </c>
      <c r="DG6024">
        <v>0</v>
      </c>
      <c r="DH6024">
        <v>0</v>
      </c>
      <c r="DI6024">
        <v>0</v>
      </c>
    </row>
    <row r="6025" spans="1:113" x14ac:dyDescent="0.3">
      <c r="A6025" t="str">
        <f t="shared" si="2820"/>
        <v>05/12/2020 14:52:18.074</v>
      </c>
      <c r="C6025" t="str">
        <f t="shared" si="2803"/>
        <v>FFDFD3C0</v>
      </c>
      <c r="D6025" t="s">
        <v>134</v>
      </c>
      <c r="E6025">
        <v>12</v>
      </c>
      <c r="H6025">
        <v>64</v>
      </c>
      <c r="I6025" t="s">
        <v>135</v>
      </c>
      <c r="J6025" t="s">
        <v>136</v>
      </c>
      <c r="K6025">
        <v>0</v>
      </c>
      <c r="L6025">
        <v>3</v>
      </c>
      <c r="M6025">
        <v>0</v>
      </c>
      <c r="N6025">
        <v>2</v>
      </c>
      <c r="O6025">
        <v>1</v>
      </c>
      <c r="P6025">
        <v>0</v>
      </c>
      <c r="Q6025">
        <v>0</v>
      </c>
      <c r="S6025" t="str">
        <f t="shared" si="2821"/>
        <v>14:52:35.898</v>
      </c>
      <c r="T6025" t="str">
        <f t="shared" si="2822"/>
        <v>14:52:35.498</v>
      </c>
      <c r="U6025" t="str">
        <f t="shared" si="2819"/>
        <v>A9808D</v>
      </c>
      <c r="V6025">
        <v>0</v>
      </c>
      <c r="W6025">
        <v>0</v>
      </c>
      <c r="X6025">
        <v>1</v>
      </c>
      <c r="Z6025">
        <v>0</v>
      </c>
      <c r="AA6025">
        <v>9</v>
      </c>
      <c r="AB6025">
        <v>3</v>
      </c>
      <c r="AC6025">
        <v>0</v>
      </c>
      <c r="AD6025">
        <v>10</v>
      </c>
      <c r="AE6025">
        <v>0</v>
      </c>
      <c r="AF6025">
        <v>3</v>
      </c>
      <c r="AG6025">
        <v>2</v>
      </c>
      <c r="AH6025">
        <v>0</v>
      </c>
      <c r="AI6025" t="s">
        <v>1339</v>
      </c>
      <c r="AJ6025">
        <v>28.210058</v>
      </c>
      <c r="AK6025" t="s">
        <v>440</v>
      </c>
      <c r="AL6025">
        <v>-82.366605000000007</v>
      </c>
      <c r="AM6025">
        <v>100</v>
      </c>
      <c r="AN6025">
        <v>200</v>
      </c>
      <c r="AO6025" t="s">
        <v>118</v>
      </c>
      <c r="AP6025">
        <v>16</v>
      </c>
      <c r="AQ6025">
        <v>84</v>
      </c>
      <c r="AR6025">
        <v>-896</v>
      </c>
      <c r="AZ6025">
        <v>1200</v>
      </c>
      <c r="BA6025">
        <v>1</v>
      </c>
      <c r="BB6025" t="str">
        <f t="shared" si="2804"/>
        <v xml:space="preserve">N711JA  </v>
      </c>
      <c r="BC6025">
        <v>1</v>
      </c>
      <c r="BE6025">
        <v>0</v>
      </c>
      <c r="BF6025">
        <v>0</v>
      </c>
      <c r="BG6025">
        <v>0</v>
      </c>
      <c r="BH6025">
        <v>250</v>
      </c>
      <c r="BI6025">
        <v>1</v>
      </c>
      <c r="BJ6025">
        <v>1</v>
      </c>
      <c r="BK6025">
        <v>0</v>
      </c>
      <c r="BL6025">
        <v>0</v>
      </c>
      <c r="BO6025">
        <v>0</v>
      </c>
      <c r="BP6025">
        <v>0</v>
      </c>
      <c r="BW6025" t="str">
        <f t="shared" si="2823"/>
        <v>14:52:35.899</v>
      </c>
      <c r="CJ6025">
        <v>0</v>
      </c>
      <c r="CK6025">
        <v>2</v>
      </c>
      <c r="CL6025">
        <v>0</v>
      </c>
      <c r="CM6025">
        <v>2</v>
      </c>
      <c r="CN6025">
        <v>0</v>
      </c>
      <c r="CO6025">
        <v>6</v>
      </c>
      <c r="CP6025" t="s">
        <v>119</v>
      </c>
      <c r="CQ6025">
        <v>343</v>
      </c>
      <c r="CR6025">
        <v>1</v>
      </c>
      <c r="CW6025">
        <v>11231933</v>
      </c>
      <c r="CY6025">
        <v>1</v>
      </c>
      <c r="CZ6025">
        <v>0</v>
      </c>
      <c r="DA6025">
        <v>1</v>
      </c>
      <c r="DB6025">
        <v>0</v>
      </c>
      <c r="DC6025">
        <v>0</v>
      </c>
      <c r="DD6025">
        <v>1</v>
      </c>
      <c r="DE6025">
        <v>0</v>
      </c>
      <c r="DF6025">
        <v>0</v>
      </c>
      <c r="DG6025">
        <v>0</v>
      </c>
      <c r="DH6025">
        <v>0</v>
      </c>
      <c r="DI6025">
        <v>0</v>
      </c>
    </row>
    <row r="6026" spans="1:113" x14ac:dyDescent="0.3">
      <c r="A6026" t="str">
        <f t="shared" si="2820"/>
        <v>05/12/2020 14:52:18.074</v>
      </c>
      <c r="C6026" t="str">
        <f t="shared" si="2803"/>
        <v>FFDFD3C0</v>
      </c>
      <c r="D6026" t="s">
        <v>126</v>
      </c>
      <c r="E6026">
        <v>6</v>
      </c>
      <c r="F6026">
        <v>1006</v>
      </c>
      <c r="G6026" t="s">
        <v>114</v>
      </c>
      <c r="J6026" t="s">
        <v>128</v>
      </c>
      <c r="K6026">
        <v>0</v>
      </c>
      <c r="L6026">
        <v>3</v>
      </c>
      <c r="M6026">
        <v>0</v>
      </c>
      <c r="N6026">
        <v>2</v>
      </c>
      <c r="O6026">
        <v>1</v>
      </c>
      <c r="P6026">
        <v>0</v>
      </c>
      <c r="Q6026">
        <v>0</v>
      </c>
      <c r="S6026" t="str">
        <f t="shared" si="2821"/>
        <v>14:52:35.898</v>
      </c>
      <c r="T6026" t="str">
        <f t="shared" si="2822"/>
        <v>14:52:35.498</v>
      </c>
      <c r="U6026" t="str">
        <f t="shared" si="2819"/>
        <v>A9808D</v>
      </c>
      <c r="V6026">
        <v>0</v>
      </c>
      <c r="W6026">
        <v>0</v>
      </c>
      <c r="X6026">
        <v>1</v>
      </c>
      <c r="Z6026">
        <v>0</v>
      </c>
      <c r="AA6026">
        <v>9</v>
      </c>
      <c r="AB6026">
        <v>3</v>
      </c>
      <c r="AC6026">
        <v>0</v>
      </c>
      <c r="AD6026">
        <v>10</v>
      </c>
      <c r="AE6026">
        <v>0</v>
      </c>
      <c r="AF6026">
        <v>3</v>
      </c>
      <c r="AG6026">
        <v>2</v>
      </c>
      <c r="AH6026">
        <v>0</v>
      </c>
      <c r="AI6026" t="s">
        <v>1339</v>
      </c>
      <c r="AJ6026">
        <v>28.210058</v>
      </c>
      <c r="AK6026" t="s">
        <v>440</v>
      </c>
      <c r="AL6026">
        <v>-82.366605000000007</v>
      </c>
      <c r="AM6026">
        <v>100</v>
      </c>
      <c r="AN6026">
        <v>200</v>
      </c>
      <c r="AO6026" t="s">
        <v>118</v>
      </c>
      <c r="AP6026">
        <v>16</v>
      </c>
      <c r="AQ6026">
        <v>84</v>
      </c>
      <c r="AR6026">
        <v>-896</v>
      </c>
      <c r="AZ6026">
        <v>1200</v>
      </c>
      <c r="BA6026">
        <v>1</v>
      </c>
      <c r="BB6026" t="str">
        <f t="shared" si="2804"/>
        <v xml:space="preserve">N711JA  </v>
      </c>
      <c r="BC6026">
        <v>1</v>
      </c>
      <c r="BE6026">
        <v>0</v>
      </c>
      <c r="BF6026">
        <v>0</v>
      </c>
      <c r="BG6026">
        <v>0</v>
      </c>
      <c r="BH6026">
        <v>250</v>
      </c>
      <c r="BI6026">
        <v>1</v>
      </c>
      <c r="BJ6026">
        <v>1</v>
      </c>
      <c r="BK6026">
        <v>0</v>
      </c>
      <c r="BL6026">
        <v>0</v>
      </c>
      <c r="BO6026">
        <v>0</v>
      </c>
      <c r="BP6026">
        <v>0</v>
      </c>
      <c r="BW6026" t="str">
        <f t="shared" si="2823"/>
        <v>14:52:35.899</v>
      </c>
      <c r="CJ6026">
        <v>0</v>
      </c>
      <c r="CK6026">
        <v>2</v>
      </c>
      <c r="CL6026">
        <v>0</v>
      </c>
      <c r="CM6026">
        <v>2</v>
      </c>
      <c r="CN6026">
        <v>0</v>
      </c>
      <c r="CO6026">
        <v>6</v>
      </c>
      <c r="CP6026" t="s">
        <v>119</v>
      </c>
      <c r="CQ6026">
        <v>343</v>
      </c>
      <c r="CR6026">
        <v>1</v>
      </c>
      <c r="CW6026">
        <v>11231933</v>
      </c>
      <c r="CY6026">
        <v>1</v>
      </c>
      <c r="CZ6026">
        <v>0</v>
      </c>
      <c r="DA6026">
        <v>1</v>
      </c>
      <c r="DB6026">
        <v>0</v>
      </c>
      <c r="DC6026">
        <v>0</v>
      </c>
      <c r="DD6026">
        <v>1</v>
      </c>
      <c r="DE6026">
        <v>0</v>
      </c>
      <c r="DF6026">
        <v>0</v>
      </c>
      <c r="DG6026">
        <v>0</v>
      </c>
      <c r="DH6026">
        <v>0</v>
      </c>
      <c r="DI6026">
        <v>0</v>
      </c>
    </row>
    <row r="6027" spans="1:113" x14ac:dyDescent="0.3">
      <c r="A6027" t="str">
        <f t="shared" ref="A6027:A6034" si="2824">"05/12/2020 14:52:19.136"</f>
        <v>05/12/2020 14:52:19.136</v>
      </c>
      <c r="C6027" t="str">
        <f t="shared" si="2803"/>
        <v>FFDFD3C0</v>
      </c>
      <c r="D6027" t="s">
        <v>138</v>
      </c>
      <c r="E6027">
        <v>2</v>
      </c>
      <c r="H6027">
        <v>8</v>
      </c>
      <c r="I6027" t="s">
        <v>139</v>
      </c>
      <c r="J6027" t="s">
        <v>136</v>
      </c>
      <c r="K6027">
        <v>0</v>
      </c>
      <c r="L6027">
        <v>3</v>
      </c>
      <c r="M6027">
        <v>0</v>
      </c>
      <c r="N6027">
        <v>2</v>
      </c>
      <c r="O6027">
        <v>1</v>
      </c>
      <c r="P6027">
        <v>0</v>
      </c>
      <c r="Q6027">
        <v>0</v>
      </c>
      <c r="S6027" t="str">
        <f t="shared" ref="S6027:T6034" si="2825">"14:52:36.930"</f>
        <v>14:52:36.930</v>
      </c>
      <c r="T6027" t="str">
        <f t="shared" si="2825"/>
        <v>14:52:36.930</v>
      </c>
      <c r="U6027" t="str">
        <f t="shared" si="2819"/>
        <v>A9808D</v>
      </c>
      <c r="V6027">
        <v>0</v>
      </c>
      <c r="W6027">
        <v>0</v>
      </c>
      <c r="X6027">
        <v>1</v>
      </c>
      <c r="Z6027">
        <v>0</v>
      </c>
      <c r="AA6027">
        <v>9</v>
      </c>
      <c r="AB6027">
        <v>3</v>
      </c>
      <c r="AC6027">
        <v>0</v>
      </c>
      <c r="AD6027">
        <v>10</v>
      </c>
      <c r="AE6027">
        <v>0</v>
      </c>
      <c r="AF6027">
        <v>3</v>
      </c>
      <c r="AG6027">
        <v>2</v>
      </c>
      <c r="AH6027">
        <v>0</v>
      </c>
      <c r="AI6027" t="s">
        <v>1340</v>
      </c>
      <c r="AJ6027">
        <v>28.210508999999998</v>
      </c>
      <c r="AK6027" t="s">
        <v>1341</v>
      </c>
      <c r="AL6027">
        <v>-82.366562000000002</v>
      </c>
      <c r="AM6027">
        <v>100</v>
      </c>
      <c r="AN6027">
        <v>100</v>
      </c>
      <c r="AO6027" t="s">
        <v>118</v>
      </c>
      <c r="AP6027">
        <v>8</v>
      </c>
      <c r="AQ6027">
        <v>85</v>
      </c>
      <c r="AR6027">
        <v>-896</v>
      </c>
      <c r="AZ6027">
        <v>1200</v>
      </c>
      <c r="BA6027">
        <v>1</v>
      </c>
      <c r="BB6027" t="str">
        <f t="shared" si="2804"/>
        <v xml:space="preserve">N711JA  </v>
      </c>
      <c r="BC6027">
        <v>1</v>
      </c>
      <c r="BE6027">
        <v>0</v>
      </c>
      <c r="BF6027">
        <v>0</v>
      </c>
      <c r="BG6027">
        <v>0</v>
      </c>
      <c r="BH6027">
        <v>225</v>
      </c>
      <c r="BI6027">
        <v>1</v>
      </c>
      <c r="BJ6027">
        <v>1</v>
      </c>
      <c r="BK6027">
        <v>0</v>
      </c>
      <c r="BL6027">
        <v>0</v>
      </c>
      <c r="BO6027">
        <v>0</v>
      </c>
      <c r="BP6027">
        <v>0</v>
      </c>
      <c r="BW6027" t="str">
        <f t="shared" ref="BW6027:BW6034" si="2826">"14:52:36.931"</f>
        <v>14:52:36.931</v>
      </c>
      <c r="CJ6027">
        <v>0</v>
      </c>
      <c r="CK6027">
        <v>2</v>
      </c>
      <c r="CL6027">
        <v>0</v>
      </c>
      <c r="CM6027">
        <v>2</v>
      </c>
      <c r="CN6027">
        <v>0</v>
      </c>
      <c r="CO6027">
        <v>6</v>
      </c>
      <c r="CP6027" t="s">
        <v>119</v>
      </c>
      <c r="CQ6027">
        <v>343</v>
      </c>
      <c r="CR6027">
        <v>1</v>
      </c>
      <c r="CW6027">
        <v>11233020</v>
      </c>
      <c r="CY6027">
        <v>1</v>
      </c>
      <c r="CZ6027">
        <v>0</v>
      </c>
      <c r="DA6027">
        <v>0</v>
      </c>
      <c r="DB6027">
        <v>0</v>
      </c>
      <c r="DC6027">
        <v>0</v>
      </c>
      <c r="DD6027">
        <v>1</v>
      </c>
      <c r="DE6027">
        <v>0</v>
      </c>
      <c r="DF6027">
        <v>0</v>
      </c>
      <c r="DG6027">
        <v>0</v>
      </c>
      <c r="DH6027">
        <v>0</v>
      </c>
      <c r="DI6027">
        <v>0</v>
      </c>
    </row>
    <row r="6028" spans="1:113" x14ac:dyDescent="0.3">
      <c r="A6028" t="str">
        <f t="shared" si="2824"/>
        <v>05/12/2020 14:52:19.136</v>
      </c>
      <c r="C6028" t="str">
        <f t="shared" si="2803"/>
        <v>FFDFD3C0</v>
      </c>
      <c r="D6028" t="s">
        <v>138</v>
      </c>
      <c r="E6028">
        <v>3</v>
      </c>
      <c r="H6028">
        <v>9</v>
      </c>
      <c r="I6028" t="s">
        <v>140</v>
      </c>
      <c r="J6028" t="s">
        <v>136</v>
      </c>
      <c r="K6028">
        <v>0</v>
      </c>
      <c r="L6028">
        <v>3</v>
      </c>
      <c r="M6028">
        <v>0</v>
      </c>
      <c r="N6028">
        <v>2</v>
      </c>
      <c r="O6028">
        <v>1</v>
      </c>
      <c r="P6028">
        <v>0</v>
      </c>
      <c r="Q6028">
        <v>0</v>
      </c>
      <c r="S6028" t="str">
        <f t="shared" si="2825"/>
        <v>14:52:36.930</v>
      </c>
      <c r="T6028" t="str">
        <f t="shared" si="2825"/>
        <v>14:52:36.930</v>
      </c>
      <c r="U6028" t="str">
        <f t="shared" si="2819"/>
        <v>A9808D</v>
      </c>
      <c r="V6028">
        <v>0</v>
      </c>
      <c r="W6028">
        <v>0</v>
      </c>
      <c r="X6028">
        <v>1</v>
      </c>
      <c r="Z6028">
        <v>0</v>
      </c>
      <c r="AA6028">
        <v>9</v>
      </c>
      <c r="AB6028">
        <v>3</v>
      </c>
      <c r="AC6028">
        <v>0</v>
      </c>
      <c r="AD6028">
        <v>10</v>
      </c>
      <c r="AE6028">
        <v>0</v>
      </c>
      <c r="AF6028">
        <v>3</v>
      </c>
      <c r="AG6028">
        <v>2</v>
      </c>
      <c r="AH6028">
        <v>0</v>
      </c>
      <c r="AI6028" t="s">
        <v>1340</v>
      </c>
      <c r="AJ6028">
        <v>28.210508999999998</v>
      </c>
      <c r="AK6028" t="s">
        <v>1341</v>
      </c>
      <c r="AL6028">
        <v>-82.366562000000002</v>
      </c>
      <c r="AM6028">
        <v>100</v>
      </c>
      <c r="AN6028">
        <v>100</v>
      </c>
      <c r="AO6028" t="s">
        <v>118</v>
      </c>
      <c r="AP6028">
        <v>8</v>
      </c>
      <c r="AQ6028">
        <v>85</v>
      </c>
      <c r="AR6028">
        <v>-896</v>
      </c>
      <c r="AZ6028">
        <v>1200</v>
      </c>
      <c r="BA6028">
        <v>1</v>
      </c>
      <c r="BB6028" t="str">
        <f t="shared" si="2804"/>
        <v xml:space="preserve">N711JA  </v>
      </c>
      <c r="BC6028">
        <v>1</v>
      </c>
      <c r="BE6028">
        <v>0</v>
      </c>
      <c r="BF6028">
        <v>0</v>
      </c>
      <c r="BG6028">
        <v>0</v>
      </c>
      <c r="BH6028">
        <v>225</v>
      </c>
      <c r="BI6028">
        <v>1</v>
      </c>
      <c r="BJ6028">
        <v>1</v>
      </c>
      <c r="BK6028">
        <v>0</v>
      </c>
      <c r="BL6028">
        <v>0</v>
      </c>
      <c r="BO6028">
        <v>0</v>
      </c>
      <c r="BP6028">
        <v>0</v>
      </c>
      <c r="BW6028" t="str">
        <f t="shared" si="2826"/>
        <v>14:52:36.931</v>
      </c>
      <c r="CJ6028">
        <v>0</v>
      </c>
      <c r="CK6028">
        <v>2</v>
      </c>
      <c r="CL6028">
        <v>0</v>
      </c>
      <c r="CM6028">
        <v>2</v>
      </c>
      <c r="CN6028">
        <v>0</v>
      </c>
      <c r="CO6028">
        <v>6</v>
      </c>
      <c r="CP6028" t="s">
        <v>119</v>
      </c>
      <c r="CQ6028">
        <v>343</v>
      </c>
      <c r="CR6028">
        <v>1</v>
      </c>
      <c r="CW6028">
        <v>11233020</v>
      </c>
      <c r="CY6028">
        <v>1</v>
      </c>
      <c r="CZ6028">
        <v>0</v>
      </c>
      <c r="DA6028">
        <v>1</v>
      </c>
      <c r="DB6028">
        <v>0</v>
      </c>
      <c r="DC6028">
        <v>0</v>
      </c>
      <c r="DD6028">
        <v>1</v>
      </c>
      <c r="DE6028">
        <v>0</v>
      </c>
      <c r="DF6028">
        <v>0</v>
      </c>
      <c r="DG6028">
        <v>0</v>
      </c>
      <c r="DH6028">
        <v>0</v>
      </c>
      <c r="DI6028">
        <v>0</v>
      </c>
    </row>
    <row r="6029" spans="1:113" x14ac:dyDescent="0.3">
      <c r="A6029" t="str">
        <f t="shared" si="2824"/>
        <v>05/12/2020 14:52:19.136</v>
      </c>
      <c r="C6029" t="str">
        <f t="shared" si="2803"/>
        <v>FFDFD3C0</v>
      </c>
      <c r="D6029" t="s">
        <v>126</v>
      </c>
      <c r="E6029">
        <v>7</v>
      </c>
      <c r="F6029">
        <v>1007</v>
      </c>
      <c r="G6029" t="s">
        <v>127</v>
      </c>
      <c r="J6029" t="s">
        <v>128</v>
      </c>
      <c r="K6029">
        <v>0</v>
      </c>
      <c r="L6029">
        <v>3</v>
      </c>
      <c r="M6029">
        <v>0</v>
      </c>
      <c r="N6029">
        <v>2</v>
      </c>
      <c r="O6029">
        <v>1</v>
      </c>
      <c r="P6029">
        <v>0</v>
      </c>
      <c r="Q6029">
        <v>0</v>
      </c>
      <c r="S6029" t="str">
        <f t="shared" si="2825"/>
        <v>14:52:36.930</v>
      </c>
      <c r="T6029" t="str">
        <f t="shared" si="2825"/>
        <v>14:52:36.930</v>
      </c>
      <c r="U6029" t="str">
        <f t="shared" si="2819"/>
        <v>A9808D</v>
      </c>
      <c r="V6029">
        <v>0</v>
      </c>
      <c r="W6029">
        <v>0</v>
      </c>
      <c r="X6029">
        <v>1</v>
      </c>
      <c r="Z6029">
        <v>0</v>
      </c>
      <c r="AA6029">
        <v>9</v>
      </c>
      <c r="AB6029">
        <v>3</v>
      </c>
      <c r="AC6029">
        <v>0</v>
      </c>
      <c r="AD6029">
        <v>10</v>
      </c>
      <c r="AE6029">
        <v>0</v>
      </c>
      <c r="AF6029">
        <v>3</v>
      </c>
      <c r="AG6029">
        <v>2</v>
      </c>
      <c r="AH6029">
        <v>0</v>
      </c>
      <c r="AI6029" t="s">
        <v>1340</v>
      </c>
      <c r="AJ6029">
        <v>28.210508999999998</v>
      </c>
      <c r="AK6029" t="s">
        <v>1341</v>
      </c>
      <c r="AL6029">
        <v>-82.366562000000002</v>
      </c>
      <c r="AM6029">
        <v>100</v>
      </c>
      <c r="AN6029">
        <v>100</v>
      </c>
      <c r="AO6029" t="s">
        <v>118</v>
      </c>
      <c r="AP6029">
        <v>8</v>
      </c>
      <c r="AQ6029">
        <v>85</v>
      </c>
      <c r="AR6029">
        <v>-896</v>
      </c>
      <c r="AZ6029">
        <v>1200</v>
      </c>
      <c r="BA6029">
        <v>1</v>
      </c>
      <c r="BB6029" t="str">
        <f t="shared" si="2804"/>
        <v xml:space="preserve">N711JA  </v>
      </c>
      <c r="BC6029">
        <v>1</v>
      </c>
      <c r="BE6029">
        <v>0</v>
      </c>
      <c r="BF6029">
        <v>0</v>
      </c>
      <c r="BG6029">
        <v>0</v>
      </c>
      <c r="BH6029">
        <v>225</v>
      </c>
      <c r="BI6029">
        <v>1</v>
      </c>
      <c r="BJ6029">
        <v>1</v>
      </c>
      <c r="BK6029">
        <v>0</v>
      </c>
      <c r="BL6029">
        <v>0</v>
      </c>
      <c r="BO6029">
        <v>0</v>
      </c>
      <c r="BP6029">
        <v>0</v>
      </c>
      <c r="BW6029" t="str">
        <f t="shared" si="2826"/>
        <v>14:52:36.931</v>
      </c>
      <c r="CJ6029">
        <v>0</v>
      </c>
      <c r="CK6029">
        <v>2</v>
      </c>
      <c r="CL6029">
        <v>0</v>
      </c>
      <c r="CM6029">
        <v>2</v>
      </c>
      <c r="CN6029">
        <v>0</v>
      </c>
      <c r="CO6029">
        <v>6</v>
      </c>
      <c r="CP6029" t="s">
        <v>119</v>
      </c>
      <c r="CQ6029">
        <v>343</v>
      </c>
      <c r="CR6029">
        <v>1</v>
      </c>
      <c r="CW6029">
        <v>11233020</v>
      </c>
      <c r="CY6029">
        <v>1</v>
      </c>
      <c r="CZ6029">
        <v>0</v>
      </c>
      <c r="DA6029">
        <v>1</v>
      </c>
      <c r="DB6029">
        <v>0</v>
      </c>
      <c r="DC6029">
        <v>0</v>
      </c>
      <c r="DD6029">
        <v>1</v>
      </c>
      <c r="DE6029">
        <v>0</v>
      </c>
      <c r="DF6029">
        <v>0</v>
      </c>
      <c r="DG6029">
        <v>0</v>
      </c>
      <c r="DH6029">
        <v>0</v>
      </c>
      <c r="DI6029">
        <v>0</v>
      </c>
    </row>
    <row r="6030" spans="1:113" x14ac:dyDescent="0.3">
      <c r="A6030" t="str">
        <f t="shared" si="2824"/>
        <v>05/12/2020 14:52:19.136</v>
      </c>
      <c r="C6030" t="str">
        <f t="shared" si="2803"/>
        <v>FFDFD3C0</v>
      </c>
      <c r="D6030" t="s">
        <v>131</v>
      </c>
      <c r="E6030">
        <v>12</v>
      </c>
      <c r="F6030">
        <v>2012</v>
      </c>
      <c r="G6030" t="s">
        <v>137</v>
      </c>
      <c r="J6030" t="s">
        <v>133</v>
      </c>
      <c r="K6030">
        <v>0</v>
      </c>
      <c r="L6030">
        <v>3</v>
      </c>
      <c r="M6030">
        <v>0</v>
      </c>
      <c r="N6030">
        <v>2</v>
      </c>
      <c r="O6030">
        <v>1</v>
      </c>
      <c r="P6030">
        <v>0</v>
      </c>
      <c r="Q6030">
        <v>0</v>
      </c>
      <c r="S6030" t="str">
        <f t="shared" si="2825"/>
        <v>14:52:36.930</v>
      </c>
      <c r="T6030" t="str">
        <f t="shared" si="2825"/>
        <v>14:52:36.930</v>
      </c>
      <c r="U6030" t="str">
        <f t="shared" si="2819"/>
        <v>A9808D</v>
      </c>
      <c r="V6030">
        <v>0</v>
      </c>
      <c r="W6030">
        <v>0</v>
      </c>
      <c r="X6030">
        <v>1</v>
      </c>
      <c r="Z6030">
        <v>0</v>
      </c>
      <c r="AA6030">
        <v>9</v>
      </c>
      <c r="AB6030">
        <v>3</v>
      </c>
      <c r="AC6030">
        <v>0</v>
      </c>
      <c r="AD6030">
        <v>10</v>
      </c>
      <c r="AE6030">
        <v>0</v>
      </c>
      <c r="AF6030">
        <v>3</v>
      </c>
      <c r="AG6030">
        <v>2</v>
      </c>
      <c r="AH6030">
        <v>0</v>
      </c>
      <c r="AI6030" t="s">
        <v>1340</v>
      </c>
      <c r="AJ6030">
        <v>28.210508999999998</v>
      </c>
      <c r="AK6030" t="s">
        <v>1341</v>
      </c>
      <c r="AL6030">
        <v>-82.366562000000002</v>
      </c>
      <c r="AM6030">
        <v>100</v>
      </c>
      <c r="AN6030">
        <v>100</v>
      </c>
      <c r="AO6030" t="s">
        <v>118</v>
      </c>
      <c r="AP6030">
        <v>8</v>
      </c>
      <c r="AQ6030">
        <v>85</v>
      </c>
      <c r="AR6030">
        <v>-896</v>
      </c>
      <c r="AZ6030">
        <v>1200</v>
      </c>
      <c r="BA6030">
        <v>1</v>
      </c>
      <c r="BB6030" t="str">
        <f t="shared" si="2804"/>
        <v xml:space="preserve">N711JA  </v>
      </c>
      <c r="BC6030">
        <v>1</v>
      </c>
      <c r="BE6030">
        <v>0</v>
      </c>
      <c r="BF6030">
        <v>0</v>
      </c>
      <c r="BG6030">
        <v>0</v>
      </c>
      <c r="BH6030">
        <v>225</v>
      </c>
      <c r="BI6030">
        <v>1</v>
      </c>
      <c r="BJ6030">
        <v>1</v>
      </c>
      <c r="BK6030">
        <v>0</v>
      </c>
      <c r="BL6030">
        <v>0</v>
      </c>
      <c r="BO6030">
        <v>0</v>
      </c>
      <c r="BP6030">
        <v>0</v>
      </c>
      <c r="BW6030" t="str">
        <f t="shared" si="2826"/>
        <v>14:52:36.931</v>
      </c>
      <c r="CJ6030">
        <v>0</v>
      </c>
      <c r="CK6030">
        <v>2</v>
      </c>
      <c r="CL6030">
        <v>0</v>
      </c>
      <c r="CM6030">
        <v>2</v>
      </c>
      <c r="CN6030">
        <v>0</v>
      </c>
      <c r="CO6030">
        <v>6</v>
      </c>
      <c r="CP6030" t="s">
        <v>119</v>
      </c>
      <c r="CQ6030">
        <v>343</v>
      </c>
      <c r="CR6030">
        <v>1</v>
      </c>
      <c r="CW6030">
        <v>11233020</v>
      </c>
      <c r="CY6030">
        <v>1</v>
      </c>
      <c r="CZ6030">
        <v>0</v>
      </c>
      <c r="DA6030">
        <v>1</v>
      </c>
      <c r="DB6030">
        <v>0</v>
      </c>
      <c r="DC6030">
        <v>0</v>
      </c>
      <c r="DD6030">
        <v>1</v>
      </c>
      <c r="DE6030">
        <v>0</v>
      </c>
      <c r="DF6030">
        <v>0</v>
      </c>
      <c r="DG6030">
        <v>0</v>
      </c>
      <c r="DH6030">
        <v>0</v>
      </c>
      <c r="DI6030">
        <v>0</v>
      </c>
    </row>
    <row r="6031" spans="1:113" x14ac:dyDescent="0.3">
      <c r="A6031" t="str">
        <f t="shared" si="2824"/>
        <v>05/12/2020 14:52:19.136</v>
      </c>
      <c r="C6031" t="str">
        <f t="shared" si="2803"/>
        <v>FFDFD3C0</v>
      </c>
      <c r="D6031" t="s">
        <v>131</v>
      </c>
      <c r="E6031">
        <v>10</v>
      </c>
      <c r="F6031">
        <v>2010</v>
      </c>
      <c r="G6031" t="s">
        <v>132</v>
      </c>
      <c r="J6031" t="s">
        <v>133</v>
      </c>
      <c r="K6031">
        <v>0</v>
      </c>
      <c r="L6031">
        <v>3</v>
      </c>
      <c r="M6031">
        <v>0</v>
      </c>
      <c r="N6031">
        <v>2</v>
      </c>
      <c r="O6031">
        <v>1</v>
      </c>
      <c r="P6031">
        <v>0</v>
      </c>
      <c r="Q6031">
        <v>0</v>
      </c>
      <c r="S6031" t="str">
        <f t="shared" si="2825"/>
        <v>14:52:36.930</v>
      </c>
      <c r="T6031" t="str">
        <f t="shared" si="2825"/>
        <v>14:52:36.930</v>
      </c>
      <c r="U6031" t="str">
        <f t="shared" si="2819"/>
        <v>A9808D</v>
      </c>
      <c r="V6031">
        <v>0</v>
      </c>
      <c r="W6031">
        <v>0</v>
      </c>
      <c r="X6031">
        <v>1</v>
      </c>
      <c r="Z6031">
        <v>0</v>
      </c>
      <c r="AA6031">
        <v>9</v>
      </c>
      <c r="AB6031">
        <v>3</v>
      </c>
      <c r="AC6031">
        <v>0</v>
      </c>
      <c r="AD6031">
        <v>10</v>
      </c>
      <c r="AE6031">
        <v>0</v>
      </c>
      <c r="AF6031">
        <v>3</v>
      </c>
      <c r="AG6031">
        <v>2</v>
      </c>
      <c r="AH6031">
        <v>0</v>
      </c>
      <c r="AI6031" t="s">
        <v>1340</v>
      </c>
      <c r="AJ6031">
        <v>28.210508999999998</v>
      </c>
      <c r="AK6031" t="s">
        <v>1341</v>
      </c>
      <c r="AL6031">
        <v>-82.366562000000002</v>
      </c>
      <c r="AM6031">
        <v>100</v>
      </c>
      <c r="AN6031">
        <v>100</v>
      </c>
      <c r="AO6031" t="s">
        <v>118</v>
      </c>
      <c r="AP6031">
        <v>8</v>
      </c>
      <c r="AQ6031">
        <v>85</v>
      </c>
      <c r="AR6031">
        <v>-896</v>
      </c>
      <c r="AZ6031">
        <v>1200</v>
      </c>
      <c r="BA6031">
        <v>1</v>
      </c>
      <c r="BB6031" t="str">
        <f t="shared" si="2804"/>
        <v xml:space="preserve">N711JA  </v>
      </c>
      <c r="BC6031">
        <v>1</v>
      </c>
      <c r="BE6031">
        <v>0</v>
      </c>
      <c r="BF6031">
        <v>0</v>
      </c>
      <c r="BG6031">
        <v>0</v>
      </c>
      <c r="BH6031">
        <v>225</v>
      </c>
      <c r="BI6031">
        <v>1</v>
      </c>
      <c r="BJ6031">
        <v>1</v>
      </c>
      <c r="BK6031">
        <v>0</v>
      </c>
      <c r="BL6031">
        <v>0</v>
      </c>
      <c r="BO6031">
        <v>0</v>
      </c>
      <c r="BP6031">
        <v>0</v>
      </c>
      <c r="BW6031" t="str">
        <f t="shared" si="2826"/>
        <v>14:52:36.931</v>
      </c>
      <c r="CJ6031">
        <v>0</v>
      </c>
      <c r="CK6031">
        <v>2</v>
      </c>
      <c r="CL6031">
        <v>0</v>
      </c>
      <c r="CM6031">
        <v>2</v>
      </c>
      <c r="CN6031">
        <v>0</v>
      </c>
      <c r="CO6031">
        <v>6</v>
      </c>
      <c r="CP6031" t="s">
        <v>119</v>
      </c>
      <c r="CQ6031">
        <v>343</v>
      </c>
      <c r="CR6031">
        <v>1</v>
      </c>
      <c r="CW6031">
        <v>11233020</v>
      </c>
      <c r="CY6031">
        <v>1</v>
      </c>
      <c r="CZ6031">
        <v>0</v>
      </c>
      <c r="DA6031">
        <v>1</v>
      </c>
      <c r="DB6031">
        <v>0</v>
      </c>
      <c r="DC6031">
        <v>0</v>
      </c>
      <c r="DD6031">
        <v>1</v>
      </c>
      <c r="DE6031">
        <v>0</v>
      </c>
      <c r="DF6031">
        <v>0</v>
      </c>
      <c r="DG6031">
        <v>0</v>
      </c>
      <c r="DH6031">
        <v>0</v>
      </c>
      <c r="DI6031">
        <v>0</v>
      </c>
    </row>
    <row r="6032" spans="1:113" x14ac:dyDescent="0.3">
      <c r="A6032" t="str">
        <f t="shared" si="2824"/>
        <v>05/12/2020 14:52:19.136</v>
      </c>
      <c r="C6032" t="str">
        <f t="shared" si="2803"/>
        <v>FFDFD3C0</v>
      </c>
      <c r="D6032" t="s">
        <v>113</v>
      </c>
      <c r="E6032">
        <v>3</v>
      </c>
      <c r="H6032">
        <v>164</v>
      </c>
      <c r="I6032" t="s">
        <v>114</v>
      </c>
      <c r="J6032" t="s">
        <v>115</v>
      </c>
      <c r="K6032">
        <v>0</v>
      </c>
      <c r="L6032">
        <v>3</v>
      </c>
      <c r="M6032">
        <v>0</v>
      </c>
      <c r="N6032">
        <v>2</v>
      </c>
      <c r="O6032">
        <v>1</v>
      </c>
      <c r="P6032">
        <v>0</v>
      </c>
      <c r="Q6032">
        <v>0</v>
      </c>
      <c r="S6032" t="str">
        <f t="shared" si="2825"/>
        <v>14:52:36.930</v>
      </c>
      <c r="T6032" t="str">
        <f t="shared" si="2825"/>
        <v>14:52:36.930</v>
      </c>
      <c r="U6032" t="str">
        <f t="shared" si="2819"/>
        <v>A9808D</v>
      </c>
      <c r="V6032">
        <v>0</v>
      </c>
      <c r="W6032">
        <v>0</v>
      </c>
      <c r="X6032">
        <v>1</v>
      </c>
      <c r="Z6032">
        <v>0</v>
      </c>
      <c r="AA6032">
        <v>9</v>
      </c>
      <c r="AB6032">
        <v>3</v>
      </c>
      <c r="AC6032">
        <v>0</v>
      </c>
      <c r="AD6032">
        <v>10</v>
      </c>
      <c r="AE6032">
        <v>0</v>
      </c>
      <c r="AF6032">
        <v>3</v>
      </c>
      <c r="AG6032">
        <v>2</v>
      </c>
      <c r="AH6032">
        <v>0</v>
      </c>
      <c r="AI6032" t="s">
        <v>1340</v>
      </c>
      <c r="AJ6032">
        <v>28.210508999999998</v>
      </c>
      <c r="AK6032" t="s">
        <v>1341</v>
      </c>
      <c r="AL6032">
        <v>-82.366562000000002</v>
      </c>
      <c r="AM6032">
        <v>100</v>
      </c>
      <c r="AN6032">
        <v>100</v>
      </c>
      <c r="AO6032" t="s">
        <v>118</v>
      </c>
      <c r="AP6032">
        <v>8</v>
      </c>
      <c r="AQ6032">
        <v>85</v>
      </c>
      <c r="AR6032">
        <v>-896</v>
      </c>
      <c r="AZ6032">
        <v>1200</v>
      </c>
      <c r="BA6032">
        <v>1</v>
      </c>
      <c r="BB6032" t="str">
        <f t="shared" si="2804"/>
        <v xml:space="preserve">N711JA  </v>
      </c>
      <c r="BC6032">
        <v>1</v>
      </c>
      <c r="BE6032">
        <v>0</v>
      </c>
      <c r="BF6032">
        <v>0</v>
      </c>
      <c r="BG6032">
        <v>0</v>
      </c>
      <c r="BH6032">
        <v>225</v>
      </c>
      <c r="BI6032">
        <v>1</v>
      </c>
      <c r="BJ6032">
        <v>1</v>
      </c>
      <c r="BK6032">
        <v>0</v>
      </c>
      <c r="BL6032">
        <v>0</v>
      </c>
      <c r="BO6032">
        <v>0</v>
      </c>
      <c r="BP6032">
        <v>0</v>
      </c>
      <c r="BW6032" t="str">
        <f t="shared" si="2826"/>
        <v>14:52:36.931</v>
      </c>
      <c r="CJ6032">
        <v>0</v>
      </c>
      <c r="CK6032">
        <v>2</v>
      </c>
      <c r="CL6032">
        <v>0</v>
      </c>
      <c r="CM6032">
        <v>2</v>
      </c>
      <c r="CN6032">
        <v>0</v>
      </c>
      <c r="CO6032">
        <v>6</v>
      </c>
      <c r="CP6032" t="s">
        <v>119</v>
      </c>
      <c r="CQ6032">
        <v>343</v>
      </c>
      <c r="CR6032">
        <v>1</v>
      </c>
      <c r="CW6032">
        <v>11233020</v>
      </c>
      <c r="CY6032">
        <v>1</v>
      </c>
      <c r="CZ6032">
        <v>0</v>
      </c>
      <c r="DA6032">
        <v>1</v>
      </c>
      <c r="DB6032">
        <v>0</v>
      </c>
      <c r="DC6032">
        <v>0</v>
      </c>
      <c r="DD6032">
        <v>1</v>
      </c>
      <c r="DE6032">
        <v>0</v>
      </c>
      <c r="DF6032">
        <v>0</v>
      </c>
      <c r="DG6032">
        <v>0</v>
      </c>
      <c r="DH6032">
        <v>0</v>
      </c>
      <c r="DI6032">
        <v>0</v>
      </c>
    </row>
    <row r="6033" spans="1:113" x14ac:dyDescent="0.3">
      <c r="A6033" t="str">
        <f t="shared" si="2824"/>
        <v>05/12/2020 14:52:19.136</v>
      </c>
      <c r="C6033" t="str">
        <f t="shared" si="2803"/>
        <v>FFDFD3C0</v>
      </c>
      <c r="D6033" t="s">
        <v>126</v>
      </c>
      <c r="E6033">
        <v>6</v>
      </c>
      <c r="F6033">
        <v>1006</v>
      </c>
      <c r="G6033" t="s">
        <v>114</v>
      </c>
      <c r="J6033" t="s">
        <v>128</v>
      </c>
      <c r="K6033">
        <v>0</v>
      </c>
      <c r="L6033">
        <v>3</v>
      </c>
      <c r="M6033">
        <v>0</v>
      </c>
      <c r="N6033">
        <v>2</v>
      </c>
      <c r="O6033">
        <v>1</v>
      </c>
      <c r="P6033">
        <v>0</v>
      </c>
      <c r="Q6033">
        <v>0</v>
      </c>
      <c r="S6033" t="str">
        <f t="shared" si="2825"/>
        <v>14:52:36.930</v>
      </c>
      <c r="T6033" t="str">
        <f t="shared" si="2825"/>
        <v>14:52:36.930</v>
      </c>
      <c r="U6033" t="str">
        <f t="shared" si="2819"/>
        <v>A9808D</v>
      </c>
      <c r="V6033">
        <v>0</v>
      </c>
      <c r="W6033">
        <v>0</v>
      </c>
      <c r="X6033">
        <v>1</v>
      </c>
      <c r="Z6033">
        <v>0</v>
      </c>
      <c r="AA6033">
        <v>9</v>
      </c>
      <c r="AB6033">
        <v>3</v>
      </c>
      <c r="AC6033">
        <v>0</v>
      </c>
      <c r="AD6033">
        <v>10</v>
      </c>
      <c r="AE6033">
        <v>0</v>
      </c>
      <c r="AF6033">
        <v>3</v>
      </c>
      <c r="AG6033">
        <v>2</v>
      </c>
      <c r="AH6033">
        <v>0</v>
      </c>
      <c r="AI6033" t="s">
        <v>1340</v>
      </c>
      <c r="AJ6033">
        <v>28.210508999999998</v>
      </c>
      <c r="AK6033" t="s">
        <v>1341</v>
      </c>
      <c r="AL6033">
        <v>-82.366562000000002</v>
      </c>
      <c r="AM6033">
        <v>100</v>
      </c>
      <c r="AN6033">
        <v>100</v>
      </c>
      <c r="AO6033" t="s">
        <v>118</v>
      </c>
      <c r="AP6033">
        <v>8</v>
      </c>
      <c r="AQ6033">
        <v>85</v>
      </c>
      <c r="AR6033">
        <v>-896</v>
      </c>
      <c r="AZ6033">
        <v>1200</v>
      </c>
      <c r="BA6033">
        <v>1</v>
      </c>
      <c r="BB6033" t="str">
        <f t="shared" si="2804"/>
        <v xml:space="preserve">N711JA  </v>
      </c>
      <c r="BC6033">
        <v>1</v>
      </c>
      <c r="BE6033">
        <v>0</v>
      </c>
      <c r="BF6033">
        <v>0</v>
      </c>
      <c r="BG6033">
        <v>0</v>
      </c>
      <c r="BH6033">
        <v>225</v>
      </c>
      <c r="BI6033">
        <v>1</v>
      </c>
      <c r="BJ6033">
        <v>1</v>
      </c>
      <c r="BK6033">
        <v>0</v>
      </c>
      <c r="BL6033">
        <v>0</v>
      </c>
      <c r="BO6033">
        <v>0</v>
      </c>
      <c r="BP6033">
        <v>0</v>
      </c>
      <c r="BW6033" t="str">
        <f t="shared" si="2826"/>
        <v>14:52:36.931</v>
      </c>
      <c r="CJ6033">
        <v>0</v>
      </c>
      <c r="CK6033">
        <v>2</v>
      </c>
      <c r="CL6033">
        <v>0</v>
      </c>
      <c r="CM6033">
        <v>2</v>
      </c>
      <c r="CN6033">
        <v>0</v>
      </c>
      <c r="CO6033">
        <v>6</v>
      </c>
      <c r="CP6033" t="s">
        <v>119</v>
      </c>
      <c r="CQ6033">
        <v>343</v>
      </c>
      <c r="CR6033">
        <v>1</v>
      </c>
      <c r="CW6033">
        <v>11233020</v>
      </c>
      <c r="CY6033">
        <v>1</v>
      </c>
      <c r="CZ6033">
        <v>0</v>
      </c>
      <c r="DA6033">
        <v>1</v>
      </c>
      <c r="DB6033">
        <v>0</v>
      </c>
      <c r="DC6033">
        <v>0</v>
      </c>
      <c r="DD6033">
        <v>1</v>
      </c>
      <c r="DE6033">
        <v>0</v>
      </c>
      <c r="DF6033">
        <v>0</v>
      </c>
      <c r="DG6033">
        <v>0</v>
      </c>
      <c r="DH6033">
        <v>0</v>
      </c>
      <c r="DI6033">
        <v>0</v>
      </c>
    </row>
    <row r="6034" spans="1:113" x14ac:dyDescent="0.3">
      <c r="A6034" t="str">
        <f t="shared" si="2824"/>
        <v>05/12/2020 14:52:19.136</v>
      </c>
      <c r="C6034" t="str">
        <f t="shared" si="2803"/>
        <v>FFDFD3C0</v>
      </c>
      <c r="D6034" t="s">
        <v>134</v>
      </c>
      <c r="E6034">
        <v>12</v>
      </c>
      <c r="H6034">
        <v>64</v>
      </c>
      <c r="I6034" t="s">
        <v>135</v>
      </c>
      <c r="J6034" t="s">
        <v>136</v>
      </c>
      <c r="K6034">
        <v>0</v>
      </c>
      <c r="L6034">
        <v>3</v>
      </c>
      <c r="M6034">
        <v>0</v>
      </c>
      <c r="N6034">
        <v>2</v>
      </c>
      <c r="O6034">
        <v>1</v>
      </c>
      <c r="P6034">
        <v>0</v>
      </c>
      <c r="Q6034">
        <v>0</v>
      </c>
      <c r="S6034" t="str">
        <f t="shared" si="2825"/>
        <v>14:52:36.930</v>
      </c>
      <c r="T6034" t="str">
        <f t="shared" si="2825"/>
        <v>14:52:36.930</v>
      </c>
      <c r="U6034" t="str">
        <f t="shared" si="2819"/>
        <v>A9808D</v>
      </c>
      <c r="V6034">
        <v>0</v>
      </c>
      <c r="W6034">
        <v>0</v>
      </c>
      <c r="X6034">
        <v>1</v>
      </c>
      <c r="Z6034">
        <v>0</v>
      </c>
      <c r="AA6034">
        <v>9</v>
      </c>
      <c r="AB6034">
        <v>3</v>
      </c>
      <c r="AC6034">
        <v>0</v>
      </c>
      <c r="AD6034">
        <v>10</v>
      </c>
      <c r="AE6034">
        <v>0</v>
      </c>
      <c r="AF6034">
        <v>3</v>
      </c>
      <c r="AG6034">
        <v>2</v>
      </c>
      <c r="AH6034">
        <v>0</v>
      </c>
      <c r="AI6034" t="s">
        <v>1340</v>
      </c>
      <c r="AJ6034">
        <v>28.210508999999998</v>
      </c>
      <c r="AK6034" t="s">
        <v>1341</v>
      </c>
      <c r="AL6034">
        <v>-82.366562000000002</v>
      </c>
      <c r="AM6034">
        <v>100</v>
      </c>
      <c r="AN6034">
        <v>100</v>
      </c>
      <c r="AO6034" t="s">
        <v>118</v>
      </c>
      <c r="AP6034">
        <v>8</v>
      </c>
      <c r="AQ6034">
        <v>85</v>
      </c>
      <c r="AR6034">
        <v>-896</v>
      </c>
      <c r="AZ6034">
        <v>1200</v>
      </c>
      <c r="BA6034">
        <v>1</v>
      </c>
      <c r="BB6034" t="str">
        <f t="shared" si="2804"/>
        <v xml:space="preserve">N711JA  </v>
      </c>
      <c r="BC6034">
        <v>1</v>
      </c>
      <c r="BE6034">
        <v>0</v>
      </c>
      <c r="BF6034">
        <v>0</v>
      </c>
      <c r="BG6034">
        <v>0</v>
      </c>
      <c r="BH6034">
        <v>225</v>
      </c>
      <c r="BI6034">
        <v>1</v>
      </c>
      <c r="BJ6034">
        <v>1</v>
      </c>
      <c r="BK6034">
        <v>0</v>
      </c>
      <c r="BL6034">
        <v>0</v>
      </c>
      <c r="BO6034">
        <v>0</v>
      </c>
      <c r="BP6034">
        <v>0</v>
      </c>
      <c r="BW6034" t="str">
        <f t="shared" si="2826"/>
        <v>14:52:36.931</v>
      </c>
      <c r="CJ6034">
        <v>0</v>
      </c>
      <c r="CK6034">
        <v>2</v>
      </c>
      <c r="CL6034">
        <v>0</v>
      </c>
      <c r="CM6034">
        <v>2</v>
      </c>
      <c r="CN6034">
        <v>0</v>
      </c>
      <c r="CO6034">
        <v>6</v>
      </c>
      <c r="CP6034" t="s">
        <v>119</v>
      </c>
      <c r="CQ6034">
        <v>343</v>
      </c>
      <c r="CR6034">
        <v>1</v>
      </c>
      <c r="CW6034">
        <v>11233020</v>
      </c>
      <c r="CY6034">
        <v>1</v>
      </c>
      <c r="CZ6034">
        <v>0</v>
      </c>
      <c r="DA6034">
        <v>1</v>
      </c>
      <c r="DB6034">
        <v>0</v>
      </c>
      <c r="DC6034">
        <v>0</v>
      </c>
      <c r="DD6034">
        <v>1</v>
      </c>
      <c r="DE6034">
        <v>0</v>
      </c>
      <c r="DF6034">
        <v>0</v>
      </c>
      <c r="DG6034">
        <v>0</v>
      </c>
      <c r="DH6034">
        <v>0</v>
      </c>
      <c r="DI6034">
        <v>0</v>
      </c>
    </row>
    <row r="6035" spans="1:113" x14ac:dyDescent="0.3">
      <c r="A6035" t="str">
        <f t="shared" ref="A6035:A6042" si="2827">"05/12/2020 14:52:20.301"</f>
        <v>05/12/2020 14:52:20.301</v>
      </c>
      <c r="C6035" t="str">
        <f t="shared" si="2803"/>
        <v>FFDFD3C0</v>
      </c>
      <c r="D6035" t="s">
        <v>138</v>
      </c>
      <c r="E6035">
        <v>2</v>
      </c>
      <c r="H6035">
        <v>8</v>
      </c>
      <c r="I6035" t="s">
        <v>139</v>
      </c>
      <c r="J6035" t="s">
        <v>136</v>
      </c>
      <c r="K6035">
        <v>0</v>
      </c>
      <c r="L6035">
        <v>3</v>
      </c>
      <c r="M6035">
        <v>0</v>
      </c>
      <c r="N6035">
        <v>2</v>
      </c>
      <c r="O6035">
        <v>1</v>
      </c>
      <c r="P6035">
        <v>0</v>
      </c>
      <c r="Q6035">
        <v>0</v>
      </c>
      <c r="S6035" t="str">
        <f t="shared" ref="S6035:S6042" si="2828">"14:52:38.109"</f>
        <v>14:52:38.109</v>
      </c>
      <c r="T6035" t="str">
        <f t="shared" ref="T6035:T6042" si="2829">"14:52:37.809"</f>
        <v>14:52:37.809</v>
      </c>
      <c r="U6035" t="str">
        <f t="shared" si="2819"/>
        <v>A9808D</v>
      </c>
      <c r="V6035">
        <v>0</v>
      </c>
      <c r="W6035">
        <v>0</v>
      </c>
      <c r="X6035">
        <v>1</v>
      </c>
      <c r="Z6035">
        <v>0</v>
      </c>
      <c r="AA6035">
        <v>9</v>
      </c>
      <c r="AB6035">
        <v>3</v>
      </c>
      <c r="AC6035">
        <v>0</v>
      </c>
      <c r="AD6035">
        <v>10</v>
      </c>
      <c r="AE6035">
        <v>0</v>
      </c>
      <c r="AF6035">
        <v>3</v>
      </c>
      <c r="AG6035">
        <v>2</v>
      </c>
      <c r="AH6035">
        <v>0</v>
      </c>
      <c r="AI6035" t="s">
        <v>1342</v>
      </c>
      <c r="AJ6035">
        <v>28.210981</v>
      </c>
      <c r="AK6035" t="s">
        <v>1343</v>
      </c>
      <c r="AL6035">
        <v>-82.366540000000001</v>
      </c>
      <c r="AM6035">
        <v>100</v>
      </c>
      <c r="AN6035">
        <v>100</v>
      </c>
      <c r="AO6035" t="s">
        <v>118</v>
      </c>
      <c r="AP6035">
        <v>3</v>
      </c>
      <c r="AQ6035">
        <v>85</v>
      </c>
      <c r="AR6035">
        <v>-832</v>
      </c>
      <c r="AZ6035">
        <v>1200</v>
      </c>
      <c r="BA6035">
        <v>1</v>
      </c>
      <c r="BB6035" t="str">
        <f t="shared" si="2804"/>
        <v xml:space="preserve">N711JA  </v>
      </c>
      <c r="BC6035">
        <v>1</v>
      </c>
      <c r="BE6035">
        <v>0</v>
      </c>
      <c r="BF6035">
        <v>0</v>
      </c>
      <c r="BG6035">
        <v>0</v>
      </c>
      <c r="BH6035">
        <v>300</v>
      </c>
      <c r="BI6035">
        <v>1</v>
      </c>
      <c r="BJ6035">
        <v>1</v>
      </c>
      <c r="BK6035">
        <v>0</v>
      </c>
      <c r="BL6035">
        <v>0</v>
      </c>
      <c r="BO6035">
        <v>0</v>
      </c>
      <c r="BP6035">
        <v>0</v>
      </c>
      <c r="BW6035" t="str">
        <f t="shared" ref="BW6035:BW6042" si="2830">"14:52:38.114"</f>
        <v>14:52:38.114</v>
      </c>
      <c r="CJ6035">
        <v>0</v>
      </c>
      <c r="CK6035">
        <v>2</v>
      </c>
      <c r="CL6035">
        <v>0</v>
      </c>
      <c r="CM6035">
        <v>2</v>
      </c>
      <c r="CN6035">
        <v>0</v>
      </c>
      <c r="CO6035">
        <v>6</v>
      </c>
      <c r="CP6035" t="s">
        <v>119</v>
      </c>
      <c r="CQ6035">
        <v>343</v>
      </c>
      <c r="CR6035">
        <v>1</v>
      </c>
      <c r="CW6035">
        <v>11234223</v>
      </c>
      <c r="CY6035">
        <v>1</v>
      </c>
      <c r="CZ6035">
        <v>0</v>
      </c>
      <c r="DA6035">
        <v>0</v>
      </c>
      <c r="DB6035">
        <v>0</v>
      </c>
      <c r="DC6035">
        <v>0</v>
      </c>
      <c r="DD6035">
        <v>1</v>
      </c>
      <c r="DE6035">
        <v>0</v>
      </c>
      <c r="DF6035">
        <v>0</v>
      </c>
      <c r="DG6035">
        <v>0</v>
      </c>
      <c r="DH6035">
        <v>0</v>
      </c>
      <c r="DI6035">
        <v>0</v>
      </c>
    </row>
    <row r="6036" spans="1:113" x14ac:dyDescent="0.3">
      <c r="A6036" t="str">
        <f t="shared" si="2827"/>
        <v>05/12/2020 14:52:20.301</v>
      </c>
      <c r="C6036" t="str">
        <f t="shared" si="2803"/>
        <v>FFDFD3C0</v>
      </c>
      <c r="D6036" t="s">
        <v>138</v>
      </c>
      <c r="E6036">
        <v>3</v>
      </c>
      <c r="H6036">
        <v>9</v>
      </c>
      <c r="I6036" t="s">
        <v>140</v>
      </c>
      <c r="J6036" t="s">
        <v>136</v>
      </c>
      <c r="K6036">
        <v>0</v>
      </c>
      <c r="L6036">
        <v>3</v>
      </c>
      <c r="M6036">
        <v>0</v>
      </c>
      <c r="N6036">
        <v>2</v>
      </c>
      <c r="O6036">
        <v>1</v>
      </c>
      <c r="P6036">
        <v>0</v>
      </c>
      <c r="Q6036">
        <v>0</v>
      </c>
      <c r="S6036" t="str">
        <f t="shared" si="2828"/>
        <v>14:52:38.109</v>
      </c>
      <c r="T6036" t="str">
        <f t="shared" si="2829"/>
        <v>14:52:37.809</v>
      </c>
      <c r="U6036" t="str">
        <f t="shared" si="2819"/>
        <v>A9808D</v>
      </c>
      <c r="V6036">
        <v>0</v>
      </c>
      <c r="W6036">
        <v>0</v>
      </c>
      <c r="X6036">
        <v>1</v>
      </c>
      <c r="Z6036">
        <v>0</v>
      </c>
      <c r="AA6036">
        <v>9</v>
      </c>
      <c r="AB6036">
        <v>3</v>
      </c>
      <c r="AC6036">
        <v>0</v>
      </c>
      <c r="AD6036">
        <v>10</v>
      </c>
      <c r="AE6036">
        <v>0</v>
      </c>
      <c r="AF6036">
        <v>3</v>
      </c>
      <c r="AG6036">
        <v>2</v>
      </c>
      <c r="AH6036">
        <v>0</v>
      </c>
      <c r="AI6036" t="s">
        <v>1342</v>
      </c>
      <c r="AJ6036">
        <v>28.210981</v>
      </c>
      <c r="AK6036" t="s">
        <v>1343</v>
      </c>
      <c r="AL6036">
        <v>-82.366540000000001</v>
      </c>
      <c r="AM6036">
        <v>100</v>
      </c>
      <c r="AN6036">
        <v>100</v>
      </c>
      <c r="AO6036" t="s">
        <v>118</v>
      </c>
      <c r="AP6036">
        <v>3</v>
      </c>
      <c r="AQ6036">
        <v>85</v>
      </c>
      <c r="AR6036">
        <v>-832</v>
      </c>
      <c r="AZ6036">
        <v>1200</v>
      </c>
      <c r="BA6036">
        <v>1</v>
      </c>
      <c r="BB6036" t="str">
        <f t="shared" si="2804"/>
        <v xml:space="preserve">N711JA  </v>
      </c>
      <c r="BC6036">
        <v>1</v>
      </c>
      <c r="BE6036">
        <v>0</v>
      </c>
      <c r="BF6036">
        <v>0</v>
      </c>
      <c r="BG6036">
        <v>0</v>
      </c>
      <c r="BH6036">
        <v>300</v>
      </c>
      <c r="BI6036">
        <v>1</v>
      </c>
      <c r="BJ6036">
        <v>1</v>
      </c>
      <c r="BK6036">
        <v>0</v>
      </c>
      <c r="BL6036">
        <v>0</v>
      </c>
      <c r="BO6036">
        <v>0</v>
      </c>
      <c r="BP6036">
        <v>0</v>
      </c>
      <c r="BW6036" t="str">
        <f t="shared" si="2830"/>
        <v>14:52:38.114</v>
      </c>
      <c r="CJ6036">
        <v>0</v>
      </c>
      <c r="CK6036">
        <v>2</v>
      </c>
      <c r="CL6036">
        <v>0</v>
      </c>
      <c r="CM6036">
        <v>2</v>
      </c>
      <c r="CN6036">
        <v>0</v>
      </c>
      <c r="CO6036">
        <v>6</v>
      </c>
      <c r="CP6036" t="s">
        <v>119</v>
      </c>
      <c r="CQ6036">
        <v>343</v>
      </c>
      <c r="CR6036">
        <v>1</v>
      </c>
      <c r="CW6036">
        <v>11234223</v>
      </c>
      <c r="CY6036">
        <v>1</v>
      </c>
      <c r="CZ6036">
        <v>0</v>
      </c>
      <c r="DA6036">
        <v>1</v>
      </c>
      <c r="DB6036">
        <v>0</v>
      </c>
      <c r="DC6036">
        <v>0</v>
      </c>
      <c r="DD6036">
        <v>1</v>
      </c>
      <c r="DE6036">
        <v>0</v>
      </c>
      <c r="DF6036">
        <v>0</v>
      </c>
      <c r="DG6036">
        <v>0</v>
      </c>
      <c r="DH6036">
        <v>0</v>
      </c>
      <c r="DI6036">
        <v>0</v>
      </c>
    </row>
    <row r="6037" spans="1:113" x14ac:dyDescent="0.3">
      <c r="A6037" t="str">
        <f t="shared" si="2827"/>
        <v>05/12/2020 14:52:20.301</v>
      </c>
      <c r="C6037" t="str">
        <f t="shared" si="2803"/>
        <v>FFDFD3C0</v>
      </c>
      <c r="D6037" t="s">
        <v>126</v>
      </c>
      <c r="E6037">
        <v>7</v>
      </c>
      <c r="F6037">
        <v>1007</v>
      </c>
      <c r="G6037" t="s">
        <v>127</v>
      </c>
      <c r="J6037" t="s">
        <v>128</v>
      </c>
      <c r="K6037">
        <v>0</v>
      </c>
      <c r="L6037">
        <v>3</v>
      </c>
      <c r="M6037">
        <v>0</v>
      </c>
      <c r="N6037">
        <v>2</v>
      </c>
      <c r="O6037">
        <v>1</v>
      </c>
      <c r="P6037">
        <v>0</v>
      </c>
      <c r="Q6037">
        <v>0</v>
      </c>
      <c r="S6037" t="str">
        <f t="shared" si="2828"/>
        <v>14:52:38.109</v>
      </c>
      <c r="T6037" t="str">
        <f t="shared" si="2829"/>
        <v>14:52:37.809</v>
      </c>
      <c r="U6037" t="str">
        <f t="shared" si="2819"/>
        <v>A9808D</v>
      </c>
      <c r="V6037">
        <v>0</v>
      </c>
      <c r="W6037">
        <v>0</v>
      </c>
      <c r="X6037">
        <v>1</v>
      </c>
      <c r="Z6037">
        <v>0</v>
      </c>
      <c r="AA6037">
        <v>9</v>
      </c>
      <c r="AB6037">
        <v>3</v>
      </c>
      <c r="AC6037">
        <v>0</v>
      </c>
      <c r="AD6037">
        <v>10</v>
      </c>
      <c r="AE6037">
        <v>0</v>
      </c>
      <c r="AF6037">
        <v>3</v>
      </c>
      <c r="AG6037">
        <v>2</v>
      </c>
      <c r="AH6037">
        <v>0</v>
      </c>
      <c r="AI6037" t="s">
        <v>1342</v>
      </c>
      <c r="AJ6037">
        <v>28.210981</v>
      </c>
      <c r="AK6037" t="s">
        <v>1343</v>
      </c>
      <c r="AL6037">
        <v>-82.366540000000001</v>
      </c>
      <c r="AM6037">
        <v>100</v>
      </c>
      <c r="AN6037">
        <v>100</v>
      </c>
      <c r="AO6037" t="s">
        <v>118</v>
      </c>
      <c r="AP6037">
        <v>3</v>
      </c>
      <c r="AQ6037">
        <v>85</v>
      </c>
      <c r="AR6037">
        <v>-832</v>
      </c>
      <c r="AZ6037">
        <v>1200</v>
      </c>
      <c r="BA6037">
        <v>1</v>
      </c>
      <c r="BB6037" t="str">
        <f t="shared" si="2804"/>
        <v xml:space="preserve">N711JA  </v>
      </c>
      <c r="BC6037">
        <v>1</v>
      </c>
      <c r="BE6037">
        <v>0</v>
      </c>
      <c r="BF6037">
        <v>0</v>
      </c>
      <c r="BG6037">
        <v>0</v>
      </c>
      <c r="BH6037">
        <v>300</v>
      </c>
      <c r="BI6037">
        <v>1</v>
      </c>
      <c r="BJ6037">
        <v>1</v>
      </c>
      <c r="BK6037">
        <v>0</v>
      </c>
      <c r="BL6037">
        <v>0</v>
      </c>
      <c r="BO6037">
        <v>0</v>
      </c>
      <c r="BP6037">
        <v>0</v>
      </c>
      <c r="BW6037" t="str">
        <f t="shared" si="2830"/>
        <v>14:52:38.114</v>
      </c>
      <c r="CJ6037">
        <v>0</v>
      </c>
      <c r="CK6037">
        <v>2</v>
      </c>
      <c r="CL6037">
        <v>0</v>
      </c>
      <c r="CM6037">
        <v>2</v>
      </c>
      <c r="CN6037">
        <v>0</v>
      </c>
      <c r="CO6037">
        <v>6</v>
      </c>
      <c r="CP6037" t="s">
        <v>119</v>
      </c>
      <c r="CQ6037">
        <v>343</v>
      </c>
      <c r="CR6037">
        <v>1</v>
      </c>
      <c r="CW6037">
        <v>11234223</v>
      </c>
      <c r="CY6037">
        <v>1</v>
      </c>
      <c r="CZ6037">
        <v>0</v>
      </c>
      <c r="DA6037">
        <v>1</v>
      </c>
      <c r="DB6037">
        <v>0</v>
      </c>
      <c r="DC6037">
        <v>0</v>
      </c>
      <c r="DD6037">
        <v>1</v>
      </c>
      <c r="DE6037">
        <v>0</v>
      </c>
      <c r="DF6037">
        <v>0</v>
      </c>
      <c r="DG6037">
        <v>0</v>
      </c>
      <c r="DH6037">
        <v>0</v>
      </c>
      <c r="DI6037">
        <v>0</v>
      </c>
    </row>
    <row r="6038" spans="1:113" x14ac:dyDescent="0.3">
      <c r="A6038" t="str">
        <f t="shared" si="2827"/>
        <v>05/12/2020 14:52:20.301</v>
      </c>
      <c r="C6038" t="str">
        <f t="shared" ref="C6038:C6106" si="2831">"FFDFD3C0"</f>
        <v>FFDFD3C0</v>
      </c>
      <c r="D6038" t="s">
        <v>131</v>
      </c>
      <c r="E6038">
        <v>10</v>
      </c>
      <c r="F6038">
        <v>2010</v>
      </c>
      <c r="G6038" t="s">
        <v>132</v>
      </c>
      <c r="J6038" t="s">
        <v>133</v>
      </c>
      <c r="K6038">
        <v>0</v>
      </c>
      <c r="L6038">
        <v>3</v>
      </c>
      <c r="M6038">
        <v>0</v>
      </c>
      <c r="N6038">
        <v>2</v>
      </c>
      <c r="O6038">
        <v>1</v>
      </c>
      <c r="P6038">
        <v>0</v>
      </c>
      <c r="Q6038">
        <v>0</v>
      </c>
      <c r="S6038" t="str">
        <f t="shared" si="2828"/>
        <v>14:52:38.109</v>
      </c>
      <c r="T6038" t="str">
        <f t="shared" si="2829"/>
        <v>14:52:37.809</v>
      </c>
      <c r="U6038" t="str">
        <f t="shared" si="2819"/>
        <v>A9808D</v>
      </c>
      <c r="V6038">
        <v>0</v>
      </c>
      <c r="W6038">
        <v>0</v>
      </c>
      <c r="X6038">
        <v>1</v>
      </c>
      <c r="Z6038">
        <v>0</v>
      </c>
      <c r="AA6038">
        <v>9</v>
      </c>
      <c r="AB6038">
        <v>3</v>
      </c>
      <c r="AC6038">
        <v>0</v>
      </c>
      <c r="AD6038">
        <v>10</v>
      </c>
      <c r="AE6038">
        <v>0</v>
      </c>
      <c r="AF6038">
        <v>3</v>
      </c>
      <c r="AG6038">
        <v>2</v>
      </c>
      <c r="AH6038">
        <v>0</v>
      </c>
      <c r="AI6038" t="s">
        <v>1342</v>
      </c>
      <c r="AJ6038">
        <v>28.210981</v>
      </c>
      <c r="AK6038" t="s">
        <v>1343</v>
      </c>
      <c r="AL6038">
        <v>-82.366540000000001</v>
      </c>
      <c r="AM6038">
        <v>100</v>
      </c>
      <c r="AN6038">
        <v>100</v>
      </c>
      <c r="AO6038" t="s">
        <v>118</v>
      </c>
      <c r="AP6038">
        <v>3</v>
      </c>
      <c r="AQ6038">
        <v>85</v>
      </c>
      <c r="AR6038">
        <v>-832</v>
      </c>
      <c r="AZ6038">
        <v>1200</v>
      </c>
      <c r="BA6038">
        <v>1</v>
      </c>
      <c r="BB6038" t="str">
        <f t="shared" ref="BB6038:BB6106" si="2832">"N711JA  "</f>
        <v xml:space="preserve">N711JA  </v>
      </c>
      <c r="BC6038">
        <v>1</v>
      </c>
      <c r="BE6038">
        <v>0</v>
      </c>
      <c r="BF6038">
        <v>0</v>
      </c>
      <c r="BG6038">
        <v>0</v>
      </c>
      <c r="BH6038">
        <v>300</v>
      </c>
      <c r="BI6038">
        <v>1</v>
      </c>
      <c r="BJ6038">
        <v>1</v>
      </c>
      <c r="BK6038">
        <v>0</v>
      </c>
      <c r="BL6038">
        <v>0</v>
      </c>
      <c r="BO6038">
        <v>0</v>
      </c>
      <c r="BP6038">
        <v>0</v>
      </c>
      <c r="BW6038" t="str">
        <f t="shared" si="2830"/>
        <v>14:52:38.114</v>
      </c>
      <c r="CJ6038">
        <v>0</v>
      </c>
      <c r="CK6038">
        <v>2</v>
      </c>
      <c r="CL6038">
        <v>0</v>
      </c>
      <c r="CM6038">
        <v>2</v>
      </c>
      <c r="CN6038">
        <v>0</v>
      </c>
      <c r="CO6038">
        <v>6</v>
      </c>
      <c r="CP6038" t="s">
        <v>119</v>
      </c>
      <c r="CQ6038">
        <v>343</v>
      </c>
      <c r="CR6038">
        <v>1</v>
      </c>
      <c r="CW6038">
        <v>11234223</v>
      </c>
      <c r="CY6038">
        <v>1</v>
      </c>
      <c r="CZ6038">
        <v>0</v>
      </c>
      <c r="DA6038">
        <v>1</v>
      </c>
      <c r="DB6038">
        <v>0</v>
      </c>
      <c r="DC6038">
        <v>0</v>
      </c>
      <c r="DD6038">
        <v>1</v>
      </c>
      <c r="DE6038">
        <v>0</v>
      </c>
      <c r="DF6038">
        <v>0</v>
      </c>
      <c r="DG6038">
        <v>0</v>
      </c>
      <c r="DH6038">
        <v>0</v>
      </c>
      <c r="DI6038">
        <v>0</v>
      </c>
    </row>
    <row r="6039" spans="1:113" x14ac:dyDescent="0.3">
      <c r="A6039" t="str">
        <f t="shared" si="2827"/>
        <v>05/12/2020 14:52:20.301</v>
      </c>
      <c r="C6039" t="str">
        <f t="shared" si="2831"/>
        <v>FFDFD3C0</v>
      </c>
      <c r="D6039" t="s">
        <v>131</v>
      </c>
      <c r="E6039">
        <v>12</v>
      </c>
      <c r="F6039">
        <v>2012</v>
      </c>
      <c r="G6039" t="s">
        <v>137</v>
      </c>
      <c r="J6039" t="s">
        <v>133</v>
      </c>
      <c r="K6039">
        <v>0</v>
      </c>
      <c r="L6039">
        <v>3</v>
      </c>
      <c r="M6039">
        <v>0</v>
      </c>
      <c r="N6039">
        <v>2</v>
      </c>
      <c r="O6039">
        <v>1</v>
      </c>
      <c r="P6039">
        <v>0</v>
      </c>
      <c r="Q6039">
        <v>0</v>
      </c>
      <c r="S6039" t="str">
        <f t="shared" si="2828"/>
        <v>14:52:38.109</v>
      </c>
      <c r="T6039" t="str">
        <f t="shared" si="2829"/>
        <v>14:52:37.809</v>
      </c>
      <c r="U6039" t="str">
        <f t="shared" si="2819"/>
        <v>A9808D</v>
      </c>
      <c r="V6039">
        <v>0</v>
      </c>
      <c r="W6039">
        <v>0</v>
      </c>
      <c r="X6039">
        <v>1</v>
      </c>
      <c r="Z6039">
        <v>0</v>
      </c>
      <c r="AA6039">
        <v>9</v>
      </c>
      <c r="AB6039">
        <v>3</v>
      </c>
      <c r="AC6039">
        <v>0</v>
      </c>
      <c r="AD6039">
        <v>10</v>
      </c>
      <c r="AE6039">
        <v>0</v>
      </c>
      <c r="AF6039">
        <v>3</v>
      </c>
      <c r="AG6039">
        <v>2</v>
      </c>
      <c r="AH6039">
        <v>0</v>
      </c>
      <c r="AI6039" t="s">
        <v>1342</v>
      </c>
      <c r="AJ6039">
        <v>28.210981</v>
      </c>
      <c r="AK6039" t="s">
        <v>1343</v>
      </c>
      <c r="AL6039">
        <v>-82.366540000000001</v>
      </c>
      <c r="AM6039">
        <v>100</v>
      </c>
      <c r="AN6039">
        <v>100</v>
      </c>
      <c r="AO6039" t="s">
        <v>118</v>
      </c>
      <c r="AP6039">
        <v>3</v>
      </c>
      <c r="AQ6039">
        <v>85</v>
      </c>
      <c r="AR6039">
        <v>-832</v>
      </c>
      <c r="AZ6039">
        <v>1200</v>
      </c>
      <c r="BA6039">
        <v>1</v>
      </c>
      <c r="BB6039" t="str">
        <f t="shared" si="2832"/>
        <v xml:space="preserve">N711JA  </v>
      </c>
      <c r="BC6039">
        <v>1</v>
      </c>
      <c r="BE6039">
        <v>0</v>
      </c>
      <c r="BF6039">
        <v>0</v>
      </c>
      <c r="BG6039">
        <v>0</v>
      </c>
      <c r="BH6039">
        <v>300</v>
      </c>
      <c r="BI6039">
        <v>1</v>
      </c>
      <c r="BJ6039">
        <v>1</v>
      </c>
      <c r="BK6039">
        <v>0</v>
      </c>
      <c r="BL6039">
        <v>0</v>
      </c>
      <c r="BO6039">
        <v>0</v>
      </c>
      <c r="BP6039">
        <v>0</v>
      </c>
      <c r="BW6039" t="str">
        <f t="shared" si="2830"/>
        <v>14:52:38.114</v>
      </c>
      <c r="CJ6039">
        <v>0</v>
      </c>
      <c r="CK6039">
        <v>2</v>
      </c>
      <c r="CL6039">
        <v>0</v>
      </c>
      <c r="CM6039">
        <v>2</v>
      </c>
      <c r="CN6039">
        <v>0</v>
      </c>
      <c r="CO6039">
        <v>6</v>
      </c>
      <c r="CP6039" t="s">
        <v>119</v>
      </c>
      <c r="CQ6039">
        <v>343</v>
      </c>
      <c r="CR6039">
        <v>1</v>
      </c>
      <c r="CW6039">
        <v>11234223</v>
      </c>
      <c r="CY6039">
        <v>1</v>
      </c>
      <c r="CZ6039">
        <v>0</v>
      </c>
      <c r="DA6039">
        <v>1</v>
      </c>
      <c r="DB6039">
        <v>0</v>
      </c>
      <c r="DC6039">
        <v>0</v>
      </c>
      <c r="DD6039">
        <v>1</v>
      </c>
      <c r="DE6039">
        <v>0</v>
      </c>
      <c r="DF6039">
        <v>0</v>
      </c>
      <c r="DG6039">
        <v>0</v>
      </c>
      <c r="DH6039">
        <v>0</v>
      </c>
      <c r="DI6039">
        <v>0</v>
      </c>
    </row>
    <row r="6040" spans="1:113" x14ac:dyDescent="0.3">
      <c r="A6040" t="str">
        <f t="shared" si="2827"/>
        <v>05/12/2020 14:52:20.301</v>
      </c>
      <c r="C6040" t="str">
        <f t="shared" si="2831"/>
        <v>FFDFD3C0</v>
      </c>
      <c r="D6040" t="s">
        <v>113</v>
      </c>
      <c r="E6040">
        <v>3</v>
      </c>
      <c r="H6040">
        <v>164</v>
      </c>
      <c r="I6040" t="s">
        <v>114</v>
      </c>
      <c r="J6040" t="s">
        <v>115</v>
      </c>
      <c r="K6040">
        <v>0</v>
      </c>
      <c r="L6040">
        <v>3</v>
      </c>
      <c r="M6040">
        <v>0</v>
      </c>
      <c r="N6040">
        <v>2</v>
      </c>
      <c r="O6040">
        <v>1</v>
      </c>
      <c r="P6040">
        <v>0</v>
      </c>
      <c r="Q6040">
        <v>0</v>
      </c>
      <c r="S6040" t="str">
        <f t="shared" si="2828"/>
        <v>14:52:38.109</v>
      </c>
      <c r="T6040" t="str">
        <f t="shared" si="2829"/>
        <v>14:52:37.809</v>
      </c>
      <c r="U6040" t="str">
        <f t="shared" si="2819"/>
        <v>A9808D</v>
      </c>
      <c r="V6040">
        <v>0</v>
      </c>
      <c r="W6040">
        <v>0</v>
      </c>
      <c r="X6040">
        <v>1</v>
      </c>
      <c r="Z6040">
        <v>0</v>
      </c>
      <c r="AA6040">
        <v>9</v>
      </c>
      <c r="AB6040">
        <v>3</v>
      </c>
      <c r="AC6040">
        <v>0</v>
      </c>
      <c r="AD6040">
        <v>10</v>
      </c>
      <c r="AE6040">
        <v>0</v>
      </c>
      <c r="AF6040">
        <v>3</v>
      </c>
      <c r="AG6040">
        <v>2</v>
      </c>
      <c r="AH6040">
        <v>0</v>
      </c>
      <c r="AI6040" t="s">
        <v>1342</v>
      </c>
      <c r="AJ6040">
        <v>28.210981</v>
      </c>
      <c r="AK6040" t="s">
        <v>1343</v>
      </c>
      <c r="AL6040">
        <v>-82.366540000000001</v>
      </c>
      <c r="AM6040">
        <v>100</v>
      </c>
      <c r="AN6040">
        <v>100</v>
      </c>
      <c r="AO6040" t="s">
        <v>118</v>
      </c>
      <c r="AP6040">
        <v>3</v>
      </c>
      <c r="AQ6040">
        <v>85</v>
      </c>
      <c r="AR6040">
        <v>-832</v>
      </c>
      <c r="AZ6040">
        <v>1200</v>
      </c>
      <c r="BA6040">
        <v>1</v>
      </c>
      <c r="BB6040" t="str">
        <f t="shared" si="2832"/>
        <v xml:space="preserve">N711JA  </v>
      </c>
      <c r="BC6040">
        <v>1</v>
      </c>
      <c r="BE6040">
        <v>0</v>
      </c>
      <c r="BF6040">
        <v>0</v>
      </c>
      <c r="BG6040">
        <v>0</v>
      </c>
      <c r="BH6040">
        <v>300</v>
      </c>
      <c r="BI6040">
        <v>1</v>
      </c>
      <c r="BJ6040">
        <v>1</v>
      </c>
      <c r="BK6040">
        <v>0</v>
      </c>
      <c r="BL6040">
        <v>0</v>
      </c>
      <c r="BO6040">
        <v>0</v>
      </c>
      <c r="BP6040">
        <v>0</v>
      </c>
      <c r="BW6040" t="str">
        <f t="shared" si="2830"/>
        <v>14:52:38.114</v>
      </c>
      <c r="CJ6040">
        <v>0</v>
      </c>
      <c r="CK6040">
        <v>2</v>
      </c>
      <c r="CL6040">
        <v>0</v>
      </c>
      <c r="CM6040">
        <v>2</v>
      </c>
      <c r="CN6040">
        <v>0</v>
      </c>
      <c r="CO6040">
        <v>6</v>
      </c>
      <c r="CP6040" t="s">
        <v>119</v>
      </c>
      <c r="CQ6040">
        <v>343</v>
      </c>
      <c r="CR6040">
        <v>1</v>
      </c>
      <c r="CW6040">
        <v>11234223</v>
      </c>
      <c r="CY6040">
        <v>1</v>
      </c>
      <c r="CZ6040">
        <v>0</v>
      </c>
      <c r="DA6040">
        <v>1</v>
      </c>
      <c r="DB6040">
        <v>0</v>
      </c>
      <c r="DC6040">
        <v>0</v>
      </c>
      <c r="DD6040">
        <v>1</v>
      </c>
      <c r="DE6040">
        <v>0</v>
      </c>
      <c r="DF6040">
        <v>0</v>
      </c>
      <c r="DG6040">
        <v>0</v>
      </c>
      <c r="DH6040">
        <v>0</v>
      </c>
      <c r="DI6040">
        <v>0</v>
      </c>
    </row>
    <row r="6041" spans="1:113" x14ac:dyDescent="0.3">
      <c r="A6041" t="str">
        <f t="shared" si="2827"/>
        <v>05/12/2020 14:52:20.301</v>
      </c>
      <c r="C6041" t="str">
        <f t="shared" si="2831"/>
        <v>FFDFD3C0</v>
      </c>
      <c r="D6041" t="s">
        <v>126</v>
      </c>
      <c r="E6041">
        <v>6</v>
      </c>
      <c r="F6041">
        <v>1006</v>
      </c>
      <c r="G6041" t="s">
        <v>114</v>
      </c>
      <c r="J6041" t="s">
        <v>128</v>
      </c>
      <c r="K6041">
        <v>0</v>
      </c>
      <c r="L6041">
        <v>3</v>
      </c>
      <c r="M6041">
        <v>0</v>
      </c>
      <c r="N6041">
        <v>2</v>
      </c>
      <c r="O6041">
        <v>1</v>
      </c>
      <c r="P6041">
        <v>0</v>
      </c>
      <c r="Q6041">
        <v>0</v>
      </c>
      <c r="S6041" t="str">
        <f t="shared" si="2828"/>
        <v>14:52:38.109</v>
      </c>
      <c r="T6041" t="str">
        <f t="shared" si="2829"/>
        <v>14:52:37.809</v>
      </c>
      <c r="U6041" t="str">
        <f t="shared" si="2819"/>
        <v>A9808D</v>
      </c>
      <c r="V6041">
        <v>0</v>
      </c>
      <c r="W6041">
        <v>0</v>
      </c>
      <c r="X6041">
        <v>1</v>
      </c>
      <c r="Z6041">
        <v>0</v>
      </c>
      <c r="AA6041">
        <v>9</v>
      </c>
      <c r="AB6041">
        <v>3</v>
      </c>
      <c r="AC6041">
        <v>0</v>
      </c>
      <c r="AD6041">
        <v>10</v>
      </c>
      <c r="AE6041">
        <v>0</v>
      </c>
      <c r="AF6041">
        <v>3</v>
      </c>
      <c r="AG6041">
        <v>2</v>
      </c>
      <c r="AH6041">
        <v>0</v>
      </c>
      <c r="AI6041" t="s">
        <v>1342</v>
      </c>
      <c r="AJ6041">
        <v>28.210981</v>
      </c>
      <c r="AK6041" t="s">
        <v>1343</v>
      </c>
      <c r="AL6041">
        <v>-82.366540000000001</v>
      </c>
      <c r="AM6041">
        <v>100</v>
      </c>
      <c r="AN6041">
        <v>100</v>
      </c>
      <c r="AO6041" t="s">
        <v>118</v>
      </c>
      <c r="AP6041">
        <v>3</v>
      </c>
      <c r="AQ6041">
        <v>85</v>
      </c>
      <c r="AR6041">
        <v>-832</v>
      </c>
      <c r="AZ6041">
        <v>1200</v>
      </c>
      <c r="BA6041">
        <v>1</v>
      </c>
      <c r="BB6041" t="str">
        <f t="shared" si="2832"/>
        <v xml:space="preserve">N711JA  </v>
      </c>
      <c r="BC6041">
        <v>1</v>
      </c>
      <c r="BE6041">
        <v>0</v>
      </c>
      <c r="BF6041">
        <v>0</v>
      </c>
      <c r="BG6041">
        <v>0</v>
      </c>
      <c r="BH6041">
        <v>300</v>
      </c>
      <c r="BI6041">
        <v>1</v>
      </c>
      <c r="BJ6041">
        <v>1</v>
      </c>
      <c r="BK6041">
        <v>0</v>
      </c>
      <c r="BL6041">
        <v>0</v>
      </c>
      <c r="BO6041">
        <v>0</v>
      </c>
      <c r="BP6041">
        <v>0</v>
      </c>
      <c r="BW6041" t="str">
        <f t="shared" si="2830"/>
        <v>14:52:38.114</v>
      </c>
      <c r="CJ6041">
        <v>0</v>
      </c>
      <c r="CK6041">
        <v>2</v>
      </c>
      <c r="CL6041">
        <v>0</v>
      </c>
      <c r="CM6041">
        <v>2</v>
      </c>
      <c r="CN6041">
        <v>0</v>
      </c>
      <c r="CO6041">
        <v>6</v>
      </c>
      <c r="CP6041" t="s">
        <v>119</v>
      </c>
      <c r="CQ6041">
        <v>343</v>
      </c>
      <c r="CR6041">
        <v>1</v>
      </c>
      <c r="CW6041">
        <v>11234223</v>
      </c>
      <c r="CY6041">
        <v>1</v>
      </c>
      <c r="CZ6041">
        <v>0</v>
      </c>
      <c r="DA6041">
        <v>1</v>
      </c>
      <c r="DB6041">
        <v>0</v>
      </c>
      <c r="DC6041">
        <v>0</v>
      </c>
      <c r="DD6041">
        <v>1</v>
      </c>
      <c r="DE6041">
        <v>0</v>
      </c>
      <c r="DF6041">
        <v>0</v>
      </c>
      <c r="DG6041">
        <v>0</v>
      </c>
      <c r="DH6041">
        <v>0</v>
      </c>
      <c r="DI6041">
        <v>0</v>
      </c>
    </row>
    <row r="6042" spans="1:113" x14ac:dyDescent="0.3">
      <c r="A6042" t="str">
        <f t="shared" si="2827"/>
        <v>05/12/2020 14:52:20.301</v>
      </c>
      <c r="C6042" t="str">
        <f t="shared" si="2831"/>
        <v>FFDFD3C0</v>
      </c>
      <c r="D6042" t="s">
        <v>134</v>
      </c>
      <c r="E6042">
        <v>12</v>
      </c>
      <c r="H6042">
        <v>64</v>
      </c>
      <c r="I6042" t="s">
        <v>135</v>
      </c>
      <c r="J6042" t="s">
        <v>136</v>
      </c>
      <c r="K6042">
        <v>0</v>
      </c>
      <c r="L6042">
        <v>3</v>
      </c>
      <c r="M6042">
        <v>0</v>
      </c>
      <c r="N6042">
        <v>2</v>
      </c>
      <c r="O6042">
        <v>1</v>
      </c>
      <c r="P6042">
        <v>0</v>
      </c>
      <c r="Q6042">
        <v>0</v>
      </c>
      <c r="S6042" t="str">
        <f t="shared" si="2828"/>
        <v>14:52:38.109</v>
      </c>
      <c r="T6042" t="str">
        <f t="shared" si="2829"/>
        <v>14:52:37.809</v>
      </c>
      <c r="U6042" t="str">
        <f t="shared" si="2819"/>
        <v>A9808D</v>
      </c>
      <c r="V6042">
        <v>0</v>
      </c>
      <c r="W6042">
        <v>0</v>
      </c>
      <c r="X6042">
        <v>1</v>
      </c>
      <c r="Z6042">
        <v>0</v>
      </c>
      <c r="AA6042">
        <v>9</v>
      </c>
      <c r="AB6042">
        <v>3</v>
      </c>
      <c r="AC6042">
        <v>0</v>
      </c>
      <c r="AD6042">
        <v>10</v>
      </c>
      <c r="AE6042">
        <v>0</v>
      </c>
      <c r="AF6042">
        <v>3</v>
      </c>
      <c r="AG6042">
        <v>2</v>
      </c>
      <c r="AH6042">
        <v>0</v>
      </c>
      <c r="AI6042" t="s">
        <v>1342</v>
      </c>
      <c r="AJ6042">
        <v>28.210981</v>
      </c>
      <c r="AK6042" t="s">
        <v>1343</v>
      </c>
      <c r="AL6042">
        <v>-82.366540000000001</v>
      </c>
      <c r="AM6042">
        <v>100</v>
      </c>
      <c r="AN6042">
        <v>100</v>
      </c>
      <c r="AO6042" t="s">
        <v>118</v>
      </c>
      <c r="AP6042">
        <v>3</v>
      </c>
      <c r="AQ6042">
        <v>85</v>
      </c>
      <c r="AR6042">
        <v>-832</v>
      </c>
      <c r="AZ6042">
        <v>1200</v>
      </c>
      <c r="BA6042">
        <v>1</v>
      </c>
      <c r="BB6042" t="str">
        <f t="shared" si="2832"/>
        <v xml:space="preserve">N711JA  </v>
      </c>
      <c r="BC6042">
        <v>1</v>
      </c>
      <c r="BE6042">
        <v>0</v>
      </c>
      <c r="BF6042">
        <v>0</v>
      </c>
      <c r="BG6042">
        <v>0</v>
      </c>
      <c r="BH6042">
        <v>300</v>
      </c>
      <c r="BI6042">
        <v>1</v>
      </c>
      <c r="BJ6042">
        <v>1</v>
      </c>
      <c r="BK6042">
        <v>0</v>
      </c>
      <c r="BL6042">
        <v>0</v>
      </c>
      <c r="BO6042">
        <v>0</v>
      </c>
      <c r="BP6042">
        <v>0</v>
      </c>
      <c r="BW6042" t="str">
        <f t="shared" si="2830"/>
        <v>14:52:38.114</v>
      </c>
      <c r="CJ6042">
        <v>0</v>
      </c>
      <c r="CK6042">
        <v>2</v>
      </c>
      <c r="CL6042">
        <v>0</v>
      </c>
      <c r="CM6042">
        <v>2</v>
      </c>
      <c r="CN6042">
        <v>0</v>
      </c>
      <c r="CO6042">
        <v>6</v>
      </c>
      <c r="CP6042" t="s">
        <v>119</v>
      </c>
      <c r="CQ6042">
        <v>343</v>
      </c>
      <c r="CR6042">
        <v>1</v>
      </c>
      <c r="CW6042">
        <v>11234223</v>
      </c>
      <c r="CY6042">
        <v>1</v>
      </c>
      <c r="CZ6042">
        <v>0</v>
      </c>
      <c r="DA6042">
        <v>1</v>
      </c>
      <c r="DB6042">
        <v>0</v>
      </c>
      <c r="DC6042">
        <v>0</v>
      </c>
      <c r="DD6042">
        <v>1</v>
      </c>
      <c r="DE6042">
        <v>0</v>
      </c>
      <c r="DF6042">
        <v>0</v>
      </c>
      <c r="DG6042">
        <v>0</v>
      </c>
      <c r="DH6042">
        <v>0</v>
      </c>
      <c r="DI6042">
        <v>0</v>
      </c>
    </row>
    <row r="6043" spans="1:113" x14ac:dyDescent="0.3">
      <c r="A6043" t="str">
        <f t="shared" ref="A6043:A6050" si="2833">"05/12/2020 14:52:21.312"</f>
        <v>05/12/2020 14:52:21.312</v>
      </c>
      <c r="C6043" t="str">
        <f t="shared" si="2831"/>
        <v>FFDFD3C0</v>
      </c>
      <c r="D6043" t="s">
        <v>138</v>
      </c>
      <c r="E6043">
        <v>2</v>
      </c>
      <c r="H6043">
        <v>8</v>
      </c>
      <c r="I6043" t="s">
        <v>139</v>
      </c>
      <c r="J6043" t="s">
        <v>136</v>
      </c>
      <c r="K6043">
        <v>0</v>
      </c>
      <c r="L6043">
        <v>3</v>
      </c>
      <c r="M6043">
        <v>0</v>
      </c>
      <c r="N6043">
        <v>2</v>
      </c>
      <c r="O6043">
        <v>1</v>
      </c>
      <c r="P6043">
        <v>0</v>
      </c>
      <c r="Q6043">
        <v>0</v>
      </c>
      <c r="S6043" t="str">
        <f t="shared" ref="S6043:S6050" si="2834">"14:52:39.109"</f>
        <v>14:52:39.109</v>
      </c>
      <c r="T6043" t="str">
        <f t="shared" ref="T6043:T6050" si="2835">"14:52:38.809"</f>
        <v>14:52:38.809</v>
      </c>
      <c r="U6043" t="str">
        <f t="shared" si="2819"/>
        <v>A9808D</v>
      </c>
      <c r="V6043">
        <v>0</v>
      </c>
      <c r="W6043">
        <v>0</v>
      </c>
      <c r="X6043">
        <v>1</v>
      </c>
      <c r="Z6043">
        <v>0</v>
      </c>
      <c r="AA6043">
        <v>9</v>
      </c>
      <c r="AB6043">
        <v>3</v>
      </c>
      <c r="AC6043">
        <v>0</v>
      </c>
      <c r="AD6043">
        <v>10</v>
      </c>
      <c r="AE6043">
        <v>0</v>
      </c>
      <c r="AF6043">
        <v>3</v>
      </c>
      <c r="AG6043">
        <v>2</v>
      </c>
      <c r="AH6043">
        <v>0</v>
      </c>
      <c r="AI6043" t="s">
        <v>1344</v>
      </c>
      <c r="AJ6043">
        <v>28.211345999999999</v>
      </c>
      <c r="AK6043" t="s">
        <v>440</v>
      </c>
      <c r="AL6043">
        <v>-82.366605000000007</v>
      </c>
      <c r="AM6043">
        <v>100</v>
      </c>
      <c r="AN6043">
        <v>100</v>
      </c>
      <c r="AO6043" t="s">
        <v>118</v>
      </c>
      <c r="AP6043">
        <v>-3</v>
      </c>
      <c r="AQ6043">
        <v>85</v>
      </c>
      <c r="AR6043">
        <v>-768</v>
      </c>
      <c r="AZ6043">
        <v>1200</v>
      </c>
      <c r="BA6043">
        <v>1</v>
      </c>
      <c r="BB6043" t="str">
        <f t="shared" si="2832"/>
        <v xml:space="preserve">N711JA  </v>
      </c>
      <c r="BC6043">
        <v>1</v>
      </c>
      <c r="BE6043">
        <v>0</v>
      </c>
      <c r="BF6043">
        <v>0</v>
      </c>
      <c r="BG6043">
        <v>0</v>
      </c>
      <c r="BH6043">
        <v>200</v>
      </c>
      <c r="BI6043">
        <v>1</v>
      </c>
      <c r="BJ6043">
        <v>1</v>
      </c>
      <c r="BK6043">
        <v>0</v>
      </c>
      <c r="BL6043">
        <v>0</v>
      </c>
      <c r="BO6043">
        <v>0</v>
      </c>
      <c r="BP6043">
        <v>0</v>
      </c>
      <c r="BW6043" t="str">
        <f t="shared" ref="BW6043:BW6050" si="2836">"14:52:39.112"</f>
        <v>14:52:39.112</v>
      </c>
      <c r="CJ6043">
        <v>0</v>
      </c>
      <c r="CK6043">
        <v>2</v>
      </c>
      <c r="CL6043">
        <v>0</v>
      </c>
      <c r="CM6043">
        <v>2</v>
      </c>
      <c r="CN6043">
        <v>0</v>
      </c>
      <c r="CO6043">
        <v>5</v>
      </c>
      <c r="CP6043" t="s">
        <v>119</v>
      </c>
      <c r="CQ6043">
        <v>343</v>
      </c>
      <c r="CR6043">
        <v>1</v>
      </c>
      <c r="CW6043">
        <v>11235205</v>
      </c>
      <c r="CY6043">
        <v>1</v>
      </c>
      <c r="CZ6043">
        <v>0</v>
      </c>
      <c r="DA6043">
        <v>0</v>
      </c>
      <c r="DB6043">
        <v>0</v>
      </c>
      <c r="DC6043">
        <v>0</v>
      </c>
      <c r="DD6043">
        <v>1</v>
      </c>
      <c r="DE6043">
        <v>0</v>
      </c>
      <c r="DF6043">
        <v>0</v>
      </c>
      <c r="DG6043">
        <v>0</v>
      </c>
      <c r="DH6043">
        <v>0</v>
      </c>
      <c r="DI6043">
        <v>0</v>
      </c>
    </row>
    <row r="6044" spans="1:113" x14ac:dyDescent="0.3">
      <c r="A6044" t="str">
        <f t="shared" si="2833"/>
        <v>05/12/2020 14:52:21.312</v>
      </c>
      <c r="C6044" t="str">
        <f t="shared" si="2831"/>
        <v>FFDFD3C0</v>
      </c>
      <c r="D6044" t="s">
        <v>126</v>
      </c>
      <c r="E6044">
        <v>7</v>
      </c>
      <c r="F6044">
        <v>1007</v>
      </c>
      <c r="G6044" t="s">
        <v>127</v>
      </c>
      <c r="J6044" t="s">
        <v>128</v>
      </c>
      <c r="K6044">
        <v>0</v>
      </c>
      <c r="L6044">
        <v>3</v>
      </c>
      <c r="M6044">
        <v>0</v>
      </c>
      <c r="N6044">
        <v>2</v>
      </c>
      <c r="O6044">
        <v>1</v>
      </c>
      <c r="P6044">
        <v>0</v>
      </c>
      <c r="Q6044">
        <v>0</v>
      </c>
      <c r="S6044" t="str">
        <f t="shared" si="2834"/>
        <v>14:52:39.109</v>
      </c>
      <c r="T6044" t="str">
        <f t="shared" si="2835"/>
        <v>14:52:38.809</v>
      </c>
      <c r="U6044" t="str">
        <f t="shared" si="2819"/>
        <v>A9808D</v>
      </c>
      <c r="V6044">
        <v>0</v>
      </c>
      <c r="W6044">
        <v>0</v>
      </c>
      <c r="X6044">
        <v>1</v>
      </c>
      <c r="Z6044">
        <v>0</v>
      </c>
      <c r="AA6044">
        <v>9</v>
      </c>
      <c r="AB6044">
        <v>3</v>
      </c>
      <c r="AC6044">
        <v>0</v>
      </c>
      <c r="AD6044">
        <v>10</v>
      </c>
      <c r="AE6044">
        <v>0</v>
      </c>
      <c r="AF6044">
        <v>3</v>
      </c>
      <c r="AG6044">
        <v>2</v>
      </c>
      <c r="AH6044">
        <v>0</v>
      </c>
      <c r="AI6044" t="s">
        <v>1344</v>
      </c>
      <c r="AJ6044">
        <v>28.211345999999999</v>
      </c>
      <c r="AK6044" t="s">
        <v>440</v>
      </c>
      <c r="AL6044">
        <v>-82.366605000000007</v>
      </c>
      <c r="AM6044">
        <v>100</v>
      </c>
      <c r="AN6044">
        <v>100</v>
      </c>
      <c r="AO6044" t="s">
        <v>118</v>
      </c>
      <c r="AP6044">
        <v>-3</v>
      </c>
      <c r="AQ6044">
        <v>85</v>
      </c>
      <c r="AR6044">
        <v>-768</v>
      </c>
      <c r="AZ6044">
        <v>1200</v>
      </c>
      <c r="BA6044">
        <v>1</v>
      </c>
      <c r="BB6044" t="str">
        <f t="shared" si="2832"/>
        <v xml:space="preserve">N711JA  </v>
      </c>
      <c r="BC6044">
        <v>1</v>
      </c>
      <c r="BE6044">
        <v>0</v>
      </c>
      <c r="BF6044">
        <v>0</v>
      </c>
      <c r="BG6044">
        <v>0</v>
      </c>
      <c r="BH6044">
        <v>200</v>
      </c>
      <c r="BI6044">
        <v>1</v>
      </c>
      <c r="BJ6044">
        <v>1</v>
      </c>
      <c r="BK6044">
        <v>0</v>
      </c>
      <c r="BL6044">
        <v>0</v>
      </c>
      <c r="BO6044">
        <v>0</v>
      </c>
      <c r="BP6044">
        <v>0</v>
      </c>
      <c r="BW6044" t="str">
        <f t="shared" si="2836"/>
        <v>14:52:39.112</v>
      </c>
      <c r="CJ6044">
        <v>0</v>
      </c>
      <c r="CK6044">
        <v>2</v>
      </c>
      <c r="CL6044">
        <v>0</v>
      </c>
      <c r="CM6044">
        <v>2</v>
      </c>
      <c r="CN6044">
        <v>0</v>
      </c>
      <c r="CO6044">
        <v>5</v>
      </c>
      <c r="CP6044" t="s">
        <v>119</v>
      </c>
      <c r="CQ6044">
        <v>343</v>
      </c>
      <c r="CR6044">
        <v>1</v>
      </c>
      <c r="CW6044">
        <v>11235205</v>
      </c>
      <c r="CY6044">
        <v>1</v>
      </c>
      <c r="CZ6044">
        <v>0</v>
      </c>
      <c r="DA6044">
        <v>1</v>
      </c>
      <c r="DB6044">
        <v>0</v>
      </c>
      <c r="DC6044">
        <v>0</v>
      </c>
      <c r="DD6044">
        <v>1</v>
      </c>
      <c r="DE6044">
        <v>0</v>
      </c>
      <c r="DF6044">
        <v>0</v>
      </c>
      <c r="DG6044">
        <v>0</v>
      </c>
      <c r="DH6044">
        <v>0</v>
      </c>
      <c r="DI6044">
        <v>0</v>
      </c>
    </row>
    <row r="6045" spans="1:113" x14ac:dyDescent="0.3">
      <c r="A6045" t="str">
        <f t="shared" si="2833"/>
        <v>05/12/2020 14:52:21.312</v>
      </c>
      <c r="C6045" t="str">
        <f t="shared" si="2831"/>
        <v>FFDFD3C0</v>
      </c>
      <c r="D6045" t="s">
        <v>131</v>
      </c>
      <c r="E6045">
        <v>10</v>
      </c>
      <c r="F6045">
        <v>2010</v>
      </c>
      <c r="G6045" t="s">
        <v>132</v>
      </c>
      <c r="J6045" t="s">
        <v>133</v>
      </c>
      <c r="K6045">
        <v>0</v>
      </c>
      <c r="L6045">
        <v>3</v>
      </c>
      <c r="M6045">
        <v>0</v>
      </c>
      <c r="N6045">
        <v>2</v>
      </c>
      <c r="O6045">
        <v>1</v>
      </c>
      <c r="P6045">
        <v>0</v>
      </c>
      <c r="Q6045">
        <v>0</v>
      </c>
      <c r="S6045" t="str">
        <f t="shared" si="2834"/>
        <v>14:52:39.109</v>
      </c>
      <c r="T6045" t="str">
        <f t="shared" si="2835"/>
        <v>14:52:38.809</v>
      </c>
      <c r="U6045" t="str">
        <f t="shared" si="2819"/>
        <v>A9808D</v>
      </c>
      <c r="V6045">
        <v>0</v>
      </c>
      <c r="W6045">
        <v>0</v>
      </c>
      <c r="X6045">
        <v>1</v>
      </c>
      <c r="Z6045">
        <v>0</v>
      </c>
      <c r="AA6045">
        <v>9</v>
      </c>
      <c r="AB6045">
        <v>3</v>
      </c>
      <c r="AC6045">
        <v>0</v>
      </c>
      <c r="AD6045">
        <v>10</v>
      </c>
      <c r="AE6045">
        <v>0</v>
      </c>
      <c r="AF6045">
        <v>3</v>
      </c>
      <c r="AG6045">
        <v>2</v>
      </c>
      <c r="AH6045">
        <v>0</v>
      </c>
      <c r="AI6045" t="s">
        <v>1344</v>
      </c>
      <c r="AJ6045">
        <v>28.211345999999999</v>
      </c>
      <c r="AK6045" t="s">
        <v>440</v>
      </c>
      <c r="AL6045">
        <v>-82.366605000000007</v>
      </c>
      <c r="AM6045">
        <v>100</v>
      </c>
      <c r="AN6045">
        <v>100</v>
      </c>
      <c r="AO6045" t="s">
        <v>118</v>
      </c>
      <c r="AP6045">
        <v>-3</v>
      </c>
      <c r="AQ6045">
        <v>85</v>
      </c>
      <c r="AR6045">
        <v>-768</v>
      </c>
      <c r="AZ6045">
        <v>1200</v>
      </c>
      <c r="BA6045">
        <v>1</v>
      </c>
      <c r="BB6045" t="str">
        <f t="shared" si="2832"/>
        <v xml:space="preserve">N711JA  </v>
      </c>
      <c r="BC6045">
        <v>1</v>
      </c>
      <c r="BE6045">
        <v>0</v>
      </c>
      <c r="BF6045">
        <v>0</v>
      </c>
      <c r="BG6045">
        <v>0</v>
      </c>
      <c r="BH6045">
        <v>200</v>
      </c>
      <c r="BI6045">
        <v>1</v>
      </c>
      <c r="BJ6045">
        <v>1</v>
      </c>
      <c r="BK6045">
        <v>0</v>
      </c>
      <c r="BL6045">
        <v>0</v>
      </c>
      <c r="BO6045">
        <v>0</v>
      </c>
      <c r="BP6045">
        <v>0</v>
      </c>
      <c r="BW6045" t="str">
        <f t="shared" si="2836"/>
        <v>14:52:39.112</v>
      </c>
      <c r="CJ6045">
        <v>0</v>
      </c>
      <c r="CK6045">
        <v>2</v>
      </c>
      <c r="CL6045">
        <v>0</v>
      </c>
      <c r="CM6045">
        <v>2</v>
      </c>
      <c r="CN6045">
        <v>0</v>
      </c>
      <c r="CO6045">
        <v>5</v>
      </c>
      <c r="CP6045" t="s">
        <v>119</v>
      </c>
      <c r="CQ6045">
        <v>343</v>
      </c>
      <c r="CR6045">
        <v>1</v>
      </c>
      <c r="CW6045">
        <v>11235205</v>
      </c>
      <c r="CY6045">
        <v>1</v>
      </c>
      <c r="CZ6045">
        <v>0</v>
      </c>
      <c r="DA6045">
        <v>1</v>
      </c>
      <c r="DB6045">
        <v>0</v>
      </c>
      <c r="DC6045">
        <v>0</v>
      </c>
      <c r="DD6045">
        <v>1</v>
      </c>
      <c r="DE6045">
        <v>0</v>
      </c>
      <c r="DF6045">
        <v>0</v>
      </c>
      <c r="DG6045">
        <v>0</v>
      </c>
      <c r="DH6045">
        <v>0</v>
      </c>
      <c r="DI6045">
        <v>0</v>
      </c>
    </row>
    <row r="6046" spans="1:113" x14ac:dyDescent="0.3">
      <c r="A6046" t="str">
        <f t="shared" si="2833"/>
        <v>05/12/2020 14:52:21.312</v>
      </c>
      <c r="C6046" t="str">
        <f t="shared" si="2831"/>
        <v>FFDFD3C0</v>
      </c>
      <c r="D6046" t="s">
        <v>131</v>
      </c>
      <c r="E6046">
        <v>12</v>
      </c>
      <c r="F6046">
        <v>2012</v>
      </c>
      <c r="G6046" t="s">
        <v>137</v>
      </c>
      <c r="J6046" t="s">
        <v>133</v>
      </c>
      <c r="K6046">
        <v>0</v>
      </c>
      <c r="L6046">
        <v>3</v>
      </c>
      <c r="M6046">
        <v>0</v>
      </c>
      <c r="N6046">
        <v>2</v>
      </c>
      <c r="O6046">
        <v>1</v>
      </c>
      <c r="P6046">
        <v>0</v>
      </c>
      <c r="Q6046">
        <v>0</v>
      </c>
      <c r="S6046" t="str">
        <f t="shared" si="2834"/>
        <v>14:52:39.109</v>
      </c>
      <c r="T6046" t="str">
        <f t="shared" si="2835"/>
        <v>14:52:38.809</v>
      </c>
      <c r="U6046" t="str">
        <f t="shared" si="2819"/>
        <v>A9808D</v>
      </c>
      <c r="V6046">
        <v>0</v>
      </c>
      <c r="W6046">
        <v>0</v>
      </c>
      <c r="X6046">
        <v>1</v>
      </c>
      <c r="Z6046">
        <v>0</v>
      </c>
      <c r="AA6046">
        <v>9</v>
      </c>
      <c r="AB6046">
        <v>3</v>
      </c>
      <c r="AC6046">
        <v>0</v>
      </c>
      <c r="AD6046">
        <v>10</v>
      </c>
      <c r="AE6046">
        <v>0</v>
      </c>
      <c r="AF6046">
        <v>3</v>
      </c>
      <c r="AG6046">
        <v>2</v>
      </c>
      <c r="AH6046">
        <v>0</v>
      </c>
      <c r="AI6046" t="s">
        <v>1344</v>
      </c>
      <c r="AJ6046">
        <v>28.211345999999999</v>
      </c>
      <c r="AK6046" t="s">
        <v>440</v>
      </c>
      <c r="AL6046">
        <v>-82.366605000000007</v>
      </c>
      <c r="AM6046">
        <v>100</v>
      </c>
      <c r="AN6046">
        <v>100</v>
      </c>
      <c r="AO6046" t="s">
        <v>118</v>
      </c>
      <c r="AP6046">
        <v>-3</v>
      </c>
      <c r="AQ6046">
        <v>85</v>
      </c>
      <c r="AR6046">
        <v>-768</v>
      </c>
      <c r="AZ6046">
        <v>1200</v>
      </c>
      <c r="BA6046">
        <v>1</v>
      </c>
      <c r="BB6046" t="str">
        <f t="shared" si="2832"/>
        <v xml:space="preserve">N711JA  </v>
      </c>
      <c r="BC6046">
        <v>1</v>
      </c>
      <c r="BE6046">
        <v>0</v>
      </c>
      <c r="BF6046">
        <v>0</v>
      </c>
      <c r="BG6046">
        <v>0</v>
      </c>
      <c r="BH6046">
        <v>200</v>
      </c>
      <c r="BI6046">
        <v>1</v>
      </c>
      <c r="BJ6046">
        <v>1</v>
      </c>
      <c r="BK6046">
        <v>0</v>
      </c>
      <c r="BL6046">
        <v>0</v>
      </c>
      <c r="BO6046">
        <v>0</v>
      </c>
      <c r="BP6046">
        <v>0</v>
      </c>
      <c r="BW6046" t="str">
        <f t="shared" si="2836"/>
        <v>14:52:39.112</v>
      </c>
      <c r="CJ6046">
        <v>0</v>
      </c>
      <c r="CK6046">
        <v>2</v>
      </c>
      <c r="CL6046">
        <v>0</v>
      </c>
      <c r="CM6046">
        <v>2</v>
      </c>
      <c r="CN6046">
        <v>0</v>
      </c>
      <c r="CO6046">
        <v>5</v>
      </c>
      <c r="CP6046" t="s">
        <v>119</v>
      </c>
      <c r="CQ6046">
        <v>343</v>
      </c>
      <c r="CR6046">
        <v>1</v>
      </c>
      <c r="CW6046">
        <v>11235205</v>
      </c>
      <c r="CY6046">
        <v>1</v>
      </c>
      <c r="CZ6046">
        <v>0</v>
      </c>
      <c r="DA6046">
        <v>1</v>
      </c>
      <c r="DB6046">
        <v>0</v>
      </c>
      <c r="DC6046">
        <v>0</v>
      </c>
      <c r="DD6046">
        <v>1</v>
      </c>
      <c r="DE6046">
        <v>0</v>
      </c>
      <c r="DF6046">
        <v>0</v>
      </c>
      <c r="DG6046">
        <v>0</v>
      </c>
      <c r="DH6046">
        <v>0</v>
      </c>
      <c r="DI6046">
        <v>0</v>
      </c>
    </row>
    <row r="6047" spans="1:113" x14ac:dyDescent="0.3">
      <c r="A6047" t="str">
        <f t="shared" si="2833"/>
        <v>05/12/2020 14:52:21.312</v>
      </c>
      <c r="C6047" t="str">
        <f t="shared" si="2831"/>
        <v>FFDFD3C0</v>
      </c>
      <c r="D6047" t="s">
        <v>138</v>
      </c>
      <c r="E6047">
        <v>3</v>
      </c>
      <c r="H6047">
        <v>9</v>
      </c>
      <c r="I6047" t="s">
        <v>140</v>
      </c>
      <c r="J6047" t="s">
        <v>136</v>
      </c>
      <c r="K6047">
        <v>0</v>
      </c>
      <c r="L6047">
        <v>3</v>
      </c>
      <c r="M6047">
        <v>0</v>
      </c>
      <c r="N6047">
        <v>2</v>
      </c>
      <c r="O6047">
        <v>1</v>
      </c>
      <c r="P6047">
        <v>0</v>
      </c>
      <c r="Q6047">
        <v>0</v>
      </c>
      <c r="S6047" t="str">
        <f t="shared" si="2834"/>
        <v>14:52:39.109</v>
      </c>
      <c r="T6047" t="str">
        <f t="shared" si="2835"/>
        <v>14:52:38.809</v>
      </c>
      <c r="U6047" t="str">
        <f t="shared" si="2819"/>
        <v>A9808D</v>
      </c>
      <c r="V6047">
        <v>0</v>
      </c>
      <c r="W6047">
        <v>0</v>
      </c>
      <c r="X6047">
        <v>1</v>
      </c>
      <c r="Z6047">
        <v>0</v>
      </c>
      <c r="AA6047">
        <v>9</v>
      </c>
      <c r="AB6047">
        <v>3</v>
      </c>
      <c r="AC6047">
        <v>0</v>
      </c>
      <c r="AD6047">
        <v>10</v>
      </c>
      <c r="AE6047">
        <v>0</v>
      </c>
      <c r="AF6047">
        <v>3</v>
      </c>
      <c r="AG6047">
        <v>2</v>
      </c>
      <c r="AH6047">
        <v>0</v>
      </c>
      <c r="AI6047" t="s">
        <v>1344</v>
      </c>
      <c r="AJ6047">
        <v>28.211345999999999</v>
      </c>
      <c r="AK6047" t="s">
        <v>440</v>
      </c>
      <c r="AL6047">
        <v>-82.366605000000007</v>
      </c>
      <c r="AM6047">
        <v>100</v>
      </c>
      <c r="AN6047">
        <v>100</v>
      </c>
      <c r="AO6047" t="s">
        <v>118</v>
      </c>
      <c r="AP6047">
        <v>-3</v>
      </c>
      <c r="AQ6047">
        <v>85</v>
      </c>
      <c r="AR6047">
        <v>-768</v>
      </c>
      <c r="AZ6047">
        <v>1200</v>
      </c>
      <c r="BA6047">
        <v>1</v>
      </c>
      <c r="BB6047" t="str">
        <f t="shared" si="2832"/>
        <v xml:space="preserve">N711JA  </v>
      </c>
      <c r="BC6047">
        <v>1</v>
      </c>
      <c r="BE6047">
        <v>0</v>
      </c>
      <c r="BF6047">
        <v>0</v>
      </c>
      <c r="BG6047">
        <v>0</v>
      </c>
      <c r="BH6047">
        <v>200</v>
      </c>
      <c r="BI6047">
        <v>1</v>
      </c>
      <c r="BJ6047">
        <v>1</v>
      </c>
      <c r="BK6047">
        <v>0</v>
      </c>
      <c r="BL6047">
        <v>0</v>
      </c>
      <c r="BO6047">
        <v>0</v>
      </c>
      <c r="BP6047">
        <v>0</v>
      </c>
      <c r="BW6047" t="str">
        <f t="shared" si="2836"/>
        <v>14:52:39.112</v>
      </c>
      <c r="CJ6047">
        <v>0</v>
      </c>
      <c r="CK6047">
        <v>2</v>
      </c>
      <c r="CL6047">
        <v>0</v>
      </c>
      <c r="CM6047">
        <v>2</v>
      </c>
      <c r="CN6047">
        <v>0</v>
      </c>
      <c r="CO6047">
        <v>5</v>
      </c>
      <c r="CP6047" t="s">
        <v>119</v>
      </c>
      <c r="CQ6047">
        <v>343</v>
      </c>
      <c r="CR6047">
        <v>1</v>
      </c>
      <c r="CW6047">
        <v>11235205</v>
      </c>
      <c r="CY6047">
        <v>1</v>
      </c>
      <c r="CZ6047">
        <v>0</v>
      </c>
      <c r="DA6047">
        <v>1</v>
      </c>
      <c r="DB6047">
        <v>0</v>
      </c>
      <c r="DC6047">
        <v>0</v>
      </c>
      <c r="DD6047">
        <v>1</v>
      </c>
      <c r="DE6047">
        <v>0</v>
      </c>
      <c r="DF6047">
        <v>0</v>
      </c>
      <c r="DG6047">
        <v>0</v>
      </c>
      <c r="DH6047">
        <v>0</v>
      </c>
      <c r="DI6047">
        <v>0</v>
      </c>
    </row>
    <row r="6048" spans="1:113" x14ac:dyDescent="0.3">
      <c r="A6048" t="str">
        <f t="shared" si="2833"/>
        <v>05/12/2020 14:52:21.312</v>
      </c>
      <c r="C6048" t="str">
        <f t="shared" si="2831"/>
        <v>FFDFD3C0</v>
      </c>
      <c r="D6048" t="s">
        <v>113</v>
      </c>
      <c r="E6048">
        <v>3</v>
      </c>
      <c r="H6048">
        <v>164</v>
      </c>
      <c r="I6048" t="s">
        <v>114</v>
      </c>
      <c r="J6048" t="s">
        <v>115</v>
      </c>
      <c r="K6048">
        <v>0</v>
      </c>
      <c r="L6048">
        <v>3</v>
      </c>
      <c r="M6048">
        <v>0</v>
      </c>
      <c r="N6048">
        <v>2</v>
      </c>
      <c r="O6048">
        <v>1</v>
      </c>
      <c r="P6048">
        <v>0</v>
      </c>
      <c r="Q6048">
        <v>0</v>
      </c>
      <c r="S6048" t="str">
        <f t="shared" si="2834"/>
        <v>14:52:39.109</v>
      </c>
      <c r="T6048" t="str">
        <f t="shared" si="2835"/>
        <v>14:52:38.809</v>
      </c>
      <c r="U6048" t="str">
        <f t="shared" si="2819"/>
        <v>A9808D</v>
      </c>
      <c r="V6048">
        <v>0</v>
      </c>
      <c r="W6048">
        <v>0</v>
      </c>
      <c r="X6048">
        <v>1</v>
      </c>
      <c r="Z6048">
        <v>0</v>
      </c>
      <c r="AA6048">
        <v>9</v>
      </c>
      <c r="AB6048">
        <v>3</v>
      </c>
      <c r="AC6048">
        <v>0</v>
      </c>
      <c r="AD6048">
        <v>10</v>
      </c>
      <c r="AE6048">
        <v>0</v>
      </c>
      <c r="AF6048">
        <v>3</v>
      </c>
      <c r="AG6048">
        <v>2</v>
      </c>
      <c r="AH6048">
        <v>0</v>
      </c>
      <c r="AI6048" t="s">
        <v>1344</v>
      </c>
      <c r="AJ6048">
        <v>28.211345999999999</v>
      </c>
      <c r="AK6048" t="s">
        <v>440</v>
      </c>
      <c r="AL6048">
        <v>-82.366605000000007</v>
      </c>
      <c r="AM6048">
        <v>100</v>
      </c>
      <c r="AN6048">
        <v>100</v>
      </c>
      <c r="AO6048" t="s">
        <v>118</v>
      </c>
      <c r="AP6048">
        <v>-3</v>
      </c>
      <c r="AQ6048">
        <v>85</v>
      </c>
      <c r="AR6048">
        <v>-768</v>
      </c>
      <c r="AZ6048">
        <v>1200</v>
      </c>
      <c r="BA6048">
        <v>1</v>
      </c>
      <c r="BB6048" t="str">
        <f t="shared" si="2832"/>
        <v xml:space="preserve">N711JA  </v>
      </c>
      <c r="BC6048">
        <v>1</v>
      </c>
      <c r="BE6048">
        <v>0</v>
      </c>
      <c r="BF6048">
        <v>0</v>
      </c>
      <c r="BG6048">
        <v>0</v>
      </c>
      <c r="BH6048">
        <v>200</v>
      </c>
      <c r="BI6048">
        <v>1</v>
      </c>
      <c r="BJ6048">
        <v>1</v>
      </c>
      <c r="BK6048">
        <v>0</v>
      </c>
      <c r="BL6048">
        <v>0</v>
      </c>
      <c r="BO6048">
        <v>0</v>
      </c>
      <c r="BP6048">
        <v>0</v>
      </c>
      <c r="BW6048" t="str">
        <f t="shared" si="2836"/>
        <v>14:52:39.112</v>
      </c>
      <c r="CJ6048">
        <v>0</v>
      </c>
      <c r="CK6048">
        <v>2</v>
      </c>
      <c r="CL6048">
        <v>0</v>
      </c>
      <c r="CM6048">
        <v>2</v>
      </c>
      <c r="CN6048">
        <v>0</v>
      </c>
      <c r="CO6048">
        <v>5</v>
      </c>
      <c r="CP6048" t="s">
        <v>119</v>
      </c>
      <c r="CQ6048">
        <v>343</v>
      </c>
      <c r="CR6048">
        <v>1</v>
      </c>
      <c r="CW6048">
        <v>11235205</v>
      </c>
      <c r="CY6048">
        <v>1</v>
      </c>
      <c r="CZ6048">
        <v>0</v>
      </c>
      <c r="DA6048">
        <v>1</v>
      </c>
      <c r="DB6048">
        <v>0</v>
      </c>
      <c r="DC6048">
        <v>0</v>
      </c>
      <c r="DD6048">
        <v>1</v>
      </c>
      <c r="DE6048">
        <v>0</v>
      </c>
      <c r="DF6048">
        <v>0</v>
      </c>
      <c r="DG6048">
        <v>0</v>
      </c>
      <c r="DH6048">
        <v>0</v>
      </c>
      <c r="DI6048">
        <v>0</v>
      </c>
    </row>
    <row r="6049" spans="1:113" x14ac:dyDescent="0.3">
      <c r="A6049" t="str">
        <f t="shared" si="2833"/>
        <v>05/12/2020 14:52:21.312</v>
      </c>
      <c r="C6049" t="str">
        <f t="shared" si="2831"/>
        <v>FFDFD3C0</v>
      </c>
      <c r="D6049" t="s">
        <v>126</v>
      </c>
      <c r="E6049">
        <v>6</v>
      </c>
      <c r="F6049">
        <v>1006</v>
      </c>
      <c r="G6049" t="s">
        <v>114</v>
      </c>
      <c r="J6049" t="s">
        <v>128</v>
      </c>
      <c r="K6049">
        <v>0</v>
      </c>
      <c r="L6049">
        <v>3</v>
      </c>
      <c r="M6049">
        <v>0</v>
      </c>
      <c r="N6049">
        <v>2</v>
      </c>
      <c r="O6049">
        <v>1</v>
      </c>
      <c r="P6049">
        <v>0</v>
      </c>
      <c r="Q6049">
        <v>0</v>
      </c>
      <c r="S6049" t="str">
        <f t="shared" si="2834"/>
        <v>14:52:39.109</v>
      </c>
      <c r="T6049" t="str">
        <f t="shared" si="2835"/>
        <v>14:52:38.809</v>
      </c>
      <c r="U6049" t="str">
        <f t="shared" si="2819"/>
        <v>A9808D</v>
      </c>
      <c r="V6049">
        <v>0</v>
      </c>
      <c r="W6049">
        <v>0</v>
      </c>
      <c r="X6049">
        <v>1</v>
      </c>
      <c r="Z6049">
        <v>0</v>
      </c>
      <c r="AA6049">
        <v>9</v>
      </c>
      <c r="AB6049">
        <v>3</v>
      </c>
      <c r="AC6049">
        <v>0</v>
      </c>
      <c r="AD6049">
        <v>10</v>
      </c>
      <c r="AE6049">
        <v>0</v>
      </c>
      <c r="AF6049">
        <v>3</v>
      </c>
      <c r="AG6049">
        <v>2</v>
      </c>
      <c r="AH6049">
        <v>0</v>
      </c>
      <c r="AI6049" t="s">
        <v>1344</v>
      </c>
      <c r="AJ6049">
        <v>28.211345999999999</v>
      </c>
      <c r="AK6049" t="s">
        <v>440</v>
      </c>
      <c r="AL6049">
        <v>-82.366605000000007</v>
      </c>
      <c r="AM6049">
        <v>100</v>
      </c>
      <c r="AN6049">
        <v>100</v>
      </c>
      <c r="AO6049" t="s">
        <v>118</v>
      </c>
      <c r="AP6049">
        <v>-3</v>
      </c>
      <c r="AQ6049">
        <v>85</v>
      </c>
      <c r="AR6049">
        <v>-768</v>
      </c>
      <c r="AZ6049">
        <v>1200</v>
      </c>
      <c r="BA6049">
        <v>1</v>
      </c>
      <c r="BB6049" t="str">
        <f t="shared" si="2832"/>
        <v xml:space="preserve">N711JA  </v>
      </c>
      <c r="BC6049">
        <v>1</v>
      </c>
      <c r="BE6049">
        <v>0</v>
      </c>
      <c r="BF6049">
        <v>0</v>
      </c>
      <c r="BG6049">
        <v>0</v>
      </c>
      <c r="BH6049">
        <v>200</v>
      </c>
      <c r="BI6049">
        <v>1</v>
      </c>
      <c r="BJ6049">
        <v>1</v>
      </c>
      <c r="BK6049">
        <v>0</v>
      </c>
      <c r="BL6049">
        <v>0</v>
      </c>
      <c r="BO6049">
        <v>0</v>
      </c>
      <c r="BP6049">
        <v>0</v>
      </c>
      <c r="BW6049" t="str">
        <f t="shared" si="2836"/>
        <v>14:52:39.112</v>
      </c>
      <c r="CJ6049">
        <v>0</v>
      </c>
      <c r="CK6049">
        <v>2</v>
      </c>
      <c r="CL6049">
        <v>0</v>
      </c>
      <c r="CM6049">
        <v>2</v>
      </c>
      <c r="CN6049">
        <v>0</v>
      </c>
      <c r="CO6049">
        <v>5</v>
      </c>
      <c r="CP6049" t="s">
        <v>119</v>
      </c>
      <c r="CQ6049">
        <v>343</v>
      </c>
      <c r="CR6049">
        <v>1</v>
      </c>
      <c r="CW6049">
        <v>11235205</v>
      </c>
      <c r="CY6049">
        <v>1</v>
      </c>
      <c r="CZ6049">
        <v>0</v>
      </c>
      <c r="DA6049">
        <v>1</v>
      </c>
      <c r="DB6049">
        <v>0</v>
      </c>
      <c r="DC6049">
        <v>0</v>
      </c>
      <c r="DD6049">
        <v>1</v>
      </c>
      <c r="DE6049">
        <v>0</v>
      </c>
      <c r="DF6049">
        <v>0</v>
      </c>
      <c r="DG6049">
        <v>0</v>
      </c>
      <c r="DH6049">
        <v>0</v>
      </c>
      <c r="DI6049">
        <v>0</v>
      </c>
    </row>
    <row r="6050" spans="1:113" x14ac:dyDescent="0.3">
      <c r="A6050" t="str">
        <f t="shared" si="2833"/>
        <v>05/12/2020 14:52:21.312</v>
      </c>
      <c r="C6050" t="str">
        <f t="shared" si="2831"/>
        <v>FFDFD3C0</v>
      </c>
      <c r="D6050" t="s">
        <v>134</v>
      </c>
      <c r="E6050">
        <v>12</v>
      </c>
      <c r="H6050">
        <v>64</v>
      </c>
      <c r="I6050" t="s">
        <v>135</v>
      </c>
      <c r="J6050" t="s">
        <v>136</v>
      </c>
      <c r="K6050">
        <v>0</v>
      </c>
      <c r="L6050">
        <v>3</v>
      </c>
      <c r="M6050">
        <v>0</v>
      </c>
      <c r="N6050">
        <v>2</v>
      </c>
      <c r="O6050">
        <v>1</v>
      </c>
      <c r="P6050">
        <v>0</v>
      </c>
      <c r="Q6050">
        <v>0</v>
      </c>
      <c r="S6050" t="str">
        <f t="shared" si="2834"/>
        <v>14:52:39.109</v>
      </c>
      <c r="T6050" t="str">
        <f t="shared" si="2835"/>
        <v>14:52:38.809</v>
      </c>
      <c r="U6050" t="str">
        <f t="shared" si="2819"/>
        <v>A9808D</v>
      </c>
      <c r="V6050">
        <v>0</v>
      </c>
      <c r="W6050">
        <v>0</v>
      </c>
      <c r="X6050">
        <v>1</v>
      </c>
      <c r="Z6050">
        <v>0</v>
      </c>
      <c r="AA6050">
        <v>9</v>
      </c>
      <c r="AB6050">
        <v>3</v>
      </c>
      <c r="AC6050">
        <v>0</v>
      </c>
      <c r="AD6050">
        <v>10</v>
      </c>
      <c r="AE6050">
        <v>0</v>
      </c>
      <c r="AF6050">
        <v>3</v>
      </c>
      <c r="AG6050">
        <v>2</v>
      </c>
      <c r="AH6050">
        <v>0</v>
      </c>
      <c r="AI6050" t="s">
        <v>1344</v>
      </c>
      <c r="AJ6050">
        <v>28.211345999999999</v>
      </c>
      <c r="AK6050" t="s">
        <v>440</v>
      </c>
      <c r="AL6050">
        <v>-82.366605000000007</v>
      </c>
      <c r="AM6050">
        <v>100</v>
      </c>
      <c r="AN6050">
        <v>100</v>
      </c>
      <c r="AO6050" t="s">
        <v>118</v>
      </c>
      <c r="AP6050">
        <v>-3</v>
      </c>
      <c r="AQ6050">
        <v>85</v>
      </c>
      <c r="AR6050">
        <v>-768</v>
      </c>
      <c r="AZ6050">
        <v>1200</v>
      </c>
      <c r="BA6050">
        <v>1</v>
      </c>
      <c r="BB6050" t="str">
        <f t="shared" si="2832"/>
        <v xml:space="preserve">N711JA  </v>
      </c>
      <c r="BC6050">
        <v>1</v>
      </c>
      <c r="BE6050">
        <v>0</v>
      </c>
      <c r="BF6050">
        <v>0</v>
      </c>
      <c r="BG6050">
        <v>0</v>
      </c>
      <c r="BH6050">
        <v>200</v>
      </c>
      <c r="BI6050">
        <v>1</v>
      </c>
      <c r="BJ6050">
        <v>1</v>
      </c>
      <c r="BK6050">
        <v>0</v>
      </c>
      <c r="BL6050">
        <v>0</v>
      </c>
      <c r="BO6050">
        <v>0</v>
      </c>
      <c r="BP6050">
        <v>0</v>
      </c>
      <c r="BW6050" t="str">
        <f t="shared" si="2836"/>
        <v>14:52:39.112</v>
      </c>
      <c r="CJ6050">
        <v>0</v>
      </c>
      <c r="CK6050">
        <v>2</v>
      </c>
      <c r="CL6050">
        <v>0</v>
      </c>
      <c r="CM6050">
        <v>2</v>
      </c>
      <c r="CN6050">
        <v>0</v>
      </c>
      <c r="CO6050">
        <v>5</v>
      </c>
      <c r="CP6050" t="s">
        <v>119</v>
      </c>
      <c r="CQ6050">
        <v>343</v>
      </c>
      <c r="CR6050">
        <v>1</v>
      </c>
      <c r="CW6050">
        <v>11235205</v>
      </c>
      <c r="CY6050">
        <v>1</v>
      </c>
      <c r="CZ6050">
        <v>0</v>
      </c>
      <c r="DA6050">
        <v>1</v>
      </c>
      <c r="DB6050">
        <v>0</v>
      </c>
      <c r="DC6050">
        <v>0</v>
      </c>
      <c r="DD6050">
        <v>1</v>
      </c>
      <c r="DE6050">
        <v>0</v>
      </c>
      <c r="DF6050">
        <v>0</v>
      </c>
      <c r="DG6050">
        <v>0</v>
      </c>
      <c r="DH6050">
        <v>0</v>
      </c>
      <c r="DI6050">
        <v>0</v>
      </c>
    </row>
    <row r="6051" spans="1:113" x14ac:dyDescent="0.3">
      <c r="A6051" t="str">
        <f t="shared" ref="A6051:A6058" si="2837">"05/12/2020 14:52:22.217"</f>
        <v>05/12/2020 14:52:22.217</v>
      </c>
      <c r="C6051" t="str">
        <f t="shared" si="2831"/>
        <v>FFDFD3C0</v>
      </c>
      <c r="D6051" t="s">
        <v>134</v>
      </c>
      <c r="E6051">
        <v>12</v>
      </c>
      <c r="H6051">
        <v>64</v>
      </c>
      <c r="I6051" t="s">
        <v>135</v>
      </c>
      <c r="J6051" t="s">
        <v>136</v>
      </c>
      <c r="K6051">
        <v>0</v>
      </c>
      <c r="L6051">
        <v>3</v>
      </c>
      <c r="M6051">
        <v>0</v>
      </c>
      <c r="N6051">
        <v>2</v>
      </c>
      <c r="O6051">
        <v>1</v>
      </c>
      <c r="P6051">
        <v>0</v>
      </c>
      <c r="Q6051">
        <v>0</v>
      </c>
      <c r="S6051" t="str">
        <f t="shared" ref="S6051:S6058" si="2838">"14:52:40.039"</f>
        <v>14:52:40.039</v>
      </c>
      <c r="T6051" t="str">
        <f t="shared" ref="T6051:T6058" si="2839">"14:52:39.939"</f>
        <v>14:52:39.939</v>
      </c>
      <c r="U6051" t="str">
        <f t="shared" si="2819"/>
        <v>A9808D</v>
      </c>
      <c r="V6051">
        <v>0</v>
      </c>
      <c r="W6051">
        <v>0</v>
      </c>
      <c r="X6051">
        <v>1</v>
      </c>
      <c r="Z6051">
        <v>0</v>
      </c>
      <c r="AA6051">
        <v>9</v>
      </c>
      <c r="AB6051">
        <v>3</v>
      </c>
      <c r="AC6051">
        <v>0</v>
      </c>
      <c r="AD6051">
        <v>10</v>
      </c>
      <c r="AE6051">
        <v>0</v>
      </c>
      <c r="AF6051">
        <v>3</v>
      </c>
      <c r="AG6051">
        <v>2</v>
      </c>
      <c r="AH6051">
        <v>0</v>
      </c>
      <c r="AI6051" t="s">
        <v>1345</v>
      </c>
      <c r="AJ6051">
        <v>28.211732000000001</v>
      </c>
      <c r="AK6051" t="s">
        <v>1338</v>
      </c>
      <c r="AL6051">
        <v>-82.366647999999998</v>
      </c>
      <c r="AM6051">
        <v>100</v>
      </c>
      <c r="AN6051">
        <v>100</v>
      </c>
      <c r="AO6051" t="s">
        <v>118</v>
      </c>
      <c r="AP6051">
        <v>-11</v>
      </c>
      <c r="AQ6051">
        <v>85</v>
      </c>
      <c r="AR6051">
        <v>-576</v>
      </c>
      <c r="AZ6051">
        <v>1200</v>
      </c>
      <c r="BA6051">
        <v>1</v>
      </c>
      <c r="BB6051" t="str">
        <f t="shared" si="2832"/>
        <v xml:space="preserve">N711JA  </v>
      </c>
      <c r="BC6051">
        <v>1</v>
      </c>
      <c r="BE6051">
        <v>0</v>
      </c>
      <c r="BF6051">
        <v>0</v>
      </c>
      <c r="BG6051">
        <v>0</v>
      </c>
      <c r="BH6051">
        <v>175</v>
      </c>
      <c r="BI6051">
        <v>1</v>
      </c>
      <c r="BJ6051">
        <v>1</v>
      </c>
      <c r="BK6051">
        <v>0</v>
      </c>
      <c r="BL6051">
        <v>0</v>
      </c>
      <c r="BO6051">
        <v>0</v>
      </c>
      <c r="BP6051">
        <v>0</v>
      </c>
      <c r="BW6051" t="str">
        <f t="shared" ref="BW6051:BW6058" si="2840">"14:52:40.046"</f>
        <v>14:52:40.046</v>
      </c>
      <c r="CJ6051">
        <v>0</v>
      </c>
      <c r="CK6051">
        <v>2</v>
      </c>
      <c r="CL6051">
        <v>0</v>
      </c>
      <c r="CM6051">
        <v>2</v>
      </c>
      <c r="CN6051">
        <v>0</v>
      </c>
      <c r="CO6051">
        <v>5</v>
      </c>
      <c r="CP6051" t="s">
        <v>119</v>
      </c>
      <c r="CQ6051">
        <v>343</v>
      </c>
      <c r="CR6051">
        <v>1</v>
      </c>
      <c r="CW6051">
        <v>11236094</v>
      </c>
      <c r="CY6051">
        <v>1</v>
      </c>
      <c r="CZ6051">
        <v>0</v>
      </c>
      <c r="DA6051">
        <v>0</v>
      </c>
      <c r="DB6051">
        <v>0</v>
      </c>
      <c r="DC6051">
        <v>0</v>
      </c>
      <c r="DD6051">
        <v>1</v>
      </c>
      <c r="DE6051">
        <v>0</v>
      </c>
      <c r="DF6051">
        <v>0</v>
      </c>
      <c r="DG6051">
        <v>0</v>
      </c>
      <c r="DH6051">
        <v>0</v>
      </c>
      <c r="DI6051">
        <v>0</v>
      </c>
    </row>
    <row r="6052" spans="1:113" x14ac:dyDescent="0.3">
      <c r="A6052" t="str">
        <f t="shared" si="2837"/>
        <v>05/12/2020 14:52:22.217</v>
      </c>
      <c r="C6052" t="str">
        <f t="shared" si="2831"/>
        <v>FFDFD3C0</v>
      </c>
      <c r="D6052" t="s">
        <v>126</v>
      </c>
      <c r="E6052">
        <v>7</v>
      </c>
      <c r="F6052">
        <v>1007</v>
      </c>
      <c r="G6052" t="s">
        <v>127</v>
      </c>
      <c r="J6052" t="s">
        <v>128</v>
      </c>
      <c r="K6052">
        <v>0</v>
      </c>
      <c r="L6052">
        <v>3</v>
      </c>
      <c r="M6052">
        <v>0</v>
      </c>
      <c r="N6052">
        <v>2</v>
      </c>
      <c r="O6052">
        <v>1</v>
      </c>
      <c r="P6052">
        <v>0</v>
      </c>
      <c r="Q6052">
        <v>0</v>
      </c>
      <c r="S6052" t="str">
        <f t="shared" si="2838"/>
        <v>14:52:40.039</v>
      </c>
      <c r="T6052" t="str">
        <f t="shared" si="2839"/>
        <v>14:52:39.939</v>
      </c>
      <c r="U6052" t="str">
        <f t="shared" si="2819"/>
        <v>A9808D</v>
      </c>
      <c r="V6052">
        <v>0</v>
      </c>
      <c r="W6052">
        <v>0</v>
      </c>
      <c r="X6052">
        <v>1</v>
      </c>
      <c r="Z6052">
        <v>0</v>
      </c>
      <c r="AA6052">
        <v>9</v>
      </c>
      <c r="AB6052">
        <v>3</v>
      </c>
      <c r="AC6052">
        <v>0</v>
      </c>
      <c r="AD6052">
        <v>10</v>
      </c>
      <c r="AE6052">
        <v>0</v>
      </c>
      <c r="AF6052">
        <v>3</v>
      </c>
      <c r="AG6052">
        <v>2</v>
      </c>
      <c r="AH6052">
        <v>0</v>
      </c>
      <c r="AI6052" t="s">
        <v>1345</v>
      </c>
      <c r="AJ6052">
        <v>28.211732000000001</v>
      </c>
      <c r="AK6052" t="s">
        <v>1338</v>
      </c>
      <c r="AL6052">
        <v>-82.366647999999998</v>
      </c>
      <c r="AM6052">
        <v>100</v>
      </c>
      <c r="AN6052">
        <v>100</v>
      </c>
      <c r="AO6052" t="s">
        <v>118</v>
      </c>
      <c r="AP6052">
        <v>-11</v>
      </c>
      <c r="AQ6052">
        <v>85</v>
      </c>
      <c r="AR6052">
        <v>-576</v>
      </c>
      <c r="AZ6052">
        <v>1200</v>
      </c>
      <c r="BA6052">
        <v>1</v>
      </c>
      <c r="BB6052" t="str">
        <f t="shared" si="2832"/>
        <v xml:space="preserve">N711JA  </v>
      </c>
      <c r="BC6052">
        <v>1</v>
      </c>
      <c r="BE6052">
        <v>0</v>
      </c>
      <c r="BF6052">
        <v>0</v>
      </c>
      <c r="BG6052">
        <v>0</v>
      </c>
      <c r="BH6052">
        <v>175</v>
      </c>
      <c r="BI6052">
        <v>1</v>
      </c>
      <c r="BJ6052">
        <v>1</v>
      </c>
      <c r="BK6052">
        <v>0</v>
      </c>
      <c r="BL6052">
        <v>0</v>
      </c>
      <c r="BO6052">
        <v>0</v>
      </c>
      <c r="BP6052">
        <v>0</v>
      </c>
      <c r="BW6052" t="str">
        <f t="shared" si="2840"/>
        <v>14:52:40.046</v>
      </c>
      <c r="CJ6052">
        <v>0</v>
      </c>
      <c r="CK6052">
        <v>2</v>
      </c>
      <c r="CL6052">
        <v>0</v>
      </c>
      <c r="CM6052">
        <v>2</v>
      </c>
      <c r="CN6052">
        <v>0</v>
      </c>
      <c r="CO6052">
        <v>5</v>
      </c>
      <c r="CP6052" t="s">
        <v>119</v>
      </c>
      <c r="CQ6052">
        <v>343</v>
      </c>
      <c r="CR6052">
        <v>1</v>
      </c>
      <c r="CW6052">
        <v>11236094</v>
      </c>
      <c r="CY6052">
        <v>1</v>
      </c>
      <c r="CZ6052">
        <v>0</v>
      </c>
      <c r="DA6052">
        <v>1</v>
      </c>
      <c r="DB6052">
        <v>0</v>
      </c>
      <c r="DC6052">
        <v>0</v>
      </c>
      <c r="DD6052">
        <v>1</v>
      </c>
      <c r="DE6052">
        <v>0</v>
      </c>
      <c r="DF6052">
        <v>0</v>
      </c>
      <c r="DG6052">
        <v>0</v>
      </c>
      <c r="DH6052">
        <v>0</v>
      </c>
      <c r="DI6052">
        <v>0</v>
      </c>
    </row>
    <row r="6053" spans="1:113" x14ac:dyDescent="0.3">
      <c r="A6053" t="str">
        <f t="shared" si="2837"/>
        <v>05/12/2020 14:52:22.217</v>
      </c>
      <c r="C6053" t="str">
        <f t="shared" si="2831"/>
        <v>FFDFD3C0</v>
      </c>
      <c r="D6053" t="s">
        <v>131</v>
      </c>
      <c r="E6053">
        <v>10</v>
      </c>
      <c r="F6053">
        <v>2010</v>
      </c>
      <c r="G6053" t="s">
        <v>132</v>
      </c>
      <c r="J6053" t="s">
        <v>133</v>
      </c>
      <c r="K6053">
        <v>0</v>
      </c>
      <c r="L6053">
        <v>3</v>
      </c>
      <c r="M6053">
        <v>0</v>
      </c>
      <c r="N6053">
        <v>2</v>
      </c>
      <c r="O6053">
        <v>1</v>
      </c>
      <c r="P6053">
        <v>0</v>
      </c>
      <c r="Q6053">
        <v>0</v>
      </c>
      <c r="S6053" t="str">
        <f t="shared" si="2838"/>
        <v>14:52:40.039</v>
      </c>
      <c r="T6053" t="str">
        <f t="shared" si="2839"/>
        <v>14:52:39.939</v>
      </c>
      <c r="U6053" t="str">
        <f t="shared" si="2819"/>
        <v>A9808D</v>
      </c>
      <c r="V6053">
        <v>0</v>
      </c>
      <c r="W6053">
        <v>0</v>
      </c>
      <c r="X6053">
        <v>1</v>
      </c>
      <c r="Z6053">
        <v>0</v>
      </c>
      <c r="AA6053">
        <v>9</v>
      </c>
      <c r="AB6053">
        <v>3</v>
      </c>
      <c r="AC6053">
        <v>0</v>
      </c>
      <c r="AD6053">
        <v>10</v>
      </c>
      <c r="AE6053">
        <v>0</v>
      </c>
      <c r="AF6053">
        <v>3</v>
      </c>
      <c r="AG6053">
        <v>2</v>
      </c>
      <c r="AH6053">
        <v>0</v>
      </c>
      <c r="AI6053" t="s">
        <v>1345</v>
      </c>
      <c r="AJ6053">
        <v>28.211732000000001</v>
      </c>
      <c r="AK6053" t="s">
        <v>1338</v>
      </c>
      <c r="AL6053">
        <v>-82.366647999999998</v>
      </c>
      <c r="AM6053">
        <v>100</v>
      </c>
      <c r="AN6053">
        <v>100</v>
      </c>
      <c r="AO6053" t="s">
        <v>118</v>
      </c>
      <c r="AP6053">
        <v>-11</v>
      </c>
      <c r="AQ6053">
        <v>85</v>
      </c>
      <c r="AR6053">
        <v>-576</v>
      </c>
      <c r="AZ6053">
        <v>1200</v>
      </c>
      <c r="BA6053">
        <v>1</v>
      </c>
      <c r="BB6053" t="str">
        <f t="shared" si="2832"/>
        <v xml:space="preserve">N711JA  </v>
      </c>
      <c r="BC6053">
        <v>1</v>
      </c>
      <c r="BE6053">
        <v>0</v>
      </c>
      <c r="BF6053">
        <v>0</v>
      </c>
      <c r="BG6053">
        <v>0</v>
      </c>
      <c r="BH6053">
        <v>175</v>
      </c>
      <c r="BI6053">
        <v>1</v>
      </c>
      <c r="BJ6053">
        <v>1</v>
      </c>
      <c r="BK6053">
        <v>0</v>
      </c>
      <c r="BL6053">
        <v>0</v>
      </c>
      <c r="BO6053">
        <v>0</v>
      </c>
      <c r="BP6053">
        <v>0</v>
      </c>
      <c r="BW6053" t="str">
        <f t="shared" si="2840"/>
        <v>14:52:40.046</v>
      </c>
      <c r="CJ6053">
        <v>0</v>
      </c>
      <c r="CK6053">
        <v>2</v>
      </c>
      <c r="CL6053">
        <v>0</v>
      </c>
      <c r="CM6053">
        <v>2</v>
      </c>
      <c r="CN6053">
        <v>0</v>
      </c>
      <c r="CO6053">
        <v>5</v>
      </c>
      <c r="CP6053" t="s">
        <v>119</v>
      </c>
      <c r="CQ6053">
        <v>343</v>
      </c>
      <c r="CR6053">
        <v>1</v>
      </c>
      <c r="CW6053">
        <v>11236094</v>
      </c>
      <c r="CY6053">
        <v>1</v>
      </c>
      <c r="CZ6053">
        <v>0</v>
      </c>
      <c r="DA6053">
        <v>1</v>
      </c>
      <c r="DB6053">
        <v>0</v>
      </c>
      <c r="DC6053">
        <v>0</v>
      </c>
      <c r="DD6053">
        <v>1</v>
      </c>
      <c r="DE6053">
        <v>0</v>
      </c>
      <c r="DF6053">
        <v>0</v>
      </c>
      <c r="DG6053">
        <v>0</v>
      </c>
      <c r="DH6053">
        <v>0</v>
      </c>
      <c r="DI6053">
        <v>0</v>
      </c>
    </row>
    <row r="6054" spans="1:113" x14ac:dyDescent="0.3">
      <c r="A6054" t="str">
        <f t="shared" si="2837"/>
        <v>05/12/2020 14:52:22.217</v>
      </c>
      <c r="C6054" t="str">
        <f t="shared" si="2831"/>
        <v>FFDFD3C0</v>
      </c>
      <c r="D6054" t="s">
        <v>138</v>
      </c>
      <c r="E6054">
        <v>2</v>
      </c>
      <c r="H6054">
        <v>8</v>
      </c>
      <c r="I6054" t="s">
        <v>139</v>
      </c>
      <c r="J6054" t="s">
        <v>136</v>
      </c>
      <c r="K6054">
        <v>0</v>
      </c>
      <c r="L6054">
        <v>3</v>
      </c>
      <c r="M6054">
        <v>0</v>
      </c>
      <c r="N6054">
        <v>2</v>
      </c>
      <c r="O6054">
        <v>1</v>
      </c>
      <c r="P6054">
        <v>0</v>
      </c>
      <c r="Q6054">
        <v>0</v>
      </c>
      <c r="S6054" t="str">
        <f t="shared" si="2838"/>
        <v>14:52:40.039</v>
      </c>
      <c r="T6054" t="str">
        <f t="shared" si="2839"/>
        <v>14:52:39.939</v>
      </c>
      <c r="U6054" t="str">
        <f t="shared" si="2819"/>
        <v>A9808D</v>
      </c>
      <c r="V6054">
        <v>0</v>
      </c>
      <c r="W6054">
        <v>0</v>
      </c>
      <c r="X6054">
        <v>1</v>
      </c>
      <c r="Z6054">
        <v>0</v>
      </c>
      <c r="AA6054">
        <v>9</v>
      </c>
      <c r="AB6054">
        <v>3</v>
      </c>
      <c r="AC6054">
        <v>0</v>
      </c>
      <c r="AD6054">
        <v>10</v>
      </c>
      <c r="AE6054">
        <v>0</v>
      </c>
      <c r="AF6054">
        <v>3</v>
      </c>
      <c r="AG6054">
        <v>2</v>
      </c>
      <c r="AH6054">
        <v>0</v>
      </c>
      <c r="AI6054" t="s">
        <v>1345</v>
      </c>
      <c r="AJ6054">
        <v>28.211732000000001</v>
      </c>
      <c r="AK6054" t="s">
        <v>1338</v>
      </c>
      <c r="AL6054">
        <v>-82.366647999999998</v>
      </c>
      <c r="AM6054">
        <v>100</v>
      </c>
      <c r="AN6054">
        <v>100</v>
      </c>
      <c r="AO6054" t="s">
        <v>118</v>
      </c>
      <c r="AP6054">
        <v>-11</v>
      </c>
      <c r="AQ6054">
        <v>85</v>
      </c>
      <c r="AR6054">
        <v>-576</v>
      </c>
      <c r="AZ6054">
        <v>1200</v>
      </c>
      <c r="BA6054">
        <v>1</v>
      </c>
      <c r="BB6054" t="str">
        <f t="shared" si="2832"/>
        <v xml:space="preserve">N711JA  </v>
      </c>
      <c r="BC6054">
        <v>1</v>
      </c>
      <c r="BE6054">
        <v>0</v>
      </c>
      <c r="BF6054">
        <v>0</v>
      </c>
      <c r="BG6054">
        <v>0</v>
      </c>
      <c r="BH6054">
        <v>175</v>
      </c>
      <c r="BI6054">
        <v>1</v>
      </c>
      <c r="BJ6054">
        <v>1</v>
      </c>
      <c r="BK6054">
        <v>0</v>
      </c>
      <c r="BL6054">
        <v>0</v>
      </c>
      <c r="BO6054">
        <v>0</v>
      </c>
      <c r="BP6054">
        <v>0</v>
      </c>
      <c r="BW6054" t="str">
        <f t="shared" si="2840"/>
        <v>14:52:40.046</v>
      </c>
      <c r="CJ6054">
        <v>0</v>
      </c>
      <c r="CK6054">
        <v>2</v>
      </c>
      <c r="CL6054">
        <v>0</v>
      </c>
      <c r="CM6054">
        <v>2</v>
      </c>
      <c r="CN6054">
        <v>0</v>
      </c>
      <c r="CO6054">
        <v>5</v>
      </c>
      <c r="CP6054" t="s">
        <v>119</v>
      </c>
      <c r="CQ6054">
        <v>343</v>
      </c>
      <c r="CR6054">
        <v>1</v>
      </c>
      <c r="CW6054">
        <v>11236094</v>
      </c>
      <c r="CY6054">
        <v>1</v>
      </c>
      <c r="CZ6054">
        <v>0</v>
      </c>
      <c r="DA6054">
        <v>1</v>
      </c>
      <c r="DB6054">
        <v>0</v>
      </c>
      <c r="DC6054">
        <v>0</v>
      </c>
      <c r="DD6054">
        <v>1</v>
      </c>
      <c r="DE6054">
        <v>0</v>
      </c>
      <c r="DF6054">
        <v>0</v>
      </c>
      <c r="DG6054">
        <v>0</v>
      </c>
      <c r="DH6054">
        <v>0</v>
      </c>
      <c r="DI6054">
        <v>0</v>
      </c>
    </row>
    <row r="6055" spans="1:113" x14ac:dyDescent="0.3">
      <c r="A6055" t="str">
        <f t="shared" si="2837"/>
        <v>05/12/2020 14:52:22.217</v>
      </c>
      <c r="C6055" t="str">
        <f t="shared" si="2831"/>
        <v>FFDFD3C0</v>
      </c>
      <c r="D6055" t="s">
        <v>131</v>
      </c>
      <c r="E6055">
        <v>12</v>
      </c>
      <c r="F6055">
        <v>2012</v>
      </c>
      <c r="G6055" t="s">
        <v>137</v>
      </c>
      <c r="J6055" t="s">
        <v>133</v>
      </c>
      <c r="K6055">
        <v>0</v>
      </c>
      <c r="L6055">
        <v>3</v>
      </c>
      <c r="M6055">
        <v>0</v>
      </c>
      <c r="N6055">
        <v>2</v>
      </c>
      <c r="O6055">
        <v>1</v>
      </c>
      <c r="P6055">
        <v>0</v>
      </c>
      <c r="Q6055">
        <v>0</v>
      </c>
      <c r="S6055" t="str">
        <f t="shared" si="2838"/>
        <v>14:52:40.039</v>
      </c>
      <c r="T6055" t="str">
        <f t="shared" si="2839"/>
        <v>14:52:39.939</v>
      </c>
      <c r="U6055" t="str">
        <f t="shared" si="2819"/>
        <v>A9808D</v>
      </c>
      <c r="V6055">
        <v>0</v>
      </c>
      <c r="W6055">
        <v>0</v>
      </c>
      <c r="X6055">
        <v>1</v>
      </c>
      <c r="Z6055">
        <v>0</v>
      </c>
      <c r="AA6055">
        <v>9</v>
      </c>
      <c r="AB6055">
        <v>3</v>
      </c>
      <c r="AC6055">
        <v>0</v>
      </c>
      <c r="AD6055">
        <v>10</v>
      </c>
      <c r="AE6055">
        <v>0</v>
      </c>
      <c r="AF6055">
        <v>3</v>
      </c>
      <c r="AG6055">
        <v>2</v>
      </c>
      <c r="AH6055">
        <v>0</v>
      </c>
      <c r="AI6055" t="s">
        <v>1345</v>
      </c>
      <c r="AJ6055">
        <v>28.211732000000001</v>
      </c>
      <c r="AK6055" t="s">
        <v>1338</v>
      </c>
      <c r="AL6055">
        <v>-82.366647999999998</v>
      </c>
      <c r="AM6055">
        <v>100</v>
      </c>
      <c r="AN6055">
        <v>100</v>
      </c>
      <c r="AO6055" t="s">
        <v>118</v>
      </c>
      <c r="AP6055">
        <v>-11</v>
      </c>
      <c r="AQ6055">
        <v>85</v>
      </c>
      <c r="AR6055">
        <v>-576</v>
      </c>
      <c r="AZ6055">
        <v>1200</v>
      </c>
      <c r="BA6055">
        <v>1</v>
      </c>
      <c r="BB6055" t="str">
        <f t="shared" si="2832"/>
        <v xml:space="preserve">N711JA  </v>
      </c>
      <c r="BC6055">
        <v>1</v>
      </c>
      <c r="BE6055">
        <v>0</v>
      </c>
      <c r="BF6055">
        <v>0</v>
      </c>
      <c r="BG6055">
        <v>0</v>
      </c>
      <c r="BH6055">
        <v>175</v>
      </c>
      <c r="BI6055">
        <v>1</v>
      </c>
      <c r="BJ6055">
        <v>1</v>
      </c>
      <c r="BK6055">
        <v>0</v>
      </c>
      <c r="BL6055">
        <v>0</v>
      </c>
      <c r="BO6055">
        <v>0</v>
      </c>
      <c r="BP6055">
        <v>0</v>
      </c>
      <c r="BW6055" t="str">
        <f t="shared" si="2840"/>
        <v>14:52:40.046</v>
      </c>
      <c r="CJ6055">
        <v>0</v>
      </c>
      <c r="CK6055">
        <v>2</v>
      </c>
      <c r="CL6055">
        <v>0</v>
      </c>
      <c r="CM6055">
        <v>2</v>
      </c>
      <c r="CN6055">
        <v>0</v>
      </c>
      <c r="CO6055">
        <v>5</v>
      </c>
      <c r="CP6055" t="s">
        <v>119</v>
      </c>
      <c r="CQ6055">
        <v>343</v>
      </c>
      <c r="CR6055">
        <v>1</v>
      </c>
      <c r="CW6055">
        <v>11236094</v>
      </c>
      <c r="CY6055">
        <v>1</v>
      </c>
      <c r="CZ6055">
        <v>0</v>
      </c>
      <c r="DA6055">
        <v>1</v>
      </c>
      <c r="DB6055">
        <v>0</v>
      </c>
      <c r="DC6055">
        <v>0</v>
      </c>
      <c r="DD6055">
        <v>1</v>
      </c>
      <c r="DE6055">
        <v>0</v>
      </c>
      <c r="DF6055">
        <v>0</v>
      </c>
      <c r="DG6055">
        <v>0</v>
      </c>
      <c r="DH6055">
        <v>0</v>
      </c>
      <c r="DI6055">
        <v>0</v>
      </c>
    </row>
    <row r="6056" spans="1:113" x14ac:dyDescent="0.3">
      <c r="A6056" t="str">
        <f t="shared" si="2837"/>
        <v>05/12/2020 14:52:22.217</v>
      </c>
      <c r="C6056" t="str">
        <f t="shared" si="2831"/>
        <v>FFDFD3C0</v>
      </c>
      <c r="D6056" t="s">
        <v>138</v>
      </c>
      <c r="E6056">
        <v>3</v>
      </c>
      <c r="H6056">
        <v>9</v>
      </c>
      <c r="I6056" t="s">
        <v>140</v>
      </c>
      <c r="J6056" t="s">
        <v>136</v>
      </c>
      <c r="K6056">
        <v>0</v>
      </c>
      <c r="L6056">
        <v>3</v>
      </c>
      <c r="M6056">
        <v>0</v>
      </c>
      <c r="N6056">
        <v>2</v>
      </c>
      <c r="O6056">
        <v>1</v>
      </c>
      <c r="P6056">
        <v>0</v>
      </c>
      <c r="Q6056">
        <v>0</v>
      </c>
      <c r="S6056" t="str">
        <f t="shared" si="2838"/>
        <v>14:52:40.039</v>
      </c>
      <c r="T6056" t="str">
        <f t="shared" si="2839"/>
        <v>14:52:39.939</v>
      </c>
      <c r="U6056" t="str">
        <f t="shared" si="2819"/>
        <v>A9808D</v>
      </c>
      <c r="V6056">
        <v>0</v>
      </c>
      <c r="W6056">
        <v>0</v>
      </c>
      <c r="X6056">
        <v>1</v>
      </c>
      <c r="Z6056">
        <v>0</v>
      </c>
      <c r="AA6056">
        <v>9</v>
      </c>
      <c r="AB6056">
        <v>3</v>
      </c>
      <c r="AC6056">
        <v>0</v>
      </c>
      <c r="AD6056">
        <v>10</v>
      </c>
      <c r="AE6056">
        <v>0</v>
      </c>
      <c r="AF6056">
        <v>3</v>
      </c>
      <c r="AG6056">
        <v>2</v>
      </c>
      <c r="AH6056">
        <v>0</v>
      </c>
      <c r="AI6056" t="s">
        <v>1345</v>
      </c>
      <c r="AJ6056">
        <v>28.211732000000001</v>
      </c>
      <c r="AK6056" t="s">
        <v>1338</v>
      </c>
      <c r="AL6056">
        <v>-82.366647999999998</v>
      </c>
      <c r="AM6056">
        <v>100</v>
      </c>
      <c r="AN6056">
        <v>100</v>
      </c>
      <c r="AO6056" t="s">
        <v>118</v>
      </c>
      <c r="AP6056">
        <v>-11</v>
      </c>
      <c r="AQ6056">
        <v>85</v>
      </c>
      <c r="AR6056">
        <v>-576</v>
      </c>
      <c r="AZ6056">
        <v>1200</v>
      </c>
      <c r="BA6056">
        <v>1</v>
      </c>
      <c r="BB6056" t="str">
        <f t="shared" si="2832"/>
        <v xml:space="preserve">N711JA  </v>
      </c>
      <c r="BC6056">
        <v>1</v>
      </c>
      <c r="BE6056">
        <v>0</v>
      </c>
      <c r="BF6056">
        <v>0</v>
      </c>
      <c r="BG6056">
        <v>0</v>
      </c>
      <c r="BH6056">
        <v>175</v>
      </c>
      <c r="BI6056">
        <v>1</v>
      </c>
      <c r="BJ6056">
        <v>1</v>
      </c>
      <c r="BK6056">
        <v>0</v>
      </c>
      <c r="BL6056">
        <v>0</v>
      </c>
      <c r="BO6056">
        <v>0</v>
      </c>
      <c r="BP6056">
        <v>0</v>
      </c>
      <c r="BW6056" t="str">
        <f t="shared" si="2840"/>
        <v>14:52:40.046</v>
      </c>
      <c r="CJ6056">
        <v>0</v>
      </c>
      <c r="CK6056">
        <v>2</v>
      </c>
      <c r="CL6056">
        <v>0</v>
      </c>
      <c r="CM6056">
        <v>2</v>
      </c>
      <c r="CN6056">
        <v>0</v>
      </c>
      <c r="CO6056">
        <v>5</v>
      </c>
      <c r="CP6056" t="s">
        <v>119</v>
      </c>
      <c r="CQ6056">
        <v>343</v>
      </c>
      <c r="CR6056">
        <v>1</v>
      </c>
      <c r="CW6056">
        <v>11236094</v>
      </c>
      <c r="CY6056">
        <v>1</v>
      </c>
      <c r="CZ6056">
        <v>0</v>
      </c>
      <c r="DA6056">
        <v>1</v>
      </c>
      <c r="DB6056">
        <v>0</v>
      </c>
      <c r="DC6056">
        <v>0</v>
      </c>
      <c r="DD6056">
        <v>1</v>
      </c>
      <c r="DE6056">
        <v>0</v>
      </c>
      <c r="DF6056">
        <v>0</v>
      </c>
      <c r="DG6056">
        <v>0</v>
      </c>
      <c r="DH6056">
        <v>0</v>
      </c>
      <c r="DI6056">
        <v>0</v>
      </c>
    </row>
    <row r="6057" spans="1:113" x14ac:dyDescent="0.3">
      <c r="A6057" t="str">
        <f t="shared" si="2837"/>
        <v>05/12/2020 14:52:22.217</v>
      </c>
      <c r="C6057" t="str">
        <f t="shared" si="2831"/>
        <v>FFDFD3C0</v>
      </c>
      <c r="D6057" t="s">
        <v>113</v>
      </c>
      <c r="E6057">
        <v>3</v>
      </c>
      <c r="H6057">
        <v>164</v>
      </c>
      <c r="I6057" t="s">
        <v>114</v>
      </c>
      <c r="J6057" t="s">
        <v>115</v>
      </c>
      <c r="K6057">
        <v>0</v>
      </c>
      <c r="L6057">
        <v>3</v>
      </c>
      <c r="M6057">
        <v>0</v>
      </c>
      <c r="N6057">
        <v>2</v>
      </c>
      <c r="O6057">
        <v>1</v>
      </c>
      <c r="P6057">
        <v>0</v>
      </c>
      <c r="Q6057">
        <v>0</v>
      </c>
      <c r="S6057" t="str">
        <f t="shared" si="2838"/>
        <v>14:52:40.039</v>
      </c>
      <c r="T6057" t="str">
        <f t="shared" si="2839"/>
        <v>14:52:39.939</v>
      </c>
      <c r="U6057" t="str">
        <f t="shared" si="2819"/>
        <v>A9808D</v>
      </c>
      <c r="V6057">
        <v>0</v>
      </c>
      <c r="W6057">
        <v>0</v>
      </c>
      <c r="X6057">
        <v>1</v>
      </c>
      <c r="Z6057">
        <v>0</v>
      </c>
      <c r="AA6057">
        <v>9</v>
      </c>
      <c r="AB6057">
        <v>3</v>
      </c>
      <c r="AC6057">
        <v>0</v>
      </c>
      <c r="AD6057">
        <v>10</v>
      </c>
      <c r="AE6057">
        <v>0</v>
      </c>
      <c r="AF6057">
        <v>3</v>
      </c>
      <c r="AG6057">
        <v>2</v>
      </c>
      <c r="AH6057">
        <v>0</v>
      </c>
      <c r="AI6057" t="s">
        <v>1345</v>
      </c>
      <c r="AJ6057">
        <v>28.211732000000001</v>
      </c>
      <c r="AK6057" t="s">
        <v>1338</v>
      </c>
      <c r="AL6057">
        <v>-82.366647999999998</v>
      </c>
      <c r="AM6057">
        <v>100</v>
      </c>
      <c r="AN6057">
        <v>100</v>
      </c>
      <c r="AO6057" t="s">
        <v>118</v>
      </c>
      <c r="AP6057">
        <v>-11</v>
      </c>
      <c r="AQ6057">
        <v>85</v>
      </c>
      <c r="AR6057">
        <v>-576</v>
      </c>
      <c r="AZ6057">
        <v>1200</v>
      </c>
      <c r="BA6057">
        <v>1</v>
      </c>
      <c r="BB6057" t="str">
        <f t="shared" si="2832"/>
        <v xml:space="preserve">N711JA  </v>
      </c>
      <c r="BC6057">
        <v>1</v>
      </c>
      <c r="BE6057">
        <v>0</v>
      </c>
      <c r="BF6057">
        <v>0</v>
      </c>
      <c r="BG6057">
        <v>0</v>
      </c>
      <c r="BH6057">
        <v>175</v>
      </c>
      <c r="BI6057">
        <v>1</v>
      </c>
      <c r="BJ6057">
        <v>1</v>
      </c>
      <c r="BK6057">
        <v>0</v>
      </c>
      <c r="BL6057">
        <v>0</v>
      </c>
      <c r="BO6057">
        <v>0</v>
      </c>
      <c r="BP6057">
        <v>0</v>
      </c>
      <c r="BW6057" t="str">
        <f t="shared" si="2840"/>
        <v>14:52:40.046</v>
      </c>
      <c r="CJ6057">
        <v>0</v>
      </c>
      <c r="CK6057">
        <v>2</v>
      </c>
      <c r="CL6057">
        <v>0</v>
      </c>
      <c r="CM6057">
        <v>2</v>
      </c>
      <c r="CN6057">
        <v>0</v>
      </c>
      <c r="CO6057">
        <v>5</v>
      </c>
      <c r="CP6057" t="s">
        <v>119</v>
      </c>
      <c r="CQ6057">
        <v>343</v>
      </c>
      <c r="CR6057">
        <v>1</v>
      </c>
      <c r="CW6057">
        <v>11236094</v>
      </c>
      <c r="CY6057">
        <v>1</v>
      </c>
      <c r="CZ6057">
        <v>0</v>
      </c>
      <c r="DA6057">
        <v>1</v>
      </c>
      <c r="DB6057">
        <v>0</v>
      </c>
      <c r="DC6057">
        <v>0</v>
      </c>
      <c r="DD6057">
        <v>1</v>
      </c>
      <c r="DE6057">
        <v>0</v>
      </c>
      <c r="DF6057">
        <v>0</v>
      </c>
      <c r="DG6057">
        <v>0</v>
      </c>
      <c r="DH6057">
        <v>0</v>
      </c>
      <c r="DI6057">
        <v>0</v>
      </c>
    </row>
    <row r="6058" spans="1:113" x14ac:dyDescent="0.3">
      <c r="A6058" t="str">
        <f t="shared" si="2837"/>
        <v>05/12/2020 14:52:22.217</v>
      </c>
      <c r="C6058" t="str">
        <f t="shared" si="2831"/>
        <v>FFDFD3C0</v>
      </c>
      <c r="D6058" t="s">
        <v>126</v>
      </c>
      <c r="E6058">
        <v>6</v>
      </c>
      <c r="F6058">
        <v>1006</v>
      </c>
      <c r="G6058" t="s">
        <v>114</v>
      </c>
      <c r="J6058" t="s">
        <v>128</v>
      </c>
      <c r="K6058">
        <v>0</v>
      </c>
      <c r="L6058">
        <v>3</v>
      </c>
      <c r="M6058">
        <v>0</v>
      </c>
      <c r="N6058">
        <v>2</v>
      </c>
      <c r="O6058">
        <v>1</v>
      </c>
      <c r="P6058">
        <v>0</v>
      </c>
      <c r="Q6058">
        <v>0</v>
      </c>
      <c r="S6058" t="str">
        <f t="shared" si="2838"/>
        <v>14:52:40.039</v>
      </c>
      <c r="T6058" t="str">
        <f t="shared" si="2839"/>
        <v>14:52:39.939</v>
      </c>
      <c r="U6058" t="str">
        <f t="shared" si="2819"/>
        <v>A9808D</v>
      </c>
      <c r="V6058">
        <v>0</v>
      </c>
      <c r="W6058">
        <v>0</v>
      </c>
      <c r="X6058">
        <v>1</v>
      </c>
      <c r="Z6058">
        <v>0</v>
      </c>
      <c r="AA6058">
        <v>9</v>
      </c>
      <c r="AB6058">
        <v>3</v>
      </c>
      <c r="AC6058">
        <v>0</v>
      </c>
      <c r="AD6058">
        <v>10</v>
      </c>
      <c r="AE6058">
        <v>0</v>
      </c>
      <c r="AF6058">
        <v>3</v>
      </c>
      <c r="AG6058">
        <v>2</v>
      </c>
      <c r="AH6058">
        <v>0</v>
      </c>
      <c r="AI6058" t="s">
        <v>1345</v>
      </c>
      <c r="AJ6058">
        <v>28.211732000000001</v>
      </c>
      <c r="AK6058" t="s">
        <v>1338</v>
      </c>
      <c r="AL6058">
        <v>-82.366647999999998</v>
      </c>
      <c r="AM6058">
        <v>100</v>
      </c>
      <c r="AN6058">
        <v>100</v>
      </c>
      <c r="AO6058" t="s">
        <v>118</v>
      </c>
      <c r="AP6058">
        <v>-11</v>
      </c>
      <c r="AQ6058">
        <v>85</v>
      </c>
      <c r="AR6058">
        <v>-576</v>
      </c>
      <c r="AZ6058">
        <v>1200</v>
      </c>
      <c r="BA6058">
        <v>1</v>
      </c>
      <c r="BB6058" t="str">
        <f t="shared" si="2832"/>
        <v xml:space="preserve">N711JA  </v>
      </c>
      <c r="BC6058">
        <v>1</v>
      </c>
      <c r="BE6058">
        <v>0</v>
      </c>
      <c r="BF6058">
        <v>0</v>
      </c>
      <c r="BG6058">
        <v>0</v>
      </c>
      <c r="BH6058">
        <v>175</v>
      </c>
      <c r="BI6058">
        <v>1</v>
      </c>
      <c r="BJ6058">
        <v>1</v>
      </c>
      <c r="BK6058">
        <v>0</v>
      </c>
      <c r="BL6058">
        <v>0</v>
      </c>
      <c r="BO6058">
        <v>0</v>
      </c>
      <c r="BP6058">
        <v>0</v>
      </c>
      <c r="BW6058" t="str">
        <f t="shared" si="2840"/>
        <v>14:52:40.046</v>
      </c>
      <c r="CJ6058">
        <v>0</v>
      </c>
      <c r="CK6058">
        <v>2</v>
      </c>
      <c r="CL6058">
        <v>0</v>
      </c>
      <c r="CM6058">
        <v>2</v>
      </c>
      <c r="CN6058">
        <v>0</v>
      </c>
      <c r="CO6058">
        <v>5</v>
      </c>
      <c r="CP6058" t="s">
        <v>119</v>
      </c>
      <c r="CQ6058">
        <v>343</v>
      </c>
      <c r="CR6058">
        <v>1</v>
      </c>
      <c r="CW6058">
        <v>11236094</v>
      </c>
      <c r="CY6058">
        <v>1</v>
      </c>
      <c r="CZ6058">
        <v>0</v>
      </c>
      <c r="DA6058">
        <v>1</v>
      </c>
      <c r="DB6058">
        <v>0</v>
      </c>
      <c r="DC6058">
        <v>0</v>
      </c>
      <c r="DD6058">
        <v>1</v>
      </c>
      <c r="DE6058">
        <v>0</v>
      </c>
      <c r="DF6058">
        <v>0</v>
      </c>
      <c r="DG6058">
        <v>0</v>
      </c>
      <c r="DH6058">
        <v>0</v>
      </c>
      <c r="DI6058">
        <v>0</v>
      </c>
    </row>
    <row r="6059" spans="1:113" x14ac:dyDescent="0.3">
      <c r="A6059" t="str">
        <f t="shared" ref="A6059:A6066" si="2841">"05/12/2020 14:52:23.337"</f>
        <v>05/12/2020 14:52:23.337</v>
      </c>
      <c r="C6059" t="str">
        <f t="shared" si="2831"/>
        <v>FFDFD3C0</v>
      </c>
      <c r="D6059" t="s">
        <v>138</v>
      </c>
      <c r="E6059">
        <v>2</v>
      </c>
      <c r="H6059">
        <v>8</v>
      </c>
      <c r="I6059" t="s">
        <v>139</v>
      </c>
      <c r="J6059" t="s">
        <v>136</v>
      </c>
      <c r="K6059">
        <v>0</v>
      </c>
      <c r="L6059">
        <v>3</v>
      </c>
      <c r="M6059">
        <v>0</v>
      </c>
      <c r="N6059">
        <v>2</v>
      </c>
      <c r="O6059">
        <v>1</v>
      </c>
      <c r="P6059">
        <v>0</v>
      </c>
      <c r="Q6059">
        <v>0</v>
      </c>
      <c r="S6059" t="str">
        <f t="shared" ref="S6059:S6066" si="2842">"14:52:41.141"</f>
        <v>14:52:41.141</v>
      </c>
      <c r="T6059" t="str">
        <f t="shared" ref="T6059:T6066" si="2843">"14:52:40.741"</f>
        <v>14:52:40.741</v>
      </c>
      <c r="U6059" t="str">
        <f t="shared" si="2819"/>
        <v>A9808D</v>
      </c>
      <c r="V6059">
        <v>0</v>
      </c>
      <c r="W6059">
        <v>0</v>
      </c>
      <c r="X6059">
        <v>1</v>
      </c>
      <c r="Z6059">
        <v>0</v>
      </c>
      <c r="AA6059">
        <v>9</v>
      </c>
      <c r="AB6059">
        <v>3</v>
      </c>
      <c r="AC6059">
        <v>0</v>
      </c>
      <c r="AD6059">
        <v>10</v>
      </c>
      <c r="AE6059">
        <v>0</v>
      </c>
      <c r="AF6059">
        <v>3</v>
      </c>
      <c r="AG6059">
        <v>2</v>
      </c>
      <c r="AH6059">
        <v>0</v>
      </c>
      <c r="AI6059" t="s">
        <v>1346</v>
      </c>
      <c r="AJ6059">
        <v>28.212160999999998</v>
      </c>
      <c r="AK6059" t="s">
        <v>1347</v>
      </c>
      <c r="AL6059">
        <v>-82.366712000000007</v>
      </c>
      <c r="AM6059">
        <v>100</v>
      </c>
      <c r="AN6059">
        <v>100</v>
      </c>
      <c r="AO6059" t="s">
        <v>118</v>
      </c>
      <c r="AP6059">
        <v>-17</v>
      </c>
      <c r="AQ6059">
        <v>84</v>
      </c>
      <c r="AR6059">
        <v>-704</v>
      </c>
      <c r="AZ6059">
        <v>1200</v>
      </c>
      <c r="BA6059">
        <v>1</v>
      </c>
      <c r="BB6059" t="str">
        <f t="shared" si="2832"/>
        <v xml:space="preserve">N711JA  </v>
      </c>
      <c r="BC6059">
        <v>1</v>
      </c>
      <c r="BE6059">
        <v>0</v>
      </c>
      <c r="BF6059">
        <v>0</v>
      </c>
      <c r="BG6059">
        <v>0</v>
      </c>
      <c r="BH6059">
        <v>175</v>
      </c>
      <c r="BI6059">
        <v>1</v>
      </c>
      <c r="BJ6059">
        <v>1</v>
      </c>
      <c r="BK6059">
        <v>0</v>
      </c>
      <c r="BL6059">
        <v>0</v>
      </c>
      <c r="BO6059">
        <v>0</v>
      </c>
      <c r="BP6059">
        <v>0</v>
      </c>
      <c r="BW6059" t="str">
        <f t="shared" ref="BW6059:BW6066" si="2844">"14:52:41.144"</f>
        <v>14:52:41.144</v>
      </c>
      <c r="CJ6059">
        <v>0</v>
      </c>
      <c r="CK6059">
        <v>2</v>
      </c>
      <c r="CL6059">
        <v>0</v>
      </c>
      <c r="CM6059">
        <v>2</v>
      </c>
      <c r="CN6059">
        <v>0</v>
      </c>
      <c r="CO6059">
        <v>4</v>
      </c>
      <c r="CP6059" t="s">
        <v>119</v>
      </c>
      <c r="CQ6059">
        <v>343</v>
      </c>
      <c r="CR6059">
        <v>1</v>
      </c>
      <c r="CW6059">
        <v>11237264</v>
      </c>
      <c r="CY6059">
        <v>1</v>
      </c>
      <c r="CZ6059">
        <v>0</v>
      </c>
      <c r="DA6059">
        <v>0</v>
      </c>
      <c r="DB6059">
        <v>0</v>
      </c>
      <c r="DC6059">
        <v>0</v>
      </c>
      <c r="DD6059">
        <v>1</v>
      </c>
      <c r="DE6059">
        <v>0</v>
      </c>
      <c r="DF6059">
        <v>0</v>
      </c>
      <c r="DG6059">
        <v>0</v>
      </c>
      <c r="DH6059">
        <v>0</v>
      </c>
      <c r="DI6059">
        <v>0</v>
      </c>
    </row>
    <row r="6060" spans="1:113" x14ac:dyDescent="0.3">
      <c r="A6060" t="str">
        <f t="shared" si="2841"/>
        <v>05/12/2020 14:52:23.337</v>
      </c>
      <c r="C6060" t="str">
        <f t="shared" si="2831"/>
        <v>FFDFD3C0</v>
      </c>
      <c r="D6060" t="s">
        <v>138</v>
      </c>
      <c r="E6060">
        <v>3</v>
      </c>
      <c r="H6060">
        <v>9</v>
      </c>
      <c r="I6060" t="s">
        <v>140</v>
      </c>
      <c r="J6060" t="s">
        <v>136</v>
      </c>
      <c r="K6060">
        <v>0</v>
      </c>
      <c r="L6060">
        <v>3</v>
      </c>
      <c r="M6060">
        <v>0</v>
      </c>
      <c r="N6060">
        <v>2</v>
      </c>
      <c r="O6060">
        <v>1</v>
      </c>
      <c r="P6060">
        <v>0</v>
      </c>
      <c r="Q6060">
        <v>0</v>
      </c>
      <c r="S6060" t="str">
        <f t="shared" si="2842"/>
        <v>14:52:41.141</v>
      </c>
      <c r="T6060" t="str">
        <f t="shared" si="2843"/>
        <v>14:52:40.741</v>
      </c>
      <c r="U6060" t="str">
        <f t="shared" si="2819"/>
        <v>A9808D</v>
      </c>
      <c r="V6060">
        <v>0</v>
      </c>
      <c r="W6060">
        <v>0</v>
      </c>
      <c r="X6060">
        <v>1</v>
      </c>
      <c r="Z6060">
        <v>0</v>
      </c>
      <c r="AA6060">
        <v>9</v>
      </c>
      <c r="AB6060">
        <v>3</v>
      </c>
      <c r="AC6060">
        <v>0</v>
      </c>
      <c r="AD6060">
        <v>10</v>
      </c>
      <c r="AE6060">
        <v>0</v>
      </c>
      <c r="AF6060">
        <v>3</v>
      </c>
      <c r="AG6060">
        <v>2</v>
      </c>
      <c r="AH6060">
        <v>0</v>
      </c>
      <c r="AI6060" t="s">
        <v>1346</v>
      </c>
      <c r="AJ6060">
        <v>28.212160999999998</v>
      </c>
      <c r="AK6060" t="s">
        <v>1347</v>
      </c>
      <c r="AL6060">
        <v>-82.366712000000007</v>
      </c>
      <c r="AM6060">
        <v>100</v>
      </c>
      <c r="AN6060">
        <v>100</v>
      </c>
      <c r="AO6060" t="s">
        <v>118</v>
      </c>
      <c r="AP6060">
        <v>-17</v>
      </c>
      <c r="AQ6060">
        <v>84</v>
      </c>
      <c r="AR6060">
        <v>-704</v>
      </c>
      <c r="AZ6060">
        <v>1200</v>
      </c>
      <c r="BA6060">
        <v>1</v>
      </c>
      <c r="BB6060" t="str">
        <f t="shared" si="2832"/>
        <v xml:space="preserve">N711JA  </v>
      </c>
      <c r="BC6060">
        <v>1</v>
      </c>
      <c r="BE6060">
        <v>0</v>
      </c>
      <c r="BF6060">
        <v>0</v>
      </c>
      <c r="BG6060">
        <v>0</v>
      </c>
      <c r="BH6060">
        <v>175</v>
      </c>
      <c r="BI6060">
        <v>1</v>
      </c>
      <c r="BJ6060">
        <v>1</v>
      </c>
      <c r="BK6060">
        <v>0</v>
      </c>
      <c r="BL6060">
        <v>0</v>
      </c>
      <c r="BO6060">
        <v>0</v>
      </c>
      <c r="BP6060">
        <v>0</v>
      </c>
      <c r="BW6060" t="str">
        <f t="shared" si="2844"/>
        <v>14:52:41.144</v>
      </c>
      <c r="CJ6060">
        <v>0</v>
      </c>
      <c r="CK6060">
        <v>2</v>
      </c>
      <c r="CL6060">
        <v>0</v>
      </c>
      <c r="CM6060">
        <v>2</v>
      </c>
      <c r="CN6060">
        <v>0</v>
      </c>
      <c r="CO6060">
        <v>4</v>
      </c>
      <c r="CP6060" t="s">
        <v>119</v>
      </c>
      <c r="CQ6060">
        <v>343</v>
      </c>
      <c r="CR6060">
        <v>1</v>
      </c>
      <c r="CW6060">
        <v>11237264</v>
      </c>
      <c r="CY6060">
        <v>1</v>
      </c>
      <c r="CZ6060">
        <v>0</v>
      </c>
      <c r="DA6060">
        <v>1</v>
      </c>
      <c r="DB6060">
        <v>0</v>
      </c>
      <c r="DC6060">
        <v>0</v>
      </c>
      <c r="DD6060">
        <v>1</v>
      </c>
      <c r="DE6060">
        <v>0</v>
      </c>
      <c r="DF6060">
        <v>0</v>
      </c>
      <c r="DG6060">
        <v>0</v>
      </c>
      <c r="DH6060">
        <v>0</v>
      </c>
      <c r="DI6060">
        <v>0</v>
      </c>
    </row>
    <row r="6061" spans="1:113" x14ac:dyDescent="0.3">
      <c r="A6061" t="str">
        <f t="shared" si="2841"/>
        <v>05/12/2020 14:52:23.337</v>
      </c>
      <c r="C6061" t="str">
        <f t="shared" si="2831"/>
        <v>FFDFD3C0</v>
      </c>
      <c r="D6061" t="s">
        <v>126</v>
      </c>
      <c r="E6061">
        <v>6</v>
      </c>
      <c r="F6061">
        <v>1006</v>
      </c>
      <c r="G6061" t="s">
        <v>114</v>
      </c>
      <c r="J6061" t="s">
        <v>128</v>
      </c>
      <c r="K6061">
        <v>0</v>
      </c>
      <c r="L6061">
        <v>3</v>
      </c>
      <c r="M6061">
        <v>0</v>
      </c>
      <c r="N6061">
        <v>2</v>
      </c>
      <c r="O6061">
        <v>1</v>
      </c>
      <c r="P6061">
        <v>0</v>
      </c>
      <c r="Q6061">
        <v>0</v>
      </c>
      <c r="S6061" t="str">
        <f t="shared" si="2842"/>
        <v>14:52:41.141</v>
      </c>
      <c r="T6061" t="str">
        <f t="shared" si="2843"/>
        <v>14:52:40.741</v>
      </c>
      <c r="U6061" t="str">
        <f t="shared" si="2819"/>
        <v>A9808D</v>
      </c>
      <c r="V6061">
        <v>0</v>
      </c>
      <c r="W6061">
        <v>0</v>
      </c>
      <c r="X6061">
        <v>1</v>
      </c>
      <c r="Z6061">
        <v>0</v>
      </c>
      <c r="AA6061">
        <v>9</v>
      </c>
      <c r="AB6061">
        <v>3</v>
      </c>
      <c r="AC6061">
        <v>0</v>
      </c>
      <c r="AD6061">
        <v>10</v>
      </c>
      <c r="AE6061">
        <v>0</v>
      </c>
      <c r="AF6061">
        <v>3</v>
      </c>
      <c r="AG6061">
        <v>2</v>
      </c>
      <c r="AH6061">
        <v>0</v>
      </c>
      <c r="AI6061" t="s">
        <v>1346</v>
      </c>
      <c r="AJ6061">
        <v>28.212160999999998</v>
      </c>
      <c r="AK6061" t="s">
        <v>1347</v>
      </c>
      <c r="AL6061">
        <v>-82.366712000000007</v>
      </c>
      <c r="AM6061">
        <v>100</v>
      </c>
      <c r="AN6061">
        <v>100</v>
      </c>
      <c r="AO6061" t="s">
        <v>118</v>
      </c>
      <c r="AP6061">
        <v>-17</v>
      </c>
      <c r="AQ6061">
        <v>84</v>
      </c>
      <c r="AR6061">
        <v>-704</v>
      </c>
      <c r="AZ6061">
        <v>1200</v>
      </c>
      <c r="BA6061">
        <v>1</v>
      </c>
      <c r="BB6061" t="str">
        <f t="shared" si="2832"/>
        <v xml:space="preserve">N711JA  </v>
      </c>
      <c r="BC6061">
        <v>1</v>
      </c>
      <c r="BE6061">
        <v>0</v>
      </c>
      <c r="BF6061">
        <v>0</v>
      </c>
      <c r="BG6061">
        <v>0</v>
      </c>
      <c r="BH6061">
        <v>175</v>
      </c>
      <c r="BI6061">
        <v>1</v>
      </c>
      <c r="BJ6061">
        <v>1</v>
      </c>
      <c r="BK6061">
        <v>0</v>
      </c>
      <c r="BL6061">
        <v>0</v>
      </c>
      <c r="BO6061">
        <v>0</v>
      </c>
      <c r="BP6061">
        <v>0</v>
      </c>
      <c r="BW6061" t="str">
        <f t="shared" si="2844"/>
        <v>14:52:41.144</v>
      </c>
      <c r="CJ6061">
        <v>0</v>
      </c>
      <c r="CK6061">
        <v>2</v>
      </c>
      <c r="CL6061">
        <v>0</v>
      </c>
      <c r="CM6061">
        <v>2</v>
      </c>
      <c r="CN6061">
        <v>0</v>
      </c>
      <c r="CO6061">
        <v>4</v>
      </c>
      <c r="CP6061" t="s">
        <v>119</v>
      </c>
      <c r="CQ6061">
        <v>343</v>
      </c>
      <c r="CR6061">
        <v>1</v>
      </c>
      <c r="CW6061">
        <v>11237264</v>
      </c>
      <c r="CY6061">
        <v>1</v>
      </c>
      <c r="CZ6061">
        <v>0</v>
      </c>
      <c r="DA6061">
        <v>1</v>
      </c>
      <c r="DB6061">
        <v>0</v>
      </c>
      <c r="DC6061">
        <v>0</v>
      </c>
      <c r="DD6061">
        <v>1</v>
      </c>
      <c r="DE6061">
        <v>0</v>
      </c>
      <c r="DF6061">
        <v>0</v>
      </c>
      <c r="DG6061">
        <v>0</v>
      </c>
      <c r="DH6061">
        <v>0</v>
      </c>
      <c r="DI6061">
        <v>0</v>
      </c>
    </row>
    <row r="6062" spans="1:113" x14ac:dyDescent="0.3">
      <c r="A6062" t="str">
        <f t="shared" si="2841"/>
        <v>05/12/2020 14:52:23.337</v>
      </c>
      <c r="C6062" t="str">
        <f t="shared" si="2831"/>
        <v>FFDFD3C0</v>
      </c>
      <c r="D6062" t="s">
        <v>113</v>
      </c>
      <c r="E6062">
        <v>3</v>
      </c>
      <c r="H6062">
        <v>164</v>
      </c>
      <c r="I6062" t="s">
        <v>114</v>
      </c>
      <c r="J6062" t="s">
        <v>115</v>
      </c>
      <c r="K6062">
        <v>0</v>
      </c>
      <c r="L6062">
        <v>3</v>
      </c>
      <c r="M6062">
        <v>0</v>
      </c>
      <c r="N6062">
        <v>2</v>
      </c>
      <c r="O6062">
        <v>1</v>
      </c>
      <c r="P6062">
        <v>0</v>
      </c>
      <c r="Q6062">
        <v>0</v>
      </c>
      <c r="S6062" t="str">
        <f t="shared" si="2842"/>
        <v>14:52:41.141</v>
      </c>
      <c r="T6062" t="str">
        <f t="shared" si="2843"/>
        <v>14:52:40.741</v>
      </c>
      <c r="U6062" t="str">
        <f t="shared" si="2819"/>
        <v>A9808D</v>
      </c>
      <c r="V6062">
        <v>0</v>
      </c>
      <c r="W6062">
        <v>0</v>
      </c>
      <c r="X6062">
        <v>1</v>
      </c>
      <c r="Z6062">
        <v>0</v>
      </c>
      <c r="AA6062">
        <v>9</v>
      </c>
      <c r="AB6062">
        <v>3</v>
      </c>
      <c r="AC6062">
        <v>0</v>
      </c>
      <c r="AD6062">
        <v>10</v>
      </c>
      <c r="AE6062">
        <v>0</v>
      </c>
      <c r="AF6062">
        <v>3</v>
      </c>
      <c r="AG6062">
        <v>2</v>
      </c>
      <c r="AH6062">
        <v>0</v>
      </c>
      <c r="AI6062" t="s">
        <v>1346</v>
      </c>
      <c r="AJ6062">
        <v>28.212160999999998</v>
      </c>
      <c r="AK6062" t="s">
        <v>1347</v>
      </c>
      <c r="AL6062">
        <v>-82.366712000000007</v>
      </c>
      <c r="AM6062">
        <v>100</v>
      </c>
      <c r="AN6062">
        <v>100</v>
      </c>
      <c r="AO6062" t="s">
        <v>118</v>
      </c>
      <c r="AP6062">
        <v>-17</v>
      </c>
      <c r="AQ6062">
        <v>84</v>
      </c>
      <c r="AR6062">
        <v>-704</v>
      </c>
      <c r="AZ6062">
        <v>1200</v>
      </c>
      <c r="BA6062">
        <v>1</v>
      </c>
      <c r="BB6062" t="str">
        <f t="shared" si="2832"/>
        <v xml:space="preserve">N711JA  </v>
      </c>
      <c r="BC6062">
        <v>1</v>
      </c>
      <c r="BE6062">
        <v>0</v>
      </c>
      <c r="BF6062">
        <v>0</v>
      </c>
      <c r="BG6062">
        <v>0</v>
      </c>
      <c r="BH6062">
        <v>175</v>
      </c>
      <c r="BI6062">
        <v>1</v>
      </c>
      <c r="BJ6062">
        <v>1</v>
      </c>
      <c r="BK6062">
        <v>0</v>
      </c>
      <c r="BL6062">
        <v>0</v>
      </c>
      <c r="BO6062">
        <v>0</v>
      </c>
      <c r="BP6062">
        <v>0</v>
      </c>
      <c r="BW6062" t="str">
        <f t="shared" si="2844"/>
        <v>14:52:41.144</v>
      </c>
      <c r="CJ6062">
        <v>0</v>
      </c>
      <c r="CK6062">
        <v>2</v>
      </c>
      <c r="CL6062">
        <v>0</v>
      </c>
      <c r="CM6062">
        <v>2</v>
      </c>
      <c r="CN6062">
        <v>0</v>
      </c>
      <c r="CO6062">
        <v>4</v>
      </c>
      <c r="CP6062" t="s">
        <v>119</v>
      </c>
      <c r="CQ6062">
        <v>343</v>
      </c>
      <c r="CR6062">
        <v>1</v>
      </c>
      <c r="CW6062">
        <v>11237264</v>
      </c>
      <c r="CY6062">
        <v>1</v>
      </c>
      <c r="CZ6062">
        <v>0</v>
      </c>
      <c r="DA6062">
        <v>1</v>
      </c>
      <c r="DB6062">
        <v>0</v>
      </c>
      <c r="DC6062">
        <v>0</v>
      </c>
      <c r="DD6062">
        <v>1</v>
      </c>
      <c r="DE6062">
        <v>0</v>
      </c>
      <c r="DF6062">
        <v>0</v>
      </c>
      <c r="DG6062">
        <v>0</v>
      </c>
      <c r="DH6062">
        <v>0</v>
      </c>
      <c r="DI6062">
        <v>0</v>
      </c>
    </row>
    <row r="6063" spans="1:113" x14ac:dyDescent="0.3">
      <c r="A6063" t="str">
        <f t="shared" si="2841"/>
        <v>05/12/2020 14:52:23.337</v>
      </c>
      <c r="C6063" t="str">
        <f t="shared" si="2831"/>
        <v>FFDFD3C0</v>
      </c>
      <c r="D6063" t="s">
        <v>126</v>
      </c>
      <c r="E6063">
        <v>7</v>
      </c>
      <c r="F6063">
        <v>1007</v>
      </c>
      <c r="G6063" t="s">
        <v>127</v>
      </c>
      <c r="J6063" t="s">
        <v>128</v>
      </c>
      <c r="K6063">
        <v>0</v>
      </c>
      <c r="L6063">
        <v>3</v>
      </c>
      <c r="M6063">
        <v>0</v>
      </c>
      <c r="N6063">
        <v>2</v>
      </c>
      <c r="O6063">
        <v>1</v>
      </c>
      <c r="P6063">
        <v>0</v>
      </c>
      <c r="Q6063">
        <v>0</v>
      </c>
      <c r="S6063" t="str">
        <f t="shared" si="2842"/>
        <v>14:52:41.141</v>
      </c>
      <c r="T6063" t="str">
        <f t="shared" si="2843"/>
        <v>14:52:40.741</v>
      </c>
      <c r="U6063" t="str">
        <f t="shared" si="2819"/>
        <v>A9808D</v>
      </c>
      <c r="V6063">
        <v>0</v>
      </c>
      <c r="W6063">
        <v>0</v>
      </c>
      <c r="X6063">
        <v>1</v>
      </c>
      <c r="Z6063">
        <v>0</v>
      </c>
      <c r="AA6063">
        <v>9</v>
      </c>
      <c r="AB6063">
        <v>3</v>
      </c>
      <c r="AC6063">
        <v>0</v>
      </c>
      <c r="AD6063">
        <v>10</v>
      </c>
      <c r="AE6063">
        <v>0</v>
      </c>
      <c r="AF6063">
        <v>3</v>
      </c>
      <c r="AG6063">
        <v>2</v>
      </c>
      <c r="AH6063">
        <v>0</v>
      </c>
      <c r="AI6063" t="s">
        <v>1346</v>
      </c>
      <c r="AJ6063">
        <v>28.212160999999998</v>
      </c>
      <c r="AK6063" t="s">
        <v>1347</v>
      </c>
      <c r="AL6063">
        <v>-82.366712000000007</v>
      </c>
      <c r="AM6063">
        <v>100</v>
      </c>
      <c r="AN6063">
        <v>100</v>
      </c>
      <c r="AO6063" t="s">
        <v>118</v>
      </c>
      <c r="AP6063">
        <v>-17</v>
      </c>
      <c r="AQ6063">
        <v>84</v>
      </c>
      <c r="AR6063">
        <v>-704</v>
      </c>
      <c r="AZ6063">
        <v>1200</v>
      </c>
      <c r="BA6063">
        <v>1</v>
      </c>
      <c r="BB6063" t="str">
        <f t="shared" si="2832"/>
        <v xml:space="preserve">N711JA  </v>
      </c>
      <c r="BC6063">
        <v>1</v>
      </c>
      <c r="BE6063">
        <v>0</v>
      </c>
      <c r="BF6063">
        <v>0</v>
      </c>
      <c r="BG6063">
        <v>0</v>
      </c>
      <c r="BH6063">
        <v>175</v>
      </c>
      <c r="BI6063">
        <v>1</v>
      </c>
      <c r="BJ6063">
        <v>1</v>
      </c>
      <c r="BK6063">
        <v>0</v>
      </c>
      <c r="BL6063">
        <v>0</v>
      </c>
      <c r="BO6063">
        <v>0</v>
      </c>
      <c r="BP6063">
        <v>0</v>
      </c>
      <c r="BW6063" t="str">
        <f t="shared" si="2844"/>
        <v>14:52:41.144</v>
      </c>
      <c r="CJ6063">
        <v>0</v>
      </c>
      <c r="CK6063">
        <v>2</v>
      </c>
      <c r="CL6063">
        <v>0</v>
      </c>
      <c r="CM6063">
        <v>2</v>
      </c>
      <c r="CN6063">
        <v>0</v>
      </c>
      <c r="CO6063">
        <v>4</v>
      </c>
      <c r="CP6063" t="s">
        <v>119</v>
      </c>
      <c r="CQ6063">
        <v>343</v>
      </c>
      <c r="CR6063">
        <v>1</v>
      </c>
      <c r="CW6063">
        <v>11237264</v>
      </c>
      <c r="CY6063">
        <v>1</v>
      </c>
      <c r="CZ6063">
        <v>0</v>
      </c>
      <c r="DA6063">
        <v>1</v>
      </c>
      <c r="DB6063">
        <v>0</v>
      </c>
      <c r="DC6063">
        <v>0</v>
      </c>
      <c r="DD6063">
        <v>1</v>
      </c>
      <c r="DE6063">
        <v>0</v>
      </c>
      <c r="DF6063">
        <v>0</v>
      </c>
      <c r="DG6063">
        <v>0</v>
      </c>
      <c r="DH6063">
        <v>0</v>
      </c>
      <c r="DI6063">
        <v>0</v>
      </c>
    </row>
    <row r="6064" spans="1:113" x14ac:dyDescent="0.3">
      <c r="A6064" t="str">
        <f t="shared" si="2841"/>
        <v>05/12/2020 14:52:23.337</v>
      </c>
      <c r="C6064" t="str">
        <f t="shared" si="2831"/>
        <v>FFDFD3C0</v>
      </c>
      <c r="D6064" t="s">
        <v>131</v>
      </c>
      <c r="E6064">
        <v>10</v>
      </c>
      <c r="F6064">
        <v>2010</v>
      </c>
      <c r="G6064" t="s">
        <v>132</v>
      </c>
      <c r="J6064" t="s">
        <v>133</v>
      </c>
      <c r="K6064">
        <v>0</v>
      </c>
      <c r="L6064">
        <v>3</v>
      </c>
      <c r="M6064">
        <v>0</v>
      </c>
      <c r="N6064">
        <v>2</v>
      </c>
      <c r="O6064">
        <v>1</v>
      </c>
      <c r="P6064">
        <v>0</v>
      </c>
      <c r="Q6064">
        <v>0</v>
      </c>
      <c r="S6064" t="str">
        <f t="shared" si="2842"/>
        <v>14:52:41.141</v>
      </c>
      <c r="T6064" t="str">
        <f t="shared" si="2843"/>
        <v>14:52:40.741</v>
      </c>
      <c r="U6064" t="str">
        <f t="shared" si="2819"/>
        <v>A9808D</v>
      </c>
      <c r="V6064">
        <v>0</v>
      </c>
      <c r="W6064">
        <v>0</v>
      </c>
      <c r="X6064">
        <v>1</v>
      </c>
      <c r="Z6064">
        <v>0</v>
      </c>
      <c r="AA6064">
        <v>9</v>
      </c>
      <c r="AB6064">
        <v>3</v>
      </c>
      <c r="AC6064">
        <v>0</v>
      </c>
      <c r="AD6064">
        <v>10</v>
      </c>
      <c r="AE6064">
        <v>0</v>
      </c>
      <c r="AF6064">
        <v>3</v>
      </c>
      <c r="AG6064">
        <v>2</v>
      </c>
      <c r="AH6064">
        <v>0</v>
      </c>
      <c r="AI6064" t="s">
        <v>1346</v>
      </c>
      <c r="AJ6064">
        <v>28.212160999999998</v>
      </c>
      <c r="AK6064" t="s">
        <v>1347</v>
      </c>
      <c r="AL6064">
        <v>-82.366712000000007</v>
      </c>
      <c r="AM6064">
        <v>100</v>
      </c>
      <c r="AN6064">
        <v>100</v>
      </c>
      <c r="AO6064" t="s">
        <v>118</v>
      </c>
      <c r="AP6064">
        <v>-17</v>
      </c>
      <c r="AQ6064">
        <v>84</v>
      </c>
      <c r="AR6064">
        <v>-704</v>
      </c>
      <c r="AZ6064">
        <v>1200</v>
      </c>
      <c r="BA6064">
        <v>1</v>
      </c>
      <c r="BB6064" t="str">
        <f t="shared" si="2832"/>
        <v xml:space="preserve">N711JA  </v>
      </c>
      <c r="BC6064">
        <v>1</v>
      </c>
      <c r="BE6064">
        <v>0</v>
      </c>
      <c r="BF6064">
        <v>0</v>
      </c>
      <c r="BG6064">
        <v>0</v>
      </c>
      <c r="BH6064">
        <v>175</v>
      </c>
      <c r="BI6064">
        <v>1</v>
      </c>
      <c r="BJ6064">
        <v>1</v>
      </c>
      <c r="BK6064">
        <v>0</v>
      </c>
      <c r="BL6064">
        <v>0</v>
      </c>
      <c r="BO6064">
        <v>0</v>
      </c>
      <c r="BP6064">
        <v>0</v>
      </c>
      <c r="BW6064" t="str">
        <f t="shared" si="2844"/>
        <v>14:52:41.144</v>
      </c>
      <c r="CJ6064">
        <v>0</v>
      </c>
      <c r="CK6064">
        <v>2</v>
      </c>
      <c r="CL6064">
        <v>0</v>
      </c>
      <c r="CM6064">
        <v>2</v>
      </c>
      <c r="CN6064">
        <v>0</v>
      </c>
      <c r="CO6064">
        <v>4</v>
      </c>
      <c r="CP6064" t="s">
        <v>119</v>
      </c>
      <c r="CQ6064">
        <v>343</v>
      </c>
      <c r="CR6064">
        <v>1</v>
      </c>
      <c r="CW6064">
        <v>11237264</v>
      </c>
      <c r="CY6064">
        <v>1</v>
      </c>
      <c r="CZ6064">
        <v>0</v>
      </c>
      <c r="DA6064">
        <v>1</v>
      </c>
      <c r="DB6064">
        <v>0</v>
      </c>
      <c r="DC6064">
        <v>0</v>
      </c>
      <c r="DD6064">
        <v>1</v>
      </c>
      <c r="DE6064">
        <v>0</v>
      </c>
      <c r="DF6064">
        <v>0</v>
      </c>
      <c r="DG6064">
        <v>0</v>
      </c>
      <c r="DH6064">
        <v>0</v>
      </c>
      <c r="DI6064">
        <v>0</v>
      </c>
    </row>
    <row r="6065" spans="1:113" x14ac:dyDescent="0.3">
      <c r="A6065" t="str">
        <f t="shared" si="2841"/>
        <v>05/12/2020 14:52:23.337</v>
      </c>
      <c r="C6065" t="str">
        <f t="shared" si="2831"/>
        <v>FFDFD3C0</v>
      </c>
      <c r="D6065" t="s">
        <v>131</v>
      </c>
      <c r="E6065">
        <v>12</v>
      </c>
      <c r="F6065">
        <v>2012</v>
      </c>
      <c r="G6065" t="s">
        <v>137</v>
      </c>
      <c r="J6065" t="s">
        <v>133</v>
      </c>
      <c r="K6065">
        <v>0</v>
      </c>
      <c r="L6065">
        <v>3</v>
      </c>
      <c r="M6065">
        <v>0</v>
      </c>
      <c r="N6065">
        <v>2</v>
      </c>
      <c r="O6065">
        <v>1</v>
      </c>
      <c r="P6065">
        <v>0</v>
      </c>
      <c r="Q6065">
        <v>0</v>
      </c>
      <c r="S6065" t="str">
        <f t="shared" si="2842"/>
        <v>14:52:41.141</v>
      </c>
      <c r="T6065" t="str">
        <f t="shared" si="2843"/>
        <v>14:52:40.741</v>
      </c>
      <c r="U6065" t="str">
        <f t="shared" si="2819"/>
        <v>A9808D</v>
      </c>
      <c r="V6065">
        <v>0</v>
      </c>
      <c r="W6065">
        <v>0</v>
      </c>
      <c r="X6065">
        <v>1</v>
      </c>
      <c r="Z6065">
        <v>0</v>
      </c>
      <c r="AA6065">
        <v>9</v>
      </c>
      <c r="AB6065">
        <v>3</v>
      </c>
      <c r="AC6065">
        <v>0</v>
      </c>
      <c r="AD6065">
        <v>10</v>
      </c>
      <c r="AE6065">
        <v>0</v>
      </c>
      <c r="AF6065">
        <v>3</v>
      </c>
      <c r="AG6065">
        <v>2</v>
      </c>
      <c r="AH6065">
        <v>0</v>
      </c>
      <c r="AI6065" t="s">
        <v>1346</v>
      </c>
      <c r="AJ6065">
        <v>28.212160999999998</v>
      </c>
      <c r="AK6065" t="s">
        <v>1347</v>
      </c>
      <c r="AL6065">
        <v>-82.366712000000007</v>
      </c>
      <c r="AM6065">
        <v>100</v>
      </c>
      <c r="AN6065">
        <v>100</v>
      </c>
      <c r="AO6065" t="s">
        <v>118</v>
      </c>
      <c r="AP6065">
        <v>-17</v>
      </c>
      <c r="AQ6065">
        <v>84</v>
      </c>
      <c r="AR6065">
        <v>-704</v>
      </c>
      <c r="AZ6065">
        <v>1200</v>
      </c>
      <c r="BA6065">
        <v>1</v>
      </c>
      <c r="BB6065" t="str">
        <f t="shared" si="2832"/>
        <v xml:space="preserve">N711JA  </v>
      </c>
      <c r="BC6065">
        <v>1</v>
      </c>
      <c r="BE6065">
        <v>0</v>
      </c>
      <c r="BF6065">
        <v>0</v>
      </c>
      <c r="BG6065">
        <v>0</v>
      </c>
      <c r="BH6065">
        <v>175</v>
      </c>
      <c r="BI6065">
        <v>1</v>
      </c>
      <c r="BJ6065">
        <v>1</v>
      </c>
      <c r="BK6065">
        <v>0</v>
      </c>
      <c r="BL6065">
        <v>0</v>
      </c>
      <c r="BO6065">
        <v>0</v>
      </c>
      <c r="BP6065">
        <v>0</v>
      </c>
      <c r="BW6065" t="str">
        <f t="shared" si="2844"/>
        <v>14:52:41.144</v>
      </c>
      <c r="CJ6065">
        <v>0</v>
      </c>
      <c r="CK6065">
        <v>2</v>
      </c>
      <c r="CL6065">
        <v>0</v>
      </c>
      <c r="CM6065">
        <v>2</v>
      </c>
      <c r="CN6065">
        <v>0</v>
      </c>
      <c r="CO6065">
        <v>4</v>
      </c>
      <c r="CP6065" t="s">
        <v>119</v>
      </c>
      <c r="CQ6065">
        <v>343</v>
      </c>
      <c r="CR6065">
        <v>1</v>
      </c>
      <c r="CW6065">
        <v>11237264</v>
      </c>
      <c r="CY6065">
        <v>1</v>
      </c>
      <c r="CZ6065">
        <v>0</v>
      </c>
      <c r="DA6065">
        <v>1</v>
      </c>
      <c r="DB6065">
        <v>0</v>
      </c>
      <c r="DC6065">
        <v>0</v>
      </c>
      <c r="DD6065">
        <v>1</v>
      </c>
      <c r="DE6065">
        <v>0</v>
      </c>
      <c r="DF6065">
        <v>0</v>
      </c>
      <c r="DG6065">
        <v>0</v>
      </c>
      <c r="DH6065">
        <v>0</v>
      </c>
      <c r="DI6065">
        <v>0</v>
      </c>
    </row>
    <row r="6066" spans="1:113" x14ac:dyDescent="0.3">
      <c r="A6066" t="str">
        <f t="shared" si="2841"/>
        <v>05/12/2020 14:52:23.337</v>
      </c>
      <c r="C6066" t="str">
        <f t="shared" si="2831"/>
        <v>FFDFD3C0</v>
      </c>
      <c r="D6066" t="s">
        <v>134</v>
      </c>
      <c r="E6066">
        <v>12</v>
      </c>
      <c r="H6066">
        <v>64</v>
      </c>
      <c r="I6066" t="s">
        <v>135</v>
      </c>
      <c r="J6066" t="s">
        <v>136</v>
      </c>
      <c r="K6066">
        <v>0</v>
      </c>
      <c r="L6066">
        <v>3</v>
      </c>
      <c r="M6066">
        <v>0</v>
      </c>
      <c r="N6066">
        <v>2</v>
      </c>
      <c r="O6066">
        <v>1</v>
      </c>
      <c r="P6066">
        <v>0</v>
      </c>
      <c r="Q6066">
        <v>0</v>
      </c>
      <c r="S6066" t="str">
        <f t="shared" si="2842"/>
        <v>14:52:41.141</v>
      </c>
      <c r="T6066" t="str">
        <f t="shared" si="2843"/>
        <v>14:52:40.741</v>
      </c>
      <c r="U6066" t="str">
        <f t="shared" si="2819"/>
        <v>A9808D</v>
      </c>
      <c r="V6066">
        <v>0</v>
      </c>
      <c r="W6066">
        <v>0</v>
      </c>
      <c r="X6066">
        <v>1</v>
      </c>
      <c r="Z6066">
        <v>0</v>
      </c>
      <c r="AA6066">
        <v>9</v>
      </c>
      <c r="AB6066">
        <v>3</v>
      </c>
      <c r="AC6066">
        <v>0</v>
      </c>
      <c r="AD6066">
        <v>10</v>
      </c>
      <c r="AE6066">
        <v>0</v>
      </c>
      <c r="AF6066">
        <v>3</v>
      </c>
      <c r="AG6066">
        <v>2</v>
      </c>
      <c r="AH6066">
        <v>0</v>
      </c>
      <c r="AI6066" t="s">
        <v>1346</v>
      </c>
      <c r="AJ6066">
        <v>28.212160999999998</v>
      </c>
      <c r="AK6066" t="s">
        <v>1347</v>
      </c>
      <c r="AL6066">
        <v>-82.366712000000007</v>
      </c>
      <c r="AM6066">
        <v>100</v>
      </c>
      <c r="AN6066">
        <v>100</v>
      </c>
      <c r="AO6066" t="s">
        <v>118</v>
      </c>
      <c r="AP6066">
        <v>-17</v>
      </c>
      <c r="AQ6066">
        <v>84</v>
      </c>
      <c r="AR6066">
        <v>-704</v>
      </c>
      <c r="AZ6066">
        <v>1200</v>
      </c>
      <c r="BA6066">
        <v>1</v>
      </c>
      <c r="BB6066" t="str">
        <f t="shared" si="2832"/>
        <v xml:space="preserve">N711JA  </v>
      </c>
      <c r="BC6066">
        <v>1</v>
      </c>
      <c r="BE6066">
        <v>0</v>
      </c>
      <c r="BF6066">
        <v>0</v>
      </c>
      <c r="BG6066">
        <v>0</v>
      </c>
      <c r="BH6066">
        <v>175</v>
      </c>
      <c r="BI6066">
        <v>1</v>
      </c>
      <c r="BJ6066">
        <v>1</v>
      </c>
      <c r="BK6066">
        <v>0</v>
      </c>
      <c r="BL6066">
        <v>0</v>
      </c>
      <c r="BO6066">
        <v>0</v>
      </c>
      <c r="BP6066">
        <v>0</v>
      </c>
      <c r="BW6066" t="str">
        <f t="shared" si="2844"/>
        <v>14:52:41.144</v>
      </c>
      <c r="CJ6066">
        <v>0</v>
      </c>
      <c r="CK6066">
        <v>2</v>
      </c>
      <c r="CL6066">
        <v>0</v>
      </c>
      <c r="CM6066">
        <v>2</v>
      </c>
      <c r="CN6066">
        <v>0</v>
      </c>
      <c r="CO6066">
        <v>4</v>
      </c>
      <c r="CP6066" t="s">
        <v>119</v>
      </c>
      <c r="CQ6066">
        <v>343</v>
      </c>
      <c r="CR6066">
        <v>1</v>
      </c>
      <c r="CW6066">
        <v>11237264</v>
      </c>
      <c r="CY6066">
        <v>1</v>
      </c>
      <c r="CZ6066">
        <v>0</v>
      </c>
      <c r="DA6066">
        <v>1</v>
      </c>
      <c r="DB6066">
        <v>0</v>
      </c>
      <c r="DC6066">
        <v>0</v>
      </c>
      <c r="DD6066">
        <v>1</v>
      </c>
      <c r="DE6066">
        <v>0</v>
      </c>
      <c r="DF6066">
        <v>0</v>
      </c>
      <c r="DG6066">
        <v>0</v>
      </c>
      <c r="DH6066">
        <v>0</v>
      </c>
      <c r="DI6066">
        <v>0</v>
      </c>
    </row>
    <row r="6067" spans="1:113" x14ac:dyDescent="0.3">
      <c r="A6067" t="str">
        <f t="shared" ref="A6067:A6074" si="2845">"05/12/2020 14:52:24.187"</f>
        <v>05/12/2020 14:52:24.187</v>
      </c>
      <c r="C6067" t="str">
        <f t="shared" si="2831"/>
        <v>FFDFD3C0</v>
      </c>
      <c r="D6067" t="s">
        <v>131</v>
      </c>
      <c r="E6067">
        <v>12</v>
      </c>
      <c r="F6067">
        <v>2012</v>
      </c>
      <c r="G6067" t="s">
        <v>137</v>
      </c>
      <c r="J6067" t="s">
        <v>133</v>
      </c>
      <c r="K6067">
        <v>0</v>
      </c>
      <c r="L6067">
        <v>3</v>
      </c>
      <c r="M6067">
        <v>0</v>
      </c>
      <c r="N6067">
        <v>2</v>
      </c>
      <c r="O6067">
        <v>1</v>
      </c>
      <c r="P6067">
        <v>0</v>
      </c>
      <c r="Q6067">
        <v>0</v>
      </c>
      <c r="S6067" t="str">
        <f t="shared" ref="S6067:S6074" si="2846">"14:52:42.023"</f>
        <v>14:52:42.023</v>
      </c>
      <c r="T6067" t="str">
        <f t="shared" ref="T6067:T6074" si="2847">"14:52:41.723"</f>
        <v>14:52:41.723</v>
      </c>
      <c r="U6067" t="str">
        <f t="shared" si="2819"/>
        <v>A9808D</v>
      </c>
      <c r="V6067">
        <v>0</v>
      </c>
      <c r="W6067">
        <v>0</v>
      </c>
      <c r="X6067">
        <v>1</v>
      </c>
      <c r="Z6067">
        <v>0</v>
      </c>
      <c r="AA6067">
        <v>9</v>
      </c>
      <c r="AB6067">
        <v>3</v>
      </c>
      <c r="AC6067">
        <v>0</v>
      </c>
      <c r="AD6067">
        <v>10</v>
      </c>
      <c r="AE6067">
        <v>0</v>
      </c>
      <c r="AF6067">
        <v>3</v>
      </c>
      <c r="AG6067">
        <v>2</v>
      </c>
      <c r="AH6067">
        <v>0</v>
      </c>
      <c r="AI6067" t="s">
        <v>1348</v>
      </c>
      <c r="AJ6067">
        <v>28.212526</v>
      </c>
      <c r="AK6067" t="s">
        <v>1349</v>
      </c>
      <c r="AL6067">
        <v>-82.366883999999999</v>
      </c>
      <c r="AM6067">
        <v>100</v>
      </c>
      <c r="AN6067">
        <v>100</v>
      </c>
      <c r="AO6067" t="s">
        <v>118</v>
      </c>
      <c r="AP6067">
        <v>-24</v>
      </c>
      <c r="AQ6067">
        <v>83</v>
      </c>
      <c r="AR6067">
        <v>-768</v>
      </c>
      <c r="AZ6067">
        <v>1200</v>
      </c>
      <c r="BA6067">
        <v>1</v>
      </c>
      <c r="BB6067" t="str">
        <f t="shared" si="2832"/>
        <v xml:space="preserve">N711JA  </v>
      </c>
      <c r="BC6067">
        <v>1</v>
      </c>
      <c r="BE6067">
        <v>0</v>
      </c>
      <c r="BF6067">
        <v>0</v>
      </c>
      <c r="BG6067">
        <v>0</v>
      </c>
      <c r="BH6067">
        <v>150</v>
      </c>
      <c r="BI6067">
        <v>1</v>
      </c>
      <c r="BJ6067">
        <v>1</v>
      </c>
      <c r="BK6067">
        <v>0</v>
      </c>
      <c r="BL6067">
        <v>0</v>
      </c>
      <c r="BO6067">
        <v>0</v>
      </c>
      <c r="BP6067">
        <v>0</v>
      </c>
      <c r="BW6067" t="str">
        <f t="shared" ref="BW6067:BW6074" si="2848">"14:52:42.025"</f>
        <v>14:52:42.025</v>
      </c>
      <c r="CJ6067">
        <v>0</v>
      </c>
      <c r="CK6067">
        <v>2</v>
      </c>
      <c r="CL6067">
        <v>0</v>
      </c>
      <c r="CM6067">
        <v>2</v>
      </c>
      <c r="CN6067">
        <v>0</v>
      </c>
      <c r="CO6067">
        <v>5</v>
      </c>
      <c r="CP6067" t="s">
        <v>119</v>
      </c>
      <c r="CQ6067">
        <v>343</v>
      </c>
      <c r="CR6067">
        <v>1</v>
      </c>
      <c r="CW6067">
        <v>11238183</v>
      </c>
      <c r="CY6067">
        <v>1</v>
      </c>
      <c r="CZ6067">
        <v>0</v>
      </c>
      <c r="DA6067">
        <v>0</v>
      </c>
      <c r="DB6067">
        <v>0</v>
      </c>
      <c r="DC6067">
        <v>0</v>
      </c>
      <c r="DD6067">
        <v>1</v>
      </c>
      <c r="DE6067">
        <v>0</v>
      </c>
      <c r="DF6067">
        <v>0</v>
      </c>
      <c r="DG6067">
        <v>0</v>
      </c>
      <c r="DH6067">
        <v>0</v>
      </c>
      <c r="DI6067">
        <v>0</v>
      </c>
    </row>
    <row r="6068" spans="1:113" x14ac:dyDescent="0.3">
      <c r="A6068" t="str">
        <f t="shared" si="2845"/>
        <v>05/12/2020 14:52:24.187</v>
      </c>
      <c r="C6068" t="str">
        <f t="shared" si="2831"/>
        <v>FFDFD3C0</v>
      </c>
      <c r="D6068" t="s">
        <v>134</v>
      </c>
      <c r="E6068">
        <v>12</v>
      </c>
      <c r="H6068">
        <v>64</v>
      </c>
      <c r="I6068" t="s">
        <v>135</v>
      </c>
      <c r="J6068" t="s">
        <v>136</v>
      </c>
      <c r="K6068">
        <v>0</v>
      </c>
      <c r="L6068">
        <v>3</v>
      </c>
      <c r="M6068">
        <v>0</v>
      </c>
      <c r="N6068">
        <v>2</v>
      </c>
      <c r="O6068">
        <v>1</v>
      </c>
      <c r="P6068">
        <v>0</v>
      </c>
      <c r="Q6068">
        <v>0</v>
      </c>
      <c r="S6068" t="str">
        <f t="shared" si="2846"/>
        <v>14:52:42.023</v>
      </c>
      <c r="T6068" t="str">
        <f t="shared" si="2847"/>
        <v>14:52:41.723</v>
      </c>
      <c r="U6068" t="str">
        <f t="shared" si="2819"/>
        <v>A9808D</v>
      </c>
      <c r="V6068">
        <v>0</v>
      </c>
      <c r="W6068">
        <v>0</v>
      </c>
      <c r="X6068">
        <v>1</v>
      </c>
      <c r="Z6068">
        <v>0</v>
      </c>
      <c r="AA6068">
        <v>9</v>
      </c>
      <c r="AB6068">
        <v>3</v>
      </c>
      <c r="AC6068">
        <v>0</v>
      </c>
      <c r="AD6068">
        <v>10</v>
      </c>
      <c r="AE6068">
        <v>0</v>
      </c>
      <c r="AF6068">
        <v>3</v>
      </c>
      <c r="AG6068">
        <v>2</v>
      </c>
      <c r="AH6068">
        <v>0</v>
      </c>
      <c r="AI6068" t="s">
        <v>1348</v>
      </c>
      <c r="AJ6068">
        <v>28.212526</v>
      </c>
      <c r="AK6068" t="s">
        <v>1349</v>
      </c>
      <c r="AL6068">
        <v>-82.366883999999999</v>
      </c>
      <c r="AM6068">
        <v>100</v>
      </c>
      <c r="AN6068">
        <v>100</v>
      </c>
      <c r="AO6068" t="s">
        <v>118</v>
      </c>
      <c r="AP6068">
        <v>-24</v>
      </c>
      <c r="AQ6068">
        <v>83</v>
      </c>
      <c r="AR6068">
        <v>-768</v>
      </c>
      <c r="AZ6068">
        <v>1200</v>
      </c>
      <c r="BA6068">
        <v>1</v>
      </c>
      <c r="BB6068" t="str">
        <f t="shared" si="2832"/>
        <v xml:space="preserve">N711JA  </v>
      </c>
      <c r="BC6068">
        <v>1</v>
      </c>
      <c r="BE6068">
        <v>0</v>
      </c>
      <c r="BF6068">
        <v>0</v>
      </c>
      <c r="BG6068">
        <v>0</v>
      </c>
      <c r="BH6068">
        <v>150</v>
      </c>
      <c r="BI6068">
        <v>1</v>
      </c>
      <c r="BJ6068">
        <v>1</v>
      </c>
      <c r="BK6068">
        <v>0</v>
      </c>
      <c r="BL6068">
        <v>0</v>
      </c>
      <c r="BO6068">
        <v>0</v>
      </c>
      <c r="BP6068">
        <v>0</v>
      </c>
      <c r="BW6068" t="str">
        <f t="shared" si="2848"/>
        <v>14:52:42.025</v>
      </c>
      <c r="CJ6068">
        <v>0</v>
      </c>
      <c r="CK6068">
        <v>2</v>
      </c>
      <c r="CL6068">
        <v>0</v>
      </c>
      <c r="CM6068">
        <v>2</v>
      </c>
      <c r="CN6068">
        <v>0</v>
      </c>
      <c r="CO6068">
        <v>5</v>
      </c>
      <c r="CP6068" t="s">
        <v>119</v>
      </c>
      <c r="CQ6068">
        <v>343</v>
      </c>
      <c r="CR6068">
        <v>1</v>
      </c>
      <c r="CW6068">
        <v>11238183</v>
      </c>
      <c r="CY6068">
        <v>1</v>
      </c>
      <c r="CZ6068">
        <v>0</v>
      </c>
      <c r="DA6068">
        <v>1</v>
      </c>
      <c r="DB6068">
        <v>0</v>
      </c>
      <c r="DC6068">
        <v>0</v>
      </c>
      <c r="DD6068">
        <v>1</v>
      </c>
      <c r="DE6068">
        <v>0</v>
      </c>
      <c r="DF6068">
        <v>0</v>
      </c>
      <c r="DG6068">
        <v>0</v>
      </c>
      <c r="DH6068">
        <v>0</v>
      </c>
      <c r="DI6068">
        <v>0</v>
      </c>
    </row>
    <row r="6069" spans="1:113" x14ac:dyDescent="0.3">
      <c r="A6069" t="str">
        <f t="shared" si="2845"/>
        <v>05/12/2020 14:52:24.187</v>
      </c>
      <c r="C6069" t="str">
        <f t="shared" si="2831"/>
        <v>FFDFD3C0</v>
      </c>
      <c r="D6069" t="s">
        <v>138</v>
      </c>
      <c r="E6069">
        <v>2</v>
      </c>
      <c r="H6069">
        <v>8</v>
      </c>
      <c r="I6069" t="s">
        <v>139</v>
      </c>
      <c r="J6069" t="s">
        <v>136</v>
      </c>
      <c r="K6069">
        <v>0</v>
      </c>
      <c r="L6069">
        <v>3</v>
      </c>
      <c r="M6069">
        <v>0</v>
      </c>
      <c r="N6069">
        <v>2</v>
      </c>
      <c r="O6069">
        <v>1</v>
      </c>
      <c r="P6069">
        <v>0</v>
      </c>
      <c r="Q6069">
        <v>0</v>
      </c>
      <c r="S6069" t="str">
        <f t="shared" si="2846"/>
        <v>14:52:42.023</v>
      </c>
      <c r="T6069" t="str">
        <f t="shared" si="2847"/>
        <v>14:52:41.723</v>
      </c>
      <c r="U6069" t="str">
        <f t="shared" si="2819"/>
        <v>A9808D</v>
      </c>
      <c r="V6069">
        <v>0</v>
      </c>
      <c r="W6069">
        <v>0</v>
      </c>
      <c r="X6069">
        <v>1</v>
      </c>
      <c r="Z6069">
        <v>0</v>
      </c>
      <c r="AA6069">
        <v>9</v>
      </c>
      <c r="AB6069">
        <v>3</v>
      </c>
      <c r="AC6069">
        <v>0</v>
      </c>
      <c r="AD6069">
        <v>10</v>
      </c>
      <c r="AE6069">
        <v>0</v>
      </c>
      <c r="AF6069">
        <v>3</v>
      </c>
      <c r="AG6069">
        <v>2</v>
      </c>
      <c r="AH6069">
        <v>0</v>
      </c>
      <c r="AI6069" t="s">
        <v>1348</v>
      </c>
      <c r="AJ6069">
        <v>28.212526</v>
      </c>
      <c r="AK6069" t="s">
        <v>1349</v>
      </c>
      <c r="AL6069">
        <v>-82.366883999999999</v>
      </c>
      <c r="AM6069">
        <v>100</v>
      </c>
      <c r="AN6069">
        <v>100</v>
      </c>
      <c r="AO6069" t="s">
        <v>118</v>
      </c>
      <c r="AP6069">
        <v>-24</v>
      </c>
      <c r="AQ6069">
        <v>83</v>
      </c>
      <c r="AR6069">
        <v>-768</v>
      </c>
      <c r="AZ6069">
        <v>1200</v>
      </c>
      <c r="BA6069">
        <v>1</v>
      </c>
      <c r="BB6069" t="str">
        <f t="shared" si="2832"/>
        <v xml:space="preserve">N711JA  </v>
      </c>
      <c r="BC6069">
        <v>1</v>
      </c>
      <c r="BE6069">
        <v>0</v>
      </c>
      <c r="BF6069">
        <v>0</v>
      </c>
      <c r="BG6069">
        <v>0</v>
      </c>
      <c r="BH6069">
        <v>150</v>
      </c>
      <c r="BI6069">
        <v>1</v>
      </c>
      <c r="BJ6069">
        <v>1</v>
      </c>
      <c r="BK6069">
        <v>0</v>
      </c>
      <c r="BL6069">
        <v>0</v>
      </c>
      <c r="BO6069">
        <v>0</v>
      </c>
      <c r="BP6069">
        <v>0</v>
      </c>
      <c r="BW6069" t="str">
        <f t="shared" si="2848"/>
        <v>14:52:42.025</v>
      </c>
      <c r="CJ6069">
        <v>0</v>
      </c>
      <c r="CK6069">
        <v>2</v>
      </c>
      <c r="CL6069">
        <v>0</v>
      </c>
      <c r="CM6069">
        <v>2</v>
      </c>
      <c r="CN6069">
        <v>0</v>
      </c>
      <c r="CO6069">
        <v>5</v>
      </c>
      <c r="CP6069" t="s">
        <v>119</v>
      </c>
      <c r="CQ6069">
        <v>343</v>
      </c>
      <c r="CR6069">
        <v>1</v>
      </c>
      <c r="CW6069">
        <v>11238183</v>
      </c>
      <c r="CY6069">
        <v>1</v>
      </c>
      <c r="CZ6069">
        <v>0</v>
      </c>
      <c r="DA6069">
        <v>1</v>
      </c>
      <c r="DB6069">
        <v>0</v>
      </c>
      <c r="DC6069">
        <v>0</v>
      </c>
      <c r="DD6069">
        <v>1</v>
      </c>
      <c r="DE6069">
        <v>0</v>
      </c>
      <c r="DF6069">
        <v>0</v>
      </c>
      <c r="DG6069">
        <v>0</v>
      </c>
      <c r="DH6069">
        <v>0</v>
      </c>
      <c r="DI6069">
        <v>0</v>
      </c>
    </row>
    <row r="6070" spans="1:113" x14ac:dyDescent="0.3">
      <c r="A6070" t="str">
        <f t="shared" si="2845"/>
        <v>05/12/2020 14:52:24.187</v>
      </c>
      <c r="C6070" t="str">
        <f t="shared" si="2831"/>
        <v>FFDFD3C0</v>
      </c>
      <c r="D6070" t="s">
        <v>138</v>
      </c>
      <c r="E6070">
        <v>3</v>
      </c>
      <c r="H6070">
        <v>9</v>
      </c>
      <c r="I6070" t="s">
        <v>140</v>
      </c>
      <c r="J6070" t="s">
        <v>136</v>
      </c>
      <c r="K6070">
        <v>0</v>
      </c>
      <c r="L6070">
        <v>3</v>
      </c>
      <c r="M6070">
        <v>0</v>
      </c>
      <c r="N6070">
        <v>2</v>
      </c>
      <c r="O6070">
        <v>1</v>
      </c>
      <c r="P6070">
        <v>0</v>
      </c>
      <c r="Q6070">
        <v>0</v>
      </c>
      <c r="S6070" t="str">
        <f t="shared" si="2846"/>
        <v>14:52:42.023</v>
      </c>
      <c r="T6070" t="str">
        <f t="shared" si="2847"/>
        <v>14:52:41.723</v>
      </c>
      <c r="U6070" t="str">
        <f t="shared" si="2819"/>
        <v>A9808D</v>
      </c>
      <c r="V6070">
        <v>0</v>
      </c>
      <c r="W6070">
        <v>0</v>
      </c>
      <c r="X6070">
        <v>1</v>
      </c>
      <c r="Z6070">
        <v>0</v>
      </c>
      <c r="AA6070">
        <v>9</v>
      </c>
      <c r="AB6070">
        <v>3</v>
      </c>
      <c r="AC6070">
        <v>0</v>
      </c>
      <c r="AD6070">
        <v>10</v>
      </c>
      <c r="AE6070">
        <v>0</v>
      </c>
      <c r="AF6070">
        <v>3</v>
      </c>
      <c r="AG6070">
        <v>2</v>
      </c>
      <c r="AH6070">
        <v>0</v>
      </c>
      <c r="AI6070" t="s">
        <v>1348</v>
      </c>
      <c r="AJ6070">
        <v>28.212526</v>
      </c>
      <c r="AK6070" t="s">
        <v>1349</v>
      </c>
      <c r="AL6070">
        <v>-82.366883999999999</v>
      </c>
      <c r="AM6070">
        <v>100</v>
      </c>
      <c r="AN6070">
        <v>100</v>
      </c>
      <c r="AO6070" t="s">
        <v>118</v>
      </c>
      <c r="AP6070">
        <v>-24</v>
      </c>
      <c r="AQ6070">
        <v>83</v>
      </c>
      <c r="AR6070">
        <v>-768</v>
      </c>
      <c r="AZ6070">
        <v>1200</v>
      </c>
      <c r="BA6070">
        <v>1</v>
      </c>
      <c r="BB6070" t="str">
        <f t="shared" si="2832"/>
        <v xml:space="preserve">N711JA  </v>
      </c>
      <c r="BC6070">
        <v>1</v>
      </c>
      <c r="BE6070">
        <v>0</v>
      </c>
      <c r="BF6070">
        <v>0</v>
      </c>
      <c r="BG6070">
        <v>0</v>
      </c>
      <c r="BH6070">
        <v>150</v>
      </c>
      <c r="BI6070">
        <v>1</v>
      </c>
      <c r="BJ6070">
        <v>1</v>
      </c>
      <c r="BK6070">
        <v>0</v>
      </c>
      <c r="BL6070">
        <v>0</v>
      </c>
      <c r="BO6070">
        <v>0</v>
      </c>
      <c r="BP6070">
        <v>0</v>
      </c>
      <c r="BW6070" t="str">
        <f t="shared" si="2848"/>
        <v>14:52:42.025</v>
      </c>
      <c r="CJ6070">
        <v>0</v>
      </c>
      <c r="CK6070">
        <v>2</v>
      </c>
      <c r="CL6070">
        <v>0</v>
      </c>
      <c r="CM6070">
        <v>2</v>
      </c>
      <c r="CN6070">
        <v>0</v>
      </c>
      <c r="CO6070">
        <v>5</v>
      </c>
      <c r="CP6070" t="s">
        <v>119</v>
      </c>
      <c r="CQ6070">
        <v>343</v>
      </c>
      <c r="CR6070">
        <v>1</v>
      </c>
      <c r="CW6070">
        <v>11238183</v>
      </c>
      <c r="CY6070">
        <v>1</v>
      </c>
      <c r="CZ6070">
        <v>0</v>
      </c>
      <c r="DA6070">
        <v>1</v>
      </c>
      <c r="DB6070">
        <v>0</v>
      </c>
      <c r="DC6070">
        <v>0</v>
      </c>
      <c r="DD6070">
        <v>1</v>
      </c>
      <c r="DE6070">
        <v>0</v>
      </c>
      <c r="DF6070">
        <v>0</v>
      </c>
      <c r="DG6070">
        <v>0</v>
      </c>
      <c r="DH6070">
        <v>0</v>
      </c>
      <c r="DI6070">
        <v>0</v>
      </c>
    </row>
    <row r="6071" spans="1:113" x14ac:dyDescent="0.3">
      <c r="A6071" t="str">
        <f t="shared" si="2845"/>
        <v>05/12/2020 14:52:24.187</v>
      </c>
      <c r="C6071" t="str">
        <f t="shared" si="2831"/>
        <v>FFDFD3C0</v>
      </c>
      <c r="D6071" t="s">
        <v>126</v>
      </c>
      <c r="E6071">
        <v>6</v>
      </c>
      <c r="F6071">
        <v>1006</v>
      </c>
      <c r="G6071" t="s">
        <v>114</v>
      </c>
      <c r="J6071" t="s">
        <v>128</v>
      </c>
      <c r="K6071">
        <v>0</v>
      </c>
      <c r="L6071">
        <v>3</v>
      </c>
      <c r="M6071">
        <v>0</v>
      </c>
      <c r="N6071">
        <v>2</v>
      </c>
      <c r="O6071">
        <v>1</v>
      </c>
      <c r="P6071">
        <v>0</v>
      </c>
      <c r="Q6071">
        <v>0</v>
      </c>
      <c r="S6071" t="str">
        <f t="shared" si="2846"/>
        <v>14:52:42.023</v>
      </c>
      <c r="T6071" t="str">
        <f t="shared" si="2847"/>
        <v>14:52:41.723</v>
      </c>
      <c r="U6071" t="str">
        <f t="shared" si="2819"/>
        <v>A9808D</v>
      </c>
      <c r="V6071">
        <v>0</v>
      </c>
      <c r="W6071">
        <v>0</v>
      </c>
      <c r="X6071">
        <v>1</v>
      </c>
      <c r="Z6071">
        <v>0</v>
      </c>
      <c r="AA6071">
        <v>9</v>
      </c>
      <c r="AB6071">
        <v>3</v>
      </c>
      <c r="AC6071">
        <v>0</v>
      </c>
      <c r="AD6071">
        <v>10</v>
      </c>
      <c r="AE6071">
        <v>0</v>
      </c>
      <c r="AF6071">
        <v>3</v>
      </c>
      <c r="AG6071">
        <v>2</v>
      </c>
      <c r="AH6071">
        <v>0</v>
      </c>
      <c r="AI6071" t="s">
        <v>1348</v>
      </c>
      <c r="AJ6071">
        <v>28.212526</v>
      </c>
      <c r="AK6071" t="s">
        <v>1349</v>
      </c>
      <c r="AL6071">
        <v>-82.366883999999999</v>
      </c>
      <c r="AM6071">
        <v>100</v>
      </c>
      <c r="AN6071">
        <v>100</v>
      </c>
      <c r="AO6071" t="s">
        <v>118</v>
      </c>
      <c r="AP6071">
        <v>-24</v>
      </c>
      <c r="AQ6071">
        <v>83</v>
      </c>
      <c r="AR6071">
        <v>-768</v>
      </c>
      <c r="AZ6071">
        <v>1200</v>
      </c>
      <c r="BA6071">
        <v>1</v>
      </c>
      <c r="BB6071" t="str">
        <f t="shared" si="2832"/>
        <v xml:space="preserve">N711JA  </v>
      </c>
      <c r="BC6071">
        <v>1</v>
      </c>
      <c r="BE6071">
        <v>0</v>
      </c>
      <c r="BF6071">
        <v>0</v>
      </c>
      <c r="BG6071">
        <v>0</v>
      </c>
      <c r="BH6071">
        <v>150</v>
      </c>
      <c r="BI6071">
        <v>1</v>
      </c>
      <c r="BJ6071">
        <v>1</v>
      </c>
      <c r="BK6071">
        <v>0</v>
      </c>
      <c r="BL6071">
        <v>0</v>
      </c>
      <c r="BO6071">
        <v>0</v>
      </c>
      <c r="BP6071">
        <v>0</v>
      </c>
      <c r="BW6071" t="str">
        <f t="shared" si="2848"/>
        <v>14:52:42.025</v>
      </c>
      <c r="CJ6071">
        <v>0</v>
      </c>
      <c r="CK6071">
        <v>2</v>
      </c>
      <c r="CL6071">
        <v>0</v>
      </c>
      <c r="CM6071">
        <v>2</v>
      </c>
      <c r="CN6071">
        <v>0</v>
      </c>
      <c r="CO6071">
        <v>5</v>
      </c>
      <c r="CP6071" t="s">
        <v>119</v>
      </c>
      <c r="CQ6071">
        <v>343</v>
      </c>
      <c r="CR6071">
        <v>1</v>
      </c>
      <c r="CW6071">
        <v>11238183</v>
      </c>
      <c r="CY6071">
        <v>1</v>
      </c>
      <c r="CZ6071">
        <v>0</v>
      </c>
      <c r="DA6071">
        <v>1</v>
      </c>
      <c r="DB6071">
        <v>0</v>
      </c>
      <c r="DC6071">
        <v>0</v>
      </c>
      <c r="DD6071">
        <v>1</v>
      </c>
      <c r="DE6071">
        <v>0</v>
      </c>
      <c r="DF6071">
        <v>0</v>
      </c>
      <c r="DG6071">
        <v>0</v>
      </c>
      <c r="DH6071">
        <v>0</v>
      </c>
      <c r="DI6071">
        <v>0</v>
      </c>
    </row>
    <row r="6072" spans="1:113" x14ac:dyDescent="0.3">
      <c r="A6072" t="str">
        <f t="shared" si="2845"/>
        <v>05/12/2020 14:52:24.187</v>
      </c>
      <c r="C6072" t="str">
        <f t="shared" si="2831"/>
        <v>FFDFD3C0</v>
      </c>
      <c r="D6072" t="s">
        <v>113</v>
      </c>
      <c r="E6072">
        <v>3</v>
      </c>
      <c r="H6072">
        <v>164</v>
      </c>
      <c r="I6072" t="s">
        <v>114</v>
      </c>
      <c r="J6072" t="s">
        <v>115</v>
      </c>
      <c r="K6072">
        <v>0</v>
      </c>
      <c r="L6072">
        <v>3</v>
      </c>
      <c r="M6072">
        <v>0</v>
      </c>
      <c r="N6072">
        <v>2</v>
      </c>
      <c r="O6072">
        <v>1</v>
      </c>
      <c r="P6072">
        <v>0</v>
      </c>
      <c r="Q6072">
        <v>0</v>
      </c>
      <c r="S6072" t="str">
        <f t="shared" si="2846"/>
        <v>14:52:42.023</v>
      </c>
      <c r="T6072" t="str">
        <f t="shared" si="2847"/>
        <v>14:52:41.723</v>
      </c>
      <c r="U6072" t="str">
        <f t="shared" si="2819"/>
        <v>A9808D</v>
      </c>
      <c r="V6072">
        <v>0</v>
      </c>
      <c r="W6072">
        <v>0</v>
      </c>
      <c r="X6072">
        <v>1</v>
      </c>
      <c r="Z6072">
        <v>0</v>
      </c>
      <c r="AA6072">
        <v>9</v>
      </c>
      <c r="AB6072">
        <v>3</v>
      </c>
      <c r="AC6072">
        <v>0</v>
      </c>
      <c r="AD6072">
        <v>10</v>
      </c>
      <c r="AE6072">
        <v>0</v>
      </c>
      <c r="AF6072">
        <v>3</v>
      </c>
      <c r="AG6072">
        <v>2</v>
      </c>
      <c r="AH6072">
        <v>0</v>
      </c>
      <c r="AI6072" t="s">
        <v>1348</v>
      </c>
      <c r="AJ6072">
        <v>28.212526</v>
      </c>
      <c r="AK6072" t="s">
        <v>1349</v>
      </c>
      <c r="AL6072">
        <v>-82.366883999999999</v>
      </c>
      <c r="AM6072">
        <v>100</v>
      </c>
      <c r="AN6072">
        <v>100</v>
      </c>
      <c r="AO6072" t="s">
        <v>118</v>
      </c>
      <c r="AP6072">
        <v>-24</v>
      </c>
      <c r="AQ6072">
        <v>83</v>
      </c>
      <c r="AR6072">
        <v>-768</v>
      </c>
      <c r="AZ6072">
        <v>1200</v>
      </c>
      <c r="BA6072">
        <v>1</v>
      </c>
      <c r="BB6072" t="str">
        <f t="shared" si="2832"/>
        <v xml:space="preserve">N711JA  </v>
      </c>
      <c r="BC6072">
        <v>1</v>
      </c>
      <c r="BE6072">
        <v>0</v>
      </c>
      <c r="BF6072">
        <v>0</v>
      </c>
      <c r="BG6072">
        <v>0</v>
      </c>
      <c r="BH6072">
        <v>150</v>
      </c>
      <c r="BI6072">
        <v>1</v>
      </c>
      <c r="BJ6072">
        <v>1</v>
      </c>
      <c r="BK6072">
        <v>0</v>
      </c>
      <c r="BL6072">
        <v>0</v>
      </c>
      <c r="BO6072">
        <v>0</v>
      </c>
      <c r="BP6072">
        <v>0</v>
      </c>
      <c r="BW6072" t="str">
        <f t="shared" si="2848"/>
        <v>14:52:42.025</v>
      </c>
      <c r="CJ6072">
        <v>0</v>
      </c>
      <c r="CK6072">
        <v>2</v>
      </c>
      <c r="CL6072">
        <v>0</v>
      </c>
      <c r="CM6072">
        <v>2</v>
      </c>
      <c r="CN6072">
        <v>0</v>
      </c>
      <c r="CO6072">
        <v>5</v>
      </c>
      <c r="CP6072" t="s">
        <v>119</v>
      </c>
      <c r="CQ6072">
        <v>343</v>
      </c>
      <c r="CR6072">
        <v>1</v>
      </c>
      <c r="CW6072">
        <v>11238183</v>
      </c>
      <c r="CY6072">
        <v>1</v>
      </c>
      <c r="CZ6072">
        <v>0</v>
      </c>
      <c r="DA6072">
        <v>1</v>
      </c>
      <c r="DB6072">
        <v>0</v>
      </c>
      <c r="DC6072">
        <v>0</v>
      </c>
      <c r="DD6072">
        <v>1</v>
      </c>
      <c r="DE6072">
        <v>0</v>
      </c>
      <c r="DF6072">
        <v>0</v>
      </c>
      <c r="DG6072">
        <v>0</v>
      </c>
      <c r="DH6072">
        <v>0</v>
      </c>
      <c r="DI6072">
        <v>0</v>
      </c>
    </row>
    <row r="6073" spans="1:113" x14ac:dyDescent="0.3">
      <c r="A6073" t="str">
        <f t="shared" si="2845"/>
        <v>05/12/2020 14:52:24.187</v>
      </c>
      <c r="C6073" t="str">
        <f t="shared" si="2831"/>
        <v>FFDFD3C0</v>
      </c>
      <c r="D6073" t="s">
        <v>126</v>
      </c>
      <c r="E6073">
        <v>7</v>
      </c>
      <c r="F6073">
        <v>1007</v>
      </c>
      <c r="G6073" t="s">
        <v>127</v>
      </c>
      <c r="J6073" t="s">
        <v>128</v>
      </c>
      <c r="K6073">
        <v>0</v>
      </c>
      <c r="L6073">
        <v>3</v>
      </c>
      <c r="M6073">
        <v>0</v>
      </c>
      <c r="N6073">
        <v>2</v>
      </c>
      <c r="O6073">
        <v>1</v>
      </c>
      <c r="P6073">
        <v>0</v>
      </c>
      <c r="Q6073">
        <v>0</v>
      </c>
      <c r="S6073" t="str">
        <f t="shared" si="2846"/>
        <v>14:52:42.023</v>
      </c>
      <c r="T6073" t="str">
        <f t="shared" si="2847"/>
        <v>14:52:41.723</v>
      </c>
      <c r="U6073" t="str">
        <f t="shared" si="2819"/>
        <v>A9808D</v>
      </c>
      <c r="V6073">
        <v>0</v>
      </c>
      <c r="W6073">
        <v>0</v>
      </c>
      <c r="X6073">
        <v>1</v>
      </c>
      <c r="Z6073">
        <v>0</v>
      </c>
      <c r="AA6073">
        <v>9</v>
      </c>
      <c r="AB6073">
        <v>3</v>
      </c>
      <c r="AC6073">
        <v>0</v>
      </c>
      <c r="AD6073">
        <v>10</v>
      </c>
      <c r="AE6073">
        <v>0</v>
      </c>
      <c r="AF6073">
        <v>3</v>
      </c>
      <c r="AG6073">
        <v>2</v>
      </c>
      <c r="AH6073">
        <v>0</v>
      </c>
      <c r="AI6073" t="s">
        <v>1348</v>
      </c>
      <c r="AJ6073">
        <v>28.212526</v>
      </c>
      <c r="AK6073" t="s">
        <v>1349</v>
      </c>
      <c r="AL6073">
        <v>-82.366883999999999</v>
      </c>
      <c r="AM6073">
        <v>100</v>
      </c>
      <c r="AN6073">
        <v>100</v>
      </c>
      <c r="AO6073" t="s">
        <v>118</v>
      </c>
      <c r="AP6073">
        <v>-24</v>
      </c>
      <c r="AQ6073">
        <v>83</v>
      </c>
      <c r="AR6073">
        <v>-768</v>
      </c>
      <c r="AZ6073">
        <v>1200</v>
      </c>
      <c r="BA6073">
        <v>1</v>
      </c>
      <c r="BB6073" t="str">
        <f t="shared" si="2832"/>
        <v xml:space="preserve">N711JA  </v>
      </c>
      <c r="BC6073">
        <v>1</v>
      </c>
      <c r="BE6073">
        <v>0</v>
      </c>
      <c r="BF6073">
        <v>0</v>
      </c>
      <c r="BG6073">
        <v>0</v>
      </c>
      <c r="BH6073">
        <v>150</v>
      </c>
      <c r="BI6073">
        <v>1</v>
      </c>
      <c r="BJ6073">
        <v>1</v>
      </c>
      <c r="BK6073">
        <v>0</v>
      </c>
      <c r="BL6073">
        <v>0</v>
      </c>
      <c r="BO6073">
        <v>0</v>
      </c>
      <c r="BP6073">
        <v>0</v>
      </c>
      <c r="BW6073" t="str">
        <f t="shared" si="2848"/>
        <v>14:52:42.025</v>
      </c>
      <c r="CJ6073">
        <v>0</v>
      </c>
      <c r="CK6073">
        <v>2</v>
      </c>
      <c r="CL6073">
        <v>0</v>
      </c>
      <c r="CM6073">
        <v>2</v>
      </c>
      <c r="CN6073">
        <v>0</v>
      </c>
      <c r="CO6073">
        <v>5</v>
      </c>
      <c r="CP6073" t="s">
        <v>119</v>
      </c>
      <c r="CQ6073">
        <v>343</v>
      </c>
      <c r="CR6073">
        <v>1</v>
      </c>
      <c r="CW6073">
        <v>11238183</v>
      </c>
      <c r="CY6073">
        <v>1</v>
      </c>
      <c r="CZ6073">
        <v>0</v>
      </c>
      <c r="DA6073">
        <v>1</v>
      </c>
      <c r="DB6073">
        <v>0</v>
      </c>
      <c r="DC6073">
        <v>0</v>
      </c>
      <c r="DD6073">
        <v>1</v>
      </c>
      <c r="DE6073">
        <v>0</v>
      </c>
      <c r="DF6073">
        <v>0</v>
      </c>
      <c r="DG6073">
        <v>0</v>
      </c>
      <c r="DH6073">
        <v>0</v>
      </c>
      <c r="DI6073">
        <v>0</v>
      </c>
    </row>
    <row r="6074" spans="1:113" x14ac:dyDescent="0.3">
      <c r="A6074" t="str">
        <f t="shared" si="2845"/>
        <v>05/12/2020 14:52:24.187</v>
      </c>
      <c r="C6074" t="str">
        <f t="shared" si="2831"/>
        <v>FFDFD3C0</v>
      </c>
      <c r="D6074" t="s">
        <v>131</v>
      </c>
      <c r="E6074">
        <v>10</v>
      </c>
      <c r="F6074">
        <v>2010</v>
      </c>
      <c r="G6074" t="s">
        <v>132</v>
      </c>
      <c r="J6074" t="s">
        <v>133</v>
      </c>
      <c r="K6074">
        <v>0</v>
      </c>
      <c r="L6074">
        <v>3</v>
      </c>
      <c r="M6074">
        <v>0</v>
      </c>
      <c r="N6074">
        <v>2</v>
      </c>
      <c r="O6074">
        <v>1</v>
      </c>
      <c r="P6074">
        <v>0</v>
      </c>
      <c r="Q6074">
        <v>0</v>
      </c>
      <c r="S6074" t="str">
        <f t="shared" si="2846"/>
        <v>14:52:42.023</v>
      </c>
      <c r="T6074" t="str">
        <f t="shared" si="2847"/>
        <v>14:52:41.723</v>
      </c>
      <c r="U6074" t="str">
        <f t="shared" si="2819"/>
        <v>A9808D</v>
      </c>
      <c r="V6074">
        <v>0</v>
      </c>
      <c r="W6074">
        <v>0</v>
      </c>
      <c r="X6074">
        <v>1</v>
      </c>
      <c r="Z6074">
        <v>0</v>
      </c>
      <c r="AA6074">
        <v>9</v>
      </c>
      <c r="AB6074">
        <v>3</v>
      </c>
      <c r="AC6074">
        <v>0</v>
      </c>
      <c r="AD6074">
        <v>10</v>
      </c>
      <c r="AE6074">
        <v>0</v>
      </c>
      <c r="AF6074">
        <v>3</v>
      </c>
      <c r="AG6074">
        <v>2</v>
      </c>
      <c r="AH6074">
        <v>0</v>
      </c>
      <c r="AI6074" t="s">
        <v>1348</v>
      </c>
      <c r="AJ6074">
        <v>28.212526</v>
      </c>
      <c r="AK6074" t="s">
        <v>1349</v>
      </c>
      <c r="AL6074">
        <v>-82.366883999999999</v>
      </c>
      <c r="AM6074">
        <v>100</v>
      </c>
      <c r="AN6074">
        <v>100</v>
      </c>
      <c r="AO6074" t="s">
        <v>118</v>
      </c>
      <c r="AP6074">
        <v>-24</v>
      </c>
      <c r="AQ6074">
        <v>83</v>
      </c>
      <c r="AR6074">
        <v>-768</v>
      </c>
      <c r="AZ6074">
        <v>1200</v>
      </c>
      <c r="BA6074">
        <v>1</v>
      </c>
      <c r="BB6074" t="str">
        <f t="shared" si="2832"/>
        <v xml:space="preserve">N711JA  </v>
      </c>
      <c r="BC6074">
        <v>1</v>
      </c>
      <c r="BE6074">
        <v>0</v>
      </c>
      <c r="BF6074">
        <v>0</v>
      </c>
      <c r="BG6074">
        <v>0</v>
      </c>
      <c r="BH6074">
        <v>150</v>
      </c>
      <c r="BI6074">
        <v>1</v>
      </c>
      <c r="BJ6074">
        <v>1</v>
      </c>
      <c r="BK6074">
        <v>0</v>
      </c>
      <c r="BL6074">
        <v>0</v>
      </c>
      <c r="BO6074">
        <v>0</v>
      </c>
      <c r="BP6074">
        <v>0</v>
      </c>
      <c r="BW6074" t="str">
        <f t="shared" si="2848"/>
        <v>14:52:42.025</v>
      </c>
      <c r="CJ6074">
        <v>0</v>
      </c>
      <c r="CK6074">
        <v>2</v>
      </c>
      <c r="CL6074">
        <v>0</v>
      </c>
      <c r="CM6074">
        <v>2</v>
      </c>
      <c r="CN6074">
        <v>0</v>
      </c>
      <c r="CO6074">
        <v>5</v>
      </c>
      <c r="CP6074" t="s">
        <v>119</v>
      </c>
      <c r="CQ6074">
        <v>343</v>
      </c>
      <c r="CR6074">
        <v>1</v>
      </c>
      <c r="CW6074">
        <v>11238183</v>
      </c>
      <c r="CY6074">
        <v>1</v>
      </c>
      <c r="CZ6074">
        <v>0</v>
      </c>
      <c r="DA6074">
        <v>1</v>
      </c>
      <c r="DB6074">
        <v>0</v>
      </c>
      <c r="DC6074">
        <v>0</v>
      </c>
      <c r="DD6074">
        <v>1</v>
      </c>
      <c r="DE6074">
        <v>0</v>
      </c>
      <c r="DF6074">
        <v>0</v>
      </c>
      <c r="DG6074">
        <v>0</v>
      </c>
      <c r="DH6074">
        <v>0</v>
      </c>
      <c r="DI6074">
        <v>0</v>
      </c>
    </row>
    <row r="6075" spans="1:113" x14ac:dyDescent="0.3">
      <c r="A6075" t="str">
        <f t="shared" ref="A6075:A6082" si="2849">"05/12/2020 14:52:25.107"</f>
        <v>05/12/2020 14:52:25.107</v>
      </c>
      <c r="C6075" t="str">
        <f t="shared" si="2831"/>
        <v>FFDFD3C0</v>
      </c>
      <c r="D6075" t="s">
        <v>134</v>
      </c>
      <c r="E6075">
        <v>12</v>
      </c>
      <c r="H6075">
        <v>64</v>
      </c>
      <c r="I6075" t="s">
        <v>135</v>
      </c>
      <c r="J6075" t="s">
        <v>136</v>
      </c>
      <c r="K6075">
        <v>0</v>
      </c>
      <c r="L6075">
        <v>3</v>
      </c>
      <c r="M6075">
        <v>0</v>
      </c>
      <c r="N6075">
        <v>2</v>
      </c>
      <c r="O6075">
        <v>1</v>
      </c>
      <c r="P6075">
        <v>0</v>
      </c>
      <c r="Q6075">
        <v>0</v>
      </c>
      <c r="S6075" t="str">
        <f t="shared" ref="S6075:S6082" si="2850">"14:52:42.922"</f>
        <v>14:52:42.922</v>
      </c>
      <c r="T6075" t="str">
        <f t="shared" ref="T6075:T6082" si="2851">"14:52:42.722"</f>
        <v>14:52:42.722</v>
      </c>
      <c r="U6075" t="str">
        <f t="shared" si="2819"/>
        <v>A9808D</v>
      </c>
      <c r="V6075">
        <v>0</v>
      </c>
      <c r="W6075">
        <v>0</v>
      </c>
      <c r="X6075">
        <v>1</v>
      </c>
      <c r="Z6075">
        <v>0</v>
      </c>
      <c r="AA6075">
        <v>9</v>
      </c>
      <c r="AB6075">
        <v>3</v>
      </c>
      <c r="AC6075">
        <v>0</v>
      </c>
      <c r="AD6075">
        <v>10</v>
      </c>
      <c r="AE6075">
        <v>0</v>
      </c>
      <c r="AF6075">
        <v>3</v>
      </c>
      <c r="AG6075">
        <v>2</v>
      </c>
      <c r="AH6075">
        <v>0</v>
      </c>
      <c r="AI6075" t="s">
        <v>1350</v>
      </c>
      <c r="AJ6075">
        <v>28.212848000000001</v>
      </c>
      <c r="AK6075" t="s">
        <v>1332</v>
      </c>
      <c r="AL6075">
        <v>-82.367034000000004</v>
      </c>
      <c r="AM6075">
        <v>100</v>
      </c>
      <c r="AN6075">
        <v>100</v>
      </c>
      <c r="AO6075" t="s">
        <v>118</v>
      </c>
      <c r="AP6075">
        <v>-31</v>
      </c>
      <c r="AQ6075">
        <v>82</v>
      </c>
      <c r="AR6075">
        <v>-640</v>
      </c>
      <c r="AZ6075">
        <v>1200</v>
      </c>
      <c r="BA6075">
        <v>1</v>
      </c>
      <c r="BB6075" t="str">
        <f t="shared" si="2832"/>
        <v xml:space="preserve">N711JA  </v>
      </c>
      <c r="BC6075">
        <v>1</v>
      </c>
      <c r="BE6075">
        <v>0</v>
      </c>
      <c r="BF6075">
        <v>0</v>
      </c>
      <c r="BG6075">
        <v>0</v>
      </c>
      <c r="BH6075">
        <v>150</v>
      </c>
      <c r="BI6075">
        <v>1</v>
      </c>
      <c r="BJ6075">
        <v>1</v>
      </c>
      <c r="BK6075">
        <v>0</v>
      </c>
      <c r="BL6075">
        <v>0</v>
      </c>
      <c r="BO6075">
        <v>0</v>
      </c>
      <c r="BP6075">
        <v>0</v>
      </c>
      <c r="BW6075" t="str">
        <f t="shared" ref="BW6075:BW6082" si="2852">"14:52:42.923"</f>
        <v>14:52:42.923</v>
      </c>
      <c r="CJ6075">
        <v>0</v>
      </c>
      <c r="CK6075">
        <v>2</v>
      </c>
      <c r="CL6075">
        <v>0</v>
      </c>
      <c r="CM6075">
        <v>2</v>
      </c>
      <c r="CN6075">
        <v>0</v>
      </c>
      <c r="CO6075">
        <v>4</v>
      </c>
      <c r="CP6075" t="s">
        <v>119</v>
      </c>
      <c r="CQ6075">
        <v>343</v>
      </c>
      <c r="CR6075">
        <v>1</v>
      </c>
      <c r="CW6075">
        <v>11239123</v>
      </c>
      <c r="CY6075">
        <v>1</v>
      </c>
      <c r="CZ6075">
        <v>0</v>
      </c>
      <c r="DA6075">
        <v>0</v>
      </c>
      <c r="DB6075">
        <v>0</v>
      </c>
      <c r="DC6075">
        <v>0</v>
      </c>
      <c r="DD6075">
        <v>1</v>
      </c>
      <c r="DE6075">
        <v>0</v>
      </c>
      <c r="DF6075">
        <v>0</v>
      </c>
      <c r="DG6075">
        <v>0</v>
      </c>
      <c r="DH6075">
        <v>0</v>
      </c>
      <c r="DI6075">
        <v>0</v>
      </c>
    </row>
    <row r="6076" spans="1:113" x14ac:dyDescent="0.3">
      <c r="A6076" t="str">
        <f t="shared" si="2849"/>
        <v>05/12/2020 14:52:25.107</v>
      </c>
      <c r="C6076" t="str">
        <f t="shared" si="2831"/>
        <v>FFDFD3C0</v>
      </c>
      <c r="D6076" t="s">
        <v>126</v>
      </c>
      <c r="E6076">
        <v>6</v>
      </c>
      <c r="F6076">
        <v>1006</v>
      </c>
      <c r="G6076" t="s">
        <v>114</v>
      </c>
      <c r="J6076" t="s">
        <v>128</v>
      </c>
      <c r="K6076">
        <v>0</v>
      </c>
      <c r="L6076">
        <v>3</v>
      </c>
      <c r="M6076">
        <v>0</v>
      </c>
      <c r="N6076">
        <v>2</v>
      </c>
      <c r="O6076">
        <v>1</v>
      </c>
      <c r="P6076">
        <v>0</v>
      </c>
      <c r="Q6076">
        <v>0</v>
      </c>
      <c r="S6076" t="str">
        <f t="shared" si="2850"/>
        <v>14:52:42.922</v>
      </c>
      <c r="T6076" t="str">
        <f t="shared" si="2851"/>
        <v>14:52:42.722</v>
      </c>
      <c r="U6076" t="str">
        <f t="shared" si="2819"/>
        <v>A9808D</v>
      </c>
      <c r="V6076">
        <v>0</v>
      </c>
      <c r="W6076">
        <v>0</v>
      </c>
      <c r="X6076">
        <v>1</v>
      </c>
      <c r="Z6076">
        <v>0</v>
      </c>
      <c r="AA6076">
        <v>9</v>
      </c>
      <c r="AB6076">
        <v>3</v>
      </c>
      <c r="AC6076">
        <v>0</v>
      </c>
      <c r="AD6076">
        <v>10</v>
      </c>
      <c r="AE6076">
        <v>0</v>
      </c>
      <c r="AF6076">
        <v>3</v>
      </c>
      <c r="AG6076">
        <v>2</v>
      </c>
      <c r="AH6076">
        <v>0</v>
      </c>
      <c r="AI6076" t="s">
        <v>1350</v>
      </c>
      <c r="AJ6076">
        <v>28.212848000000001</v>
      </c>
      <c r="AK6076" t="s">
        <v>1332</v>
      </c>
      <c r="AL6076">
        <v>-82.367034000000004</v>
      </c>
      <c r="AM6076">
        <v>100</v>
      </c>
      <c r="AN6076">
        <v>100</v>
      </c>
      <c r="AO6076" t="s">
        <v>118</v>
      </c>
      <c r="AP6076">
        <v>-31</v>
      </c>
      <c r="AQ6076">
        <v>82</v>
      </c>
      <c r="AR6076">
        <v>-640</v>
      </c>
      <c r="AZ6076">
        <v>1200</v>
      </c>
      <c r="BA6076">
        <v>1</v>
      </c>
      <c r="BB6076" t="str">
        <f t="shared" si="2832"/>
        <v xml:space="preserve">N711JA  </v>
      </c>
      <c r="BC6076">
        <v>1</v>
      </c>
      <c r="BE6076">
        <v>0</v>
      </c>
      <c r="BF6076">
        <v>0</v>
      </c>
      <c r="BG6076">
        <v>0</v>
      </c>
      <c r="BH6076">
        <v>150</v>
      </c>
      <c r="BI6076">
        <v>1</v>
      </c>
      <c r="BJ6076">
        <v>1</v>
      </c>
      <c r="BK6076">
        <v>0</v>
      </c>
      <c r="BL6076">
        <v>0</v>
      </c>
      <c r="BO6076">
        <v>0</v>
      </c>
      <c r="BP6076">
        <v>0</v>
      </c>
      <c r="BW6076" t="str">
        <f t="shared" si="2852"/>
        <v>14:52:42.923</v>
      </c>
      <c r="CJ6076">
        <v>0</v>
      </c>
      <c r="CK6076">
        <v>2</v>
      </c>
      <c r="CL6076">
        <v>0</v>
      </c>
      <c r="CM6076">
        <v>2</v>
      </c>
      <c r="CN6076">
        <v>0</v>
      </c>
      <c r="CO6076">
        <v>4</v>
      </c>
      <c r="CP6076" t="s">
        <v>119</v>
      </c>
      <c r="CQ6076">
        <v>343</v>
      </c>
      <c r="CR6076">
        <v>1</v>
      </c>
      <c r="CW6076">
        <v>11239123</v>
      </c>
      <c r="CY6076">
        <v>1</v>
      </c>
      <c r="CZ6076">
        <v>0</v>
      </c>
      <c r="DA6076">
        <v>1</v>
      </c>
      <c r="DB6076">
        <v>0</v>
      </c>
      <c r="DC6076">
        <v>0</v>
      </c>
      <c r="DD6076">
        <v>1</v>
      </c>
      <c r="DE6076">
        <v>0</v>
      </c>
      <c r="DF6076">
        <v>0</v>
      </c>
      <c r="DG6076">
        <v>0</v>
      </c>
      <c r="DH6076">
        <v>0</v>
      </c>
      <c r="DI6076">
        <v>0</v>
      </c>
    </row>
    <row r="6077" spans="1:113" x14ac:dyDescent="0.3">
      <c r="A6077" t="str">
        <f t="shared" si="2849"/>
        <v>05/12/2020 14:52:25.107</v>
      </c>
      <c r="C6077" t="str">
        <f t="shared" si="2831"/>
        <v>FFDFD3C0</v>
      </c>
      <c r="D6077" t="s">
        <v>138</v>
      </c>
      <c r="E6077">
        <v>2</v>
      </c>
      <c r="H6077">
        <v>8</v>
      </c>
      <c r="I6077" t="s">
        <v>139</v>
      </c>
      <c r="J6077" t="s">
        <v>136</v>
      </c>
      <c r="K6077">
        <v>0</v>
      </c>
      <c r="L6077">
        <v>3</v>
      </c>
      <c r="M6077">
        <v>0</v>
      </c>
      <c r="N6077">
        <v>2</v>
      </c>
      <c r="O6077">
        <v>1</v>
      </c>
      <c r="P6077">
        <v>0</v>
      </c>
      <c r="Q6077">
        <v>0</v>
      </c>
      <c r="S6077" t="str">
        <f t="shared" si="2850"/>
        <v>14:52:42.922</v>
      </c>
      <c r="T6077" t="str">
        <f t="shared" si="2851"/>
        <v>14:52:42.722</v>
      </c>
      <c r="U6077" t="str">
        <f t="shared" si="2819"/>
        <v>A9808D</v>
      </c>
      <c r="V6077">
        <v>0</v>
      </c>
      <c r="W6077">
        <v>0</v>
      </c>
      <c r="X6077">
        <v>1</v>
      </c>
      <c r="Z6077">
        <v>0</v>
      </c>
      <c r="AA6077">
        <v>9</v>
      </c>
      <c r="AB6077">
        <v>3</v>
      </c>
      <c r="AC6077">
        <v>0</v>
      </c>
      <c r="AD6077">
        <v>10</v>
      </c>
      <c r="AE6077">
        <v>0</v>
      </c>
      <c r="AF6077">
        <v>3</v>
      </c>
      <c r="AG6077">
        <v>2</v>
      </c>
      <c r="AH6077">
        <v>0</v>
      </c>
      <c r="AI6077" t="s">
        <v>1350</v>
      </c>
      <c r="AJ6077">
        <v>28.212848000000001</v>
      </c>
      <c r="AK6077" t="s">
        <v>1332</v>
      </c>
      <c r="AL6077">
        <v>-82.367034000000004</v>
      </c>
      <c r="AM6077">
        <v>100</v>
      </c>
      <c r="AN6077">
        <v>100</v>
      </c>
      <c r="AO6077" t="s">
        <v>118</v>
      </c>
      <c r="AP6077">
        <v>-31</v>
      </c>
      <c r="AQ6077">
        <v>82</v>
      </c>
      <c r="AR6077">
        <v>-640</v>
      </c>
      <c r="AZ6077">
        <v>1200</v>
      </c>
      <c r="BA6077">
        <v>1</v>
      </c>
      <c r="BB6077" t="str">
        <f t="shared" si="2832"/>
        <v xml:space="preserve">N711JA  </v>
      </c>
      <c r="BC6077">
        <v>1</v>
      </c>
      <c r="BE6077">
        <v>0</v>
      </c>
      <c r="BF6077">
        <v>0</v>
      </c>
      <c r="BG6077">
        <v>0</v>
      </c>
      <c r="BH6077">
        <v>150</v>
      </c>
      <c r="BI6077">
        <v>1</v>
      </c>
      <c r="BJ6077">
        <v>1</v>
      </c>
      <c r="BK6077">
        <v>0</v>
      </c>
      <c r="BL6077">
        <v>0</v>
      </c>
      <c r="BO6077">
        <v>0</v>
      </c>
      <c r="BP6077">
        <v>0</v>
      </c>
      <c r="BW6077" t="str">
        <f t="shared" si="2852"/>
        <v>14:52:42.923</v>
      </c>
      <c r="CJ6077">
        <v>0</v>
      </c>
      <c r="CK6077">
        <v>2</v>
      </c>
      <c r="CL6077">
        <v>0</v>
      </c>
      <c r="CM6077">
        <v>2</v>
      </c>
      <c r="CN6077">
        <v>0</v>
      </c>
      <c r="CO6077">
        <v>4</v>
      </c>
      <c r="CP6077" t="s">
        <v>119</v>
      </c>
      <c r="CQ6077">
        <v>343</v>
      </c>
      <c r="CR6077">
        <v>1</v>
      </c>
      <c r="CW6077">
        <v>11239123</v>
      </c>
      <c r="CY6077">
        <v>1</v>
      </c>
      <c r="CZ6077">
        <v>0</v>
      </c>
      <c r="DA6077">
        <v>1</v>
      </c>
      <c r="DB6077">
        <v>0</v>
      </c>
      <c r="DC6077">
        <v>0</v>
      </c>
      <c r="DD6077">
        <v>1</v>
      </c>
      <c r="DE6077">
        <v>0</v>
      </c>
      <c r="DF6077">
        <v>0</v>
      </c>
      <c r="DG6077">
        <v>0</v>
      </c>
      <c r="DH6077">
        <v>0</v>
      </c>
      <c r="DI6077">
        <v>0</v>
      </c>
    </row>
    <row r="6078" spans="1:113" x14ac:dyDescent="0.3">
      <c r="A6078" t="str">
        <f t="shared" si="2849"/>
        <v>05/12/2020 14:52:25.107</v>
      </c>
      <c r="C6078" t="str">
        <f t="shared" si="2831"/>
        <v>FFDFD3C0</v>
      </c>
      <c r="D6078" t="s">
        <v>138</v>
      </c>
      <c r="E6078">
        <v>3</v>
      </c>
      <c r="H6078">
        <v>9</v>
      </c>
      <c r="I6078" t="s">
        <v>140</v>
      </c>
      <c r="J6078" t="s">
        <v>136</v>
      </c>
      <c r="K6078">
        <v>0</v>
      </c>
      <c r="L6078">
        <v>3</v>
      </c>
      <c r="M6078">
        <v>0</v>
      </c>
      <c r="N6078">
        <v>2</v>
      </c>
      <c r="O6078">
        <v>1</v>
      </c>
      <c r="P6078">
        <v>0</v>
      </c>
      <c r="Q6078">
        <v>0</v>
      </c>
      <c r="S6078" t="str">
        <f t="shared" si="2850"/>
        <v>14:52:42.922</v>
      </c>
      <c r="T6078" t="str">
        <f t="shared" si="2851"/>
        <v>14:52:42.722</v>
      </c>
      <c r="U6078" t="str">
        <f t="shared" si="2819"/>
        <v>A9808D</v>
      </c>
      <c r="V6078">
        <v>0</v>
      </c>
      <c r="W6078">
        <v>0</v>
      </c>
      <c r="X6078">
        <v>1</v>
      </c>
      <c r="Z6078">
        <v>0</v>
      </c>
      <c r="AA6078">
        <v>9</v>
      </c>
      <c r="AB6078">
        <v>3</v>
      </c>
      <c r="AC6078">
        <v>0</v>
      </c>
      <c r="AD6078">
        <v>10</v>
      </c>
      <c r="AE6078">
        <v>0</v>
      </c>
      <c r="AF6078">
        <v>3</v>
      </c>
      <c r="AG6078">
        <v>2</v>
      </c>
      <c r="AH6078">
        <v>0</v>
      </c>
      <c r="AI6078" t="s">
        <v>1350</v>
      </c>
      <c r="AJ6078">
        <v>28.212848000000001</v>
      </c>
      <c r="AK6078" t="s">
        <v>1332</v>
      </c>
      <c r="AL6078">
        <v>-82.367034000000004</v>
      </c>
      <c r="AM6078">
        <v>100</v>
      </c>
      <c r="AN6078">
        <v>100</v>
      </c>
      <c r="AO6078" t="s">
        <v>118</v>
      </c>
      <c r="AP6078">
        <v>-31</v>
      </c>
      <c r="AQ6078">
        <v>82</v>
      </c>
      <c r="AR6078">
        <v>-640</v>
      </c>
      <c r="AZ6078">
        <v>1200</v>
      </c>
      <c r="BA6078">
        <v>1</v>
      </c>
      <c r="BB6078" t="str">
        <f t="shared" si="2832"/>
        <v xml:space="preserve">N711JA  </v>
      </c>
      <c r="BC6078">
        <v>1</v>
      </c>
      <c r="BE6078">
        <v>0</v>
      </c>
      <c r="BF6078">
        <v>0</v>
      </c>
      <c r="BG6078">
        <v>0</v>
      </c>
      <c r="BH6078">
        <v>150</v>
      </c>
      <c r="BI6078">
        <v>1</v>
      </c>
      <c r="BJ6078">
        <v>1</v>
      </c>
      <c r="BK6078">
        <v>0</v>
      </c>
      <c r="BL6078">
        <v>0</v>
      </c>
      <c r="BO6078">
        <v>0</v>
      </c>
      <c r="BP6078">
        <v>0</v>
      </c>
      <c r="BW6078" t="str">
        <f t="shared" si="2852"/>
        <v>14:52:42.923</v>
      </c>
      <c r="CJ6078">
        <v>0</v>
      </c>
      <c r="CK6078">
        <v>2</v>
      </c>
      <c r="CL6078">
        <v>0</v>
      </c>
      <c r="CM6078">
        <v>2</v>
      </c>
      <c r="CN6078">
        <v>0</v>
      </c>
      <c r="CO6078">
        <v>4</v>
      </c>
      <c r="CP6078" t="s">
        <v>119</v>
      </c>
      <c r="CQ6078">
        <v>343</v>
      </c>
      <c r="CR6078">
        <v>1</v>
      </c>
      <c r="CW6078">
        <v>11239123</v>
      </c>
      <c r="CY6078">
        <v>1</v>
      </c>
      <c r="CZ6078">
        <v>0</v>
      </c>
      <c r="DA6078">
        <v>1</v>
      </c>
      <c r="DB6078">
        <v>0</v>
      </c>
      <c r="DC6078">
        <v>0</v>
      </c>
      <c r="DD6078">
        <v>1</v>
      </c>
      <c r="DE6078">
        <v>0</v>
      </c>
      <c r="DF6078">
        <v>0</v>
      </c>
      <c r="DG6078">
        <v>0</v>
      </c>
      <c r="DH6078">
        <v>0</v>
      </c>
      <c r="DI6078">
        <v>0</v>
      </c>
    </row>
    <row r="6079" spans="1:113" x14ac:dyDescent="0.3">
      <c r="A6079" t="str">
        <f t="shared" si="2849"/>
        <v>05/12/2020 14:52:25.107</v>
      </c>
      <c r="C6079" t="str">
        <f t="shared" si="2831"/>
        <v>FFDFD3C0</v>
      </c>
      <c r="D6079" t="s">
        <v>113</v>
      </c>
      <c r="E6079">
        <v>3</v>
      </c>
      <c r="H6079">
        <v>164</v>
      </c>
      <c r="I6079" t="s">
        <v>114</v>
      </c>
      <c r="J6079" t="s">
        <v>115</v>
      </c>
      <c r="K6079">
        <v>0</v>
      </c>
      <c r="L6079">
        <v>3</v>
      </c>
      <c r="M6079">
        <v>0</v>
      </c>
      <c r="N6079">
        <v>2</v>
      </c>
      <c r="O6079">
        <v>1</v>
      </c>
      <c r="P6079">
        <v>0</v>
      </c>
      <c r="Q6079">
        <v>0</v>
      </c>
      <c r="S6079" t="str">
        <f t="shared" si="2850"/>
        <v>14:52:42.922</v>
      </c>
      <c r="T6079" t="str">
        <f t="shared" si="2851"/>
        <v>14:52:42.722</v>
      </c>
      <c r="U6079" t="str">
        <f t="shared" si="2819"/>
        <v>A9808D</v>
      </c>
      <c r="V6079">
        <v>0</v>
      </c>
      <c r="W6079">
        <v>0</v>
      </c>
      <c r="X6079">
        <v>1</v>
      </c>
      <c r="Z6079">
        <v>0</v>
      </c>
      <c r="AA6079">
        <v>9</v>
      </c>
      <c r="AB6079">
        <v>3</v>
      </c>
      <c r="AC6079">
        <v>0</v>
      </c>
      <c r="AD6079">
        <v>10</v>
      </c>
      <c r="AE6079">
        <v>0</v>
      </c>
      <c r="AF6079">
        <v>3</v>
      </c>
      <c r="AG6079">
        <v>2</v>
      </c>
      <c r="AH6079">
        <v>0</v>
      </c>
      <c r="AI6079" t="s">
        <v>1350</v>
      </c>
      <c r="AJ6079">
        <v>28.212848000000001</v>
      </c>
      <c r="AK6079" t="s">
        <v>1332</v>
      </c>
      <c r="AL6079">
        <v>-82.367034000000004</v>
      </c>
      <c r="AM6079">
        <v>100</v>
      </c>
      <c r="AN6079">
        <v>100</v>
      </c>
      <c r="AO6079" t="s">
        <v>118</v>
      </c>
      <c r="AP6079">
        <v>-31</v>
      </c>
      <c r="AQ6079">
        <v>82</v>
      </c>
      <c r="AR6079">
        <v>-640</v>
      </c>
      <c r="AZ6079">
        <v>1200</v>
      </c>
      <c r="BA6079">
        <v>1</v>
      </c>
      <c r="BB6079" t="str">
        <f t="shared" si="2832"/>
        <v xml:space="preserve">N711JA  </v>
      </c>
      <c r="BC6079">
        <v>1</v>
      </c>
      <c r="BE6079">
        <v>0</v>
      </c>
      <c r="BF6079">
        <v>0</v>
      </c>
      <c r="BG6079">
        <v>0</v>
      </c>
      <c r="BH6079">
        <v>150</v>
      </c>
      <c r="BI6079">
        <v>1</v>
      </c>
      <c r="BJ6079">
        <v>1</v>
      </c>
      <c r="BK6079">
        <v>0</v>
      </c>
      <c r="BL6079">
        <v>0</v>
      </c>
      <c r="BO6079">
        <v>0</v>
      </c>
      <c r="BP6079">
        <v>0</v>
      </c>
      <c r="BW6079" t="str">
        <f t="shared" si="2852"/>
        <v>14:52:42.923</v>
      </c>
      <c r="CJ6079">
        <v>0</v>
      </c>
      <c r="CK6079">
        <v>2</v>
      </c>
      <c r="CL6079">
        <v>0</v>
      </c>
      <c r="CM6079">
        <v>2</v>
      </c>
      <c r="CN6079">
        <v>0</v>
      </c>
      <c r="CO6079">
        <v>4</v>
      </c>
      <c r="CP6079" t="s">
        <v>119</v>
      </c>
      <c r="CQ6079">
        <v>343</v>
      </c>
      <c r="CR6079">
        <v>1</v>
      </c>
      <c r="CW6079">
        <v>11239123</v>
      </c>
      <c r="CY6079">
        <v>1</v>
      </c>
      <c r="CZ6079">
        <v>0</v>
      </c>
      <c r="DA6079">
        <v>1</v>
      </c>
      <c r="DB6079">
        <v>0</v>
      </c>
      <c r="DC6079">
        <v>0</v>
      </c>
      <c r="DD6079">
        <v>1</v>
      </c>
      <c r="DE6079">
        <v>0</v>
      </c>
      <c r="DF6079">
        <v>0</v>
      </c>
      <c r="DG6079">
        <v>0</v>
      </c>
      <c r="DH6079">
        <v>0</v>
      </c>
      <c r="DI6079">
        <v>0</v>
      </c>
    </row>
    <row r="6080" spans="1:113" x14ac:dyDescent="0.3">
      <c r="A6080" t="str">
        <f t="shared" si="2849"/>
        <v>05/12/2020 14:52:25.107</v>
      </c>
      <c r="C6080" t="str">
        <f t="shared" si="2831"/>
        <v>FFDFD3C0</v>
      </c>
      <c r="D6080" t="s">
        <v>126</v>
      </c>
      <c r="E6080">
        <v>7</v>
      </c>
      <c r="F6080">
        <v>1007</v>
      </c>
      <c r="G6080" t="s">
        <v>127</v>
      </c>
      <c r="J6080" t="s">
        <v>128</v>
      </c>
      <c r="K6080">
        <v>0</v>
      </c>
      <c r="L6080">
        <v>3</v>
      </c>
      <c r="M6080">
        <v>0</v>
      </c>
      <c r="N6080">
        <v>2</v>
      </c>
      <c r="O6080">
        <v>1</v>
      </c>
      <c r="P6080">
        <v>0</v>
      </c>
      <c r="Q6080">
        <v>0</v>
      </c>
      <c r="S6080" t="str">
        <f t="shared" si="2850"/>
        <v>14:52:42.922</v>
      </c>
      <c r="T6080" t="str">
        <f t="shared" si="2851"/>
        <v>14:52:42.722</v>
      </c>
      <c r="U6080" t="str">
        <f t="shared" si="2819"/>
        <v>A9808D</v>
      </c>
      <c r="V6080">
        <v>0</v>
      </c>
      <c r="W6080">
        <v>0</v>
      </c>
      <c r="X6080">
        <v>1</v>
      </c>
      <c r="Z6080">
        <v>0</v>
      </c>
      <c r="AA6080">
        <v>9</v>
      </c>
      <c r="AB6080">
        <v>3</v>
      </c>
      <c r="AC6080">
        <v>0</v>
      </c>
      <c r="AD6080">
        <v>10</v>
      </c>
      <c r="AE6080">
        <v>0</v>
      </c>
      <c r="AF6080">
        <v>3</v>
      </c>
      <c r="AG6080">
        <v>2</v>
      </c>
      <c r="AH6080">
        <v>0</v>
      </c>
      <c r="AI6080" t="s">
        <v>1350</v>
      </c>
      <c r="AJ6080">
        <v>28.212848000000001</v>
      </c>
      <c r="AK6080" t="s">
        <v>1332</v>
      </c>
      <c r="AL6080">
        <v>-82.367034000000004</v>
      </c>
      <c r="AM6080">
        <v>100</v>
      </c>
      <c r="AN6080">
        <v>100</v>
      </c>
      <c r="AO6080" t="s">
        <v>118</v>
      </c>
      <c r="AP6080">
        <v>-31</v>
      </c>
      <c r="AQ6080">
        <v>82</v>
      </c>
      <c r="AR6080">
        <v>-640</v>
      </c>
      <c r="AZ6080">
        <v>1200</v>
      </c>
      <c r="BA6080">
        <v>1</v>
      </c>
      <c r="BB6080" t="str">
        <f t="shared" si="2832"/>
        <v xml:space="preserve">N711JA  </v>
      </c>
      <c r="BC6080">
        <v>1</v>
      </c>
      <c r="BE6080">
        <v>0</v>
      </c>
      <c r="BF6080">
        <v>0</v>
      </c>
      <c r="BG6080">
        <v>0</v>
      </c>
      <c r="BH6080">
        <v>150</v>
      </c>
      <c r="BI6080">
        <v>1</v>
      </c>
      <c r="BJ6080">
        <v>1</v>
      </c>
      <c r="BK6080">
        <v>0</v>
      </c>
      <c r="BL6080">
        <v>0</v>
      </c>
      <c r="BO6080">
        <v>0</v>
      </c>
      <c r="BP6080">
        <v>0</v>
      </c>
      <c r="BW6080" t="str">
        <f t="shared" si="2852"/>
        <v>14:52:42.923</v>
      </c>
      <c r="CJ6080">
        <v>0</v>
      </c>
      <c r="CK6080">
        <v>2</v>
      </c>
      <c r="CL6080">
        <v>0</v>
      </c>
      <c r="CM6080">
        <v>2</v>
      </c>
      <c r="CN6080">
        <v>0</v>
      </c>
      <c r="CO6080">
        <v>4</v>
      </c>
      <c r="CP6080" t="s">
        <v>119</v>
      </c>
      <c r="CQ6080">
        <v>343</v>
      </c>
      <c r="CR6080">
        <v>1</v>
      </c>
      <c r="CW6080">
        <v>11239123</v>
      </c>
      <c r="CY6080">
        <v>1</v>
      </c>
      <c r="CZ6080">
        <v>0</v>
      </c>
      <c r="DA6080">
        <v>1</v>
      </c>
      <c r="DB6080">
        <v>0</v>
      </c>
      <c r="DC6080">
        <v>0</v>
      </c>
      <c r="DD6080">
        <v>1</v>
      </c>
      <c r="DE6080">
        <v>0</v>
      </c>
      <c r="DF6080">
        <v>0</v>
      </c>
      <c r="DG6080">
        <v>0</v>
      </c>
      <c r="DH6080">
        <v>0</v>
      </c>
      <c r="DI6080">
        <v>0</v>
      </c>
    </row>
    <row r="6081" spans="1:113" x14ac:dyDescent="0.3">
      <c r="A6081" t="str">
        <f t="shared" si="2849"/>
        <v>05/12/2020 14:52:25.107</v>
      </c>
      <c r="C6081" t="str">
        <f t="shared" si="2831"/>
        <v>FFDFD3C0</v>
      </c>
      <c r="D6081" t="s">
        <v>131</v>
      </c>
      <c r="E6081">
        <v>10</v>
      </c>
      <c r="F6081">
        <v>2010</v>
      </c>
      <c r="G6081" t="s">
        <v>132</v>
      </c>
      <c r="J6081" t="s">
        <v>133</v>
      </c>
      <c r="K6081">
        <v>0</v>
      </c>
      <c r="L6081">
        <v>3</v>
      </c>
      <c r="M6081">
        <v>0</v>
      </c>
      <c r="N6081">
        <v>2</v>
      </c>
      <c r="O6081">
        <v>1</v>
      </c>
      <c r="P6081">
        <v>0</v>
      </c>
      <c r="Q6081">
        <v>0</v>
      </c>
      <c r="S6081" t="str">
        <f t="shared" si="2850"/>
        <v>14:52:42.922</v>
      </c>
      <c r="T6081" t="str">
        <f t="shared" si="2851"/>
        <v>14:52:42.722</v>
      </c>
      <c r="U6081" t="str">
        <f t="shared" si="2819"/>
        <v>A9808D</v>
      </c>
      <c r="V6081">
        <v>0</v>
      </c>
      <c r="W6081">
        <v>0</v>
      </c>
      <c r="X6081">
        <v>1</v>
      </c>
      <c r="Z6081">
        <v>0</v>
      </c>
      <c r="AA6081">
        <v>9</v>
      </c>
      <c r="AB6081">
        <v>3</v>
      </c>
      <c r="AC6081">
        <v>0</v>
      </c>
      <c r="AD6081">
        <v>10</v>
      </c>
      <c r="AE6081">
        <v>0</v>
      </c>
      <c r="AF6081">
        <v>3</v>
      </c>
      <c r="AG6081">
        <v>2</v>
      </c>
      <c r="AH6081">
        <v>0</v>
      </c>
      <c r="AI6081" t="s">
        <v>1350</v>
      </c>
      <c r="AJ6081">
        <v>28.212848000000001</v>
      </c>
      <c r="AK6081" t="s">
        <v>1332</v>
      </c>
      <c r="AL6081">
        <v>-82.367034000000004</v>
      </c>
      <c r="AM6081">
        <v>100</v>
      </c>
      <c r="AN6081">
        <v>100</v>
      </c>
      <c r="AO6081" t="s">
        <v>118</v>
      </c>
      <c r="AP6081">
        <v>-31</v>
      </c>
      <c r="AQ6081">
        <v>82</v>
      </c>
      <c r="AR6081">
        <v>-640</v>
      </c>
      <c r="AZ6081">
        <v>1200</v>
      </c>
      <c r="BA6081">
        <v>1</v>
      </c>
      <c r="BB6081" t="str">
        <f t="shared" si="2832"/>
        <v xml:space="preserve">N711JA  </v>
      </c>
      <c r="BC6081">
        <v>1</v>
      </c>
      <c r="BE6081">
        <v>0</v>
      </c>
      <c r="BF6081">
        <v>0</v>
      </c>
      <c r="BG6081">
        <v>0</v>
      </c>
      <c r="BH6081">
        <v>150</v>
      </c>
      <c r="BI6081">
        <v>1</v>
      </c>
      <c r="BJ6081">
        <v>1</v>
      </c>
      <c r="BK6081">
        <v>0</v>
      </c>
      <c r="BL6081">
        <v>0</v>
      </c>
      <c r="BO6081">
        <v>0</v>
      </c>
      <c r="BP6081">
        <v>0</v>
      </c>
      <c r="BW6081" t="str">
        <f t="shared" si="2852"/>
        <v>14:52:42.923</v>
      </c>
      <c r="CJ6081">
        <v>0</v>
      </c>
      <c r="CK6081">
        <v>2</v>
      </c>
      <c r="CL6081">
        <v>0</v>
      </c>
      <c r="CM6081">
        <v>2</v>
      </c>
      <c r="CN6081">
        <v>0</v>
      </c>
      <c r="CO6081">
        <v>4</v>
      </c>
      <c r="CP6081" t="s">
        <v>119</v>
      </c>
      <c r="CQ6081">
        <v>343</v>
      </c>
      <c r="CR6081">
        <v>1</v>
      </c>
      <c r="CW6081">
        <v>11239123</v>
      </c>
      <c r="CY6081">
        <v>1</v>
      </c>
      <c r="CZ6081">
        <v>0</v>
      </c>
      <c r="DA6081">
        <v>1</v>
      </c>
      <c r="DB6081">
        <v>0</v>
      </c>
      <c r="DC6081">
        <v>0</v>
      </c>
      <c r="DD6081">
        <v>1</v>
      </c>
      <c r="DE6081">
        <v>0</v>
      </c>
      <c r="DF6081">
        <v>0</v>
      </c>
      <c r="DG6081">
        <v>0</v>
      </c>
      <c r="DH6081">
        <v>0</v>
      </c>
      <c r="DI6081">
        <v>0</v>
      </c>
    </row>
    <row r="6082" spans="1:113" x14ac:dyDescent="0.3">
      <c r="A6082" t="str">
        <f t="shared" si="2849"/>
        <v>05/12/2020 14:52:25.107</v>
      </c>
      <c r="C6082" t="str">
        <f t="shared" si="2831"/>
        <v>FFDFD3C0</v>
      </c>
      <c r="D6082" t="s">
        <v>131</v>
      </c>
      <c r="E6082">
        <v>12</v>
      </c>
      <c r="F6082">
        <v>2012</v>
      </c>
      <c r="G6082" t="s">
        <v>137</v>
      </c>
      <c r="J6082" t="s">
        <v>133</v>
      </c>
      <c r="K6082">
        <v>0</v>
      </c>
      <c r="L6082">
        <v>3</v>
      </c>
      <c r="M6082">
        <v>0</v>
      </c>
      <c r="N6082">
        <v>2</v>
      </c>
      <c r="O6082">
        <v>1</v>
      </c>
      <c r="P6082">
        <v>0</v>
      </c>
      <c r="Q6082">
        <v>0</v>
      </c>
      <c r="S6082" t="str">
        <f t="shared" si="2850"/>
        <v>14:52:42.922</v>
      </c>
      <c r="T6082" t="str">
        <f t="shared" si="2851"/>
        <v>14:52:42.722</v>
      </c>
      <c r="U6082" t="str">
        <f t="shared" ref="U6082:U6106" si="2853">"A9808D"</f>
        <v>A9808D</v>
      </c>
      <c r="V6082">
        <v>0</v>
      </c>
      <c r="W6082">
        <v>0</v>
      </c>
      <c r="X6082">
        <v>1</v>
      </c>
      <c r="Z6082">
        <v>0</v>
      </c>
      <c r="AA6082">
        <v>9</v>
      </c>
      <c r="AB6082">
        <v>3</v>
      </c>
      <c r="AC6082">
        <v>0</v>
      </c>
      <c r="AD6082">
        <v>10</v>
      </c>
      <c r="AE6082">
        <v>0</v>
      </c>
      <c r="AF6082">
        <v>3</v>
      </c>
      <c r="AG6082">
        <v>2</v>
      </c>
      <c r="AH6082">
        <v>0</v>
      </c>
      <c r="AI6082" t="s">
        <v>1350</v>
      </c>
      <c r="AJ6082">
        <v>28.212848000000001</v>
      </c>
      <c r="AK6082" t="s">
        <v>1332</v>
      </c>
      <c r="AL6082">
        <v>-82.367034000000004</v>
      </c>
      <c r="AM6082">
        <v>100</v>
      </c>
      <c r="AN6082">
        <v>100</v>
      </c>
      <c r="AO6082" t="s">
        <v>118</v>
      </c>
      <c r="AP6082">
        <v>-31</v>
      </c>
      <c r="AQ6082">
        <v>82</v>
      </c>
      <c r="AR6082">
        <v>-640</v>
      </c>
      <c r="AZ6082">
        <v>1200</v>
      </c>
      <c r="BA6082">
        <v>1</v>
      </c>
      <c r="BB6082" t="str">
        <f t="shared" si="2832"/>
        <v xml:space="preserve">N711JA  </v>
      </c>
      <c r="BC6082">
        <v>1</v>
      </c>
      <c r="BE6082">
        <v>0</v>
      </c>
      <c r="BF6082">
        <v>0</v>
      </c>
      <c r="BG6082">
        <v>0</v>
      </c>
      <c r="BH6082">
        <v>150</v>
      </c>
      <c r="BI6082">
        <v>1</v>
      </c>
      <c r="BJ6082">
        <v>1</v>
      </c>
      <c r="BK6082">
        <v>0</v>
      </c>
      <c r="BL6082">
        <v>0</v>
      </c>
      <c r="BO6082">
        <v>0</v>
      </c>
      <c r="BP6082">
        <v>0</v>
      </c>
      <c r="BW6082" t="str">
        <f t="shared" si="2852"/>
        <v>14:52:42.923</v>
      </c>
      <c r="CJ6082">
        <v>0</v>
      </c>
      <c r="CK6082">
        <v>2</v>
      </c>
      <c r="CL6082">
        <v>0</v>
      </c>
      <c r="CM6082">
        <v>2</v>
      </c>
      <c r="CN6082">
        <v>0</v>
      </c>
      <c r="CO6082">
        <v>4</v>
      </c>
      <c r="CP6082" t="s">
        <v>119</v>
      </c>
      <c r="CQ6082">
        <v>343</v>
      </c>
      <c r="CR6082">
        <v>1</v>
      </c>
      <c r="CW6082">
        <v>11239123</v>
      </c>
      <c r="CY6082">
        <v>1</v>
      </c>
      <c r="CZ6082">
        <v>0</v>
      </c>
      <c r="DA6082">
        <v>1</v>
      </c>
      <c r="DB6082">
        <v>0</v>
      </c>
      <c r="DC6082">
        <v>0</v>
      </c>
      <c r="DD6082">
        <v>1</v>
      </c>
      <c r="DE6082">
        <v>0</v>
      </c>
      <c r="DF6082">
        <v>0</v>
      </c>
      <c r="DG6082">
        <v>0</v>
      </c>
      <c r="DH6082">
        <v>0</v>
      </c>
      <c r="DI6082">
        <v>0</v>
      </c>
    </row>
    <row r="6083" spans="1:113" x14ac:dyDescent="0.3">
      <c r="A6083" t="str">
        <f t="shared" ref="A6083:A6090" si="2854">"05/12/2020 14:52:26.199"</f>
        <v>05/12/2020 14:52:26.199</v>
      </c>
      <c r="C6083" t="str">
        <f t="shared" si="2831"/>
        <v>FFDFD3C0</v>
      </c>
      <c r="D6083" t="s">
        <v>131</v>
      </c>
      <c r="E6083">
        <v>12</v>
      </c>
      <c r="F6083">
        <v>2012</v>
      </c>
      <c r="G6083" t="s">
        <v>137</v>
      </c>
      <c r="J6083" t="s">
        <v>133</v>
      </c>
      <c r="K6083">
        <v>0</v>
      </c>
      <c r="L6083">
        <v>3</v>
      </c>
      <c r="M6083">
        <v>0</v>
      </c>
      <c r="N6083">
        <v>2</v>
      </c>
      <c r="O6083">
        <v>1</v>
      </c>
      <c r="P6083">
        <v>0</v>
      </c>
      <c r="Q6083">
        <v>0</v>
      </c>
      <c r="S6083" t="str">
        <f t="shared" ref="S6083:S6090" si="2855">"14:52:44.023"</f>
        <v>14:52:44.023</v>
      </c>
      <c r="T6083" t="str">
        <f t="shared" ref="T6083:T6090" si="2856">"14:52:43.723"</f>
        <v>14:52:43.723</v>
      </c>
      <c r="U6083" t="str">
        <f t="shared" si="2853"/>
        <v>A9808D</v>
      </c>
      <c r="V6083">
        <v>0</v>
      </c>
      <c r="W6083">
        <v>0</v>
      </c>
      <c r="X6083">
        <v>1</v>
      </c>
      <c r="Z6083">
        <v>0</v>
      </c>
      <c r="AA6083">
        <v>9</v>
      </c>
      <c r="AB6083">
        <v>3</v>
      </c>
      <c r="AC6083">
        <v>0</v>
      </c>
      <c r="AD6083">
        <v>10</v>
      </c>
      <c r="AE6083">
        <v>0</v>
      </c>
      <c r="AF6083">
        <v>3</v>
      </c>
      <c r="AG6083">
        <v>2</v>
      </c>
      <c r="AH6083">
        <v>0</v>
      </c>
      <c r="AI6083" t="s">
        <v>1351</v>
      </c>
      <c r="AJ6083">
        <v>28.213211999999999</v>
      </c>
      <c r="AK6083" t="s">
        <v>1352</v>
      </c>
      <c r="AL6083">
        <v>-82.367249000000001</v>
      </c>
      <c r="AM6083">
        <v>100</v>
      </c>
      <c r="AN6083">
        <v>100</v>
      </c>
      <c r="AO6083" t="s">
        <v>118</v>
      </c>
      <c r="AP6083">
        <v>-40</v>
      </c>
      <c r="AQ6083">
        <v>78</v>
      </c>
      <c r="AR6083">
        <v>-704</v>
      </c>
      <c r="AZ6083">
        <v>1200</v>
      </c>
      <c r="BA6083">
        <v>1</v>
      </c>
      <c r="BB6083" t="str">
        <f t="shared" si="2832"/>
        <v xml:space="preserve">N711JA  </v>
      </c>
      <c r="BC6083">
        <v>1</v>
      </c>
      <c r="BE6083">
        <v>0</v>
      </c>
      <c r="BF6083">
        <v>0</v>
      </c>
      <c r="BG6083">
        <v>0</v>
      </c>
      <c r="BH6083">
        <v>150</v>
      </c>
      <c r="BI6083">
        <v>1</v>
      </c>
      <c r="BJ6083">
        <v>1</v>
      </c>
      <c r="BK6083">
        <v>0</v>
      </c>
      <c r="BL6083">
        <v>0</v>
      </c>
      <c r="BO6083">
        <v>0</v>
      </c>
      <c r="BP6083">
        <v>0</v>
      </c>
      <c r="BW6083" t="str">
        <f t="shared" ref="BW6083:BW6090" si="2857">"14:52:44.029"</f>
        <v>14:52:44.029</v>
      </c>
      <c r="CJ6083">
        <v>0</v>
      </c>
      <c r="CK6083">
        <v>2</v>
      </c>
      <c r="CL6083">
        <v>0</v>
      </c>
      <c r="CM6083">
        <v>2</v>
      </c>
      <c r="CN6083">
        <v>0</v>
      </c>
      <c r="CO6083">
        <v>3</v>
      </c>
      <c r="CP6083" t="s">
        <v>119</v>
      </c>
      <c r="CQ6083">
        <v>343</v>
      </c>
      <c r="CR6083">
        <v>1</v>
      </c>
      <c r="CW6083">
        <v>11240199</v>
      </c>
      <c r="CY6083">
        <v>1</v>
      </c>
      <c r="CZ6083">
        <v>0</v>
      </c>
      <c r="DA6083">
        <v>0</v>
      </c>
      <c r="DB6083">
        <v>0</v>
      </c>
      <c r="DC6083">
        <v>0</v>
      </c>
      <c r="DD6083">
        <v>1</v>
      </c>
      <c r="DE6083">
        <v>0</v>
      </c>
      <c r="DF6083">
        <v>0</v>
      </c>
      <c r="DG6083">
        <v>0</v>
      </c>
      <c r="DH6083">
        <v>0</v>
      </c>
      <c r="DI6083">
        <v>0</v>
      </c>
    </row>
    <row r="6084" spans="1:113" x14ac:dyDescent="0.3">
      <c r="A6084" t="str">
        <f t="shared" si="2854"/>
        <v>05/12/2020 14:52:26.199</v>
      </c>
      <c r="C6084" t="str">
        <f t="shared" si="2831"/>
        <v>FFDFD3C0</v>
      </c>
      <c r="D6084" t="s">
        <v>126</v>
      </c>
      <c r="E6084">
        <v>6</v>
      </c>
      <c r="F6084">
        <v>1006</v>
      </c>
      <c r="G6084" t="s">
        <v>114</v>
      </c>
      <c r="J6084" t="s">
        <v>128</v>
      </c>
      <c r="K6084">
        <v>0</v>
      </c>
      <c r="L6084">
        <v>3</v>
      </c>
      <c r="M6084">
        <v>0</v>
      </c>
      <c r="N6084">
        <v>2</v>
      </c>
      <c r="O6084">
        <v>1</v>
      </c>
      <c r="P6084">
        <v>0</v>
      </c>
      <c r="Q6084">
        <v>0</v>
      </c>
      <c r="S6084" t="str">
        <f t="shared" si="2855"/>
        <v>14:52:44.023</v>
      </c>
      <c r="T6084" t="str">
        <f t="shared" si="2856"/>
        <v>14:52:43.723</v>
      </c>
      <c r="U6084" t="str">
        <f t="shared" si="2853"/>
        <v>A9808D</v>
      </c>
      <c r="V6084">
        <v>0</v>
      </c>
      <c r="W6084">
        <v>0</v>
      </c>
      <c r="X6084">
        <v>1</v>
      </c>
      <c r="Z6084">
        <v>0</v>
      </c>
      <c r="AA6084">
        <v>9</v>
      </c>
      <c r="AB6084">
        <v>3</v>
      </c>
      <c r="AC6084">
        <v>0</v>
      </c>
      <c r="AD6084">
        <v>10</v>
      </c>
      <c r="AE6084">
        <v>0</v>
      </c>
      <c r="AF6084">
        <v>3</v>
      </c>
      <c r="AG6084">
        <v>2</v>
      </c>
      <c r="AH6084">
        <v>0</v>
      </c>
      <c r="AI6084" t="s">
        <v>1351</v>
      </c>
      <c r="AJ6084">
        <v>28.213211999999999</v>
      </c>
      <c r="AK6084" t="s">
        <v>1352</v>
      </c>
      <c r="AL6084">
        <v>-82.367249000000001</v>
      </c>
      <c r="AM6084">
        <v>100</v>
      </c>
      <c r="AN6084">
        <v>100</v>
      </c>
      <c r="AO6084" t="s">
        <v>118</v>
      </c>
      <c r="AP6084">
        <v>-40</v>
      </c>
      <c r="AQ6084">
        <v>78</v>
      </c>
      <c r="AR6084">
        <v>-704</v>
      </c>
      <c r="AZ6084">
        <v>1200</v>
      </c>
      <c r="BA6084">
        <v>1</v>
      </c>
      <c r="BB6084" t="str">
        <f t="shared" si="2832"/>
        <v xml:space="preserve">N711JA  </v>
      </c>
      <c r="BC6084">
        <v>1</v>
      </c>
      <c r="BE6084">
        <v>0</v>
      </c>
      <c r="BF6084">
        <v>0</v>
      </c>
      <c r="BG6084">
        <v>0</v>
      </c>
      <c r="BH6084">
        <v>150</v>
      </c>
      <c r="BI6084">
        <v>1</v>
      </c>
      <c r="BJ6084">
        <v>1</v>
      </c>
      <c r="BK6084">
        <v>0</v>
      </c>
      <c r="BL6084">
        <v>0</v>
      </c>
      <c r="BO6084">
        <v>0</v>
      </c>
      <c r="BP6084">
        <v>0</v>
      </c>
      <c r="BW6084" t="str">
        <f t="shared" si="2857"/>
        <v>14:52:44.029</v>
      </c>
      <c r="CJ6084">
        <v>0</v>
      </c>
      <c r="CK6084">
        <v>2</v>
      </c>
      <c r="CL6084">
        <v>0</v>
      </c>
      <c r="CM6084">
        <v>2</v>
      </c>
      <c r="CN6084">
        <v>0</v>
      </c>
      <c r="CO6084">
        <v>3</v>
      </c>
      <c r="CP6084" t="s">
        <v>119</v>
      </c>
      <c r="CQ6084">
        <v>343</v>
      </c>
      <c r="CR6084">
        <v>1</v>
      </c>
      <c r="CW6084">
        <v>11240199</v>
      </c>
      <c r="CY6084">
        <v>1</v>
      </c>
      <c r="CZ6084">
        <v>0</v>
      </c>
      <c r="DA6084">
        <v>1</v>
      </c>
      <c r="DB6084">
        <v>0</v>
      </c>
      <c r="DC6084">
        <v>0</v>
      </c>
      <c r="DD6084">
        <v>1</v>
      </c>
      <c r="DE6084">
        <v>0</v>
      </c>
      <c r="DF6084">
        <v>0</v>
      </c>
      <c r="DG6084">
        <v>0</v>
      </c>
      <c r="DH6084">
        <v>0</v>
      </c>
      <c r="DI6084">
        <v>0</v>
      </c>
    </row>
    <row r="6085" spans="1:113" x14ac:dyDescent="0.3">
      <c r="A6085" t="str">
        <f t="shared" si="2854"/>
        <v>05/12/2020 14:52:26.199</v>
      </c>
      <c r="C6085" t="str">
        <f t="shared" si="2831"/>
        <v>FFDFD3C0</v>
      </c>
      <c r="D6085" t="s">
        <v>134</v>
      </c>
      <c r="E6085">
        <v>12</v>
      </c>
      <c r="H6085">
        <v>64</v>
      </c>
      <c r="I6085" t="s">
        <v>135</v>
      </c>
      <c r="J6085" t="s">
        <v>136</v>
      </c>
      <c r="K6085">
        <v>0</v>
      </c>
      <c r="L6085">
        <v>3</v>
      </c>
      <c r="M6085">
        <v>0</v>
      </c>
      <c r="N6085">
        <v>2</v>
      </c>
      <c r="O6085">
        <v>1</v>
      </c>
      <c r="P6085">
        <v>0</v>
      </c>
      <c r="Q6085">
        <v>0</v>
      </c>
      <c r="S6085" t="str">
        <f t="shared" si="2855"/>
        <v>14:52:44.023</v>
      </c>
      <c r="T6085" t="str">
        <f t="shared" si="2856"/>
        <v>14:52:43.723</v>
      </c>
      <c r="U6085" t="str">
        <f t="shared" si="2853"/>
        <v>A9808D</v>
      </c>
      <c r="V6085">
        <v>0</v>
      </c>
      <c r="W6085">
        <v>0</v>
      </c>
      <c r="X6085">
        <v>1</v>
      </c>
      <c r="Z6085">
        <v>0</v>
      </c>
      <c r="AA6085">
        <v>9</v>
      </c>
      <c r="AB6085">
        <v>3</v>
      </c>
      <c r="AC6085">
        <v>0</v>
      </c>
      <c r="AD6085">
        <v>10</v>
      </c>
      <c r="AE6085">
        <v>0</v>
      </c>
      <c r="AF6085">
        <v>3</v>
      </c>
      <c r="AG6085">
        <v>2</v>
      </c>
      <c r="AH6085">
        <v>0</v>
      </c>
      <c r="AI6085" t="s">
        <v>1351</v>
      </c>
      <c r="AJ6085">
        <v>28.213211999999999</v>
      </c>
      <c r="AK6085" t="s">
        <v>1352</v>
      </c>
      <c r="AL6085">
        <v>-82.367249000000001</v>
      </c>
      <c r="AM6085">
        <v>100</v>
      </c>
      <c r="AN6085">
        <v>100</v>
      </c>
      <c r="AO6085" t="s">
        <v>118</v>
      </c>
      <c r="AP6085">
        <v>-40</v>
      </c>
      <c r="AQ6085">
        <v>78</v>
      </c>
      <c r="AR6085">
        <v>-704</v>
      </c>
      <c r="AZ6085">
        <v>1200</v>
      </c>
      <c r="BA6085">
        <v>1</v>
      </c>
      <c r="BB6085" t="str">
        <f t="shared" si="2832"/>
        <v xml:space="preserve">N711JA  </v>
      </c>
      <c r="BC6085">
        <v>1</v>
      </c>
      <c r="BE6085">
        <v>0</v>
      </c>
      <c r="BF6085">
        <v>0</v>
      </c>
      <c r="BG6085">
        <v>0</v>
      </c>
      <c r="BH6085">
        <v>150</v>
      </c>
      <c r="BI6085">
        <v>1</v>
      </c>
      <c r="BJ6085">
        <v>1</v>
      </c>
      <c r="BK6085">
        <v>0</v>
      </c>
      <c r="BL6085">
        <v>0</v>
      </c>
      <c r="BO6085">
        <v>0</v>
      </c>
      <c r="BP6085">
        <v>0</v>
      </c>
      <c r="BW6085" t="str">
        <f t="shared" si="2857"/>
        <v>14:52:44.029</v>
      </c>
      <c r="CJ6085">
        <v>0</v>
      </c>
      <c r="CK6085">
        <v>2</v>
      </c>
      <c r="CL6085">
        <v>0</v>
      </c>
      <c r="CM6085">
        <v>2</v>
      </c>
      <c r="CN6085">
        <v>0</v>
      </c>
      <c r="CO6085">
        <v>3</v>
      </c>
      <c r="CP6085" t="s">
        <v>119</v>
      </c>
      <c r="CQ6085">
        <v>343</v>
      </c>
      <c r="CR6085">
        <v>1</v>
      </c>
      <c r="CW6085">
        <v>11240199</v>
      </c>
      <c r="CY6085">
        <v>1</v>
      </c>
      <c r="CZ6085">
        <v>0</v>
      </c>
      <c r="DA6085">
        <v>1</v>
      </c>
      <c r="DB6085">
        <v>0</v>
      </c>
      <c r="DC6085">
        <v>0</v>
      </c>
      <c r="DD6085">
        <v>1</v>
      </c>
      <c r="DE6085">
        <v>0</v>
      </c>
      <c r="DF6085">
        <v>0</v>
      </c>
      <c r="DG6085">
        <v>0</v>
      </c>
      <c r="DH6085">
        <v>0</v>
      </c>
      <c r="DI6085">
        <v>0</v>
      </c>
    </row>
    <row r="6086" spans="1:113" x14ac:dyDescent="0.3">
      <c r="A6086" t="str">
        <f t="shared" si="2854"/>
        <v>05/12/2020 14:52:26.199</v>
      </c>
      <c r="C6086" t="str">
        <f t="shared" si="2831"/>
        <v>FFDFD3C0</v>
      </c>
      <c r="D6086" t="s">
        <v>138</v>
      </c>
      <c r="E6086">
        <v>2</v>
      </c>
      <c r="H6086">
        <v>8</v>
      </c>
      <c r="I6086" t="s">
        <v>139</v>
      </c>
      <c r="J6086" t="s">
        <v>136</v>
      </c>
      <c r="K6086">
        <v>0</v>
      </c>
      <c r="L6086">
        <v>3</v>
      </c>
      <c r="M6086">
        <v>0</v>
      </c>
      <c r="N6086">
        <v>2</v>
      </c>
      <c r="O6086">
        <v>1</v>
      </c>
      <c r="P6086">
        <v>0</v>
      </c>
      <c r="Q6086">
        <v>0</v>
      </c>
      <c r="S6086" t="str">
        <f t="shared" si="2855"/>
        <v>14:52:44.023</v>
      </c>
      <c r="T6086" t="str">
        <f t="shared" si="2856"/>
        <v>14:52:43.723</v>
      </c>
      <c r="U6086" t="str">
        <f t="shared" si="2853"/>
        <v>A9808D</v>
      </c>
      <c r="V6086">
        <v>0</v>
      </c>
      <c r="W6086">
        <v>0</v>
      </c>
      <c r="X6086">
        <v>1</v>
      </c>
      <c r="Z6086">
        <v>0</v>
      </c>
      <c r="AA6086">
        <v>9</v>
      </c>
      <c r="AB6086">
        <v>3</v>
      </c>
      <c r="AC6086">
        <v>0</v>
      </c>
      <c r="AD6086">
        <v>10</v>
      </c>
      <c r="AE6086">
        <v>0</v>
      </c>
      <c r="AF6086">
        <v>3</v>
      </c>
      <c r="AG6086">
        <v>2</v>
      </c>
      <c r="AH6086">
        <v>0</v>
      </c>
      <c r="AI6086" t="s">
        <v>1351</v>
      </c>
      <c r="AJ6086">
        <v>28.213211999999999</v>
      </c>
      <c r="AK6086" t="s">
        <v>1352</v>
      </c>
      <c r="AL6086">
        <v>-82.367249000000001</v>
      </c>
      <c r="AM6086">
        <v>100</v>
      </c>
      <c r="AN6086">
        <v>100</v>
      </c>
      <c r="AO6086" t="s">
        <v>118</v>
      </c>
      <c r="AP6086">
        <v>-40</v>
      </c>
      <c r="AQ6086">
        <v>78</v>
      </c>
      <c r="AR6086">
        <v>-704</v>
      </c>
      <c r="AZ6086">
        <v>1200</v>
      </c>
      <c r="BA6086">
        <v>1</v>
      </c>
      <c r="BB6086" t="str">
        <f t="shared" si="2832"/>
        <v xml:space="preserve">N711JA  </v>
      </c>
      <c r="BC6086">
        <v>1</v>
      </c>
      <c r="BE6086">
        <v>0</v>
      </c>
      <c r="BF6086">
        <v>0</v>
      </c>
      <c r="BG6086">
        <v>0</v>
      </c>
      <c r="BH6086">
        <v>150</v>
      </c>
      <c r="BI6086">
        <v>1</v>
      </c>
      <c r="BJ6086">
        <v>1</v>
      </c>
      <c r="BK6086">
        <v>0</v>
      </c>
      <c r="BL6086">
        <v>0</v>
      </c>
      <c r="BO6086">
        <v>0</v>
      </c>
      <c r="BP6086">
        <v>0</v>
      </c>
      <c r="BW6086" t="str">
        <f t="shared" si="2857"/>
        <v>14:52:44.029</v>
      </c>
      <c r="CJ6086">
        <v>0</v>
      </c>
      <c r="CK6086">
        <v>2</v>
      </c>
      <c r="CL6086">
        <v>0</v>
      </c>
      <c r="CM6086">
        <v>2</v>
      </c>
      <c r="CN6086">
        <v>0</v>
      </c>
      <c r="CO6086">
        <v>3</v>
      </c>
      <c r="CP6086" t="s">
        <v>119</v>
      </c>
      <c r="CQ6086">
        <v>343</v>
      </c>
      <c r="CR6086">
        <v>1</v>
      </c>
      <c r="CW6086">
        <v>11240199</v>
      </c>
      <c r="CY6086">
        <v>1</v>
      </c>
      <c r="CZ6086">
        <v>0</v>
      </c>
      <c r="DA6086">
        <v>1</v>
      </c>
      <c r="DB6086">
        <v>0</v>
      </c>
      <c r="DC6086">
        <v>0</v>
      </c>
      <c r="DD6086">
        <v>1</v>
      </c>
      <c r="DE6086">
        <v>0</v>
      </c>
      <c r="DF6086">
        <v>0</v>
      </c>
      <c r="DG6086">
        <v>0</v>
      </c>
      <c r="DH6086">
        <v>0</v>
      </c>
      <c r="DI6086">
        <v>0</v>
      </c>
    </row>
    <row r="6087" spans="1:113" x14ac:dyDescent="0.3">
      <c r="A6087" t="str">
        <f t="shared" si="2854"/>
        <v>05/12/2020 14:52:26.199</v>
      </c>
      <c r="C6087" t="str">
        <f t="shared" si="2831"/>
        <v>FFDFD3C0</v>
      </c>
      <c r="D6087" t="s">
        <v>138</v>
      </c>
      <c r="E6087">
        <v>3</v>
      </c>
      <c r="H6087">
        <v>9</v>
      </c>
      <c r="I6087" t="s">
        <v>140</v>
      </c>
      <c r="J6087" t="s">
        <v>136</v>
      </c>
      <c r="K6087">
        <v>0</v>
      </c>
      <c r="L6087">
        <v>3</v>
      </c>
      <c r="M6087">
        <v>0</v>
      </c>
      <c r="N6087">
        <v>2</v>
      </c>
      <c r="O6087">
        <v>1</v>
      </c>
      <c r="P6087">
        <v>0</v>
      </c>
      <c r="Q6087">
        <v>0</v>
      </c>
      <c r="S6087" t="str">
        <f t="shared" si="2855"/>
        <v>14:52:44.023</v>
      </c>
      <c r="T6087" t="str">
        <f t="shared" si="2856"/>
        <v>14:52:43.723</v>
      </c>
      <c r="U6087" t="str">
        <f t="shared" si="2853"/>
        <v>A9808D</v>
      </c>
      <c r="V6087">
        <v>0</v>
      </c>
      <c r="W6087">
        <v>0</v>
      </c>
      <c r="X6087">
        <v>1</v>
      </c>
      <c r="Z6087">
        <v>0</v>
      </c>
      <c r="AA6087">
        <v>9</v>
      </c>
      <c r="AB6087">
        <v>3</v>
      </c>
      <c r="AC6087">
        <v>0</v>
      </c>
      <c r="AD6087">
        <v>10</v>
      </c>
      <c r="AE6087">
        <v>0</v>
      </c>
      <c r="AF6087">
        <v>3</v>
      </c>
      <c r="AG6087">
        <v>2</v>
      </c>
      <c r="AH6087">
        <v>0</v>
      </c>
      <c r="AI6087" t="s">
        <v>1351</v>
      </c>
      <c r="AJ6087">
        <v>28.213211999999999</v>
      </c>
      <c r="AK6087" t="s">
        <v>1352</v>
      </c>
      <c r="AL6087">
        <v>-82.367249000000001</v>
      </c>
      <c r="AM6087">
        <v>100</v>
      </c>
      <c r="AN6087">
        <v>100</v>
      </c>
      <c r="AO6087" t="s">
        <v>118</v>
      </c>
      <c r="AP6087">
        <v>-40</v>
      </c>
      <c r="AQ6087">
        <v>78</v>
      </c>
      <c r="AR6087">
        <v>-704</v>
      </c>
      <c r="AZ6087">
        <v>1200</v>
      </c>
      <c r="BA6087">
        <v>1</v>
      </c>
      <c r="BB6087" t="str">
        <f t="shared" si="2832"/>
        <v xml:space="preserve">N711JA  </v>
      </c>
      <c r="BC6087">
        <v>1</v>
      </c>
      <c r="BE6087">
        <v>0</v>
      </c>
      <c r="BF6087">
        <v>0</v>
      </c>
      <c r="BG6087">
        <v>0</v>
      </c>
      <c r="BH6087">
        <v>150</v>
      </c>
      <c r="BI6087">
        <v>1</v>
      </c>
      <c r="BJ6087">
        <v>1</v>
      </c>
      <c r="BK6087">
        <v>0</v>
      </c>
      <c r="BL6087">
        <v>0</v>
      </c>
      <c r="BO6087">
        <v>0</v>
      </c>
      <c r="BP6087">
        <v>0</v>
      </c>
      <c r="BW6087" t="str">
        <f t="shared" si="2857"/>
        <v>14:52:44.029</v>
      </c>
      <c r="CJ6087">
        <v>0</v>
      </c>
      <c r="CK6087">
        <v>2</v>
      </c>
      <c r="CL6087">
        <v>0</v>
      </c>
      <c r="CM6087">
        <v>2</v>
      </c>
      <c r="CN6087">
        <v>0</v>
      </c>
      <c r="CO6087">
        <v>3</v>
      </c>
      <c r="CP6087" t="s">
        <v>119</v>
      </c>
      <c r="CQ6087">
        <v>343</v>
      </c>
      <c r="CR6087">
        <v>1</v>
      </c>
      <c r="CW6087">
        <v>11240199</v>
      </c>
      <c r="CY6087">
        <v>1</v>
      </c>
      <c r="CZ6087">
        <v>0</v>
      </c>
      <c r="DA6087">
        <v>1</v>
      </c>
      <c r="DB6087">
        <v>0</v>
      </c>
      <c r="DC6087">
        <v>0</v>
      </c>
      <c r="DD6087">
        <v>1</v>
      </c>
      <c r="DE6087">
        <v>0</v>
      </c>
      <c r="DF6087">
        <v>0</v>
      </c>
      <c r="DG6087">
        <v>0</v>
      </c>
      <c r="DH6087">
        <v>0</v>
      </c>
      <c r="DI6087">
        <v>0</v>
      </c>
    </row>
    <row r="6088" spans="1:113" x14ac:dyDescent="0.3">
      <c r="A6088" t="str">
        <f t="shared" si="2854"/>
        <v>05/12/2020 14:52:26.199</v>
      </c>
      <c r="C6088" t="str">
        <f t="shared" si="2831"/>
        <v>FFDFD3C0</v>
      </c>
      <c r="D6088" t="s">
        <v>113</v>
      </c>
      <c r="E6088">
        <v>3</v>
      </c>
      <c r="H6088">
        <v>164</v>
      </c>
      <c r="I6088" t="s">
        <v>114</v>
      </c>
      <c r="J6088" t="s">
        <v>115</v>
      </c>
      <c r="K6088">
        <v>0</v>
      </c>
      <c r="L6088">
        <v>3</v>
      </c>
      <c r="M6088">
        <v>0</v>
      </c>
      <c r="N6088">
        <v>2</v>
      </c>
      <c r="O6088">
        <v>1</v>
      </c>
      <c r="P6088">
        <v>0</v>
      </c>
      <c r="Q6088">
        <v>0</v>
      </c>
      <c r="S6088" t="str">
        <f t="shared" si="2855"/>
        <v>14:52:44.023</v>
      </c>
      <c r="T6088" t="str">
        <f t="shared" si="2856"/>
        <v>14:52:43.723</v>
      </c>
      <c r="U6088" t="str">
        <f t="shared" si="2853"/>
        <v>A9808D</v>
      </c>
      <c r="V6088">
        <v>0</v>
      </c>
      <c r="W6088">
        <v>0</v>
      </c>
      <c r="X6088">
        <v>1</v>
      </c>
      <c r="Z6088">
        <v>0</v>
      </c>
      <c r="AA6088">
        <v>9</v>
      </c>
      <c r="AB6088">
        <v>3</v>
      </c>
      <c r="AC6088">
        <v>0</v>
      </c>
      <c r="AD6088">
        <v>10</v>
      </c>
      <c r="AE6088">
        <v>0</v>
      </c>
      <c r="AF6088">
        <v>3</v>
      </c>
      <c r="AG6088">
        <v>2</v>
      </c>
      <c r="AH6088">
        <v>0</v>
      </c>
      <c r="AI6088" t="s">
        <v>1351</v>
      </c>
      <c r="AJ6088">
        <v>28.213211999999999</v>
      </c>
      <c r="AK6088" t="s">
        <v>1352</v>
      </c>
      <c r="AL6088">
        <v>-82.367249000000001</v>
      </c>
      <c r="AM6088">
        <v>100</v>
      </c>
      <c r="AN6088">
        <v>100</v>
      </c>
      <c r="AO6088" t="s">
        <v>118</v>
      </c>
      <c r="AP6088">
        <v>-40</v>
      </c>
      <c r="AQ6088">
        <v>78</v>
      </c>
      <c r="AR6088">
        <v>-704</v>
      </c>
      <c r="AZ6088">
        <v>1200</v>
      </c>
      <c r="BA6088">
        <v>1</v>
      </c>
      <c r="BB6088" t="str">
        <f t="shared" si="2832"/>
        <v xml:space="preserve">N711JA  </v>
      </c>
      <c r="BC6088">
        <v>1</v>
      </c>
      <c r="BE6088">
        <v>0</v>
      </c>
      <c r="BF6088">
        <v>0</v>
      </c>
      <c r="BG6088">
        <v>0</v>
      </c>
      <c r="BH6088">
        <v>150</v>
      </c>
      <c r="BI6088">
        <v>1</v>
      </c>
      <c r="BJ6088">
        <v>1</v>
      </c>
      <c r="BK6088">
        <v>0</v>
      </c>
      <c r="BL6088">
        <v>0</v>
      </c>
      <c r="BO6088">
        <v>0</v>
      </c>
      <c r="BP6088">
        <v>0</v>
      </c>
      <c r="BW6088" t="str">
        <f t="shared" si="2857"/>
        <v>14:52:44.029</v>
      </c>
      <c r="CJ6088">
        <v>0</v>
      </c>
      <c r="CK6088">
        <v>2</v>
      </c>
      <c r="CL6088">
        <v>0</v>
      </c>
      <c r="CM6088">
        <v>2</v>
      </c>
      <c r="CN6088">
        <v>0</v>
      </c>
      <c r="CO6088">
        <v>3</v>
      </c>
      <c r="CP6088" t="s">
        <v>119</v>
      </c>
      <c r="CQ6088">
        <v>343</v>
      </c>
      <c r="CR6088">
        <v>1</v>
      </c>
      <c r="CW6088">
        <v>11240199</v>
      </c>
      <c r="CY6088">
        <v>1</v>
      </c>
      <c r="CZ6088">
        <v>0</v>
      </c>
      <c r="DA6088">
        <v>1</v>
      </c>
      <c r="DB6088">
        <v>0</v>
      </c>
      <c r="DC6088">
        <v>0</v>
      </c>
      <c r="DD6088">
        <v>1</v>
      </c>
      <c r="DE6088">
        <v>0</v>
      </c>
      <c r="DF6088">
        <v>0</v>
      </c>
      <c r="DG6088">
        <v>0</v>
      </c>
      <c r="DH6088">
        <v>0</v>
      </c>
      <c r="DI6088">
        <v>0</v>
      </c>
    </row>
    <row r="6089" spans="1:113" x14ac:dyDescent="0.3">
      <c r="A6089" t="str">
        <f t="shared" si="2854"/>
        <v>05/12/2020 14:52:26.199</v>
      </c>
      <c r="C6089" t="str">
        <f t="shared" si="2831"/>
        <v>FFDFD3C0</v>
      </c>
      <c r="D6089" t="s">
        <v>126</v>
      </c>
      <c r="E6089">
        <v>7</v>
      </c>
      <c r="F6089">
        <v>1007</v>
      </c>
      <c r="G6089" t="s">
        <v>127</v>
      </c>
      <c r="J6089" t="s">
        <v>128</v>
      </c>
      <c r="K6089">
        <v>0</v>
      </c>
      <c r="L6089">
        <v>3</v>
      </c>
      <c r="M6089">
        <v>0</v>
      </c>
      <c r="N6089">
        <v>2</v>
      </c>
      <c r="O6089">
        <v>1</v>
      </c>
      <c r="P6089">
        <v>0</v>
      </c>
      <c r="Q6089">
        <v>0</v>
      </c>
      <c r="S6089" t="str">
        <f t="shared" si="2855"/>
        <v>14:52:44.023</v>
      </c>
      <c r="T6089" t="str">
        <f t="shared" si="2856"/>
        <v>14:52:43.723</v>
      </c>
      <c r="U6089" t="str">
        <f t="shared" si="2853"/>
        <v>A9808D</v>
      </c>
      <c r="V6089">
        <v>0</v>
      </c>
      <c r="W6089">
        <v>0</v>
      </c>
      <c r="X6089">
        <v>1</v>
      </c>
      <c r="Z6089">
        <v>0</v>
      </c>
      <c r="AA6089">
        <v>9</v>
      </c>
      <c r="AB6089">
        <v>3</v>
      </c>
      <c r="AC6089">
        <v>0</v>
      </c>
      <c r="AD6089">
        <v>10</v>
      </c>
      <c r="AE6089">
        <v>0</v>
      </c>
      <c r="AF6089">
        <v>3</v>
      </c>
      <c r="AG6089">
        <v>2</v>
      </c>
      <c r="AH6089">
        <v>0</v>
      </c>
      <c r="AI6089" t="s">
        <v>1351</v>
      </c>
      <c r="AJ6089">
        <v>28.213211999999999</v>
      </c>
      <c r="AK6089" t="s">
        <v>1352</v>
      </c>
      <c r="AL6089">
        <v>-82.367249000000001</v>
      </c>
      <c r="AM6089">
        <v>100</v>
      </c>
      <c r="AN6089">
        <v>100</v>
      </c>
      <c r="AO6089" t="s">
        <v>118</v>
      </c>
      <c r="AP6089">
        <v>-40</v>
      </c>
      <c r="AQ6089">
        <v>78</v>
      </c>
      <c r="AR6089">
        <v>-704</v>
      </c>
      <c r="AZ6089">
        <v>1200</v>
      </c>
      <c r="BA6089">
        <v>1</v>
      </c>
      <c r="BB6089" t="str">
        <f t="shared" si="2832"/>
        <v xml:space="preserve">N711JA  </v>
      </c>
      <c r="BC6089">
        <v>1</v>
      </c>
      <c r="BE6089">
        <v>0</v>
      </c>
      <c r="BF6089">
        <v>0</v>
      </c>
      <c r="BG6089">
        <v>0</v>
      </c>
      <c r="BH6089">
        <v>150</v>
      </c>
      <c r="BI6089">
        <v>1</v>
      </c>
      <c r="BJ6089">
        <v>1</v>
      </c>
      <c r="BK6089">
        <v>0</v>
      </c>
      <c r="BL6089">
        <v>0</v>
      </c>
      <c r="BO6089">
        <v>0</v>
      </c>
      <c r="BP6089">
        <v>0</v>
      </c>
      <c r="BW6089" t="str">
        <f t="shared" si="2857"/>
        <v>14:52:44.029</v>
      </c>
      <c r="CJ6089">
        <v>0</v>
      </c>
      <c r="CK6089">
        <v>2</v>
      </c>
      <c r="CL6089">
        <v>0</v>
      </c>
      <c r="CM6089">
        <v>2</v>
      </c>
      <c r="CN6089">
        <v>0</v>
      </c>
      <c r="CO6089">
        <v>3</v>
      </c>
      <c r="CP6089" t="s">
        <v>119</v>
      </c>
      <c r="CQ6089">
        <v>343</v>
      </c>
      <c r="CR6089">
        <v>1</v>
      </c>
      <c r="CW6089">
        <v>11240199</v>
      </c>
      <c r="CY6089">
        <v>1</v>
      </c>
      <c r="CZ6089">
        <v>0</v>
      </c>
      <c r="DA6089">
        <v>1</v>
      </c>
      <c r="DB6089">
        <v>0</v>
      </c>
      <c r="DC6089">
        <v>0</v>
      </c>
      <c r="DD6089">
        <v>1</v>
      </c>
      <c r="DE6089">
        <v>0</v>
      </c>
      <c r="DF6089">
        <v>0</v>
      </c>
      <c r="DG6089">
        <v>0</v>
      </c>
      <c r="DH6089">
        <v>0</v>
      </c>
      <c r="DI6089">
        <v>0</v>
      </c>
    </row>
    <row r="6090" spans="1:113" x14ac:dyDescent="0.3">
      <c r="A6090" t="str">
        <f t="shared" si="2854"/>
        <v>05/12/2020 14:52:26.199</v>
      </c>
      <c r="C6090" t="str">
        <f t="shared" si="2831"/>
        <v>FFDFD3C0</v>
      </c>
      <c r="D6090" t="s">
        <v>131</v>
      </c>
      <c r="E6090">
        <v>10</v>
      </c>
      <c r="F6090">
        <v>2010</v>
      </c>
      <c r="G6090" t="s">
        <v>132</v>
      </c>
      <c r="J6090" t="s">
        <v>133</v>
      </c>
      <c r="K6090">
        <v>0</v>
      </c>
      <c r="L6090">
        <v>3</v>
      </c>
      <c r="M6090">
        <v>0</v>
      </c>
      <c r="N6090">
        <v>2</v>
      </c>
      <c r="O6090">
        <v>1</v>
      </c>
      <c r="P6090">
        <v>0</v>
      </c>
      <c r="Q6090">
        <v>0</v>
      </c>
      <c r="S6090" t="str">
        <f t="shared" si="2855"/>
        <v>14:52:44.023</v>
      </c>
      <c r="T6090" t="str">
        <f t="shared" si="2856"/>
        <v>14:52:43.723</v>
      </c>
      <c r="U6090" t="str">
        <f t="shared" si="2853"/>
        <v>A9808D</v>
      </c>
      <c r="V6090">
        <v>0</v>
      </c>
      <c r="W6090">
        <v>0</v>
      </c>
      <c r="X6090">
        <v>1</v>
      </c>
      <c r="Z6090">
        <v>0</v>
      </c>
      <c r="AA6090">
        <v>9</v>
      </c>
      <c r="AB6090">
        <v>3</v>
      </c>
      <c r="AC6090">
        <v>0</v>
      </c>
      <c r="AD6090">
        <v>10</v>
      </c>
      <c r="AE6090">
        <v>0</v>
      </c>
      <c r="AF6090">
        <v>3</v>
      </c>
      <c r="AG6090">
        <v>2</v>
      </c>
      <c r="AH6090">
        <v>0</v>
      </c>
      <c r="AI6090" t="s">
        <v>1351</v>
      </c>
      <c r="AJ6090">
        <v>28.213211999999999</v>
      </c>
      <c r="AK6090" t="s">
        <v>1352</v>
      </c>
      <c r="AL6090">
        <v>-82.367249000000001</v>
      </c>
      <c r="AM6090">
        <v>100</v>
      </c>
      <c r="AN6090">
        <v>100</v>
      </c>
      <c r="AO6090" t="s">
        <v>118</v>
      </c>
      <c r="AP6090">
        <v>-40</v>
      </c>
      <c r="AQ6090">
        <v>78</v>
      </c>
      <c r="AR6090">
        <v>-704</v>
      </c>
      <c r="AZ6090">
        <v>1200</v>
      </c>
      <c r="BA6090">
        <v>1</v>
      </c>
      <c r="BB6090" t="str">
        <f t="shared" si="2832"/>
        <v xml:space="preserve">N711JA  </v>
      </c>
      <c r="BC6090">
        <v>1</v>
      </c>
      <c r="BE6090">
        <v>0</v>
      </c>
      <c r="BF6090">
        <v>0</v>
      </c>
      <c r="BG6090">
        <v>0</v>
      </c>
      <c r="BH6090">
        <v>150</v>
      </c>
      <c r="BI6090">
        <v>1</v>
      </c>
      <c r="BJ6090">
        <v>1</v>
      </c>
      <c r="BK6090">
        <v>0</v>
      </c>
      <c r="BL6090">
        <v>0</v>
      </c>
      <c r="BO6090">
        <v>0</v>
      </c>
      <c r="BP6090">
        <v>0</v>
      </c>
      <c r="BW6090" t="str">
        <f t="shared" si="2857"/>
        <v>14:52:44.029</v>
      </c>
      <c r="CJ6090">
        <v>0</v>
      </c>
      <c r="CK6090">
        <v>2</v>
      </c>
      <c r="CL6090">
        <v>0</v>
      </c>
      <c r="CM6090">
        <v>2</v>
      </c>
      <c r="CN6090">
        <v>0</v>
      </c>
      <c r="CO6090">
        <v>3</v>
      </c>
      <c r="CP6090" t="s">
        <v>119</v>
      </c>
      <c r="CQ6090">
        <v>343</v>
      </c>
      <c r="CR6090">
        <v>1</v>
      </c>
      <c r="CW6090">
        <v>11240199</v>
      </c>
      <c r="CY6090">
        <v>1</v>
      </c>
      <c r="CZ6090">
        <v>0</v>
      </c>
      <c r="DA6090">
        <v>1</v>
      </c>
      <c r="DB6090">
        <v>0</v>
      </c>
      <c r="DC6090">
        <v>0</v>
      </c>
      <c r="DD6090">
        <v>1</v>
      </c>
      <c r="DE6090">
        <v>0</v>
      </c>
      <c r="DF6090">
        <v>0</v>
      </c>
      <c r="DG6090">
        <v>0</v>
      </c>
      <c r="DH6090">
        <v>0</v>
      </c>
      <c r="DI6090">
        <v>0</v>
      </c>
    </row>
    <row r="6091" spans="1:113" x14ac:dyDescent="0.3">
      <c r="A6091" t="str">
        <f t="shared" ref="A6091:A6098" si="2858">"05/12/2020 14:52:27.725"</f>
        <v>05/12/2020 14:52:27.725</v>
      </c>
      <c r="C6091" t="str">
        <f t="shared" si="2831"/>
        <v>FFDFD3C0</v>
      </c>
      <c r="D6091" t="s">
        <v>126</v>
      </c>
      <c r="E6091">
        <v>6</v>
      </c>
      <c r="F6091">
        <v>1006</v>
      </c>
      <c r="G6091" t="s">
        <v>114</v>
      </c>
      <c r="J6091" t="s">
        <v>128</v>
      </c>
      <c r="K6091">
        <v>0</v>
      </c>
      <c r="L6091">
        <v>3</v>
      </c>
      <c r="M6091">
        <v>0</v>
      </c>
      <c r="N6091">
        <v>2</v>
      </c>
      <c r="O6091">
        <v>1</v>
      </c>
      <c r="P6091">
        <v>0</v>
      </c>
      <c r="Q6091">
        <v>0</v>
      </c>
      <c r="S6091" t="str">
        <f t="shared" ref="S6091:S6098" si="2859">"14:52:45.531"</f>
        <v>14:52:45.531</v>
      </c>
      <c r="T6091" t="str">
        <f t="shared" ref="T6091:T6098" si="2860">"14:52:44.731"</f>
        <v>14:52:44.731</v>
      </c>
      <c r="U6091" t="str">
        <f t="shared" si="2853"/>
        <v>A9808D</v>
      </c>
      <c r="V6091">
        <v>0</v>
      </c>
      <c r="W6091">
        <v>0</v>
      </c>
      <c r="X6091">
        <v>1</v>
      </c>
      <c r="Z6091">
        <v>0</v>
      </c>
      <c r="AA6091">
        <v>9</v>
      </c>
      <c r="AB6091">
        <v>3</v>
      </c>
      <c r="AC6091">
        <v>0</v>
      </c>
      <c r="AD6091">
        <v>10</v>
      </c>
      <c r="AE6091">
        <v>0</v>
      </c>
      <c r="AF6091">
        <v>3</v>
      </c>
      <c r="AG6091">
        <v>2</v>
      </c>
      <c r="AH6091">
        <v>0</v>
      </c>
      <c r="AI6091" t="s">
        <v>1353</v>
      </c>
      <c r="AJ6091">
        <v>28.21377</v>
      </c>
      <c r="AK6091" t="s">
        <v>1354</v>
      </c>
      <c r="AL6091">
        <v>-82.367613000000006</v>
      </c>
      <c r="AM6091">
        <v>100</v>
      </c>
      <c r="AN6091">
        <v>0</v>
      </c>
      <c r="AO6091" t="s">
        <v>118</v>
      </c>
      <c r="AP6091">
        <v>-46</v>
      </c>
      <c r="AQ6091">
        <v>75</v>
      </c>
      <c r="AR6091">
        <v>-832</v>
      </c>
      <c r="AZ6091">
        <v>1200</v>
      </c>
      <c r="BA6091">
        <v>1</v>
      </c>
      <c r="BB6091" t="str">
        <f t="shared" si="2832"/>
        <v xml:space="preserve">N711JA  </v>
      </c>
      <c r="BC6091">
        <v>1</v>
      </c>
      <c r="BE6091">
        <v>0</v>
      </c>
      <c r="BF6091">
        <v>0</v>
      </c>
      <c r="BG6091">
        <v>0</v>
      </c>
      <c r="BH6091">
        <v>125</v>
      </c>
      <c r="BI6091">
        <v>1</v>
      </c>
      <c r="BJ6091">
        <v>1</v>
      </c>
      <c r="BK6091">
        <v>0</v>
      </c>
      <c r="BL6091">
        <v>0</v>
      </c>
      <c r="BO6091">
        <v>0</v>
      </c>
      <c r="BP6091">
        <v>0</v>
      </c>
      <c r="BW6091" t="str">
        <f t="shared" ref="BW6091:BW6098" si="2861">"14:52:45.539"</f>
        <v>14:52:45.539</v>
      </c>
      <c r="CJ6091">
        <v>0</v>
      </c>
      <c r="CK6091">
        <v>2</v>
      </c>
      <c r="CL6091">
        <v>0</v>
      </c>
      <c r="CM6091">
        <v>2</v>
      </c>
      <c r="CN6091">
        <v>0</v>
      </c>
      <c r="CO6091">
        <v>3</v>
      </c>
      <c r="CP6091" t="s">
        <v>119</v>
      </c>
      <c r="CQ6091">
        <v>343</v>
      </c>
      <c r="CR6091">
        <v>1</v>
      </c>
      <c r="CW6091">
        <v>11241743</v>
      </c>
      <c r="CY6091">
        <v>1</v>
      </c>
      <c r="CZ6091">
        <v>0</v>
      </c>
      <c r="DA6091">
        <v>0</v>
      </c>
      <c r="DB6091">
        <v>0</v>
      </c>
      <c r="DC6091">
        <v>0</v>
      </c>
      <c r="DD6091">
        <v>1</v>
      </c>
      <c r="DE6091">
        <v>0</v>
      </c>
      <c r="DF6091">
        <v>0</v>
      </c>
      <c r="DG6091">
        <v>0</v>
      </c>
      <c r="DH6091">
        <v>0</v>
      </c>
      <c r="DI6091">
        <v>0</v>
      </c>
    </row>
    <row r="6092" spans="1:113" x14ac:dyDescent="0.3">
      <c r="A6092" t="str">
        <f t="shared" si="2858"/>
        <v>05/12/2020 14:52:27.725</v>
      </c>
      <c r="C6092" t="str">
        <f t="shared" si="2831"/>
        <v>FFDFD3C0</v>
      </c>
      <c r="D6092" t="s">
        <v>138</v>
      </c>
      <c r="E6092">
        <v>2</v>
      </c>
      <c r="H6092">
        <v>8</v>
      </c>
      <c r="I6092" t="s">
        <v>139</v>
      </c>
      <c r="J6092" t="s">
        <v>136</v>
      </c>
      <c r="K6092">
        <v>0</v>
      </c>
      <c r="L6092">
        <v>3</v>
      </c>
      <c r="M6092">
        <v>0</v>
      </c>
      <c r="N6092">
        <v>2</v>
      </c>
      <c r="O6092">
        <v>1</v>
      </c>
      <c r="P6092">
        <v>0</v>
      </c>
      <c r="Q6092">
        <v>0</v>
      </c>
      <c r="S6092" t="str">
        <f t="shared" si="2859"/>
        <v>14:52:45.531</v>
      </c>
      <c r="T6092" t="str">
        <f t="shared" si="2860"/>
        <v>14:52:44.731</v>
      </c>
      <c r="U6092" t="str">
        <f t="shared" si="2853"/>
        <v>A9808D</v>
      </c>
      <c r="V6092">
        <v>0</v>
      </c>
      <c r="W6092">
        <v>0</v>
      </c>
      <c r="X6092">
        <v>1</v>
      </c>
      <c r="Z6092">
        <v>0</v>
      </c>
      <c r="AA6092">
        <v>9</v>
      </c>
      <c r="AB6092">
        <v>3</v>
      </c>
      <c r="AC6092">
        <v>0</v>
      </c>
      <c r="AD6092">
        <v>10</v>
      </c>
      <c r="AE6092">
        <v>0</v>
      </c>
      <c r="AF6092">
        <v>3</v>
      </c>
      <c r="AG6092">
        <v>2</v>
      </c>
      <c r="AH6092">
        <v>0</v>
      </c>
      <c r="AI6092" t="s">
        <v>1353</v>
      </c>
      <c r="AJ6092">
        <v>28.21377</v>
      </c>
      <c r="AK6092" t="s">
        <v>1354</v>
      </c>
      <c r="AL6092">
        <v>-82.367613000000006</v>
      </c>
      <c r="AM6092">
        <v>100</v>
      </c>
      <c r="AN6092">
        <v>0</v>
      </c>
      <c r="AO6092" t="s">
        <v>118</v>
      </c>
      <c r="AP6092">
        <v>-46</v>
      </c>
      <c r="AQ6092">
        <v>75</v>
      </c>
      <c r="AR6092">
        <v>-832</v>
      </c>
      <c r="AZ6092">
        <v>1200</v>
      </c>
      <c r="BA6092">
        <v>1</v>
      </c>
      <c r="BB6092" t="str">
        <f t="shared" si="2832"/>
        <v xml:space="preserve">N711JA  </v>
      </c>
      <c r="BC6092">
        <v>1</v>
      </c>
      <c r="BE6092">
        <v>0</v>
      </c>
      <c r="BF6092">
        <v>0</v>
      </c>
      <c r="BG6092">
        <v>0</v>
      </c>
      <c r="BH6092">
        <v>125</v>
      </c>
      <c r="BI6092">
        <v>1</v>
      </c>
      <c r="BJ6092">
        <v>1</v>
      </c>
      <c r="BK6092">
        <v>0</v>
      </c>
      <c r="BL6092">
        <v>0</v>
      </c>
      <c r="BO6092">
        <v>0</v>
      </c>
      <c r="BP6092">
        <v>0</v>
      </c>
      <c r="BW6092" t="str">
        <f t="shared" si="2861"/>
        <v>14:52:45.539</v>
      </c>
      <c r="CJ6092">
        <v>0</v>
      </c>
      <c r="CK6092">
        <v>2</v>
      </c>
      <c r="CL6092">
        <v>0</v>
      </c>
      <c r="CM6092">
        <v>2</v>
      </c>
      <c r="CN6092">
        <v>0</v>
      </c>
      <c r="CO6092">
        <v>3</v>
      </c>
      <c r="CP6092" t="s">
        <v>119</v>
      </c>
      <c r="CQ6092">
        <v>343</v>
      </c>
      <c r="CR6092">
        <v>1</v>
      </c>
      <c r="CW6092">
        <v>11241743</v>
      </c>
      <c r="CY6092">
        <v>1</v>
      </c>
      <c r="CZ6092">
        <v>0</v>
      </c>
      <c r="DA6092">
        <v>1</v>
      </c>
      <c r="DB6092">
        <v>0</v>
      </c>
      <c r="DC6092">
        <v>0</v>
      </c>
      <c r="DD6092">
        <v>1</v>
      </c>
      <c r="DE6092">
        <v>0</v>
      </c>
      <c r="DF6092">
        <v>0</v>
      </c>
      <c r="DG6092">
        <v>0</v>
      </c>
      <c r="DH6092">
        <v>0</v>
      </c>
      <c r="DI6092">
        <v>0</v>
      </c>
    </row>
    <row r="6093" spans="1:113" x14ac:dyDescent="0.3">
      <c r="A6093" t="str">
        <f t="shared" si="2858"/>
        <v>05/12/2020 14:52:27.725</v>
      </c>
      <c r="C6093" t="str">
        <f t="shared" si="2831"/>
        <v>FFDFD3C0</v>
      </c>
      <c r="D6093" t="s">
        <v>134</v>
      </c>
      <c r="E6093">
        <v>12</v>
      </c>
      <c r="H6093">
        <v>64</v>
      </c>
      <c r="I6093" t="s">
        <v>135</v>
      </c>
      <c r="J6093" t="s">
        <v>136</v>
      </c>
      <c r="K6093">
        <v>0</v>
      </c>
      <c r="L6093">
        <v>3</v>
      </c>
      <c r="M6093">
        <v>0</v>
      </c>
      <c r="N6093">
        <v>2</v>
      </c>
      <c r="O6093">
        <v>1</v>
      </c>
      <c r="P6093">
        <v>0</v>
      </c>
      <c r="Q6093">
        <v>0</v>
      </c>
      <c r="S6093" t="str">
        <f t="shared" si="2859"/>
        <v>14:52:45.531</v>
      </c>
      <c r="T6093" t="str">
        <f t="shared" si="2860"/>
        <v>14:52:44.731</v>
      </c>
      <c r="U6093" t="str">
        <f t="shared" si="2853"/>
        <v>A9808D</v>
      </c>
      <c r="V6093">
        <v>0</v>
      </c>
      <c r="W6093">
        <v>0</v>
      </c>
      <c r="X6093">
        <v>1</v>
      </c>
      <c r="Z6093">
        <v>0</v>
      </c>
      <c r="AA6093">
        <v>9</v>
      </c>
      <c r="AB6093">
        <v>3</v>
      </c>
      <c r="AC6093">
        <v>0</v>
      </c>
      <c r="AD6093">
        <v>10</v>
      </c>
      <c r="AE6093">
        <v>0</v>
      </c>
      <c r="AF6093">
        <v>3</v>
      </c>
      <c r="AG6093">
        <v>2</v>
      </c>
      <c r="AH6093">
        <v>0</v>
      </c>
      <c r="AI6093" t="s">
        <v>1353</v>
      </c>
      <c r="AJ6093">
        <v>28.21377</v>
      </c>
      <c r="AK6093" t="s">
        <v>1354</v>
      </c>
      <c r="AL6093">
        <v>-82.367613000000006</v>
      </c>
      <c r="AM6093">
        <v>100</v>
      </c>
      <c r="AN6093">
        <v>0</v>
      </c>
      <c r="AO6093" t="s">
        <v>118</v>
      </c>
      <c r="AP6093">
        <v>-46</v>
      </c>
      <c r="AQ6093">
        <v>75</v>
      </c>
      <c r="AR6093">
        <v>-832</v>
      </c>
      <c r="AZ6093">
        <v>1200</v>
      </c>
      <c r="BA6093">
        <v>1</v>
      </c>
      <c r="BB6093" t="str">
        <f t="shared" si="2832"/>
        <v xml:space="preserve">N711JA  </v>
      </c>
      <c r="BC6093">
        <v>1</v>
      </c>
      <c r="BE6093">
        <v>0</v>
      </c>
      <c r="BF6093">
        <v>0</v>
      </c>
      <c r="BG6093">
        <v>0</v>
      </c>
      <c r="BH6093">
        <v>125</v>
      </c>
      <c r="BI6093">
        <v>1</v>
      </c>
      <c r="BJ6093">
        <v>1</v>
      </c>
      <c r="BK6093">
        <v>0</v>
      </c>
      <c r="BL6093">
        <v>0</v>
      </c>
      <c r="BO6093">
        <v>0</v>
      </c>
      <c r="BP6093">
        <v>0</v>
      </c>
      <c r="BW6093" t="str">
        <f t="shared" si="2861"/>
        <v>14:52:45.539</v>
      </c>
      <c r="CJ6093">
        <v>0</v>
      </c>
      <c r="CK6093">
        <v>2</v>
      </c>
      <c r="CL6093">
        <v>0</v>
      </c>
      <c r="CM6093">
        <v>2</v>
      </c>
      <c r="CN6093">
        <v>0</v>
      </c>
      <c r="CO6093">
        <v>3</v>
      </c>
      <c r="CP6093" t="s">
        <v>119</v>
      </c>
      <c r="CQ6093">
        <v>343</v>
      </c>
      <c r="CR6093">
        <v>1</v>
      </c>
      <c r="CW6093">
        <v>11241743</v>
      </c>
      <c r="CY6093">
        <v>1</v>
      </c>
      <c r="CZ6093">
        <v>0</v>
      </c>
      <c r="DA6093">
        <v>1</v>
      </c>
      <c r="DB6093">
        <v>0</v>
      </c>
      <c r="DC6093">
        <v>0</v>
      </c>
      <c r="DD6093">
        <v>1</v>
      </c>
      <c r="DE6093">
        <v>0</v>
      </c>
      <c r="DF6093">
        <v>0</v>
      </c>
      <c r="DG6093">
        <v>0</v>
      </c>
      <c r="DH6093">
        <v>0</v>
      </c>
      <c r="DI6093">
        <v>0</v>
      </c>
    </row>
    <row r="6094" spans="1:113" x14ac:dyDescent="0.3">
      <c r="A6094" t="str">
        <f t="shared" si="2858"/>
        <v>05/12/2020 14:52:27.725</v>
      </c>
      <c r="C6094" t="str">
        <f t="shared" si="2831"/>
        <v>FFDFD3C0</v>
      </c>
      <c r="D6094" t="s">
        <v>138</v>
      </c>
      <c r="E6094">
        <v>3</v>
      </c>
      <c r="H6094">
        <v>9</v>
      </c>
      <c r="I6094" t="s">
        <v>140</v>
      </c>
      <c r="J6094" t="s">
        <v>136</v>
      </c>
      <c r="K6094">
        <v>0</v>
      </c>
      <c r="L6094">
        <v>3</v>
      </c>
      <c r="M6094">
        <v>0</v>
      </c>
      <c r="N6094">
        <v>2</v>
      </c>
      <c r="O6094">
        <v>1</v>
      </c>
      <c r="P6094">
        <v>0</v>
      </c>
      <c r="Q6094">
        <v>0</v>
      </c>
      <c r="S6094" t="str">
        <f t="shared" si="2859"/>
        <v>14:52:45.531</v>
      </c>
      <c r="T6094" t="str">
        <f t="shared" si="2860"/>
        <v>14:52:44.731</v>
      </c>
      <c r="U6094" t="str">
        <f t="shared" si="2853"/>
        <v>A9808D</v>
      </c>
      <c r="V6094">
        <v>0</v>
      </c>
      <c r="W6094">
        <v>0</v>
      </c>
      <c r="X6094">
        <v>1</v>
      </c>
      <c r="Z6094">
        <v>0</v>
      </c>
      <c r="AA6094">
        <v>9</v>
      </c>
      <c r="AB6094">
        <v>3</v>
      </c>
      <c r="AC6094">
        <v>0</v>
      </c>
      <c r="AD6094">
        <v>10</v>
      </c>
      <c r="AE6094">
        <v>0</v>
      </c>
      <c r="AF6094">
        <v>3</v>
      </c>
      <c r="AG6094">
        <v>2</v>
      </c>
      <c r="AH6094">
        <v>0</v>
      </c>
      <c r="AI6094" t="s">
        <v>1353</v>
      </c>
      <c r="AJ6094">
        <v>28.21377</v>
      </c>
      <c r="AK6094" t="s">
        <v>1354</v>
      </c>
      <c r="AL6094">
        <v>-82.367613000000006</v>
      </c>
      <c r="AM6094">
        <v>100</v>
      </c>
      <c r="AN6094">
        <v>0</v>
      </c>
      <c r="AO6094" t="s">
        <v>118</v>
      </c>
      <c r="AP6094">
        <v>-46</v>
      </c>
      <c r="AQ6094">
        <v>75</v>
      </c>
      <c r="AR6094">
        <v>-832</v>
      </c>
      <c r="AZ6094">
        <v>1200</v>
      </c>
      <c r="BA6094">
        <v>1</v>
      </c>
      <c r="BB6094" t="str">
        <f t="shared" si="2832"/>
        <v xml:space="preserve">N711JA  </v>
      </c>
      <c r="BC6094">
        <v>1</v>
      </c>
      <c r="BE6094">
        <v>0</v>
      </c>
      <c r="BF6094">
        <v>0</v>
      </c>
      <c r="BG6094">
        <v>0</v>
      </c>
      <c r="BH6094">
        <v>125</v>
      </c>
      <c r="BI6094">
        <v>1</v>
      </c>
      <c r="BJ6094">
        <v>1</v>
      </c>
      <c r="BK6094">
        <v>0</v>
      </c>
      <c r="BL6094">
        <v>0</v>
      </c>
      <c r="BO6094">
        <v>0</v>
      </c>
      <c r="BP6094">
        <v>0</v>
      </c>
      <c r="BW6094" t="str">
        <f t="shared" si="2861"/>
        <v>14:52:45.539</v>
      </c>
      <c r="CJ6094">
        <v>0</v>
      </c>
      <c r="CK6094">
        <v>2</v>
      </c>
      <c r="CL6094">
        <v>0</v>
      </c>
      <c r="CM6094">
        <v>2</v>
      </c>
      <c r="CN6094">
        <v>0</v>
      </c>
      <c r="CO6094">
        <v>3</v>
      </c>
      <c r="CP6094" t="s">
        <v>119</v>
      </c>
      <c r="CQ6094">
        <v>343</v>
      </c>
      <c r="CR6094">
        <v>1</v>
      </c>
      <c r="CW6094">
        <v>11241743</v>
      </c>
      <c r="CY6094">
        <v>1</v>
      </c>
      <c r="CZ6094">
        <v>0</v>
      </c>
      <c r="DA6094">
        <v>1</v>
      </c>
      <c r="DB6094">
        <v>0</v>
      </c>
      <c r="DC6094">
        <v>0</v>
      </c>
      <c r="DD6094">
        <v>1</v>
      </c>
      <c r="DE6094">
        <v>0</v>
      </c>
      <c r="DF6094">
        <v>0</v>
      </c>
      <c r="DG6094">
        <v>0</v>
      </c>
      <c r="DH6094">
        <v>0</v>
      </c>
      <c r="DI6094">
        <v>0</v>
      </c>
    </row>
    <row r="6095" spans="1:113" x14ac:dyDescent="0.3">
      <c r="A6095" t="str">
        <f t="shared" si="2858"/>
        <v>05/12/2020 14:52:27.725</v>
      </c>
      <c r="C6095" t="str">
        <f t="shared" si="2831"/>
        <v>FFDFD3C0</v>
      </c>
      <c r="D6095" t="s">
        <v>126</v>
      </c>
      <c r="E6095">
        <v>7</v>
      </c>
      <c r="F6095">
        <v>1007</v>
      </c>
      <c r="G6095" t="s">
        <v>127</v>
      </c>
      <c r="J6095" t="s">
        <v>128</v>
      </c>
      <c r="K6095">
        <v>0</v>
      </c>
      <c r="L6095">
        <v>3</v>
      </c>
      <c r="M6095">
        <v>0</v>
      </c>
      <c r="N6095">
        <v>2</v>
      </c>
      <c r="O6095">
        <v>1</v>
      </c>
      <c r="P6095">
        <v>0</v>
      </c>
      <c r="Q6095">
        <v>0</v>
      </c>
      <c r="S6095" t="str">
        <f t="shared" si="2859"/>
        <v>14:52:45.531</v>
      </c>
      <c r="T6095" t="str">
        <f t="shared" si="2860"/>
        <v>14:52:44.731</v>
      </c>
      <c r="U6095" t="str">
        <f t="shared" si="2853"/>
        <v>A9808D</v>
      </c>
      <c r="V6095">
        <v>0</v>
      </c>
      <c r="W6095">
        <v>0</v>
      </c>
      <c r="X6095">
        <v>1</v>
      </c>
      <c r="Z6095">
        <v>0</v>
      </c>
      <c r="AA6095">
        <v>9</v>
      </c>
      <c r="AB6095">
        <v>3</v>
      </c>
      <c r="AC6095">
        <v>0</v>
      </c>
      <c r="AD6095">
        <v>10</v>
      </c>
      <c r="AE6095">
        <v>0</v>
      </c>
      <c r="AF6095">
        <v>3</v>
      </c>
      <c r="AG6095">
        <v>2</v>
      </c>
      <c r="AH6095">
        <v>0</v>
      </c>
      <c r="AI6095" t="s">
        <v>1353</v>
      </c>
      <c r="AJ6095">
        <v>28.21377</v>
      </c>
      <c r="AK6095" t="s">
        <v>1354</v>
      </c>
      <c r="AL6095">
        <v>-82.367613000000006</v>
      </c>
      <c r="AM6095">
        <v>100</v>
      </c>
      <c r="AN6095">
        <v>0</v>
      </c>
      <c r="AO6095" t="s">
        <v>118</v>
      </c>
      <c r="AP6095">
        <v>-46</v>
      </c>
      <c r="AQ6095">
        <v>75</v>
      </c>
      <c r="AR6095">
        <v>-832</v>
      </c>
      <c r="AZ6095">
        <v>1200</v>
      </c>
      <c r="BA6095">
        <v>1</v>
      </c>
      <c r="BB6095" t="str">
        <f t="shared" si="2832"/>
        <v xml:space="preserve">N711JA  </v>
      </c>
      <c r="BC6095">
        <v>1</v>
      </c>
      <c r="BE6095">
        <v>0</v>
      </c>
      <c r="BF6095">
        <v>0</v>
      </c>
      <c r="BG6095">
        <v>0</v>
      </c>
      <c r="BH6095">
        <v>125</v>
      </c>
      <c r="BI6095">
        <v>1</v>
      </c>
      <c r="BJ6095">
        <v>1</v>
      </c>
      <c r="BK6095">
        <v>0</v>
      </c>
      <c r="BL6095">
        <v>0</v>
      </c>
      <c r="BO6095">
        <v>0</v>
      </c>
      <c r="BP6095">
        <v>0</v>
      </c>
      <c r="BW6095" t="str">
        <f t="shared" si="2861"/>
        <v>14:52:45.539</v>
      </c>
      <c r="CJ6095">
        <v>0</v>
      </c>
      <c r="CK6095">
        <v>2</v>
      </c>
      <c r="CL6095">
        <v>0</v>
      </c>
      <c r="CM6095">
        <v>2</v>
      </c>
      <c r="CN6095">
        <v>0</v>
      </c>
      <c r="CO6095">
        <v>3</v>
      </c>
      <c r="CP6095" t="s">
        <v>119</v>
      </c>
      <c r="CQ6095">
        <v>343</v>
      </c>
      <c r="CR6095">
        <v>1</v>
      </c>
      <c r="CW6095">
        <v>11241743</v>
      </c>
      <c r="CY6095">
        <v>1</v>
      </c>
      <c r="CZ6095">
        <v>0</v>
      </c>
      <c r="DA6095">
        <v>1</v>
      </c>
      <c r="DB6095">
        <v>0</v>
      </c>
      <c r="DC6095">
        <v>0</v>
      </c>
      <c r="DD6095">
        <v>1</v>
      </c>
      <c r="DE6095">
        <v>0</v>
      </c>
      <c r="DF6095">
        <v>0</v>
      </c>
      <c r="DG6095">
        <v>0</v>
      </c>
      <c r="DH6095">
        <v>0</v>
      </c>
      <c r="DI6095">
        <v>0</v>
      </c>
    </row>
    <row r="6096" spans="1:113" x14ac:dyDescent="0.3">
      <c r="A6096" t="str">
        <f t="shared" si="2858"/>
        <v>05/12/2020 14:52:27.725</v>
      </c>
      <c r="C6096" t="str">
        <f t="shared" si="2831"/>
        <v>FFDFD3C0</v>
      </c>
      <c r="D6096" t="s">
        <v>131</v>
      </c>
      <c r="E6096">
        <v>10</v>
      </c>
      <c r="F6096">
        <v>2010</v>
      </c>
      <c r="G6096" t="s">
        <v>132</v>
      </c>
      <c r="J6096" t="s">
        <v>133</v>
      </c>
      <c r="K6096">
        <v>0</v>
      </c>
      <c r="L6096">
        <v>3</v>
      </c>
      <c r="M6096">
        <v>0</v>
      </c>
      <c r="N6096">
        <v>2</v>
      </c>
      <c r="O6096">
        <v>1</v>
      </c>
      <c r="P6096">
        <v>0</v>
      </c>
      <c r="Q6096">
        <v>0</v>
      </c>
      <c r="S6096" t="str">
        <f t="shared" si="2859"/>
        <v>14:52:45.531</v>
      </c>
      <c r="T6096" t="str">
        <f t="shared" si="2860"/>
        <v>14:52:44.731</v>
      </c>
      <c r="U6096" t="str">
        <f t="shared" si="2853"/>
        <v>A9808D</v>
      </c>
      <c r="V6096">
        <v>0</v>
      </c>
      <c r="W6096">
        <v>0</v>
      </c>
      <c r="X6096">
        <v>1</v>
      </c>
      <c r="Z6096">
        <v>0</v>
      </c>
      <c r="AA6096">
        <v>9</v>
      </c>
      <c r="AB6096">
        <v>3</v>
      </c>
      <c r="AC6096">
        <v>0</v>
      </c>
      <c r="AD6096">
        <v>10</v>
      </c>
      <c r="AE6096">
        <v>0</v>
      </c>
      <c r="AF6096">
        <v>3</v>
      </c>
      <c r="AG6096">
        <v>2</v>
      </c>
      <c r="AH6096">
        <v>0</v>
      </c>
      <c r="AI6096" t="s">
        <v>1353</v>
      </c>
      <c r="AJ6096">
        <v>28.21377</v>
      </c>
      <c r="AK6096" t="s">
        <v>1354</v>
      </c>
      <c r="AL6096">
        <v>-82.367613000000006</v>
      </c>
      <c r="AM6096">
        <v>100</v>
      </c>
      <c r="AN6096">
        <v>0</v>
      </c>
      <c r="AO6096" t="s">
        <v>118</v>
      </c>
      <c r="AP6096">
        <v>-46</v>
      </c>
      <c r="AQ6096">
        <v>75</v>
      </c>
      <c r="AR6096">
        <v>-832</v>
      </c>
      <c r="AZ6096">
        <v>1200</v>
      </c>
      <c r="BA6096">
        <v>1</v>
      </c>
      <c r="BB6096" t="str">
        <f t="shared" si="2832"/>
        <v xml:space="preserve">N711JA  </v>
      </c>
      <c r="BC6096">
        <v>1</v>
      </c>
      <c r="BE6096">
        <v>0</v>
      </c>
      <c r="BF6096">
        <v>0</v>
      </c>
      <c r="BG6096">
        <v>0</v>
      </c>
      <c r="BH6096">
        <v>125</v>
      </c>
      <c r="BI6096">
        <v>1</v>
      </c>
      <c r="BJ6096">
        <v>1</v>
      </c>
      <c r="BK6096">
        <v>0</v>
      </c>
      <c r="BL6096">
        <v>0</v>
      </c>
      <c r="BO6096">
        <v>0</v>
      </c>
      <c r="BP6096">
        <v>0</v>
      </c>
      <c r="BW6096" t="str">
        <f t="shared" si="2861"/>
        <v>14:52:45.539</v>
      </c>
      <c r="CJ6096">
        <v>0</v>
      </c>
      <c r="CK6096">
        <v>2</v>
      </c>
      <c r="CL6096">
        <v>0</v>
      </c>
      <c r="CM6096">
        <v>2</v>
      </c>
      <c r="CN6096">
        <v>0</v>
      </c>
      <c r="CO6096">
        <v>3</v>
      </c>
      <c r="CP6096" t="s">
        <v>119</v>
      </c>
      <c r="CQ6096">
        <v>343</v>
      </c>
      <c r="CR6096">
        <v>1</v>
      </c>
      <c r="CW6096">
        <v>11241743</v>
      </c>
      <c r="CY6096">
        <v>1</v>
      </c>
      <c r="CZ6096">
        <v>0</v>
      </c>
      <c r="DA6096">
        <v>1</v>
      </c>
      <c r="DB6096">
        <v>0</v>
      </c>
      <c r="DC6096">
        <v>0</v>
      </c>
      <c r="DD6096">
        <v>1</v>
      </c>
      <c r="DE6096">
        <v>0</v>
      </c>
      <c r="DF6096">
        <v>0</v>
      </c>
      <c r="DG6096">
        <v>0</v>
      </c>
      <c r="DH6096">
        <v>0</v>
      </c>
      <c r="DI6096">
        <v>0</v>
      </c>
    </row>
    <row r="6097" spans="1:113" x14ac:dyDescent="0.3">
      <c r="A6097" t="str">
        <f t="shared" si="2858"/>
        <v>05/12/2020 14:52:27.725</v>
      </c>
      <c r="C6097" t="str">
        <f t="shared" si="2831"/>
        <v>FFDFD3C0</v>
      </c>
      <c r="D6097" t="s">
        <v>131</v>
      </c>
      <c r="E6097">
        <v>12</v>
      </c>
      <c r="F6097">
        <v>2012</v>
      </c>
      <c r="G6097" t="s">
        <v>137</v>
      </c>
      <c r="J6097" t="s">
        <v>133</v>
      </c>
      <c r="K6097">
        <v>0</v>
      </c>
      <c r="L6097">
        <v>3</v>
      </c>
      <c r="M6097">
        <v>0</v>
      </c>
      <c r="N6097">
        <v>2</v>
      </c>
      <c r="O6097">
        <v>1</v>
      </c>
      <c r="P6097">
        <v>0</v>
      </c>
      <c r="Q6097">
        <v>0</v>
      </c>
      <c r="S6097" t="str">
        <f t="shared" si="2859"/>
        <v>14:52:45.531</v>
      </c>
      <c r="T6097" t="str">
        <f t="shared" si="2860"/>
        <v>14:52:44.731</v>
      </c>
      <c r="U6097" t="str">
        <f t="shared" si="2853"/>
        <v>A9808D</v>
      </c>
      <c r="V6097">
        <v>0</v>
      </c>
      <c r="W6097">
        <v>0</v>
      </c>
      <c r="X6097">
        <v>1</v>
      </c>
      <c r="Z6097">
        <v>0</v>
      </c>
      <c r="AA6097">
        <v>9</v>
      </c>
      <c r="AB6097">
        <v>3</v>
      </c>
      <c r="AC6097">
        <v>0</v>
      </c>
      <c r="AD6097">
        <v>10</v>
      </c>
      <c r="AE6097">
        <v>0</v>
      </c>
      <c r="AF6097">
        <v>3</v>
      </c>
      <c r="AG6097">
        <v>2</v>
      </c>
      <c r="AH6097">
        <v>0</v>
      </c>
      <c r="AI6097" t="s">
        <v>1353</v>
      </c>
      <c r="AJ6097">
        <v>28.21377</v>
      </c>
      <c r="AK6097" t="s">
        <v>1354</v>
      </c>
      <c r="AL6097">
        <v>-82.367613000000006</v>
      </c>
      <c r="AM6097">
        <v>100</v>
      </c>
      <c r="AN6097">
        <v>0</v>
      </c>
      <c r="AO6097" t="s">
        <v>118</v>
      </c>
      <c r="AP6097">
        <v>-46</v>
      </c>
      <c r="AQ6097">
        <v>75</v>
      </c>
      <c r="AR6097">
        <v>-832</v>
      </c>
      <c r="AZ6097">
        <v>1200</v>
      </c>
      <c r="BA6097">
        <v>1</v>
      </c>
      <c r="BB6097" t="str">
        <f t="shared" si="2832"/>
        <v xml:space="preserve">N711JA  </v>
      </c>
      <c r="BC6097">
        <v>1</v>
      </c>
      <c r="BE6097">
        <v>0</v>
      </c>
      <c r="BF6097">
        <v>0</v>
      </c>
      <c r="BG6097">
        <v>0</v>
      </c>
      <c r="BH6097">
        <v>125</v>
      </c>
      <c r="BI6097">
        <v>1</v>
      </c>
      <c r="BJ6097">
        <v>1</v>
      </c>
      <c r="BK6097">
        <v>0</v>
      </c>
      <c r="BL6097">
        <v>0</v>
      </c>
      <c r="BO6097">
        <v>0</v>
      </c>
      <c r="BP6097">
        <v>0</v>
      </c>
      <c r="BW6097" t="str">
        <f t="shared" si="2861"/>
        <v>14:52:45.539</v>
      </c>
      <c r="CJ6097">
        <v>0</v>
      </c>
      <c r="CK6097">
        <v>2</v>
      </c>
      <c r="CL6097">
        <v>0</v>
      </c>
      <c r="CM6097">
        <v>2</v>
      </c>
      <c r="CN6097">
        <v>0</v>
      </c>
      <c r="CO6097">
        <v>3</v>
      </c>
      <c r="CP6097" t="s">
        <v>119</v>
      </c>
      <c r="CQ6097">
        <v>343</v>
      </c>
      <c r="CR6097">
        <v>1</v>
      </c>
      <c r="CW6097">
        <v>11241743</v>
      </c>
      <c r="CY6097">
        <v>1</v>
      </c>
      <c r="CZ6097">
        <v>0</v>
      </c>
      <c r="DA6097">
        <v>1</v>
      </c>
      <c r="DB6097">
        <v>0</v>
      </c>
      <c r="DC6097">
        <v>0</v>
      </c>
      <c r="DD6097">
        <v>1</v>
      </c>
      <c r="DE6097">
        <v>0</v>
      </c>
      <c r="DF6097">
        <v>0</v>
      </c>
      <c r="DG6097">
        <v>0</v>
      </c>
      <c r="DH6097">
        <v>0</v>
      </c>
      <c r="DI6097">
        <v>0</v>
      </c>
    </row>
    <row r="6098" spans="1:113" x14ac:dyDescent="0.3">
      <c r="A6098" t="str">
        <f t="shared" si="2858"/>
        <v>05/12/2020 14:52:27.725</v>
      </c>
      <c r="C6098" t="str">
        <f t="shared" si="2831"/>
        <v>FFDFD3C0</v>
      </c>
      <c r="D6098" t="s">
        <v>113</v>
      </c>
      <c r="E6098">
        <v>3</v>
      </c>
      <c r="H6098">
        <v>164</v>
      </c>
      <c r="I6098" t="s">
        <v>114</v>
      </c>
      <c r="J6098" t="s">
        <v>115</v>
      </c>
      <c r="K6098">
        <v>0</v>
      </c>
      <c r="L6098">
        <v>3</v>
      </c>
      <c r="M6098">
        <v>0</v>
      </c>
      <c r="N6098">
        <v>2</v>
      </c>
      <c r="O6098">
        <v>1</v>
      </c>
      <c r="P6098">
        <v>0</v>
      </c>
      <c r="Q6098">
        <v>0</v>
      </c>
      <c r="S6098" t="str">
        <f t="shared" si="2859"/>
        <v>14:52:45.531</v>
      </c>
      <c r="T6098" t="str">
        <f t="shared" si="2860"/>
        <v>14:52:44.731</v>
      </c>
      <c r="U6098" t="str">
        <f t="shared" si="2853"/>
        <v>A9808D</v>
      </c>
      <c r="V6098">
        <v>0</v>
      </c>
      <c r="W6098">
        <v>0</v>
      </c>
      <c r="X6098">
        <v>1</v>
      </c>
      <c r="Z6098">
        <v>0</v>
      </c>
      <c r="AA6098">
        <v>9</v>
      </c>
      <c r="AB6098">
        <v>3</v>
      </c>
      <c r="AC6098">
        <v>0</v>
      </c>
      <c r="AD6098">
        <v>10</v>
      </c>
      <c r="AE6098">
        <v>0</v>
      </c>
      <c r="AF6098">
        <v>3</v>
      </c>
      <c r="AG6098">
        <v>2</v>
      </c>
      <c r="AH6098">
        <v>0</v>
      </c>
      <c r="AI6098" t="s">
        <v>1353</v>
      </c>
      <c r="AJ6098">
        <v>28.21377</v>
      </c>
      <c r="AK6098" t="s">
        <v>1354</v>
      </c>
      <c r="AL6098">
        <v>-82.367613000000006</v>
      </c>
      <c r="AM6098">
        <v>100</v>
      </c>
      <c r="AN6098">
        <v>0</v>
      </c>
      <c r="AO6098" t="s">
        <v>118</v>
      </c>
      <c r="AP6098">
        <v>-46</v>
      </c>
      <c r="AQ6098">
        <v>75</v>
      </c>
      <c r="AR6098">
        <v>-832</v>
      </c>
      <c r="AZ6098">
        <v>1200</v>
      </c>
      <c r="BA6098">
        <v>1</v>
      </c>
      <c r="BB6098" t="str">
        <f t="shared" si="2832"/>
        <v xml:space="preserve">N711JA  </v>
      </c>
      <c r="BC6098">
        <v>1</v>
      </c>
      <c r="BE6098">
        <v>0</v>
      </c>
      <c r="BF6098">
        <v>0</v>
      </c>
      <c r="BG6098">
        <v>0</v>
      </c>
      <c r="BH6098">
        <v>125</v>
      </c>
      <c r="BI6098">
        <v>1</v>
      </c>
      <c r="BJ6098">
        <v>1</v>
      </c>
      <c r="BK6098">
        <v>0</v>
      </c>
      <c r="BL6098">
        <v>0</v>
      </c>
      <c r="BO6098">
        <v>0</v>
      </c>
      <c r="BP6098">
        <v>0</v>
      </c>
      <c r="BW6098" t="str">
        <f t="shared" si="2861"/>
        <v>14:52:45.539</v>
      </c>
      <c r="CJ6098">
        <v>0</v>
      </c>
      <c r="CK6098">
        <v>2</v>
      </c>
      <c r="CL6098">
        <v>0</v>
      </c>
      <c r="CM6098">
        <v>2</v>
      </c>
      <c r="CN6098">
        <v>0</v>
      </c>
      <c r="CO6098">
        <v>3</v>
      </c>
      <c r="CP6098" t="s">
        <v>119</v>
      </c>
      <c r="CQ6098">
        <v>343</v>
      </c>
      <c r="CR6098">
        <v>1</v>
      </c>
      <c r="CW6098">
        <v>11241743</v>
      </c>
      <c r="CY6098">
        <v>1</v>
      </c>
      <c r="CZ6098">
        <v>0</v>
      </c>
      <c r="DA6098">
        <v>1</v>
      </c>
      <c r="DB6098">
        <v>0</v>
      </c>
      <c r="DC6098">
        <v>0</v>
      </c>
      <c r="DD6098">
        <v>1</v>
      </c>
      <c r="DE6098">
        <v>0</v>
      </c>
      <c r="DF6098">
        <v>0</v>
      </c>
      <c r="DG6098">
        <v>0</v>
      </c>
      <c r="DH6098">
        <v>0</v>
      </c>
      <c r="DI6098">
        <v>0</v>
      </c>
    </row>
    <row r="6099" spans="1:113" x14ac:dyDescent="0.3">
      <c r="A6099" t="str">
        <f t="shared" ref="A6099:A6106" si="2862">"05/12/2020 14:52:28.877"</f>
        <v>05/12/2020 14:52:28.877</v>
      </c>
      <c r="C6099" t="str">
        <f t="shared" si="2831"/>
        <v>FFDFD3C0</v>
      </c>
      <c r="D6099" t="s">
        <v>113</v>
      </c>
      <c r="E6099">
        <v>3</v>
      </c>
      <c r="H6099">
        <v>164</v>
      </c>
      <c r="I6099" t="s">
        <v>114</v>
      </c>
      <c r="J6099" t="s">
        <v>115</v>
      </c>
      <c r="K6099">
        <v>0</v>
      </c>
      <c r="L6099">
        <v>3</v>
      </c>
      <c r="M6099">
        <v>0</v>
      </c>
      <c r="N6099">
        <v>2</v>
      </c>
      <c r="O6099">
        <v>1</v>
      </c>
      <c r="P6099">
        <v>0</v>
      </c>
      <c r="Q6099">
        <v>0</v>
      </c>
      <c r="S6099" t="str">
        <f t="shared" ref="S6099:S6106" si="2863">"14:52:46.664"</f>
        <v>14:52:46.664</v>
      </c>
      <c r="T6099" t="str">
        <f t="shared" ref="T6099:T6106" si="2864">"14:52:46.364"</f>
        <v>14:52:46.364</v>
      </c>
      <c r="U6099" t="str">
        <f t="shared" si="2853"/>
        <v>A9808D</v>
      </c>
      <c r="V6099">
        <v>0</v>
      </c>
      <c r="W6099">
        <v>0</v>
      </c>
      <c r="X6099">
        <v>1</v>
      </c>
      <c r="Z6099">
        <v>0</v>
      </c>
      <c r="AA6099">
        <v>9</v>
      </c>
      <c r="AB6099">
        <v>3</v>
      </c>
      <c r="AC6099">
        <v>0</v>
      </c>
      <c r="AD6099">
        <v>10</v>
      </c>
      <c r="AE6099">
        <v>0</v>
      </c>
      <c r="AF6099">
        <v>3</v>
      </c>
      <c r="AG6099">
        <v>2</v>
      </c>
      <c r="AH6099">
        <v>0</v>
      </c>
      <c r="AI6099" t="s">
        <v>1221</v>
      </c>
      <c r="AJ6099">
        <v>28.214092000000001</v>
      </c>
      <c r="AK6099" t="s">
        <v>1116</v>
      </c>
      <c r="AL6099">
        <v>-82.367957000000004</v>
      </c>
      <c r="AM6099">
        <v>100</v>
      </c>
      <c r="AN6099">
        <v>0</v>
      </c>
      <c r="AO6099" t="s">
        <v>118</v>
      </c>
      <c r="AP6099">
        <v>-52</v>
      </c>
      <c r="AQ6099">
        <v>70</v>
      </c>
      <c r="AR6099">
        <v>-960</v>
      </c>
      <c r="AZ6099">
        <v>1200</v>
      </c>
      <c r="BA6099">
        <v>1</v>
      </c>
      <c r="BB6099" t="str">
        <f t="shared" si="2832"/>
        <v xml:space="preserve">N711JA  </v>
      </c>
      <c r="BC6099">
        <v>1</v>
      </c>
      <c r="BE6099">
        <v>0</v>
      </c>
      <c r="BF6099">
        <v>0</v>
      </c>
      <c r="BG6099">
        <v>0</v>
      </c>
      <c r="BH6099">
        <v>100</v>
      </c>
      <c r="BI6099">
        <v>1</v>
      </c>
      <c r="BJ6099">
        <v>1</v>
      </c>
      <c r="BK6099">
        <v>0</v>
      </c>
      <c r="BL6099">
        <v>0</v>
      </c>
      <c r="BO6099">
        <v>0</v>
      </c>
      <c r="BP6099">
        <v>0</v>
      </c>
      <c r="BW6099" t="str">
        <f t="shared" ref="BW6099:BW6106" si="2865">"14:52:46.668"</f>
        <v>14:52:46.668</v>
      </c>
      <c r="CJ6099">
        <v>0</v>
      </c>
      <c r="CK6099">
        <v>2</v>
      </c>
      <c r="CL6099">
        <v>0</v>
      </c>
      <c r="CM6099">
        <v>2</v>
      </c>
      <c r="CN6099">
        <v>0</v>
      </c>
      <c r="CO6099">
        <v>2</v>
      </c>
      <c r="CP6099" t="s">
        <v>119</v>
      </c>
      <c r="CQ6099">
        <v>343</v>
      </c>
      <c r="CR6099">
        <v>1</v>
      </c>
      <c r="CW6099">
        <v>11242936</v>
      </c>
      <c r="CY6099">
        <v>1</v>
      </c>
      <c r="CZ6099">
        <v>0</v>
      </c>
      <c r="DA6099">
        <v>0</v>
      </c>
      <c r="DB6099">
        <v>0</v>
      </c>
      <c r="DC6099">
        <v>0</v>
      </c>
      <c r="DD6099">
        <v>1</v>
      </c>
      <c r="DE6099">
        <v>0</v>
      </c>
      <c r="DF6099">
        <v>0</v>
      </c>
      <c r="DG6099">
        <v>0</v>
      </c>
      <c r="DH6099">
        <v>0</v>
      </c>
      <c r="DI6099">
        <v>0</v>
      </c>
    </row>
    <row r="6100" spans="1:113" x14ac:dyDescent="0.3">
      <c r="A6100" t="str">
        <f t="shared" si="2862"/>
        <v>05/12/2020 14:52:28.877</v>
      </c>
      <c r="C6100" t="str">
        <f t="shared" si="2831"/>
        <v>FFDFD3C0</v>
      </c>
      <c r="D6100" t="s">
        <v>126</v>
      </c>
      <c r="E6100">
        <v>6</v>
      </c>
      <c r="F6100">
        <v>1006</v>
      </c>
      <c r="G6100" t="s">
        <v>114</v>
      </c>
      <c r="J6100" t="s">
        <v>128</v>
      </c>
      <c r="K6100">
        <v>0</v>
      </c>
      <c r="L6100">
        <v>3</v>
      </c>
      <c r="M6100">
        <v>0</v>
      </c>
      <c r="N6100">
        <v>2</v>
      </c>
      <c r="O6100">
        <v>1</v>
      </c>
      <c r="P6100">
        <v>0</v>
      </c>
      <c r="Q6100">
        <v>0</v>
      </c>
      <c r="S6100" t="str">
        <f t="shared" si="2863"/>
        <v>14:52:46.664</v>
      </c>
      <c r="T6100" t="str">
        <f t="shared" si="2864"/>
        <v>14:52:46.364</v>
      </c>
      <c r="U6100" t="str">
        <f t="shared" si="2853"/>
        <v>A9808D</v>
      </c>
      <c r="V6100">
        <v>0</v>
      </c>
      <c r="W6100">
        <v>0</v>
      </c>
      <c r="X6100">
        <v>1</v>
      </c>
      <c r="Z6100">
        <v>0</v>
      </c>
      <c r="AA6100">
        <v>9</v>
      </c>
      <c r="AB6100">
        <v>3</v>
      </c>
      <c r="AC6100">
        <v>0</v>
      </c>
      <c r="AD6100">
        <v>10</v>
      </c>
      <c r="AE6100">
        <v>0</v>
      </c>
      <c r="AF6100">
        <v>3</v>
      </c>
      <c r="AG6100">
        <v>2</v>
      </c>
      <c r="AH6100">
        <v>0</v>
      </c>
      <c r="AI6100" t="s">
        <v>1221</v>
      </c>
      <c r="AJ6100">
        <v>28.214092000000001</v>
      </c>
      <c r="AK6100" t="s">
        <v>1116</v>
      </c>
      <c r="AL6100">
        <v>-82.367957000000004</v>
      </c>
      <c r="AM6100">
        <v>100</v>
      </c>
      <c r="AN6100">
        <v>0</v>
      </c>
      <c r="AO6100" t="s">
        <v>118</v>
      </c>
      <c r="AP6100">
        <v>-52</v>
      </c>
      <c r="AQ6100">
        <v>70</v>
      </c>
      <c r="AR6100">
        <v>-960</v>
      </c>
      <c r="AZ6100">
        <v>1200</v>
      </c>
      <c r="BA6100">
        <v>1</v>
      </c>
      <c r="BB6100" t="str">
        <f t="shared" si="2832"/>
        <v xml:space="preserve">N711JA  </v>
      </c>
      <c r="BC6100">
        <v>1</v>
      </c>
      <c r="BE6100">
        <v>0</v>
      </c>
      <c r="BF6100">
        <v>0</v>
      </c>
      <c r="BG6100">
        <v>0</v>
      </c>
      <c r="BH6100">
        <v>100</v>
      </c>
      <c r="BI6100">
        <v>1</v>
      </c>
      <c r="BJ6100">
        <v>1</v>
      </c>
      <c r="BK6100">
        <v>0</v>
      </c>
      <c r="BL6100">
        <v>0</v>
      </c>
      <c r="BO6100">
        <v>0</v>
      </c>
      <c r="BP6100">
        <v>0</v>
      </c>
      <c r="BW6100" t="str">
        <f t="shared" si="2865"/>
        <v>14:52:46.668</v>
      </c>
      <c r="CJ6100">
        <v>0</v>
      </c>
      <c r="CK6100">
        <v>2</v>
      </c>
      <c r="CL6100">
        <v>0</v>
      </c>
      <c r="CM6100">
        <v>2</v>
      </c>
      <c r="CN6100">
        <v>0</v>
      </c>
      <c r="CO6100">
        <v>2</v>
      </c>
      <c r="CP6100" t="s">
        <v>119</v>
      </c>
      <c r="CQ6100">
        <v>343</v>
      </c>
      <c r="CR6100">
        <v>1</v>
      </c>
      <c r="CW6100">
        <v>11242936</v>
      </c>
      <c r="CY6100">
        <v>1</v>
      </c>
      <c r="CZ6100">
        <v>0</v>
      </c>
      <c r="DA6100">
        <v>1</v>
      </c>
      <c r="DB6100">
        <v>0</v>
      </c>
      <c r="DC6100">
        <v>0</v>
      </c>
      <c r="DD6100">
        <v>1</v>
      </c>
      <c r="DE6100">
        <v>0</v>
      </c>
      <c r="DF6100">
        <v>0</v>
      </c>
      <c r="DG6100">
        <v>0</v>
      </c>
      <c r="DH6100">
        <v>0</v>
      </c>
      <c r="DI6100">
        <v>0</v>
      </c>
    </row>
    <row r="6101" spans="1:113" x14ac:dyDescent="0.3">
      <c r="A6101" t="str">
        <f t="shared" si="2862"/>
        <v>05/12/2020 14:52:28.877</v>
      </c>
      <c r="C6101" t="str">
        <f t="shared" si="2831"/>
        <v>FFDFD3C0</v>
      </c>
      <c r="D6101" t="s">
        <v>134</v>
      </c>
      <c r="E6101">
        <v>12</v>
      </c>
      <c r="H6101">
        <v>64</v>
      </c>
      <c r="I6101" t="s">
        <v>135</v>
      </c>
      <c r="J6101" t="s">
        <v>136</v>
      </c>
      <c r="K6101">
        <v>0</v>
      </c>
      <c r="L6101">
        <v>3</v>
      </c>
      <c r="M6101">
        <v>0</v>
      </c>
      <c r="N6101">
        <v>2</v>
      </c>
      <c r="O6101">
        <v>1</v>
      </c>
      <c r="P6101">
        <v>0</v>
      </c>
      <c r="Q6101">
        <v>0</v>
      </c>
      <c r="S6101" t="str">
        <f t="shared" si="2863"/>
        <v>14:52:46.664</v>
      </c>
      <c r="T6101" t="str">
        <f t="shared" si="2864"/>
        <v>14:52:46.364</v>
      </c>
      <c r="U6101" t="str">
        <f t="shared" si="2853"/>
        <v>A9808D</v>
      </c>
      <c r="V6101">
        <v>0</v>
      </c>
      <c r="W6101">
        <v>0</v>
      </c>
      <c r="X6101">
        <v>1</v>
      </c>
      <c r="Z6101">
        <v>0</v>
      </c>
      <c r="AA6101">
        <v>9</v>
      </c>
      <c r="AB6101">
        <v>3</v>
      </c>
      <c r="AC6101">
        <v>0</v>
      </c>
      <c r="AD6101">
        <v>10</v>
      </c>
      <c r="AE6101">
        <v>0</v>
      </c>
      <c r="AF6101">
        <v>3</v>
      </c>
      <c r="AG6101">
        <v>2</v>
      </c>
      <c r="AH6101">
        <v>0</v>
      </c>
      <c r="AI6101" t="s">
        <v>1221</v>
      </c>
      <c r="AJ6101">
        <v>28.214092000000001</v>
      </c>
      <c r="AK6101" t="s">
        <v>1116</v>
      </c>
      <c r="AL6101">
        <v>-82.367957000000004</v>
      </c>
      <c r="AM6101">
        <v>100</v>
      </c>
      <c r="AN6101">
        <v>0</v>
      </c>
      <c r="AO6101" t="s">
        <v>118</v>
      </c>
      <c r="AP6101">
        <v>-52</v>
      </c>
      <c r="AQ6101">
        <v>70</v>
      </c>
      <c r="AR6101">
        <v>-960</v>
      </c>
      <c r="AZ6101">
        <v>1200</v>
      </c>
      <c r="BA6101">
        <v>1</v>
      </c>
      <c r="BB6101" t="str">
        <f t="shared" si="2832"/>
        <v xml:space="preserve">N711JA  </v>
      </c>
      <c r="BC6101">
        <v>1</v>
      </c>
      <c r="BE6101">
        <v>0</v>
      </c>
      <c r="BF6101">
        <v>0</v>
      </c>
      <c r="BG6101">
        <v>0</v>
      </c>
      <c r="BH6101">
        <v>100</v>
      </c>
      <c r="BI6101">
        <v>1</v>
      </c>
      <c r="BJ6101">
        <v>1</v>
      </c>
      <c r="BK6101">
        <v>0</v>
      </c>
      <c r="BL6101">
        <v>0</v>
      </c>
      <c r="BO6101">
        <v>0</v>
      </c>
      <c r="BP6101">
        <v>0</v>
      </c>
      <c r="BW6101" t="str">
        <f t="shared" si="2865"/>
        <v>14:52:46.668</v>
      </c>
      <c r="CJ6101">
        <v>0</v>
      </c>
      <c r="CK6101">
        <v>2</v>
      </c>
      <c r="CL6101">
        <v>0</v>
      </c>
      <c r="CM6101">
        <v>2</v>
      </c>
      <c r="CN6101">
        <v>0</v>
      </c>
      <c r="CO6101">
        <v>2</v>
      </c>
      <c r="CP6101" t="s">
        <v>119</v>
      </c>
      <c r="CQ6101">
        <v>343</v>
      </c>
      <c r="CR6101">
        <v>1</v>
      </c>
      <c r="CW6101">
        <v>11242936</v>
      </c>
      <c r="CY6101">
        <v>1</v>
      </c>
      <c r="CZ6101">
        <v>0</v>
      </c>
      <c r="DA6101">
        <v>1</v>
      </c>
      <c r="DB6101">
        <v>0</v>
      </c>
      <c r="DC6101">
        <v>0</v>
      </c>
      <c r="DD6101">
        <v>1</v>
      </c>
      <c r="DE6101">
        <v>0</v>
      </c>
      <c r="DF6101">
        <v>0</v>
      </c>
      <c r="DG6101">
        <v>0</v>
      </c>
      <c r="DH6101">
        <v>0</v>
      </c>
      <c r="DI6101">
        <v>0</v>
      </c>
    </row>
    <row r="6102" spans="1:113" x14ac:dyDescent="0.3">
      <c r="A6102" t="str">
        <f t="shared" si="2862"/>
        <v>05/12/2020 14:52:28.877</v>
      </c>
      <c r="C6102" t="str">
        <f t="shared" si="2831"/>
        <v>FFDFD3C0</v>
      </c>
      <c r="D6102" t="s">
        <v>138</v>
      </c>
      <c r="E6102">
        <v>2</v>
      </c>
      <c r="H6102">
        <v>8</v>
      </c>
      <c r="I6102" t="s">
        <v>139</v>
      </c>
      <c r="J6102" t="s">
        <v>136</v>
      </c>
      <c r="K6102">
        <v>0</v>
      </c>
      <c r="L6102">
        <v>3</v>
      </c>
      <c r="M6102">
        <v>0</v>
      </c>
      <c r="N6102">
        <v>2</v>
      </c>
      <c r="O6102">
        <v>1</v>
      </c>
      <c r="P6102">
        <v>0</v>
      </c>
      <c r="Q6102">
        <v>0</v>
      </c>
      <c r="S6102" t="str">
        <f t="shared" si="2863"/>
        <v>14:52:46.664</v>
      </c>
      <c r="T6102" t="str">
        <f t="shared" si="2864"/>
        <v>14:52:46.364</v>
      </c>
      <c r="U6102" t="str">
        <f t="shared" si="2853"/>
        <v>A9808D</v>
      </c>
      <c r="V6102">
        <v>0</v>
      </c>
      <c r="W6102">
        <v>0</v>
      </c>
      <c r="X6102">
        <v>1</v>
      </c>
      <c r="Z6102">
        <v>0</v>
      </c>
      <c r="AA6102">
        <v>9</v>
      </c>
      <c r="AB6102">
        <v>3</v>
      </c>
      <c r="AC6102">
        <v>0</v>
      </c>
      <c r="AD6102">
        <v>10</v>
      </c>
      <c r="AE6102">
        <v>0</v>
      </c>
      <c r="AF6102">
        <v>3</v>
      </c>
      <c r="AG6102">
        <v>2</v>
      </c>
      <c r="AH6102">
        <v>0</v>
      </c>
      <c r="AI6102" t="s">
        <v>1221</v>
      </c>
      <c r="AJ6102">
        <v>28.214092000000001</v>
      </c>
      <c r="AK6102" t="s">
        <v>1116</v>
      </c>
      <c r="AL6102">
        <v>-82.367957000000004</v>
      </c>
      <c r="AM6102">
        <v>100</v>
      </c>
      <c r="AN6102">
        <v>0</v>
      </c>
      <c r="AO6102" t="s">
        <v>118</v>
      </c>
      <c r="AP6102">
        <v>-52</v>
      </c>
      <c r="AQ6102">
        <v>70</v>
      </c>
      <c r="AR6102">
        <v>-960</v>
      </c>
      <c r="AZ6102">
        <v>1200</v>
      </c>
      <c r="BA6102">
        <v>1</v>
      </c>
      <c r="BB6102" t="str">
        <f t="shared" si="2832"/>
        <v xml:space="preserve">N711JA  </v>
      </c>
      <c r="BC6102">
        <v>1</v>
      </c>
      <c r="BE6102">
        <v>0</v>
      </c>
      <c r="BF6102">
        <v>0</v>
      </c>
      <c r="BG6102">
        <v>0</v>
      </c>
      <c r="BH6102">
        <v>100</v>
      </c>
      <c r="BI6102">
        <v>1</v>
      </c>
      <c r="BJ6102">
        <v>1</v>
      </c>
      <c r="BK6102">
        <v>0</v>
      </c>
      <c r="BL6102">
        <v>0</v>
      </c>
      <c r="BO6102">
        <v>0</v>
      </c>
      <c r="BP6102">
        <v>0</v>
      </c>
      <c r="BW6102" t="str">
        <f t="shared" si="2865"/>
        <v>14:52:46.668</v>
      </c>
      <c r="CJ6102">
        <v>0</v>
      </c>
      <c r="CK6102">
        <v>2</v>
      </c>
      <c r="CL6102">
        <v>0</v>
      </c>
      <c r="CM6102">
        <v>2</v>
      </c>
      <c r="CN6102">
        <v>0</v>
      </c>
      <c r="CO6102">
        <v>2</v>
      </c>
      <c r="CP6102" t="s">
        <v>119</v>
      </c>
      <c r="CQ6102">
        <v>343</v>
      </c>
      <c r="CR6102">
        <v>1</v>
      </c>
      <c r="CW6102">
        <v>11242936</v>
      </c>
      <c r="CY6102">
        <v>1</v>
      </c>
      <c r="CZ6102">
        <v>0</v>
      </c>
      <c r="DA6102">
        <v>1</v>
      </c>
      <c r="DB6102">
        <v>0</v>
      </c>
      <c r="DC6102">
        <v>0</v>
      </c>
      <c r="DD6102">
        <v>1</v>
      </c>
      <c r="DE6102">
        <v>0</v>
      </c>
      <c r="DF6102">
        <v>0</v>
      </c>
      <c r="DG6102">
        <v>0</v>
      </c>
      <c r="DH6102">
        <v>0</v>
      </c>
      <c r="DI6102">
        <v>0</v>
      </c>
    </row>
    <row r="6103" spans="1:113" x14ac:dyDescent="0.3">
      <c r="A6103" t="str">
        <f t="shared" si="2862"/>
        <v>05/12/2020 14:52:28.877</v>
      </c>
      <c r="C6103" t="str">
        <f t="shared" si="2831"/>
        <v>FFDFD3C0</v>
      </c>
      <c r="D6103" t="s">
        <v>131</v>
      </c>
      <c r="E6103">
        <v>10</v>
      </c>
      <c r="F6103">
        <v>2010</v>
      </c>
      <c r="G6103" t="s">
        <v>132</v>
      </c>
      <c r="J6103" t="s">
        <v>133</v>
      </c>
      <c r="K6103">
        <v>0</v>
      </c>
      <c r="L6103">
        <v>3</v>
      </c>
      <c r="M6103">
        <v>0</v>
      </c>
      <c r="N6103">
        <v>2</v>
      </c>
      <c r="O6103">
        <v>1</v>
      </c>
      <c r="P6103">
        <v>0</v>
      </c>
      <c r="Q6103">
        <v>0</v>
      </c>
      <c r="S6103" t="str">
        <f t="shared" si="2863"/>
        <v>14:52:46.664</v>
      </c>
      <c r="T6103" t="str">
        <f t="shared" si="2864"/>
        <v>14:52:46.364</v>
      </c>
      <c r="U6103" t="str">
        <f t="shared" si="2853"/>
        <v>A9808D</v>
      </c>
      <c r="V6103">
        <v>0</v>
      </c>
      <c r="W6103">
        <v>0</v>
      </c>
      <c r="X6103">
        <v>1</v>
      </c>
      <c r="Z6103">
        <v>0</v>
      </c>
      <c r="AA6103">
        <v>9</v>
      </c>
      <c r="AB6103">
        <v>3</v>
      </c>
      <c r="AC6103">
        <v>0</v>
      </c>
      <c r="AD6103">
        <v>10</v>
      </c>
      <c r="AE6103">
        <v>0</v>
      </c>
      <c r="AF6103">
        <v>3</v>
      </c>
      <c r="AG6103">
        <v>2</v>
      </c>
      <c r="AH6103">
        <v>0</v>
      </c>
      <c r="AI6103" t="s">
        <v>1221</v>
      </c>
      <c r="AJ6103">
        <v>28.214092000000001</v>
      </c>
      <c r="AK6103" t="s">
        <v>1116</v>
      </c>
      <c r="AL6103">
        <v>-82.367957000000004</v>
      </c>
      <c r="AM6103">
        <v>100</v>
      </c>
      <c r="AN6103">
        <v>0</v>
      </c>
      <c r="AO6103" t="s">
        <v>118</v>
      </c>
      <c r="AP6103">
        <v>-52</v>
      </c>
      <c r="AQ6103">
        <v>70</v>
      </c>
      <c r="AR6103">
        <v>-960</v>
      </c>
      <c r="AZ6103">
        <v>1200</v>
      </c>
      <c r="BA6103">
        <v>1</v>
      </c>
      <c r="BB6103" t="str">
        <f t="shared" si="2832"/>
        <v xml:space="preserve">N711JA  </v>
      </c>
      <c r="BC6103">
        <v>1</v>
      </c>
      <c r="BE6103">
        <v>0</v>
      </c>
      <c r="BF6103">
        <v>0</v>
      </c>
      <c r="BG6103">
        <v>0</v>
      </c>
      <c r="BH6103">
        <v>100</v>
      </c>
      <c r="BI6103">
        <v>1</v>
      </c>
      <c r="BJ6103">
        <v>1</v>
      </c>
      <c r="BK6103">
        <v>0</v>
      </c>
      <c r="BL6103">
        <v>0</v>
      </c>
      <c r="BO6103">
        <v>0</v>
      </c>
      <c r="BP6103">
        <v>0</v>
      </c>
      <c r="BW6103" t="str">
        <f t="shared" si="2865"/>
        <v>14:52:46.668</v>
      </c>
      <c r="CJ6103">
        <v>0</v>
      </c>
      <c r="CK6103">
        <v>2</v>
      </c>
      <c r="CL6103">
        <v>0</v>
      </c>
      <c r="CM6103">
        <v>2</v>
      </c>
      <c r="CN6103">
        <v>0</v>
      </c>
      <c r="CO6103">
        <v>2</v>
      </c>
      <c r="CP6103" t="s">
        <v>119</v>
      </c>
      <c r="CQ6103">
        <v>343</v>
      </c>
      <c r="CR6103">
        <v>1</v>
      </c>
      <c r="CW6103">
        <v>11242936</v>
      </c>
      <c r="CY6103">
        <v>1</v>
      </c>
      <c r="CZ6103">
        <v>0</v>
      </c>
      <c r="DA6103">
        <v>1</v>
      </c>
      <c r="DB6103">
        <v>0</v>
      </c>
      <c r="DC6103">
        <v>0</v>
      </c>
      <c r="DD6103">
        <v>1</v>
      </c>
      <c r="DE6103">
        <v>0</v>
      </c>
      <c r="DF6103">
        <v>0</v>
      </c>
      <c r="DG6103">
        <v>0</v>
      </c>
      <c r="DH6103">
        <v>0</v>
      </c>
      <c r="DI6103">
        <v>0</v>
      </c>
    </row>
    <row r="6104" spans="1:113" x14ac:dyDescent="0.3">
      <c r="A6104" t="str">
        <f t="shared" si="2862"/>
        <v>05/12/2020 14:52:28.877</v>
      </c>
      <c r="C6104" t="str">
        <f t="shared" si="2831"/>
        <v>FFDFD3C0</v>
      </c>
      <c r="D6104" t="s">
        <v>126</v>
      </c>
      <c r="E6104">
        <v>7</v>
      </c>
      <c r="F6104">
        <v>1007</v>
      </c>
      <c r="G6104" t="s">
        <v>127</v>
      </c>
      <c r="J6104" t="s">
        <v>128</v>
      </c>
      <c r="K6104">
        <v>0</v>
      </c>
      <c r="L6104">
        <v>3</v>
      </c>
      <c r="M6104">
        <v>0</v>
      </c>
      <c r="N6104">
        <v>2</v>
      </c>
      <c r="O6104">
        <v>1</v>
      </c>
      <c r="P6104">
        <v>0</v>
      </c>
      <c r="Q6104">
        <v>0</v>
      </c>
      <c r="S6104" t="str">
        <f t="shared" si="2863"/>
        <v>14:52:46.664</v>
      </c>
      <c r="T6104" t="str">
        <f t="shared" si="2864"/>
        <v>14:52:46.364</v>
      </c>
      <c r="U6104" t="str">
        <f t="shared" si="2853"/>
        <v>A9808D</v>
      </c>
      <c r="V6104">
        <v>0</v>
      </c>
      <c r="W6104">
        <v>0</v>
      </c>
      <c r="X6104">
        <v>1</v>
      </c>
      <c r="Z6104">
        <v>0</v>
      </c>
      <c r="AA6104">
        <v>9</v>
      </c>
      <c r="AB6104">
        <v>3</v>
      </c>
      <c r="AC6104">
        <v>0</v>
      </c>
      <c r="AD6104">
        <v>10</v>
      </c>
      <c r="AE6104">
        <v>0</v>
      </c>
      <c r="AF6104">
        <v>3</v>
      </c>
      <c r="AG6104">
        <v>2</v>
      </c>
      <c r="AH6104">
        <v>0</v>
      </c>
      <c r="AI6104" t="s">
        <v>1221</v>
      </c>
      <c r="AJ6104">
        <v>28.214092000000001</v>
      </c>
      <c r="AK6104" t="s">
        <v>1116</v>
      </c>
      <c r="AL6104">
        <v>-82.367957000000004</v>
      </c>
      <c r="AM6104">
        <v>100</v>
      </c>
      <c r="AN6104">
        <v>0</v>
      </c>
      <c r="AO6104" t="s">
        <v>118</v>
      </c>
      <c r="AP6104">
        <v>-52</v>
      </c>
      <c r="AQ6104">
        <v>70</v>
      </c>
      <c r="AR6104">
        <v>-960</v>
      </c>
      <c r="AZ6104">
        <v>1200</v>
      </c>
      <c r="BA6104">
        <v>1</v>
      </c>
      <c r="BB6104" t="str">
        <f t="shared" si="2832"/>
        <v xml:space="preserve">N711JA  </v>
      </c>
      <c r="BC6104">
        <v>1</v>
      </c>
      <c r="BE6104">
        <v>0</v>
      </c>
      <c r="BF6104">
        <v>0</v>
      </c>
      <c r="BG6104">
        <v>0</v>
      </c>
      <c r="BH6104">
        <v>100</v>
      </c>
      <c r="BI6104">
        <v>1</v>
      </c>
      <c r="BJ6104">
        <v>1</v>
      </c>
      <c r="BK6104">
        <v>0</v>
      </c>
      <c r="BL6104">
        <v>0</v>
      </c>
      <c r="BO6104">
        <v>0</v>
      </c>
      <c r="BP6104">
        <v>0</v>
      </c>
      <c r="BW6104" t="str">
        <f t="shared" si="2865"/>
        <v>14:52:46.668</v>
      </c>
      <c r="CJ6104">
        <v>0</v>
      </c>
      <c r="CK6104">
        <v>2</v>
      </c>
      <c r="CL6104">
        <v>0</v>
      </c>
      <c r="CM6104">
        <v>2</v>
      </c>
      <c r="CN6104">
        <v>0</v>
      </c>
      <c r="CO6104">
        <v>2</v>
      </c>
      <c r="CP6104" t="s">
        <v>119</v>
      </c>
      <c r="CQ6104">
        <v>343</v>
      </c>
      <c r="CR6104">
        <v>1</v>
      </c>
      <c r="CW6104">
        <v>11242936</v>
      </c>
      <c r="CY6104">
        <v>1</v>
      </c>
      <c r="CZ6104">
        <v>0</v>
      </c>
      <c r="DA6104">
        <v>1</v>
      </c>
      <c r="DB6104">
        <v>0</v>
      </c>
      <c r="DC6104">
        <v>0</v>
      </c>
      <c r="DD6104">
        <v>1</v>
      </c>
      <c r="DE6104">
        <v>0</v>
      </c>
      <c r="DF6104">
        <v>0</v>
      </c>
      <c r="DG6104">
        <v>0</v>
      </c>
      <c r="DH6104">
        <v>0</v>
      </c>
      <c r="DI6104">
        <v>0</v>
      </c>
    </row>
    <row r="6105" spans="1:113" x14ac:dyDescent="0.3">
      <c r="A6105" t="str">
        <f t="shared" si="2862"/>
        <v>05/12/2020 14:52:28.877</v>
      </c>
      <c r="C6105" t="str">
        <f t="shared" si="2831"/>
        <v>FFDFD3C0</v>
      </c>
      <c r="D6105" t="s">
        <v>138</v>
      </c>
      <c r="E6105">
        <v>3</v>
      </c>
      <c r="H6105">
        <v>9</v>
      </c>
      <c r="I6105" t="s">
        <v>140</v>
      </c>
      <c r="J6105" t="s">
        <v>136</v>
      </c>
      <c r="K6105">
        <v>0</v>
      </c>
      <c r="L6105">
        <v>3</v>
      </c>
      <c r="M6105">
        <v>0</v>
      </c>
      <c r="N6105">
        <v>2</v>
      </c>
      <c r="O6105">
        <v>1</v>
      </c>
      <c r="P6105">
        <v>0</v>
      </c>
      <c r="Q6105">
        <v>0</v>
      </c>
      <c r="S6105" t="str">
        <f t="shared" si="2863"/>
        <v>14:52:46.664</v>
      </c>
      <c r="T6105" t="str">
        <f t="shared" si="2864"/>
        <v>14:52:46.364</v>
      </c>
      <c r="U6105" t="str">
        <f t="shared" si="2853"/>
        <v>A9808D</v>
      </c>
      <c r="V6105">
        <v>0</v>
      </c>
      <c r="W6105">
        <v>0</v>
      </c>
      <c r="X6105">
        <v>1</v>
      </c>
      <c r="Z6105">
        <v>0</v>
      </c>
      <c r="AA6105">
        <v>9</v>
      </c>
      <c r="AB6105">
        <v>3</v>
      </c>
      <c r="AC6105">
        <v>0</v>
      </c>
      <c r="AD6105">
        <v>10</v>
      </c>
      <c r="AE6105">
        <v>0</v>
      </c>
      <c r="AF6105">
        <v>3</v>
      </c>
      <c r="AG6105">
        <v>2</v>
      </c>
      <c r="AH6105">
        <v>0</v>
      </c>
      <c r="AI6105" t="s">
        <v>1221</v>
      </c>
      <c r="AJ6105">
        <v>28.214092000000001</v>
      </c>
      <c r="AK6105" t="s">
        <v>1116</v>
      </c>
      <c r="AL6105">
        <v>-82.367957000000004</v>
      </c>
      <c r="AM6105">
        <v>100</v>
      </c>
      <c r="AN6105">
        <v>0</v>
      </c>
      <c r="AO6105" t="s">
        <v>118</v>
      </c>
      <c r="AP6105">
        <v>-52</v>
      </c>
      <c r="AQ6105">
        <v>70</v>
      </c>
      <c r="AR6105">
        <v>-960</v>
      </c>
      <c r="AZ6105">
        <v>1200</v>
      </c>
      <c r="BA6105">
        <v>1</v>
      </c>
      <c r="BB6105" t="str">
        <f t="shared" si="2832"/>
        <v xml:space="preserve">N711JA  </v>
      </c>
      <c r="BC6105">
        <v>1</v>
      </c>
      <c r="BE6105">
        <v>0</v>
      </c>
      <c r="BF6105">
        <v>0</v>
      </c>
      <c r="BG6105">
        <v>0</v>
      </c>
      <c r="BH6105">
        <v>100</v>
      </c>
      <c r="BI6105">
        <v>1</v>
      </c>
      <c r="BJ6105">
        <v>1</v>
      </c>
      <c r="BK6105">
        <v>0</v>
      </c>
      <c r="BL6105">
        <v>0</v>
      </c>
      <c r="BO6105">
        <v>0</v>
      </c>
      <c r="BP6105">
        <v>0</v>
      </c>
      <c r="BW6105" t="str">
        <f t="shared" si="2865"/>
        <v>14:52:46.668</v>
      </c>
      <c r="CJ6105">
        <v>0</v>
      </c>
      <c r="CK6105">
        <v>2</v>
      </c>
      <c r="CL6105">
        <v>0</v>
      </c>
      <c r="CM6105">
        <v>2</v>
      </c>
      <c r="CN6105">
        <v>0</v>
      </c>
      <c r="CO6105">
        <v>2</v>
      </c>
      <c r="CP6105" t="s">
        <v>119</v>
      </c>
      <c r="CQ6105">
        <v>343</v>
      </c>
      <c r="CR6105">
        <v>1</v>
      </c>
      <c r="CW6105">
        <v>11242936</v>
      </c>
      <c r="CY6105">
        <v>1</v>
      </c>
      <c r="CZ6105">
        <v>0</v>
      </c>
      <c r="DA6105">
        <v>1</v>
      </c>
      <c r="DB6105">
        <v>0</v>
      </c>
      <c r="DC6105">
        <v>0</v>
      </c>
      <c r="DD6105">
        <v>1</v>
      </c>
      <c r="DE6105">
        <v>0</v>
      </c>
      <c r="DF6105">
        <v>0</v>
      </c>
      <c r="DG6105">
        <v>0</v>
      </c>
      <c r="DH6105">
        <v>0</v>
      </c>
      <c r="DI6105">
        <v>0</v>
      </c>
    </row>
    <row r="6106" spans="1:113" x14ac:dyDescent="0.3">
      <c r="A6106" t="str">
        <f t="shared" si="2862"/>
        <v>05/12/2020 14:52:28.877</v>
      </c>
      <c r="C6106" t="str">
        <f t="shared" si="2831"/>
        <v>FFDFD3C0</v>
      </c>
      <c r="D6106" t="s">
        <v>131</v>
      </c>
      <c r="E6106">
        <v>12</v>
      </c>
      <c r="F6106">
        <v>2012</v>
      </c>
      <c r="G6106" t="s">
        <v>137</v>
      </c>
      <c r="J6106" t="s">
        <v>133</v>
      </c>
      <c r="K6106">
        <v>0</v>
      </c>
      <c r="L6106">
        <v>3</v>
      </c>
      <c r="M6106">
        <v>0</v>
      </c>
      <c r="N6106">
        <v>2</v>
      </c>
      <c r="O6106">
        <v>1</v>
      </c>
      <c r="P6106">
        <v>0</v>
      </c>
      <c r="Q6106">
        <v>0</v>
      </c>
      <c r="S6106" t="str">
        <f t="shared" si="2863"/>
        <v>14:52:46.664</v>
      </c>
      <c r="T6106" t="str">
        <f t="shared" si="2864"/>
        <v>14:52:46.364</v>
      </c>
      <c r="U6106" t="str">
        <f t="shared" si="2853"/>
        <v>A9808D</v>
      </c>
      <c r="V6106">
        <v>0</v>
      </c>
      <c r="W6106">
        <v>0</v>
      </c>
      <c r="X6106">
        <v>1</v>
      </c>
      <c r="Z6106">
        <v>0</v>
      </c>
      <c r="AA6106">
        <v>9</v>
      </c>
      <c r="AB6106">
        <v>3</v>
      </c>
      <c r="AC6106">
        <v>0</v>
      </c>
      <c r="AD6106">
        <v>10</v>
      </c>
      <c r="AE6106">
        <v>0</v>
      </c>
      <c r="AF6106">
        <v>3</v>
      </c>
      <c r="AG6106">
        <v>2</v>
      </c>
      <c r="AH6106">
        <v>0</v>
      </c>
      <c r="AI6106" t="s">
        <v>1221</v>
      </c>
      <c r="AJ6106">
        <v>28.214092000000001</v>
      </c>
      <c r="AK6106" t="s">
        <v>1116</v>
      </c>
      <c r="AL6106">
        <v>-82.367957000000004</v>
      </c>
      <c r="AM6106">
        <v>100</v>
      </c>
      <c r="AN6106">
        <v>0</v>
      </c>
      <c r="AO6106" t="s">
        <v>118</v>
      </c>
      <c r="AP6106">
        <v>-52</v>
      </c>
      <c r="AQ6106">
        <v>70</v>
      </c>
      <c r="AR6106">
        <v>-960</v>
      </c>
      <c r="AZ6106">
        <v>1200</v>
      </c>
      <c r="BA6106">
        <v>1</v>
      </c>
      <c r="BB6106" t="str">
        <f t="shared" si="2832"/>
        <v xml:space="preserve">N711JA  </v>
      </c>
      <c r="BC6106">
        <v>1</v>
      </c>
      <c r="BE6106">
        <v>0</v>
      </c>
      <c r="BF6106">
        <v>0</v>
      </c>
      <c r="BG6106">
        <v>0</v>
      </c>
      <c r="BH6106">
        <v>100</v>
      </c>
      <c r="BI6106">
        <v>1</v>
      </c>
      <c r="BJ6106">
        <v>1</v>
      </c>
      <c r="BK6106">
        <v>0</v>
      </c>
      <c r="BL6106">
        <v>0</v>
      </c>
      <c r="BO6106">
        <v>0</v>
      </c>
      <c r="BP6106">
        <v>0</v>
      </c>
      <c r="BW6106" t="str">
        <f t="shared" si="2865"/>
        <v>14:52:46.668</v>
      </c>
      <c r="CJ6106">
        <v>0</v>
      </c>
      <c r="CK6106">
        <v>2</v>
      </c>
      <c r="CL6106">
        <v>0</v>
      </c>
      <c r="CM6106">
        <v>2</v>
      </c>
      <c r="CN6106">
        <v>0</v>
      </c>
      <c r="CO6106">
        <v>2</v>
      </c>
      <c r="CP6106" t="s">
        <v>119</v>
      </c>
      <c r="CQ6106">
        <v>343</v>
      </c>
      <c r="CR6106">
        <v>1</v>
      </c>
      <c r="CW6106">
        <v>11242936</v>
      </c>
      <c r="CY6106">
        <v>1</v>
      </c>
      <c r="CZ6106">
        <v>0</v>
      </c>
      <c r="DA6106">
        <v>1</v>
      </c>
      <c r="DB6106">
        <v>0</v>
      </c>
      <c r="DC6106">
        <v>0</v>
      </c>
      <c r="DD6106">
        <v>1</v>
      </c>
      <c r="DE6106">
        <v>0</v>
      </c>
      <c r="DF6106">
        <v>0</v>
      </c>
      <c r="DG6106">
        <v>0</v>
      </c>
      <c r="DH6106">
        <v>0</v>
      </c>
      <c r="DI61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20200512_A9808D_426071443_ADSB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2020-05-13T16:19:35Z</dcterms:created>
  <dcterms:modified xsi:type="dcterms:W3CDTF">2020-05-13T16:20:09Z</dcterms:modified>
</cp:coreProperties>
</file>